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24226"/>
  <mc:AlternateContent xmlns:mc="http://schemas.openxmlformats.org/markup-compatibility/2006">
    <mc:Choice Requires="x15">
      <x15ac:absPath xmlns:x15ac="http://schemas.microsoft.com/office/spreadsheetml/2010/11/ac" url="M:\EDSM\Daily Reports\2021 Phase 3 Daily Reports\"/>
    </mc:Choice>
  </mc:AlternateContent>
  <xr:revisionPtr revIDLastSave="0" documentId="8_{76C58D13-FBC9-4821-A05C-F847A8FC1C07}" xr6:coauthVersionLast="46" xr6:coauthVersionMax="46" xr10:uidLastSave="{00000000-0000-0000-0000-000000000000}"/>
  <bookViews>
    <workbookView xWindow="-120" yWindow="-120" windowWidth="29040" windowHeight="15840" tabRatio="628" xr2:uid="{00000000-000D-0000-FFFF-FFFF00000000}"/>
  </bookViews>
  <sheets>
    <sheet name="Phase 3 2021" sheetId="19" r:id="rId1"/>
    <sheet name="Phase 2 2021" sheetId="18" r:id="rId2"/>
    <sheet name="Phase 1 2020-2021" sheetId="17" r:id="rId3"/>
    <sheet name="Phase 3 2020" sheetId="15" r:id="rId4"/>
    <sheet name="Phase 2 2020" sheetId="16" r:id="rId5"/>
    <sheet name="Phase 1 Dec 2019 - 2020" sheetId="13" r:id="rId6"/>
    <sheet name="Key" sheetId="2" r:id="rId7"/>
    <sheet name="Phase 3 2019" sheetId="12" r:id="rId8"/>
    <sheet name="Phase 2 2019" sheetId="11" r:id="rId9"/>
    <sheet name="Phase 1 Dec 2018 - 2019" sheetId="10" r:id="rId10"/>
    <sheet name="Phase 3 2018" sheetId="1" r:id="rId11"/>
    <sheet name="Phase 2 2018" sheetId="4" r:id="rId12"/>
    <sheet name="Phase 1 Dec 2017 - 2018" sheetId="5" r:id="rId13"/>
    <sheet name="Phase 3 2017" sheetId="6" r:id="rId14"/>
    <sheet name="Phase 2 2017" sheetId="7" r:id="rId15"/>
    <sheet name="Phase 2 2017 Gear Test" sheetId="8" r:id="rId16"/>
    <sheet name="Phase 2 2017 Gear Comaprison" sheetId="3" r:id="rId17"/>
    <sheet name="Phase 1 Dec 2016-2017" sheetId="9" r:id="rId18"/>
  </sheets>
  <definedNames>
    <definedName name="_xlnm._FilterDatabase" localSheetId="2" hidden="1">'Phase 1 2020-2021'!$A$2:$Y$518</definedName>
    <definedName name="_xlnm._FilterDatabase" localSheetId="5" hidden="1">'Phase 1 Dec 2019 - 2020'!$F$1:$F$1299</definedName>
    <definedName name="_xlnm._FilterDatabase" localSheetId="4" hidden="1">'Phase 2 2020'!$U$1:$U$562</definedName>
    <definedName name="_xlnm._FilterDatabase" localSheetId="1" hidden="1">'Phase 2 2021'!$A$2:$W$414</definedName>
    <definedName name="_xlnm._FilterDatabase" localSheetId="10" hidden="1">'Phase 3 2018'!$A$2:$V$2</definedName>
    <definedName name="_xlnm._FilterDatabase" localSheetId="7" hidden="1">'Phase 3 2019'!$F$1:$F$893</definedName>
    <definedName name="_xlnm._FilterDatabase" localSheetId="3" hidden="1">'Phase 3 2020'!$A$2:$Y$753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147" i="11" l="1"/>
  <c r="O80" i="11"/>
  <c r="P80" i="11"/>
  <c r="Q80" i="11"/>
  <c r="R80" i="11"/>
  <c r="S80" i="11"/>
  <c r="T80" i="11"/>
  <c r="T142" i="11"/>
  <c r="S142" i="11"/>
  <c r="R142" i="11"/>
  <c r="Q142" i="11"/>
  <c r="P142" i="11"/>
  <c r="O142" i="11"/>
  <c r="T141" i="11"/>
  <c r="S141" i="11"/>
  <c r="R141" i="11"/>
  <c r="Q141" i="11"/>
  <c r="P141" i="11"/>
  <c r="O141" i="11"/>
  <c r="T140" i="11"/>
  <c r="S140" i="11"/>
  <c r="R140" i="11"/>
  <c r="Q140" i="11"/>
  <c r="P140" i="11"/>
  <c r="O140" i="11"/>
  <c r="T139" i="11"/>
  <c r="S139" i="11"/>
  <c r="R139" i="11"/>
  <c r="Q139" i="11"/>
  <c r="P139" i="11"/>
  <c r="O139" i="11"/>
  <c r="T138" i="11"/>
  <c r="S138" i="11"/>
  <c r="R138" i="11"/>
  <c r="Q138" i="11"/>
  <c r="P138" i="11"/>
  <c r="O138" i="11"/>
  <c r="T137" i="11"/>
  <c r="S137" i="11"/>
  <c r="R137" i="11"/>
  <c r="Q137" i="11"/>
  <c r="P137" i="11"/>
  <c r="O137" i="11"/>
  <c r="T136" i="11"/>
  <c r="S136" i="11"/>
  <c r="R136" i="11"/>
  <c r="Q136" i="11"/>
  <c r="P136" i="11"/>
  <c r="O136" i="11"/>
  <c r="T135" i="11"/>
  <c r="S135" i="11"/>
  <c r="R135" i="11"/>
  <c r="Q135" i="11"/>
  <c r="P135" i="11"/>
  <c r="O135" i="11"/>
  <c r="T134" i="11"/>
  <c r="S134" i="11"/>
  <c r="R134" i="11"/>
  <c r="Q134" i="11"/>
  <c r="P134" i="11"/>
  <c r="O134" i="11"/>
  <c r="T133" i="11"/>
  <c r="S133" i="11"/>
  <c r="R133" i="11"/>
  <c r="Q133" i="11"/>
  <c r="P133" i="11"/>
  <c r="O133" i="11"/>
  <c r="T132" i="11"/>
  <c r="S132" i="11"/>
  <c r="R132" i="11"/>
  <c r="Q132" i="11"/>
  <c r="P132" i="11"/>
  <c r="O132" i="11"/>
  <c r="T131" i="11"/>
  <c r="S131" i="11"/>
  <c r="R131" i="11"/>
  <c r="Q131" i="11"/>
  <c r="P131" i="11"/>
  <c r="O131" i="11"/>
  <c r="T130" i="11"/>
  <c r="S130" i="11"/>
  <c r="R130" i="11"/>
  <c r="Q130" i="11"/>
  <c r="P130" i="11"/>
  <c r="O130" i="11"/>
  <c r="T129" i="11"/>
  <c r="S129" i="11"/>
  <c r="R129" i="11"/>
  <c r="Q129" i="11"/>
  <c r="P129" i="11"/>
  <c r="O129" i="11"/>
  <c r="T128" i="11"/>
  <c r="S128" i="11"/>
  <c r="R128" i="11"/>
  <c r="Q128" i="11"/>
  <c r="P128" i="11"/>
  <c r="O128" i="11"/>
  <c r="T127" i="11"/>
  <c r="S127" i="11"/>
  <c r="Q127" i="11"/>
  <c r="P127" i="11"/>
  <c r="O127" i="11"/>
  <c r="T126" i="11"/>
  <c r="S126" i="11"/>
  <c r="Q126" i="11"/>
  <c r="P126" i="11"/>
  <c r="O126" i="11"/>
  <c r="T125" i="11"/>
  <c r="S125" i="11"/>
  <c r="Q125" i="11"/>
  <c r="P125" i="11"/>
  <c r="O125" i="11"/>
  <c r="T124" i="11"/>
  <c r="S124" i="11"/>
  <c r="R124" i="11"/>
  <c r="Q124" i="11"/>
  <c r="P124" i="11"/>
  <c r="O124" i="11"/>
  <c r="T123" i="11"/>
  <c r="S123" i="11"/>
  <c r="R123" i="11"/>
  <c r="Q123" i="11"/>
  <c r="P123" i="11"/>
  <c r="O123" i="11"/>
  <c r="T122" i="11"/>
  <c r="S122" i="11"/>
  <c r="R122" i="11"/>
  <c r="Q122" i="11"/>
  <c r="P122" i="11"/>
  <c r="O122" i="11"/>
  <c r="T121" i="11"/>
  <c r="S121" i="11"/>
  <c r="R121" i="11"/>
  <c r="Q121" i="11"/>
  <c r="P121" i="11"/>
  <c r="O121" i="11"/>
  <c r="T120" i="11"/>
  <c r="S120" i="11"/>
  <c r="R120" i="11"/>
  <c r="Q120" i="11"/>
  <c r="P120" i="11"/>
  <c r="O120" i="11"/>
  <c r="T119" i="11"/>
  <c r="S119" i="11"/>
  <c r="R119" i="11"/>
  <c r="Q119" i="11"/>
  <c r="P119" i="11"/>
  <c r="O119" i="11"/>
  <c r="T114" i="11"/>
  <c r="S114" i="11"/>
  <c r="R114" i="11"/>
  <c r="Q114" i="11"/>
  <c r="P114" i="11"/>
  <c r="O114" i="11"/>
  <c r="T117" i="11"/>
  <c r="S117" i="11"/>
  <c r="R117" i="11"/>
  <c r="Q117" i="11"/>
  <c r="P117" i="11"/>
  <c r="O117" i="11"/>
  <c r="T116" i="11"/>
  <c r="S116" i="11"/>
  <c r="R116" i="11"/>
  <c r="Q116" i="11"/>
  <c r="P116" i="11"/>
  <c r="O116" i="11"/>
  <c r="T113" i="11"/>
  <c r="S113" i="11"/>
  <c r="R113" i="11"/>
  <c r="Q113" i="11"/>
  <c r="P113" i="11"/>
  <c r="O113" i="11"/>
  <c r="T112" i="11"/>
  <c r="S112" i="11"/>
  <c r="R112" i="11"/>
  <c r="Q112" i="11"/>
  <c r="P112" i="11"/>
  <c r="O112" i="11"/>
  <c r="T111" i="11"/>
  <c r="S111" i="11"/>
  <c r="R111" i="11"/>
  <c r="Q111" i="11"/>
  <c r="P111" i="11"/>
  <c r="O111" i="11"/>
  <c r="T109" i="11"/>
  <c r="S109" i="11"/>
  <c r="R109" i="11"/>
  <c r="Q109" i="11"/>
  <c r="P109" i="11"/>
  <c r="O109" i="11"/>
  <c r="T108" i="11"/>
  <c r="S108" i="11"/>
  <c r="R106" i="11"/>
  <c r="R108" i="11"/>
  <c r="P108" i="11"/>
  <c r="Q108" i="11"/>
  <c r="O108" i="11"/>
  <c r="T106" i="11"/>
  <c r="S106" i="11"/>
  <c r="Q106" i="11"/>
  <c r="P106" i="11"/>
  <c r="O106" i="11"/>
  <c r="T105" i="11"/>
  <c r="S105" i="11"/>
  <c r="R105" i="11"/>
  <c r="Q105" i="11"/>
  <c r="P105" i="11"/>
  <c r="O105" i="11"/>
  <c r="T104" i="11"/>
  <c r="S104" i="11"/>
  <c r="R104" i="11"/>
  <c r="Q104" i="11"/>
  <c r="P104" i="11"/>
  <c r="O104" i="11"/>
  <c r="T103" i="11"/>
  <c r="S103" i="11"/>
  <c r="R103" i="11"/>
  <c r="Q103" i="11"/>
  <c r="P103" i="11"/>
  <c r="O103" i="11"/>
  <c r="T102" i="11"/>
  <c r="S102" i="11"/>
  <c r="R102" i="11"/>
  <c r="Q102" i="11"/>
  <c r="P102" i="11"/>
  <c r="O102" i="11"/>
  <c r="T101" i="11"/>
  <c r="S101" i="11"/>
  <c r="R101" i="11"/>
  <c r="Q101" i="11"/>
  <c r="P101" i="11"/>
  <c r="O101" i="11"/>
  <c r="T100" i="11"/>
  <c r="S100" i="11"/>
  <c r="R100" i="11"/>
  <c r="Q100" i="11"/>
  <c r="P100" i="11"/>
  <c r="O100" i="11"/>
  <c r="T95" i="11"/>
  <c r="S95" i="11"/>
  <c r="R95" i="11"/>
  <c r="Q95" i="11"/>
  <c r="P95" i="11"/>
  <c r="O95" i="11"/>
  <c r="T93" i="11"/>
  <c r="S93" i="11"/>
  <c r="R93" i="11"/>
  <c r="Q93" i="11"/>
  <c r="P93" i="11"/>
  <c r="O93" i="11"/>
  <c r="T94" i="11"/>
  <c r="S94" i="11"/>
  <c r="R94" i="11"/>
  <c r="Q94" i="11"/>
  <c r="P94" i="11"/>
  <c r="O94" i="11"/>
  <c r="T97" i="11"/>
  <c r="S97" i="11"/>
  <c r="R97" i="11"/>
  <c r="Q97" i="11"/>
  <c r="P97" i="11"/>
  <c r="O97" i="11"/>
  <c r="T96" i="11"/>
  <c r="S96" i="11"/>
  <c r="R96" i="11"/>
  <c r="Q96" i="11"/>
  <c r="P96" i="11"/>
  <c r="O96" i="11"/>
  <c r="T98" i="11"/>
  <c r="S98" i="11"/>
  <c r="R98" i="11"/>
  <c r="Q98" i="11"/>
  <c r="P98" i="11"/>
  <c r="O98" i="11"/>
  <c r="T92" i="11"/>
  <c r="S92" i="11"/>
  <c r="R92" i="11"/>
  <c r="Q92" i="11"/>
  <c r="P92" i="11"/>
  <c r="O92" i="11"/>
  <c r="T91" i="11"/>
  <c r="S91" i="11"/>
  <c r="R91" i="11"/>
  <c r="Q91" i="11"/>
  <c r="P91" i="11"/>
  <c r="O91" i="11"/>
  <c r="T88" i="11"/>
  <c r="S88" i="11"/>
  <c r="R88" i="11"/>
  <c r="Q88" i="11"/>
  <c r="P88" i="11"/>
  <c r="O88" i="11"/>
  <c r="T90" i="11"/>
  <c r="S90" i="11"/>
  <c r="R90" i="11"/>
  <c r="Q90" i="11"/>
  <c r="P90" i="11"/>
  <c r="O90" i="11"/>
  <c r="T89" i="11"/>
  <c r="S89" i="11"/>
  <c r="R89" i="11"/>
  <c r="Q89" i="11"/>
  <c r="P89" i="11"/>
  <c r="O89" i="11"/>
  <c r="T87" i="11"/>
  <c r="S87" i="11"/>
  <c r="R87" i="11"/>
  <c r="Q87" i="11"/>
  <c r="P87" i="11"/>
  <c r="O87" i="11"/>
  <c r="T83" i="11"/>
  <c r="S83" i="11"/>
  <c r="R83" i="11"/>
  <c r="Q83" i="11"/>
  <c r="P83" i="11"/>
  <c r="O83" i="11"/>
  <c r="T86" i="11"/>
  <c r="S86" i="11"/>
  <c r="R86" i="11"/>
  <c r="Q86" i="11"/>
  <c r="P86" i="11"/>
  <c r="O86" i="11"/>
  <c r="T85" i="11"/>
  <c r="S85" i="11"/>
  <c r="R85" i="11"/>
  <c r="Q85" i="11"/>
  <c r="P85" i="11"/>
  <c r="O85" i="11"/>
  <c r="T84" i="11"/>
  <c r="S84" i="11"/>
  <c r="R84" i="11"/>
  <c r="Q84" i="11"/>
  <c r="P84" i="11"/>
  <c r="O84" i="11"/>
  <c r="T82" i="11"/>
  <c r="S82" i="11"/>
  <c r="R82" i="11"/>
  <c r="Q82" i="11"/>
  <c r="P82" i="11"/>
  <c r="O82" i="11"/>
  <c r="T78" i="11"/>
  <c r="S78" i="11"/>
  <c r="R78" i="11"/>
  <c r="Q78" i="11"/>
  <c r="P78" i="11"/>
  <c r="O78" i="11"/>
  <c r="T81" i="11"/>
  <c r="S81" i="11"/>
  <c r="R81" i="11"/>
  <c r="Q81" i="11"/>
  <c r="P81" i="11"/>
  <c r="O81" i="11"/>
  <c r="T79" i="11"/>
  <c r="S79" i="11"/>
  <c r="R79" i="11"/>
  <c r="P79" i="11"/>
  <c r="Q79" i="11"/>
  <c r="O79" i="11"/>
  <c r="T76" i="11"/>
  <c r="S76" i="11"/>
  <c r="R76" i="11"/>
  <c r="Q76" i="11"/>
  <c r="P76" i="11"/>
  <c r="O76" i="11"/>
  <c r="T73" i="11"/>
  <c r="S73" i="11"/>
  <c r="R73" i="11"/>
  <c r="Q73" i="11"/>
  <c r="P73" i="11"/>
  <c r="O73" i="11"/>
  <c r="T77" i="11"/>
  <c r="S77" i="11"/>
  <c r="R77" i="11"/>
  <c r="Q77" i="11"/>
  <c r="P77" i="11"/>
  <c r="O77" i="11"/>
  <c r="T75" i="11"/>
  <c r="S75" i="11"/>
  <c r="R75" i="11"/>
  <c r="Q75" i="11"/>
  <c r="P75" i="11"/>
  <c r="O75" i="11"/>
  <c r="T74" i="11"/>
  <c r="S74" i="11"/>
  <c r="R74" i="11"/>
  <c r="Q74" i="11"/>
  <c r="P74" i="11"/>
  <c r="O74" i="11"/>
  <c r="T67" i="11"/>
  <c r="S67" i="11"/>
  <c r="R67" i="11"/>
  <c r="Q67" i="11"/>
  <c r="P67" i="11"/>
  <c r="O67" i="11"/>
  <c r="T65" i="11"/>
  <c r="S65" i="11"/>
  <c r="R65" i="11"/>
  <c r="Q65" i="11"/>
  <c r="P65" i="11"/>
  <c r="O65" i="11"/>
  <c r="T66" i="11"/>
  <c r="S66" i="11"/>
  <c r="R66" i="11"/>
  <c r="Q66" i="11"/>
  <c r="P66" i="11"/>
  <c r="O66" i="11"/>
  <c r="T68" i="11"/>
  <c r="S68" i="11"/>
  <c r="R68" i="11"/>
  <c r="Q68" i="11"/>
  <c r="P68" i="11"/>
  <c r="O68" i="11"/>
  <c r="T69" i="11"/>
  <c r="S69" i="11"/>
  <c r="R69" i="11"/>
  <c r="Q69" i="11"/>
  <c r="P69" i="11"/>
  <c r="O69" i="11"/>
  <c r="T70" i="11"/>
  <c r="S70" i="11"/>
  <c r="R70" i="11"/>
  <c r="Q70" i="11"/>
  <c r="P70" i="11"/>
  <c r="O70" i="11"/>
  <c r="T62" i="11"/>
  <c r="S62" i="11"/>
  <c r="R62" i="11"/>
  <c r="Q62" i="11"/>
  <c r="P62" i="11"/>
  <c r="O62" i="11"/>
  <c r="T61" i="11"/>
  <c r="S61" i="11"/>
  <c r="R61" i="11"/>
  <c r="Q61" i="11"/>
  <c r="P61" i="11"/>
  <c r="O61" i="11"/>
  <c r="T60" i="11"/>
  <c r="S60" i="11"/>
  <c r="R60" i="11"/>
  <c r="Q60" i="11"/>
  <c r="P60" i="11"/>
  <c r="O60" i="11"/>
  <c r="T59" i="11"/>
  <c r="S59" i="11"/>
  <c r="R59" i="11"/>
  <c r="Q59" i="11"/>
  <c r="P59" i="11"/>
  <c r="O59" i="11"/>
  <c r="T58" i="11"/>
  <c r="S58" i="11"/>
  <c r="R58" i="11"/>
  <c r="Q58" i="11"/>
  <c r="P58" i="11"/>
  <c r="O58" i="11"/>
  <c r="T57" i="11"/>
  <c r="S57" i="11"/>
  <c r="Q57" i="11"/>
  <c r="P57" i="11"/>
  <c r="O57" i="11"/>
  <c r="T56" i="11"/>
  <c r="S56" i="11"/>
  <c r="Q56" i="11"/>
  <c r="P56" i="11"/>
  <c r="O56" i="11"/>
  <c r="T55" i="11"/>
  <c r="S55" i="11"/>
  <c r="R55" i="11"/>
  <c r="Q55" i="11"/>
  <c r="P55" i="11"/>
  <c r="O55" i="11"/>
  <c r="T52" i="11"/>
  <c r="S52" i="11"/>
  <c r="Q52" i="11"/>
  <c r="P52" i="11"/>
  <c r="O52" i="11"/>
  <c r="T51" i="11"/>
  <c r="S51" i="11"/>
  <c r="R51" i="11"/>
  <c r="Q51" i="11"/>
  <c r="P51" i="11"/>
  <c r="O51" i="11"/>
  <c r="T50" i="11"/>
  <c r="S50" i="11"/>
  <c r="R50" i="11"/>
  <c r="Q50" i="11"/>
  <c r="P50" i="11"/>
  <c r="O50" i="11"/>
  <c r="T49" i="11"/>
  <c r="S49" i="11"/>
  <c r="R49" i="11"/>
  <c r="Q49" i="11"/>
  <c r="P49" i="11"/>
  <c r="O49" i="11"/>
  <c r="T48" i="11"/>
  <c r="S48" i="11"/>
  <c r="R48" i="11"/>
  <c r="Q48" i="11"/>
  <c r="P48" i="11"/>
  <c r="O48" i="11"/>
  <c r="T47" i="11"/>
  <c r="S47" i="11"/>
  <c r="R47" i="11"/>
  <c r="Q47" i="11"/>
  <c r="P47" i="11"/>
  <c r="O47" i="11"/>
  <c r="T46" i="11"/>
  <c r="S46" i="11"/>
  <c r="R46" i="11"/>
  <c r="Q46" i="11"/>
  <c r="P46" i="11"/>
  <c r="O46" i="11"/>
  <c r="T45" i="11"/>
  <c r="S45" i="11"/>
  <c r="R45" i="11"/>
  <c r="Q45" i="11"/>
  <c r="P45" i="11"/>
  <c r="O45" i="11"/>
  <c r="T44" i="11"/>
  <c r="S44" i="11"/>
  <c r="R44" i="11"/>
  <c r="Q44" i="11"/>
  <c r="P44" i="11"/>
  <c r="O44" i="11"/>
  <c r="T43" i="11"/>
  <c r="S43" i="11"/>
  <c r="R43" i="11"/>
  <c r="Q43" i="11"/>
  <c r="P43" i="11"/>
  <c r="O43" i="11"/>
  <c r="S42" i="11"/>
  <c r="R42" i="11"/>
  <c r="P42" i="11"/>
  <c r="O42" i="11"/>
  <c r="T40" i="11"/>
  <c r="S40" i="11"/>
  <c r="R40" i="11"/>
  <c r="Q40" i="11"/>
  <c r="P40" i="11"/>
  <c r="O40" i="11"/>
  <c r="T39" i="11"/>
  <c r="S39" i="11"/>
  <c r="R39" i="11"/>
  <c r="Q39" i="11"/>
  <c r="P39" i="11"/>
  <c r="O39" i="11"/>
  <c r="T37" i="11"/>
  <c r="S37" i="11"/>
  <c r="R37" i="11"/>
  <c r="Q37" i="11"/>
  <c r="P37" i="11"/>
  <c r="O37" i="11"/>
  <c r="T38" i="11"/>
  <c r="S38" i="11"/>
  <c r="R38" i="11"/>
  <c r="Q38" i="11"/>
  <c r="P38" i="11"/>
  <c r="O38" i="11"/>
  <c r="T34" i="11"/>
  <c r="S34" i="11"/>
  <c r="R34" i="11"/>
  <c r="Q34" i="11"/>
  <c r="P34" i="11"/>
  <c r="O34" i="11"/>
  <c r="T41" i="11"/>
  <c r="S41" i="11"/>
  <c r="R41" i="11"/>
  <c r="Q41" i="11"/>
  <c r="P41" i="11"/>
  <c r="O41" i="11"/>
  <c r="T36" i="11"/>
  <c r="S36" i="11"/>
  <c r="R36" i="11"/>
  <c r="Q36" i="11"/>
  <c r="P36" i="11"/>
  <c r="O36" i="11"/>
  <c r="T35" i="11"/>
  <c r="S35" i="11"/>
  <c r="R35" i="11"/>
  <c r="Q35" i="11"/>
  <c r="P35" i="11"/>
  <c r="O35" i="11"/>
  <c r="T33" i="11"/>
  <c r="S33" i="11"/>
  <c r="R33" i="11"/>
  <c r="Q33" i="11"/>
  <c r="P33" i="11"/>
  <c r="O33" i="11"/>
  <c r="T32" i="11"/>
  <c r="S32" i="11"/>
  <c r="R32" i="11"/>
  <c r="Q32" i="11"/>
  <c r="P32" i="11"/>
  <c r="O32" i="11"/>
  <c r="T26" i="11"/>
  <c r="S26" i="11"/>
  <c r="R26" i="11"/>
  <c r="Q26" i="11"/>
  <c r="P26" i="11"/>
  <c r="O26" i="11"/>
  <c r="T24" i="11"/>
  <c r="S24" i="11"/>
  <c r="R24" i="11"/>
  <c r="Q24" i="11"/>
  <c r="P24" i="11"/>
  <c r="O24" i="11"/>
  <c r="T23" i="11"/>
  <c r="S23" i="11"/>
  <c r="R23" i="11"/>
  <c r="Q23" i="11"/>
  <c r="P23" i="11"/>
  <c r="O23" i="11"/>
  <c r="T25" i="11"/>
  <c r="S25" i="11"/>
  <c r="R25" i="11"/>
  <c r="Q25" i="11"/>
  <c r="P25" i="11"/>
  <c r="O25" i="11"/>
  <c r="T30" i="11"/>
  <c r="S30" i="11"/>
  <c r="R30" i="11"/>
  <c r="Q30" i="11"/>
  <c r="P30" i="11"/>
  <c r="O30" i="11"/>
  <c r="T28" i="11"/>
  <c r="S28" i="11"/>
  <c r="R28" i="11"/>
  <c r="Q28" i="11"/>
  <c r="P29" i="11"/>
  <c r="P28" i="11"/>
  <c r="O28" i="11"/>
  <c r="T31" i="11"/>
  <c r="S31" i="11"/>
  <c r="R31" i="11"/>
  <c r="Q31" i="11"/>
  <c r="P31" i="11"/>
  <c r="O31" i="11"/>
  <c r="T29" i="11"/>
  <c r="S29" i="11"/>
  <c r="R29" i="11"/>
  <c r="Q29" i="11"/>
  <c r="O29" i="11"/>
  <c r="T27" i="11"/>
  <c r="S27" i="11"/>
  <c r="R27" i="11"/>
  <c r="Q27" i="11"/>
  <c r="P27" i="11"/>
  <c r="O27" i="11"/>
  <c r="T22" i="11"/>
  <c r="S22" i="11"/>
  <c r="R22" i="11"/>
  <c r="Q22" i="11"/>
  <c r="P22" i="11"/>
  <c r="O22" i="11"/>
  <c r="T21" i="11"/>
  <c r="S21" i="11"/>
  <c r="R21" i="11"/>
  <c r="Q21" i="11"/>
  <c r="P21" i="11"/>
  <c r="O21" i="11"/>
  <c r="T9" i="11"/>
  <c r="S9" i="11"/>
  <c r="R9" i="11"/>
  <c r="Q9" i="11"/>
  <c r="P9" i="11"/>
  <c r="O9" i="11"/>
  <c r="T8" i="11"/>
  <c r="S8" i="11"/>
  <c r="R8" i="11"/>
  <c r="Q8" i="11"/>
  <c r="P8" i="11"/>
  <c r="O8" i="11"/>
  <c r="T7" i="11"/>
  <c r="S7" i="11"/>
  <c r="Q7" i="11"/>
  <c r="P7" i="11"/>
  <c r="O7" i="11"/>
  <c r="T6" i="11"/>
  <c r="S6" i="11"/>
  <c r="R6" i="11"/>
  <c r="Q6" i="11"/>
  <c r="P6" i="11"/>
  <c r="O6" i="11"/>
  <c r="T5" i="11"/>
  <c r="S5" i="11"/>
  <c r="R5" i="11"/>
  <c r="Q5" i="11"/>
  <c r="P5" i="11"/>
  <c r="O5" i="11"/>
  <c r="T4" i="11"/>
  <c r="S4" i="11"/>
  <c r="R4" i="11"/>
  <c r="Q4" i="11"/>
  <c r="P4" i="11"/>
  <c r="O4" i="11"/>
  <c r="T3" i="11"/>
  <c r="S3" i="11"/>
  <c r="Q3" i="11"/>
  <c r="P3" i="11"/>
  <c r="O3" i="11"/>
  <c r="I230" i="9"/>
  <c r="P32" i="3"/>
  <c r="U30" i="3"/>
  <c r="T30" i="3"/>
  <c r="S30" i="3"/>
  <c r="R30" i="3"/>
  <c r="Q30" i="3"/>
  <c r="U29" i="3"/>
  <c r="T29" i="3"/>
  <c r="S29" i="3"/>
  <c r="R29" i="3"/>
  <c r="Q29" i="3"/>
  <c r="T28" i="3"/>
  <c r="S28" i="3"/>
  <c r="Q28" i="3"/>
  <c r="P28" i="3"/>
  <c r="T27" i="3"/>
  <c r="S27" i="3"/>
  <c r="Q27" i="3"/>
  <c r="U26" i="3"/>
  <c r="T26" i="3"/>
  <c r="S26" i="3"/>
  <c r="R26" i="3"/>
  <c r="Q26" i="3"/>
  <c r="U25" i="3"/>
  <c r="T25" i="3"/>
  <c r="S25" i="3"/>
  <c r="R25" i="3"/>
  <c r="Q25" i="3"/>
  <c r="T24" i="3"/>
  <c r="S24" i="3"/>
  <c r="Q24" i="3"/>
  <c r="U22" i="3"/>
  <c r="T22" i="3"/>
  <c r="S22" i="3"/>
  <c r="R22" i="3"/>
  <c r="Q22" i="3"/>
  <c r="U21" i="3"/>
  <c r="T21" i="3"/>
  <c r="S21" i="3"/>
  <c r="R21" i="3"/>
  <c r="Q21" i="3"/>
  <c r="P21" i="3"/>
  <c r="T20" i="3"/>
  <c r="S20" i="3"/>
  <c r="Q20" i="3"/>
  <c r="P20" i="3"/>
  <c r="U18" i="3"/>
  <c r="T18" i="3"/>
  <c r="S18" i="3"/>
  <c r="R18" i="3"/>
  <c r="Q18" i="3"/>
  <c r="P18" i="3"/>
  <c r="U17" i="3"/>
  <c r="T17" i="3"/>
  <c r="S17" i="3"/>
  <c r="R17" i="3"/>
  <c r="Q17" i="3"/>
  <c r="P17" i="3"/>
  <c r="T16" i="3"/>
  <c r="S16" i="3"/>
  <c r="Q16" i="3"/>
  <c r="T15" i="3"/>
  <c r="S15" i="3"/>
  <c r="Q15" i="3"/>
  <c r="U14" i="3"/>
  <c r="T14" i="3"/>
  <c r="S14" i="3"/>
  <c r="R14" i="3"/>
  <c r="Q14" i="3"/>
  <c r="P14" i="3"/>
  <c r="U13" i="3"/>
  <c r="T13" i="3"/>
  <c r="S13" i="3"/>
  <c r="R13" i="3"/>
  <c r="Q13" i="3"/>
  <c r="T12" i="3"/>
  <c r="S12" i="3"/>
  <c r="Q12" i="3"/>
  <c r="P12" i="3"/>
  <c r="T11" i="3"/>
  <c r="S11" i="3"/>
  <c r="Q11" i="3"/>
  <c r="U10" i="3"/>
  <c r="T10" i="3"/>
  <c r="S10" i="3"/>
  <c r="R10" i="3"/>
  <c r="Q10" i="3"/>
  <c r="P10" i="3"/>
  <c r="U9" i="3"/>
  <c r="T9" i="3"/>
  <c r="S9" i="3"/>
  <c r="R9" i="3"/>
  <c r="Q9" i="3"/>
  <c r="P9" i="3"/>
  <c r="T8" i="3"/>
  <c r="S8" i="3"/>
  <c r="Q8" i="3"/>
  <c r="P8" i="3"/>
  <c r="T7" i="3"/>
  <c r="S7" i="3"/>
  <c r="Q7" i="3"/>
  <c r="U6" i="3"/>
  <c r="T6" i="3"/>
  <c r="S6" i="3"/>
  <c r="R6" i="3"/>
  <c r="Q6" i="3"/>
  <c r="P6" i="3"/>
  <c r="U5" i="3"/>
  <c r="T5" i="3"/>
  <c r="S5" i="3"/>
  <c r="R5" i="3"/>
  <c r="Q5" i="3"/>
  <c r="P5" i="3"/>
  <c r="T4" i="3"/>
  <c r="S4" i="3"/>
  <c r="Q4" i="3"/>
  <c r="P4" i="3"/>
  <c r="T3" i="3"/>
  <c r="S3" i="3"/>
  <c r="Q3" i="3"/>
  <c r="Q21" i="8"/>
  <c r="P21" i="8"/>
  <c r="Q20" i="8"/>
  <c r="P20" i="8"/>
  <c r="Q19" i="8"/>
  <c r="P19" i="8"/>
  <c r="Q18" i="8"/>
  <c r="P18" i="8"/>
  <c r="O18" i="8"/>
  <c r="Q16" i="8"/>
  <c r="P16" i="8"/>
  <c r="O16" i="8"/>
  <c r="Q15" i="8"/>
  <c r="P15" i="8"/>
  <c r="O15" i="8"/>
  <c r="Q14" i="8"/>
  <c r="P14" i="8"/>
  <c r="Q13" i="8"/>
  <c r="P13" i="8"/>
  <c r="Q12" i="8"/>
  <c r="P12" i="8"/>
  <c r="Q11" i="8"/>
  <c r="P11" i="8"/>
  <c r="Q10" i="8"/>
  <c r="P10" i="8"/>
  <c r="Q9" i="8"/>
  <c r="P9" i="8"/>
  <c r="Q8" i="8"/>
  <c r="P8" i="8"/>
  <c r="O8" i="8"/>
  <c r="Q7" i="8"/>
  <c r="P7" i="8"/>
  <c r="Q6" i="8"/>
  <c r="P6" i="8"/>
  <c r="O6" i="8"/>
  <c r="Q5" i="8"/>
  <c r="P5" i="8"/>
  <c r="Q4" i="8"/>
  <c r="P4" i="8"/>
  <c r="Q3" i="8"/>
  <c r="P3" i="8"/>
  <c r="T209" i="7"/>
  <c r="S209" i="7"/>
  <c r="R209" i="7"/>
  <c r="Q209" i="7"/>
  <c r="P209" i="7"/>
  <c r="O209" i="7"/>
  <c r="T208" i="7"/>
  <c r="S208" i="7"/>
  <c r="R208" i="7"/>
  <c r="Q208" i="7"/>
  <c r="P208" i="7"/>
  <c r="O208" i="7"/>
  <c r="T207" i="7"/>
  <c r="S207" i="7"/>
  <c r="R207" i="7"/>
  <c r="Q207" i="7"/>
  <c r="P207" i="7"/>
  <c r="O207" i="7"/>
  <c r="T205" i="7"/>
  <c r="S205" i="7"/>
  <c r="R205" i="7"/>
  <c r="Q205" i="7"/>
  <c r="P205" i="7"/>
  <c r="T204" i="7"/>
  <c r="S204" i="7"/>
  <c r="R204" i="7"/>
  <c r="Q204" i="7"/>
  <c r="P204" i="7"/>
  <c r="T203" i="7"/>
  <c r="S203" i="7"/>
  <c r="R203" i="7"/>
  <c r="Q203" i="7"/>
  <c r="P203" i="7"/>
  <c r="T202" i="7"/>
  <c r="S202" i="7"/>
  <c r="R202" i="7"/>
  <c r="Q202" i="7"/>
  <c r="P202" i="7"/>
  <c r="O202" i="7"/>
  <c r="T201" i="7"/>
  <c r="S201" i="7"/>
  <c r="R201" i="7"/>
  <c r="Q201" i="7"/>
  <c r="P201" i="7"/>
  <c r="O201" i="7"/>
  <c r="T200" i="7"/>
  <c r="S200" i="7"/>
  <c r="R200" i="7"/>
  <c r="Q200" i="7"/>
  <c r="P200" i="7"/>
  <c r="O200" i="7"/>
  <c r="T199" i="7"/>
  <c r="S199" i="7"/>
  <c r="R199" i="7"/>
  <c r="Q199" i="7"/>
  <c r="P199" i="7"/>
  <c r="O199" i="7"/>
  <c r="T198" i="7"/>
  <c r="S198" i="7"/>
  <c r="R198" i="7"/>
  <c r="Q198" i="7"/>
  <c r="P198" i="7"/>
  <c r="O198" i="7"/>
  <c r="T197" i="7"/>
  <c r="S197" i="7"/>
  <c r="R197" i="7"/>
  <c r="Q197" i="7"/>
  <c r="P197" i="7"/>
  <c r="O197" i="7"/>
  <c r="T196" i="7"/>
  <c r="S196" i="7"/>
  <c r="R196" i="7"/>
  <c r="Q196" i="7"/>
  <c r="P196" i="7"/>
  <c r="T195" i="7"/>
  <c r="S195" i="7"/>
  <c r="R195" i="7"/>
  <c r="Q195" i="7"/>
  <c r="P195" i="7"/>
  <c r="T194" i="7"/>
  <c r="S194" i="7"/>
  <c r="R194" i="7"/>
  <c r="Q194" i="7"/>
  <c r="P194" i="7"/>
  <c r="O194" i="7"/>
  <c r="T193" i="7"/>
  <c r="S193" i="7"/>
  <c r="R193" i="7"/>
  <c r="Q193" i="7"/>
  <c r="P193" i="7"/>
  <c r="O193" i="7"/>
  <c r="T192" i="7"/>
  <c r="S192" i="7"/>
  <c r="R192" i="7"/>
  <c r="Q192" i="7"/>
  <c r="P192" i="7"/>
  <c r="T191" i="7"/>
  <c r="S191" i="7"/>
  <c r="R191" i="7"/>
  <c r="Q191" i="7"/>
  <c r="P191" i="7"/>
  <c r="T190" i="7"/>
  <c r="S190" i="7"/>
  <c r="R190" i="7"/>
  <c r="Q190" i="7"/>
  <c r="P190" i="7"/>
  <c r="T189" i="7"/>
  <c r="S189" i="7"/>
  <c r="R189" i="7"/>
  <c r="Q189" i="7"/>
  <c r="P189" i="7"/>
  <c r="T188" i="7"/>
  <c r="S188" i="7"/>
  <c r="R188" i="7"/>
  <c r="Q188" i="7"/>
  <c r="P188" i="7"/>
  <c r="S186" i="7"/>
  <c r="R186" i="7"/>
  <c r="P186" i="7"/>
  <c r="T184" i="7"/>
  <c r="S184" i="7"/>
  <c r="R184" i="7"/>
  <c r="Q184" i="7"/>
  <c r="P184" i="7"/>
  <c r="T183" i="7"/>
  <c r="S183" i="7"/>
  <c r="R183" i="7"/>
  <c r="Q183" i="7"/>
  <c r="P183" i="7"/>
  <c r="O183" i="7"/>
  <c r="T182" i="7"/>
  <c r="S182" i="7"/>
  <c r="R182" i="7"/>
  <c r="Q182" i="7"/>
  <c r="P182" i="7"/>
  <c r="T181" i="7"/>
  <c r="S181" i="7"/>
  <c r="R181" i="7"/>
  <c r="Q181" i="7"/>
  <c r="P181" i="7"/>
  <c r="T180" i="7"/>
  <c r="S180" i="7"/>
  <c r="R180" i="7"/>
  <c r="Q180" i="7"/>
  <c r="P180" i="7"/>
  <c r="T179" i="7"/>
  <c r="S179" i="7"/>
  <c r="R179" i="7"/>
  <c r="Q179" i="7"/>
  <c r="P179" i="7"/>
  <c r="T178" i="7"/>
  <c r="S178" i="7"/>
  <c r="R178" i="7"/>
  <c r="Q178" i="7"/>
  <c r="P178" i="7"/>
  <c r="T177" i="7"/>
  <c r="S177" i="7"/>
  <c r="R177" i="7"/>
  <c r="Q177" i="7"/>
  <c r="P177" i="7"/>
  <c r="T176" i="7"/>
  <c r="S176" i="7"/>
  <c r="R176" i="7"/>
  <c r="Q176" i="7"/>
  <c r="P176" i="7"/>
  <c r="T175" i="7"/>
  <c r="S175" i="7"/>
  <c r="R175" i="7"/>
  <c r="Q175" i="7"/>
  <c r="P175" i="7"/>
  <c r="T174" i="7"/>
  <c r="S174" i="7"/>
  <c r="R174" i="7"/>
  <c r="Q174" i="7"/>
  <c r="P174" i="7"/>
  <c r="O174" i="7"/>
  <c r="T173" i="7"/>
  <c r="S173" i="7"/>
  <c r="R173" i="7"/>
  <c r="Q173" i="7"/>
  <c r="P173" i="7"/>
  <c r="T172" i="7"/>
  <c r="S172" i="7"/>
  <c r="R172" i="7"/>
  <c r="Q172" i="7"/>
  <c r="P172" i="7"/>
  <c r="O172" i="7"/>
  <c r="T171" i="7"/>
  <c r="S171" i="7"/>
  <c r="R171" i="7"/>
  <c r="Q171" i="7"/>
  <c r="P171" i="7"/>
  <c r="T170" i="7"/>
  <c r="S170" i="7"/>
  <c r="R170" i="7"/>
  <c r="Q170" i="7"/>
  <c r="P170" i="7"/>
  <c r="S169" i="7"/>
  <c r="R169" i="7"/>
  <c r="Q169" i="7"/>
  <c r="P169" i="7"/>
  <c r="S168" i="7"/>
  <c r="R168" i="7"/>
  <c r="Q168" i="7"/>
  <c r="P168" i="7"/>
  <c r="T167" i="7"/>
  <c r="R167" i="7"/>
  <c r="Q167" i="7"/>
  <c r="P167" i="7"/>
  <c r="T166" i="7"/>
  <c r="S166" i="7"/>
  <c r="R166" i="7"/>
  <c r="Q166" i="7"/>
  <c r="P166" i="7"/>
  <c r="T165" i="7"/>
  <c r="S165" i="7"/>
  <c r="R165" i="7"/>
  <c r="Q165" i="7"/>
  <c r="P165" i="7"/>
  <c r="T164" i="7"/>
  <c r="S164" i="7"/>
  <c r="R164" i="7"/>
  <c r="Q164" i="7"/>
  <c r="P164" i="7"/>
  <c r="T163" i="7"/>
  <c r="S163" i="7"/>
  <c r="R163" i="7"/>
  <c r="Q163" i="7"/>
  <c r="P163" i="7"/>
  <c r="T162" i="7"/>
  <c r="S162" i="7"/>
  <c r="R162" i="7"/>
  <c r="Q162" i="7"/>
  <c r="P162" i="7"/>
  <c r="T161" i="7"/>
  <c r="S161" i="7"/>
  <c r="R161" i="7"/>
  <c r="Q161" i="7"/>
  <c r="P161" i="7"/>
  <c r="O161" i="7"/>
  <c r="T160" i="7"/>
  <c r="S160" i="7"/>
  <c r="R160" i="7"/>
  <c r="Q160" i="7"/>
  <c r="P160" i="7"/>
  <c r="O160" i="7"/>
  <c r="T159" i="7"/>
  <c r="S159" i="7"/>
  <c r="R159" i="7"/>
  <c r="Q159" i="7"/>
  <c r="P159" i="7"/>
  <c r="O159" i="7"/>
  <c r="T158" i="7"/>
  <c r="S158" i="7"/>
  <c r="R158" i="7"/>
  <c r="Q158" i="7"/>
  <c r="P158" i="7"/>
  <c r="O158" i="7"/>
  <c r="T157" i="7"/>
  <c r="S157" i="7"/>
  <c r="R157" i="7"/>
  <c r="Q157" i="7"/>
  <c r="P157" i="7"/>
  <c r="T156" i="7"/>
  <c r="S156" i="7"/>
  <c r="R156" i="7"/>
  <c r="Q156" i="7"/>
  <c r="P156" i="7"/>
  <c r="T155" i="7"/>
  <c r="S155" i="7"/>
  <c r="R155" i="7"/>
  <c r="Q155" i="7"/>
  <c r="P155" i="7"/>
  <c r="T154" i="7"/>
  <c r="S154" i="7"/>
  <c r="R154" i="7"/>
  <c r="Q154" i="7"/>
  <c r="P154" i="7"/>
  <c r="T153" i="7"/>
  <c r="S153" i="7"/>
  <c r="R153" i="7"/>
  <c r="Q153" i="7"/>
  <c r="P153" i="7"/>
  <c r="T152" i="7"/>
  <c r="S152" i="7"/>
  <c r="R152" i="7"/>
  <c r="Q152" i="7"/>
  <c r="P152" i="7"/>
  <c r="S151" i="7"/>
  <c r="R151" i="7"/>
  <c r="P151" i="7"/>
  <c r="O151" i="7"/>
  <c r="S150" i="7"/>
  <c r="R150" i="7"/>
  <c r="P150" i="7"/>
  <c r="P149" i="7"/>
  <c r="O149" i="7"/>
  <c r="P148" i="7"/>
  <c r="O148" i="7"/>
  <c r="Q147" i="7"/>
  <c r="P147" i="7"/>
  <c r="Q146" i="7"/>
  <c r="P146" i="7"/>
  <c r="Q145" i="7"/>
  <c r="P145" i="7"/>
  <c r="Q144" i="7"/>
  <c r="P144" i="7"/>
  <c r="O144" i="7"/>
  <c r="Q143" i="7"/>
  <c r="P143" i="7"/>
  <c r="O143" i="7"/>
  <c r="Q142" i="7"/>
  <c r="P142" i="7"/>
  <c r="O142" i="7"/>
  <c r="Q140" i="7"/>
  <c r="P140" i="7"/>
  <c r="Q138" i="7"/>
  <c r="P138" i="7"/>
  <c r="Q137" i="7"/>
  <c r="P137" i="7"/>
  <c r="Q136" i="7"/>
  <c r="P136" i="7"/>
  <c r="Q135" i="7"/>
  <c r="P135" i="7"/>
  <c r="Q134" i="7"/>
  <c r="P134" i="7"/>
  <c r="O134" i="7"/>
  <c r="Q133" i="7"/>
  <c r="P133" i="7"/>
  <c r="Q132" i="7"/>
  <c r="P132" i="7"/>
  <c r="Q131" i="7"/>
  <c r="P131" i="7"/>
  <c r="O131" i="7"/>
  <c r="Q128" i="7"/>
  <c r="P128" i="7"/>
  <c r="Q127" i="7"/>
  <c r="P127" i="7"/>
  <c r="Q126" i="7"/>
  <c r="P126" i="7"/>
  <c r="Q125" i="7"/>
  <c r="P125" i="7"/>
  <c r="O125" i="7"/>
  <c r="Q124" i="7"/>
  <c r="P124" i="7"/>
  <c r="Q122" i="7"/>
  <c r="P122" i="7"/>
  <c r="Q121" i="7"/>
  <c r="P121" i="7"/>
  <c r="Q120" i="7"/>
  <c r="P120" i="7"/>
  <c r="Q119" i="7"/>
  <c r="P119" i="7"/>
  <c r="O119" i="7"/>
  <c r="P118" i="7"/>
  <c r="P117" i="7"/>
  <c r="Q116" i="7"/>
  <c r="P116" i="7"/>
  <c r="Q115" i="7"/>
  <c r="P115" i="7"/>
  <c r="Q114" i="7"/>
  <c r="P114" i="7"/>
  <c r="Q113" i="7"/>
  <c r="P113" i="7"/>
  <c r="Q112" i="7"/>
  <c r="P112" i="7"/>
  <c r="Q111" i="7"/>
  <c r="P111" i="7"/>
  <c r="O111" i="7"/>
  <c r="Q110" i="7"/>
  <c r="P110" i="7"/>
  <c r="O110" i="7"/>
  <c r="Q109" i="7"/>
  <c r="P109" i="7"/>
  <c r="O109" i="7"/>
  <c r="Q108" i="7"/>
  <c r="P108" i="7"/>
  <c r="Q107" i="7"/>
  <c r="P107" i="7"/>
  <c r="O107" i="7"/>
  <c r="Q106" i="7"/>
  <c r="P106" i="7"/>
  <c r="T105" i="7"/>
  <c r="S105" i="7"/>
  <c r="Q105" i="7"/>
  <c r="P105" i="7"/>
  <c r="O105" i="7"/>
  <c r="Q104" i="7"/>
  <c r="P104" i="7"/>
  <c r="Q103" i="7"/>
  <c r="P103" i="7"/>
  <c r="Q102" i="7"/>
  <c r="P102" i="7"/>
  <c r="Q100" i="7"/>
  <c r="P100" i="7"/>
  <c r="Q98" i="7"/>
  <c r="P98" i="7"/>
  <c r="O98" i="7"/>
  <c r="P97" i="7"/>
  <c r="O97" i="7"/>
  <c r="Q96" i="7"/>
  <c r="P96" i="7"/>
  <c r="Q95" i="7"/>
  <c r="P95" i="7"/>
  <c r="O95" i="7"/>
  <c r="Q94" i="7"/>
  <c r="P94" i="7"/>
  <c r="O94" i="7"/>
  <c r="Q93" i="7"/>
  <c r="P93" i="7"/>
  <c r="Q92" i="7"/>
  <c r="P92" i="7"/>
  <c r="O92" i="7"/>
  <c r="Q91" i="7"/>
  <c r="P91" i="7"/>
  <c r="Q90" i="7"/>
  <c r="P90" i="7"/>
  <c r="Q89" i="7"/>
  <c r="P89" i="7"/>
  <c r="O89" i="7"/>
  <c r="Q88" i="7"/>
  <c r="P88" i="7"/>
  <c r="O88" i="7"/>
  <c r="Q87" i="7"/>
  <c r="P87" i="7"/>
  <c r="O87" i="7"/>
  <c r="Q86" i="7"/>
  <c r="P86" i="7"/>
  <c r="Q85" i="7"/>
  <c r="P85" i="7"/>
  <c r="O85" i="7"/>
  <c r="Q84" i="7"/>
  <c r="P84" i="7"/>
  <c r="Q82" i="7"/>
  <c r="P82" i="7"/>
  <c r="O82" i="7"/>
  <c r="Q81" i="7"/>
  <c r="P81" i="7"/>
  <c r="O81" i="7"/>
  <c r="P80" i="7"/>
  <c r="P79" i="7"/>
  <c r="Q78" i="7"/>
  <c r="P78" i="7"/>
  <c r="O78" i="7"/>
  <c r="Q77" i="7"/>
  <c r="P77" i="7"/>
  <c r="O77" i="7"/>
  <c r="Q76" i="7"/>
  <c r="P76" i="7"/>
  <c r="O76" i="7"/>
  <c r="Q75" i="7"/>
  <c r="P75" i="7"/>
  <c r="O75" i="7"/>
  <c r="Q74" i="7"/>
  <c r="P74" i="7"/>
  <c r="O74" i="7"/>
  <c r="Q73" i="7"/>
  <c r="P73" i="7"/>
  <c r="O73" i="7"/>
  <c r="Q72" i="7"/>
  <c r="P72" i="7"/>
  <c r="Q71" i="7"/>
  <c r="P71" i="7"/>
  <c r="O71" i="7"/>
  <c r="Q70" i="7"/>
  <c r="P70" i="7"/>
  <c r="O70" i="7"/>
  <c r="Q69" i="7"/>
  <c r="P69" i="7"/>
  <c r="O69" i="7"/>
  <c r="Q68" i="7"/>
  <c r="P68" i="7"/>
  <c r="O68" i="7"/>
  <c r="Q67" i="7"/>
  <c r="P67" i="7"/>
  <c r="O67" i="7"/>
  <c r="Q66" i="7"/>
  <c r="P66" i="7"/>
  <c r="O65" i="7"/>
  <c r="Q64" i="7"/>
  <c r="P64" i="7"/>
  <c r="P63" i="7"/>
  <c r="O63" i="7"/>
  <c r="Q62" i="7"/>
  <c r="P62" i="7"/>
  <c r="Q61" i="7"/>
  <c r="P61" i="7"/>
  <c r="P60" i="7"/>
  <c r="Q59" i="7"/>
  <c r="P59" i="7"/>
  <c r="Q58" i="7"/>
  <c r="P58" i="7"/>
  <c r="Q57" i="7"/>
  <c r="P57" i="7"/>
  <c r="Q56" i="7"/>
  <c r="P56" i="7"/>
  <c r="Q55" i="7"/>
  <c r="P55" i="7"/>
  <c r="Q54" i="7"/>
  <c r="P54" i="7"/>
  <c r="Q53" i="7"/>
  <c r="P53" i="7"/>
  <c r="Q52" i="7"/>
  <c r="P52" i="7"/>
  <c r="Q50" i="7"/>
  <c r="P50" i="7"/>
  <c r="Q49" i="7"/>
  <c r="P49" i="7"/>
  <c r="Q48" i="7"/>
  <c r="P48" i="7"/>
  <c r="Q47" i="7"/>
  <c r="P47" i="7"/>
  <c r="Q46" i="7"/>
  <c r="P46" i="7"/>
  <c r="Q45" i="7"/>
  <c r="P45" i="7"/>
  <c r="Q43" i="7"/>
  <c r="P43" i="7"/>
  <c r="P42" i="7"/>
  <c r="Q41" i="7"/>
  <c r="P41" i="7"/>
  <c r="Q40" i="7"/>
  <c r="P40" i="7"/>
  <c r="Q39" i="7"/>
  <c r="P39" i="7"/>
  <c r="Q38" i="7"/>
  <c r="P38" i="7"/>
  <c r="Q37" i="7"/>
  <c r="P37" i="7"/>
  <c r="Q36" i="7"/>
  <c r="P36" i="7"/>
  <c r="Q35" i="7"/>
  <c r="P35" i="7"/>
  <c r="Q34" i="7"/>
  <c r="P34" i="7"/>
  <c r="Q33" i="7"/>
  <c r="P33" i="7"/>
  <c r="O33" i="7"/>
  <c r="Q32" i="7"/>
  <c r="P32" i="7"/>
  <c r="Q31" i="7"/>
  <c r="P31" i="7"/>
  <c r="Q30" i="7"/>
  <c r="P30" i="7"/>
  <c r="Q29" i="7"/>
  <c r="P29" i="7"/>
  <c r="Q28" i="7"/>
  <c r="P28" i="7"/>
  <c r="Q27" i="7"/>
  <c r="P27" i="7"/>
  <c r="Q26" i="7"/>
  <c r="P26" i="7"/>
  <c r="Q25" i="7"/>
  <c r="P25" i="7"/>
  <c r="Q24" i="7"/>
  <c r="P24" i="7"/>
  <c r="Q23" i="7"/>
  <c r="P23" i="7"/>
  <c r="P22" i="7"/>
  <c r="Q21" i="7"/>
  <c r="P21" i="7"/>
  <c r="P20" i="7"/>
  <c r="Q19" i="7"/>
  <c r="P19" i="7"/>
  <c r="Q17" i="7"/>
  <c r="P17" i="7"/>
  <c r="Q16" i="7"/>
  <c r="P16" i="7"/>
  <c r="Q15" i="7"/>
  <c r="P15" i="7"/>
  <c r="Q14" i="7"/>
  <c r="P14" i="7"/>
  <c r="Q13" i="7"/>
  <c r="P13" i="7"/>
  <c r="Q12" i="7"/>
  <c r="P12" i="7"/>
  <c r="Q11" i="7"/>
  <c r="P11" i="7"/>
  <c r="Q10" i="7"/>
  <c r="P10" i="7"/>
  <c r="Q9" i="7"/>
  <c r="P9" i="7"/>
  <c r="Q8" i="7"/>
  <c r="P8" i="7"/>
  <c r="Q7" i="7"/>
  <c r="P7" i="7"/>
  <c r="Q6" i="7"/>
  <c r="P6" i="7"/>
  <c r="Q5" i="7"/>
  <c r="P5" i="7"/>
  <c r="Q4" i="7"/>
  <c r="P4" i="7"/>
  <c r="B558" i="6"/>
  <c r="B557" i="6"/>
  <c r="B556" i="6"/>
  <c r="B555" i="6"/>
  <c r="B554" i="6"/>
  <c r="B553" i="6"/>
  <c r="B552" i="6"/>
  <c r="B551" i="6"/>
  <c r="B550" i="6"/>
  <c r="B549" i="6"/>
  <c r="B548" i="6"/>
  <c r="B547" i="6"/>
  <c r="B546" i="6"/>
  <c r="B545" i="6"/>
  <c r="B544" i="6"/>
  <c r="B543" i="6"/>
  <c r="B542" i="6"/>
  <c r="B541" i="6"/>
  <c r="B540" i="6"/>
  <c r="B539" i="6"/>
  <c r="B538" i="6"/>
  <c r="B537" i="6"/>
  <c r="B536" i="6"/>
  <c r="B535" i="6"/>
  <c r="B534" i="6"/>
  <c r="B533" i="6"/>
  <c r="B532" i="6"/>
  <c r="B531" i="6"/>
  <c r="B530" i="6"/>
  <c r="B529" i="6"/>
  <c r="B528" i="6"/>
  <c r="B527" i="6"/>
  <c r="B526" i="6"/>
  <c r="B525" i="6"/>
  <c r="B524" i="6"/>
  <c r="B523" i="6"/>
  <c r="B522" i="6"/>
  <c r="B521" i="6"/>
  <c r="B520" i="6"/>
  <c r="B519" i="6"/>
  <c r="B518" i="6"/>
  <c r="B517" i="6"/>
  <c r="B516" i="6"/>
  <c r="B515" i="6"/>
  <c r="B514" i="6"/>
  <c r="B513" i="6"/>
  <c r="B512" i="6"/>
  <c r="B511" i="6"/>
  <c r="B510" i="6"/>
  <c r="B509" i="6"/>
  <c r="B508" i="6"/>
  <c r="B507" i="6"/>
  <c r="B506" i="6"/>
  <c r="B505" i="6"/>
  <c r="B504" i="6"/>
  <c r="B503" i="6"/>
  <c r="B502" i="6"/>
  <c r="B501" i="6"/>
  <c r="B500" i="6"/>
  <c r="B499" i="6"/>
  <c r="B498" i="6"/>
  <c r="B497" i="6"/>
  <c r="B496" i="6"/>
  <c r="B495" i="6"/>
  <c r="B494" i="6"/>
  <c r="B493" i="6"/>
  <c r="B492" i="6"/>
  <c r="B491" i="6"/>
  <c r="B490" i="6"/>
  <c r="B489" i="6"/>
  <c r="B488" i="6"/>
  <c r="B487" i="6"/>
  <c r="B486" i="6"/>
  <c r="B485" i="6"/>
  <c r="B484" i="6"/>
  <c r="B483" i="6"/>
  <c r="B482" i="6"/>
  <c r="B481" i="6"/>
  <c r="B480" i="6"/>
  <c r="B479" i="6"/>
  <c r="B478" i="6"/>
  <c r="B477" i="6"/>
  <c r="B476" i="6"/>
  <c r="B475" i="6"/>
  <c r="B474" i="6"/>
  <c r="B473" i="6"/>
  <c r="B472" i="6"/>
  <c r="B471" i="6"/>
  <c r="B470" i="6"/>
  <c r="B469" i="6"/>
  <c r="B468" i="6"/>
  <c r="B467" i="6"/>
  <c r="B466" i="6"/>
  <c r="B465" i="6"/>
  <c r="B464" i="6"/>
  <c r="B463" i="6"/>
  <c r="B462" i="6"/>
  <c r="B461" i="6"/>
  <c r="B460" i="6"/>
  <c r="B459" i="6"/>
  <c r="B458" i="6"/>
  <c r="B457" i="6"/>
  <c r="B456" i="6"/>
  <c r="B455" i="6"/>
  <c r="B454" i="6"/>
  <c r="B453" i="6"/>
  <c r="B452" i="6"/>
  <c r="B451" i="6"/>
  <c r="B450" i="6"/>
  <c r="B449" i="6"/>
  <c r="B448" i="6"/>
  <c r="B447" i="6"/>
  <c r="B446" i="6"/>
  <c r="B445" i="6"/>
  <c r="B444" i="6"/>
  <c r="B443" i="6"/>
  <c r="B442" i="6"/>
  <c r="B441" i="6"/>
  <c r="B440" i="6"/>
  <c r="B439" i="6"/>
  <c r="B438" i="6"/>
  <c r="B437" i="6"/>
  <c r="B436" i="6"/>
  <c r="B435" i="6"/>
  <c r="B434" i="6"/>
  <c r="B433" i="6"/>
  <c r="B432" i="6"/>
  <c r="B431" i="6"/>
  <c r="B430" i="6"/>
  <c r="B429" i="6"/>
  <c r="B428" i="6"/>
  <c r="B427" i="6"/>
  <c r="B426" i="6"/>
  <c r="B425" i="6"/>
  <c r="B424" i="6"/>
  <c r="B423" i="6"/>
  <c r="B422" i="6"/>
  <c r="B421" i="6"/>
  <c r="M420" i="6"/>
  <c r="B420" i="6"/>
  <c r="B419" i="6"/>
  <c r="B418" i="6"/>
  <c r="B417" i="6"/>
  <c r="B416" i="6"/>
  <c r="B415" i="6"/>
  <c r="B414" i="6"/>
  <c r="B413" i="6"/>
  <c r="B412" i="6"/>
  <c r="B411" i="6"/>
  <c r="B410" i="6"/>
  <c r="B409" i="6"/>
  <c r="B408" i="6"/>
  <c r="B407" i="6"/>
  <c r="B406" i="6"/>
  <c r="B405" i="6"/>
  <c r="B404" i="6"/>
  <c r="M403" i="6"/>
  <c r="L403" i="6"/>
  <c r="K403" i="6"/>
  <c r="J403" i="6"/>
  <c r="B403" i="6"/>
  <c r="B402" i="6"/>
  <c r="M401" i="6"/>
  <c r="L401" i="6"/>
  <c r="K401" i="6"/>
  <c r="J401" i="6"/>
  <c r="B401" i="6"/>
  <c r="B400" i="6"/>
  <c r="B399" i="6"/>
  <c r="B398" i="6"/>
  <c r="B397" i="6"/>
  <c r="B396" i="6"/>
  <c r="B395" i="6"/>
  <c r="M394" i="6"/>
  <c r="L394" i="6"/>
  <c r="K394" i="6"/>
  <c r="J394" i="6"/>
  <c r="B394" i="6"/>
  <c r="M393" i="6"/>
  <c r="L393" i="6"/>
  <c r="K393" i="6"/>
  <c r="J393" i="6"/>
  <c r="B393" i="6"/>
  <c r="M392" i="6"/>
  <c r="K392" i="6"/>
  <c r="J392" i="6"/>
  <c r="B392" i="6"/>
  <c r="M391" i="6"/>
  <c r="K391" i="6"/>
  <c r="J391" i="6"/>
  <c r="B391" i="6"/>
  <c r="M390" i="6"/>
  <c r="L390" i="6"/>
  <c r="K390" i="6"/>
  <c r="J390" i="6"/>
  <c r="B390" i="6"/>
  <c r="M389" i="6"/>
  <c r="L389" i="6"/>
  <c r="K389" i="6"/>
  <c r="J389" i="6"/>
  <c r="B389" i="6"/>
  <c r="B388" i="6"/>
  <c r="B387" i="6"/>
  <c r="B386" i="6"/>
  <c r="B385" i="6"/>
  <c r="B384" i="6"/>
  <c r="B383" i="6"/>
  <c r="B382" i="6"/>
  <c r="M381" i="6"/>
  <c r="L381" i="6"/>
  <c r="K381" i="6"/>
  <c r="J381" i="6"/>
  <c r="B381" i="6"/>
  <c r="M380" i="6"/>
  <c r="L380" i="6"/>
  <c r="K380" i="6"/>
  <c r="J380" i="6"/>
  <c r="B380" i="6"/>
  <c r="M379" i="6"/>
  <c r="L379" i="6"/>
  <c r="K379" i="6"/>
  <c r="J379" i="6"/>
  <c r="B379" i="6"/>
  <c r="B378" i="6"/>
  <c r="M377" i="6"/>
  <c r="L377" i="6"/>
  <c r="K377" i="6"/>
  <c r="J377" i="6"/>
  <c r="B377" i="6"/>
  <c r="M376" i="6"/>
  <c r="L376" i="6"/>
  <c r="K376" i="6"/>
  <c r="J376" i="6"/>
  <c r="B376" i="6"/>
  <c r="M375" i="6"/>
  <c r="L375" i="6"/>
  <c r="K375" i="6"/>
  <c r="J375" i="6"/>
  <c r="B375" i="6"/>
  <c r="M374" i="6"/>
  <c r="L374" i="6"/>
  <c r="K374" i="6"/>
  <c r="J374"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M341" i="6"/>
  <c r="L341" i="6"/>
  <c r="K341" i="6"/>
  <c r="J341" i="6"/>
  <c r="B341" i="6"/>
  <c r="M340" i="6"/>
  <c r="L340" i="6"/>
  <c r="K340" i="6"/>
  <c r="J340" i="6"/>
  <c r="B340" i="6"/>
  <c r="M339" i="6"/>
  <c r="L339" i="6"/>
  <c r="K339" i="6"/>
  <c r="J339" i="6"/>
  <c r="B339" i="6"/>
  <c r="M338" i="6"/>
  <c r="L338" i="6"/>
  <c r="K338" i="6"/>
  <c r="J338" i="6"/>
  <c r="B338" i="6"/>
  <c r="M337" i="6"/>
  <c r="L337" i="6"/>
  <c r="K337" i="6"/>
  <c r="J337" i="6"/>
  <c r="B337" i="6"/>
  <c r="M336" i="6"/>
  <c r="L336" i="6"/>
  <c r="K336" i="6"/>
  <c r="J336" i="6"/>
  <c r="B336" i="6"/>
  <c r="B335" i="6"/>
  <c r="B334" i="6"/>
  <c r="B333" i="6"/>
  <c r="B332" i="6"/>
  <c r="B331" i="6"/>
  <c r="B330" i="6"/>
  <c r="B329" i="6"/>
  <c r="M328" i="6"/>
  <c r="L328" i="6"/>
  <c r="K328" i="6"/>
  <c r="J328" i="6"/>
  <c r="B328" i="6"/>
  <c r="M327" i="6"/>
  <c r="L327" i="6"/>
  <c r="K327" i="6"/>
  <c r="J327" i="6"/>
  <c r="B327" i="6"/>
  <c r="M326" i="6"/>
  <c r="L326" i="6"/>
  <c r="K326" i="6"/>
  <c r="J326" i="6"/>
  <c r="B326" i="6"/>
  <c r="M325" i="6"/>
  <c r="L325" i="6"/>
  <c r="K325" i="6"/>
  <c r="J325" i="6"/>
  <c r="B325" i="6"/>
  <c r="B324" i="6"/>
  <c r="M323" i="6"/>
  <c r="L323" i="6"/>
  <c r="K323" i="6"/>
  <c r="J323" i="6"/>
  <c r="B323" i="6"/>
  <c r="M322" i="6"/>
  <c r="L322" i="6"/>
  <c r="K322" i="6"/>
  <c r="J322" i="6"/>
  <c r="B322" i="6"/>
  <c r="L321" i="6"/>
  <c r="K321" i="6"/>
  <c r="J321" i="6"/>
  <c r="B321" i="6"/>
  <c r="M320" i="6"/>
  <c r="L320" i="6"/>
  <c r="K320" i="6"/>
  <c r="J320" i="6"/>
  <c r="B320" i="6"/>
  <c r="M319" i="6"/>
  <c r="L319" i="6"/>
  <c r="K319" i="6"/>
  <c r="J319" i="6"/>
  <c r="B319" i="6"/>
  <c r="M318" i="6"/>
  <c r="L318" i="6"/>
  <c r="K318" i="6"/>
  <c r="J318" i="6"/>
  <c r="B318" i="6"/>
  <c r="M317" i="6"/>
  <c r="L317" i="6"/>
  <c r="K317" i="6"/>
  <c r="J317"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M275" i="6"/>
  <c r="L275" i="6"/>
  <c r="K275" i="6"/>
  <c r="J275" i="6"/>
  <c r="B275" i="6"/>
  <c r="B274" i="6"/>
  <c r="B273" i="6"/>
  <c r="B272" i="6"/>
  <c r="B271" i="6"/>
  <c r="B270" i="6"/>
  <c r="M269" i="6"/>
  <c r="L269" i="6"/>
  <c r="K269" i="6"/>
  <c r="J269" i="6"/>
  <c r="B269" i="6"/>
  <c r="M268" i="6"/>
  <c r="L268" i="6"/>
  <c r="K268" i="6"/>
  <c r="J268" i="6"/>
  <c r="B268" i="6"/>
  <c r="M267" i="6"/>
  <c r="L267" i="6"/>
  <c r="K267" i="6"/>
  <c r="J267" i="6"/>
  <c r="B267" i="6"/>
  <c r="M266" i="6"/>
  <c r="L266" i="6"/>
  <c r="K266" i="6"/>
  <c r="J266" i="6"/>
  <c r="B266" i="6"/>
  <c r="M265" i="6"/>
  <c r="L265" i="6"/>
  <c r="K265" i="6"/>
  <c r="J265" i="6"/>
  <c r="B265" i="6"/>
  <c r="M264" i="6"/>
  <c r="L264" i="6"/>
  <c r="K264" i="6"/>
  <c r="J264" i="6"/>
  <c r="B264" i="6"/>
  <c r="B263" i="6"/>
  <c r="M262" i="6"/>
  <c r="L262" i="6"/>
  <c r="K262" i="6"/>
  <c r="J262" i="6"/>
  <c r="B262" i="6"/>
  <c r="M261" i="6"/>
  <c r="L261" i="6"/>
  <c r="K261" i="6"/>
  <c r="J261" i="6"/>
  <c r="B261" i="6"/>
  <c r="M260" i="6"/>
  <c r="L260" i="6"/>
  <c r="K260" i="6"/>
  <c r="J260" i="6"/>
  <c r="B260" i="6"/>
  <c r="M259" i="6"/>
  <c r="L259" i="6"/>
  <c r="K259" i="6"/>
  <c r="J259" i="6"/>
  <c r="B259" i="6"/>
  <c r="M258" i="6"/>
  <c r="L258" i="6"/>
  <c r="K258" i="6"/>
  <c r="J258" i="6"/>
  <c r="B258" i="6"/>
  <c r="B257" i="6"/>
  <c r="M256" i="6"/>
  <c r="L256" i="6"/>
  <c r="K256" i="6"/>
  <c r="J256" i="6"/>
  <c r="B256" i="6"/>
  <c r="M255" i="6"/>
  <c r="L255" i="6"/>
  <c r="K255" i="6"/>
  <c r="J255" i="6"/>
  <c r="B255" i="6"/>
  <c r="B254" i="6"/>
  <c r="B253" i="6"/>
  <c r="B252" i="6"/>
  <c r="B251" i="6"/>
  <c r="B250" i="6"/>
  <c r="M249" i="6"/>
  <c r="L249" i="6"/>
  <c r="K249" i="6"/>
  <c r="J249" i="6"/>
  <c r="B249" i="6"/>
  <c r="B248" i="6"/>
  <c r="M247" i="6"/>
  <c r="L247" i="6"/>
  <c r="K247" i="6"/>
  <c r="J247" i="6"/>
  <c r="B247" i="6"/>
  <c r="M246" i="6"/>
  <c r="L246" i="6"/>
  <c r="K246" i="6"/>
  <c r="J246" i="6"/>
  <c r="B246" i="6"/>
  <c r="M245" i="6"/>
  <c r="L245" i="6"/>
  <c r="K245" i="6"/>
  <c r="J245" i="6"/>
  <c r="B245" i="6"/>
  <c r="M244" i="6"/>
  <c r="L244" i="6"/>
  <c r="K244" i="6"/>
  <c r="J244" i="6"/>
  <c r="B244" i="6"/>
  <c r="M243" i="6"/>
  <c r="L243" i="6"/>
  <c r="K243" i="6"/>
  <c r="J243" i="6"/>
  <c r="B243" i="6"/>
  <c r="M242" i="6"/>
  <c r="L242" i="6"/>
  <c r="K242" i="6"/>
  <c r="J242" i="6"/>
  <c r="B242" i="6"/>
  <c r="M241" i="6"/>
  <c r="L241" i="6"/>
  <c r="K241" i="6"/>
  <c r="J241" i="6"/>
  <c r="B241" i="6"/>
  <c r="B240" i="6"/>
  <c r="B239" i="6"/>
  <c r="B238" i="6"/>
  <c r="B237" i="6"/>
  <c r="B236" i="6"/>
  <c r="B235" i="6"/>
  <c r="B234" i="6"/>
  <c r="B233" i="6"/>
  <c r="B232" i="6"/>
  <c r="B231" i="6"/>
  <c r="B230" i="6"/>
  <c r="M229" i="6"/>
  <c r="L229" i="6"/>
  <c r="J229" i="6"/>
  <c r="B229" i="6"/>
  <c r="B228" i="6"/>
  <c r="M227" i="6"/>
  <c r="L227" i="6"/>
  <c r="J227" i="6"/>
  <c r="B227" i="6"/>
  <c r="B226" i="6"/>
  <c r="B225" i="6"/>
  <c r="B224" i="6"/>
  <c r="B223" i="6"/>
  <c r="B222" i="6"/>
  <c r="B221" i="6"/>
  <c r="B220" i="6"/>
  <c r="B219" i="6"/>
  <c r="B218" i="6"/>
  <c r="M217" i="6"/>
  <c r="L217" i="6"/>
  <c r="J217" i="6"/>
  <c r="B217" i="6"/>
  <c r="M216" i="6"/>
  <c r="L216" i="6"/>
  <c r="J216" i="6"/>
  <c r="B216" i="6"/>
  <c r="M215" i="6"/>
  <c r="L215" i="6"/>
  <c r="J215" i="6"/>
  <c r="B215" i="6"/>
  <c r="M214" i="6"/>
  <c r="L214" i="6"/>
  <c r="J214" i="6"/>
  <c r="B214" i="6"/>
  <c r="M213" i="6"/>
  <c r="L213" i="6"/>
  <c r="J213" i="6"/>
  <c r="B213" i="6"/>
  <c r="M212" i="6"/>
  <c r="L212" i="6"/>
  <c r="J212" i="6"/>
  <c r="B212" i="6"/>
  <c r="B211" i="6"/>
  <c r="B210" i="6"/>
  <c r="B209" i="6"/>
  <c r="B208" i="6"/>
  <c r="B207" i="6"/>
  <c r="B206" i="6"/>
  <c r="B205" i="6"/>
  <c r="M204" i="6"/>
  <c r="L204" i="6"/>
  <c r="J204" i="6"/>
  <c r="B204" i="6"/>
  <c r="M203" i="6"/>
  <c r="L203" i="6"/>
  <c r="J203" i="6"/>
  <c r="B203" i="6"/>
  <c r="M202" i="6"/>
  <c r="L202" i="6"/>
  <c r="J202" i="6"/>
  <c r="B202" i="6"/>
  <c r="M201" i="6"/>
  <c r="L201" i="6"/>
  <c r="J201" i="6"/>
  <c r="B201" i="6"/>
  <c r="M200" i="6"/>
  <c r="L200" i="6"/>
  <c r="J200" i="6"/>
  <c r="B200" i="6"/>
  <c r="M199" i="6"/>
  <c r="L199" i="6"/>
  <c r="J199" i="6"/>
  <c r="B199" i="6"/>
  <c r="M198" i="6"/>
  <c r="L198" i="6"/>
  <c r="J198" i="6"/>
  <c r="B198" i="6"/>
  <c r="M197" i="6"/>
  <c r="L197" i="6"/>
  <c r="J197" i="6"/>
  <c r="B197" i="6"/>
  <c r="M196" i="6"/>
  <c r="L196" i="6"/>
  <c r="J196" i="6"/>
  <c r="B196" i="6"/>
  <c r="B195" i="6"/>
  <c r="M194" i="6"/>
  <c r="L194" i="6"/>
  <c r="J194" i="6"/>
  <c r="B194" i="6"/>
  <c r="M193" i="6"/>
  <c r="L193" i="6"/>
  <c r="J193" i="6"/>
  <c r="B193" i="6"/>
  <c r="M192" i="6"/>
  <c r="L192" i="6"/>
  <c r="J192" i="6"/>
  <c r="B192" i="6"/>
  <c r="M191" i="6"/>
  <c r="L191" i="6"/>
  <c r="J191" i="6"/>
  <c r="B191" i="6"/>
  <c r="M190" i="6"/>
  <c r="L190" i="6"/>
  <c r="J190" i="6"/>
  <c r="B190" i="6"/>
  <c r="M189" i="6"/>
  <c r="L189" i="6"/>
  <c r="J189" i="6"/>
  <c r="B189" i="6"/>
  <c r="M188" i="6"/>
  <c r="L188" i="6"/>
  <c r="J188" i="6"/>
  <c r="B188" i="6"/>
  <c r="M187" i="6"/>
  <c r="L187" i="6"/>
  <c r="J187" i="6"/>
  <c r="B187" i="6"/>
  <c r="B186" i="6"/>
  <c r="M185" i="6"/>
  <c r="L185" i="6"/>
  <c r="J185" i="6"/>
  <c r="B185" i="6"/>
  <c r="M184" i="6"/>
  <c r="L184" i="6"/>
  <c r="J184" i="6"/>
  <c r="B184" i="6"/>
  <c r="M183" i="6"/>
  <c r="L183" i="6"/>
  <c r="J183" i="6"/>
  <c r="B183" i="6"/>
  <c r="M182" i="6"/>
  <c r="L182" i="6"/>
  <c r="J182" i="6"/>
  <c r="B182" i="6"/>
  <c r="B181" i="6"/>
  <c r="M180" i="6"/>
  <c r="L180" i="6"/>
  <c r="J180" i="6"/>
  <c r="B180" i="6"/>
  <c r="M179" i="6"/>
  <c r="L179" i="6"/>
  <c r="J179" i="6"/>
  <c r="B179" i="6"/>
  <c r="B178" i="6"/>
  <c r="M177" i="6"/>
  <c r="L177" i="6"/>
  <c r="J177" i="6"/>
  <c r="B177" i="6"/>
  <c r="M176" i="6"/>
  <c r="L176" i="6"/>
  <c r="J176" i="6"/>
  <c r="B176" i="6"/>
  <c r="M175" i="6"/>
  <c r="L175" i="6"/>
  <c r="J175" i="6"/>
  <c r="B175" i="6"/>
  <c r="M174" i="6"/>
  <c r="L174" i="6"/>
  <c r="J174" i="6"/>
  <c r="B174" i="6"/>
  <c r="M173" i="6"/>
  <c r="L173" i="6"/>
  <c r="J173" i="6"/>
  <c r="B173" i="6"/>
  <c r="M172" i="6"/>
  <c r="L172" i="6"/>
  <c r="J172" i="6"/>
  <c r="B172" i="6"/>
  <c r="B171" i="6"/>
  <c r="B170" i="6"/>
  <c r="B169" i="6"/>
  <c r="B168" i="6"/>
  <c r="B167" i="6"/>
  <c r="B166" i="6"/>
  <c r="B165" i="6"/>
  <c r="B164" i="6"/>
  <c r="B163" i="6"/>
  <c r="B162"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M127" i="6"/>
  <c r="L127" i="6"/>
  <c r="J127" i="6"/>
  <c r="B127" i="6"/>
  <c r="M126" i="6"/>
  <c r="L126" i="6"/>
  <c r="J126" i="6"/>
  <c r="B126" i="6"/>
  <c r="M125" i="6"/>
  <c r="L125" i="6"/>
  <c r="J125" i="6"/>
  <c r="B125" i="6"/>
  <c r="M124" i="6"/>
  <c r="L124" i="6"/>
  <c r="J124" i="6"/>
  <c r="B124" i="6"/>
  <c r="M123" i="6"/>
  <c r="L123" i="6"/>
  <c r="J123" i="6"/>
  <c r="B123" i="6"/>
  <c r="M122" i="6"/>
  <c r="L122" i="6"/>
  <c r="J122" i="6"/>
  <c r="B122" i="6"/>
  <c r="M121" i="6"/>
  <c r="L121" i="6"/>
  <c r="J121"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B90" i="6"/>
  <c r="B89" i="6"/>
  <c r="B88" i="6"/>
  <c r="B87" i="6"/>
  <c r="M86" i="6"/>
  <c r="L86" i="6"/>
  <c r="J86" i="6"/>
  <c r="B86" i="6"/>
  <c r="M85" i="6"/>
  <c r="L85" i="6"/>
  <c r="J85" i="6"/>
  <c r="B85" i="6"/>
  <c r="M84" i="6"/>
  <c r="L84" i="6"/>
  <c r="J84" i="6"/>
  <c r="B84" i="6"/>
  <c r="M83" i="6"/>
  <c r="L83" i="6"/>
  <c r="J83" i="6"/>
  <c r="B83" i="6"/>
  <c r="M82" i="6"/>
  <c r="L82" i="6"/>
  <c r="J82" i="6"/>
  <c r="B82" i="6"/>
  <c r="M81" i="6"/>
  <c r="L81" i="6"/>
  <c r="J81" i="6"/>
  <c r="B81" i="6"/>
  <c r="B80" i="6"/>
  <c r="B79" i="6"/>
  <c r="B78" i="6"/>
  <c r="B77" i="6"/>
  <c r="B76" i="6"/>
  <c r="B75" i="6"/>
  <c r="B74" i="6"/>
  <c r="B73" i="6"/>
  <c r="B72" i="6"/>
  <c r="B71" i="6"/>
  <c r="B70" i="6"/>
  <c r="B69" i="6"/>
  <c r="B68" i="6"/>
  <c r="B67" i="6"/>
  <c r="B66" i="6"/>
  <c r="B65" i="6"/>
  <c r="M64" i="6"/>
  <c r="L64" i="6"/>
  <c r="J64" i="6"/>
  <c r="B64" i="6"/>
  <c r="B63" i="6"/>
  <c r="M62" i="6"/>
  <c r="L62" i="6"/>
  <c r="J62" i="6"/>
  <c r="B62" i="6"/>
  <c r="M61" i="6"/>
  <c r="L61" i="6"/>
  <c r="J61" i="6"/>
  <c r="B61" i="6"/>
  <c r="M60" i="6"/>
  <c r="L60" i="6"/>
  <c r="J60" i="6"/>
  <c r="B60" i="6"/>
  <c r="M59" i="6"/>
  <c r="L59" i="6"/>
  <c r="J59" i="6"/>
  <c r="B59" i="6"/>
  <c r="M58" i="6"/>
  <c r="L58" i="6"/>
  <c r="J58" i="6"/>
  <c r="B58" i="6"/>
  <c r="M57" i="6"/>
  <c r="L57" i="6"/>
  <c r="J57" i="6"/>
  <c r="B57" i="6"/>
  <c r="B56" i="6"/>
  <c r="B55" i="6"/>
  <c r="B54" i="6"/>
  <c r="B53" i="6"/>
  <c r="B52" i="6"/>
  <c r="B51" i="6"/>
  <c r="B50" i="6"/>
  <c r="B49" i="6"/>
  <c r="B48" i="6"/>
  <c r="B47" i="6"/>
  <c r="B46" i="6"/>
  <c r="B45" i="6"/>
  <c r="M44" i="6"/>
  <c r="L44" i="6"/>
  <c r="J44" i="6"/>
  <c r="B44" i="6"/>
  <c r="M43" i="6"/>
  <c r="L43" i="6"/>
  <c r="J43" i="6"/>
  <c r="B43" i="6"/>
  <c r="M42" i="6"/>
  <c r="L42" i="6"/>
  <c r="J42" i="6"/>
  <c r="B42" i="6"/>
  <c r="M41" i="6"/>
  <c r="L41" i="6"/>
  <c r="J41" i="6"/>
  <c r="B41" i="6"/>
  <c r="M40" i="6"/>
  <c r="L40" i="6"/>
  <c r="J40" i="6"/>
  <c r="B40" i="6"/>
  <c r="M39" i="6"/>
  <c r="L39" i="6"/>
  <c r="J39" i="6"/>
  <c r="B39" i="6"/>
  <c r="B38" i="6"/>
  <c r="B37" i="6"/>
  <c r="B36" i="6"/>
  <c r="B35" i="6"/>
  <c r="M34" i="6"/>
  <c r="L34" i="6"/>
  <c r="J34" i="6"/>
  <c r="B34" i="6"/>
  <c r="M33" i="6"/>
  <c r="L33" i="6"/>
  <c r="J33" i="6"/>
  <c r="B33" i="6"/>
  <c r="M32" i="6"/>
  <c r="L32" i="6"/>
  <c r="J32" i="6"/>
  <c r="B32" i="6"/>
  <c r="M31" i="6"/>
  <c r="L31" i="6"/>
  <c r="J31" i="6"/>
  <c r="B31" i="6"/>
  <c r="M30" i="6"/>
  <c r="L30" i="6"/>
  <c r="J30" i="6"/>
  <c r="B30" i="6"/>
  <c r="M29" i="6"/>
  <c r="L29" i="6"/>
  <c r="J29" i="6"/>
  <c r="B29" i="6"/>
  <c r="B28" i="6"/>
  <c r="B27" i="6"/>
  <c r="B26" i="6"/>
  <c r="B25" i="6"/>
  <c r="B24" i="6"/>
  <c r="B23" i="6"/>
  <c r="B22" i="6"/>
  <c r="B21" i="6"/>
  <c r="B20" i="6"/>
  <c r="B19" i="6"/>
  <c r="B18" i="6"/>
  <c r="B17" i="6"/>
  <c r="B16" i="6"/>
  <c r="B15" i="6"/>
  <c r="B14" i="6"/>
  <c r="B13" i="6"/>
  <c r="B12" i="6"/>
  <c r="B11" i="6"/>
  <c r="B10" i="6"/>
  <c r="B9" i="6"/>
  <c r="B8" i="6"/>
  <c r="B7" i="6"/>
  <c r="B6" i="6"/>
  <c r="B5" i="6"/>
  <c r="B4" i="6"/>
  <c r="B3" i="6"/>
  <c r="S135" i="4"/>
  <c r="R135" i="4"/>
  <c r="Q135" i="4"/>
  <c r="P135" i="4"/>
  <c r="O135" i="4"/>
  <c r="N135" i="4"/>
  <c r="S134" i="4"/>
  <c r="R134" i="4"/>
  <c r="Q134" i="4"/>
  <c r="P134" i="4"/>
  <c r="O134" i="4"/>
  <c r="N134" i="4"/>
  <c r="S133" i="4"/>
  <c r="R133" i="4"/>
  <c r="Q133" i="4"/>
  <c r="P133" i="4"/>
  <c r="O133" i="4"/>
  <c r="N133" i="4"/>
  <c r="S132" i="4"/>
  <c r="R132" i="4"/>
  <c r="Q132" i="4"/>
  <c r="P132" i="4"/>
  <c r="O132" i="4"/>
  <c r="N132" i="4"/>
  <c r="S131" i="4"/>
  <c r="R131" i="4"/>
  <c r="Q131" i="4"/>
  <c r="P131" i="4"/>
  <c r="O131" i="4"/>
  <c r="N131" i="4"/>
  <c r="S125" i="4"/>
  <c r="R125" i="4"/>
  <c r="Q125" i="4"/>
  <c r="P125" i="4"/>
  <c r="O125" i="4"/>
  <c r="N125" i="4"/>
  <c r="S124" i="4"/>
  <c r="R124" i="4"/>
  <c r="Q124" i="4"/>
  <c r="P124" i="4"/>
  <c r="O124" i="4"/>
  <c r="N124" i="4"/>
  <c r="S123" i="4"/>
  <c r="R123" i="4"/>
  <c r="Q123" i="4"/>
  <c r="P123" i="4"/>
  <c r="O123" i="4"/>
  <c r="N123" i="4"/>
  <c r="S121" i="4"/>
  <c r="R121" i="4"/>
  <c r="Q121" i="4"/>
  <c r="P121" i="4"/>
  <c r="O121" i="4"/>
  <c r="N121" i="4"/>
  <c r="S120" i="4"/>
  <c r="R120" i="4"/>
  <c r="Q120" i="4"/>
  <c r="P120" i="4"/>
  <c r="O120" i="4"/>
  <c r="N120" i="4"/>
  <c r="S119" i="4"/>
  <c r="R119" i="4"/>
  <c r="Q119" i="4"/>
  <c r="P119" i="4"/>
  <c r="O119" i="4"/>
  <c r="N119" i="4"/>
  <c r="S118" i="4"/>
  <c r="R118" i="4"/>
  <c r="Q118" i="4"/>
  <c r="P118" i="4"/>
  <c r="O118" i="4"/>
  <c r="N118" i="4"/>
  <c r="S117" i="4"/>
  <c r="R117" i="4"/>
  <c r="Q117" i="4"/>
  <c r="P117" i="4"/>
  <c r="O117" i="4"/>
  <c r="N117" i="4"/>
  <c r="S116" i="4"/>
  <c r="R116" i="4"/>
  <c r="Q116" i="4"/>
  <c r="P116" i="4"/>
  <c r="O116" i="4"/>
  <c r="N116" i="4"/>
  <c r="S115" i="4"/>
  <c r="R115" i="4"/>
  <c r="Q115" i="4"/>
  <c r="P115" i="4"/>
  <c r="O115" i="4"/>
  <c r="N115" i="4"/>
  <c r="S114" i="4"/>
  <c r="R114" i="4"/>
  <c r="Q114" i="4"/>
  <c r="P114" i="4"/>
  <c r="O114" i="4"/>
  <c r="N114" i="4"/>
  <c r="S113" i="4"/>
  <c r="R113" i="4"/>
  <c r="Q113" i="4"/>
  <c r="P113" i="4"/>
  <c r="O113" i="4"/>
  <c r="N113" i="4"/>
  <c r="S112" i="4"/>
  <c r="R112" i="4"/>
  <c r="Q112" i="4"/>
  <c r="P112" i="4"/>
  <c r="O112" i="4"/>
  <c r="N112" i="4"/>
  <c r="S110" i="4"/>
  <c r="R110" i="4"/>
  <c r="Q110" i="4"/>
  <c r="P110" i="4"/>
  <c r="O110" i="4"/>
  <c r="N110" i="4"/>
  <c r="S109" i="4"/>
  <c r="R109" i="4"/>
  <c r="Q109" i="4"/>
  <c r="P109" i="4"/>
  <c r="O109" i="4"/>
  <c r="N109" i="4"/>
  <c r="S108" i="4"/>
  <c r="R108" i="4"/>
  <c r="Q108" i="4"/>
  <c r="P108" i="4"/>
  <c r="O108" i="4"/>
  <c r="N108" i="4"/>
  <c r="S103" i="4"/>
  <c r="R103" i="4"/>
  <c r="Q103" i="4"/>
  <c r="P103" i="4"/>
  <c r="O103" i="4"/>
  <c r="N103" i="4"/>
  <c r="S102" i="4"/>
  <c r="R102" i="4"/>
  <c r="Q102" i="4"/>
  <c r="P102" i="4"/>
  <c r="O102" i="4"/>
  <c r="N102" i="4"/>
  <c r="S101" i="4"/>
  <c r="R101" i="4"/>
  <c r="Q101" i="4"/>
  <c r="P101" i="4"/>
  <c r="O101" i="4"/>
  <c r="N101" i="4"/>
  <c r="S97" i="4"/>
  <c r="R97" i="4"/>
  <c r="Q97" i="4"/>
  <c r="P97" i="4"/>
  <c r="O97" i="4"/>
  <c r="N97" i="4"/>
  <c r="S96" i="4"/>
  <c r="R96" i="4"/>
  <c r="Q96" i="4"/>
  <c r="P96" i="4"/>
  <c r="O96" i="4"/>
  <c r="N96" i="4"/>
  <c r="S95" i="4"/>
  <c r="R95" i="4"/>
  <c r="Q95" i="4"/>
  <c r="P95" i="4"/>
  <c r="O95" i="4"/>
  <c r="N95" i="4"/>
  <c r="S94" i="4"/>
  <c r="R94" i="4"/>
  <c r="Q94" i="4"/>
  <c r="P94" i="4"/>
  <c r="O94" i="4"/>
  <c r="N94" i="4"/>
  <c r="S93" i="4"/>
  <c r="R93" i="4"/>
  <c r="Q93" i="4"/>
  <c r="P93" i="4"/>
  <c r="O93" i="4"/>
  <c r="N93" i="4"/>
  <c r="S92" i="4"/>
  <c r="R92" i="4"/>
  <c r="Q92" i="4"/>
  <c r="P92" i="4"/>
  <c r="O92" i="4"/>
  <c r="N92" i="4"/>
  <c r="S88" i="4"/>
  <c r="R88" i="4"/>
  <c r="Q88" i="4"/>
  <c r="P88" i="4"/>
  <c r="O88" i="4"/>
  <c r="N88" i="4"/>
  <c r="S87" i="4"/>
  <c r="R87" i="4"/>
  <c r="Q87" i="4"/>
  <c r="P87" i="4"/>
  <c r="O87" i="4"/>
  <c r="N87" i="4"/>
  <c r="S86" i="4"/>
  <c r="R86" i="4"/>
  <c r="P86" i="4"/>
  <c r="O86" i="4"/>
  <c r="N86" i="4"/>
  <c r="S85" i="4"/>
  <c r="R85" i="4"/>
  <c r="Q85" i="4"/>
  <c r="P85" i="4"/>
  <c r="O85" i="4"/>
  <c r="N85" i="4"/>
  <c r="S84" i="4"/>
  <c r="R84" i="4"/>
  <c r="Q84" i="4"/>
  <c r="P84" i="4"/>
  <c r="O84" i="4"/>
  <c r="N84" i="4"/>
  <c r="S83" i="4"/>
  <c r="R83" i="4"/>
  <c r="Q83" i="4"/>
  <c r="P83" i="4"/>
  <c r="O83" i="4"/>
  <c r="S82" i="4"/>
  <c r="R82" i="4"/>
  <c r="Q82" i="4"/>
  <c r="P82" i="4"/>
  <c r="O82" i="4"/>
  <c r="N82" i="4"/>
  <c r="S81" i="4"/>
  <c r="R81" i="4"/>
  <c r="Q81" i="4"/>
  <c r="P81" i="4"/>
  <c r="O81" i="4"/>
  <c r="S80" i="4"/>
  <c r="R80" i="4"/>
  <c r="Q80" i="4"/>
  <c r="P80" i="4"/>
  <c r="O80" i="4"/>
  <c r="S79" i="4"/>
  <c r="R79" i="4"/>
  <c r="Q79" i="4"/>
  <c r="P79" i="4"/>
  <c r="O79" i="4"/>
  <c r="S78" i="4"/>
  <c r="R78" i="4"/>
  <c r="Q78" i="4"/>
  <c r="P78" i="4"/>
  <c r="O78" i="4"/>
  <c r="S75" i="4"/>
  <c r="R75" i="4"/>
  <c r="Q75" i="4"/>
  <c r="P75" i="4"/>
  <c r="O75" i="4"/>
  <c r="N75" i="4"/>
  <c r="S74" i="4"/>
  <c r="R74" i="4"/>
  <c r="Q74" i="4"/>
  <c r="P74" i="4"/>
  <c r="O74" i="4"/>
  <c r="N74" i="4"/>
  <c r="S73" i="4"/>
  <c r="R73" i="4"/>
  <c r="Q73" i="4"/>
  <c r="P73" i="4"/>
  <c r="O73" i="4"/>
  <c r="N73" i="4"/>
  <c r="S72" i="4"/>
  <c r="R72" i="4"/>
  <c r="Q72" i="4"/>
  <c r="P72" i="4"/>
  <c r="O72" i="4"/>
  <c r="N72" i="4"/>
  <c r="S71" i="4"/>
  <c r="R71" i="4"/>
  <c r="Q71" i="4"/>
  <c r="P71" i="4"/>
  <c r="O71" i="4"/>
  <c r="N71" i="4"/>
  <c r="S70" i="4"/>
  <c r="R70" i="4"/>
  <c r="Q70" i="4"/>
  <c r="P70" i="4"/>
  <c r="O70" i="4"/>
  <c r="N70" i="4"/>
  <c r="S68" i="4"/>
  <c r="R68" i="4"/>
  <c r="Q68" i="4"/>
  <c r="P68" i="4"/>
  <c r="O68" i="4"/>
  <c r="N68" i="4"/>
  <c r="S67" i="4"/>
  <c r="R67" i="4"/>
  <c r="Q67" i="4"/>
  <c r="P67" i="4"/>
  <c r="O67" i="4"/>
  <c r="N67" i="4"/>
  <c r="S66" i="4"/>
  <c r="R66" i="4"/>
  <c r="Q66" i="4"/>
  <c r="P66" i="4"/>
  <c r="O66" i="4"/>
  <c r="N66" i="4"/>
  <c r="S65" i="4"/>
  <c r="R65" i="4"/>
  <c r="Q65" i="4"/>
  <c r="P65" i="4"/>
  <c r="O65" i="4"/>
  <c r="N65" i="4"/>
  <c r="S62" i="4"/>
  <c r="R62" i="4"/>
  <c r="Q62" i="4"/>
  <c r="P62" i="4"/>
  <c r="O62" i="4"/>
  <c r="N62" i="4"/>
  <c r="S61" i="4"/>
  <c r="R61" i="4"/>
  <c r="Q61" i="4"/>
  <c r="P61" i="4"/>
  <c r="O61" i="4"/>
  <c r="N61" i="4"/>
  <c r="S60" i="4"/>
  <c r="R60" i="4"/>
  <c r="Q60" i="4"/>
  <c r="P60" i="4"/>
  <c r="O60" i="4"/>
  <c r="N60" i="4"/>
  <c r="S59" i="4"/>
  <c r="R59" i="4"/>
  <c r="Q59" i="4"/>
  <c r="P59" i="4"/>
  <c r="O59" i="4"/>
  <c r="N59" i="4"/>
  <c r="S58" i="4"/>
  <c r="R58" i="4"/>
  <c r="Q58" i="4"/>
  <c r="P58" i="4"/>
  <c r="O58" i="4"/>
  <c r="N58" i="4"/>
  <c r="S57" i="4"/>
  <c r="R57" i="4"/>
  <c r="Q57" i="4"/>
  <c r="P57" i="4"/>
  <c r="O57" i="4"/>
  <c r="N57" i="4"/>
  <c r="S54" i="4"/>
  <c r="R54" i="4"/>
  <c r="Q54" i="4"/>
  <c r="P54" i="4"/>
  <c r="O54" i="4"/>
  <c r="N54" i="4"/>
  <c r="U53" i="4"/>
  <c r="S53" i="4"/>
  <c r="R53" i="4"/>
  <c r="Q53" i="4"/>
  <c r="P53" i="4"/>
  <c r="O53" i="4"/>
  <c r="N53" i="4"/>
  <c r="S52" i="4"/>
  <c r="R52" i="4"/>
  <c r="Q52" i="4"/>
  <c r="P52" i="4"/>
  <c r="O52" i="4"/>
  <c r="N52" i="4"/>
  <c r="S50" i="4"/>
  <c r="R50" i="4"/>
  <c r="Q50" i="4"/>
  <c r="P50" i="4"/>
  <c r="O50" i="4"/>
  <c r="N50" i="4"/>
  <c r="S49" i="4"/>
  <c r="R49" i="4"/>
  <c r="Q49" i="4"/>
  <c r="P49" i="4"/>
  <c r="O49" i="4"/>
  <c r="N49" i="4"/>
  <c r="S48" i="4"/>
  <c r="R48" i="4"/>
  <c r="Q48" i="4"/>
  <c r="P48" i="4"/>
  <c r="O48" i="4"/>
  <c r="N48" i="4"/>
  <c r="S47" i="4"/>
  <c r="R47" i="4"/>
  <c r="Q47" i="4"/>
  <c r="P47" i="4"/>
  <c r="O47" i="4"/>
  <c r="N47" i="4"/>
  <c r="S46" i="4"/>
  <c r="R46" i="4"/>
  <c r="Q46" i="4"/>
  <c r="P46" i="4"/>
  <c r="O46" i="4"/>
  <c r="N46" i="4"/>
  <c r="S45" i="4"/>
  <c r="R45" i="4"/>
  <c r="Q45" i="4"/>
  <c r="P45" i="4"/>
  <c r="O45" i="4"/>
  <c r="N45" i="4"/>
  <c r="S44" i="4"/>
  <c r="R44" i="4"/>
  <c r="Q44" i="4"/>
  <c r="P44" i="4"/>
  <c r="O44" i="4"/>
  <c r="N44" i="4"/>
  <c r="S42" i="4"/>
  <c r="R42" i="4"/>
  <c r="Q42" i="4"/>
  <c r="P42" i="4"/>
  <c r="O42" i="4"/>
  <c r="N42" i="4"/>
  <c r="S41" i="4"/>
  <c r="R41" i="4"/>
  <c r="Q41" i="4"/>
  <c r="P41" i="4"/>
  <c r="O41" i="4"/>
  <c r="N41" i="4"/>
  <c r="S40" i="4"/>
  <c r="R40" i="4"/>
  <c r="Q40" i="4"/>
  <c r="P40" i="4"/>
  <c r="O40" i="4"/>
  <c r="N40" i="4"/>
  <c r="S39" i="4"/>
  <c r="R39" i="4"/>
  <c r="Q39" i="4"/>
  <c r="P39" i="4"/>
  <c r="O39" i="4"/>
  <c r="N39" i="4"/>
  <c r="S38" i="4"/>
  <c r="R38" i="4"/>
  <c r="Q38" i="4"/>
  <c r="P38" i="4"/>
  <c r="O38" i="4"/>
  <c r="N38" i="4"/>
  <c r="S37" i="4"/>
  <c r="R37" i="4"/>
  <c r="Q37" i="4"/>
  <c r="P37" i="4"/>
  <c r="O37" i="4"/>
  <c r="N37" i="4"/>
  <c r="S36" i="4"/>
  <c r="R36" i="4"/>
  <c r="Q36" i="4"/>
  <c r="P36" i="4"/>
  <c r="O36" i="4"/>
  <c r="N36" i="4"/>
  <c r="S35" i="4"/>
  <c r="R35" i="4"/>
  <c r="Q35" i="4"/>
  <c r="P35" i="4"/>
  <c r="O35" i="4"/>
  <c r="N35" i="4"/>
  <c r="S34" i="4"/>
  <c r="R34" i="4"/>
  <c r="Q34" i="4"/>
  <c r="P34" i="4"/>
  <c r="O34" i="4"/>
  <c r="N34" i="4"/>
  <c r="S33" i="4"/>
  <c r="R33" i="4"/>
  <c r="Q33" i="4"/>
  <c r="P33" i="4"/>
  <c r="O33" i="4"/>
  <c r="N33" i="4"/>
  <c r="S29" i="4"/>
  <c r="R29" i="4"/>
  <c r="Q29" i="4"/>
  <c r="P29" i="4"/>
  <c r="O29" i="4"/>
  <c r="N29" i="4"/>
  <c r="S26" i="4"/>
  <c r="R26" i="4"/>
  <c r="Q26" i="4"/>
  <c r="P26" i="4"/>
  <c r="O26" i="4"/>
  <c r="N26" i="4"/>
  <c r="S25" i="4"/>
  <c r="R25" i="4"/>
  <c r="Q25" i="4"/>
  <c r="P25" i="4"/>
  <c r="O25" i="4"/>
  <c r="N25" i="4"/>
  <c r="S24" i="4"/>
  <c r="R24" i="4"/>
  <c r="Q24" i="4"/>
  <c r="P24" i="4"/>
  <c r="O24" i="4"/>
  <c r="N24" i="4"/>
  <c r="S23" i="4"/>
  <c r="R23" i="4"/>
  <c r="Q23" i="4"/>
  <c r="P23" i="4"/>
  <c r="O23" i="4"/>
  <c r="N23" i="4"/>
  <c r="S22" i="4"/>
  <c r="R22" i="4"/>
  <c r="Q22" i="4"/>
  <c r="P22" i="4"/>
  <c r="O22" i="4"/>
  <c r="N22" i="4"/>
  <c r="Q21" i="4"/>
  <c r="P21" i="4"/>
  <c r="O21" i="4"/>
  <c r="N21" i="4"/>
  <c r="Q20" i="4"/>
  <c r="P20" i="4"/>
  <c r="O20" i="4"/>
  <c r="N20" i="4"/>
  <c r="Q19" i="4"/>
  <c r="P19" i="4"/>
  <c r="O19" i="4"/>
  <c r="N19" i="4"/>
  <c r="S18" i="4"/>
  <c r="R18" i="4"/>
  <c r="Q18" i="4"/>
  <c r="P18" i="4"/>
  <c r="O18" i="4"/>
  <c r="N18" i="4"/>
  <c r="S17" i="4"/>
  <c r="R17" i="4"/>
  <c r="Q17" i="4"/>
  <c r="P17" i="4"/>
  <c r="O17" i="4"/>
  <c r="N17" i="4"/>
  <c r="S16" i="4"/>
  <c r="R16" i="4"/>
  <c r="Q16" i="4"/>
  <c r="P16" i="4"/>
  <c r="O16" i="4"/>
  <c r="N16" i="4"/>
  <c r="S15" i="4"/>
  <c r="R15" i="4"/>
  <c r="Q15" i="4"/>
  <c r="P15" i="4"/>
  <c r="O15" i="4"/>
  <c r="N15" i="4"/>
  <c r="S14" i="4"/>
  <c r="R14" i="4"/>
  <c r="Q14" i="4"/>
  <c r="P14" i="4"/>
  <c r="O14" i="4"/>
  <c r="N14" i="4"/>
  <c r="S13" i="4"/>
  <c r="R13" i="4"/>
  <c r="Q13" i="4"/>
  <c r="P13" i="4"/>
  <c r="O13" i="4"/>
  <c r="N13" i="4"/>
  <c r="S12" i="4"/>
  <c r="R12" i="4"/>
  <c r="Q12" i="4"/>
  <c r="P12" i="4"/>
  <c r="O12" i="4"/>
  <c r="N12" i="4"/>
  <c r="S10" i="4"/>
  <c r="R10" i="4"/>
  <c r="Q10" i="4"/>
  <c r="P10" i="4"/>
  <c r="O10" i="4"/>
  <c r="N10" i="4"/>
  <c r="S3" i="4"/>
  <c r="R3" i="4"/>
  <c r="Q3" i="4"/>
  <c r="P3" i="4"/>
  <c r="O3" i="4"/>
  <c r="N3" i="4"/>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B9" i="5"/>
  <c r="B8" i="5"/>
  <c r="B7" i="5"/>
  <c r="B6" i="5"/>
  <c r="B5" i="5"/>
  <c r="B4" i="5"/>
  <c r="B3" i="5"/>
</calcChain>
</file>

<file path=xl/sharedStrings.xml><?xml version="1.0" encoding="utf-8"?>
<sst xmlns="http://schemas.openxmlformats.org/spreadsheetml/2006/main" count="102674" uniqueCount="10217">
  <si>
    <t>Note: Reports are based on data sheets that have not completed quality assurance and quality control procedures. Quality Assurance measures will be completed as soon as possible and subsequent reports will indicate any changes (corrections) in red.</t>
  </si>
  <si>
    <t>Date</t>
  </si>
  <si>
    <t>Day</t>
  </si>
  <si>
    <t>Stratum</t>
  </si>
  <si>
    <t>Start Latitude</t>
  </si>
  <si>
    <t>Start Longitude</t>
  </si>
  <si>
    <t>Station Code</t>
  </si>
  <si>
    <t>Region</t>
  </si>
  <si>
    <t>Sub-Region</t>
  </si>
  <si>
    <t>Time Start</t>
  </si>
  <si>
    <t>Method</t>
  </si>
  <si>
    <t>Tow Type</t>
  </si>
  <si>
    <t>Depth Stratum</t>
  </si>
  <si>
    <t>Number of Tows</t>
  </si>
  <si>
    <t>TowDuration</t>
  </si>
  <si>
    <t>Average Starting Bottom Depth (ft)</t>
  </si>
  <si>
    <t>Average Top E/C (µS)</t>
  </si>
  <si>
    <t>Average Secchi (m)</t>
  </si>
  <si>
    <t>Average Top Turbidity (NTU)</t>
  </si>
  <si>
    <t>Species</t>
  </si>
  <si>
    <t>Catch</t>
  </si>
  <si>
    <t>FL Range (mm)</t>
  </si>
  <si>
    <t>Comments</t>
  </si>
  <si>
    <t>ID Status</t>
  </si>
  <si>
    <t>Monday</t>
  </si>
  <si>
    <t>Lower Sacramento River</t>
  </si>
  <si>
    <t>21-36-LSR03</t>
  </si>
  <si>
    <t>West</t>
  </si>
  <si>
    <t>20mm</t>
  </si>
  <si>
    <t>Surface</t>
  </si>
  <si>
    <t>Deep Water</t>
  </si>
  <si>
    <t>LFS</t>
  </si>
  <si>
    <t>Complete</t>
  </si>
  <si>
    <t xml:space="preserve">Note: Reports from the same day are based on summary sheets that have not undergone initial quality assurance and quality control procedures. Catch data will be processed on the next business day and subsequent reports will indicate any changes (errors) in red. This document only reports on catch of specieis of management concern; other species are measured and recorded when captured, but not included in this report. </t>
  </si>
  <si>
    <r>
      <t>Avg E/C (µ</t>
    </r>
    <r>
      <rPr>
        <sz val="9.9"/>
        <color indexed="8"/>
        <rFont val="Times New Roman"/>
        <family val="1"/>
      </rPr>
      <t>S)</t>
    </r>
  </si>
  <si>
    <t>Avg Temp (°C)</t>
  </si>
  <si>
    <t>Avg Turbidity (NTU)</t>
  </si>
  <si>
    <t>Avg Secchi (M)</t>
  </si>
  <si>
    <t>Avg Start Depth (M)</t>
  </si>
  <si>
    <t>TowDirection</t>
  </si>
  <si>
    <t>Expression</t>
  </si>
  <si>
    <t>Stage</t>
  </si>
  <si>
    <t>Mark</t>
  </si>
  <si>
    <t>Mon</t>
  </si>
  <si>
    <t>Southern Delta</t>
  </si>
  <si>
    <t>21-19-FT01</t>
  </si>
  <si>
    <t>South</t>
  </si>
  <si>
    <t>Franks Tract</t>
  </si>
  <si>
    <t>Kodiak</t>
  </si>
  <si>
    <t>U</t>
  </si>
  <si>
    <t>n/p</t>
  </si>
  <si>
    <t>21-19-FT02</t>
  </si>
  <si>
    <t xml:space="preserve">Code 4:  too shallow and too much vegetation </t>
  </si>
  <si>
    <t>21-19-FT03</t>
  </si>
  <si>
    <t>Code 4:  too shallow and too much vegetation</t>
  </si>
  <si>
    <t>21-19-MRW01</t>
  </si>
  <si>
    <t>Middle River West</t>
  </si>
  <si>
    <t>Tow 1 was code 2 (twist at bars and lead line)</t>
  </si>
  <si>
    <t>21-19-MIW01</t>
  </si>
  <si>
    <t>Mildred Island West</t>
  </si>
  <si>
    <t>21-19-MIW02</t>
  </si>
  <si>
    <t>Code 4: Too much vegetation to sample</t>
  </si>
  <si>
    <t>Suisun Marsh</t>
  </si>
  <si>
    <t>21-19-SM01</t>
  </si>
  <si>
    <t>D</t>
  </si>
  <si>
    <t>66</t>
  </si>
  <si>
    <t>X</t>
  </si>
  <si>
    <t>Tow 2 was code 2 (Twist in net)</t>
  </si>
  <si>
    <t>21-19-SM02</t>
  </si>
  <si>
    <t>21-19-SM03</t>
  </si>
  <si>
    <t>Tue</t>
  </si>
  <si>
    <t>21-19-FT04</t>
  </si>
  <si>
    <t>Code 4: too shallow</t>
  </si>
  <si>
    <t>21-19-HC01</t>
  </si>
  <si>
    <t>Holland Cut</t>
  </si>
  <si>
    <t>21-19-HC02</t>
  </si>
  <si>
    <t>Tow 4 was code 2 (snagged net, 5 minute tow)</t>
  </si>
  <si>
    <t>21-19-MIW03</t>
  </si>
  <si>
    <t>Suisun Bay</t>
  </si>
  <si>
    <t>21-19-SBW01</t>
  </si>
  <si>
    <t>Far West</t>
  </si>
  <si>
    <t>West Suisun Bay</t>
  </si>
  <si>
    <t>21-19-SBW02</t>
  </si>
  <si>
    <t>Code 4: site in middle of mothball fleet</t>
  </si>
  <si>
    <t>21-19-SBW03</t>
  </si>
  <si>
    <t>21-19-SBM01</t>
  </si>
  <si>
    <t>Mid Suisun Bay</t>
  </si>
  <si>
    <t>Wed</t>
  </si>
  <si>
    <t>Lower Sacramento</t>
  </si>
  <si>
    <t>21-19-RV01</t>
  </si>
  <si>
    <t>North</t>
  </si>
  <si>
    <t>Sacramento River near Rio Vista</t>
  </si>
  <si>
    <t>21-19-LSR01</t>
  </si>
  <si>
    <t>21-19-LSR02</t>
  </si>
  <si>
    <t>21-19-LSR03</t>
  </si>
  <si>
    <t>Lower San Joaquin</t>
  </si>
  <si>
    <t>21-19-SJT01</t>
  </si>
  <si>
    <t>San Joaquin River near Twitchell Island</t>
  </si>
  <si>
    <t>21-19-SJT02</t>
  </si>
  <si>
    <t>21-19-LSJ03</t>
  </si>
  <si>
    <t>21-19-CF01</t>
  </si>
  <si>
    <t>Confluence</t>
  </si>
  <si>
    <t>Tow 2 was code 2 (Distance from site exceeded target distance, was 0.68 mi at stop)</t>
  </si>
  <si>
    <t>21-19-CF02</t>
  </si>
  <si>
    <t>21-19-SBM02</t>
  </si>
  <si>
    <t>Thu</t>
  </si>
  <si>
    <t>Sac Deep Water Shipping Channel</t>
  </si>
  <si>
    <t>21-19-LSSC01</t>
  </si>
  <si>
    <t>Lower Sacramento River Shipping Channel</t>
  </si>
  <si>
    <t>3 Wakasagi (88-97mm) retained for verification</t>
  </si>
  <si>
    <t>21-19-LSSC02</t>
  </si>
  <si>
    <t>Tows 1-2 were code 2 (Twist in net)</t>
  </si>
  <si>
    <t>21-19-LSSC03</t>
  </si>
  <si>
    <t>2 Wakasagi (87-88mm) retained for verification</t>
  </si>
  <si>
    <t>21-19-PP01</t>
  </si>
  <si>
    <t>San Joaquin River at Prisoners Pt</t>
  </si>
  <si>
    <t>21-19-LSJ01</t>
  </si>
  <si>
    <t>21-19-LSJ02</t>
  </si>
  <si>
    <t>Western Delta</t>
  </si>
  <si>
    <t>21-19-CQS01</t>
  </si>
  <si>
    <t>Carquinez Strait</t>
  </si>
  <si>
    <t>21-19-CQS02</t>
  </si>
  <si>
    <t>21-19-SPE01</t>
  </si>
  <si>
    <t>East San Pablo Bay</t>
  </si>
  <si>
    <t>Tow 1 was code 2 (twist in net)</t>
  </si>
  <si>
    <t>Fri</t>
  </si>
  <si>
    <t>Cache Slough and Liberty Island</t>
  </si>
  <si>
    <t>21-19-CS01</t>
  </si>
  <si>
    <t>21-19-CS02</t>
  </si>
  <si>
    <t>21-19-CS03</t>
  </si>
  <si>
    <t>21-19-RV02</t>
  </si>
  <si>
    <t>21-19-RV03</t>
  </si>
  <si>
    <t>21-20-RV01</t>
  </si>
  <si>
    <t>21-20-RV03</t>
  </si>
  <si>
    <t>Tow 1 was code 2 (Twist in net); Tow 3 and 4 were not completed due to high winds</t>
  </si>
  <si>
    <t>21-20-RV04</t>
  </si>
  <si>
    <t>Tow 1 was code 2 (Twist in net); Eddos and Pitts were not sampled today due to high winds</t>
  </si>
  <si>
    <t>21-20-RV02</t>
  </si>
  <si>
    <t>21-20-LSR01</t>
  </si>
  <si>
    <t>Tow 1 was code 2 (Twist in net)</t>
  </si>
  <si>
    <t>21-20-LSR02</t>
  </si>
  <si>
    <t>21-20-LSJ01</t>
  </si>
  <si>
    <t>21-20-LSJ02</t>
  </si>
  <si>
    <t>21-20-LSJ03</t>
  </si>
  <si>
    <t>21-20-CQS01</t>
  </si>
  <si>
    <t>21-20-CQS02</t>
  </si>
  <si>
    <t xml:space="preserve">sea lion sighted during tow 4; stopped at 9 minutes </t>
  </si>
  <si>
    <t>21-20-SPE01</t>
  </si>
  <si>
    <t>sea lion sighted during tow 3; stopped at 5 minutes</t>
  </si>
  <si>
    <t>21-20-PP01</t>
  </si>
  <si>
    <t>21-20-SJT01</t>
  </si>
  <si>
    <t>21-20-SJT02</t>
  </si>
  <si>
    <t>21-20-SBW01</t>
  </si>
  <si>
    <t>21-20-SBM01</t>
  </si>
  <si>
    <t>21-20-SBM02</t>
  </si>
  <si>
    <t>21-20-LSSC01</t>
  </si>
  <si>
    <t xml:space="preserve">1 Wakasagi (96mm) retained for verification </t>
  </si>
  <si>
    <t>21-20-USSC01</t>
  </si>
  <si>
    <t>Upper Sacramento River Shipping Channel</t>
  </si>
  <si>
    <t>Tow 4 was code 2 (Distance from site exceeded target distance, was 0.60 mi at stop)</t>
  </si>
  <si>
    <t>21-20-USSC02</t>
  </si>
  <si>
    <t>11 Wakasagi (79-107) retained for verification; Tow 1 was code 2 (Twist in net)</t>
  </si>
  <si>
    <t>Cache Slough Liberty Island</t>
  </si>
  <si>
    <t>21-20-CS01</t>
  </si>
  <si>
    <t>21-20-CS02</t>
  </si>
  <si>
    <t>21-20-CS03</t>
  </si>
  <si>
    <t>21-20-CF01</t>
  </si>
  <si>
    <t>Tow 1 exceeded the 10 minute threshold (14 minutes)</t>
  </si>
  <si>
    <t>21-20-CF02</t>
  </si>
  <si>
    <t>21-20-HB01</t>
  </si>
  <si>
    <t>Honker Bay</t>
  </si>
  <si>
    <t>Eddos did not sample SD sites this week due to Covid mitigation actions</t>
  </si>
  <si>
    <t>21-20-GB01</t>
  </si>
  <si>
    <t>Grizzly Bay</t>
  </si>
  <si>
    <t>21-20-SM01</t>
  </si>
  <si>
    <t>21-20-SM02</t>
  </si>
  <si>
    <t>Only Pittsburg crew sampled today to finish sampling not completed earlier this week</t>
  </si>
  <si>
    <t>Sac Deep Water Ship Channel</t>
  </si>
  <si>
    <t>21-21-LSSC01</t>
  </si>
  <si>
    <t>8 Wakasgi (86-99) retained for verification</t>
  </si>
  <si>
    <t>21-21-LSSC02</t>
  </si>
  <si>
    <t>21-21-LSSC03</t>
  </si>
  <si>
    <t>21-21-FT01</t>
  </si>
  <si>
    <t>Tow 4 was code 2 (Partial blockage of net due to vegetation)</t>
  </si>
  <si>
    <t>21-21-FT02</t>
  </si>
  <si>
    <t>21-21-FT03</t>
  </si>
  <si>
    <t>21-21-MIW01</t>
  </si>
  <si>
    <t>21-21-MIW02</t>
  </si>
  <si>
    <t>21-21-CQS01</t>
  </si>
  <si>
    <t>21-21-SPE01</t>
  </si>
  <si>
    <t>21-21-LNR01</t>
  </si>
  <si>
    <t>Lower Napa River</t>
  </si>
  <si>
    <t>21-21-RV01</t>
  </si>
  <si>
    <t>21-21-RV03</t>
  </si>
  <si>
    <t>21-21-RV04</t>
  </si>
  <si>
    <t>sea lion sighted during tow 4; stopped at 8 mintues</t>
  </si>
  <si>
    <t>21-21-FT04</t>
  </si>
  <si>
    <t>21-21-FT05</t>
  </si>
  <si>
    <t>21-21-OR01</t>
  </si>
  <si>
    <t>Old River</t>
  </si>
  <si>
    <t>21-21-OR02</t>
  </si>
  <si>
    <t>21-21-VC01</t>
  </si>
  <si>
    <t>Victoria Canal</t>
  </si>
  <si>
    <t>Tow 2 stopped after 8 minutes to avoid vegetation; no more tows were completed due to Heavy SAV</t>
  </si>
  <si>
    <t>21-21-SBW01</t>
  </si>
  <si>
    <t>21-21-SBW02</t>
  </si>
  <si>
    <t>21-21-SBM01</t>
  </si>
  <si>
    <t>21-21-RV02</t>
  </si>
  <si>
    <t>21-21-LSR01</t>
  </si>
  <si>
    <t>Tow 1 was code 2 (twist in net; partial blockage)</t>
  </si>
  <si>
    <t>21-21-LSR02</t>
  </si>
  <si>
    <t>21-21-PP01</t>
  </si>
  <si>
    <t>21-21-LSJ02</t>
  </si>
  <si>
    <t>21-21-LSJ03</t>
  </si>
  <si>
    <t>21-21-SBW03</t>
  </si>
  <si>
    <t>21-21-SBW04</t>
  </si>
  <si>
    <t>21-21-CF01</t>
  </si>
  <si>
    <t>Cache Slough LI</t>
  </si>
  <si>
    <t>21-21-CS01</t>
  </si>
  <si>
    <t>Code 4: Too much debris in channel; screw trap was near site</t>
  </si>
  <si>
    <t>21-21-CS02</t>
  </si>
  <si>
    <t>21-21-CS03</t>
  </si>
  <si>
    <t>21-21-CS04</t>
  </si>
  <si>
    <t>21-21-SJT01</t>
  </si>
  <si>
    <t>21-21-LSJ01</t>
  </si>
  <si>
    <t>21-21-LSJ04</t>
  </si>
  <si>
    <t>21-21-GB01</t>
  </si>
  <si>
    <t>72-106</t>
  </si>
  <si>
    <t>None</t>
  </si>
  <si>
    <t>21-21-SM01</t>
  </si>
  <si>
    <t>21-21-SM02</t>
  </si>
  <si>
    <t>21-22-RV01</t>
  </si>
  <si>
    <t xml:space="preserve">turbidity meter not working </t>
  </si>
  <si>
    <t>21-22-SJT01</t>
  </si>
  <si>
    <t>21-22-LSSC01</t>
  </si>
  <si>
    <t>21-22-LSSC02</t>
  </si>
  <si>
    <t>21-22-LSSC03</t>
  </si>
  <si>
    <t>3 Wakasagi (90-96) retained for verification; turbidity meter not working; Tow 1 was code 2 (Vegetation in net)</t>
  </si>
  <si>
    <t>21-22-FT01</t>
  </si>
  <si>
    <t>Code 4: Duck hunters at Frank's Tract</t>
  </si>
  <si>
    <t>21-22-HC01</t>
  </si>
  <si>
    <t>Tow 2 was code 2 (partial blockage)</t>
  </si>
  <si>
    <t>21-22-MIW01</t>
  </si>
  <si>
    <t>Code 4: Duck hunters at Midlred Island</t>
  </si>
  <si>
    <t>21-22-OR01</t>
  </si>
  <si>
    <t>21-22-SBM01</t>
  </si>
  <si>
    <t>21-22-SM01</t>
  </si>
  <si>
    <t>21-22-SM02</t>
  </si>
  <si>
    <t>EDSM sampling was not conducted 12/21-12/22/2020 due to heavy fog**</t>
  </si>
  <si>
    <t>21-22-RV02</t>
  </si>
  <si>
    <t>21-22-LSR01</t>
  </si>
  <si>
    <t>21-22-LSR02</t>
  </si>
  <si>
    <t>21-22-SBW01</t>
  </si>
  <si>
    <t>21-22-SBM02</t>
  </si>
  <si>
    <t>21-22-SM03</t>
  </si>
  <si>
    <t>Eddos did not sample SD sites due to Covid mitigation actions</t>
  </si>
  <si>
    <t>21-23-CS01</t>
  </si>
  <si>
    <t>Eddos crew is not sampling this week due to Covid mitigation actions</t>
  </si>
  <si>
    <t>21-23-CS02</t>
  </si>
  <si>
    <t xml:space="preserve">Tow 3 was code 2 (partial blockage) </t>
  </si>
  <si>
    <t>21-23-CS03</t>
  </si>
  <si>
    <t>Tow 2 was code 3 (total blockage, did not process all of sample); tow 3 was code 2 (partial blockage) stopped at 4 minutes due to heavy SAV; 4th tow not attempted due to heavy SAV</t>
  </si>
  <si>
    <t>21-23-SM01</t>
  </si>
  <si>
    <t xml:space="preserve">Turbidity meter not working </t>
  </si>
  <si>
    <t>21-23-SM02</t>
  </si>
  <si>
    <t>65-115</t>
  </si>
  <si>
    <t xml:space="preserve">2 LFS were code 9; turbidity meter not working </t>
  </si>
  <si>
    <t>21-23-SM03</t>
  </si>
  <si>
    <t>Tow 1 was code 2 (Towing began 0.15 mi from target due to tide); Tow 2 was code 2 (Distance from site exceeded target distance, was 0.58 mi at start); turbidity meter not working</t>
  </si>
  <si>
    <t>21-23-LSSC01</t>
  </si>
  <si>
    <t>6 Wakasagi captured and retained for ID verification (89-107 mm); tow 4 was code 2 (boats towed past target distance from site)</t>
  </si>
  <si>
    <t>21-23-LSSC02</t>
  </si>
  <si>
    <t>5 Wakasagi captured and retained for ID verififcation (87-103 mm)</t>
  </si>
  <si>
    <t>21-23-LSSC03</t>
  </si>
  <si>
    <t>3 Wakasagi captured and retained for ID verification (90-102 mm)</t>
  </si>
  <si>
    <t>21-23-SBW01</t>
  </si>
  <si>
    <t>Only 3 tows completed at this site</t>
  </si>
  <si>
    <t>21-23-CF01</t>
  </si>
  <si>
    <t>21-23-SBM01</t>
  </si>
  <si>
    <t>Tows 2 and 4 were code 2 (boats went past target distance from site)</t>
  </si>
  <si>
    <t>21-23-HC01</t>
  </si>
  <si>
    <t>21-23-MIW01</t>
  </si>
  <si>
    <t>21-23-MIW02</t>
  </si>
  <si>
    <t>21-23-OR01</t>
  </si>
  <si>
    <t>21-23-SPE01</t>
  </si>
  <si>
    <t>21-23-SPE02</t>
  </si>
  <si>
    <t>21-23-LNR01</t>
  </si>
  <si>
    <t>21-23-RV01</t>
  </si>
  <si>
    <t>21-23-RV02</t>
  </si>
  <si>
    <t>21-23-LSR01</t>
  </si>
  <si>
    <t>21-23-PP01</t>
  </si>
  <si>
    <t>21-23-PP02</t>
  </si>
  <si>
    <t>21-23-LSJ01</t>
  </si>
  <si>
    <t>21-24-FT01</t>
  </si>
  <si>
    <t>Tow 1 and 3 were code 2 (partical blockage); Tow 2 was code 3 (lots of veg, full blockage) Only 3 tows were completed at this site (too much vegetation)</t>
  </si>
  <si>
    <t>21-24-HC01</t>
  </si>
  <si>
    <t>21-24-HC02</t>
  </si>
  <si>
    <t>21-24-SM01</t>
  </si>
  <si>
    <t>70</t>
  </si>
  <si>
    <t>Tow 1 was code 2 (buoy wrapped)</t>
  </si>
  <si>
    <t>21-24-SM02</t>
  </si>
  <si>
    <t>71</t>
  </si>
  <si>
    <t>21-24-SM03</t>
  </si>
  <si>
    <t>59-82</t>
  </si>
  <si>
    <t>Tow 2 was code 3 (net was dragging in mud)  Extra tow was done due to code 3</t>
  </si>
  <si>
    <t>21-24-RV01</t>
  </si>
  <si>
    <t>Tow 1 was code 2 (buoy wrapped around net)</t>
  </si>
  <si>
    <t>21-24-RV02</t>
  </si>
  <si>
    <t>21-24-LSR01</t>
  </si>
  <si>
    <t>21-24-MIW01</t>
  </si>
  <si>
    <t>21-24-MIW02</t>
  </si>
  <si>
    <t>Tow 1 was code 2 (partial blockage)</t>
  </si>
  <si>
    <t>21-24-MIW03</t>
  </si>
  <si>
    <t>Tow 4 was code 2 (Distance from site exceeded target distance, was 0.57 mi at stop)</t>
  </si>
  <si>
    <t>21-24-CF01</t>
  </si>
  <si>
    <t>21-24-CF02</t>
  </si>
  <si>
    <t>21-24-SBM01</t>
  </si>
  <si>
    <t>21-24-PP01</t>
  </si>
  <si>
    <t>21-24-PP02</t>
  </si>
  <si>
    <t>Tow 3 was code 2 (Distance from site exceeded target distance, was 0.62 mi at stop)</t>
  </si>
  <si>
    <t>21-24-PP03</t>
  </si>
  <si>
    <t>21-24-LSSC01</t>
  </si>
  <si>
    <t>21-24-USSC01</t>
  </si>
  <si>
    <t>DSM</t>
  </si>
  <si>
    <t>51</t>
  </si>
  <si>
    <t>21-24-USSC02</t>
  </si>
  <si>
    <t>Tow 3 was code 2 (Distance from site exceeded target distance, was 0.01 mi at stop)</t>
  </si>
  <si>
    <t>21-24-SBW01</t>
  </si>
  <si>
    <t>21-24-SBM02</t>
  </si>
  <si>
    <t>21-24-SBM03</t>
  </si>
  <si>
    <t>21-24-CS01</t>
  </si>
  <si>
    <t>21-24-CS02</t>
  </si>
  <si>
    <t>Tow 2 and 4 were code 3 (heavy vegetation)</t>
  </si>
  <si>
    <t>21-24-CS03</t>
  </si>
  <si>
    <t>21-24-CS04</t>
  </si>
  <si>
    <t>21-24-SJT01</t>
  </si>
  <si>
    <t>21-24-SJT02</t>
  </si>
  <si>
    <t>Tow 3 was code 2 (partial blockage due to vegetation)</t>
  </si>
  <si>
    <t>21-24-LSJ01</t>
  </si>
  <si>
    <t>21-24-SPE01</t>
  </si>
  <si>
    <t>21-24-SPE02</t>
  </si>
  <si>
    <t>21-24-SPE03</t>
  </si>
  <si>
    <t>Tow 4 was code 2 (Distance from site exceeded target distance, was 0.74 mi at stop)</t>
  </si>
  <si>
    <t>21-24-LSR02</t>
  </si>
  <si>
    <t>21-24-LSR03</t>
  </si>
  <si>
    <t>21-24-LSR04</t>
  </si>
  <si>
    <t>Only the Rio Crew went out today to finish sampling for the week</t>
  </si>
  <si>
    <t>21-26-RV01</t>
  </si>
  <si>
    <t>CHNT</t>
  </si>
  <si>
    <t>157</t>
  </si>
  <si>
    <t>5</t>
  </si>
  <si>
    <t>AdClipped</t>
  </si>
  <si>
    <t>Sampling last week (1/11-15/2021) was cancelled due to COVID related work restrictions</t>
  </si>
  <si>
    <t>21-26-LSR01</t>
  </si>
  <si>
    <t>21-26-LSR02</t>
  </si>
  <si>
    <t>E</t>
  </si>
  <si>
    <t>Tow 1 was code 2 (bouy wrapped/twist at cod end)</t>
  </si>
  <si>
    <t>21-26-CF01</t>
  </si>
  <si>
    <t>21-26-SBM01</t>
  </si>
  <si>
    <t>21-26-SBM02</t>
  </si>
  <si>
    <t>Sampling yesterday (1/19/2021) was cancelled due to high winds at sample sites</t>
  </si>
  <si>
    <t>21-26-LSSC01</t>
  </si>
  <si>
    <t>Lower Sacramento River Ship Channel</t>
  </si>
  <si>
    <t>21-26-LSSC02</t>
  </si>
  <si>
    <t>21-26-LSSC03</t>
  </si>
  <si>
    <t>3 Wakasagi captured and retained for ID verification (90-100 mm); Tow 3 was code 2 (bouy line wrapped)</t>
  </si>
  <si>
    <t>21-26-SM01</t>
  </si>
  <si>
    <t>21-26-SM02</t>
  </si>
  <si>
    <t>21-26-SM03</t>
  </si>
  <si>
    <t>77-88</t>
  </si>
  <si>
    <t>21-26-SJT01</t>
  </si>
  <si>
    <t>21-26-LSJ01</t>
  </si>
  <si>
    <t>21-26-LSJ02</t>
  </si>
  <si>
    <t>21-26-FT01</t>
  </si>
  <si>
    <t>21-26-FT02</t>
  </si>
  <si>
    <t>21-26-GLW01</t>
  </si>
  <si>
    <t>Grant Line Canal and Old River West</t>
  </si>
  <si>
    <t>Tow 1 was code 2: bouy wrapped at cod end</t>
  </si>
  <si>
    <t>21-26-MRW01</t>
  </si>
  <si>
    <t>21-26-MIW01</t>
  </si>
  <si>
    <t>21-26-VC01</t>
  </si>
  <si>
    <t xml:space="preserve">Tow 4 was code 2: partical blockage of net with vegetation. No sampling occurred with the Eddo's crew this week. </t>
  </si>
  <si>
    <t>21-27-CS01</t>
  </si>
  <si>
    <t>Tow 3 was code 2 (Distance from site exceeded target distance, was 0.60 mi at stop)</t>
  </si>
  <si>
    <t>21-27-CS02</t>
  </si>
  <si>
    <t>21-27-CS03</t>
  </si>
  <si>
    <t>Tow 1 was code 2: twist in net</t>
  </si>
  <si>
    <t>21-27-SJT01</t>
  </si>
  <si>
    <t xml:space="preserve">Tow 1 was code 2: twist in net near livebox </t>
  </si>
  <si>
    <t>21-27-SJT02</t>
  </si>
  <si>
    <t>21-27-SJT03</t>
  </si>
  <si>
    <t>Pitts crew did not sample today; They are scheduled to start sampling on Wednesday 1/27/21</t>
  </si>
  <si>
    <t>21-27-PP01</t>
  </si>
  <si>
    <t>21-27-PP02</t>
  </si>
  <si>
    <t>Tow 1 was code 2: lead line twisted around bar; Tow 2 was code 2: lead line twisted around bar</t>
  </si>
  <si>
    <t>21-27-LSJ01</t>
  </si>
  <si>
    <t>21-27-LSSC01</t>
  </si>
  <si>
    <t>21-27-LSSC02</t>
  </si>
  <si>
    <t>21-27-USSC01</t>
  </si>
  <si>
    <t>47</t>
  </si>
  <si>
    <t>4 Wakasagi captured and retained for ID verification (91-103); Tow 4 was code 2 (Distance from site exceeded target distance, was 0.58 mi at stop)</t>
  </si>
  <si>
    <t>21-27-RV01</t>
  </si>
  <si>
    <t>21-27-RV02</t>
  </si>
  <si>
    <t xml:space="preserve">Tow 1 was code 2: twist in net </t>
  </si>
  <si>
    <t>21-27-LSR01</t>
  </si>
  <si>
    <t>21-27-FT01</t>
  </si>
  <si>
    <t>21-27-FT02</t>
  </si>
  <si>
    <t>21-27-FT03</t>
  </si>
  <si>
    <t>21-27-HC01</t>
  </si>
  <si>
    <t>21-27-GB01</t>
  </si>
  <si>
    <t>21-27-GB02</t>
  </si>
  <si>
    <t>21-27-SM01</t>
  </si>
  <si>
    <t>21-27-RV03</t>
  </si>
  <si>
    <t>21-27-RV04</t>
  </si>
  <si>
    <t>21-27-LSR02</t>
  </si>
  <si>
    <t>21-27-FT04</t>
  </si>
  <si>
    <t>21-27-FT05</t>
  </si>
  <si>
    <t>21-27-HC02</t>
  </si>
  <si>
    <t>21-27-MIW01</t>
  </si>
  <si>
    <t>Code 4: too many snags at Mildred Island</t>
  </si>
  <si>
    <t>21-27-MIW02</t>
  </si>
  <si>
    <t>21-27-OR01</t>
  </si>
  <si>
    <t>21-27-RS01</t>
  </si>
  <si>
    <t>Rock Slough and Discovery Bay</t>
  </si>
  <si>
    <t>Tow 1 was code 3:  Too much vegetation; no other tows were completed due to vegetation</t>
  </si>
  <si>
    <t>21-27-SBW01</t>
  </si>
  <si>
    <t>21-27-CF01</t>
  </si>
  <si>
    <t>21-27-HB01</t>
  </si>
  <si>
    <t>21-28-LSSC01</t>
  </si>
  <si>
    <t>Tow 4 was code 2: (Distance from site exceeded target distance: 0.59 mi at stop)</t>
  </si>
  <si>
    <t>21-28-USSC01</t>
  </si>
  <si>
    <t>Tow 3 was code 2: (Distance from site exceeded target distance: 0.61 mi at stop)</t>
  </si>
  <si>
    <t>21-28-USSC02</t>
  </si>
  <si>
    <t>21-28-MIW01</t>
  </si>
  <si>
    <t>21-28-OR01</t>
  </si>
  <si>
    <t>Tow 2 was code 2: net was damaged near live box; no further tows were completed; net required more extensive repair</t>
  </si>
  <si>
    <t>21-28-VC01</t>
  </si>
  <si>
    <t>Tow 3 was code 2: partical blockage of net with vegetation</t>
  </si>
  <si>
    <t>21-28-CQS01</t>
  </si>
  <si>
    <t>Tow 2 was code 2: net twisted near live box, buoy line wrapped around net</t>
  </si>
  <si>
    <t>21-28-SPE01</t>
  </si>
  <si>
    <t>Tow 1 was code 2: (Distance from site exceeded target distance: 0.62 mi at stop); Tow 3 was code 2: twist in net</t>
  </si>
  <si>
    <t>21-28-SPE02</t>
  </si>
  <si>
    <t>Code 4: Low tide; too shallow</t>
  </si>
  <si>
    <t>21-28-LNR01</t>
  </si>
  <si>
    <t>21-28-CS01</t>
  </si>
  <si>
    <t>21-28-CS02</t>
  </si>
  <si>
    <t>Tow 4 was code 2: (Distance from site exceeded target distance: 0.58 mi at stop)</t>
  </si>
  <si>
    <t>21-28-CS03</t>
  </si>
  <si>
    <t>RBTC</t>
  </si>
  <si>
    <t>184-230</t>
  </si>
  <si>
    <t>4-5</t>
  </si>
  <si>
    <t>RBTC were code 9s</t>
  </si>
  <si>
    <t>21-28-FT01</t>
  </si>
  <si>
    <t>21-28-FT02</t>
  </si>
  <si>
    <t>21-28-FT03</t>
  </si>
  <si>
    <t>Tow 3 &amp; 4 not complete due to sea lion activity and shallow site</t>
  </si>
  <si>
    <t>21-28-GB01</t>
  </si>
  <si>
    <t>57-83</t>
  </si>
  <si>
    <t>LFS @ 57mm was not expressed</t>
  </si>
  <si>
    <t>21-28-SM01</t>
  </si>
  <si>
    <t>74-81</t>
  </si>
  <si>
    <t>21-28-SM02</t>
  </si>
  <si>
    <t>21-28-RV04</t>
  </si>
  <si>
    <t>233-256</t>
  </si>
  <si>
    <t>21-28-LSR01</t>
  </si>
  <si>
    <t>150</t>
  </si>
  <si>
    <t>CHNL</t>
  </si>
  <si>
    <t>139</t>
  </si>
  <si>
    <t>CHNL return to lab for OT study</t>
  </si>
  <si>
    <t>RBTC was a code 9; no measurement due to escapement</t>
  </si>
  <si>
    <t>21-28-LSR02</t>
  </si>
  <si>
    <t>21-28-PP01</t>
  </si>
  <si>
    <t>209-217</t>
  </si>
  <si>
    <t>21-28-PP02</t>
  </si>
  <si>
    <t>Tow 1 was code 2: twist in net; Tow 4 was code 2: (Distance from site exceeded target distance: 0.56 mi at stop)</t>
  </si>
  <si>
    <t>21-28-SJT01</t>
  </si>
  <si>
    <t>21-28-SBW01</t>
  </si>
  <si>
    <t>61-110</t>
  </si>
  <si>
    <t>21-28-SBW02</t>
  </si>
  <si>
    <t>21-28-SBM01</t>
  </si>
  <si>
    <t>Tow 2 was code 2: (Distance from site exceeded target distance: 0.62 mi at stop)</t>
  </si>
  <si>
    <t>21-28-RV01</t>
  </si>
  <si>
    <t>21-28-RV02</t>
  </si>
  <si>
    <t>21-28-RV03</t>
  </si>
  <si>
    <t>21-28-LSJ01</t>
  </si>
  <si>
    <t>21-28-LSJ02</t>
  </si>
  <si>
    <t>21-28-LSJ03</t>
  </si>
  <si>
    <t>80</t>
  </si>
  <si>
    <t>21-28-SBW03</t>
  </si>
  <si>
    <t>21-28-HB01</t>
  </si>
  <si>
    <t>21-28-SBM02</t>
  </si>
  <si>
    <t>21-29-LSR01</t>
  </si>
  <si>
    <t>21-29-LSJ01</t>
  </si>
  <si>
    <t>21-29-LSJ02</t>
  </si>
  <si>
    <t>Tow 1 was code 2: twist in net; Eddos and Rio crews didn't sample today; Rio sampling is schedule to resume tomorrow</t>
  </si>
  <si>
    <t>21-29-CS01</t>
  </si>
  <si>
    <t>Tow 1 was code 3:  vegeatation blocking net; four more tows were completed due to the code 3</t>
  </si>
  <si>
    <t>21-29-CS02</t>
  </si>
  <si>
    <t>21-29-CS03</t>
  </si>
  <si>
    <t>Tow 1 was code 2: twist in net; Tow 3 was code 2: (Distance from site exceeded target distance: 0.59 mi at stop)</t>
  </si>
  <si>
    <t>21-29-PP01</t>
  </si>
  <si>
    <t>Tow 4 was code 2: (Distance from site exceeded target distance: 0.60 mi at stop)</t>
  </si>
  <si>
    <t>21-29-SJT01</t>
  </si>
  <si>
    <t>21-29-LSJ03</t>
  </si>
  <si>
    <t>Eddo's sampling has been cancelled for the week</t>
  </si>
  <si>
    <t>21-29-LSSC02</t>
  </si>
  <si>
    <t>4 Wakasagi captured and retained for ID verification (95-100)</t>
  </si>
  <si>
    <t>21-29-LSSC03</t>
  </si>
  <si>
    <t>232</t>
  </si>
  <si>
    <t>Tow 2 was code 2: large hole in net; only two tows were completed due to code 2; RBTC was a code 9; no more sites were completed due to condition of gear</t>
  </si>
  <si>
    <t>21-29-SBM01</t>
  </si>
  <si>
    <t>21-29-SBM04</t>
  </si>
  <si>
    <t>Tow 1 was cut short due to shallow area (8 min)</t>
  </si>
  <si>
    <t>21-29-CF01</t>
  </si>
  <si>
    <t>21-29-RV01</t>
  </si>
  <si>
    <t>21-29-LSR02</t>
  </si>
  <si>
    <t>21-29-LSR03</t>
  </si>
  <si>
    <t>21-29-LSSC01</t>
  </si>
  <si>
    <t>Lower Sac River Ship Channel</t>
  </si>
  <si>
    <t>Tow 1 cut short due to sea lion sighting (8 minutes)</t>
  </si>
  <si>
    <t>21-29-SBW01</t>
  </si>
  <si>
    <t>21-29-GB01</t>
  </si>
  <si>
    <t>21-29-SBM03</t>
  </si>
  <si>
    <t>21-29-FT01</t>
  </si>
  <si>
    <t>21-29-GLW01</t>
  </si>
  <si>
    <t>Tow 3 was code 2 (twist in net at cod end)</t>
  </si>
  <si>
    <t>21-29-HC01</t>
  </si>
  <si>
    <t>Code 4: too shallow and SAV</t>
  </si>
  <si>
    <t>21-29-HC02</t>
  </si>
  <si>
    <t>21-29-MIW01</t>
  </si>
  <si>
    <t>21-29-VC01</t>
  </si>
  <si>
    <t>21-29-SBM02</t>
  </si>
  <si>
    <t>21-29-SM01</t>
  </si>
  <si>
    <t>65-101</t>
  </si>
  <si>
    <t>LFS @ 83 mm was code 9</t>
  </si>
  <si>
    <t>21-29-SM02</t>
  </si>
  <si>
    <t>64-73</t>
  </si>
  <si>
    <t>21-30-CS01</t>
  </si>
  <si>
    <t>Tow 2 was code 2: Partial net blockage due to vegetation; only 2 tows were completed due bridge near site location</t>
  </si>
  <si>
    <t>21-30-CS02</t>
  </si>
  <si>
    <t xml:space="preserve">Code 4:  too much vegetation at site </t>
  </si>
  <si>
    <t>21-30-CS03</t>
  </si>
  <si>
    <t>21-30-CS04</t>
  </si>
  <si>
    <t>226</t>
  </si>
  <si>
    <t>RBTC was a code 9</t>
  </si>
  <si>
    <t>21-30-PP01</t>
  </si>
  <si>
    <t>21-30-SJT01</t>
  </si>
  <si>
    <t>204</t>
  </si>
  <si>
    <t>21-30-LSJ02</t>
  </si>
  <si>
    <t>21-30-SPE01</t>
  </si>
  <si>
    <t>200</t>
  </si>
  <si>
    <t>Tow 3 was code 2: large hole in net; only 3 tows were completed due to code 2; no more sites were completed in the WD</t>
  </si>
  <si>
    <t>21-30-LSJ01</t>
  </si>
  <si>
    <t>218</t>
  </si>
  <si>
    <t>Tow 4 was not completed due to high wind. No other sites were completed today by the Korths crew due to high winds</t>
  </si>
  <si>
    <t>21-30-LSSC01</t>
  </si>
  <si>
    <t>4 Wakasagi were captured and retained for ID verification (82-98 mm)</t>
  </si>
  <si>
    <t>21-30-LSSC02</t>
  </si>
  <si>
    <t>5 Wakasagi were captured and retained for ID verification (89-104 mm)</t>
  </si>
  <si>
    <t>21-30-USSC01</t>
  </si>
  <si>
    <t>1 Wakasagi was captured and retained for ID verification (103 mm)</t>
  </si>
  <si>
    <t>21-30-SBW01</t>
  </si>
  <si>
    <t>205</t>
  </si>
  <si>
    <t>RBTC was code 9</t>
  </si>
  <si>
    <t>21-30-CQS01</t>
  </si>
  <si>
    <t>21-30-CQS02</t>
  </si>
  <si>
    <t>21-30-RV01</t>
  </si>
  <si>
    <t>No sampling occurred on Thursday Feb 18 due to Covid mitigation measures</t>
  </si>
  <si>
    <t>21-30-RV02</t>
  </si>
  <si>
    <t>The number of tows conducted per site today was reduced from 4 to 2</t>
  </si>
  <si>
    <t>21-30-LSR01</t>
  </si>
  <si>
    <t>21-30-LSR02</t>
  </si>
  <si>
    <t>120</t>
  </si>
  <si>
    <t>4</t>
  </si>
  <si>
    <t>CHNT was code 9</t>
  </si>
  <si>
    <t>240</t>
  </si>
  <si>
    <t>21-30-LSR03</t>
  </si>
  <si>
    <t>21-30-LSR04</t>
  </si>
  <si>
    <t>217-247</t>
  </si>
  <si>
    <t>RBTC were code 9</t>
  </si>
  <si>
    <t>21-30-PP02</t>
  </si>
  <si>
    <t>San Joaquin River at Prisoners Point</t>
  </si>
  <si>
    <t>214</t>
  </si>
  <si>
    <t>21-30-FT01</t>
  </si>
  <si>
    <t>21-30-MIW01</t>
  </si>
  <si>
    <t>Tow 1 was 8 min due to ending early for sea lion; tow 2 was 10 min</t>
  </si>
  <si>
    <t>21-30-MIW02</t>
  </si>
  <si>
    <t>21-30-OR01</t>
  </si>
  <si>
    <t>21-30-SBW02</t>
  </si>
  <si>
    <t>21-30-HB01</t>
  </si>
  <si>
    <t>Code 4: many sea lions at site</t>
  </si>
  <si>
    <t>21-30-SBM01</t>
  </si>
  <si>
    <t>21-30-SBM02</t>
  </si>
  <si>
    <t>Code 4: site not accessible, within the Port Chicago dock</t>
  </si>
  <si>
    <t>21-30-SBM03</t>
  </si>
  <si>
    <t>21-30-SBM04</t>
  </si>
  <si>
    <t>21-30-SM02</t>
  </si>
  <si>
    <t>Only 1 tow conducted at site due to boat issues. No further sampling of Suisun Marsh strata completed</t>
  </si>
  <si>
    <t>21-31-CS01</t>
  </si>
  <si>
    <t>Code 4: too many snags in water; very narrow channel with fallen trees</t>
  </si>
  <si>
    <t>21-31-CS02</t>
  </si>
  <si>
    <t>21-31-CS03</t>
  </si>
  <si>
    <t>21-31-CS04</t>
  </si>
  <si>
    <t>183</t>
  </si>
  <si>
    <t>3</t>
  </si>
  <si>
    <t>21-31-CS05</t>
  </si>
  <si>
    <t>21-31-LSJ01</t>
  </si>
  <si>
    <t>21-31-LSJ02</t>
  </si>
  <si>
    <t xml:space="preserve">Tow 3 was a code 3:  tow cut short due to shipping traffic; extra tow was completed due to the code 3 </t>
  </si>
  <si>
    <t>21-31-LSJ03</t>
  </si>
  <si>
    <t>21-31-CQS01</t>
  </si>
  <si>
    <t>21-31-SPE01</t>
  </si>
  <si>
    <t>84</t>
  </si>
  <si>
    <t>21-31-LNR01</t>
  </si>
  <si>
    <t>21-31-PP01</t>
  </si>
  <si>
    <t>Tow 1 was a code 2:  bouy wrapped around net</t>
  </si>
  <si>
    <t>21-31-SJT01</t>
  </si>
  <si>
    <t>21-31-SJT02</t>
  </si>
  <si>
    <t>21-31-LSSC01</t>
  </si>
  <si>
    <t>210-247</t>
  </si>
  <si>
    <t>Tow 1 was a code 2:  twist in net</t>
  </si>
  <si>
    <t>RBT</t>
  </si>
  <si>
    <t>3 Wakasagi were captured and retained for ID verification (95-97 mm)</t>
  </si>
  <si>
    <t>248</t>
  </si>
  <si>
    <t>RBTC was a Code 9</t>
  </si>
  <si>
    <t>21-31-LSSC02</t>
  </si>
  <si>
    <t>Only 3 tows completed at this site due to heavy winds</t>
  </si>
  <si>
    <t>21-31-LSSC03</t>
  </si>
  <si>
    <t>254</t>
  </si>
  <si>
    <t>2 Wakasagi were captured and retained for ID verification (97-100 mm)</t>
  </si>
  <si>
    <t>21-31-SM01</t>
  </si>
  <si>
    <t>Only 2 tows completed at this site due to heavy winds</t>
  </si>
  <si>
    <t>21-31-SM02</t>
  </si>
  <si>
    <t>21-31-SM03</t>
  </si>
  <si>
    <t>21-31-RV01</t>
  </si>
  <si>
    <t>21-31-RV02</t>
  </si>
  <si>
    <t>YSI was not working for Tow 1: temp and E/C obtained for tows 2-4 only</t>
  </si>
  <si>
    <t>21-31-RV03</t>
  </si>
  <si>
    <t>21-31-MRW01</t>
  </si>
  <si>
    <t>Tow 4 ended at 8 minutes</t>
  </si>
  <si>
    <t>21-31-MRW02</t>
  </si>
  <si>
    <t>21-31-MIW01</t>
  </si>
  <si>
    <t>21-31-HB01</t>
  </si>
  <si>
    <t>Tow 4 was code 2 (boats towed past target distance from site)</t>
  </si>
  <si>
    <t>21-31-HB02</t>
  </si>
  <si>
    <t>21-31-SBM01</t>
  </si>
  <si>
    <t>21-31-RV04</t>
  </si>
  <si>
    <t>21-31-LSR01</t>
  </si>
  <si>
    <t>21-31-LSR02</t>
  </si>
  <si>
    <t>217</t>
  </si>
  <si>
    <t>RBTC was Code 9</t>
  </si>
  <si>
    <t>21-31-LSR03</t>
  </si>
  <si>
    <t>Code 4:  Site inaccessible</t>
  </si>
  <si>
    <t>21-31-FT01</t>
  </si>
  <si>
    <t>21-31-HC01</t>
  </si>
  <si>
    <t>21-31-HC02</t>
  </si>
  <si>
    <t>21-31-SBW01</t>
  </si>
  <si>
    <t>21-31-SBW02</t>
  </si>
  <si>
    <t>21-31-CF01</t>
  </si>
  <si>
    <t>Tow 1 was a code 2 (twist in net)</t>
  </si>
  <si>
    <t>21-32-CS01</t>
  </si>
  <si>
    <t>21-32-CS02</t>
  </si>
  <si>
    <t>21-32-CS03</t>
  </si>
  <si>
    <t>21-32-SJT01</t>
  </si>
  <si>
    <t>275</t>
  </si>
  <si>
    <t>21-32-SJT02</t>
  </si>
  <si>
    <t>21-32-LSJ01</t>
  </si>
  <si>
    <t>21-32-CQS01</t>
  </si>
  <si>
    <t>SSM</t>
  </si>
  <si>
    <t>101</t>
  </si>
  <si>
    <t>Tow 2 was a code 2: Twist in net; OSM was tentatively identified in the field as a Delta Smelt based on physical characteristics and was relinquished alive to FCCL for ID verification and use as broodstock, if applicable. Species code will be updated when ID confirmation occurs. Update:  OSM was believe to be a hybrid; Genetics confirmed by Finger Lab at UCD that OSM was SSM on 4/1/2021</t>
  </si>
  <si>
    <t>RBTC was Code 9; only 3 tows were completed at this site</t>
  </si>
  <si>
    <t>21-32-LNR01</t>
  </si>
  <si>
    <t>25</t>
  </si>
  <si>
    <t>21-32-PP01</t>
  </si>
  <si>
    <t>21-32-PP02</t>
  </si>
  <si>
    <t>21-32-PP03</t>
  </si>
  <si>
    <t>Tow 1 was a code 2: twist in net</t>
  </si>
  <si>
    <t>21-32-LSSC01</t>
  </si>
  <si>
    <t>21-32-USSC01</t>
  </si>
  <si>
    <t>21-32-USSC02</t>
  </si>
  <si>
    <t>21-32--GB01</t>
  </si>
  <si>
    <t>Tow 2 was a code 2: depth below 2.1 m for more than half the tow; Tow 3 and 4 were not completed due to the code 2</t>
  </si>
  <si>
    <t>21-32-SM01</t>
  </si>
  <si>
    <t>75</t>
  </si>
  <si>
    <t>83</t>
  </si>
  <si>
    <t>21-32-SM02</t>
  </si>
  <si>
    <t>80-81</t>
  </si>
  <si>
    <t>21-32-RV01</t>
  </si>
  <si>
    <t>21-32-RV03</t>
  </si>
  <si>
    <t>21-32-LSR01</t>
  </si>
  <si>
    <t>21-32-FT01</t>
  </si>
  <si>
    <t>Tow 1 was a code 2: Partial net blockage due to vegetation</t>
  </si>
  <si>
    <t>21-32-FT02</t>
  </si>
  <si>
    <t>Tows 2, 3, and 4 were code 2: Partial net blockage due to vegetation</t>
  </si>
  <si>
    <t>21-32-RS01</t>
  </si>
  <si>
    <t>Code 4:  Too shallow</t>
  </si>
  <si>
    <t>21-32-RS02</t>
  </si>
  <si>
    <t>Tows 3 and 4 were code 2: Partial net blockage due to vegetation</t>
  </si>
  <si>
    <t>21-32-SBM02</t>
  </si>
  <si>
    <t>21-32-SBM03</t>
  </si>
  <si>
    <t>CHNF</t>
  </si>
  <si>
    <t>21-32-SBM04</t>
  </si>
  <si>
    <t>21-32-RV02</t>
  </si>
  <si>
    <t>21-32-RV04</t>
  </si>
  <si>
    <t>21-32-LSR02</t>
  </si>
  <si>
    <t>21-32-GLW01</t>
  </si>
  <si>
    <t>Only 3 tows completed due to hyainth</t>
  </si>
  <si>
    <t>21-32-MIW01</t>
  </si>
  <si>
    <t>21-32-CF01</t>
  </si>
  <si>
    <t>21-32-HB01</t>
  </si>
  <si>
    <t>21-32-SBM01</t>
  </si>
  <si>
    <t>Tow 4 was a code 2: (Distance from site exceeded target distance: went over .01 with 39 seconds left in tow)</t>
  </si>
  <si>
    <t>21-33-PP01</t>
  </si>
  <si>
    <t>21-33-PP02</t>
  </si>
  <si>
    <t xml:space="preserve"> The number of tows conducted per site today was reduced from 4 to 2 for the Korths crew</t>
  </si>
  <si>
    <t>21-33-PP03</t>
  </si>
  <si>
    <t>21-33-SJT01</t>
  </si>
  <si>
    <t>21-33-LSJ01</t>
  </si>
  <si>
    <t>21-33-LSJ02</t>
  </si>
  <si>
    <t>21-33-USSC01</t>
  </si>
  <si>
    <t>Upper Sac River Ship Channel</t>
  </si>
  <si>
    <t>RBTC was Code 9; only 2 tows were completed at this site due to poor conditions</t>
  </si>
  <si>
    <t>21-33-CS01</t>
  </si>
  <si>
    <t>21-33-CS02</t>
  </si>
  <si>
    <t>21-33-CS03</t>
  </si>
  <si>
    <t>21-33-RV01</t>
  </si>
  <si>
    <t>21-33-LSR01</t>
  </si>
  <si>
    <t>194</t>
  </si>
  <si>
    <t>21-33-FT01</t>
  </si>
  <si>
    <t>21-33-FT02</t>
  </si>
  <si>
    <t>Tow 1 and 2 were Code 2:  Partial net blockage due to vegetation</t>
  </si>
  <si>
    <t>21-33-MIW01</t>
  </si>
  <si>
    <t>Code 4: Too shallow</t>
  </si>
  <si>
    <t>21-33-FT03</t>
  </si>
  <si>
    <t>Tow 2 was a code 2: partial net blockage due to vegetation</t>
  </si>
  <si>
    <t>21-33-FT04</t>
  </si>
  <si>
    <t>21-33-MIW02</t>
  </si>
  <si>
    <t>21-33-MIW03</t>
  </si>
  <si>
    <t>EDSM did not sample on 3/10/2021 due to Covid mitigation actions; Rio crew did not sample today due to Covid mitigation actions</t>
  </si>
  <si>
    <t>21-33-SBW01</t>
  </si>
  <si>
    <t>21-33-SBW02</t>
  </si>
  <si>
    <t>21-33-SBM01</t>
  </si>
  <si>
    <t>21-33-GB01</t>
  </si>
  <si>
    <t>21-33-SM01</t>
  </si>
  <si>
    <t>Rio crew did not sample today due to Covid mitigation actions</t>
  </si>
  <si>
    <t>21-34-PP01</t>
  </si>
  <si>
    <t>21-34-PP03</t>
  </si>
  <si>
    <t>21-34-SJT02</t>
  </si>
  <si>
    <t>21-34-LSSC01</t>
  </si>
  <si>
    <t>Tow 3 was a code 2: buoy line wrapped around net</t>
  </si>
  <si>
    <t>21-34-LSSC02</t>
  </si>
  <si>
    <t>Tow 1 was a code 2: buoy wrapped around cod end</t>
  </si>
  <si>
    <t>21-34-USSC01</t>
  </si>
  <si>
    <t>21-34-SM01</t>
  </si>
  <si>
    <t>21-34-SM02</t>
  </si>
  <si>
    <t>21-34-SM03</t>
  </si>
  <si>
    <t>CHNW</t>
  </si>
  <si>
    <t>105</t>
  </si>
  <si>
    <t>DO sensor not working during tow 4</t>
  </si>
  <si>
    <t>21-34-RV01</t>
  </si>
  <si>
    <t>Pittsburg Crew did not sample today</t>
  </si>
  <si>
    <t>21-34-RV02</t>
  </si>
  <si>
    <t>21-34-RV03</t>
  </si>
  <si>
    <t>21-34-PP02</t>
  </si>
  <si>
    <t>Turbidity meter not working</t>
  </si>
  <si>
    <t>21-34-SJT01</t>
  </si>
  <si>
    <t>Turbidity meter not working during tow 3 &amp; 4</t>
  </si>
  <si>
    <t>21-34-LSJ01</t>
  </si>
  <si>
    <t>241</t>
  </si>
  <si>
    <t>RBTC was code 9; Tow 1 was a Code 2: twist in net; Tow 3 was a Code 2 (Distance from site exceeded target distance: 0.69mi at stop)</t>
  </si>
  <si>
    <t>21-34-LSR01</t>
  </si>
  <si>
    <t>21-34-LSR02</t>
  </si>
  <si>
    <t>81</t>
  </si>
  <si>
    <t>21-34-LSR03</t>
  </si>
  <si>
    <t>21-34-HC01</t>
  </si>
  <si>
    <t>21-34-OR01</t>
  </si>
  <si>
    <t>Tow 4 was a code 2: (Distance from site exceeded target distance: 0.6 mi at stop)</t>
  </si>
  <si>
    <t>21-34-OR02</t>
  </si>
  <si>
    <t>21-34-SBW01</t>
  </si>
  <si>
    <t>21-34-SBW02</t>
  </si>
  <si>
    <t>21-34-SBM01</t>
  </si>
  <si>
    <t>21-34-CS03</t>
  </si>
  <si>
    <t>Code 4: Heavy SAV</t>
  </si>
  <si>
    <t>21-34-FT01</t>
  </si>
  <si>
    <t>21-34-FT02</t>
  </si>
  <si>
    <t>21-34-MIW01</t>
  </si>
  <si>
    <t>21-34-CF01</t>
  </si>
  <si>
    <t>Tow 4 was a code 2: (Distance from the site exceeded target distance: 0.58 mi at stop)</t>
  </si>
  <si>
    <t>21-34-CF02</t>
  </si>
  <si>
    <t>21-34-SBM02</t>
  </si>
  <si>
    <t>21-34-CS01</t>
  </si>
  <si>
    <t>21-34-CS02</t>
  </si>
  <si>
    <t>Tow 1 and 4 were code 2: Partial net blockage due to vegetation; Tow 3 was a code 2: (Distance from site exceeds target distance: 0.67mi at stop)</t>
  </si>
  <si>
    <t>21-34-CS04</t>
  </si>
  <si>
    <t>21-34-CQS01</t>
  </si>
  <si>
    <t xml:space="preserve">Tow 2 was a code 2: Twist in net; Ended after 2 tows due to strong current </t>
  </si>
  <si>
    <t>21-34-SPE01</t>
  </si>
  <si>
    <t>21-34-LNR01</t>
  </si>
  <si>
    <t>21-35-LSR02</t>
  </si>
  <si>
    <t>21-35-LSR03</t>
  </si>
  <si>
    <t>21-35-LSR04</t>
  </si>
  <si>
    <t>Tow 4 was a code 2: (Distance from the site exceeded target distance: 0.57mi at stop)</t>
  </si>
  <si>
    <t>21-35-SJT02</t>
  </si>
  <si>
    <t>21-35-LSJ01</t>
  </si>
  <si>
    <t>21-35-LSJ02</t>
  </si>
  <si>
    <t>21-35-CQS01</t>
  </si>
  <si>
    <t>21-35-CQS02</t>
  </si>
  <si>
    <t>Tow 2 was a code 2: (Distance from the site exceeded target distance: 0.61mi at stop)</t>
  </si>
  <si>
    <t>21-35-SPE01</t>
  </si>
  <si>
    <t>Tow 4 was a code 2: (Distance from the site exceeded target distance: 0.63mi at stop)</t>
  </si>
  <si>
    <t>21-35-CS01</t>
  </si>
  <si>
    <t>All EDSM sampling for 3/23/2021 was canceled due to Covid mitigation action</t>
  </si>
  <si>
    <t>21-35-CS02</t>
  </si>
  <si>
    <t>Tows 1&amp;2 were code 2 (partial veg blockage)</t>
  </si>
  <si>
    <t>21-35-LSSC01</t>
  </si>
  <si>
    <t>Tow 1 upstream, Tow 2 downstream</t>
  </si>
  <si>
    <t>21-35-USSC01</t>
  </si>
  <si>
    <t>The number of tows conducted per site was reduced from 4 to 2 for the rest of the week</t>
  </si>
  <si>
    <t>21-35-USSC02</t>
  </si>
  <si>
    <t>21-35-SBM01</t>
  </si>
  <si>
    <t>Started Tow 1 450 ft from target</t>
  </si>
  <si>
    <t>21-35-SM01</t>
  </si>
  <si>
    <t>28</t>
  </si>
  <si>
    <t>LFS died after measurement, was returned to lab</t>
  </si>
  <si>
    <t>21-35-SM02</t>
  </si>
  <si>
    <t>26</t>
  </si>
  <si>
    <t>LFS was brought back to lab for ID verification</t>
  </si>
  <si>
    <t>21-35-SM03</t>
  </si>
  <si>
    <t>Eddos crew is not sampling the rest of the week due to Covid mitigation actions</t>
  </si>
  <si>
    <t>21-35-SBW01</t>
  </si>
  <si>
    <t>21-35-SBW02</t>
  </si>
  <si>
    <t>21-35-SBW03</t>
  </si>
  <si>
    <t>Tow 2 was a code 2: Buoy wrapped around cod end</t>
  </si>
  <si>
    <t>21-35-HB01</t>
  </si>
  <si>
    <t>20-49-SM01</t>
  </si>
  <si>
    <t>20-49-SM02</t>
  </si>
  <si>
    <t>Tow 2 was code 2 (Net stuck on bottom at end of tow; mud in net)</t>
  </si>
  <si>
    <t>20-49-GB01</t>
  </si>
  <si>
    <t>20-49-LSR02</t>
  </si>
  <si>
    <t>20-49-RV03</t>
  </si>
  <si>
    <t>Tow 1 was code 2 (Twist in net, partial blockage)</t>
  </si>
  <si>
    <t>20-49-RV04</t>
  </si>
  <si>
    <t>20-49-CS01</t>
  </si>
  <si>
    <t>Cache Slough/Liberty Island</t>
  </si>
  <si>
    <t>20-49-CS02</t>
  </si>
  <si>
    <t>Tow 1 was code 2 (Twist in net); Tow 2 was code 2 (Distance from site exceeded target distance, was 0.59 mi at stop); Tow 4 was code 2 (Distance from site exceeded target distance, was 0.7 mi at stop)</t>
  </si>
  <si>
    <t>20-49-CS03</t>
  </si>
  <si>
    <t>Tues</t>
  </si>
  <si>
    <t>20-49-LSR01</t>
  </si>
  <si>
    <t>20-49-RV01</t>
  </si>
  <si>
    <t>20-49-RV02</t>
  </si>
  <si>
    <t>20-49-SM03</t>
  </si>
  <si>
    <t>20-49-SM04</t>
  </si>
  <si>
    <t>20-49-SM05</t>
  </si>
  <si>
    <t>20-49-CS04</t>
  </si>
  <si>
    <t>20-49-CS06</t>
  </si>
  <si>
    <t>Code 4: Too Shallow</t>
  </si>
  <si>
    <t>20-49-CS07</t>
  </si>
  <si>
    <t>20-49-CS05</t>
  </si>
  <si>
    <t>Tow 1 was code 2 (Knot in net)</t>
  </si>
  <si>
    <t>20-49-LSJ01</t>
  </si>
  <si>
    <t>Lower San Joaquin River</t>
  </si>
  <si>
    <t>20-49-LSJ02</t>
  </si>
  <si>
    <t>20-49-LSJ03</t>
  </si>
  <si>
    <t>20-49-CF01</t>
  </si>
  <si>
    <t>41-47</t>
  </si>
  <si>
    <t>DSM flash frozen for UCDavis</t>
  </si>
  <si>
    <t>20-49-HB01</t>
  </si>
  <si>
    <t>20-49-SBW01</t>
  </si>
  <si>
    <t>20-49-LSSC01</t>
  </si>
  <si>
    <t>20-49-LSSC02</t>
  </si>
  <si>
    <t>Tow 2 was code 2 (Distance from site exceeded target distance, was 0.6 mi at stop)</t>
  </si>
  <si>
    <t>20-49-USSC01</t>
  </si>
  <si>
    <t>20-49-USSC02</t>
  </si>
  <si>
    <t>Thurs</t>
  </si>
  <si>
    <t>20-49-SBM01</t>
  </si>
  <si>
    <t>20-49-HB02</t>
  </si>
  <si>
    <t>20-49-CF02</t>
  </si>
  <si>
    <t>Tows 1 and 2 were code 2 (Partial net blockage due to vegetation)</t>
  </si>
  <si>
    <t>20-49-LSSC05</t>
  </si>
  <si>
    <t>DSM flash frozen for UCD; 2 Wakasagi (60-63mm) retained for verification</t>
  </si>
  <si>
    <t>20-49-LSSC03</t>
  </si>
  <si>
    <t>20-49-LSSC04</t>
  </si>
  <si>
    <t>20-49-PP02</t>
  </si>
  <si>
    <t xml:space="preserve">South </t>
  </si>
  <si>
    <t>20-49-PP03</t>
  </si>
  <si>
    <t>20-49-PP01</t>
  </si>
  <si>
    <t>20-50-PP03</t>
  </si>
  <si>
    <t>20-50-PP01</t>
  </si>
  <si>
    <t>Turbidity meter not working for all tows. Tow 1 was code 2 (Twist in net)</t>
  </si>
  <si>
    <t>20-50-PP02</t>
  </si>
  <si>
    <t>20-50-LSSC01</t>
  </si>
  <si>
    <t>DSM flash frozen for UCD</t>
  </si>
  <si>
    <t>20-50-LSSC02</t>
  </si>
  <si>
    <t>43-49</t>
  </si>
  <si>
    <t>DSM flash frozen for UCD; 3 DSM (43-46mm) initially returned as WAG but IDed in lab as DSM and being sent to DOP for verification; 30 Wakasagi (51-71mm) retained for verification; Tow 1 was code 2 (Twist in net)</t>
  </si>
  <si>
    <t>20-50-USSC01</t>
  </si>
  <si>
    <t>20-50-SM02</t>
  </si>
  <si>
    <t>20-50-SM03</t>
  </si>
  <si>
    <t xml:space="preserve">Code 4: Too Shallow; No sites performed at Pittsburg today due to boat issues. Sites will be completed later in the week. </t>
  </si>
  <si>
    <t>20-50-LSSC04</t>
  </si>
  <si>
    <t>Tow 1 was code 2 (Buoy line wrapped around net/twist in net)</t>
  </si>
  <si>
    <t>20-50-LSSC05</t>
  </si>
  <si>
    <t>DSM flash frozen for UCD; 15 Wakasagi (55-74mm) retained for verification; Tow 1 was code 2 (Twist in net)</t>
  </si>
  <si>
    <t>20-50-LSSC03</t>
  </si>
  <si>
    <t>20-50-SJT01</t>
  </si>
  <si>
    <t>San Joaquin River at Twitchell Island</t>
  </si>
  <si>
    <t>20-50-LSJ02</t>
  </si>
  <si>
    <t>20-50-LSJ01</t>
  </si>
  <si>
    <t>20-50-GB01</t>
  </si>
  <si>
    <t>Tow 1 was code 2 (Started 500ft from target point); Tow 2 was code 2 (Twist in net); Tow 4 was code 2 (Distance from site exceeded target distance, was 0.57 mi at stop)</t>
  </si>
  <si>
    <t>20-50-SM04</t>
  </si>
  <si>
    <t>20-50-SM01</t>
  </si>
  <si>
    <t>Weds</t>
  </si>
  <si>
    <t>20-50-CS02</t>
  </si>
  <si>
    <t>20-50-CS03</t>
  </si>
  <si>
    <t>20-50-CS01</t>
  </si>
  <si>
    <t>20-50-HB01</t>
  </si>
  <si>
    <t>20-50-SBW01</t>
  </si>
  <si>
    <t>20-50-CF01</t>
  </si>
  <si>
    <t>20-50-LSR02</t>
  </si>
  <si>
    <t>20-50-LSR01</t>
  </si>
  <si>
    <t>33-41</t>
  </si>
  <si>
    <t>DSM flash frozen for UCD; 7 Wakasagi (57-68mm) retained for verification</t>
  </si>
  <si>
    <t>OSM</t>
  </si>
  <si>
    <t>OSM waiting for further ID verification </t>
  </si>
  <si>
    <t>20-50-RV04</t>
  </si>
  <si>
    <t>20-50-CS04</t>
  </si>
  <si>
    <t>20-50-CS06</t>
  </si>
  <si>
    <t>20-50-CS05</t>
  </si>
  <si>
    <t>20-50-GB03</t>
  </si>
  <si>
    <t>20-50-GB02</t>
  </si>
  <si>
    <t>20-50-SM06</t>
  </si>
  <si>
    <t>20-50-SM05</t>
  </si>
  <si>
    <t>Tow 1 was code 3 (Net not separating properly); 5 tows performed</t>
  </si>
  <si>
    <t>20-50-RV02</t>
  </si>
  <si>
    <t>20-50-RV03</t>
  </si>
  <si>
    <t>20-50-RV01</t>
  </si>
  <si>
    <t>Friday</t>
  </si>
  <si>
    <t>20-50-SBM01</t>
  </si>
  <si>
    <t>20-50-SBW02</t>
  </si>
  <si>
    <t>Tow 2 was code 3 (Distance from site exceeded target distance, was 0.6 mi at stop)</t>
  </si>
  <si>
    <t>20-50-SBM02</t>
  </si>
  <si>
    <t>20-50-CF02</t>
  </si>
  <si>
    <t>20-51-CS03</t>
  </si>
  <si>
    <t>20-51-CS01</t>
  </si>
  <si>
    <t>20-51-CS02</t>
  </si>
  <si>
    <t>20-51-SBW01</t>
  </si>
  <si>
    <t>20-51-SBM01</t>
  </si>
  <si>
    <t>20-51-HB01</t>
  </si>
  <si>
    <t>20-51-PP03</t>
  </si>
  <si>
    <t>20-51-PP01</t>
  </si>
  <si>
    <t>20-51-PP02</t>
  </si>
  <si>
    <t>20-51-LSJ03</t>
  </si>
  <si>
    <t>Tow 3 was code 2 (Distance from site exceeded target distance, was 0.6 mi at stop)</t>
  </si>
  <si>
    <t>20-51-LSJ01</t>
  </si>
  <si>
    <t>20-51-LSJ02</t>
  </si>
  <si>
    <t>20-51-SBW03</t>
  </si>
  <si>
    <t>20-51-SBW02</t>
  </si>
  <si>
    <t>20-51-CF01</t>
  </si>
  <si>
    <t>20-51-CS06</t>
  </si>
  <si>
    <t>Tow 2 was code 2 (Partial net blockage due to vegetation); Tow 3 was code 3 (Net blocked by vegetation); Tow 4 was code 2 (Buoy line wrapped around net/partial blockage); 5th tow not conducted due to excessive vegitation.</t>
  </si>
  <si>
    <t>20-51-CS04</t>
  </si>
  <si>
    <t>Code 4: Too much vegetation</t>
  </si>
  <si>
    <t>20-51-CS07</t>
  </si>
  <si>
    <t>20-51-CS05</t>
  </si>
  <si>
    <t>20-51-CS08</t>
  </si>
  <si>
    <t>20-51-CS09</t>
  </si>
  <si>
    <t>20-51-LSSC02</t>
  </si>
  <si>
    <t>20-51-LSSC03</t>
  </si>
  <si>
    <t>UNID at 42mm waiting for further ID verification, in poor condition; Tow 3 was code 2 (Distance from site exceeded target distance, was 0.68 mi at stop)</t>
  </si>
  <si>
    <t>20-51-LSSC01</t>
  </si>
  <si>
    <t>20-51-SM01</t>
  </si>
  <si>
    <t>20-51-SM02</t>
  </si>
  <si>
    <t>1 Wakasagi (70mm) retained for verification</t>
  </si>
  <si>
    <t>20-51-SM03</t>
  </si>
  <si>
    <t>20-51-RV03</t>
  </si>
  <si>
    <t>20-51-RV04</t>
  </si>
  <si>
    <t>20-51-LSR02</t>
  </si>
  <si>
    <t>20-51-USSC01</t>
  </si>
  <si>
    <t>20-51-LSSC05</t>
  </si>
  <si>
    <t>20-51-LSSC04</t>
  </si>
  <si>
    <t>20-51-LSR01</t>
  </si>
  <si>
    <t>20-51-RV02</t>
  </si>
  <si>
    <t>20-51-RV01</t>
  </si>
  <si>
    <t>20-51-SM04</t>
  </si>
  <si>
    <t>Tow 1 was code 2 (Distance from site exceeded target distance, was 0.61 mi at stop)</t>
  </si>
  <si>
    <t>20-51-SM05</t>
  </si>
  <si>
    <t>20-51-GB01</t>
  </si>
  <si>
    <t>20-52-SM03</t>
  </si>
  <si>
    <t>20-52-SM02</t>
  </si>
  <si>
    <t>Tow 2 was code 2 (Distance from site exceeded target distance, was 0.58 mi at stop)</t>
  </si>
  <si>
    <t>20-52-SM01</t>
  </si>
  <si>
    <t>20-52-USSC01</t>
  </si>
  <si>
    <t>Tow 4 was code 2 (Distance from site exceeded target distance, was 0.58 mi at stop)</t>
  </si>
  <si>
    <t>20-52-USSC02</t>
  </si>
  <si>
    <t>20-52-LSSC01</t>
  </si>
  <si>
    <t xml:space="preserve">No sites performed at Eddo's today due to windy conditions. Sites will be completed later in the week. </t>
  </si>
  <si>
    <t>20-52-SM04</t>
  </si>
  <si>
    <t>20-52-GB01</t>
  </si>
  <si>
    <t>20-52-SM05</t>
  </si>
  <si>
    <t>20-52-USSC03</t>
  </si>
  <si>
    <t>20-52-LSSC03</t>
  </si>
  <si>
    <t>5 Wakasagi (61-75mm) retained for verification</t>
  </si>
  <si>
    <t>20-52-LSSC02</t>
  </si>
  <si>
    <t>20-52-RV02</t>
  </si>
  <si>
    <t>20-52-LSR01</t>
  </si>
  <si>
    <t>20-52-RV01</t>
  </si>
  <si>
    <t>20-52-CS02</t>
  </si>
  <si>
    <t>Tow 2 was code 2 (partial net blockage due to vegetation)</t>
  </si>
  <si>
    <t>20-52-CS01</t>
  </si>
  <si>
    <t>20-52-CS03</t>
  </si>
  <si>
    <t>20-52-SBW01</t>
  </si>
  <si>
    <t>20-52-HB01</t>
  </si>
  <si>
    <t>Tow 2 was code 2 (twist in net)</t>
  </si>
  <si>
    <t>20-52-CF01</t>
  </si>
  <si>
    <t>Tows 1 and 3 were code 2 (buoy line wrapped around net); Tow 2 was code 2 (Distance from site exceeded target distance, was 0.58 mi at stop)</t>
  </si>
  <si>
    <t>20-52-LSR02</t>
  </si>
  <si>
    <t>20-52-RV04</t>
  </si>
  <si>
    <t>20-52-RV03</t>
  </si>
  <si>
    <t>20-52-SBM01</t>
  </si>
  <si>
    <t xml:space="preserve">Tows 1 and 2 were code 2 (Twist in net). No further sites performed at Pitts due to boat issues. Sites will be completed tomorrow. </t>
  </si>
  <si>
    <t>20-52-CS04</t>
  </si>
  <si>
    <t xml:space="preserve">Tows 1 and 2 were code 2 (Partial blockage due to vegetation; tows cut short due to heavy vegetation). Tows 3 and 4 not performed </t>
  </si>
  <si>
    <t>20-52-CS06</t>
  </si>
  <si>
    <t>20-52-CS05</t>
  </si>
  <si>
    <t xml:space="preserve">No sites performed at Eddo's today. Sites will be completed tomorrow. </t>
  </si>
  <si>
    <t>20-52-CF02</t>
  </si>
  <si>
    <t>20-52-SBM02</t>
  </si>
  <si>
    <t>20-52-PP01</t>
  </si>
  <si>
    <t>20-52-LSJ02</t>
  </si>
  <si>
    <t>20-52-LSJ01</t>
  </si>
  <si>
    <t>20-53-CF02</t>
  </si>
  <si>
    <t>20-53-CF01</t>
  </si>
  <si>
    <t>20-53-SBM01</t>
  </si>
  <si>
    <t>20-53-USSC01</t>
  </si>
  <si>
    <t>20-53-LSSC02</t>
  </si>
  <si>
    <t>20-53-LSSC01</t>
  </si>
  <si>
    <t>20-53-RV03</t>
  </si>
  <si>
    <t>20-53-LSR04</t>
  </si>
  <si>
    <t>Code 4: Strong winds, too rough to sample</t>
  </si>
  <si>
    <t>20-53-LSR03</t>
  </si>
  <si>
    <t>20-53-RV04</t>
  </si>
  <si>
    <t>20-53-RV02</t>
  </si>
  <si>
    <t>20-53-HB01</t>
  </si>
  <si>
    <t>Only 2 sites performed due to wind</t>
  </si>
  <si>
    <t>20-53-SBM02</t>
  </si>
  <si>
    <t>20-53-CF03</t>
  </si>
  <si>
    <t>20-53-USSC02</t>
  </si>
  <si>
    <t>20-53-LSSC03</t>
  </si>
  <si>
    <t>20-53-LSSC04</t>
  </si>
  <si>
    <t>9 Wakasagi (40-80mm) retained for verification</t>
  </si>
  <si>
    <t>20-53-LSR01</t>
  </si>
  <si>
    <t>20-53-LSR02</t>
  </si>
  <si>
    <t>20-53-RV01</t>
  </si>
  <si>
    <t>20-53-LSR05</t>
  </si>
  <si>
    <t>20-53-RV05</t>
  </si>
  <si>
    <t>20-53-CS06</t>
  </si>
  <si>
    <t>Code 4: Heavy SAV and too shallow (1.9 m)</t>
  </si>
  <si>
    <t>20-53-CS01</t>
  </si>
  <si>
    <t>20-53-CS03</t>
  </si>
  <si>
    <t>20-53-CS02</t>
  </si>
  <si>
    <t>20-53-SM01</t>
  </si>
  <si>
    <t>20-53-GB02</t>
  </si>
  <si>
    <t>20-53-GB01</t>
  </si>
  <si>
    <t>Tow 1 was Code 2 (Twist in net)</t>
  </si>
  <si>
    <t>20-53-LSJ01</t>
  </si>
  <si>
    <t>20-53-LSJ02</t>
  </si>
  <si>
    <t>20-53-SJT02</t>
  </si>
  <si>
    <t>20-53-GB03</t>
  </si>
  <si>
    <t>20-53-SM04</t>
  </si>
  <si>
    <t>20-53-SM02</t>
  </si>
  <si>
    <t>20-53-SM05</t>
  </si>
  <si>
    <t>20-53-SM03</t>
  </si>
  <si>
    <t>1 Wakasagi (51mm) retained for verification</t>
  </si>
  <si>
    <t>20-53-CS07</t>
  </si>
  <si>
    <t>Tow 1 was code 2 (Buoy line wrapped around net)</t>
  </si>
  <si>
    <t>20-53-CS04</t>
  </si>
  <si>
    <t>20-53-CS05</t>
  </si>
  <si>
    <t>Code 4: Too Shallow and heavy SAV</t>
  </si>
  <si>
    <t>20-53-CS08</t>
  </si>
  <si>
    <t>Tow 3 was code 2 (Distance from site exceeded target distance, was 0.59 mi at stop)</t>
  </si>
  <si>
    <t>20-53-PP01</t>
  </si>
  <si>
    <t>20-53-PP02</t>
  </si>
  <si>
    <t>Tow 1 was code 2 (Heavy vegetation); Only 2 tows performed at site due to heavy vegetation</t>
  </si>
  <si>
    <t>20-53-SJT01</t>
  </si>
  <si>
    <t>21-02-CS01</t>
  </si>
  <si>
    <t>21-02-CS04</t>
  </si>
  <si>
    <t>21-02-CS02</t>
  </si>
  <si>
    <t>21-02-CS06</t>
  </si>
  <si>
    <t>21-02-CS03</t>
  </si>
  <si>
    <t>21-02-PP03</t>
  </si>
  <si>
    <t>Code 4: Site is on an island</t>
  </si>
  <si>
    <t>21-02-PP01</t>
  </si>
  <si>
    <t>Tow 1 was code 2 (Vegetation blocking live box)</t>
  </si>
  <si>
    <t>21-02-PP04</t>
  </si>
  <si>
    <t>21-02-PP02</t>
  </si>
  <si>
    <t>21-02-SM03</t>
  </si>
  <si>
    <t>21-02-SM01</t>
  </si>
  <si>
    <t>21-02-SM02</t>
  </si>
  <si>
    <t>21-02-CS05</t>
  </si>
  <si>
    <t>21-02-CS07</t>
  </si>
  <si>
    <t>21-02-CS08</t>
  </si>
  <si>
    <t>21-02-LSJ02</t>
  </si>
  <si>
    <t>21-02-SJT01</t>
  </si>
  <si>
    <t>21-02-LSJ01</t>
  </si>
  <si>
    <t>21-02-GB01</t>
  </si>
  <si>
    <t>21-02-SM04</t>
  </si>
  <si>
    <t>21-02-SM05</t>
  </si>
  <si>
    <t>21-02-SBW01</t>
  </si>
  <si>
    <t>21-02-LSR01</t>
  </si>
  <si>
    <t>21-02-USSC01</t>
  </si>
  <si>
    <t>18 Wakasagi (49-77mm) retained for verification; Tow 1 was code 2 (Twist in net)</t>
  </si>
  <si>
    <t>21-02-SBM01</t>
  </si>
  <si>
    <t>21-02-RV01</t>
  </si>
  <si>
    <t>21-02-RV02</t>
  </si>
  <si>
    <t>21-02-SBM02</t>
  </si>
  <si>
    <t>21-02-LSSC05</t>
  </si>
  <si>
    <t>DSM flash frozen for UCD; 34 Wakasagi retained for verification (58-78 mm)</t>
  </si>
  <si>
    <t>21-02-LSSC04</t>
  </si>
  <si>
    <t>21-02-LSSC03</t>
  </si>
  <si>
    <t>8 Wakasagi (63-77mm) retained for verification</t>
  </si>
  <si>
    <t>21-02-LSSC02</t>
  </si>
  <si>
    <t>21-02-LSSC01</t>
  </si>
  <si>
    <t>21-02-LSR02</t>
  </si>
  <si>
    <t>21-02-LSR03</t>
  </si>
  <si>
    <t>21-02-RV03</t>
  </si>
  <si>
    <t>21-02-SBW02</t>
  </si>
  <si>
    <t xml:space="preserve">Only 2 sites performed due to approaching strata boundary </t>
  </si>
  <si>
    <t>21-02-SBM03</t>
  </si>
  <si>
    <t>21-02-CF01</t>
  </si>
  <si>
    <t>21-03-SM01</t>
  </si>
  <si>
    <t>21-03-CS04</t>
  </si>
  <si>
    <t>21-03-SM03</t>
  </si>
  <si>
    <t>21-03-CS06</t>
  </si>
  <si>
    <t>21-03-CS07</t>
  </si>
  <si>
    <t>21-03-RV01</t>
  </si>
  <si>
    <t>21-03-RV02</t>
  </si>
  <si>
    <t>21-03-CS05</t>
  </si>
  <si>
    <t>21-03-SM02</t>
  </si>
  <si>
    <t>21-03-SM04</t>
  </si>
  <si>
    <t>21-03-LSR01</t>
  </si>
  <si>
    <t>21-03-CS02</t>
  </si>
  <si>
    <t>21-03-LSR02</t>
  </si>
  <si>
    <t>21-03-SM06</t>
  </si>
  <si>
    <t>21-03-SM05</t>
  </si>
  <si>
    <t>21-03-LSR03</t>
  </si>
  <si>
    <t>21-03-CS03</t>
  </si>
  <si>
    <t>21-03-CS01</t>
  </si>
  <si>
    <t>21-03-RV03</t>
  </si>
  <si>
    <t>Tow 2 was code 2 (Distance from site exceeded target distance, was 0.56 mi at stop)</t>
  </si>
  <si>
    <t>21-03-GB01</t>
  </si>
  <si>
    <t>21-03-LSJ01</t>
  </si>
  <si>
    <t>21-03-LSJ02</t>
  </si>
  <si>
    <t>21-03-SJT02</t>
  </si>
  <si>
    <t>21-03-SBW01</t>
  </si>
  <si>
    <t>21-03-SBM01</t>
  </si>
  <si>
    <t>21-03-CF01</t>
  </si>
  <si>
    <t>21-03-USSC01</t>
  </si>
  <si>
    <t>21-03-LSSC01</t>
  </si>
  <si>
    <t>DSM flash frozen for UCD; 18 Wakagasi (63-82mm) retained for verification; Tow 1 was code 2 (Buoy line wrapped around net)</t>
  </si>
  <si>
    <t>21-03-LSSC02</t>
  </si>
  <si>
    <t>1 Wakasagi (73mm) retained for verification; Tow 4 was code 2 (Distance from site exceeded target distance, was 0.6 mi at stop)</t>
  </si>
  <si>
    <t>21-03-SJT01</t>
  </si>
  <si>
    <t>21-03-SJT03</t>
  </si>
  <si>
    <t>21-03-PP01</t>
  </si>
  <si>
    <t>21-03-SBW03</t>
  </si>
  <si>
    <t>21-03-SBW02</t>
  </si>
  <si>
    <t>31-02-HB01</t>
  </si>
  <si>
    <t>21-03-LSSC04</t>
  </si>
  <si>
    <t>5 Wakasagi (69-80mm) retained for verification; Tow 4 was code 2 (Distance from site exceeded target distance, was 0.6 mi at stop)</t>
  </si>
  <si>
    <t>21-03-LSSC05</t>
  </si>
  <si>
    <t>DSM flash frozen for UCD; 2 Wakasagi (68-72mm) retained for verification</t>
  </si>
  <si>
    <t>21-03-LSSC03</t>
  </si>
  <si>
    <t>21-04-PP03</t>
  </si>
  <si>
    <t>Tow 4 was code 2 (Distance from site exceeded target distance, was over 120 ft at stop)</t>
  </si>
  <si>
    <t>21-04-PP01</t>
  </si>
  <si>
    <t>Tows 2-4 were code 2 (Partial blockage in net)</t>
  </si>
  <si>
    <t>21-04-PP02</t>
  </si>
  <si>
    <t>Tows 1-3 were code 2 (Partial blockage in net)</t>
  </si>
  <si>
    <t>21-04-CS01</t>
  </si>
  <si>
    <t>21-04-CS03</t>
  </si>
  <si>
    <t>21-04-CS04</t>
  </si>
  <si>
    <t>Tows 3-4 were code 2 (Partial blockage in net)</t>
  </si>
  <si>
    <t>21-04-CS02</t>
  </si>
  <si>
    <t>Tows 1-4 were code 2 (Partial blockage in net)</t>
  </si>
  <si>
    <t>21-04-SBM03</t>
  </si>
  <si>
    <t>21-04-SBM01</t>
  </si>
  <si>
    <t>21-04-SBM02</t>
  </si>
  <si>
    <t>21-04-CF01</t>
  </si>
  <si>
    <t>21-04-SJT02</t>
  </si>
  <si>
    <t>21-04-SJT01</t>
  </si>
  <si>
    <t>21-04-LSJ01</t>
  </si>
  <si>
    <t>Tow 2 was code 3 (Heavy vegetation, sample discarded); Tows 1 and 5 were code 2 (Partial blockage in net)</t>
  </si>
  <si>
    <t>21-04-CS06</t>
  </si>
  <si>
    <t>21-04-CS05</t>
  </si>
  <si>
    <t>21-04-CS07</t>
  </si>
  <si>
    <t>21-04-SBM05</t>
  </si>
  <si>
    <t>21-04-SBM04</t>
  </si>
  <si>
    <t>21-04-CF02</t>
  </si>
  <si>
    <t>21-04-RV01</t>
  </si>
  <si>
    <t>Only 2 tows performed due to poor air quality. Remainder of sites at Eddo's and all sites at Rio Vista/Pittsburg not completed due to poor air quality leading to hazardous conditions. Sites will be made up later in the week.</t>
  </si>
  <si>
    <t>Due to poor air quality, EDSM crews did not sample today</t>
  </si>
  <si>
    <t>21-05-USSC02</t>
  </si>
  <si>
    <t>21-05-USSC01</t>
  </si>
  <si>
    <t>21-05-LSSC01</t>
  </si>
  <si>
    <t>21-05-GB01</t>
  </si>
  <si>
    <t>21-05-SM01</t>
  </si>
  <si>
    <t>21-05-SM02</t>
  </si>
  <si>
    <t>Tow 4 was code 2 (Distance from site exceeded target distance, was 0.63 mi at stop)</t>
  </si>
  <si>
    <t>21-05-LSJ01</t>
  </si>
  <si>
    <t>21-05-LSJ02</t>
  </si>
  <si>
    <t>21-05-SJT01</t>
  </si>
  <si>
    <t>21-05-PP01</t>
  </si>
  <si>
    <t>Tow 3 was code 3 (Total blockage)</t>
  </si>
  <si>
    <t>21-05-SBW01</t>
  </si>
  <si>
    <t xml:space="preserve">Only 1 site performed at Pittsburg due to poor air quality. All sites at Eddo's not completed due to poor air quality </t>
  </si>
  <si>
    <t>21-05-CS01</t>
  </si>
  <si>
    <t xml:space="preserve">Tow 2 was code 2 (Tow ended early due to snag in net) </t>
  </si>
  <si>
    <t>21-05-CS02</t>
  </si>
  <si>
    <t>21-05-CS03</t>
  </si>
  <si>
    <t>21-05-CS04</t>
  </si>
  <si>
    <t>21-05-CS05</t>
  </si>
  <si>
    <t>Tows 1 and 2 were code 2 (Partial twist in net)</t>
  </si>
  <si>
    <t>21-06-CF01</t>
  </si>
  <si>
    <t>Tow 1 was code 2 (Reduced to 3 minutes; strong current pulled bars under); Only 2 tows performed due to strong current</t>
  </si>
  <si>
    <t>21-06-SBW03</t>
  </si>
  <si>
    <t>Only 1 site performed at Pittsburg due to poor air quality, sites will be made up later in the week</t>
  </si>
  <si>
    <t>21-06-CS01</t>
  </si>
  <si>
    <t>21-06-CS02</t>
  </si>
  <si>
    <t>21-06-CS03</t>
  </si>
  <si>
    <t>1.80+</t>
  </si>
  <si>
    <t>21-06-CS04</t>
  </si>
  <si>
    <t>21-06-LSR01</t>
  </si>
  <si>
    <t>21-06-RV02</t>
  </si>
  <si>
    <t>21-06-RV01</t>
  </si>
  <si>
    <t>Tow 1 was code 2 (Buoy line wrapped around cod end)</t>
  </si>
  <si>
    <t>21-06-SBW01</t>
  </si>
  <si>
    <t>21-06-SBW02</t>
  </si>
  <si>
    <t>21-06-SBM01</t>
  </si>
  <si>
    <t>21-06-CS05</t>
  </si>
  <si>
    <t>21-06-CS06</t>
  </si>
  <si>
    <t>Tow 3 was code 2 (Heavy SAV)</t>
  </si>
  <si>
    <t>21-06-CS07</t>
  </si>
  <si>
    <t>21-06-RV05</t>
  </si>
  <si>
    <t>21-06-LSR02</t>
  </si>
  <si>
    <t>21-06-LSR03</t>
  </si>
  <si>
    <t>21-06-RV04</t>
  </si>
  <si>
    <t>21-06-LSR04</t>
  </si>
  <si>
    <t>21-06-LSR05</t>
  </si>
  <si>
    <t>21-06-RV03</t>
  </si>
  <si>
    <t xml:space="preserve">Only 2 sites at Eddo's performed due to strong winds. Sites will be made up later in the week. </t>
  </si>
  <si>
    <t>21-06-RV06</t>
  </si>
  <si>
    <t>21-06-LSJ01</t>
  </si>
  <si>
    <t>21-06-LSJ02</t>
  </si>
  <si>
    <t>21-06-SJT01</t>
  </si>
  <si>
    <t>21-06-LSSC01</t>
  </si>
  <si>
    <t xml:space="preserve">12 Wakasagi (70-82mm) retained for verification </t>
  </si>
  <si>
    <t>21-06-USSC01</t>
  </si>
  <si>
    <t>21-06-USSC02</t>
  </si>
  <si>
    <t>21-06-SBM02</t>
  </si>
  <si>
    <t>21-06-GB01</t>
  </si>
  <si>
    <t>21-06-GB02</t>
  </si>
  <si>
    <t>21-06-SM01</t>
  </si>
  <si>
    <t>21-06-PP01</t>
  </si>
  <si>
    <t>21-06-PP02</t>
  </si>
  <si>
    <t>21-06-SJT02</t>
  </si>
  <si>
    <t>21-06-LSSC02</t>
  </si>
  <si>
    <t>21-06-LSSC03</t>
  </si>
  <si>
    <t xml:space="preserve">Code 4: Site in the middle of dredging area </t>
  </si>
  <si>
    <t>21-06-LSSC04</t>
  </si>
  <si>
    <t>21-06-USSC03</t>
  </si>
  <si>
    <t>21-06-SM02</t>
  </si>
  <si>
    <t>21-06-SM03</t>
  </si>
  <si>
    <t>21-06-SM04</t>
  </si>
  <si>
    <t xml:space="preserve">1 Wakasagi (76mm) retained for verification </t>
  </si>
  <si>
    <t>21-07-CF01</t>
  </si>
  <si>
    <t xml:space="preserve">Only 1 site performed at Pittsburg due to poor air quality and high winds. All sites at Eddo's and Rio Vista not completed due to poor air quality. Sites will be made up later in the week.  </t>
  </si>
  <si>
    <t>21-07-LSSC01</t>
  </si>
  <si>
    <t xml:space="preserve">Only 1 site performed at Rio Vista due to poor air quality and high winds. All sites at Eddo's and Pittsburg not completed due to poor air quality. </t>
  </si>
  <si>
    <t>21-08-PP01</t>
  </si>
  <si>
    <t>21-08-PP02</t>
  </si>
  <si>
    <t>21-08-SJT01</t>
  </si>
  <si>
    <t>21-08-LSJ01</t>
  </si>
  <si>
    <t>21-08-SM04</t>
  </si>
  <si>
    <t>21-08-SM02</t>
  </si>
  <si>
    <t>21-08-SM03</t>
  </si>
  <si>
    <t>21-08-SM01</t>
  </si>
  <si>
    <t>21-08-USSC01</t>
  </si>
  <si>
    <t>21-08-USSC02</t>
  </si>
  <si>
    <t>21-08-LSSC01</t>
  </si>
  <si>
    <t>21-08-RV02</t>
  </si>
  <si>
    <t>21-08-RV01</t>
  </si>
  <si>
    <t>21-08-LSR01</t>
  </si>
  <si>
    <t>21-08-SBM02</t>
  </si>
  <si>
    <t>21-08-SBM01</t>
  </si>
  <si>
    <t>21-08-CF01</t>
  </si>
  <si>
    <t>Tow 3 was code 2 (Distance from site exceeded target distance, was 0.57 mi at stop)</t>
  </si>
  <si>
    <t>21-08-LSSC04</t>
  </si>
  <si>
    <t>1 Wakasagi (80mm) retained for verification; Tow 2 was code 2 (Distance from site exceeded target distance, was 0.62 mi at stop)</t>
  </si>
  <si>
    <t>21-08-LSSC02</t>
  </si>
  <si>
    <t>4 Wakasagi (65-82mm) retained for verification</t>
  </si>
  <si>
    <t>21-08-LSSC03</t>
  </si>
  <si>
    <t>2 Wakasagi (60-75mm) retained for verification</t>
  </si>
  <si>
    <t>21-08-LSR02</t>
  </si>
  <si>
    <t>21-08-LSR03</t>
  </si>
  <si>
    <t>21-08-RV03</t>
  </si>
  <si>
    <t>21-08-CS01</t>
  </si>
  <si>
    <t>21-08-CS02</t>
  </si>
  <si>
    <t>21-08-CS03</t>
  </si>
  <si>
    <t>Tow 2 was code 3 (Heavy vegetation, sample discarded)</t>
  </si>
  <si>
    <t>21-08-SM05</t>
  </si>
  <si>
    <t>21-08-GB01</t>
  </si>
  <si>
    <t>21-08-SBW01</t>
  </si>
  <si>
    <t>Tow 1 was code 2 (Twist in net; high RPMs to avoid structure)</t>
  </si>
  <si>
    <t>21-08-SBM03</t>
  </si>
  <si>
    <t>21-09-PP01</t>
  </si>
  <si>
    <t>Tow 2 was code 2 (Partial blockage in net)</t>
  </si>
  <si>
    <t>21-09-SJT01</t>
  </si>
  <si>
    <t>21-09-SJT02</t>
  </si>
  <si>
    <t>21-09-LSSC01</t>
  </si>
  <si>
    <t>21-09-USSC01</t>
  </si>
  <si>
    <t>21-09-USSC02</t>
  </si>
  <si>
    <t>21-09-SBW01</t>
  </si>
  <si>
    <t>21-09-CF01</t>
  </si>
  <si>
    <t>21-09-SBM01</t>
  </si>
  <si>
    <t>21-09-LSJ01</t>
  </si>
  <si>
    <t>21-09-LSJ02</t>
  </si>
  <si>
    <t>21-09-LSJ03</t>
  </si>
  <si>
    <t>Tows 1 and 4 were code 2 (Partial blockage in net)</t>
  </si>
  <si>
    <t>21-09-LSSC02</t>
  </si>
  <si>
    <t>21-09-LSSC03</t>
  </si>
  <si>
    <t>21-09-LSSC04</t>
  </si>
  <si>
    <t>21-09-CF02</t>
  </si>
  <si>
    <t>21-09-SBM02</t>
  </si>
  <si>
    <t>21-09-SBM03</t>
  </si>
  <si>
    <t>21-09-CS04</t>
  </si>
  <si>
    <t>21-09-CS01</t>
  </si>
  <si>
    <t>21-09-CS02</t>
  </si>
  <si>
    <t>21-09-CS03</t>
  </si>
  <si>
    <t>21-09-RV03</t>
  </si>
  <si>
    <t>21-09-LSR02</t>
  </si>
  <si>
    <t>21-09-LSR03</t>
  </si>
  <si>
    <t>21-09-GB01</t>
  </si>
  <si>
    <t>21-09-SM01</t>
  </si>
  <si>
    <t>21-09-SM02</t>
  </si>
  <si>
    <t>21-09-SM03</t>
  </si>
  <si>
    <t>21-09-CS05</t>
  </si>
  <si>
    <t>21-09-CS06</t>
  </si>
  <si>
    <t>21-09-CS07</t>
  </si>
  <si>
    <t>21-09-CS08</t>
  </si>
  <si>
    <t>21-09-RV01</t>
  </si>
  <si>
    <t>21-09-RV02</t>
  </si>
  <si>
    <t>21-09-LSR01</t>
  </si>
  <si>
    <t>21-09-GB02</t>
  </si>
  <si>
    <t>21-09-SM04</t>
  </si>
  <si>
    <t>21-09-SM05</t>
  </si>
  <si>
    <t>21-10-LSSC01</t>
  </si>
  <si>
    <t>21-10-SBW03</t>
  </si>
  <si>
    <t>21-10-USSC01</t>
  </si>
  <si>
    <t>21-10-SBM01</t>
  </si>
  <si>
    <t>Tow 3 was code 2 (Twist in net)</t>
  </si>
  <si>
    <t>21-10-USSC02</t>
  </si>
  <si>
    <t>Tow 1 was code 3 (Twist at lead line)</t>
  </si>
  <si>
    <t>21-10-SBM02</t>
  </si>
  <si>
    <t>21-10-RV01</t>
  </si>
  <si>
    <t>21-10-RV02</t>
  </si>
  <si>
    <t>21-10-LSR01</t>
  </si>
  <si>
    <t>Tow 4 not completed due to poor air quality</t>
  </si>
  <si>
    <t>21-10-LSSC02</t>
  </si>
  <si>
    <t>21-10-LSSC03</t>
  </si>
  <si>
    <t>21-10-LSSC04</t>
  </si>
  <si>
    <t>5 Wakasagi (54-93) retained for verification</t>
  </si>
  <si>
    <t>21-10-SBW01</t>
  </si>
  <si>
    <t>21-10-SBW02</t>
  </si>
  <si>
    <t>21-10-CF01</t>
  </si>
  <si>
    <t>21-10-CS01</t>
  </si>
  <si>
    <t>1 Wakasagi (62) retained for verification</t>
  </si>
  <si>
    <t>21-10-CS02</t>
  </si>
  <si>
    <t>Tows 3 and 4 not completed due to poor air quality</t>
  </si>
  <si>
    <t>21-10-CS03</t>
  </si>
  <si>
    <t>All 4 tows were code 2 (partial plockage of net by SAV)</t>
  </si>
  <si>
    <t>21-11-PP01</t>
  </si>
  <si>
    <t>21-11-SJT01</t>
  </si>
  <si>
    <t>21-11-LSJ01</t>
  </si>
  <si>
    <t>Only 2 tows performed due to poor air quality</t>
  </si>
  <si>
    <t>21-11-LSSC01</t>
  </si>
  <si>
    <t>21-11-LSSC02</t>
  </si>
  <si>
    <t>2 Wakasagi (80-91mm) retained for verification</t>
  </si>
  <si>
    <t>21-11-USSC01</t>
  </si>
  <si>
    <t>21-11-CF01</t>
  </si>
  <si>
    <t>21-11-HB01</t>
  </si>
  <si>
    <t>Only 2 sites performed at Pittsburg; sites will be made up later in the week</t>
  </si>
  <si>
    <t>21-11-SJT02</t>
  </si>
  <si>
    <t>21-11-LSJ02</t>
  </si>
  <si>
    <t>21-11-LSJ03</t>
  </si>
  <si>
    <t>21-11-LSSC03</t>
  </si>
  <si>
    <t>Tow 1 was code 2 (Buoy line wrapped around net); Tows 3-4 was code 2 (Vegetation in net)</t>
  </si>
  <si>
    <t>21-11-LSSC04</t>
  </si>
  <si>
    <t>21-11-USSC02</t>
  </si>
  <si>
    <t>2 Wakasagi (66-80mm) retained for verification</t>
  </si>
  <si>
    <t>21-11-SBW01</t>
  </si>
  <si>
    <t>21-11-CF02</t>
  </si>
  <si>
    <t>21-11-HB02</t>
  </si>
  <si>
    <t>21-11-CS01</t>
  </si>
  <si>
    <t>21-11-CS02</t>
  </si>
  <si>
    <t xml:space="preserve">Code 4: Site inaccessable </t>
  </si>
  <si>
    <t>21-11-CS03</t>
  </si>
  <si>
    <t>Tow 1 was code 3 (Excessive vegetation in net); No further tows performed</t>
  </si>
  <si>
    <t>21-11-CS04</t>
  </si>
  <si>
    <t>21-11-CS05</t>
  </si>
  <si>
    <t>21-11-RV03</t>
  </si>
  <si>
    <t>21-11-LSR02</t>
  </si>
  <si>
    <t>21-11-LSR03</t>
  </si>
  <si>
    <t>21-11-SBM01</t>
  </si>
  <si>
    <t xml:space="preserve">Only 3 tows completed </t>
  </si>
  <si>
    <t>21-11-SM01</t>
  </si>
  <si>
    <t>21-11-SM02</t>
  </si>
  <si>
    <t xml:space="preserve">Only 1 tow completed due to shallow depth </t>
  </si>
  <si>
    <t>21-11-SM03</t>
  </si>
  <si>
    <t>21-11-CS06</t>
  </si>
  <si>
    <t>Tows 1-4 were code 2 (Vegetation in net)</t>
  </si>
  <si>
    <t>21-11-CS08</t>
  </si>
  <si>
    <t>CHNA</t>
  </si>
  <si>
    <t>CHNA was code 9</t>
  </si>
  <si>
    <t>21-11-CS09</t>
  </si>
  <si>
    <t>Tow 1 was code 2 (Twist in net); Tow 4 was code 2 (Distance from site exceeded target distance, was 0.68 mi at stop)</t>
  </si>
  <si>
    <t>21-11-CS07</t>
  </si>
  <si>
    <t>21-11-RV01</t>
  </si>
  <si>
    <t>21-11-RV02</t>
  </si>
  <si>
    <t>21-11-LSR01</t>
  </si>
  <si>
    <t>21-11-GB02</t>
  </si>
  <si>
    <t>21-11-GB03</t>
  </si>
  <si>
    <t>21-11-GB05</t>
  </si>
  <si>
    <t>21-11-SM04</t>
  </si>
  <si>
    <t>21-11-SM05</t>
  </si>
  <si>
    <t>21-11-SM06</t>
  </si>
  <si>
    <t>21-11-SM07</t>
  </si>
  <si>
    <t>21-11-SM08</t>
  </si>
  <si>
    <t>21-11-SM09</t>
  </si>
  <si>
    <t xml:space="preserve">Only 2 tows completed </t>
  </si>
  <si>
    <t>21-12-PP02</t>
  </si>
  <si>
    <t>21-12-PP03</t>
  </si>
  <si>
    <t>Tow 4 was code 2 (Distance from site exceeded target distance, was 0.59 mi at stop)</t>
  </si>
  <si>
    <t>21-12-PP01</t>
  </si>
  <si>
    <t>21-12-USSC01</t>
  </si>
  <si>
    <t>21-12-USSC02</t>
  </si>
  <si>
    <t>21-12-LSSC01</t>
  </si>
  <si>
    <t>21-12-SM03</t>
  </si>
  <si>
    <t>21-12-SM01</t>
  </si>
  <si>
    <t>21-12-SM02</t>
  </si>
  <si>
    <t>21-12-CS01</t>
  </si>
  <si>
    <t>21-12-CS03</t>
  </si>
  <si>
    <t>21-12-CS02</t>
  </si>
  <si>
    <t>21-12-CS04</t>
  </si>
  <si>
    <t>21-12-LSJ03</t>
  </si>
  <si>
    <t>21-12-LSJ01</t>
  </si>
  <si>
    <t>21-12-LSJ02</t>
  </si>
  <si>
    <t>Tow 3 was code 2 (Vegetation in net)</t>
  </si>
  <si>
    <t>21-12-SM05</t>
  </si>
  <si>
    <t>21-12-GB01</t>
  </si>
  <si>
    <t>LFS brought back to lab (mort)</t>
  </si>
  <si>
    <t>21-12-SM04</t>
  </si>
  <si>
    <t>21-12-RV03</t>
  </si>
  <si>
    <t>21-12-LSR02</t>
  </si>
  <si>
    <t>21-12-LSR03</t>
  </si>
  <si>
    <t>21-12-SBM01</t>
  </si>
  <si>
    <t>21-12-SBW01</t>
  </si>
  <si>
    <t>Tow 1 was code 2 (Crossed strata boundary line); Tow 3 was code 2 (Distance from site exceeded target distance, was 0.91 mi at stop)</t>
  </si>
  <si>
    <t>21-12-SBW02</t>
  </si>
  <si>
    <t xml:space="preserve">LFS brought back to lab, died after handling </t>
  </si>
  <si>
    <t>21-12-USSC03</t>
  </si>
  <si>
    <t>2 Wakasagi (79-85mm) retained for verification; Tow 1 was code 2 (Twist in net)</t>
  </si>
  <si>
    <t>21-12-LSSC03</t>
  </si>
  <si>
    <t>5 Wakasagi (80-93mm) retained for verification; Tow 4 was code 2 (Distance from site exceeded target distance, was 0.58 mi at stop)</t>
  </si>
  <si>
    <t>21-12-LSSC02</t>
  </si>
  <si>
    <t>21-13-CS01</t>
  </si>
  <si>
    <t>21-13-CS02</t>
  </si>
  <si>
    <t>21-13-CS03</t>
  </si>
  <si>
    <t>21-13-RV03</t>
  </si>
  <si>
    <t>21-13-RV04</t>
  </si>
  <si>
    <t>21-13-RV05</t>
  </si>
  <si>
    <t>21-13-SBW01</t>
  </si>
  <si>
    <t>21-13-CF01</t>
  </si>
  <si>
    <t>21-13-SBM01</t>
  </si>
  <si>
    <t>21-13-CS06</t>
  </si>
  <si>
    <t>21-13-CS08</t>
  </si>
  <si>
    <t>21-13-CS04</t>
  </si>
  <si>
    <t>21-13-CS05</t>
  </si>
  <si>
    <t xml:space="preserve">Tow 2 was code 3 (Sea lion in area. Ended tow after 2.5min). No further tows performed. </t>
  </si>
  <si>
    <t>21-13-CS07</t>
  </si>
  <si>
    <t>Tows 1-2 were code 2 (Vegetation in net); Tow 3 was code 3 (Heavy SAV); No further tows performed</t>
  </si>
  <si>
    <t>21-13-CS09</t>
  </si>
  <si>
    <t>Tows 1 and 3 were code 2 (Vegetation in net)</t>
  </si>
  <si>
    <t>21-13-RV02</t>
  </si>
  <si>
    <t>Tow 4 was code 2 (Twist in net)</t>
  </si>
  <si>
    <t>21-13-RV01</t>
  </si>
  <si>
    <t>21-13-LSR01</t>
  </si>
  <si>
    <t>21-13-SBW02</t>
  </si>
  <si>
    <t>21-13-CF03</t>
  </si>
  <si>
    <t>21-13-CF02</t>
  </si>
  <si>
    <t>All 4 tows were code 2 (Weight fell off tow bar)</t>
  </si>
  <si>
    <t>21-13-PP01</t>
  </si>
  <si>
    <t>21-13-PP02</t>
  </si>
  <si>
    <t>21-13-SJT01</t>
  </si>
  <si>
    <t>21-13-SM01</t>
  </si>
  <si>
    <t>21-13-GB01</t>
  </si>
  <si>
    <t>Tow 4 was code 2 (Crossed strata boundary line)</t>
  </si>
  <si>
    <t>21-13-GB02</t>
  </si>
  <si>
    <t>21-13-LSSC01</t>
  </si>
  <si>
    <t>21-13-LSSC02</t>
  </si>
  <si>
    <t>21-13-LSSC03</t>
  </si>
  <si>
    <t>6 Wakasagi (80-97mm) retained for verification; Tow 4 was code 2 (Distance from site exceeded target distance, was 0.60 mi at stop)</t>
  </si>
  <si>
    <t>21-13-LSJ01</t>
  </si>
  <si>
    <t>Tows 1-2 were code 2 (Vegetation in net)</t>
  </si>
  <si>
    <t>21-13-LSJ03</t>
  </si>
  <si>
    <t>Tows 1-3 were code 2 (Vegetation in net)</t>
  </si>
  <si>
    <t>21-13-LSJ02</t>
  </si>
  <si>
    <t>21-13-LSSC04</t>
  </si>
  <si>
    <t>25 Wakasagi (72-96mm) retained for verification; Tow 4 was code 2 (Distance from site exceeded target distance, was 0.68 mi at stop)</t>
  </si>
  <si>
    <t>21-13-LSSC06</t>
  </si>
  <si>
    <t>Tow 1 was code 2 (Buoy line wrapped around net); Tow 4 was code 2 (Distance from site exceeded target distance, was 0.69 mi at stop)</t>
  </si>
  <si>
    <t>21-13-LSSC05</t>
  </si>
  <si>
    <t>21-13-SM02</t>
  </si>
  <si>
    <t>Tow 4 was code 2 (Distance from site exceeded target distance, was 0.61 mi at stop)</t>
  </si>
  <si>
    <t>21-13-SM03</t>
  </si>
  <si>
    <t>21-13-GB03</t>
  </si>
  <si>
    <t>Due to high winds, EDSM crews did not sample today</t>
  </si>
  <si>
    <t>21-14-CS05</t>
  </si>
  <si>
    <t>Tow 4 was code 2 (Distance from site exceeded target distance, was 0.67 mi at stop)</t>
  </si>
  <si>
    <t>21-14-CS06</t>
  </si>
  <si>
    <t>21-14-CS04</t>
  </si>
  <si>
    <t>21-14-RV02</t>
  </si>
  <si>
    <t>21-14-LSR01</t>
  </si>
  <si>
    <t>21-14-RV01</t>
  </si>
  <si>
    <t>21-14-SM04</t>
  </si>
  <si>
    <t>Tows 1-4 were code 3 (Net inverted)</t>
  </si>
  <si>
    <t>21-14-SM03</t>
  </si>
  <si>
    <t>21-14-CS03</t>
  </si>
  <si>
    <t>21-14-CS01</t>
  </si>
  <si>
    <t>21-14-CS02</t>
  </si>
  <si>
    <t>21-14-LSR02</t>
  </si>
  <si>
    <t>Code 4: Heavy SAV and too shallow (1.6 m)</t>
  </si>
  <si>
    <t>21-14-LSR03</t>
  </si>
  <si>
    <t>21-14-LSR04</t>
  </si>
  <si>
    <t>21-14-RV03</t>
  </si>
  <si>
    <t>Tow 2 was code 2 (Distance from site exceeded target distance, was 0.64 mi at stop); Tows 3-4 were code 2 (Twist in net)</t>
  </si>
  <si>
    <t>21-14-SBW01</t>
  </si>
  <si>
    <t>Tow 4 was code 2 (Distance from site exceeded target distance, was 0.64 mi at stop)</t>
  </si>
  <si>
    <t>21-14-HB01</t>
  </si>
  <si>
    <t>21-14-CF01</t>
  </si>
  <si>
    <t>21-14-LSSC03</t>
  </si>
  <si>
    <t>3 Wakasagi (72-89mm) retained for verification</t>
  </si>
  <si>
    <t>21-14-LSSC04</t>
  </si>
  <si>
    <t>18 Wakasagi (72-96mm) retained for verification</t>
  </si>
  <si>
    <t>21-14-LSSC02</t>
  </si>
  <si>
    <t>Tow 4 was code 2 (Distance from site exceeded target distance, was 0.91 mi at stop)</t>
  </si>
  <si>
    <t>21-14-SBW02</t>
  </si>
  <si>
    <t>21-14-HB02</t>
  </si>
  <si>
    <t>21-14-CF02</t>
  </si>
  <si>
    <t>21-14-PP02</t>
  </si>
  <si>
    <t>21-14-PP01</t>
  </si>
  <si>
    <t>21-14-LSJ04</t>
  </si>
  <si>
    <t>21-14-LSJ03</t>
  </si>
  <si>
    <t>21-14-LSJ02</t>
  </si>
  <si>
    <t>21-14-LSJ01</t>
  </si>
  <si>
    <t>21-14-USSC01</t>
  </si>
  <si>
    <t>21-14-LSSC01</t>
  </si>
  <si>
    <t>2 Wakasagi (86-94mm) retained for verification</t>
  </si>
  <si>
    <t>21-14-USSC02</t>
  </si>
  <si>
    <t>21-14-SM01</t>
  </si>
  <si>
    <t>21-14-SM02</t>
  </si>
  <si>
    <t>21-14-GB02</t>
  </si>
  <si>
    <t>21-14-GB01</t>
  </si>
  <si>
    <t>21-15-CS01</t>
  </si>
  <si>
    <t>21-15-CS02</t>
  </si>
  <si>
    <t>21-15-CS03</t>
  </si>
  <si>
    <t>21-15-CS04</t>
  </si>
  <si>
    <t>21-15-PP01</t>
  </si>
  <si>
    <t>21-15-SJT01</t>
  </si>
  <si>
    <t>21-15-LSJ04</t>
  </si>
  <si>
    <t>21-15-CF01</t>
  </si>
  <si>
    <t>21-15-SBW01</t>
  </si>
  <si>
    <t>21-15-HB01</t>
  </si>
  <si>
    <t>21-15-CS05</t>
  </si>
  <si>
    <t>21-15-CS06</t>
  </si>
  <si>
    <t>21-15-CS07</t>
  </si>
  <si>
    <t>21-15-LSJ02</t>
  </si>
  <si>
    <t>21-15-LSJ01</t>
  </si>
  <si>
    <t>21-15-LSJ03</t>
  </si>
  <si>
    <t>21-15-CF02</t>
  </si>
  <si>
    <t>21-15-HB02</t>
  </si>
  <si>
    <t>21-15-SBW02</t>
  </si>
  <si>
    <t>21-15-USSC02</t>
  </si>
  <si>
    <t>21-15-USSC01</t>
  </si>
  <si>
    <t>21-15-LSSC01</t>
  </si>
  <si>
    <t>21-15-LSR03</t>
  </si>
  <si>
    <t>21-15-RV03</t>
  </si>
  <si>
    <t>21-15-LSR02</t>
  </si>
  <si>
    <t>21-15-SM02</t>
  </si>
  <si>
    <t>21-15-GB01</t>
  </si>
  <si>
    <t>21-15-SM01</t>
  </si>
  <si>
    <t>21-15-LSSC02</t>
  </si>
  <si>
    <t>Tow 1 was code 2 (buoy twisted around net)</t>
  </si>
  <si>
    <t>21-15-LSSC03</t>
  </si>
  <si>
    <t>5 Wakasagi (85-96 mm) caught and returned to office for verification</t>
  </si>
  <si>
    <t>21-15-LSSC04</t>
  </si>
  <si>
    <t>21-15-SM03</t>
  </si>
  <si>
    <t>21-15-SM04</t>
  </si>
  <si>
    <t>21-15-SM05</t>
  </si>
  <si>
    <t>21-15-RV01</t>
  </si>
  <si>
    <t>21-15-RV02</t>
  </si>
  <si>
    <t>21-15-LSR01</t>
  </si>
  <si>
    <t>21-16-PP01</t>
  </si>
  <si>
    <t>21-16-SJT01</t>
  </si>
  <si>
    <t>21-16-LSJ03</t>
  </si>
  <si>
    <t>21-16-SM01</t>
  </si>
  <si>
    <t>21-16-SM03</t>
  </si>
  <si>
    <t>21-16-SM02</t>
  </si>
  <si>
    <t>21-16-USSC02</t>
  </si>
  <si>
    <t>21-16-LSSC01</t>
  </si>
  <si>
    <t>1 Wakasagi (86mm) retained for verification</t>
  </si>
  <si>
    <t>21-16-USSC01</t>
  </si>
  <si>
    <t>21-16-LSJ01</t>
  </si>
  <si>
    <t>21-16-LSJ02</t>
  </si>
  <si>
    <t>21-16-LSJ04</t>
  </si>
  <si>
    <t>21-16-LSSC02</t>
  </si>
  <si>
    <t>21-16-LSSC03</t>
  </si>
  <si>
    <t>21-16-USSC03</t>
  </si>
  <si>
    <t>21-16-SM04</t>
  </si>
  <si>
    <t>21-16-SM05</t>
  </si>
  <si>
    <t>21-16-SM06</t>
  </si>
  <si>
    <t>21-16-GB01</t>
  </si>
  <si>
    <t>Tows 3 and 4 were not performed due to outgoing tide and unable to reach minimum depth</t>
  </si>
  <si>
    <t>21-16-CS01</t>
  </si>
  <si>
    <t>21-16-CS02</t>
  </si>
  <si>
    <t>21-16-CS03</t>
  </si>
  <si>
    <t>21-16-SBM02</t>
  </si>
  <si>
    <t>21-16-SBW02</t>
  </si>
  <si>
    <t>21-16-CF02</t>
  </si>
  <si>
    <t>21-16-RV01</t>
  </si>
  <si>
    <t>21-16-LSR01</t>
  </si>
  <si>
    <t>21-16-LSR02</t>
  </si>
  <si>
    <t>21-16-CS04</t>
  </si>
  <si>
    <t>21-16-CS05</t>
  </si>
  <si>
    <t>21-16-CS06</t>
  </si>
  <si>
    <t>21-16-CS07</t>
  </si>
  <si>
    <t>Tow 1 was code 3 (Heavy vegetation in net)</t>
  </si>
  <si>
    <t>21-16-LSR03</t>
  </si>
  <si>
    <t>21-16-RV02</t>
  </si>
  <si>
    <t>21-16-RV03</t>
  </si>
  <si>
    <t>21-16-SBW01</t>
  </si>
  <si>
    <t>21-16-SBM01</t>
  </si>
  <si>
    <t>21-16-CF01</t>
  </si>
  <si>
    <t>21-17-RV01</t>
  </si>
  <si>
    <t>21-17-RV02</t>
  </si>
  <si>
    <t>21-17-LSR01</t>
  </si>
  <si>
    <t>21-17-LSSC03</t>
  </si>
  <si>
    <t>21-17-LSSC04</t>
  </si>
  <si>
    <t>21-17-USSC02</t>
  </si>
  <si>
    <t>21-17-GB01</t>
  </si>
  <si>
    <t>21-17-SM01</t>
  </si>
  <si>
    <t>21-17-SM02</t>
  </si>
  <si>
    <t>21-17-RV03</t>
  </si>
  <si>
    <t>21-17-RV05</t>
  </si>
  <si>
    <t>21-17-RV04</t>
  </si>
  <si>
    <t>Tows 3-4 were code 2 (Vegetation in net)</t>
  </si>
  <si>
    <t>21-17-USSC01</t>
  </si>
  <si>
    <t>1 Wakasagi (98mm) retained for verification</t>
  </si>
  <si>
    <t>21-17-LSSC02</t>
  </si>
  <si>
    <t>31 Wakasagi (67-96mm) retained for verification</t>
  </si>
  <si>
    <t>21-17-LSSC01</t>
  </si>
  <si>
    <t>21-17-GB02</t>
  </si>
  <si>
    <t>21-17-GB03</t>
  </si>
  <si>
    <t>21-17-SM03</t>
  </si>
  <si>
    <t>21-17-SM04</t>
  </si>
  <si>
    <t>67-83</t>
  </si>
  <si>
    <t>21-17-CS01</t>
  </si>
  <si>
    <t>21-17-CS02</t>
  </si>
  <si>
    <t>21-17-CS03</t>
  </si>
  <si>
    <t>21-17-PP01</t>
  </si>
  <si>
    <t>21-17-PP03</t>
  </si>
  <si>
    <t>21-17-PP02</t>
  </si>
  <si>
    <t>21-17-SBW01</t>
  </si>
  <si>
    <t>21-17-SBM01</t>
  </si>
  <si>
    <t>21-17-CF01</t>
  </si>
  <si>
    <t>21-17-CS05</t>
  </si>
  <si>
    <t>21-17-CS06</t>
  </si>
  <si>
    <t>Tow 1 was code 3 (Heavy vegetation in net); No further tows performed due to heavy vegetation at site</t>
  </si>
  <si>
    <t>21-17-CS07</t>
  </si>
  <si>
    <t>21-17-CS04</t>
  </si>
  <si>
    <t>Tows  1-2 were code 2 (Twist in net)</t>
  </si>
  <si>
    <t>21-17-SJT02</t>
  </si>
  <si>
    <t>21-17-SJT01</t>
  </si>
  <si>
    <t>21-17-LSJ01</t>
  </si>
  <si>
    <t>21-17-CF02</t>
  </si>
  <si>
    <t>21-17-SBM02</t>
  </si>
  <si>
    <t>Tows 1-3 were code 2 (Twist in net)</t>
  </si>
  <si>
    <t>21-17-SBW02</t>
  </si>
  <si>
    <t>21-18-CS03</t>
  </si>
  <si>
    <t>21-18-CS02</t>
  </si>
  <si>
    <t>21-18-CS01</t>
  </si>
  <si>
    <t>21-18-CS04</t>
  </si>
  <si>
    <t>Tows 2 and 3 were code 2: (vegetation in net); Tow 4 was code 2 (Distance from site exceeded target distance, was 0.61 mi at stop)</t>
  </si>
  <si>
    <t>21-18-PP01</t>
  </si>
  <si>
    <t>21-18-PP02</t>
  </si>
  <si>
    <t>21-18-SJT02</t>
  </si>
  <si>
    <t xml:space="preserve">Tow 1 was code 3: (Heavy vegetation in net); Tow 2 was code 2: (vegetation in net); </t>
  </si>
  <si>
    <t>21-18-SJT01</t>
  </si>
  <si>
    <t>21-18-SBW02</t>
  </si>
  <si>
    <t>21-18-SBW01</t>
  </si>
  <si>
    <t>21-18-SBM01</t>
  </si>
  <si>
    <t>21-18-CS06</t>
  </si>
  <si>
    <t>21-18-CS05</t>
  </si>
  <si>
    <t>21-18-CS07</t>
  </si>
  <si>
    <t>21-18-LSJ02</t>
  </si>
  <si>
    <t>21-18-LSJ01</t>
  </si>
  <si>
    <t>21-18-LSJ03</t>
  </si>
  <si>
    <t>21-18-GB01</t>
  </si>
  <si>
    <t>21-18-GB02</t>
  </si>
  <si>
    <t>21-18-SM01</t>
  </si>
  <si>
    <t>21-18-RV01</t>
  </si>
  <si>
    <t>21-18-RV03</t>
  </si>
  <si>
    <t>21-18-RV02</t>
  </si>
  <si>
    <t>21-18-LSSC01</t>
  </si>
  <si>
    <t>11 Wakasagi (90-115mm) retained for verification</t>
  </si>
  <si>
    <t>21-18-USSC01</t>
  </si>
  <si>
    <t>4 Wakasagi (90-103mm) retained for verification</t>
  </si>
  <si>
    <t>21-18-USSC02</t>
  </si>
  <si>
    <t>21-18-SBW04</t>
  </si>
  <si>
    <t>21-18-SBW03</t>
  </si>
  <si>
    <t>21-18-SBM02</t>
  </si>
  <si>
    <t>Tow 3 was code 2 (Collar at cod end ripped); No further tows performed. No further sites performed today</t>
  </si>
  <si>
    <t>21-18-RV04</t>
  </si>
  <si>
    <t>21-18-LSR01</t>
  </si>
  <si>
    <t>21-18-LSR02</t>
  </si>
  <si>
    <t>21-18-LSSC02</t>
  </si>
  <si>
    <t>21-18-LSSC03</t>
  </si>
  <si>
    <t>1 Wakasagi (92 mm) retained for verification</t>
  </si>
  <si>
    <t>21-18-LSSC04</t>
  </si>
  <si>
    <t>13 Wakasagi (78-99mm) retained for verification</t>
  </si>
  <si>
    <t>21-18-HB01</t>
  </si>
  <si>
    <t>21-18-GB03</t>
  </si>
  <si>
    <t>21-18-SM02</t>
  </si>
  <si>
    <t>Average Bottom E/C (µS)</t>
  </si>
  <si>
    <t>Average Bottom Turbidity (NTU)</t>
  </si>
  <si>
    <t>20-36-CS01</t>
  </si>
  <si>
    <t>20-36-CS02</t>
  </si>
  <si>
    <t>No secchi depth recorded</t>
  </si>
  <si>
    <t>20-36-CS05</t>
  </si>
  <si>
    <t>20-36-CS06</t>
  </si>
  <si>
    <t>20-36-CS03</t>
  </si>
  <si>
    <t>Code 4: Does not meet minimum depth</t>
  </si>
  <si>
    <t>20-36-CS04</t>
  </si>
  <si>
    <t>20-36-CS07</t>
  </si>
  <si>
    <t>20-36-GB01</t>
  </si>
  <si>
    <t>20-36-GB02</t>
  </si>
  <si>
    <t>20-36-GB03</t>
  </si>
  <si>
    <t>9.3-17</t>
  </si>
  <si>
    <t>20-36-SM02</t>
  </si>
  <si>
    <t>15.5-18.6</t>
  </si>
  <si>
    <t>20-36-SM01</t>
  </si>
  <si>
    <t>6.9-20</t>
  </si>
  <si>
    <t>LFS at 6.9mm will be held for additional ID verification</t>
  </si>
  <si>
    <t>20-36-PP01</t>
  </si>
  <si>
    <t>San Joaquin River at Prisoners PT</t>
  </si>
  <si>
    <t>20-36-SJT02</t>
  </si>
  <si>
    <t>Tow 2 ended after 3.5 minutes due to ship in channel</t>
  </si>
  <si>
    <t>20-36-SJT01</t>
  </si>
  <si>
    <t>16.5-17.3</t>
  </si>
  <si>
    <t>20-36-LSJ01</t>
  </si>
  <si>
    <t>20-36-LSJ02</t>
  </si>
  <si>
    <t>20-36-RV01</t>
  </si>
  <si>
    <t>20-36-LSR02</t>
  </si>
  <si>
    <t>16.5-18</t>
  </si>
  <si>
    <t>DSM at 7.8mm will be held for additional ID verification</t>
  </si>
  <si>
    <t>20-36-LSR01</t>
  </si>
  <si>
    <t>6.9-7.2</t>
  </si>
  <si>
    <t>DSM at 6.2mm will be held for additional ID verification</t>
  </si>
  <si>
    <t>OSM too damaged for identification</t>
  </si>
  <si>
    <t>20-36-LSR03</t>
  </si>
  <si>
    <t>6.1-18.2</t>
  </si>
  <si>
    <t>20-36-LSR04</t>
  </si>
  <si>
    <t>14.1-20</t>
  </si>
  <si>
    <t>20-36-USSC02</t>
  </si>
  <si>
    <t>Upper Sacramento River Ship Channel</t>
  </si>
  <si>
    <t>OSM too damaged for identification; 76 Wakasagi identified (8.8-19.9mm)</t>
  </si>
  <si>
    <t>20-36-USSC03</t>
  </si>
  <si>
    <t>9 Wakasagi identified (13.9-16.7mm)</t>
  </si>
  <si>
    <t>20-36-USSC01</t>
  </si>
  <si>
    <t>OSM too damaged for identification; 14 Wakasagi identified (13.3-20.9mm)</t>
  </si>
  <si>
    <t>20-36-LSSC06</t>
  </si>
  <si>
    <t>2 Wakasagi identified (14.2-17.8mm)</t>
  </si>
  <si>
    <t>20-36-LSSC04</t>
  </si>
  <si>
    <t>3 Wakasagi identified (13.6-17mm)</t>
  </si>
  <si>
    <t>20-36-SBW01</t>
  </si>
  <si>
    <t>20-36-SBW02</t>
  </si>
  <si>
    <t>Code 4: Site located in restricted area</t>
  </si>
  <si>
    <t>20-36-SBW03</t>
  </si>
  <si>
    <t>20-36-SBM02</t>
  </si>
  <si>
    <t>20-36-SBM04</t>
  </si>
  <si>
    <t>20-36-SBM01</t>
  </si>
  <si>
    <t>20-36-HB01</t>
  </si>
  <si>
    <t>20-36-LSSC07</t>
  </si>
  <si>
    <t>1 Wakasagi identified at 14.4mm</t>
  </si>
  <si>
    <t>20-36-LSSC03</t>
  </si>
  <si>
    <t>20-36-LSSC01</t>
  </si>
  <si>
    <t>20-36-LSSC05</t>
  </si>
  <si>
    <t>20-36-LSSC02</t>
  </si>
  <si>
    <t>20-36-SBM03</t>
  </si>
  <si>
    <t>20-36-HB02</t>
  </si>
  <si>
    <t>20-36-CF03</t>
  </si>
  <si>
    <t>20-36-CF01</t>
  </si>
  <si>
    <t>20-36-CF02</t>
  </si>
  <si>
    <t>LFS at 6.2mm will be held for additional ID verification; No secchi depth recorded</t>
  </si>
  <si>
    <t>20-37-GB01</t>
  </si>
  <si>
    <t>10.9-23.1</t>
  </si>
  <si>
    <t>20-37-SM01</t>
  </si>
  <si>
    <t>8.8-27</t>
  </si>
  <si>
    <t>20-37-SM02</t>
  </si>
  <si>
    <t>Code 4: Site too shallow to sample</t>
  </si>
  <si>
    <t>20-37-SM03</t>
  </si>
  <si>
    <t>8.2-23</t>
  </si>
  <si>
    <t>20-37-GB02</t>
  </si>
  <si>
    <t>7.3-19.9</t>
  </si>
  <si>
    <t>20-37-SM04</t>
  </si>
  <si>
    <t>13.2-21.2</t>
  </si>
  <si>
    <t>20-37-CS01</t>
  </si>
  <si>
    <t>20-37-CS02</t>
  </si>
  <si>
    <t>20-37-CS03</t>
  </si>
  <si>
    <t>20-37-CS04</t>
  </si>
  <si>
    <t>20-37-CS08</t>
  </si>
  <si>
    <t>Tow 2 ended after 5 minutes due to heavy SAV</t>
  </si>
  <si>
    <t>20-37-CS06</t>
  </si>
  <si>
    <t>1 Wakasagi identified at 15.5mm</t>
  </si>
  <si>
    <t>20-37-SBW02</t>
  </si>
  <si>
    <t>20-37-SBW01</t>
  </si>
  <si>
    <t>21.5-22.2</t>
  </si>
  <si>
    <t>20-37-SBM01</t>
  </si>
  <si>
    <t>20-37-SBM02</t>
  </si>
  <si>
    <t>20-37-CF01</t>
  </si>
  <si>
    <t>20-37-CS10</t>
  </si>
  <si>
    <t>20-37-CS07</t>
  </si>
  <si>
    <t>20-37-CS11</t>
  </si>
  <si>
    <t>20-37-CS05</t>
  </si>
  <si>
    <t>20-37-CS09</t>
  </si>
  <si>
    <t xml:space="preserve">Tow 1 was Code 3 (Tow ended early due to collision with submerged object); Only 1 tow performed. </t>
  </si>
  <si>
    <t>20-37-CS12</t>
  </si>
  <si>
    <t>1 Wakasagi identified at 16.5mm</t>
  </si>
  <si>
    <t>20-37-LSSC01</t>
  </si>
  <si>
    <t>2 Wakasagi identified (14.1-14.8mm); Tow 2 was reduced to 5 minutes due to heavy vegetation</t>
  </si>
  <si>
    <t>20-37-USSC02</t>
  </si>
  <si>
    <t xml:space="preserve">Tow 2 was 12 minutes </t>
  </si>
  <si>
    <t>20-37-USSC01</t>
  </si>
  <si>
    <t>20-37-USSC03</t>
  </si>
  <si>
    <t>20-37-USSC04</t>
  </si>
  <si>
    <t>12.3-13.6</t>
  </si>
  <si>
    <t>20-37-RV01</t>
  </si>
  <si>
    <t>Tow 1 was Code 2 (Partial blockage in net)</t>
  </si>
  <si>
    <t>20-37-LSR02</t>
  </si>
  <si>
    <t>20-37-LSR01</t>
  </si>
  <si>
    <t>9.4-13</t>
  </si>
  <si>
    <t>20-37-RV02</t>
  </si>
  <si>
    <t>20-37-LSR03</t>
  </si>
  <si>
    <t>20-37-LSJ01</t>
  </si>
  <si>
    <t>20-37-SJT01</t>
  </si>
  <si>
    <t>Tow 2 was Code 2 (Partial blockage in net)</t>
  </si>
  <si>
    <t>20-37-PP02</t>
  </si>
  <si>
    <t>20-37-PP01</t>
  </si>
  <si>
    <t>20-37-PP03</t>
  </si>
  <si>
    <t>20-37-LSSC04</t>
  </si>
  <si>
    <t>20-37-USSC05</t>
  </si>
  <si>
    <t>30 Wakasagi identified (14.3-23.8mm)</t>
  </si>
  <si>
    <t>20-37-LSSC02</t>
  </si>
  <si>
    <t>5 Wakasagi identified (15-21.6mm)</t>
  </si>
  <si>
    <t>20-37-LSSC03</t>
  </si>
  <si>
    <t>DSM at 19.4mm will be held for additional ID verification</t>
  </si>
  <si>
    <t>20-37-LSSC05</t>
  </si>
  <si>
    <t>20-38-PP01</t>
  </si>
  <si>
    <t>20-38-PP02</t>
  </si>
  <si>
    <t>20-38-PP03</t>
  </si>
  <si>
    <t>20-38-SJT01</t>
  </si>
  <si>
    <t>20-38-CS01</t>
  </si>
  <si>
    <t>20-38-CS02</t>
  </si>
  <si>
    <t>20-38-CS03</t>
  </si>
  <si>
    <t>20-38-CS04</t>
  </si>
  <si>
    <t>20-38-CS05</t>
  </si>
  <si>
    <t>20-38-LSJ02</t>
  </si>
  <si>
    <t>20-38-LSJ01</t>
  </si>
  <si>
    <t>20-38-LSJ03</t>
  </si>
  <si>
    <t>20-38-LSJ04</t>
  </si>
  <si>
    <t>20-38-SJT03</t>
  </si>
  <si>
    <t>No sampling at Rio Vista due to boat issues; sampling rescheduled for 4/17</t>
  </si>
  <si>
    <t>20-38-LSSC02</t>
  </si>
  <si>
    <t>20-38-USSC01</t>
  </si>
  <si>
    <t>20-38-USSC02</t>
  </si>
  <si>
    <t>20-38-LSSC03</t>
  </si>
  <si>
    <t>20-38-LSSC01</t>
  </si>
  <si>
    <t>5 Wakasagi identified (14.5-21.9mm); 1 Wakasagi at 16.5mm held for additional ID verification</t>
  </si>
  <si>
    <t>20-38-SBM01</t>
  </si>
  <si>
    <t>20-38-SBW02</t>
  </si>
  <si>
    <t>20-38-SBW01</t>
  </si>
  <si>
    <t>20-38-SBW03</t>
  </si>
  <si>
    <t>20-38-CF01</t>
  </si>
  <si>
    <t>20-38-SM01</t>
  </si>
  <si>
    <t>20-38-SM02</t>
  </si>
  <si>
    <t>20-38-GB01</t>
  </si>
  <si>
    <t>8.3-21.5</t>
  </si>
  <si>
    <t>LFS at 8.3mm will be held for additional ID verification</t>
  </si>
  <si>
    <t>20-38-GB02</t>
  </si>
  <si>
    <t>20-38-SM03</t>
  </si>
  <si>
    <t>20-22.6</t>
  </si>
  <si>
    <t>20-38-RV01</t>
  </si>
  <si>
    <t>20-38-RV02</t>
  </si>
  <si>
    <t>20-38-LSR01</t>
  </si>
  <si>
    <t>20-38-LSR02</t>
  </si>
  <si>
    <t>20-38-RV03</t>
  </si>
  <si>
    <t>20-38-LSSC07</t>
  </si>
  <si>
    <t>7 Wakasagi identified (18.5-22.6mm)</t>
  </si>
  <si>
    <t>20-38-LSSC04</t>
  </si>
  <si>
    <t>10 Wakasagi identified (14.4-23.4mm)</t>
  </si>
  <si>
    <t>20-38-LSSC05</t>
  </si>
  <si>
    <t>20-38-LSSC08</t>
  </si>
  <si>
    <t>20-38-LSSC06</t>
  </si>
  <si>
    <t>20-39-LSR01</t>
  </si>
  <si>
    <t>1 Wakasagi identified (21.2mm) and retained for verification</t>
  </si>
  <si>
    <t>20-39-LSR02</t>
  </si>
  <si>
    <t>20-39-RV01</t>
  </si>
  <si>
    <t xml:space="preserve">Only 3 sites performed at Rio Vista. Remainder of sites will be made up during the week </t>
  </si>
  <si>
    <t>20-39-LSSC01</t>
  </si>
  <si>
    <t>20-39-LSSC02</t>
  </si>
  <si>
    <t>4 Wakasagi identified (16.4-25.5mm)</t>
  </si>
  <si>
    <t>20-39-USSC01</t>
  </si>
  <si>
    <t>14.6-19.8</t>
  </si>
  <si>
    <t>27 Wakasagi identified (16.3-22.9mm)</t>
  </si>
  <si>
    <t>20-39-USSC02</t>
  </si>
  <si>
    <t>20-39-LSSC03</t>
  </si>
  <si>
    <t>20-39-PP02</t>
  </si>
  <si>
    <t>20-39-PP01</t>
  </si>
  <si>
    <t>20-39-SJT01</t>
  </si>
  <si>
    <t>20-39-SJT02</t>
  </si>
  <si>
    <t>20-39-LSJ01</t>
  </si>
  <si>
    <t>20-39-LSSC04</t>
  </si>
  <si>
    <t>20-39-LSSC05</t>
  </si>
  <si>
    <t>DSM at 18mm will be held for additional ID verification; 17 Wakasagi identified (16.6-27.5mm)</t>
  </si>
  <si>
    <t>20-39-LSSC08</t>
  </si>
  <si>
    <t>36 Wakasagi identified (15.1-25mm)</t>
  </si>
  <si>
    <t>20-39-LSSC07</t>
  </si>
  <si>
    <t>1 Wakasagi identified at 21.8mm</t>
  </si>
  <si>
    <t>20-39-LSSC06</t>
  </si>
  <si>
    <t>20-39-RV02</t>
  </si>
  <si>
    <t>20-39-RV03</t>
  </si>
  <si>
    <t>20-39-SM03</t>
  </si>
  <si>
    <t>9-22.6</t>
  </si>
  <si>
    <t>20-39-SM01</t>
  </si>
  <si>
    <t>11-21.1</t>
  </si>
  <si>
    <t>20-39-SM02</t>
  </si>
  <si>
    <t>10-22.7</t>
  </si>
  <si>
    <t>20-39-SM04</t>
  </si>
  <si>
    <t>15-23</t>
  </si>
  <si>
    <t>20-39-GB01</t>
  </si>
  <si>
    <t>16-23.9</t>
  </si>
  <si>
    <t>20-39-CS04</t>
  </si>
  <si>
    <t>20-39-CS01</t>
  </si>
  <si>
    <t>Tow 2 was a code 2 (Board loose on sled, compromised sample)</t>
  </si>
  <si>
    <t>20-39-CS09</t>
  </si>
  <si>
    <t>20-39-CS02</t>
  </si>
  <si>
    <t>20-39-CS05</t>
  </si>
  <si>
    <t>20-39-CS06</t>
  </si>
  <si>
    <t>Tow 1 was code 3 (Too much vegetation, no sample retained); Tow 2 was code 3 (Tow ended after 5 min due to heavy vegetation, no sample retained)</t>
  </si>
  <si>
    <t>20-39-CS03</t>
  </si>
  <si>
    <t>20-39-CS07</t>
  </si>
  <si>
    <t>20-39-CS08</t>
  </si>
  <si>
    <t>Code 4: Too much vegitation</t>
  </si>
  <si>
    <t>20-39-RV04</t>
  </si>
  <si>
    <t>20-39-LSR03</t>
  </si>
  <si>
    <t>11.9-20.5</t>
  </si>
  <si>
    <t>20-39-LSR04</t>
  </si>
  <si>
    <t>20-39-LSR05</t>
  </si>
  <si>
    <t>Tow 1 was code 3 (Tow ended early due to net hitting bottom); Only 1 tow performed, no sample retained</t>
  </si>
  <si>
    <t>20-39-LSR06</t>
  </si>
  <si>
    <t>20-39-RV05</t>
  </si>
  <si>
    <t>20-39-RV06</t>
  </si>
  <si>
    <t>20-39-CF01</t>
  </si>
  <si>
    <t>20-39-CF02</t>
  </si>
  <si>
    <t>9.8-22</t>
  </si>
  <si>
    <t>3 LFS (10-18mm) held for additional ID verification</t>
  </si>
  <si>
    <t>20-39-SBW01</t>
  </si>
  <si>
    <t>11.4-23.5</t>
  </si>
  <si>
    <t>1 LFS (11.4mm) held for additional ID verification</t>
  </si>
  <si>
    <t>20-39-SBM01</t>
  </si>
  <si>
    <t>15.8-20.6</t>
  </si>
  <si>
    <t>20-39-SBM02</t>
  </si>
  <si>
    <t>8-19.0</t>
  </si>
  <si>
    <t>20-40-PP02</t>
  </si>
  <si>
    <t>20-40-PP01</t>
  </si>
  <si>
    <t>20-40-SJT01</t>
  </si>
  <si>
    <t>20-40-LSJ02</t>
  </si>
  <si>
    <t>20-40-LSJ01</t>
  </si>
  <si>
    <t>20-40-RV01</t>
  </si>
  <si>
    <t>20-40-LSR02</t>
  </si>
  <si>
    <t>20-40-LSR01</t>
  </si>
  <si>
    <t>20-40-LSR03</t>
  </si>
  <si>
    <t>20-40-RV02</t>
  </si>
  <si>
    <t>20-40-SM01</t>
  </si>
  <si>
    <t>20-40-SM03</t>
  </si>
  <si>
    <t>16-26.2</t>
  </si>
  <si>
    <t>20-40-SM02</t>
  </si>
  <si>
    <t>16.4-17.8</t>
  </si>
  <si>
    <t>20-40-GB01</t>
  </si>
  <si>
    <t>17.4-26.5</t>
  </si>
  <si>
    <t>20-40-SM06</t>
  </si>
  <si>
    <t>16.6-24.4</t>
  </si>
  <si>
    <t>20-40-LSSC01</t>
  </si>
  <si>
    <t>20-40-LSSC03</t>
  </si>
  <si>
    <t>20-40-LSSC02</t>
  </si>
  <si>
    <t xml:space="preserve">2 Wakasagi identified (19.1-26mm) </t>
  </si>
  <si>
    <t>20-40-USSC01</t>
  </si>
  <si>
    <t xml:space="preserve">5 Wakasagi identified (21.1-26.4mm) </t>
  </si>
  <si>
    <t>20-40-LSSC07</t>
  </si>
  <si>
    <t xml:space="preserve">5 Wakasagi identified (16.2-30.1mm) </t>
  </si>
  <si>
    <t>20-40-GB02</t>
  </si>
  <si>
    <t>20-40-SM04</t>
  </si>
  <si>
    <t>23.3-23.7</t>
  </si>
  <si>
    <t>20-40-SM07</t>
  </si>
  <si>
    <t>13.1-25.4</t>
  </si>
  <si>
    <t>20-40-SM08</t>
  </si>
  <si>
    <t>12.1-20.9</t>
  </si>
  <si>
    <t>20-40-SM05</t>
  </si>
  <si>
    <t>15.7-25.6</t>
  </si>
  <si>
    <t>20-40-LSSC06</t>
  </si>
  <si>
    <t>20-40-LSSC05</t>
  </si>
  <si>
    <t xml:space="preserve">1 Wakasagi identified (22.8mm) </t>
  </si>
  <si>
    <t>20-40-LSSC08</t>
  </si>
  <si>
    <t>20-40-LSSC04</t>
  </si>
  <si>
    <t>20-40-LSSC09</t>
  </si>
  <si>
    <t>20-40-CF01</t>
  </si>
  <si>
    <t>20-40-SBM01</t>
  </si>
  <si>
    <t>20-40-SBW01</t>
  </si>
  <si>
    <t>20-40-SBW02</t>
  </si>
  <si>
    <t>17.3-29.8</t>
  </si>
  <si>
    <t>20-40-SBM02</t>
  </si>
  <si>
    <t>18.6-21.8</t>
  </si>
  <si>
    <t>20-40-CS01</t>
  </si>
  <si>
    <t>20-40-CS03</t>
  </si>
  <si>
    <t>20-40-CS02</t>
  </si>
  <si>
    <t>Tow 1 was code 3 (Heavy vegetation in tow; tow reduced to 3 minutes; sample not retained)</t>
  </si>
  <si>
    <t>20-40-CS05</t>
  </si>
  <si>
    <t>20-40-CS04</t>
  </si>
  <si>
    <t>20-41-SBW01</t>
  </si>
  <si>
    <t>20-41-SBM01</t>
  </si>
  <si>
    <t>20-41-SBM03</t>
  </si>
  <si>
    <t>20-41-SBM02</t>
  </si>
  <si>
    <t>18.1-27.4</t>
  </si>
  <si>
    <t>20-41-CF01</t>
  </si>
  <si>
    <t>9.1-24.8</t>
  </si>
  <si>
    <t>20-41-LSSC01</t>
  </si>
  <si>
    <t>20-41-USSC01</t>
  </si>
  <si>
    <t>LFS at 8.5mm held for additional ID verification</t>
  </si>
  <si>
    <t>20-41-USSC02</t>
  </si>
  <si>
    <t>20-41-USSC03</t>
  </si>
  <si>
    <t>20-41-LSSC02</t>
  </si>
  <si>
    <t>1 Wakasagi identified (23.5mm)</t>
  </si>
  <si>
    <t>20-41-CF02</t>
  </si>
  <si>
    <t>20-41-SBM04</t>
  </si>
  <si>
    <t>18.1-23.5</t>
  </si>
  <si>
    <t>20-41-SBW03</t>
  </si>
  <si>
    <t>20-41-SBW02</t>
  </si>
  <si>
    <t>21.6-25.8</t>
  </si>
  <si>
    <t>20-41-SBM05</t>
  </si>
  <si>
    <t>19.4-27.3</t>
  </si>
  <si>
    <t>20-41-LSSC07</t>
  </si>
  <si>
    <t>20-41-LSSC04</t>
  </si>
  <si>
    <t>20-41-LSSC06</t>
  </si>
  <si>
    <t>20-41-LSSC03</t>
  </si>
  <si>
    <t>DSM at 27.5mm will be held for additional ID verification; 4 Wakasagi identified (23-27.2mm)</t>
  </si>
  <si>
    <t>20-41-LSSC05</t>
  </si>
  <si>
    <t>20-41-LSJ01</t>
  </si>
  <si>
    <t>VanDorn not taken on Tow 1. Bottom E/C and Turbidity from Tow 2 only. CHNF was stage 4, caught in the field and released</t>
  </si>
  <si>
    <t>20-41-LSJ02</t>
  </si>
  <si>
    <t>VanDorn not taken on Tow 1. Bottom E/C and Turbidity from Tow 2 only.</t>
  </si>
  <si>
    <t>20-41-SJT01</t>
  </si>
  <si>
    <t>20-41-PP01</t>
  </si>
  <si>
    <t>20-41-PP02</t>
  </si>
  <si>
    <t>20-41-CS01</t>
  </si>
  <si>
    <t xml:space="preserve">2 Wakasagi identified (29-30.3mm) </t>
  </si>
  <si>
    <t>20-41-CS03</t>
  </si>
  <si>
    <t>20-41-CS02</t>
  </si>
  <si>
    <t>20-41-CS04</t>
  </si>
  <si>
    <t>20-41-CS06</t>
  </si>
  <si>
    <t xml:space="preserve">VanDorn not functioning on Tow 1. Bottom E/C and Turbidity from Tow 2 only. </t>
  </si>
  <si>
    <t>20-41-CS05</t>
  </si>
  <si>
    <t>20-41-RV01</t>
  </si>
  <si>
    <t>Discontinued collecting bottom data for Surface trawls on 5/7/2020</t>
  </si>
  <si>
    <t>20-41-RV03</t>
  </si>
  <si>
    <t>20-41-RV02</t>
  </si>
  <si>
    <t>20-41-LSR01</t>
  </si>
  <si>
    <t>20-41-RV04</t>
  </si>
  <si>
    <t>20-41-SM01</t>
  </si>
  <si>
    <t>11-29.5</t>
  </si>
  <si>
    <t>20-41-SM02</t>
  </si>
  <si>
    <t>16-27.7</t>
  </si>
  <si>
    <t>20-41-GB01</t>
  </si>
  <si>
    <t>18.8-22.5</t>
  </si>
  <si>
    <t>20-41-GB02</t>
  </si>
  <si>
    <t>23-26</t>
  </si>
  <si>
    <t>20-41-SM03</t>
  </si>
  <si>
    <t>24.2-30</t>
  </si>
  <si>
    <t>20-42-RV01</t>
  </si>
  <si>
    <t>20-42-RV02</t>
  </si>
  <si>
    <t>20-42-LSR01</t>
  </si>
  <si>
    <t>20-42-LSR02</t>
  </si>
  <si>
    <t>20-42-RV03</t>
  </si>
  <si>
    <t>20-42-LSSC02</t>
  </si>
  <si>
    <t>20-42-LSSC01</t>
  </si>
  <si>
    <t>17.6-20.7</t>
  </si>
  <si>
    <t>20-42-USSC01</t>
  </si>
  <si>
    <t>20-42-USSC02</t>
  </si>
  <si>
    <t>20-42-LSSC04</t>
  </si>
  <si>
    <t>15.5-18.8</t>
  </si>
  <si>
    <t xml:space="preserve">5 Wakasagi identified (22.4-27mm) </t>
  </si>
  <si>
    <t>20-42-LSJ01</t>
  </si>
  <si>
    <t>20-42-SJT01</t>
  </si>
  <si>
    <t>No starting depth available</t>
  </si>
  <si>
    <t>20-42-SJT02</t>
  </si>
  <si>
    <t>20-42-PP01</t>
  </si>
  <si>
    <t>20-42-PP02</t>
  </si>
  <si>
    <t>20-42-LSSC07</t>
  </si>
  <si>
    <t>20-42-LSSC08</t>
  </si>
  <si>
    <t>20-42-LSSC05</t>
  </si>
  <si>
    <t>20-42-LSSC06</t>
  </si>
  <si>
    <t>20-42-LSSC03</t>
  </si>
  <si>
    <t>20-42-SM03</t>
  </si>
  <si>
    <t>17.5-26.3</t>
  </si>
  <si>
    <t>20-42-SM02</t>
  </si>
  <si>
    <t>20-42-SM01</t>
  </si>
  <si>
    <t>20-42-SM04</t>
  </si>
  <si>
    <t>20.3-27.2</t>
  </si>
  <si>
    <t>20-42-GB01</t>
  </si>
  <si>
    <t>21.8-26</t>
  </si>
  <si>
    <t>20-42-CS01</t>
  </si>
  <si>
    <t>20-42-CS02</t>
  </si>
  <si>
    <t>20-42-CS03</t>
  </si>
  <si>
    <t>Tow 1 was code 3 (Heavy vegetation in tow; sample not retained); Tow 3 was reduced to 5 minutes due to heavy vegetation at site</t>
  </si>
  <si>
    <t>20-42-CS09</t>
  </si>
  <si>
    <t>20-42-CS05</t>
  </si>
  <si>
    <t>20-42-CF01</t>
  </si>
  <si>
    <t>20-42-SBM01</t>
  </si>
  <si>
    <t>20-42-SBW01</t>
  </si>
  <si>
    <t>20-42-SBW02</t>
  </si>
  <si>
    <t>20-42-HB01</t>
  </si>
  <si>
    <t>20-42-CS06</t>
  </si>
  <si>
    <t>20-42-CS08</t>
  </si>
  <si>
    <t>20-42-CS04</t>
  </si>
  <si>
    <t>20-42-CS07</t>
  </si>
  <si>
    <t>20-42-CS10</t>
  </si>
  <si>
    <t>20-43-SM01</t>
  </si>
  <si>
    <t>21.4-23.5</t>
  </si>
  <si>
    <t>20-43-GB02</t>
  </si>
  <si>
    <t>20-43-GB01</t>
  </si>
  <si>
    <t>20-43-GB03</t>
  </si>
  <si>
    <t>23-27.5</t>
  </si>
  <si>
    <t>20-43-SM02</t>
  </si>
  <si>
    <t>24.3-30.5</t>
  </si>
  <si>
    <t>20-43-CS01</t>
  </si>
  <si>
    <t xml:space="preserve">Tow 2 reduced to 5 minutes due to heavy vegetation </t>
  </si>
  <si>
    <t>20-43-CS02</t>
  </si>
  <si>
    <t>20-43-CS03</t>
  </si>
  <si>
    <t>20-43-CS04</t>
  </si>
  <si>
    <t xml:space="preserve">Both tows reduced to 5 minutes due to heavy vegetation </t>
  </si>
  <si>
    <t>20-43-CS05</t>
  </si>
  <si>
    <t>20-43-CF01</t>
  </si>
  <si>
    <t>22.1-22.7</t>
  </si>
  <si>
    <t>No further sites performed at Pittsburg due to boat issues; sites will be completed during the week</t>
  </si>
  <si>
    <t>20-43-LSSC02</t>
  </si>
  <si>
    <t>20-43-LSSC01</t>
  </si>
  <si>
    <t>10 Wakasagi identified (31-46mm)</t>
  </si>
  <si>
    <t>20-43-LSSC03</t>
  </si>
  <si>
    <t>1 Wakasagi identified (39mm)</t>
  </si>
  <si>
    <t>20-43-USSC01</t>
  </si>
  <si>
    <t>20-43-LSSC08</t>
  </si>
  <si>
    <t>17-27</t>
  </si>
  <si>
    <t>16 Wakasagi identified (25.3-45mm)</t>
  </si>
  <si>
    <t>20-43-SBW01</t>
  </si>
  <si>
    <t>20-43-SBM02</t>
  </si>
  <si>
    <t>20-43-SBM03</t>
  </si>
  <si>
    <t>20-43-SBM01</t>
  </si>
  <si>
    <t>18.3-28</t>
  </si>
  <si>
    <t>20-43-LSSC09</t>
  </si>
  <si>
    <t>20-43-LSSC04</t>
  </si>
  <si>
    <t>20-43-LSSC07</t>
  </si>
  <si>
    <t>20-43-LSSC05</t>
  </si>
  <si>
    <t>18.5-29</t>
  </si>
  <si>
    <t>5 Wakasagi identified (23.2-45mm)</t>
  </si>
  <si>
    <t>20-43-LSSC06</t>
  </si>
  <si>
    <t>27.3-33</t>
  </si>
  <si>
    <t>2 Wakasagi identified (36-41mm)</t>
  </si>
  <si>
    <t>20-43-RV01</t>
  </si>
  <si>
    <t>20-43-RV02</t>
  </si>
  <si>
    <t>20-43-LSR01</t>
  </si>
  <si>
    <t>20-43-LSR02</t>
  </si>
  <si>
    <t>20-43-RV03</t>
  </si>
  <si>
    <t>20-43-LSJ01</t>
  </si>
  <si>
    <t>Tow 2 was Code 2 (Net fished at 50ft behind boat at surface due to inaccurate line markings)</t>
  </si>
  <si>
    <t>20-43-SJT02</t>
  </si>
  <si>
    <t>20-43-SJT01</t>
  </si>
  <si>
    <t>20-43-PP02</t>
  </si>
  <si>
    <t>20-43-PP01</t>
  </si>
  <si>
    <t>20-43-LSJ02</t>
  </si>
  <si>
    <t>20-43-LSJ03</t>
  </si>
  <si>
    <t>20-43-PP03</t>
  </si>
  <si>
    <t>20-43-PP05</t>
  </si>
  <si>
    <t>20-43-PP04</t>
  </si>
  <si>
    <t>20-44-SM01</t>
  </si>
  <si>
    <t>20-44-SM02</t>
  </si>
  <si>
    <t>20-44-GB01</t>
  </si>
  <si>
    <t>20-44-GB02</t>
  </si>
  <si>
    <t>20-44-SM03</t>
  </si>
  <si>
    <t>Tow 2 was code 3 (Wooden board broke on sled and net became wrapped; sample compromised)</t>
  </si>
  <si>
    <t>20-44-CS03</t>
  </si>
  <si>
    <t>Tows 1 and 2 were code 3 (Samples not retained due to heavy vegetation); Tow 2 was reduced to 5 minutes due to heavy vegetation</t>
  </si>
  <si>
    <t>20-44-CS02</t>
  </si>
  <si>
    <t>20-44-CS04</t>
  </si>
  <si>
    <t>20-44-CS01</t>
  </si>
  <si>
    <t>20-44-CS05</t>
  </si>
  <si>
    <t>20-44-CS06</t>
  </si>
  <si>
    <t>20-44-RV01</t>
  </si>
  <si>
    <t>20-44-LSR01</t>
  </si>
  <si>
    <t>20-44-LSR02</t>
  </si>
  <si>
    <t>20-44-LSR03</t>
  </si>
  <si>
    <t>20-44-RV02</t>
  </si>
  <si>
    <t>20-44-CF01</t>
  </si>
  <si>
    <t>20-44-SBW01</t>
  </si>
  <si>
    <t>20-44-SBW02</t>
  </si>
  <si>
    <t>20-44-SBW03</t>
  </si>
  <si>
    <t>20-44-SBM01</t>
  </si>
  <si>
    <t>20-44-LSSC02</t>
  </si>
  <si>
    <t>20-44-LSSC01</t>
  </si>
  <si>
    <t>20-44-LSSC03</t>
  </si>
  <si>
    <t>20-44-LSSC06</t>
  </si>
  <si>
    <t>20-44-LSSC04</t>
  </si>
  <si>
    <t>20-44-GB03</t>
  </si>
  <si>
    <t>20-44-GB04</t>
  </si>
  <si>
    <t>20-44-SM05</t>
  </si>
  <si>
    <t>20-44-SM04</t>
  </si>
  <si>
    <t>20-44-RV03</t>
  </si>
  <si>
    <t>20-44-LSSC05</t>
  </si>
  <si>
    <t>20-44-USSC02</t>
  </si>
  <si>
    <t>1 Wagasaki identified (12.4mm)</t>
  </si>
  <si>
    <t>20-44-LSSC08</t>
  </si>
  <si>
    <t>20-44-USSC01</t>
  </si>
  <si>
    <t>20-44-LSSC07</t>
  </si>
  <si>
    <t>20-44-LSJ01</t>
  </si>
  <si>
    <t>20-44-PP02</t>
  </si>
  <si>
    <t>20-44-PP01</t>
  </si>
  <si>
    <t>20-44-LSJ02</t>
  </si>
  <si>
    <t>20-44-LSJ03</t>
  </si>
  <si>
    <t>20-45-LSSC01</t>
  </si>
  <si>
    <t>20-45-USSC01</t>
  </si>
  <si>
    <t>20-45-USSC02</t>
  </si>
  <si>
    <t>20-45-USSC03</t>
  </si>
  <si>
    <t>20-45-LSSC06</t>
  </si>
  <si>
    <t>20-45-SM01</t>
  </si>
  <si>
    <t>20-45-SM02</t>
  </si>
  <si>
    <t>20-45-GB01</t>
  </si>
  <si>
    <t>20-45-GB02</t>
  </si>
  <si>
    <t>24-24.4</t>
  </si>
  <si>
    <t>20-45-GB03</t>
  </si>
  <si>
    <t>20-45-SM03</t>
  </si>
  <si>
    <t>20-45-SM06</t>
  </si>
  <si>
    <t>20-45-LSSC07</t>
  </si>
  <si>
    <t>Code 4: Target point in land, cannot get in range</t>
  </si>
  <si>
    <t>20-45-LSSC03</t>
  </si>
  <si>
    <t>1 Wagasaki identified (14.3mm)</t>
  </si>
  <si>
    <t>20-45-LSSC08</t>
  </si>
  <si>
    <t>20-45-LSSC04</t>
  </si>
  <si>
    <t>20-45-LSSC02</t>
  </si>
  <si>
    <t>20-45-LSSC05</t>
  </si>
  <si>
    <t>20-45-LSSC09</t>
  </si>
  <si>
    <t>20-45-SM04</t>
  </si>
  <si>
    <t>20-45-SM05</t>
  </si>
  <si>
    <t>20-45-SM08</t>
  </si>
  <si>
    <t>20-45-SM07</t>
  </si>
  <si>
    <t>23.4-37.7</t>
  </si>
  <si>
    <t>20-45-GB04</t>
  </si>
  <si>
    <t>20-45-HB02</t>
  </si>
  <si>
    <t>20-45-HB01</t>
  </si>
  <si>
    <t>22.5-26</t>
  </si>
  <si>
    <t>20-45-CF01</t>
  </si>
  <si>
    <t>20-45-SBM01</t>
  </si>
  <si>
    <t>20-45-SBM02</t>
  </si>
  <si>
    <t>20-45-RV01</t>
  </si>
  <si>
    <t>20-45-LSR02</t>
  </si>
  <si>
    <t>20-45-LSR01</t>
  </si>
  <si>
    <t>20-45-LSR03</t>
  </si>
  <si>
    <t>20-45-RV02</t>
  </si>
  <si>
    <t>20-45-CS01</t>
  </si>
  <si>
    <t>20-45-CS02</t>
  </si>
  <si>
    <t>20-45-CS03</t>
  </si>
  <si>
    <t>20-45-CS04</t>
  </si>
  <si>
    <t>20-45-CS05</t>
  </si>
  <si>
    <t>20-45-PP02</t>
  </si>
  <si>
    <t>Tow 2 was code 2 (Vegetation in net)</t>
  </si>
  <si>
    <t>20-45-PP01</t>
  </si>
  <si>
    <t>Tows 1 and 2 reduced to 7.5 and 5 minutes due to heavy vegetation</t>
  </si>
  <si>
    <t>20-45-SJT01</t>
  </si>
  <si>
    <t>Tow 1 was code 2 (Vegetation in net); Tow 2 was reduced to 5 minutes due to heavy vegetation</t>
  </si>
  <si>
    <t>20-45-SJT02</t>
  </si>
  <si>
    <t>20-45-LSJ01</t>
  </si>
  <si>
    <t>20-46-SM02</t>
  </si>
  <si>
    <t>20-46-SM03</t>
  </si>
  <si>
    <t>20-46-SM01</t>
  </si>
  <si>
    <t>20-46-SM06</t>
  </si>
  <si>
    <t>20-46-SM07</t>
  </si>
  <si>
    <t>20-46-GB02</t>
  </si>
  <si>
    <t>20-46-GB01</t>
  </si>
  <si>
    <t>20-46-GB03</t>
  </si>
  <si>
    <t>20-46-GB04</t>
  </si>
  <si>
    <t>20-46-SM04</t>
  </si>
  <si>
    <t>20-46-SM05</t>
  </si>
  <si>
    <t>20-46-CS02</t>
  </si>
  <si>
    <t>20-46-CS01</t>
  </si>
  <si>
    <t>20-46-CS03</t>
  </si>
  <si>
    <t>Tow 2 was reduced to 5 minutes due to heavy vegetation</t>
  </si>
  <si>
    <t>20-46-CS04</t>
  </si>
  <si>
    <t>20-46-CS05</t>
  </si>
  <si>
    <t>Tow 1 was reduced to 5 minutes due to shallow habitat; Tow 2 was code 3 (Cod end missing at the end of the tow)</t>
  </si>
  <si>
    <t>20-46-SBM02</t>
  </si>
  <si>
    <t>20-46-SBW01</t>
  </si>
  <si>
    <t>20-46-SBM01</t>
  </si>
  <si>
    <t>20-46-SBM03</t>
  </si>
  <si>
    <t>20-46-CF01</t>
  </si>
  <si>
    <t>20-46-LSSC02</t>
  </si>
  <si>
    <t>20-46-LSSC01</t>
  </si>
  <si>
    <t>20-46-LSSC03</t>
  </si>
  <si>
    <t>20-46-LSSC06</t>
  </si>
  <si>
    <t>20-46-LSSC04</t>
  </si>
  <si>
    <t>20-46-SBW02</t>
  </si>
  <si>
    <t>20-46-SBW04</t>
  </si>
  <si>
    <t>20-46-SBW03</t>
  </si>
  <si>
    <t>20-46-HB01</t>
  </si>
  <si>
    <t>20-46-SBM04</t>
  </si>
  <si>
    <t>20-46-CF02</t>
  </si>
  <si>
    <t>20-46-LSSC05</t>
  </si>
  <si>
    <t>20-46-LSSC07</t>
  </si>
  <si>
    <t>20-46-LSSC09</t>
  </si>
  <si>
    <t>20-46-USSC01</t>
  </si>
  <si>
    <t>20-46-LSSC08</t>
  </si>
  <si>
    <t>20-46-PP01</t>
  </si>
  <si>
    <t>20-46-SJT01</t>
  </si>
  <si>
    <t>20-46-LSJ03</t>
  </si>
  <si>
    <t>Tows 1 and 2 were code 2 (Net partially blocked by debris)</t>
  </si>
  <si>
    <t>20-46-LSJ01</t>
  </si>
  <si>
    <t>20-46-LSJ02</t>
  </si>
  <si>
    <t>20-46-RV01</t>
  </si>
  <si>
    <t>20-46-RV02</t>
  </si>
  <si>
    <t>20-46-LSR01</t>
  </si>
  <si>
    <t>20-46-LSR02</t>
  </si>
  <si>
    <t>20-46-RV03</t>
  </si>
  <si>
    <t>20-47-LSJ01</t>
  </si>
  <si>
    <t xml:space="preserve">Only 1 site performed at Pittsburg due to boat issues. Remainder of sites will be made up during the week </t>
  </si>
  <si>
    <t>20-47-LSSC03</t>
  </si>
  <si>
    <t>20-47-LSSC01</t>
  </si>
  <si>
    <t>20-47-LSSC02</t>
  </si>
  <si>
    <t>20-47-LSSC04</t>
  </si>
  <si>
    <t>20-47-LSSC08</t>
  </si>
  <si>
    <t>20-47-USSC01</t>
  </si>
  <si>
    <t>20-47-LSSC07</t>
  </si>
  <si>
    <t>20-47-LSSC06</t>
  </si>
  <si>
    <t>20-47-LSSC05</t>
  </si>
  <si>
    <t>20-47-LSSC09</t>
  </si>
  <si>
    <t>20-47-RV01</t>
  </si>
  <si>
    <t>20-47-LSR01</t>
  </si>
  <si>
    <t>20-47-RV03</t>
  </si>
  <si>
    <t>20-47-RV02</t>
  </si>
  <si>
    <t>20-47-LSR02</t>
  </si>
  <si>
    <t>20-47-CS04</t>
  </si>
  <si>
    <t>20-47-CS06</t>
  </si>
  <si>
    <t>20-47-CS01</t>
  </si>
  <si>
    <t>20-47-CS02</t>
  </si>
  <si>
    <t>20-47-CS03</t>
  </si>
  <si>
    <t>20-47-CS05</t>
  </si>
  <si>
    <t>20-47-CS07</t>
  </si>
  <si>
    <t>20-47-SM02</t>
  </si>
  <si>
    <t>20-47-SM05</t>
  </si>
  <si>
    <t>20-47-SM04</t>
  </si>
  <si>
    <t>20-47-GB01</t>
  </si>
  <si>
    <t>20-47-SM03</t>
  </si>
  <si>
    <t>20-47-SM01</t>
  </si>
  <si>
    <t>20-47-CF01</t>
  </si>
  <si>
    <t>20-47-CF02</t>
  </si>
  <si>
    <t>20-47-HB01</t>
  </si>
  <si>
    <t>20-47-SBM01</t>
  </si>
  <si>
    <t>Tow 2 was code 2: Net potentially hit bottom and tow was ended at 2.5 min; sample was kept and third tow was completed.</t>
  </si>
  <si>
    <t>20-47-SBM02</t>
  </si>
  <si>
    <t>20-47-SBW01</t>
  </si>
  <si>
    <t>20-47-CS08</t>
  </si>
  <si>
    <t>20-47-CS09</t>
  </si>
  <si>
    <t>20-47-CS10</t>
  </si>
  <si>
    <t>Tows 1 and 2 were code 2 (Net partially blocked by vegetation)</t>
  </si>
  <si>
    <t>20-47-CS11</t>
  </si>
  <si>
    <t>20-47-CS12</t>
  </si>
  <si>
    <t>20-47-CS13</t>
  </si>
  <si>
    <t>20-47-CS14</t>
  </si>
  <si>
    <t>20-47-CS15</t>
  </si>
  <si>
    <t>20-47-LSJ02</t>
  </si>
  <si>
    <t>20-47-PP01</t>
  </si>
  <si>
    <t>Tow 1 was code 2 (Vegetation in net); Tow 2 was reduced to 3 minutes due to heavy vegetation</t>
  </si>
  <si>
    <t>20-47-SJT01</t>
  </si>
  <si>
    <t>20-47-SJT02</t>
  </si>
  <si>
    <t>20-48-CF01</t>
  </si>
  <si>
    <t>20-48-CF02</t>
  </si>
  <si>
    <t>20-48-HB01</t>
  </si>
  <si>
    <t>20-48-CF03</t>
  </si>
  <si>
    <t>20-48-CS01</t>
  </si>
  <si>
    <t>20-48-CS02</t>
  </si>
  <si>
    <t>20-48-CS03</t>
  </si>
  <si>
    <t>20-48-CS04</t>
  </si>
  <si>
    <t>Tows shortened due to heavy vegetation</t>
  </si>
  <si>
    <t>20-48-CS05</t>
  </si>
  <si>
    <t>Tow 1 was code 3 (Heavy vegetation); Tows 2 and 3 shortened due to heavy vegetation</t>
  </si>
  <si>
    <t>20-48-SM03</t>
  </si>
  <si>
    <t>20-48-SM02</t>
  </si>
  <si>
    <t>20-48-SM01</t>
  </si>
  <si>
    <t>20-48-SM04</t>
  </si>
  <si>
    <t>20-48-SM05</t>
  </si>
  <si>
    <t>20-48-GB01</t>
  </si>
  <si>
    <t>20-48-RV01</t>
  </si>
  <si>
    <t>20-48-RV02</t>
  </si>
  <si>
    <t>20-48-LSR02</t>
  </si>
  <si>
    <t>20-48-LSR01</t>
  </si>
  <si>
    <t>20-48-RV03</t>
  </si>
  <si>
    <t>20-48-LSSC02</t>
  </si>
  <si>
    <t>20-48-LSSC01</t>
  </si>
  <si>
    <t>20-48-USSC01</t>
  </si>
  <si>
    <t>20-48-USSC02</t>
  </si>
  <si>
    <t>20-48-LSSC07</t>
  </si>
  <si>
    <t>20-48-LSJ04</t>
  </si>
  <si>
    <t>Tow 1 was code 2 (Vegetation in net); Tow 2 was reduced to 7 minutes due to heavy vegetation</t>
  </si>
  <si>
    <t>20-48-LSJ01</t>
  </si>
  <si>
    <t>20-48-LSJ03</t>
  </si>
  <si>
    <t>20-48-LSJ02</t>
  </si>
  <si>
    <t>20-48-SBM01</t>
  </si>
  <si>
    <t>20-48-LSSC05</t>
  </si>
  <si>
    <t>20-48-LSSC08</t>
  </si>
  <si>
    <t>20-48-LSSC06</t>
  </si>
  <si>
    <t>20-48-LSSC03</t>
  </si>
  <si>
    <t>20-48-LSSC04</t>
  </si>
  <si>
    <t>20-48-SJT01</t>
  </si>
  <si>
    <t>20-48-PP03</t>
  </si>
  <si>
    <t>20-48-PP02</t>
  </si>
  <si>
    <t>20-48-PP04</t>
  </si>
  <si>
    <t>Tow 2 was reduced to 7 minutes due to heavy vegetation</t>
  </si>
  <si>
    <t>20-48-PP01</t>
  </si>
  <si>
    <t>20-19-CS03</t>
  </si>
  <si>
    <t>20-19-CS01</t>
  </si>
  <si>
    <t>20-19-CS02</t>
  </si>
  <si>
    <t>20-19-LNR01</t>
  </si>
  <si>
    <t>20-19-SPE01</t>
  </si>
  <si>
    <t>Tow 4 was code 2 (Passed strata boundary by 250ft)</t>
  </si>
  <si>
    <t>20-19-SPE02</t>
  </si>
  <si>
    <t xml:space="preserve">No sampling at Eddo's due to boat issues. Sites will be completed later in the week. </t>
  </si>
  <si>
    <t>20-19-LSSC01</t>
  </si>
  <si>
    <t>Tow 4 was code 2 (Buoy wrapped around cod end)</t>
  </si>
  <si>
    <t>20-19-LSSC03</t>
  </si>
  <si>
    <t>1 Wakasagi (82 mm) retained for verification</t>
  </si>
  <si>
    <t>20-19-LSSC02</t>
  </si>
  <si>
    <t>4 Wakasagi (91-97 mm) retained for verification</t>
  </si>
  <si>
    <t>20-19-PP01</t>
  </si>
  <si>
    <t>Tow 1 was code 2 (Buoy wrapped around cod end)</t>
  </si>
  <si>
    <t>20-19-SJT01</t>
  </si>
  <si>
    <t>20-19-FT01</t>
  </si>
  <si>
    <t>20-19-HC01</t>
  </si>
  <si>
    <t>20-19-CF01</t>
  </si>
  <si>
    <t>20-19-CF03</t>
  </si>
  <si>
    <t>20-19-CF02</t>
  </si>
  <si>
    <t>20-19-RV01</t>
  </si>
  <si>
    <t>20-19-RV02</t>
  </si>
  <si>
    <t>20-19-RV05</t>
  </si>
  <si>
    <t>20-19-RV04</t>
  </si>
  <si>
    <t>20-19-LSJ03</t>
  </si>
  <si>
    <t>20-19-LSJ04</t>
  </si>
  <si>
    <t>20-19-LSJ02</t>
  </si>
  <si>
    <t>Tow 2 was code 2 (Buoy wrapped around cod end)</t>
  </si>
  <si>
    <t>20-19-LSJ01</t>
  </si>
  <si>
    <t>20-19-SBW01</t>
  </si>
  <si>
    <t>20-19-SBM01</t>
  </si>
  <si>
    <t>20-19-SBM02</t>
  </si>
  <si>
    <t>20-19-LSR01</t>
  </si>
  <si>
    <t>20-19-RV03</t>
  </si>
  <si>
    <t>20-19-RV06</t>
  </si>
  <si>
    <t>20-19-OR01</t>
  </si>
  <si>
    <t>20-19-MIW01</t>
  </si>
  <si>
    <t>20-19-MIW02</t>
  </si>
  <si>
    <t>20-19-SM02</t>
  </si>
  <si>
    <t>20-19-SM03</t>
  </si>
  <si>
    <t>1 Wakasagi (78 mm) retained for verification. Tow 1 was code 2 (twist in net)</t>
  </si>
  <si>
    <t>20-19-SM01</t>
  </si>
  <si>
    <t>20-20-RV02</t>
  </si>
  <si>
    <t>Tow 1 was code 2 (Float line wrapped around net)</t>
  </si>
  <si>
    <t>20-20-RV01</t>
  </si>
  <si>
    <t>20-20-RV04</t>
  </si>
  <si>
    <t>20-20-LSJ02</t>
  </si>
  <si>
    <t>20-20-LSJ03</t>
  </si>
  <si>
    <t>20-20-LSJ01</t>
  </si>
  <si>
    <t>Tow 1 was code 2 (Twist in cod end of net)</t>
  </si>
  <si>
    <t>20-20-LSJ04</t>
  </si>
  <si>
    <t>20-20-SM01</t>
  </si>
  <si>
    <t>68-77</t>
  </si>
  <si>
    <t>20-20-SM02</t>
  </si>
  <si>
    <t>20-20-SM03</t>
  </si>
  <si>
    <t>20-20-LSSC03</t>
  </si>
  <si>
    <t>9 Wakasagi (81-96 mm) retained for verification</t>
  </si>
  <si>
    <t>20-20-LSSC04</t>
  </si>
  <si>
    <t>20-20-LSSC01</t>
  </si>
  <si>
    <t>20-20-SJT01</t>
  </si>
  <si>
    <t>Tow 2 was ended after 7 minutes due to sea lion approaching net</t>
  </si>
  <si>
    <t>20-20-PP02</t>
  </si>
  <si>
    <t>20-20-PP01</t>
  </si>
  <si>
    <t>Tow 2 was 5 minutes due to sea lion arriving in area</t>
  </si>
  <si>
    <t>20-20-SBM02</t>
  </si>
  <si>
    <t>20-20-SBW01</t>
  </si>
  <si>
    <t>20-20-SBM03</t>
  </si>
  <si>
    <t>Adclipped</t>
  </si>
  <si>
    <t>20-20-LSR02</t>
  </si>
  <si>
    <t>20-20-LSR03</t>
  </si>
  <si>
    <t>1 Wakasagi (102 mm) retained for verification; tow 4 was code 2 (buoy wrapped around net)</t>
  </si>
  <si>
    <t>20-20-LSR01</t>
  </si>
  <si>
    <t>20-20-RV03</t>
  </si>
  <si>
    <t>20-20-FT01</t>
  </si>
  <si>
    <t>Code 4: no sampling due to heavy vegetation and shallow depth</t>
  </si>
  <si>
    <t>20-20-VC01</t>
  </si>
  <si>
    <t>20-20-FT02</t>
  </si>
  <si>
    <t>20-20-SBM01</t>
  </si>
  <si>
    <t>20-20-SBM04</t>
  </si>
  <si>
    <t>20-20-HB01</t>
  </si>
  <si>
    <t>20-20-CF01</t>
  </si>
  <si>
    <t>20-20-CS02</t>
  </si>
  <si>
    <t>20-20-CS01</t>
  </si>
  <si>
    <t>20-20-CS03</t>
  </si>
  <si>
    <t>20-20-SPE01</t>
  </si>
  <si>
    <t>Tow 10 was ended after 4.5 min due to sea lion entering area</t>
  </si>
  <si>
    <t>20-20-SPE02</t>
  </si>
  <si>
    <t>20-20-SPE03</t>
  </si>
  <si>
    <t>20-20-HC01</t>
  </si>
  <si>
    <t>Over 1.8</t>
  </si>
  <si>
    <t>Tow 4 was code 3 (Full blockage of net by vegetation)</t>
  </si>
  <si>
    <t>20-20-MIW01</t>
  </si>
  <si>
    <t>Tows 1 and 2 were code 2 (Partial blockage of net by vegetation)</t>
  </si>
  <si>
    <t>20-20-RS01</t>
  </si>
  <si>
    <t>Tows 1, 3, and 4 were code 2 (Partial blockage of net by vegetation); tow 1 was 5 minutes due to sea lion approaching area</t>
  </si>
  <si>
    <t>20-20-MIW02</t>
  </si>
  <si>
    <t>Code 4: too close to active duck blinds to sample</t>
  </si>
  <si>
    <t>20-21-RS01</t>
  </si>
  <si>
    <t>Tows 1-4 were code 2 (Partial blockage of net with vegetation)</t>
  </si>
  <si>
    <t>20-21-FT02</t>
  </si>
  <si>
    <t>Only 3 tows performed, resetting net would have required crew to move into water too shallow to sample. Tows 1-2 were code 2 (Partial blockage of net with vegetation)</t>
  </si>
  <si>
    <t>20-21-FT01</t>
  </si>
  <si>
    <t>20-21-CS01</t>
  </si>
  <si>
    <t>20-21-CS03</t>
  </si>
  <si>
    <t>20-21-CS02</t>
  </si>
  <si>
    <t>20-21-LNR01</t>
  </si>
  <si>
    <t>20-21-SPE02</t>
  </si>
  <si>
    <t>20-21-SPE01</t>
  </si>
  <si>
    <t>20-21-LSSC02</t>
  </si>
  <si>
    <t>65-66</t>
  </si>
  <si>
    <t>DSM at 65mm died before measuring, retained for verification and swabbed for DNA study. 9 Wakasagi (87-95mm) retained for verification.</t>
  </si>
  <si>
    <t>20-21-LSSC03</t>
  </si>
  <si>
    <t>5 Wakasagi (85-104mm) retained for verification. Tow 3 was code 2 (Distance from site exceeded target distance, was 0.61 mi at stop)</t>
  </si>
  <si>
    <t>20-21-LSSC01</t>
  </si>
  <si>
    <t>20-21-MIW01</t>
  </si>
  <si>
    <t>20-21-HC01</t>
  </si>
  <si>
    <t>20-21-FT03</t>
  </si>
  <si>
    <t>20-21-SBW01</t>
  </si>
  <si>
    <t>Tow 2 was code 2 (Exceeded target distance due to slack tide)</t>
  </si>
  <si>
    <t>20-21-SBM01</t>
  </si>
  <si>
    <t>20-21-HB01</t>
  </si>
  <si>
    <t>20-21-LSR04</t>
  </si>
  <si>
    <t>20-21-LSR03</t>
  </si>
  <si>
    <t>20-21-LSR01</t>
  </si>
  <si>
    <t>20-21-PP01</t>
  </si>
  <si>
    <t>20-21-PP02</t>
  </si>
  <si>
    <t>20-21-LSJ02</t>
  </si>
  <si>
    <t>20-21-SBW02</t>
  </si>
  <si>
    <t>Tow 1 was code 2 (twist at box)</t>
  </si>
  <si>
    <t>20-21-SBW03</t>
  </si>
  <si>
    <t>20-21-SBM02</t>
  </si>
  <si>
    <t>20-21-LSR02</t>
  </si>
  <si>
    <t>20-21-RV02</t>
  </si>
  <si>
    <t>20-21-RV01</t>
  </si>
  <si>
    <t>20-21-LSJ04</t>
  </si>
  <si>
    <t>20-21-LSJ01</t>
  </si>
  <si>
    <t>20-21-LSJ03</t>
  </si>
  <si>
    <t>20-21-GB02</t>
  </si>
  <si>
    <t>20-21-GB01</t>
  </si>
  <si>
    <t>60-103</t>
  </si>
  <si>
    <t>150-185</t>
  </si>
  <si>
    <t>20-21-SM01</t>
  </si>
  <si>
    <t>20-22-LSR03</t>
  </si>
  <si>
    <t>20-22-LSR02</t>
  </si>
  <si>
    <t>65-67</t>
  </si>
  <si>
    <t>Delta Smelt at 67 mm was code 9, was a mortality and retained for verification</t>
  </si>
  <si>
    <t>20-22-LSR01</t>
  </si>
  <si>
    <t>20-22-SM03</t>
  </si>
  <si>
    <t>1 Wakasagi (106mm) retained for verification</t>
  </si>
  <si>
    <t>20-22-SM02</t>
  </si>
  <si>
    <t>75-82</t>
  </si>
  <si>
    <t>Tow 1 was code 2 (Partial twist in net)</t>
  </si>
  <si>
    <t>20-22-SM01</t>
  </si>
  <si>
    <t>20-22-FT01</t>
  </si>
  <si>
    <t>20-22-RS01</t>
  </si>
  <si>
    <t>Tows 2-4 were code 2 (Partial blockage of net by vegetation)</t>
  </si>
  <si>
    <t>20-22-RV01</t>
  </si>
  <si>
    <t>Tow 1 was code 2 (Partial twist in net), tows 3 and 4 were code 2 (partial block of net by vegetation)</t>
  </si>
  <si>
    <t>20-22-RV02</t>
  </si>
  <si>
    <t>20-22-LSR04</t>
  </si>
  <si>
    <t>20-22-SBM04</t>
  </si>
  <si>
    <t>20-22-CF01</t>
  </si>
  <si>
    <t>20-22-MIW01</t>
  </si>
  <si>
    <t>Tows 1 and 2 were code 3 (net clogged by vegetation); no more tows completed due to heavy vegetation at site</t>
  </si>
  <si>
    <t>20-22-MIW03</t>
  </si>
  <si>
    <t>Tows 1-4 were code 2 (Partial block of net with vegetation)</t>
  </si>
  <si>
    <t>20-22-MIW02</t>
  </si>
  <si>
    <t>20-22-PP01</t>
  </si>
  <si>
    <t>20-22-PP02</t>
  </si>
  <si>
    <t>20-22-PP03</t>
  </si>
  <si>
    <t>Tow 4 ended after 3:30 due to sea lion</t>
  </si>
  <si>
    <t>20-22-FT03</t>
  </si>
  <si>
    <t>20-22-FT02</t>
  </si>
  <si>
    <t>20-22-CS02</t>
  </si>
  <si>
    <t>Tows 1-4 were code 2 (Partial blockage due to vegetation)</t>
  </si>
  <si>
    <t>20-22-CS01</t>
  </si>
  <si>
    <t>Tow 2 was code 2 (Partial blockage due to vegetation)</t>
  </si>
  <si>
    <t>20-22-CS03</t>
  </si>
  <si>
    <t>Tow 3 was code 2 (Partial blockage of net due to vegetation); Tow 4 was code 2 (Boats towed past target distance from site)</t>
  </si>
  <si>
    <t>20-22-SBM02</t>
  </si>
  <si>
    <t>Tow 1 was code 2 (Twist in net at cod end)</t>
  </si>
  <si>
    <t>20-22-SBM03</t>
  </si>
  <si>
    <t>20-22-SBM01</t>
  </si>
  <si>
    <t>Tow 2 ended after 5 minutes due to sea lion in area</t>
  </si>
  <si>
    <t>20-22-SBW01</t>
  </si>
  <si>
    <t>20-22-USSC01</t>
  </si>
  <si>
    <t>20-22-USSC02</t>
  </si>
  <si>
    <t>Tow 4 was code 2 (Boats towed past target distance from site)</t>
  </si>
  <si>
    <t>20-22-LSSC01</t>
  </si>
  <si>
    <t>20-22-SJT01</t>
  </si>
  <si>
    <t>20-22-LSJ02</t>
  </si>
  <si>
    <t>20-22-LSJ01</t>
  </si>
  <si>
    <t>20-22-SPE01</t>
  </si>
  <si>
    <t>20-22-CQS02</t>
  </si>
  <si>
    <t>20-22-CQS01</t>
  </si>
  <si>
    <t>20-23-RV03</t>
  </si>
  <si>
    <t>20-23-RV01</t>
  </si>
  <si>
    <t>20-23-RV02</t>
  </si>
  <si>
    <t>20-23-RV04</t>
  </si>
  <si>
    <t>20-23-LSJ03</t>
  </si>
  <si>
    <t>20-23-LSJ01</t>
  </si>
  <si>
    <t>20-23-LSJ02</t>
  </si>
  <si>
    <t>20-23-SJT02</t>
  </si>
  <si>
    <t>20-23-SPE01</t>
  </si>
  <si>
    <t>20-23-LNR01</t>
  </si>
  <si>
    <t>20-23-CQS01</t>
  </si>
  <si>
    <t>20-23-SBW01</t>
  </si>
  <si>
    <t>20-23-LSR02</t>
  </si>
  <si>
    <t>20-23-LSR01</t>
  </si>
  <si>
    <t>20-23-PP01</t>
  </si>
  <si>
    <t>Only 2 tows completed due to heavy fog; no more sites completed in Lower San Joaquin for day due to fog, will be made up later in week</t>
  </si>
  <si>
    <t>20-23-CF01</t>
  </si>
  <si>
    <t>Tow 2 was code 2 (Boats towed past target distance from site)</t>
  </si>
  <si>
    <t>20-23-CF02</t>
  </si>
  <si>
    <t>20-23-SJT01</t>
  </si>
  <si>
    <t>20-23-FT02</t>
  </si>
  <si>
    <t>20-23-FT01</t>
  </si>
  <si>
    <t>20-23-CS04</t>
  </si>
  <si>
    <t>20-23-CS01</t>
  </si>
  <si>
    <t>Code 4: Heavy vegetation</t>
  </si>
  <si>
    <t>20-23-CS02</t>
  </si>
  <si>
    <t>20-23-CS05</t>
  </si>
  <si>
    <t>20-23-CS03</t>
  </si>
  <si>
    <t>20-23-SBM01</t>
  </si>
  <si>
    <t>20-23-HB01</t>
  </si>
  <si>
    <t>20-23-CF03</t>
  </si>
  <si>
    <t>Tow 4 was code 2 (Partial net twist)</t>
  </si>
  <si>
    <t>20-23-LSSC02</t>
  </si>
  <si>
    <t xml:space="preserve">Tow 1 was code 2 (Partial net twist) </t>
  </si>
  <si>
    <t>20-23-LSSC03</t>
  </si>
  <si>
    <t>20-23-LSSC01</t>
  </si>
  <si>
    <t>20-23-MIW02</t>
  </si>
  <si>
    <t>20-23-MIW03</t>
  </si>
  <si>
    <t>Only 3 tows performed due to increasingly foggy conditions</t>
  </si>
  <si>
    <t>20-23-MIW01</t>
  </si>
  <si>
    <t>Code 4: Heavy fog, unsafe conditions within Mildred Island</t>
  </si>
  <si>
    <t>20-23-FT03</t>
  </si>
  <si>
    <t>20-23-FT04</t>
  </si>
  <si>
    <t>20-23-SM01</t>
  </si>
  <si>
    <t>20-23-SM03</t>
  </si>
  <si>
    <t>20-23-SM02</t>
  </si>
  <si>
    <t>20-24-SJT01</t>
  </si>
  <si>
    <t xml:space="preserve">Tow 1 was code 3 (Pulled net after 2:15 minutes due to low water levels and heavy vegetation); no further tows performed at site </t>
  </si>
  <si>
    <t>20-24-LSJ02</t>
  </si>
  <si>
    <t>20-24-LSJ01</t>
  </si>
  <si>
    <t>20-24-LSJ03</t>
  </si>
  <si>
    <t>20-24-CS02</t>
  </si>
  <si>
    <t>Tows 1 and 4 were code 2 (Partial blockage of net with vegetation)</t>
  </si>
  <si>
    <t>20-24-CS01</t>
  </si>
  <si>
    <t>20-24-CS03</t>
  </si>
  <si>
    <t>20-24-GB02</t>
  </si>
  <si>
    <t>20-24-GB01</t>
  </si>
  <si>
    <t>20-24-SM01</t>
  </si>
  <si>
    <t>20-24-RV03</t>
  </si>
  <si>
    <t>Only 2 tows completed due to heavy fog. No more sites completed in Lower Sacramento. No sampling performed at Pitts or Korth's due to heavy fog. Sites will be rescheduled for Friday.</t>
  </si>
  <si>
    <t>20-24-RV01</t>
  </si>
  <si>
    <t>20-24-RV02</t>
  </si>
  <si>
    <t>20-24-LSR02</t>
  </si>
  <si>
    <t>20-24-PP01</t>
  </si>
  <si>
    <t>20-24-SJT02</t>
  </si>
  <si>
    <t>20-24-SJT03</t>
  </si>
  <si>
    <t>20-24-OR01</t>
  </si>
  <si>
    <t>20-24-FT01</t>
  </si>
  <si>
    <t>20-24-SBW01</t>
  </si>
  <si>
    <t>20-24-SBW02</t>
  </si>
  <si>
    <t>20-24-VC01</t>
  </si>
  <si>
    <t>Tow 4 was code 3 (Vegetation blocking box and most of net, distance from site exceeded target distance, was 0.57 mi at stop). Tow 2 ended after 7.5 minutes due to sea lion in area</t>
  </si>
  <si>
    <t>20-24-MRW01</t>
  </si>
  <si>
    <t>20-24-MIW01</t>
  </si>
  <si>
    <t>20-24-FT02</t>
  </si>
  <si>
    <t>20-24-LSSC02</t>
  </si>
  <si>
    <t>2 Wakasagi (88-99mm) retained for verification. Tow 1 was code 2 (Partial twist of net and buoy wrap)</t>
  </si>
  <si>
    <t>20-24-LSSC03</t>
  </si>
  <si>
    <t>1 Wakasagi (86mm) retained for verification. Tows 3 and 4 were code 2 (Partial buoy wrap at cod end)</t>
  </si>
  <si>
    <t>20-24-LSSC01</t>
  </si>
  <si>
    <t>20-24-CF02</t>
  </si>
  <si>
    <t>20-24-CF01</t>
  </si>
  <si>
    <t>20-24-HB01</t>
  </si>
  <si>
    <t>20-24-HB02</t>
  </si>
  <si>
    <t>20-24-CSQ01</t>
  </si>
  <si>
    <t>20-24-SPE01</t>
  </si>
  <si>
    <t>20-24-CSQ02</t>
  </si>
  <si>
    <t>20-24-LSR01</t>
  </si>
  <si>
    <t>20-24-LSR03</t>
  </si>
  <si>
    <t>Tow 1 was code 3 (too shallow, snagged net). Tow 5 was code 2 (Distance from site exceeded target distance, was 0.64 mi at stop)</t>
  </si>
  <si>
    <t>20-25-FT01</t>
  </si>
  <si>
    <t>Code 4: No access to site</t>
  </si>
  <si>
    <t>20-25-FT02</t>
  </si>
  <si>
    <t>Code 4: Hunting activity nearby</t>
  </si>
  <si>
    <t>20-25-HC01</t>
  </si>
  <si>
    <t>20-25-MIW02</t>
  </si>
  <si>
    <t>20-25-HC02</t>
  </si>
  <si>
    <t>20-25-LSSC02</t>
  </si>
  <si>
    <t>20-25-LSSC01</t>
  </si>
  <si>
    <t>8 Wakasagi (84-98 mm) retained for verification</t>
  </si>
  <si>
    <t>20-25-USSC01</t>
  </si>
  <si>
    <t>Tow 3 was code 2 (Distance from site exceeded target distance, was 0.58 mi at stop)</t>
  </si>
  <si>
    <t>20-25-SBW01</t>
  </si>
  <si>
    <t>20-25-SPE02</t>
  </si>
  <si>
    <t>Tow 3 was code 2 (Partial net twist)</t>
  </si>
  <si>
    <t>20-25-SPE01</t>
  </si>
  <si>
    <t>Tows 1-4 were code 2 (Strata boundary crossed during tow)</t>
  </si>
  <si>
    <t>20-25-LNR01</t>
  </si>
  <si>
    <t>20-25-RV03</t>
  </si>
  <si>
    <t>Tow 2 was code 2 (Distance from site exceeded target distance, was 0.58 mi at stop; twist in net, partial blockage)</t>
  </si>
  <si>
    <t>20-25-RV02</t>
  </si>
  <si>
    <t>20-25-RV01</t>
  </si>
  <si>
    <t>20-25-OR01</t>
  </si>
  <si>
    <t>20-25-MRW01</t>
  </si>
  <si>
    <t>20-25-MIW01</t>
  </si>
  <si>
    <t>20-25-SBW02</t>
  </si>
  <si>
    <t>20-25-SBM01</t>
  </si>
  <si>
    <t>20-25-HB01</t>
  </si>
  <si>
    <t>20-25-LSR02</t>
  </si>
  <si>
    <t>20-25-LSR01</t>
  </si>
  <si>
    <t>20-25-LSR03</t>
  </si>
  <si>
    <t>20-25-PP01</t>
  </si>
  <si>
    <t>20-25-PP02</t>
  </si>
  <si>
    <t>20-25-SJT02</t>
  </si>
  <si>
    <t>20-25-GB01</t>
  </si>
  <si>
    <t>74-88</t>
  </si>
  <si>
    <t>20-25-SM02</t>
  </si>
  <si>
    <t>20-25-SM01</t>
  </si>
  <si>
    <t>20-25-CS03</t>
  </si>
  <si>
    <t>20-25-CS01</t>
  </si>
  <si>
    <t>20-25-CS02</t>
  </si>
  <si>
    <t>20-25-LSJ02</t>
  </si>
  <si>
    <t>20-25-LSJ01</t>
  </si>
  <si>
    <t>20-25-SJT01</t>
  </si>
  <si>
    <t>Tow 4 was code 2 (Distance from site exceeded target distance, was 0.6 mi at stop)</t>
  </si>
  <si>
    <t>20-25-CF01</t>
  </si>
  <si>
    <t>M</t>
  </si>
  <si>
    <t>20-25-CF03</t>
  </si>
  <si>
    <t>20-25-CF02</t>
  </si>
  <si>
    <t>20-26-LSSC02</t>
  </si>
  <si>
    <t>5 Wakasagi (85-98mm) retained for verification.</t>
  </si>
  <si>
    <t>20-26-LSSC03</t>
  </si>
  <si>
    <t>Tow 1 Code 2: Twist in the net</t>
  </si>
  <si>
    <t>20-26-LSSC01</t>
  </si>
  <si>
    <t>20-26-FT01</t>
  </si>
  <si>
    <t>Code 4: Hunting season, did not attempt</t>
  </si>
  <si>
    <t>20-26-MIW01</t>
  </si>
  <si>
    <t>Tow 4 Code 2: Crossed boundary line into LSJ last 2 min of tow (140ft)</t>
  </si>
  <si>
    <t>20-26-MIW02</t>
  </si>
  <si>
    <t>20-26-MIW03</t>
  </si>
  <si>
    <t>Tow 4 Code 2: Veg blocking box</t>
  </si>
  <si>
    <t>20-26-SM01</t>
  </si>
  <si>
    <t>Tow 1 Code 2: Buoy wrapped around net</t>
  </si>
  <si>
    <t>20-26-SM03</t>
  </si>
  <si>
    <t>20-26-SM02</t>
  </si>
  <si>
    <t>20-26-HC02</t>
  </si>
  <si>
    <t xml:space="preserve">Tow ended early due to encountering a duck hunting blind; site was abandoned due to safety concerns. No further tows performed at this site. </t>
  </si>
  <si>
    <t>20-26-FT02</t>
  </si>
  <si>
    <t>20-26-SJT03</t>
  </si>
  <si>
    <t>20-26-PP01</t>
  </si>
  <si>
    <t>20-26-LSR01</t>
  </si>
  <si>
    <t>20-26-RV01</t>
  </si>
  <si>
    <t>No further sampling at Rio Vista due to fog and no sites sampled today at Pittsburg due to fog; sites will be rescheduled during the week.</t>
  </si>
  <si>
    <t>20-26-LSR03</t>
  </si>
  <si>
    <t>20-26-LSR02</t>
  </si>
  <si>
    <t xml:space="preserve">Tow 1 was code 2 (Partial net twist). Tow 4 was code 2 (Distance from site exceeded target distance, was 0.6 mi at stop) </t>
  </si>
  <si>
    <t>20-26-LSR04</t>
  </si>
  <si>
    <t>Tow 3 was code 2 (Patrial net twist)</t>
  </si>
  <si>
    <t>20-26-RV02</t>
  </si>
  <si>
    <t>Tow 1 was code 2 (Partial net twist)</t>
  </si>
  <si>
    <t>20-26-LSJ02</t>
  </si>
  <si>
    <t>20-26-FT03</t>
  </si>
  <si>
    <t>Tow 4 was code 2 (Partial blockage due to vegetation)</t>
  </si>
  <si>
    <t>20-26-CF01</t>
  </si>
  <si>
    <t>20-26-CF03</t>
  </si>
  <si>
    <t>20-26-CF02</t>
  </si>
  <si>
    <t>20-26-SBW01</t>
  </si>
  <si>
    <t>20-26-SBW02</t>
  </si>
  <si>
    <t>20-26-CQS01</t>
  </si>
  <si>
    <t>20-26-CQS02</t>
  </si>
  <si>
    <t>2 tows performed due to boat issues; no additional sampling performed at Pittsburg</t>
  </si>
  <si>
    <t>20-26-CS01</t>
  </si>
  <si>
    <t>20-26-CS03</t>
  </si>
  <si>
    <t>20-26-CS04</t>
  </si>
  <si>
    <t>20-26-CS02</t>
  </si>
  <si>
    <t>20-26-SJT02</t>
  </si>
  <si>
    <t>20-26-SJT01</t>
  </si>
  <si>
    <t>20-26-LSJ01</t>
  </si>
  <si>
    <t>20-27-CS03</t>
  </si>
  <si>
    <t xml:space="preserve">Tow 2 was code 3 (Heavy vegetation in net). Tow 3 was reduced to 6 minutes due to heavy vegetation </t>
  </si>
  <si>
    <t>20-27-CS02</t>
  </si>
  <si>
    <t>Tow 3 was code 2 (Partial blockage of net due to vegetation)</t>
  </si>
  <si>
    <t>20-27-CS01</t>
  </si>
  <si>
    <t>20-27-LSJ01</t>
  </si>
  <si>
    <t>20-27-SJT01</t>
  </si>
  <si>
    <t>20-27-SJT02</t>
  </si>
  <si>
    <t>20-27-SBW01</t>
  </si>
  <si>
    <t>20-27-SPE01</t>
  </si>
  <si>
    <t>20-27-SPE02</t>
  </si>
  <si>
    <t>Tows 1 and 2 were code 2 (Twist in net)</t>
  </si>
  <si>
    <t>20-27-SPE03</t>
  </si>
  <si>
    <t>20-27-LSR02</t>
  </si>
  <si>
    <t>20-27-RV01</t>
  </si>
  <si>
    <t>20-27-RV02</t>
  </si>
  <si>
    <t>20-27-SJT03</t>
  </si>
  <si>
    <t>20-27-PP02</t>
  </si>
  <si>
    <t>20-27-PP01</t>
  </si>
  <si>
    <t>20-27-SBM02</t>
  </si>
  <si>
    <t>20-27-SBM03</t>
  </si>
  <si>
    <t xml:space="preserve">Code 4: Restricted site </t>
  </si>
  <si>
    <t>20-27-SBW02</t>
  </si>
  <si>
    <t>20-27-CF01</t>
  </si>
  <si>
    <t>20-27-LSR01</t>
  </si>
  <si>
    <t>Tow 2 was code 2 (bar snagged on river bottom briefly)</t>
  </si>
  <si>
    <t>20-27-LSR04</t>
  </si>
  <si>
    <t>Tow 1 was code 2 (buoy line wrapped around net at box)</t>
  </si>
  <si>
    <t>20-27-LSR03</t>
  </si>
  <si>
    <t>20-27-VC01</t>
  </si>
  <si>
    <t>20-27-VC02</t>
  </si>
  <si>
    <t>20-27-SBM01</t>
  </si>
  <si>
    <t>Tow 1 was code 2 (twist in net at box)</t>
  </si>
  <si>
    <t>20-27-GB01</t>
  </si>
  <si>
    <t>20-27-SBM04</t>
  </si>
  <si>
    <t>20-27-USSC02</t>
  </si>
  <si>
    <t>Tow 4 was code 2 (buoy twisted around net)</t>
  </si>
  <si>
    <t>20-27-USSC01</t>
  </si>
  <si>
    <t>20-27-LSSC01</t>
  </si>
  <si>
    <t>1 Wakasagi (88 mm) retained for verification</t>
  </si>
  <si>
    <t>20-27-MRW01</t>
  </si>
  <si>
    <t>1.8+</t>
  </si>
  <si>
    <t>20-27-MIW01</t>
  </si>
  <si>
    <t>Tow 1 was code 2 (net twist due to buoy)</t>
  </si>
  <si>
    <t>20-27-MIW02</t>
  </si>
  <si>
    <t>20-27-SM01</t>
  </si>
  <si>
    <t>Tow 1 was code 2 (bar twisted)</t>
  </si>
  <si>
    <t>20-27-SM02</t>
  </si>
  <si>
    <t>Tow 1 was code 2 (started past target distance from target site)</t>
  </si>
  <si>
    <t>20-27-GB02</t>
  </si>
  <si>
    <t>20-28-SM01</t>
  </si>
  <si>
    <t>20-28-SM02</t>
  </si>
  <si>
    <t>Tow 1 was code 2 (net twist due to buoy); tows 3 and 4 were not completed due to high winds</t>
  </si>
  <si>
    <t>20-28-SM03</t>
  </si>
  <si>
    <t>73-95</t>
  </si>
  <si>
    <t>Tow 1 was code 2 (net twisted at buoy)</t>
  </si>
  <si>
    <t>20-28-USSC01</t>
  </si>
  <si>
    <t>Tow 3 was code 2 (net twisted at box)</t>
  </si>
  <si>
    <t>20-28-LSSC02</t>
  </si>
  <si>
    <t>3 Wakasagi (90-96 mm) retained for ID verification</t>
  </si>
  <si>
    <t>20-28-LSSC01</t>
  </si>
  <si>
    <t>20-28-SJT03</t>
  </si>
  <si>
    <t>20-28-SJT01</t>
  </si>
  <si>
    <t>20-28-PP01</t>
  </si>
  <si>
    <t>Tows 1 and 2 were code 2 (partial net twist)</t>
  </si>
  <si>
    <t>20-28-SJT02</t>
  </si>
  <si>
    <t>20-28-LSJ01</t>
  </si>
  <si>
    <t>20-28-LSJ02</t>
  </si>
  <si>
    <t>20-28-SJT04</t>
  </si>
  <si>
    <t>Tow 1 was code 2 (twisted net)</t>
  </si>
  <si>
    <t>20-28-SBM03</t>
  </si>
  <si>
    <t>20-28-SBM01</t>
  </si>
  <si>
    <t>20-28-SBM02</t>
  </si>
  <si>
    <t>Tow 3 was code 2 (boats towed past target distance from site)</t>
  </si>
  <si>
    <t>20-28-CS02</t>
  </si>
  <si>
    <t>221-233</t>
  </si>
  <si>
    <t>2 RBT were code 9</t>
  </si>
  <si>
    <t>20-28-CS03</t>
  </si>
  <si>
    <t>CHNL was code 9</t>
  </si>
  <si>
    <t>20-28-CS01</t>
  </si>
  <si>
    <t>20-28-SBW02</t>
  </si>
  <si>
    <t>20-28-SBW01</t>
  </si>
  <si>
    <t>20-28-SBW03</t>
  </si>
  <si>
    <t>20-28-GB01</t>
  </si>
  <si>
    <t>20-28-RV05</t>
  </si>
  <si>
    <t>20-28-RV02</t>
  </si>
  <si>
    <t>20-28-LSR01</t>
  </si>
  <si>
    <t>20-28-LSR02</t>
  </si>
  <si>
    <t>20-28-PP02</t>
  </si>
  <si>
    <t>20-28-MRW01</t>
  </si>
  <si>
    <t>20-28-MIW01</t>
  </si>
  <si>
    <t>20-28-MIW02</t>
  </si>
  <si>
    <t>Tow 1 was code 3 (vegetation filled net); tows 2-4 not completed due to dense vegetation at site</t>
  </si>
  <si>
    <t>20-28-SPE02</t>
  </si>
  <si>
    <t>20-28-SPE01</t>
  </si>
  <si>
    <t>20-28-LNR01</t>
  </si>
  <si>
    <t>20-28-RV03</t>
  </si>
  <si>
    <t>20-28-RV01</t>
  </si>
  <si>
    <t>20-28-RV04</t>
  </si>
  <si>
    <t>20-28-FT01</t>
  </si>
  <si>
    <t xml:space="preserve">Tow 4 was code 2 (Distance from site exceeded target distance, was 0.63 mi at stop) </t>
  </si>
  <si>
    <t>20-28-HC01</t>
  </si>
  <si>
    <t>20-28-HC02</t>
  </si>
  <si>
    <t>20-29-RV03</t>
  </si>
  <si>
    <t>20-29-RV02</t>
  </si>
  <si>
    <t>20-29-RV01</t>
  </si>
  <si>
    <t>20-29-SPE01</t>
  </si>
  <si>
    <t>20-29-SBW02</t>
  </si>
  <si>
    <t>20-29-CQS02</t>
  </si>
  <si>
    <t>20-29-SBW01</t>
  </si>
  <si>
    <t>20-29-FT02</t>
  </si>
  <si>
    <t xml:space="preserve">Code 4: No access to site </t>
  </si>
  <si>
    <t>20-29-RS01</t>
  </si>
  <si>
    <t>20-29-FT01</t>
  </si>
  <si>
    <t>20-29-HC01</t>
  </si>
  <si>
    <t>20-29-LSR01</t>
  </si>
  <si>
    <t>20-29-LSR02</t>
  </si>
  <si>
    <t>20-29-RV04</t>
  </si>
  <si>
    <t>20-29-RV05</t>
  </si>
  <si>
    <t>20-29-MIW01</t>
  </si>
  <si>
    <t>20-29-MIW02</t>
  </si>
  <si>
    <t>20-29-FT03</t>
  </si>
  <si>
    <t>20-29-CQS01</t>
  </si>
  <si>
    <t>20-29-CF01</t>
  </si>
  <si>
    <t>20-29-CF02</t>
  </si>
  <si>
    <t>20-29-SBM02</t>
  </si>
  <si>
    <t xml:space="preserve">U </t>
  </si>
  <si>
    <t xml:space="preserve">DSM </t>
  </si>
  <si>
    <t>DSM was a mortality and brought back to lab.</t>
  </si>
  <si>
    <t>20-29-SBM01</t>
  </si>
  <si>
    <t>20-29-CF03</t>
  </si>
  <si>
    <t>20-29-CS03</t>
  </si>
  <si>
    <t>CHNW was code 9</t>
  </si>
  <si>
    <t>20-29-CS02</t>
  </si>
  <si>
    <t>20-29-CS01</t>
  </si>
  <si>
    <t>Tow 2 was code 3 (Heavy vegetation in net); Tow 3 was code 2 (Partial blockage due to vegetation). No further tows performed</t>
  </si>
  <si>
    <t>20-29-PP02</t>
  </si>
  <si>
    <t>Tow 2 was code 2 (Partial blockage due to vegetation); Tow 4 was code 2 (Partial blockage of net due to vegetation; pulled net early due to heavy vegetation)</t>
  </si>
  <si>
    <t>20-29-PP03</t>
  </si>
  <si>
    <t>20-29-PP01</t>
  </si>
  <si>
    <t>20-29-SJT01</t>
  </si>
  <si>
    <t>20-29-LSJ01</t>
  </si>
  <si>
    <t>20-29-LSJ02</t>
  </si>
  <si>
    <t>20-29-SJT02</t>
  </si>
  <si>
    <t>20-29-LSSC01</t>
  </si>
  <si>
    <t>CHNT was code 9; 4 Wakasagi (78-100mm) retained for verification; Tow 2 was code 2 (float line wrapped around net; partial blockage)</t>
  </si>
  <si>
    <t>20-29-LSSC02</t>
  </si>
  <si>
    <t>20-29-USSC01</t>
  </si>
  <si>
    <t>20-29-SM01</t>
  </si>
  <si>
    <t>67-79</t>
  </si>
  <si>
    <t>20-29-SM02</t>
  </si>
  <si>
    <t>74-80</t>
  </si>
  <si>
    <t>LFS at 80mm was a mortality and brought back to lab</t>
  </si>
  <si>
    <t>20-29-SM03</t>
  </si>
  <si>
    <t>LFS was a mortality and brought back to lab. Tow 1 was code 2 (Twist in net); Tow 4 was code 2 (Float line wrapped around net)</t>
  </si>
  <si>
    <t>20-30-USSC01</t>
  </si>
  <si>
    <t xml:space="preserve">Tow 3 was code 2 (Distance from site exceeded target distance, was 0.58 mi at stop) </t>
  </si>
  <si>
    <t>20-30-LSSC02</t>
  </si>
  <si>
    <t>1 Wakasagi (87mm) retained for verification</t>
  </si>
  <si>
    <t>20-30-LSSC01</t>
  </si>
  <si>
    <t xml:space="preserve">Tow 4 was code 2 (Distance from site exceeded target distance, was 0.58 mi at stop) </t>
  </si>
  <si>
    <t>20-30-SM01</t>
  </si>
  <si>
    <t>20-30-SM02</t>
  </si>
  <si>
    <t>20-30-GB01</t>
  </si>
  <si>
    <t xml:space="preserve">Tow 4 was code 2 (Distance from site exceeded target distance, was 0.59 mi at stop) </t>
  </si>
  <si>
    <t>20-30-VC01</t>
  </si>
  <si>
    <t>20-30-MIW01</t>
  </si>
  <si>
    <t>20-30-MIW02</t>
  </si>
  <si>
    <t>20-30-FT01</t>
  </si>
  <si>
    <t>20-30-HC01</t>
  </si>
  <si>
    <t>20-30-HC02</t>
  </si>
  <si>
    <t>20-30-CF01</t>
  </si>
  <si>
    <t>20-30-HB01</t>
  </si>
  <si>
    <t>20-30-SBM02</t>
  </si>
  <si>
    <t>20-30-CS01</t>
  </si>
  <si>
    <t>20-30-CS02</t>
  </si>
  <si>
    <t>20-30-CS03</t>
  </si>
  <si>
    <t>20-30-CS04</t>
  </si>
  <si>
    <t>20-30-LSJ02</t>
  </si>
  <si>
    <t>20-30-LSJ04</t>
  </si>
  <si>
    <t>20-30-LSJ01</t>
  </si>
  <si>
    <t>20-30-LSR03</t>
  </si>
  <si>
    <t>20-30-LSR01</t>
  </si>
  <si>
    <t>20-30-LSR02</t>
  </si>
  <si>
    <t>20-30-RV02</t>
  </si>
  <si>
    <t>20-30-SBM01</t>
  </si>
  <si>
    <t>20-30-SBW02</t>
  </si>
  <si>
    <t>70-84</t>
  </si>
  <si>
    <t>Both LFS expressing</t>
  </si>
  <si>
    <t>20-30-SBW01</t>
  </si>
  <si>
    <t>20-30-SBW03</t>
  </si>
  <si>
    <t>20-30-RV04</t>
  </si>
  <si>
    <t>20-30-RV03</t>
  </si>
  <si>
    <t xml:space="preserve">Tow 4 was code 2 (Distance from site exceeded target distance, was 0.57 mi at stop) </t>
  </si>
  <si>
    <t>20-30-RV01</t>
  </si>
  <si>
    <t>Tow 1 was code 2 (Buoy line twisted around net)</t>
  </si>
  <si>
    <t>20-30-CQS01</t>
  </si>
  <si>
    <t>20-30-CQS02</t>
  </si>
  <si>
    <t>20-30-SPE01</t>
  </si>
  <si>
    <t>Tow shortened due to sea lion; no further tows performed</t>
  </si>
  <si>
    <t>20-30-LNR01</t>
  </si>
  <si>
    <t>20-30-PP01</t>
  </si>
  <si>
    <t>20-30-SJT01</t>
  </si>
  <si>
    <t>Tow 1 was code 2 (Bar twisted)</t>
  </si>
  <si>
    <t>20-30-LSJ03</t>
  </si>
  <si>
    <t>20-31-PP01</t>
  </si>
  <si>
    <t>20-31-SJT01</t>
  </si>
  <si>
    <t>20-31-SJT02</t>
  </si>
  <si>
    <t>20-31-USSC01</t>
  </si>
  <si>
    <t>20-31-USSC02</t>
  </si>
  <si>
    <t>20-31-LSSC01</t>
  </si>
  <si>
    <t>20-31-SPE02</t>
  </si>
  <si>
    <t>20-31-SPE03</t>
  </si>
  <si>
    <t>20-31-SPE01</t>
  </si>
  <si>
    <t>20-31-CQS01</t>
  </si>
  <si>
    <t>20-31-SBW01</t>
  </si>
  <si>
    <t>20-31-LSJ03</t>
  </si>
  <si>
    <t>20-31-LSJ01</t>
  </si>
  <si>
    <t>20-31-LSJ02</t>
  </si>
  <si>
    <t>215-232</t>
  </si>
  <si>
    <t>20-31-LSJ04</t>
  </si>
  <si>
    <t>20-31-CF01</t>
  </si>
  <si>
    <t>230-240</t>
  </si>
  <si>
    <t>RBTC were code 9; Tows 1-2 were code 2 (Twist in net)</t>
  </si>
  <si>
    <t>20-31-SBM02</t>
  </si>
  <si>
    <t>20-31-SBM04</t>
  </si>
  <si>
    <t>20-31-CS01</t>
  </si>
  <si>
    <t>20-31-CS02</t>
  </si>
  <si>
    <t>Tow 1 was code 2 (Heavy vegetation); No further tows performed at site due to heavy vegetation</t>
  </si>
  <si>
    <t>20-31-CS03</t>
  </si>
  <si>
    <t>Tow 1 and 2 were code 2 (Twist in net); No further tows performed at site due to heavy vegetation</t>
  </si>
  <si>
    <t>20-31-CS04</t>
  </si>
  <si>
    <t>20-31-VC01</t>
  </si>
  <si>
    <t>20-31-MIW02</t>
  </si>
  <si>
    <t>20-31-MRW01</t>
  </si>
  <si>
    <t>Code 4: Site too narow and too much vegetation to sample</t>
  </si>
  <si>
    <t>20-31-LSR02</t>
  </si>
  <si>
    <t>20-31-LSR01</t>
  </si>
  <si>
    <t>20-31-RV04</t>
  </si>
  <si>
    <t>20-31-SBM05</t>
  </si>
  <si>
    <t>234-246</t>
  </si>
  <si>
    <t>RBTC at 234mm was code 9</t>
  </si>
  <si>
    <t>20-31-SBM01</t>
  </si>
  <si>
    <t>225-270</t>
  </si>
  <si>
    <t>86-90</t>
  </si>
  <si>
    <t>20-21-SBM03</t>
  </si>
  <si>
    <t>20-31-FT01</t>
  </si>
  <si>
    <t>20-31-HC01</t>
  </si>
  <si>
    <t>20-31-MIW01</t>
  </si>
  <si>
    <t>20-31-RV02</t>
  </si>
  <si>
    <t>20-31-RV03</t>
  </si>
  <si>
    <t>20-31-RV01</t>
  </si>
  <si>
    <t>20-31-SM02</t>
  </si>
  <si>
    <t>Code 4: Site too shallow</t>
  </si>
  <si>
    <t>20-31-SM01</t>
  </si>
  <si>
    <t>20-31-SM03</t>
  </si>
  <si>
    <t>20-31-GB01</t>
  </si>
  <si>
    <t>20-31-SM04</t>
  </si>
  <si>
    <t>205-241</t>
  </si>
  <si>
    <t>RBTC were code 9; Tow 2 was code 2 (Twist in net)</t>
  </si>
  <si>
    <t>20-32-LSR02</t>
  </si>
  <si>
    <t>Tow 2 was shortened to 3 minutes due to high winds; no further tows performed at Rio Vista due to very windy conditions</t>
  </si>
  <si>
    <t>20-32-PP01</t>
  </si>
  <si>
    <t>20-32-PP03</t>
  </si>
  <si>
    <t>20-32-HC01</t>
  </si>
  <si>
    <t>20-32-SM03</t>
  </si>
  <si>
    <t>67-85</t>
  </si>
  <si>
    <t>One LFS at 85mm died after measuring, returned to lab</t>
  </si>
  <si>
    <t>CHNW was a mortality, returned to lab; Fin clip taken for DNA study</t>
  </si>
  <si>
    <t>20-32-SM02</t>
  </si>
  <si>
    <t>20-32-SM01</t>
  </si>
  <si>
    <t>Tows 3 and 4 not performed due to high winds</t>
  </si>
  <si>
    <t>20-32-LSJ01</t>
  </si>
  <si>
    <t>20-32-LSJ02</t>
  </si>
  <si>
    <t>20-32-SJT01</t>
  </si>
  <si>
    <t>20-32-SBW01</t>
  </si>
  <si>
    <t>20-32-SBW02</t>
  </si>
  <si>
    <t>20-32-SBM01</t>
  </si>
  <si>
    <t>20-32-LSR03</t>
  </si>
  <si>
    <t>20-32-LSR01</t>
  </si>
  <si>
    <t>20-32-LSR04</t>
  </si>
  <si>
    <t>20-32-RV02</t>
  </si>
  <si>
    <t>20-32-PP02</t>
  </si>
  <si>
    <t>20-32-RS01</t>
  </si>
  <si>
    <t>20-32-OR01</t>
  </si>
  <si>
    <t>20-32-SBM02</t>
  </si>
  <si>
    <t>20-32-SBM03</t>
  </si>
  <si>
    <t xml:space="preserve">Tow 1 was code 2 (Twist in net); Tow 4 was code 2 (Distance from site exceeded target distance, was 0.65 mi at stop) </t>
  </si>
  <si>
    <t>20-32-CF02</t>
  </si>
  <si>
    <t>20-32-CF01</t>
  </si>
  <si>
    <t>20-32-CS01</t>
  </si>
  <si>
    <t>20-32-CS03</t>
  </si>
  <si>
    <t>20-32-CS02</t>
  </si>
  <si>
    <t>20-32-RV01</t>
  </si>
  <si>
    <t>20-32-MIW02</t>
  </si>
  <si>
    <t>20-32-MIW01</t>
  </si>
  <si>
    <t>20-32-FT01</t>
  </si>
  <si>
    <t>20-32-SPE02</t>
  </si>
  <si>
    <t>20-32-SPE01</t>
  </si>
  <si>
    <t>20-32-CQS01</t>
  </si>
  <si>
    <t>20-32-LSSC02</t>
  </si>
  <si>
    <t>20-32-LSSC03</t>
  </si>
  <si>
    <t>20-32-LSSC01</t>
  </si>
  <si>
    <t>20-33-LSR02</t>
  </si>
  <si>
    <t>20-33-RV02</t>
  </si>
  <si>
    <t>20-33-RV01</t>
  </si>
  <si>
    <t>20-33-MIW01</t>
  </si>
  <si>
    <t>20-33-MRW01</t>
  </si>
  <si>
    <t>20-33-SPE01</t>
  </si>
  <si>
    <t>20-33-CQS02</t>
  </si>
  <si>
    <t>20-33-SBW02</t>
  </si>
  <si>
    <t>20-33-CQS01</t>
  </si>
  <si>
    <t>20-33-CF02</t>
  </si>
  <si>
    <t>20-33-CF01</t>
  </si>
  <si>
    <t>20-33-CF03</t>
  </si>
  <si>
    <t>20-33-LSR01</t>
  </si>
  <si>
    <t>20-33-LSR04</t>
  </si>
  <si>
    <t>20-33-LSR03</t>
  </si>
  <si>
    <t>20-33-HC02</t>
  </si>
  <si>
    <t>Tow 3 was code 2 (Buoy line wrapped around net)</t>
  </si>
  <si>
    <t>20-33-HC01</t>
  </si>
  <si>
    <t>20-33-RS01</t>
  </si>
  <si>
    <t>20-33-SBW01</t>
  </si>
  <si>
    <t>248-267</t>
  </si>
  <si>
    <t>RBTCs were code 9</t>
  </si>
  <si>
    <t>20-33-SBM01</t>
  </si>
  <si>
    <t>20-33-HB01</t>
  </si>
  <si>
    <t>79-92</t>
  </si>
  <si>
    <t>20-33-CS02</t>
  </si>
  <si>
    <t>20-33-CS01</t>
  </si>
  <si>
    <t>20-33-CS04</t>
  </si>
  <si>
    <t>20-33-CS03</t>
  </si>
  <si>
    <t>20-33-PP01</t>
  </si>
  <si>
    <t>20-33-PP02</t>
  </si>
  <si>
    <t>20-33-SJT01</t>
  </si>
  <si>
    <t>20-33-LSJ01</t>
  </si>
  <si>
    <t>20-33-LSJ02</t>
  </si>
  <si>
    <t>20-33-SJT02</t>
  </si>
  <si>
    <t>20-33-GB01</t>
  </si>
  <si>
    <t>20-33-SM01</t>
  </si>
  <si>
    <t>20-33-SM02</t>
  </si>
  <si>
    <t>20-33-LSSC01</t>
  </si>
  <si>
    <t>Tow 2 was code 2 (Buoy wrapped around net)</t>
  </si>
  <si>
    <t>20-33-LSSC02</t>
  </si>
  <si>
    <t>1 Wakasagi (87 mm) retatined for verification</t>
  </si>
  <si>
    <t>20-33-USSC01</t>
  </si>
  <si>
    <t>20-34-MIW03</t>
  </si>
  <si>
    <t>Tow 1 was code 2 (Buoy wrapped around net)</t>
  </si>
  <si>
    <t>20-34-MIW02</t>
  </si>
  <si>
    <t>20-34-MIW01</t>
  </si>
  <si>
    <t>20-34-LSSC02</t>
  </si>
  <si>
    <t>Tow 1 was code 2 (Buoy line wrapped around net and twist in net)</t>
  </si>
  <si>
    <t>20-34-LSSC03</t>
  </si>
  <si>
    <t>20-34-LSSC01</t>
  </si>
  <si>
    <t>20-34-GB01</t>
  </si>
  <si>
    <t>20-34-GB02</t>
  </si>
  <si>
    <t>20-34-SM01</t>
  </si>
  <si>
    <t>20-34-RV02</t>
  </si>
  <si>
    <t>20-34-RV03</t>
  </si>
  <si>
    <t>Tows 2 and 3 were code 2 (Partial blockage due to vegetation)</t>
  </si>
  <si>
    <t>20-34-RV01</t>
  </si>
  <si>
    <t>20-34-VC01</t>
  </si>
  <si>
    <t>20-34-HC01</t>
  </si>
  <si>
    <t>Tow 3 was code 3 (Net filled with vegetation); Fourth tow not completed due to heavy vegetation. Pittsburg sampling was delayed on Tuesday due to uncertain guidelines regarding field sampling in Contra Costa County, which is currently under shelter-in-place regulations regarding the Coronavirus. Sampling for the rest of the week out of Pittsburg is contingent on clear guidelines from the USFWS regarding field sampling in these areas.</t>
  </si>
  <si>
    <t>20-34-LSR01</t>
  </si>
  <si>
    <t>Tow 2 was code 2 (Buoy line wrapped around cod end)</t>
  </si>
  <si>
    <t>20-34-LSR03</t>
  </si>
  <si>
    <t>20-34-LSR02</t>
  </si>
  <si>
    <t>20-34-LSJ01</t>
  </si>
  <si>
    <t>20-34-LSJ03</t>
  </si>
  <si>
    <t>20-34-LSJ02</t>
  </si>
  <si>
    <t>20-34-SBW01</t>
  </si>
  <si>
    <t>20-34-SBW03</t>
  </si>
  <si>
    <t>20-34-SBW02</t>
  </si>
  <si>
    <t>20-34-SBM02</t>
  </si>
  <si>
    <t>20-34-CS01</t>
  </si>
  <si>
    <t>Code 4: Heavy fog</t>
  </si>
  <si>
    <t>20-34-CS02</t>
  </si>
  <si>
    <t>20-34-CS03</t>
  </si>
  <si>
    <t>20-34-CS04</t>
  </si>
  <si>
    <t xml:space="preserve">Tow 3 was code 3 (Net filled with vegetation); Fourth tow not completed due to heavy vegetation. </t>
  </si>
  <si>
    <t>20-34-CS05</t>
  </si>
  <si>
    <t>20-34-SBM01</t>
  </si>
  <si>
    <t>20-34-SBM03</t>
  </si>
  <si>
    <t>20-34-CF01</t>
  </si>
  <si>
    <t>20-34-SJT01</t>
  </si>
  <si>
    <t>20-34-SJT02</t>
  </si>
  <si>
    <t>20-34-PP01</t>
  </si>
  <si>
    <t>20-34-SPE01</t>
  </si>
  <si>
    <t>20-34-SPE02</t>
  </si>
  <si>
    <t>20-34-SPE03</t>
  </si>
  <si>
    <t>20-35-CS03</t>
  </si>
  <si>
    <t>20-35-CS01</t>
  </si>
  <si>
    <t>20-35-CS02</t>
  </si>
  <si>
    <t xml:space="preserve">Tow 1 ended early due to high wind; Tow 2 was code 2  (Distance from site exceeded target distance, was 0.7 mi at stop). No further tows performed at site due to high wind </t>
  </si>
  <si>
    <t>20-35-LSJ02</t>
  </si>
  <si>
    <t>Tows 3 and 4 were code 2 (Vegetation in net)</t>
  </si>
  <si>
    <t>20-35-LSJ01</t>
  </si>
  <si>
    <t>Code 4: Site is a known snag hazard</t>
  </si>
  <si>
    <t>20-35-LSJ03</t>
  </si>
  <si>
    <t>20-35-SJT01</t>
  </si>
  <si>
    <t>20-35-LNR01</t>
  </si>
  <si>
    <t>20-35-CQS02</t>
  </si>
  <si>
    <t>20-35-CQS01</t>
  </si>
  <si>
    <t>20-35-PP02</t>
  </si>
  <si>
    <t>Tow 1 was code 2 (Live box partially blocked by vegetation; buoy wrapped at cod end)</t>
  </si>
  <si>
    <t>20-35-PP03</t>
  </si>
  <si>
    <t>20-35-PP01</t>
  </si>
  <si>
    <t>Tow 1 was code 2 (Start depth below minimum at start of trawl, improved to 2.4m just after starting)</t>
  </si>
  <si>
    <t>20-35-HB01</t>
  </si>
  <si>
    <t>20-35-CF01</t>
  </si>
  <si>
    <t>20-35-CF02</t>
  </si>
  <si>
    <t>Only 2 tows completed due to time restraints</t>
  </si>
  <si>
    <t>20-35-RV02</t>
  </si>
  <si>
    <t>20-35-RV01</t>
  </si>
  <si>
    <t>20-35-RV04</t>
  </si>
  <si>
    <t>20-35-RS01</t>
  </si>
  <si>
    <t>20-35-FT02</t>
  </si>
  <si>
    <t>20-35-FT01</t>
  </si>
  <si>
    <t>20-35-SBM01</t>
  </si>
  <si>
    <t>74-84</t>
  </si>
  <si>
    <t>20-35-SBM02</t>
  </si>
  <si>
    <t>207-260</t>
  </si>
  <si>
    <t>20-35-SBM03</t>
  </si>
  <si>
    <t>Tow 3 was code 2 (Distance from site exceeded target distance, was 0.7 mi at stop)</t>
  </si>
  <si>
    <t>20-35-LSR02</t>
  </si>
  <si>
    <t>20-35-LSR01</t>
  </si>
  <si>
    <t>20-35-RV03</t>
  </si>
  <si>
    <t>20-35-MIW01</t>
  </si>
  <si>
    <t xml:space="preserve">Turbidity meter unreliable </t>
  </si>
  <si>
    <t>20-35-HC01</t>
  </si>
  <si>
    <t>20-35-FT03</t>
  </si>
  <si>
    <t>Turbidity meter unreliable. Tows 1-4 were code 2 (Net partially blocked with vegetation)</t>
  </si>
  <si>
    <t>20-35-SM01</t>
  </si>
  <si>
    <t>20-35-SM03</t>
  </si>
  <si>
    <t>RBT was code 9</t>
  </si>
  <si>
    <t>20-35-SM02</t>
  </si>
  <si>
    <t>20-35-LSSC02</t>
  </si>
  <si>
    <t>20-35-LSSC03</t>
  </si>
  <si>
    <t>CHNS</t>
  </si>
  <si>
    <t>20-35-LSSC01</t>
  </si>
  <si>
    <t>Secchi</t>
  </si>
  <si>
    <t>Gear Condition Codes</t>
  </si>
  <si>
    <t>Description</t>
  </si>
  <si>
    <t>Common Names</t>
  </si>
  <si>
    <t>Organism Codes</t>
  </si>
  <si>
    <t>Expression Code</t>
  </si>
  <si>
    <t>Stage Code</t>
  </si>
  <si>
    <t>Note: Secchi is measured using a rod that goes to 1.8 M. When Secchi depth is deeper than the 1.8 M rod, 1.8+ is recorded</t>
  </si>
  <si>
    <t>Good sample</t>
  </si>
  <si>
    <t>Chinook salmon (fall-run)</t>
  </si>
  <si>
    <t>Eggs expressed</t>
  </si>
  <si>
    <t>sac fry</t>
  </si>
  <si>
    <t>all levels of lab ID are complete for all tows conducted at the site</t>
  </si>
  <si>
    <t>Fair sample, but sample compromised</t>
  </si>
  <si>
    <t>Chinook salmon (spring-run)</t>
  </si>
  <si>
    <t>Milt expressed</t>
  </si>
  <si>
    <t>fry</t>
  </si>
  <si>
    <t>Primary</t>
  </si>
  <si>
    <t>only first ID has been completed for at least 1 tow at the site</t>
  </si>
  <si>
    <t>Poor sample, partial or total blockage</t>
  </si>
  <si>
    <t>Chinook salmon (latefall-run)</t>
  </si>
  <si>
    <t>No expression</t>
  </si>
  <si>
    <t>parr</t>
  </si>
  <si>
    <t>Secondary</t>
  </si>
  <si>
    <t>only second ID has been completed for at least 1 tow at the site</t>
  </si>
  <si>
    <t>No sample taken</t>
  </si>
  <si>
    <t>Chinook salmon (winter-run)</t>
  </si>
  <si>
    <t>not provided</t>
  </si>
  <si>
    <t>silver parr</t>
  </si>
  <si>
    <t>Sample curtailed due to sealion sighting</t>
  </si>
  <si>
    <t>Chinook salmon (adult)</t>
  </si>
  <si>
    <t>smolt</t>
  </si>
  <si>
    <t>Fish caught in wings of the net, not in the net's live box or cod end</t>
  </si>
  <si>
    <t>Chinook salmon (tagged)</t>
  </si>
  <si>
    <t>adult</t>
  </si>
  <si>
    <t>Chinook salmon (spray dyed)</t>
  </si>
  <si>
    <t>CHNE</t>
  </si>
  <si>
    <t>Steelhead (unmarked)</t>
  </si>
  <si>
    <t>Steelhead (ad-clipped)</t>
  </si>
  <si>
    <t>Longfin smelt</t>
  </si>
  <si>
    <t>Delta smelt</t>
  </si>
  <si>
    <t>Unidentified Osmerid</t>
  </si>
  <si>
    <t>Green sturgeon</t>
  </si>
  <si>
    <t>GST</t>
  </si>
  <si>
    <t>no species of mgmt. concern</t>
  </si>
  <si>
    <t>19-49-LSR01</t>
  </si>
  <si>
    <t>19-49-LSR02</t>
  </si>
  <si>
    <t>19-49-RV01</t>
  </si>
  <si>
    <t>19-49-RV02</t>
  </si>
  <si>
    <t>19-49-CQS01</t>
  </si>
  <si>
    <t>Carquinez Straight</t>
  </si>
  <si>
    <t xml:space="preserve">Code 3: First two tows net twisted; not set properly. </t>
  </si>
  <si>
    <t>19-49-LNR01</t>
  </si>
  <si>
    <t>19-49-SPE01</t>
  </si>
  <si>
    <t>19-49-SPE02</t>
  </si>
  <si>
    <t>30-50</t>
  </si>
  <si>
    <t>19-49-CS01</t>
  </si>
  <si>
    <t>Seventy seven (77) Wakasagi Identified between 30-44mm. Twos 3 and 4 not performed due to high catch of total fish.</t>
  </si>
  <si>
    <t>19-49-CS02</t>
  </si>
  <si>
    <t>19-49-CS03</t>
  </si>
  <si>
    <t>Code 4: Too much veg/obstructions</t>
  </si>
  <si>
    <t>19-49-CS04</t>
  </si>
  <si>
    <t>19-49-LSR03</t>
  </si>
  <si>
    <t>19-49-LSR04</t>
  </si>
  <si>
    <t>19-49-RV03</t>
  </si>
  <si>
    <t>19-49-CF01</t>
  </si>
  <si>
    <t>19-49-CF02</t>
  </si>
  <si>
    <t>19-49-SBW01</t>
  </si>
  <si>
    <t>19-49-CS07</t>
  </si>
  <si>
    <t>19-49-CS06</t>
  </si>
  <si>
    <t>19-49-CS05</t>
  </si>
  <si>
    <t>19-49-CS08</t>
  </si>
  <si>
    <t>19-49-PP02</t>
  </si>
  <si>
    <t>19-49-PP01</t>
  </si>
  <si>
    <t>19-49-SJT01</t>
  </si>
  <si>
    <t>19-49-LSSC03</t>
  </si>
  <si>
    <t xml:space="preserve">Two Wakasagi identified between 31-37mm. </t>
  </si>
  <si>
    <t>19-49-LSSC01</t>
  </si>
  <si>
    <t>34-51</t>
  </si>
  <si>
    <t>Four Wakasagi identified between 58-65mm in field and returned to office. Three UNID OSM returned to lab, 1 confirmed as DSM and 2 confirmed as Wakasagi by nuclear DNA analysis</t>
  </si>
  <si>
    <t>19-49-LSSC02</t>
  </si>
  <si>
    <t>42-54</t>
  </si>
  <si>
    <t>Six Wakasagi identified between 39-55mm.</t>
  </si>
  <si>
    <t>19-49-GB01</t>
  </si>
  <si>
    <t>43-54</t>
  </si>
  <si>
    <t>19-49-SM02</t>
  </si>
  <si>
    <t>Twenty Four Wakasagi identified between 32-50mm.</t>
  </si>
  <si>
    <r>
      <t>19-49-</t>
    </r>
    <r>
      <rPr>
        <sz val="11"/>
        <color rgb="FFFF0000"/>
        <rFont val="Times New Roman"/>
        <family val="1"/>
      </rPr>
      <t>SM01</t>
    </r>
  </si>
  <si>
    <t>37-40</t>
  </si>
  <si>
    <t>19-49-LSSC05</t>
  </si>
  <si>
    <t>38-53</t>
  </si>
  <si>
    <t>Twelve Wakasagi identified between 34-66mm.</t>
  </si>
  <si>
    <t>19-49-LSSC06</t>
  </si>
  <si>
    <t>Tow 1 Code 2: Twist in cod end.</t>
  </si>
  <si>
    <t>19-49-LSSC04</t>
  </si>
  <si>
    <t>19-49-SBM01</t>
  </si>
  <si>
    <t>37-93</t>
  </si>
  <si>
    <t>UNID OSM IDed as LFS in lab</t>
  </si>
  <si>
    <t>19-49-SBM02</t>
  </si>
  <si>
    <t>19-49-CF03</t>
  </si>
  <si>
    <t>Tow 2, 4 Code 2: Buoy wrapped around net</t>
  </si>
  <si>
    <t>19-49-SM04</t>
  </si>
  <si>
    <t>19-49-SM03</t>
  </si>
  <si>
    <t>Eleven Wakasagi identified between 38-64mm.</t>
  </si>
  <si>
    <t>19-49-GB02</t>
  </si>
  <si>
    <t>19-50-LSR01</t>
  </si>
  <si>
    <t>19-50-RV02</t>
  </si>
  <si>
    <t>19-50-RV01</t>
  </si>
  <si>
    <t>19-50-LSSC02</t>
  </si>
  <si>
    <t>37-51</t>
  </si>
  <si>
    <t>21 Wakasagi identified between 37-68mm. 1 DSM orginigally returned to lab as WAG, later identified as DSM by QAQC biologist and returned to field for flash freezing for UCD</t>
  </si>
  <si>
    <t>19-50-LSSC03</t>
  </si>
  <si>
    <t>41-53</t>
  </si>
  <si>
    <t>One Wakasagi identified at 40mm.</t>
  </si>
  <si>
    <t>19-50-LSSC01</t>
  </si>
  <si>
    <t>19-50-GB01</t>
  </si>
  <si>
    <t>19-50-SM05</t>
  </si>
  <si>
    <t>19-50-SM04</t>
  </si>
  <si>
    <t>19-50-RV03</t>
  </si>
  <si>
    <t>19-50-LSR03</t>
  </si>
  <si>
    <t>19-50-LSR02</t>
  </si>
  <si>
    <t>19-50-USSC01</t>
  </si>
  <si>
    <t>Tow 1 Code 2: Twist in net.</t>
  </si>
  <si>
    <t>19-50-LSSC05</t>
  </si>
  <si>
    <r>
      <t xml:space="preserve">One Wakasagi identified at 67mm. </t>
    </r>
    <r>
      <rPr>
        <sz val="11"/>
        <color rgb="FFFF0000"/>
        <rFont val="Times New Roman"/>
        <family val="1"/>
      </rPr>
      <t>1 DSM orginigally returned to lab as WAG, later identified as DSM by QAQC biologist and returned to field for flash freezing for UCD</t>
    </r>
  </si>
  <si>
    <t>19-50-LSSC04</t>
  </si>
  <si>
    <t>19-50-SM01</t>
  </si>
  <si>
    <t>Twenty Six Wakasagi identified between 29-55mm.</t>
  </si>
  <si>
    <t>19-50-SM02</t>
  </si>
  <si>
    <t>19-50-SM03</t>
  </si>
  <si>
    <t xml:space="preserve">Two Wakasagi identified between 39-42mm. </t>
  </si>
  <si>
    <t>19-50-LSJ01</t>
  </si>
  <si>
    <t>19-50-PP01</t>
  </si>
  <si>
    <t>19-50-SJT01</t>
  </si>
  <si>
    <t>19-50-CS03</t>
  </si>
  <si>
    <t>Code 4: Too much vegetation.</t>
  </si>
  <si>
    <t>19-50-CS04</t>
  </si>
  <si>
    <t>Twenty Wakasagi identified between 30-45mm. Tow 1 Code 2: Heavy SAV</t>
  </si>
  <si>
    <t>19-50-CS01</t>
  </si>
  <si>
    <t>19-50-CS05</t>
  </si>
  <si>
    <t>19-50-CS02</t>
  </si>
  <si>
    <t>19-50-SBW02</t>
  </si>
  <si>
    <t>19-50-SBW01</t>
  </si>
  <si>
    <t>19-50-SBM01</t>
  </si>
  <si>
    <t>19-50-CQS01</t>
  </si>
  <si>
    <t>Tow 1 Code 2: Twisted cod end.</t>
  </si>
  <si>
    <t>19-50-CF01</t>
  </si>
  <si>
    <t>19-50-SBM02</t>
  </si>
  <si>
    <t>19-50-SBM03</t>
  </si>
  <si>
    <t>19-50-CS07</t>
  </si>
  <si>
    <t>19-50-CS08</t>
  </si>
  <si>
    <t>Twelve Wakasagi identified between 26-43mm. Tow 1 Code 2: Slight twist in net.</t>
  </si>
  <si>
    <t>19-50-CS06</t>
  </si>
  <si>
    <t>Fourteen Wakasagi identified between 33-47mm. Only 3 tows done due to amount of fish caught and desire to complete additional site.</t>
  </si>
  <si>
    <t>19-50-CS09</t>
  </si>
  <si>
    <t>19-50-LNR01</t>
  </si>
  <si>
    <t>19-50-SPE02</t>
  </si>
  <si>
    <t>19-50-SPE01</t>
  </si>
  <si>
    <t>19-50-SPE03</t>
  </si>
  <si>
    <t>19-51-SPE03</t>
  </si>
  <si>
    <t>19-51-SPE02</t>
  </si>
  <si>
    <t>19-51-SPE01</t>
  </si>
  <si>
    <t>19-51-CQS02</t>
  </si>
  <si>
    <t>19-51-CQS01</t>
  </si>
  <si>
    <t>19-51-HB01</t>
  </si>
  <si>
    <t>DSM was code 9; DSM flash frozen for UCDavis</t>
  </si>
  <si>
    <t>19-51-CF01</t>
  </si>
  <si>
    <t>19-51-SBM01</t>
  </si>
  <si>
    <t>19-51-SBW01</t>
  </si>
  <si>
    <t>19-51-USSC01</t>
  </si>
  <si>
    <t>19-51-LSSC02</t>
  </si>
  <si>
    <t>DSM flash frozen for UCDavis; DSM was dead upon capture</t>
  </si>
  <si>
    <t>19-51-LSSC01</t>
  </si>
  <si>
    <t>19-51-SBW02</t>
  </si>
  <si>
    <t>19-51-CF02</t>
  </si>
  <si>
    <t>Tow 2 Code 2: Twist in net. Tow 3 Code 2: Partial Veg Blockage. Tow 4 Code 2: 0.69 Miles from target, tide switched</t>
  </si>
  <si>
    <t>19-51-RV01</t>
  </si>
  <si>
    <t>Tow 1 Code 3: Twist in net, extra tow done. Tow 5 Code 2: Twist in net/</t>
  </si>
  <si>
    <t>19-51-RV02</t>
  </si>
  <si>
    <t>19-51-LSR01</t>
  </si>
  <si>
    <t>19-51-LSSC04</t>
  </si>
  <si>
    <t>Tow 2 Code 2: Partial veg blockage; no more sites completed by crew due to boat issues, remaining sites will be sampled Friday July 19</t>
  </si>
  <si>
    <t>19-51-CS01</t>
  </si>
  <si>
    <t>One Wakasagi at 32 mm retained for verification</t>
  </si>
  <si>
    <t>19-51-CS02</t>
  </si>
  <si>
    <t>Three Wakasagi between 31-40mm reatined for verification</t>
  </si>
  <si>
    <t>19-51-CS04</t>
  </si>
  <si>
    <t>19-51-CS03</t>
  </si>
  <si>
    <t>19-51-RV03</t>
  </si>
  <si>
    <t>19-51-RV04</t>
  </si>
  <si>
    <t>19-51-LSR02</t>
  </si>
  <si>
    <t>37-52</t>
  </si>
  <si>
    <t>2 DSM flash frozen for UCDavis; 1 Wakasagi at 65 mm retained for verification</t>
  </si>
  <si>
    <t>19-51-LSR03</t>
  </si>
  <si>
    <t>19-51-SM01</t>
  </si>
  <si>
    <t>2 Wakasagi between 40-48 mm retained for verification</t>
  </si>
  <si>
    <t>19-51-SM02</t>
  </si>
  <si>
    <t>19-51-SM03</t>
  </si>
  <si>
    <t>1 Wakasagi at 44mm retained for verification</t>
  </si>
  <si>
    <t>19-51-LSJ01</t>
  </si>
  <si>
    <t>19-51-SJT01</t>
  </si>
  <si>
    <t>19-51-LSJ02</t>
  </si>
  <si>
    <t>Tow 1 was code 3, heavy vegetation; Tow 4 was code 2 (towing went past target distance from site)</t>
  </si>
  <si>
    <t>19-51-GB01</t>
  </si>
  <si>
    <t>47-54</t>
  </si>
  <si>
    <t>One LFS mortality, returned to lab</t>
  </si>
  <si>
    <t>19-51-SM05</t>
  </si>
  <si>
    <t>One Wakasagi at 51 mm reatined for verification; tow 1 was code 2 (partial blockage)</t>
  </si>
  <si>
    <t>19-51-SM04</t>
  </si>
  <si>
    <t>Tow 3 was code 2 (net twisted)</t>
  </si>
  <si>
    <t>19-51-CS07</t>
  </si>
  <si>
    <t>Tow 1 was code 2 (twist in net near box)</t>
  </si>
  <si>
    <t>19-51-CS05</t>
  </si>
  <si>
    <t>19-51-CS06</t>
  </si>
  <si>
    <t>1 Wakasagi at 38 mm reatined for verification; tow 2 was code 2 (vegetation blocking box)</t>
  </si>
  <si>
    <t>19-51-CS08</t>
  </si>
  <si>
    <t>Code 4: no access to site</t>
  </si>
  <si>
    <t>19-51-LSSC03</t>
  </si>
  <si>
    <t>19-51-USSC02</t>
  </si>
  <si>
    <t>19-52-CS01</t>
  </si>
  <si>
    <t>19-52-CS03</t>
  </si>
  <si>
    <t>19-52-CS02</t>
  </si>
  <si>
    <t>19-52-LSJ01</t>
  </si>
  <si>
    <t>19-52-CF01</t>
  </si>
  <si>
    <t>Tow 1 was code 2 (boats towed past target distance from start by 0.03 miles)</t>
  </si>
  <si>
    <t>19-52-SBM02</t>
  </si>
  <si>
    <t>19-52-SM03</t>
  </si>
  <si>
    <t>2 Wakasagi (43-51 mm) retained for verification; tow 1 was code 2 (twist in net)</t>
  </si>
  <si>
    <t>19-52-SM01</t>
  </si>
  <si>
    <t>1 Wakasagi at 45 mm retained for verificationl; tows 1-4 were code 2 due to lead line wrapping around bar</t>
  </si>
  <si>
    <t>19-52-SM02</t>
  </si>
  <si>
    <t>2 Wakasagi (48-62 mm) retained for verification</t>
  </si>
  <si>
    <t>19-52-CS05</t>
  </si>
  <si>
    <t>19-52-CS06</t>
  </si>
  <si>
    <t>19-52-CS04</t>
  </si>
  <si>
    <t>19-52-SJT01</t>
  </si>
  <si>
    <t>Tow 1 was code 2 (twist in net at cod end)</t>
  </si>
  <si>
    <t>19-52-PP02</t>
  </si>
  <si>
    <t>19-52-PP01</t>
  </si>
  <si>
    <t>19-52-PP03</t>
  </si>
  <si>
    <t>19-52-SM05</t>
  </si>
  <si>
    <t>19-52-SM06</t>
  </si>
  <si>
    <t>1 Wakasagi at 41 mm retained for verification</t>
  </si>
  <si>
    <t>19-52-SM04</t>
  </si>
  <si>
    <t>19-52-USSC02</t>
  </si>
  <si>
    <t>1 Wakasagi at 40 mm retained for verification</t>
  </si>
  <si>
    <t>19-52-LSSC03</t>
  </si>
  <si>
    <t>40-51</t>
  </si>
  <si>
    <t>7 DSM flash frozen for UCD and swabbed for DNA study. 6 Wakasagi (38-69 mm) retained for verification</t>
  </si>
  <si>
    <t>19-52-LSSC04</t>
  </si>
  <si>
    <t>19-52-LSR01</t>
  </si>
  <si>
    <t>1 DSM flash frozen for UCD</t>
  </si>
  <si>
    <t>19-52-LSR02</t>
  </si>
  <si>
    <t>19-52-RV01</t>
  </si>
  <si>
    <t>Tow 4 was code 2 (distance from site exceeded target distance, was 0.6m at stop)</t>
  </si>
  <si>
    <t>19-52-RV02</t>
  </si>
  <si>
    <t>19-52-SBW01</t>
  </si>
  <si>
    <t>19-52-SBW02</t>
  </si>
  <si>
    <t>19-52-SBM01</t>
  </si>
  <si>
    <t>19-52-SBW03</t>
  </si>
  <si>
    <t>19-52-USSC01</t>
  </si>
  <si>
    <t>19-52-LSSC02</t>
  </si>
  <si>
    <t>40-45</t>
  </si>
  <si>
    <t>4 DSM flash frozen for UCD and swabbed for DNA study. 1 Wakasagi (42mm) retained for verification</t>
  </si>
  <si>
    <t>19-52-LSSC01</t>
  </si>
  <si>
    <t>19-52-LSR05</t>
  </si>
  <si>
    <t>Tow 1 was code 2 (buoy line twisted around net)</t>
  </si>
  <si>
    <t>19-52-LSR04</t>
  </si>
  <si>
    <t>19-52-LSR03</t>
  </si>
  <si>
    <t>Tow 1 was code 2 (net twisted)</t>
  </si>
  <si>
    <t>19-52-SPE01</t>
  </si>
  <si>
    <t>19-52-SPE02</t>
  </si>
  <si>
    <t>19-52-CQS01</t>
  </si>
  <si>
    <t>19-52-LNR01</t>
  </si>
  <si>
    <t>19-53-LSR01</t>
  </si>
  <si>
    <t>19-53-LSR02</t>
  </si>
  <si>
    <t>Tow 4 was code 2 (distance from site exceeded target distance, was 0.57 mi at stop)</t>
  </si>
  <si>
    <t>19-53-RV04</t>
  </si>
  <si>
    <t>Tow 1 was code 2 (twist in net, started 0.11 mi downstream of target coordinates). Tow 3 was code 2 (distance from site exceeded target distance, was 0.62 mi at stop)</t>
  </si>
  <si>
    <t>19-53-USSC01</t>
  </si>
  <si>
    <t>1 Wakasagi at 37mm retained for verification. Tow 4 was code 2 (net twisted at box)</t>
  </si>
  <si>
    <t>19-53-LSSC02</t>
  </si>
  <si>
    <t>39-47</t>
  </si>
  <si>
    <t>5 DSM flash frozen for UCD. 7 Wakasagi (37-66 mm) retained for verification</t>
  </si>
  <si>
    <t>19-53-LSSC01</t>
  </si>
  <si>
    <t>~50</t>
  </si>
  <si>
    <t xml:space="preserve">1 DSM flash frozen for UCD. Will obtain exact fork length from UCD.  </t>
  </si>
  <si>
    <t>19-53-SPE02</t>
  </si>
  <si>
    <t>19-53-SPE03</t>
  </si>
  <si>
    <t>Tow 4 was code 2 (distance from site exceeded target distance, was 0.66 mi at stop)</t>
  </si>
  <si>
    <t>19-53-SPE01</t>
  </si>
  <si>
    <t>Code 4: site under pier</t>
  </si>
  <si>
    <t>19-53-CQS01</t>
  </si>
  <si>
    <t>19-53-CQS02</t>
  </si>
  <si>
    <t>19-53-SBW01</t>
  </si>
  <si>
    <t>46-50</t>
  </si>
  <si>
    <t>LFS at 50mm was a mortality</t>
  </si>
  <si>
    <t>19-53-SBM03</t>
  </si>
  <si>
    <t>46-54</t>
  </si>
  <si>
    <t>2 DSM flash frozen for UCD</t>
  </si>
  <si>
    <t>19-53-CF02</t>
  </si>
  <si>
    <t>19-53-CF03</t>
  </si>
  <si>
    <t>19-53-LSSC05</t>
  </si>
  <si>
    <r>
      <rPr>
        <sz val="11"/>
        <color rgb="FFFF0000"/>
        <rFont val="Times New Roman"/>
        <family val="1"/>
      </rPr>
      <t>39</t>
    </r>
    <r>
      <rPr>
        <sz val="11"/>
        <rFont val="Times New Roman"/>
        <family val="1"/>
      </rPr>
      <t xml:space="preserve"> Wakasagi (39-74 mm) retained for verification; </t>
    </r>
    <r>
      <rPr>
        <sz val="11"/>
        <color rgb="FFFF0000"/>
        <rFont val="Times New Roman"/>
        <family val="1"/>
      </rPr>
      <t>1 fish (50 mm) was returned as Wakasagi but later identified as a Delta Smelt - this fish was brought back to field on 11/22/2019 and flash frozen for UCD</t>
    </r>
  </si>
  <si>
    <t>19-53-LSSC04</t>
  </si>
  <si>
    <t>43-53</t>
  </si>
  <si>
    <t>2 DSM flash frozen for UCD and swabbed for DNA study;  tows 1 and 3 were code 2 (buoy line wrapped around net; 3rd DSM originally returned to lab as Wakasagi, later identified as DSM and flash frozen for UCD</t>
  </si>
  <si>
    <t>19-53-LSSC03</t>
  </si>
  <si>
    <t>3rd EDSM crew did not sample today, sampling will occur on Friday Aug 2</t>
  </si>
  <si>
    <t>19-53-SM03</t>
  </si>
  <si>
    <t>19-53-SM01</t>
  </si>
  <si>
    <t>19-53-GB01</t>
  </si>
  <si>
    <t>19-53-SM02</t>
  </si>
  <si>
    <t>Code 4: too shallow to sample</t>
  </si>
  <si>
    <t>19-53-CS01</t>
  </si>
  <si>
    <t>Tows 1 and 3 were code 2 (partial net blockage by vegetation); tow 2 was code 3 (full blockage of net by vegetation); 4th tow not completed due to risk of another full block by veg</t>
  </si>
  <si>
    <t>19-53-CS02</t>
  </si>
  <si>
    <t>Tow 1 was code 2 (partial blockage of net by vegetation); tow 2 was code 3 (complete blockage of net by vegetation); 5th tow completed to make up for tow 2</t>
  </si>
  <si>
    <t>19-53-CS03</t>
  </si>
  <si>
    <t>Tows 3 and 4 were code 2 (partial blockage of net by vegetation)</t>
  </si>
  <si>
    <t>19-53-LSJ01</t>
  </si>
  <si>
    <t>Tow 4 was code 2 (boats towed past target distance from site); 1 Wakasagi (56 mm) retained for verification</t>
  </si>
  <si>
    <t>19-53-LSJ02</t>
  </si>
  <si>
    <t>Tow 1 was code 2 (float line wrapped around net)</t>
  </si>
  <si>
    <t>19-53-SJT01</t>
  </si>
  <si>
    <t>20-01-SM06</t>
  </si>
  <si>
    <t>20-01-SM04</t>
  </si>
  <si>
    <t>20-01-SM05</t>
  </si>
  <si>
    <t>5 Wakasagi (57-65mm) retained for verification</t>
  </si>
  <si>
    <t>20-01-CF01</t>
  </si>
  <si>
    <t>20-01-SBM01</t>
  </si>
  <si>
    <t>20-01-SBM02</t>
  </si>
  <si>
    <t>20-01-CS06</t>
  </si>
  <si>
    <t>Tow 4 was code 2 (mouth of box blocked by vegetation)</t>
  </si>
  <si>
    <t>20-01-CS05</t>
  </si>
  <si>
    <t xml:space="preserve">Tow 1 was code 2 (partial blockage of net by vegetation); tow 2 was ended after 5 min 30 sec of towing due to depth and vegetation, tow 2 was code 3 (net blocked by vegetation); no more tows compelted at site </t>
  </si>
  <si>
    <t>20-01-CS04</t>
  </si>
  <si>
    <t>Tows 1 through 4 were code 2 (vegetation blocking cod end)</t>
  </si>
  <si>
    <t>20-01-CS08</t>
  </si>
  <si>
    <t>Tow 1 was code 3 (net blocked by vegetation); tows 2-4 were code 2 (cod end blocked by vegetation)</t>
  </si>
  <si>
    <t>20-01-CS07</t>
  </si>
  <si>
    <t>Code 4: too much vegetation at site</t>
  </si>
  <si>
    <t>20-01-RV02</t>
  </si>
  <si>
    <t>20-01-RV03</t>
  </si>
  <si>
    <t>20-01-RV01</t>
  </si>
  <si>
    <t>20-02-SM05</t>
  </si>
  <si>
    <t>20-02-SM06</t>
  </si>
  <si>
    <t>Tow 3 was code 2 (buoy line twisted around net)</t>
  </si>
  <si>
    <t>20-02-SM04</t>
  </si>
  <si>
    <t>7 Wakasagi (41-60mm) retained for verification</t>
  </si>
  <si>
    <t>20-02-CS01</t>
  </si>
  <si>
    <t>20-02-CS03</t>
  </si>
  <si>
    <t>Code 4: too close to bridge</t>
  </si>
  <si>
    <t>20-02-CS04</t>
  </si>
  <si>
    <t>Tow 1 was code 3 (Net full of vegetation). Unable to do tows 2-4 due to heavy vegetation</t>
  </si>
  <si>
    <t>20-02-CS05</t>
  </si>
  <si>
    <t xml:space="preserve">Tows 1 and 2 were code 2 (partial vegetation blockage) </t>
  </si>
  <si>
    <t>20-02-CS02</t>
  </si>
  <si>
    <t>All tows code 2 (partial vegetation blockage)</t>
  </si>
  <si>
    <t>20-02-LSJ01</t>
  </si>
  <si>
    <t>Tow 1 was code 2 (partial net twist)</t>
  </si>
  <si>
    <t>20-02-SJT01</t>
  </si>
  <si>
    <t>Tow 2 was code 2 (distance from site exceeded target distance, was 0.60 mi at stop)</t>
  </si>
  <si>
    <t>20-02-PP01</t>
  </si>
  <si>
    <t>San Joqruin River at Prisoners Pt</t>
  </si>
  <si>
    <t>20-02-SM01</t>
  </si>
  <si>
    <t>Tow 1 was code 2 (right bar was twisted near mouth of net)</t>
  </si>
  <si>
    <t>20-02-SM02</t>
  </si>
  <si>
    <t>13 Wakasagi (40-72mm) retained for verification</t>
  </si>
  <si>
    <t>20-02-SM03</t>
  </si>
  <si>
    <t>20-02-CS06</t>
  </si>
  <si>
    <t>20-02-CS12</t>
  </si>
  <si>
    <t>20-02-CS10</t>
  </si>
  <si>
    <t>20-02-CS08</t>
  </si>
  <si>
    <t>20-02-CS07</t>
  </si>
  <si>
    <t>20-02-CS14</t>
  </si>
  <si>
    <t>20-02-CS09</t>
  </si>
  <si>
    <t>Code 4: Site inside Liberty Island, too hazardous to trawl</t>
  </si>
  <si>
    <t>20-02-CS11</t>
  </si>
  <si>
    <t>20-02-CS13</t>
  </si>
  <si>
    <t>Code 4: Site shallow with dense vegetation</t>
  </si>
  <si>
    <t>20-02-SBW01</t>
  </si>
  <si>
    <t>20-02-HB01</t>
  </si>
  <si>
    <t>Tow 1 was code 2 (partial blockage due to vegetation)</t>
  </si>
  <si>
    <t>20-02-CF01</t>
  </si>
  <si>
    <t>20-02-SBW02</t>
  </si>
  <si>
    <t>20-02-SBM01</t>
  </si>
  <si>
    <t>Code 4: Site inside restricted zone</t>
  </si>
  <si>
    <t>20-02-CF02</t>
  </si>
  <si>
    <t>20-02-CF03</t>
  </si>
  <si>
    <t>20-02-CQS01</t>
  </si>
  <si>
    <t>20-02-LSSC01</t>
  </si>
  <si>
    <t>20-02-USSC02</t>
  </si>
  <si>
    <t>Tow 4 was code 2 (distance from site exceeded target distance, was 0.60 mi at stop)</t>
  </si>
  <si>
    <t>20-02-USSC01</t>
  </si>
  <si>
    <t>20-02-RV01</t>
  </si>
  <si>
    <t>20-02-RV02</t>
  </si>
  <si>
    <t>20-02-RV03</t>
  </si>
  <si>
    <t>20-02-USSC03</t>
  </si>
  <si>
    <t>20-02-LSSC02</t>
  </si>
  <si>
    <t>DSM flash frozen for UCD and swabbed for DNA study. Tow 1 was Code 2 (twist in net)</t>
  </si>
  <si>
    <t>20-02-LSSC03</t>
  </si>
  <si>
    <t>Tow 4 was cut short due to ferry interference (5:30 tow time)</t>
  </si>
  <si>
    <t>20-02-SPE01</t>
  </si>
  <si>
    <t>20-02-SPE02</t>
  </si>
  <si>
    <t>20-02-SPE03</t>
  </si>
  <si>
    <t>20-02-LSR01</t>
  </si>
  <si>
    <t>20-02-LSR02</t>
  </si>
  <si>
    <t>20-02-RV04</t>
  </si>
  <si>
    <t>20-03-LSR02</t>
  </si>
  <si>
    <t>20-03-LSR01</t>
  </si>
  <si>
    <t>20-03-RV01</t>
  </si>
  <si>
    <t>Tow 4 was code 2 (distance from site exceeded target distance, was 0.58 mi at stop)</t>
  </si>
  <si>
    <t>20-03-SPE02</t>
  </si>
  <si>
    <t>20-03-SPE01</t>
  </si>
  <si>
    <t>20-03-CQS02</t>
  </si>
  <si>
    <t>Code 4: site within restricted zone</t>
  </si>
  <si>
    <t>20-03-SPE03</t>
  </si>
  <si>
    <t>20-03-CQS01</t>
  </si>
  <si>
    <t>20-03-CQS03</t>
  </si>
  <si>
    <t>20-03-CS01</t>
  </si>
  <si>
    <t>49 Wakasagi (38-57mm) retained for verification. Tow 3 was code 2 (tow stopped after 5:30 due to snag on log)</t>
  </si>
  <si>
    <t>20-03-CS03</t>
  </si>
  <si>
    <t>20-03-CS02</t>
  </si>
  <si>
    <t>20-03-SBW02</t>
  </si>
  <si>
    <t>20-03-HB01</t>
  </si>
  <si>
    <t>20-03-CF02</t>
  </si>
  <si>
    <t>Tow 4 was code (boats towed past target distance from site)</t>
  </si>
  <si>
    <t>20-03-CS04</t>
  </si>
  <si>
    <t>20-03-CS06</t>
  </si>
  <si>
    <t>20-03-CS07</t>
  </si>
  <si>
    <t>20-03-CS05</t>
  </si>
  <si>
    <t>20-03-LSR03</t>
  </si>
  <si>
    <t>20-03-RV02</t>
  </si>
  <si>
    <t>20-03-RV03</t>
  </si>
  <si>
    <t>20-03-USSC01</t>
  </si>
  <si>
    <t>Tow 2 was code 2 (distance from site exceeded target distance, was 0.57 mi at stop)</t>
  </si>
  <si>
    <t>20-03-LSSC05</t>
  </si>
  <si>
    <t>Tow 3 was code 2 (distance from site exceeded target distance, was 0.58 mi at stop)</t>
  </si>
  <si>
    <t>20-03-LSSC04</t>
  </si>
  <si>
    <t>20-03-SM01</t>
  </si>
  <si>
    <t>8 Wakasagi (45-74mm) retained for verification. Tow 4 shortened to 6.5 min due to depth concern</t>
  </si>
  <si>
    <t>20-03-SM03</t>
  </si>
  <si>
    <t>20-03-SM02</t>
  </si>
  <si>
    <t xml:space="preserve">3 Wakasagi (55-63mm) retained for verification. </t>
  </si>
  <si>
    <t>20-03-CF01</t>
  </si>
  <si>
    <t>20-03-SBM01</t>
  </si>
  <si>
    <t>20-03-SBW01</t>
  </si>
  <si>
    <t>20-03-LSSC02</t>
  </si>
  <si>
    <t>41-51</t>
  </si>
  <si>
    <t>2 DSM (48,49mm) caught as Code 9 after Tow 2.  All DSM flash frozen for UCD and swabbed for DNA study</t>
  </si>
  <si>
    <t>20-03-LSSC03</t>
  </si>
  <si>
    <t>20-03-LSSC01</t>
  </si>
  <si>
    <t>20-03-SM05</t>
  </si>
  <si>
    <t>LFS was a mortality, returned to lab. 2 Wakasagi (56-70) retained for verification</t>
  </si>
  <si>
    <t>20-03-SM04</t>
  </si>
  <si>
    <t>20-03-SM06</t>
  </si>
  <si>
    <t>DSM caught as mortality, flash frozen for UCD</t>
  </si>
  <si>
    <t>20-03-PP01</t>
  </si>
  <si>
    <t>20-03-SJT01</t>
  </si>
  <si>
    <t>20-03-LSJ01</t>
  </si>
  <si>
    <t>20-04-LSR02</t>
  </si>
  <si>
    <t>20-04-RV03</t>
  </si>
  <si>
    <t>20-04-RV04</t>
  </si>
  <si>
    <t>20-04-LSSC02</t>
  </si>
  <si>
    <t>DSM flash frozen for UCD and swabbed for DNA study</t>
  </si>
  <si>
    <t>20-04-LSSC03</t>
  </si>
  <si>
    <t>20-04-LSSC01</t>
  </si>
  <si>
    <t>20-04-SM01</t>
  </si>
  <si>
    <t>20-04-SM03</t>
  </si>
  <si>
    <t>1 Wakasagi (57mm) retained for verification</t>
  </si>
  <si>
    <t>20-04-SM02</t>
  </si>
  <si>
    <t>20-04-LSR01</t>
  </si>
  <si>
    <t>20-04-RV02</t>
  </si>
  <si>
    <t>20-04-RV01</t>
  </si>
  <si>
    <t>20-04-USSC01</t>
  </si>
  <si>
    <t>20-04-LSSC05</t>
  </si>
  <si>
    <t>20-04-LSSC04</t>
  </si>
  <si>
    <t>20-04-SM04</t>
  </si>
  <si>
    <t>20-04-SM06</t>
  </si>
  <si>
    <t>1 Wakasagi (65mm) retained for verification</t>
  </si>
  <si>
    <t>20-04-SM05</t>
  </si>
  <si>
    <t>20-04-SBM01</t>
  </si>
  <si>
    <t>20-04-SBM02</t>
  </si>
  <si>
    <t>20-04-HB01</t>
  </si>
  <si>
    <t>20-04-CS07</t>
  </si>
  <si>
    <t>20-04-CS03</t>
  </si>
  <si>
    <t>Tow 3 was code 3 (stopped after 3 min, heavy vegetation), 4th tow not completed due to heavy vegetation</t>
  </si>
  <si>
    <t>20-04-CS02</t>
  </si>
  <si>
    <t>Code 4: Obstructions in and around site</t>
  </si>
  <si>
    <t>20-04-CS04</t>
  </si>
  <si>
    <t>Tow 1 was code 2 (vegetation blocking box) and Tow 2 was code 2 (buoy line wrapped around net)</t>
  </si>
  <si>
    <t>20-04-CS01</t>
  </si>
  <si>
    <t>92 Wakasagi (34-62mm) retained for verification</t>
  </si>
  <si>
    <t>20-04-SBW03</t>
  </si>
  <si>
    <t>20-04-SBW01</t>
  </si>
  <si>
    <t>20-04-SBW02</t>
  </si>
  <si>
    <t>20-04-CQS01</t>
  </si>
  <si>
    <t>20-04-PP01</t>
  </si>
  <si>
    <t>20-04-SJT01</t>
  </si>
  <si>
    <t>20-04-LSJ01</t>
  </si>
  <si>
    <t>20-04-CS06</t>
  </si>
  <si>
    <t>Code 4: Too shallow and heavy vegetation at site</t>
  </si>
  <si>
    <t>20-04-CS08</t>
  </si>
  <si>
    <t>1 Wakasagi (55mm) retained for verification</t>
  </si>
  <si>
    <t>20-04-CS09</t>
  </si>
  <si>
    <t>20-04-CS05</t>
  </si>
  <si>
    <t>Tow 2 was code 2 (distance from site exceeded target distance, was 0.58 mi at stop)</t>
  </si>
  <si>
    <t>20-04-SPE01</t>
  </si>
  <si>
    <t>20-04-SPE04</t>
  </si>
  <si>
    <t>20-04-SPE02</t>
  </si>
  <si>
    <t>20-04-SPE03</t>
  </si>
  <si>
    <t>20-05-PP01</t>
  </si>
  <si>
    <t>20-05-SJT01</t>
  </si>
  <si>
    <t>20-05-SJT02</t>
  </si>
  <si>
    <t>20-05-SPE01</t>
  </si>
  <si>
    <t>20-05-SPE02</t>
  </si>
  <si>
    <t>20-05-SPE03</t>
  </si>
  <si>
    <t>LFS died while measuring, brought back to lab.  Tow 2 was code 2 (crossed most western strata boundary). Tow 3 was code 2 (twist in net)</t>
  </si>
  <si>
    <t>20-05-CQS01</t>
  </si>
  <si>
    <t>20-05-USSC01</t>
  </si>
  <si>
    <t>20-05-USSC02</t>
  </si>
  <si>
    <t>20-05-USSC04</t>
  </si>
  <si>
    <t>20-05-USSC03</t>
  </si>
  <si>
    <t>20-05-LSR01</t>
  </si>
  <si>
    <t>20-05-RV01</t>
  </si>
  <si>
    <t>20-05-RV02</t>
  </si>
  <si>
    <t>Tows 1 and 3 were code 2 (tow 1=twist in net; tow 2=buoy wrapped around cod end)</t>
  </si>
  <si>
    <t>20-05-LSSC02</t>
  </si>
  <si>
    <t>Tow 3 was code 3 (veg partially blocking live box)</t>
  </si>
  <si>
    <t>20-05-LSSC03</t>
  </si>
  <si>
    <t>1 unidentified Osmerid from Code 9 brought back to lab, determined to be DSM</t>
  </si>
  <si>
    <t>20-05-LSSC01</t>
  </si>
  <si>
    <t>20-05-SBW01</t>
  </si>
  <si>
    <t>20-05-SBM02</t>
  </si>
  <si>
    <t>Tow 1 tow direction U, remaining tows D; tow 4 was code 2 (boats towed past target distance from site)</t>
  </si>
  <si>
    <t>20-05-HB02</t>
  </si>
  <si>
    <t>20-05-CF02</t>
  </si>
  <si>
    <t>20-05-CS02</t>
  </si>
  <si>
    <t>20-05-CS01</t>
  </si>
  <si>
    <t>20-05-CS03</t>
  </si>
  <si>
    <t>Tow 3 Code 2: .62 miles from target, partial veg blockage. Tow 4 Code 2: Partial twist in net due to buoy.</t>
  </si>
  <si>
    <t>20-05-LSR02</t>
  </si>
  <si>
    <t>Code 4: Would go over the strata line</t>
  </si>
  <si>
    <t>20-05-RV04</t>
  </si>
  <si>
    <t>20-05-RV05</t>
  </si>
  <si>
    <t>20-05-RV03</t>
  </si>
  <si>
    <t>20-05-SM01</t>
  </si>
  <si>
    <t>Tow 1 Code 2: Twist at box</t>
  </si>
  <si>
    <t>20-05-SM02</t>
  </si>
  <si>
    <t>20-05-SM03</t>
  </si>
  <si>
    <t>Seven Wakasagi identified between 56-73mm.</t>
  </si>
  <si>
    <t>20-05-CS04</t>
  </si>
  <si>
    <t>Tow 3 Code 3: Filled net with veg. Did not do 4th tow.</t>
  </si>
  <si>
    <t>20-05-CS05</t>
  </si>
  <si>
    <t>20-05-CS06</t>
  </si>
  <si>
    <t>20-05-CF01</t>
  </si>
  <si>
    <t>20-05-HB01</t>
  </si>
  <si>
    <t>20-05-SBM01</t>
  </si>
  <si>
    <t xml:space="preserve"> Mid Suisun Bay</t>
  </si>
  <si>
    <t>20-05-SM04</t>
  </si>
  <si>
    <t>One Wakasagi identified at 74mm.</t>
  </si>
  <si>
    <t>20-05-SM05</t>
  </si>
  <si>
    <t>20-05-GB01</t>
  </si>
  <si>
    <t>20-06-SJT01</t>
  </si>
  <si>
    <t>20-06-LSJ02</t>
  </si>
  <si>
    <t xml:space="preserve">Tow 3 was code 3 (Tow compromised. Tow length shortened to 4:30 due to heavy debris). Tows 1/2 were code 2 (partial blockage due to vegetation). </t>
  </si>
  <si>
    <t>20-06-LSJ01</t>
  </si>
  <si>
    <t>Tow 1 was code 2 (lead line wrapped around bar). Tows 2/3 were code 2 (partial blockage due to vegetation)</t>
  </si>
  <si>
    <t>20-06-CS02</t>
  </si>
  <si>
    <t>20-06-CS03</t>
  </si>
  <si>
    <t>20-06-CS01</t>
  </si>
  <si>
    <t>20-06-SM01</t>
  </si>
  <si>
    <t>20-06-SM02</t>
  </si>
  <si>
    <t>20-06-GB01</t>
  </si>
  <si>
    <t>20-06-SBW02</t>
  </si>
  <si>
    <t>20-06-SBW01</t>
  </si>
  <si>
    <t>52-90</t>
  </si>
  <si>
    <t xml:space="preserve">2 LFS mortalities returned to lab </t>
  </si>
  <si>
    <t>20-06-SBM01</t>
  </si>
  <si>
    <t>20-06-CS06</t>
  </si>
  <si>
    <t>Tow 2 was code 2 (partial blockage of net with vegetation)</t>
  </si>
  <si>
    <t>20-06-CS04</t>
  </si>
  <si>
    <t>20-06-CS05</t>
  </si>
  <si>
    <t>20-06-GB02</t>
  </si>
  <si>
    <t>Tow 3 was code 2 (distance from site exceeded target distance, was 0.59 mi at stop). No 4th tow was completed due to active sea lion on site</t>
  </si>
  <si>
    <t>20-06-SM03</t>
  </si>
  <si>
    <t>20-06-GB03</t>
  </si>
  <si>
    <t>Only 2 tows completed due to boat issues</t>
  </si>
  <si>
    <t>20-06-USSC02</t>
  </si>
  <si>
    <t>20-06-USSC01</t>
  </si>
  <si>
    <t>26 Wakasagi (57-83mm) retained for verification. Tow 3 was code 2 (distance from site exceeded target distance, was 0.58 mi at stop)</t>
  </si>
  <si>
    <t>20-06-LSSC01</t>
  </si>
  <si>
    <t>Tow 3 was code 2 (problem with net)</t>
  </si>
  <si>
    <t>20-06-HB01</t>
  </si>
  <si>
    <t>20-06-SBM02</t>
  </si>
  <si>
    <t>Tow 3 was code 2 (twist in net)</t>
  </si>
  <si>
    <t>20-06-SBW03</t>
  </si>
  <si>
    <t>20-06-SBW04</t>
  </si>
  <si>
    <t>20-06-RV01</t>
  </si>
  <si>
    <t>Tow 1 was code 3 (bar twisted, had to pull net back in to fix)</t>
  </si>
  <si>
    <t>20-06-RV02</t>
  </si>
  <si>
    <t>20-06-LSR01</t>
  </si>
  <si>
    <t>20-06-LSSC03</t>
  </si>
  <si>
    <t xml:space="preserve">3 Wakasagi (66-75mm) retained for verification. </t>
  </si>
  <si>
    <t>20-06-LSSC04</t>
  </si>
  <si>
    <t xml:space="preserve">2 Wakasagi (73-77mm) retained for verification. </t>
  </si>
  <si>
    <t>20-06-LSSC02</t>
  </si>
  <si>
    <t>20-06-CQS01</t>
  </si>
  <si>
    <t>20-06-CQS02</t>
  </si>
  <si>
    <t>20-06-SPE01</t>
  </si>
  <si>
    <t>20-06-LSR02</t>
  </si>
  <si>
    <t>20-06-RV04</t>
  </si>
  <si>
    <t>20-06-RV03</t>
  </si>
  <si>
    <t>20-07-LSSC01</t>
  </si>
  <si>
    <t>20-07-USSC02</t>
  </si>
  <si>
    <t>20-07-USSC01</t>
  </si>
  <si>
    <t>20-07-USSC03</t>
  </si>
  <si>
    <t>20-07-LSR01</t>
  </si>
  <si>
    <t>20-07-LSR02</t>
  </si>
  <si>
    <t>20-07-RV01</t>
  </si>
  <si>
    <t>20-07-CF02</t>
  </si>
  <si>
    <t>20-07-HB01</t>
  </si>
  <si>
    <t>20-07-SBW02</t>
  </si>
  <si>
    <t>20-07-SBW01</t>
  </si>
  <si>
    <t>20-07-SPE01</t>
  </si>
  <si>
    <t>20-07-SPE03</t>
  </si>
  <si>
    <t>20-07-SPE02</t>
  </si>
  <si>
    <t>20-07-SPE04</t>
  </si>
  <si>
    <t>20-07-SPE05</t>
  </si>
  <si>
    <t>20-07-LSSC02</t>
  </si>
  <si>
    <t>20-07-LSSC04</t>
  </si>
  <si>
    <t>20-07-LSSC03</t>
  </si>
  <si>
    <t>DSM flash frozen for UCD and swabbed for DNA study. 1 Wakasagi (70mm) retained for verification. Tow 3 was Code 2 (twist in net)</t>
  </si>
  <si>
    <t>20-07-RV02</t>
  </si>
  <si>
    <t>20-07-LSR04</t>
  </si>
  <si>
    <t>20-07-LSR03</t>
  </si>
  <si>
    <t>1 Wakasagi (75mm) retained for verification</t>
  </si>
  <si>
    <t>20-07-CS01</t>
  </si>
  <si>
    <t>Tow 1 was code 2 (float line twisted at box). Tows 2-4 were code 3 (heavy vegetation)</t>
  </si>
  <si>
    <t>20-07-CS03</t>
  </si>
  <si>
    <t>20-07-CS02</t>
  </si>
  <si>
    <t>Tows 2-4 were code 2 (partial blockage due to vegetation)</t>
  </si>
  <si>
    <t>20-07-CS04</t>
  </si>
  <si>
    <t>Tows 1-4 were code 2 (partial blockage due to vegetation)</t>
  </si>
  <si>
    <t>20-07-SM02</t>
  </si>
  <si>
    <t>20-07-SM01</t>
  </si>
  <si>
    <t>20-07-SM03</t>
  </si>
  <si>
    <t>20-07-LSJ03</t>
  </si>
  <si>
    <t>20-07-LSJ01</t>
  </si>
  <si>
    <t>20-07-LSJ02</t>
  </si>
  <si>
    <t>20-07-CS07</t>
  </si>
  <si>
    <t>20-07-CS06</t>
  </si>
  <si>
    <t>Code 4: site too close to bridge</t>
  </si>
  <si>
    <t>20-07-CS09</t>
  </si>
  <si>
    <t>20-07-CS10</t>
  </si>
  <si>
    <t>Tows 2 and 4 were code 2  (Heavy SAV in net)</t>
  </si>
  <si>
    <t>20-07-CS08</t>
  </si>
  <si>
    <t>20-07-SM05</t>
  </si>
  <si>
    <t>3 Wakasagi (68-71mm) retained for verification</t>
  </si>
  <si>
    <t>20-07-SM04</t>
  </si>
  <si>
    <t>20-07-GB01</t>
  </si>
  <si>
    <t>20-07-CF01</t>
  </si>
  <si>
    <t>20-07-SBM01</t>
  </si>
  <si>
    <t>56-60</t>
  </si>
  <si>
    <t>20-07-SBM02</t>
  </si>
  <si>
    <t>20-08-PP01</t>
  </si>
  <si>
    <t>20-08-SJT01</t>
  </si>
  <si>
    <t>20-08-LSJ01</t>
  </si>
  <si>
    <t>20-08-SM01</t>
  </si>
  <si>
    <t>20-08-SM03</t>
  </si>
  <si>
    <t>20-08-SM04</t>
  </si>
  <si>
    <t>20-08-SM02</t>
  </si>
  <si>
    <t>Code 4: site too close to strata boundary line, would cross during towing</t>
  </si>
  <si>
    <t>20-08-USSC01</t>
  </si>
  <si>
    <t>20-08-LSSC02</t>
  </si>
  <si>
    <t>13 Wakasagi (48-87 mm) retained for verification</t>
  </si>
  <si>
    <t>20-08-LSSC01</t>
  </si>
  <si>
    <t>20-08-SBW01</t>
  </si>
  <si>
    <t>20-08-SBM01</t>
  </si>
  <si>
    <t>20-08-CF01</t>
  </si>
  <si>
    <t>49-53</t>
  </si>
  <si>
    <t>20-08-SM06</t>
  </si>
  <si>
    <t>55-58</t>
  </si>
  <si>
    <t>1 LFS (58mm, mortality) returned to lab</t>
  </si>
  <si>
    <t>20-08-SM05</t>
  </si>
  <si>
    <t>20-08-SM07</t>
  </si>
  <si>
    <t>20-08-LSSC05</t>
  </si>
  <si>
    <t>9 Wakasagi (68-89mm) retained for verification</t>
  </si>
  <si>
    <t>20-08-LSSC04</t>
  </si>
  <si>
    <t>20-08-LSSC03</t>
  </si>
  <si>
    <t>20-08-LSR01</t>
  </si>
  <si>
    <t>20-08-LSR02</t>
  </si>
  <si>
    <t>20-08-RV01</t>
  </si>
  <si>
    <t>20-08-SBW03</t>
  </si>
  <si>
    <t>20-08-SBW02</t>
  </si>
  <si>
    <t>20-08-HB01</t>
  </si>
  <si>
    <t>20-08-CF02</t>
  </si>
  <si>
    <t>Tow 3 was ended after 7 minutes due to sea lion arriving in vicinity</t>
  </si>
  <si>
    <t>20-08-CS03</t>
  </si>
  <si>
    <t>20-08-CS02</t>
  </si>
  <si>
    <t>Tow 1 was code 3 (net full of vegetation); tow 3 was code 2 (partial blockage of net by vegetation); 4th tow not completed due to heavy vegetation at site</t>
  </si>
  <si>
    <t>20-08-CS01</t>
  </si>
  <si>
    <t>20-08-RV02</t>
  </si>
  <si>
    <t>20-08-RV03</t>
  </si>
  <si>
    <t>20-08-LSR03</t>
  </si>
  <si>
    <t>20-08-CS04</t>
  </si>
  <si>
    <t>20-08-CS05</t>
  </si>
  <si>
    <t>20-08-CS06</t>
  </si>
  <si>
    <t>20-08-CQS01</t>
  </si>
  <si>
    <t>20-08-SPE02</t>
  </si>
  <si>
    <t>20-08-SPE01</t>
  </si>
  <si>
    <t>20-08-LNR01</t>
  </si>
  <si>
    <t>20-09-LSSC02</t>
  </si>
  <si>
    <t>Tow 4 was code 2 (Distance from site exceeded target distance, was 0.65 mi at stop)</t>
  </si>
  <si>
    <t>20-09-LSSC01</t>
  </si>
  <si>
    <t>20-09-USSC01</t>
  </si>
  <si>
    <t>Tow 3 was code 2 (Distance from site exceeded target distance, was 0.68 mi at stop)</t>
  </si>
  <si>
    <t>20-09-SPE02</t>
  </si>
  <si>
    <t>20-09-SPE01</t>
  </si>
  <si>
    <t>20-09-CQS02</t>
  </si>
  <si>
    <t>Tows 3 and 4 not performed due to sea lion in area</t>
  </si>
  <si>
    <t>20-09-CQS01</t>
  </si>
  <si>
    <t>20-09-SBW01</t>
  </si>
  <si>
    <t>20-09-RV01</t>
  </si>
  <si>
    <t>20-09-RV02</t>
  </si>
  <si>
    <t>20-09-RV03</t>
  </si>
  <si>
    <t>20-09-USSC02</t>
  </si>
  <si>
    <t>20-09-LSSC04</t>
  </si>
  <si>
    <t>DSM was returned to lab for verification, was then flash frozen for UCD. 7 Wakasagi  (66-85mm) returned to lab for verification</t>
  </si>
  <si>
    <t>20-09-LSSC03</t>
  </si>
  <si>
    <t>20-09-LSR01</t>
  </si>
  <si>
    <t>20-09-RV05</t>
  </si>
  <si>
    <t>20-09-RV04</t>
  </si>
  <si>
    <t>20-09-SBW02</t>
  </si>
  <si>
    <t>20-09-SBM02</t>
  </si>
  <si>
    <t>20-09-CF02</t>
  </si>
  <si>
    <t>20-09-SBM03</t>
  </si>
  <si>
    <t>20-09-CS03</t>
  </si>
  <si>
    <t>20-09-CS01</t>
  </si>
  <si>
    <t>20-09-CS02</t>
  </si>
  <si>
    <t>Tows 2-3 were code 2 (partial blockage due to vegetation); tow 4 was code 2 (boats towed past target distance from site)</t>
  </si>
  <si>
    <t>20-09-SM02</t>
  </si>
  <si>
    <t>20-09-SM03</t>
  </si>
  <si>
    <t>20-09-SM01</t>
  </si>
  <si>
    <t>20-09-SJT01</t>
  </si>
  <si>
    <t>20-09-SJT02</t>
  </si>
  <si>
    <t>20-09-LSJ01</t>
  </si>
  <si>
    <t>20-09-CS05</t>
  </si>
  <si>
    <t>Tow 4 was code 2 (partial blockage due to vegetaion)</t>
  </si>
  <si>
    <t>20-09-CS04</t>
  </si>
  <si>
    <t>20-09-CS07</t>
  </si>
  <si>
    <t>Tow 1 was code 3 (heavy vegetation, no more tows at this site)</t>
  </si>
  <si>
    <t>20-09-CS08</t>
  </si>
  <si>
    <t>20-09-CS06</t>
  </si>
  <si>
    <t>20-09-CF01</t>
  </si>
  <si>
    <t>20-09-HB01</t>
  </si>
  <si>
    <t>5 Wakasagi (65-88 mm) retained for verification</t>
  </si>
  <si>
    <t>20-09-SBM01</t>
  </si>
  <si>
    <t>20-09-SM04</t>
  </si>
  <si>
    <t>5 Wakasagi (71-85 mm) retained for verification</t>
  </si>
  <si>
    <t>20-09-SM05</t>
  </si>
  <si>
    <t>20-09-GB01</t>
  </si>
  <si>
    <t xml:space="preserve">Tow 1 was code 3 (ended early, box not checked due to hazardous conditions) </t>
  </si>
  <si>
    <t>20-10-USSC03</t>
  </si>
  <si>
    <t>2 Wakasagi (74-76mm) retained for verification</t>
  </si>
  <si>
    <t>20-10-LSSC02</t>
  </si>
  <si>
    <t>12 Wakasagi (73-87mm) retained for verification</t>
  </si>
  <si>
    <t>20-10-LSSC03</t>
  </si>
  <si>
    <t>20-10-SBM01</t>
  </si>
  <si>
    <t>20-10-CF01</t>
  </si>
  <si>
    <t>20-10-CF02</t>
  </si>
  <si>
    <t>20-10-SM02</t>
  </si>
  <si>
    <t>20-10-SM01</t>
  </si>
  <si>
    <t>20-10-SM03</t>
  </si>
  <si>
    <t>20-10-USSC02</t>
  </si>
  <si>
    <t>20-10-USSC01</t>
  </si>
  <si>
    <t>20-10-LSSC01</t>
  </si>
  <si>
    <t>20-10-LSR03</t>
  </si>
  <si>
    <t>Tow 2 Code 2: Twist in net with depth going under minimum for &lt;1 min of tow.</t>
  </si>
  <si>
    <t>20-10-LSR02</t>
  </si>
  <si>
    <t>20-10-RV03</t>
  </si>
  <si>
    <t>20-10-GB01</t>
  </si>
  <si>
    <t>20-10-SM04</t>
  </si>
  <si>
    <t>1 Wakasagi (67mm) retained for verification</t>
  </si>
  <si>
    <t>20-10-SM05</t>
  </si>
  <si>
    <t>20-10-CS02</t>
  </si>
  <si>
    <t>20-10-CS03</t>
  </si>
  <si>
    <t>Tow 2 Code 2: Partial blockage of veg in front of box.</t>
  </si>
  <si>
    <t>20-10-CS01</t>
  </si>
  <si>
    <t>1 Wakasagi (53mm) retained for verification. Tow 1, 2, 3 Code 2: Partial blockage of veg.</t>
  </si>
  <si>
    <t>20-10-RV01</t>
  </si>
  <si>
    <t>Tow 2 Code 2: Net twisted</t>
  </si>
  <si>
    <t>20-10-RV02</t>
  </si>
  <si>
    <t>20-10-LSR01</t>
  </si>
  <si>
    <t>20-10-CF03</t>
  </si>
  <si>
    <t>20-10-HB01</t>
  </si>
  <si>
    <t>20-10-SBM02</t>
  </si>
  <si>
    <t>20-10-SBM03</t>
  </si>
  <si>
    <t>20-10-SBW01</t>
  </si>
  <si>
    <t>20-10-CS05</t>
  </si>
  <si>
    <t>20-10-CS06</t>
  </si>
  <si>
    <t>Tow 3 Code 2: Some veg blockage in net</t>
  </si>
  <si>
    <t>20-10-CS04</t>
  </si>
  <si>
    <t>20-10-LSJ01</t>
  </si>
  <si>
    <t>20-10-LSJ02</t>
  </si>
  <si>
    <t>Tow 1 Code 3: Partial net twist.</t>
  </si>
  <si>
    <t>20-10-SJT01</t>
  </si>
  <si>
    <t>20-10-CQS01</t>
  </si>
  <si>
    <t>Tow 3 Code 2: Towed to .6 miles from target.</t>
  </si>
  <si>
    <t>20-10-SPE02</t>
  </si>
  <si>
    <t>20-10-SPE01</t>
  </si>
  <si>
    <t>20-10-LNR01</t>
  </si>
  <si>
    <t>20-11-RV01</t>
  </si>
  <si>
    <t>20-11-RV02</t>
  </si>
  <si>
    <t>20-11-LSR01</t>
  </si>
  <si>
    <t>20-11-LSR03</t>
  </si>
  <si>
    <t>20-11-LSSC01</t>
  </si>
  <si>
    <t>20-11-USSC02</t>
  </si>
  <si>
    <t>20-11-USSC01</t>
  </si>
  <si>
    <t>20-11-USSC03</t>
  </si>
  <si>
    <t>20-11-LNR01</t>
  </si>
  <si>
    <t>20-11-SPE01</t>
  </si>
  <si>
    <t>20-11-SPE02</t>
  </si>
  <si>
    <t>20-11-CQS01</t>
  </si>
  <si>
    <t>20-11-LSSC02</t>
  </si>
  <si>
    <t>Tow 4 Code 2: Tow ended 0.58 miles from target</t>
  </si>
  <si>
    <t>20-11-LSSC04</t>
  </si>
  <si>
    <t>Tow 3 Code 2: Twist in net. Osmerid retained from field identified as DSM in lab. Returned to field to be flash frozen for UCD. DSM not expressed due to initial ID as WAG.</t>
  </si>
  <si>
    <t>20-11-LSSC03</t>
  </si>
  <si>
    <t>20-11-LSR02</t>
  </si>
  <si>
    <t>20-11-RV03</t>
  </si>
  <si>
    <t>20-11-RV04</t>
  </si>
  <si>
    <t>20-11-RV05</t>
  </si>
  <si>
    <t>20-11-SBW02</t>
  </si>
  <si>
    <t>20-11-SBM02</t>
  </si>
  <si>
    <t>Tow 1 Code 2: Partial net twist</t>
  </si>
  <si>
    <t>20-11-SBM01</t>
  </si>
  <si>
    <t>20-11-CF03</t>
  </si>
  <si>
    <t>20-11-CS03</t>
  </si>
  <si>
    <t>Tow 4 Code 2: Partial blockage of net from veg</t>
  </si>
  <si>
    <t>20-11-CS02</t>
  </si>
  <si>
    <t>Code 4: Too much vegetation at site</t>
  </si>
  <si>
    <t>20-11-CS01</t>
  </si>
  <si>
    <t>Tow 1 Code 2: Twist at box Tow 4 Code 2: Towed 0.58 miles from target</t>
  </si>
  <si>
    <t>20-11-CS04</t>
  </si>
  <si>
    <t>Tow 1 Code 3: Site quickly became too shallow and filled net with debris. Did not process sample. Did not continue additional tows.</t>
  </si>
  <si>
    <t>20-11-CS05</t>
  </si>
  <si>
    <t>Tow 1 Code 2: Twist at box. 4th tow not attempted due to rough conditions.</t>
  </si>
  <si>
    <t>20-11-SBW01</t>
  </si>
  <si>
    <t>Tow 1 Code 2: Buoy twisted around cod end</t>
  </si>
  <si>
    <t>20-11-CF01</t>
  </si>
  <si>
    <t>20-11-CF02</t>
  </si>
  <si>
    <t>20-11-GB01</t>
  </si>
  <si>
    <t>20-11-GB02</t>
  </si>
  <si>
    <t>20-11-SM04</t>
  </si>
  <si>
    <t>Tow 1 Code 2: Cod end twisted</t>
  </si>
  <si>
    <t>20-11-CS06</t>
  </si>
  <si>
    <t>Tow 4 Code 2: Partial blockage of net by vegetation.</t>
  </si>
  <si>
    <t>20-11-CS07</t>
  </si>
  <si>
    <t>20-11-CS08</t>
  </si>
  <si>
    <t>Tow 1 Code 2: Partial veg blockage. Tow 2 Code 3: Complete veg blockage. Extra tow completed. Tow 3 Code 2: Partial veg blockage. Tow 4 Code 2: Partial veg blockage. Tow 5 Code 2: Partial veg blockage.</t>
  </si>
  <si>
    <t>20-11-LSJ03</t>
  </si>
  <si>
    <t>20-11-LSJ02</t>
  </si>
  <si>
    <t>20-11-LSJ01</t>
  </si>
  <si>
    <t>20-11-SM01</t>
  </si>
  <si>
    <t>20-11-SM03</t>
  </si>
  <si>
    <t>Tow 1 Code 3: Net snagged, possibly lost fish. Tow 6:20 long, fish not measured. Additional tow completed.</t>
  </si>
  <si>
    <t>20-11-SM02</t>
  </si>
  <si>
    <t>20-12-USSC02</t>
  </si>
  <si>
    <t>20-12-USSC01</t>
  </si>
  <si>
    <t>20-12-LSSC01</t>
  </si>
  <si>
    <t>Osmerid retained from field identified as DSM (47mm) in lab. Returned to field to be flash frozen for UCD and swabbed for DNA study. 14 Wakasagi (72-96) retained for verification</t>
  </si>
  <si>
    <t>20-12-GB01</t>
  </si>
  <si>
    <t>Tow 1 was code 3 (Net was deployed but not opened, depth was determined to be too shallow so net was pulled after 1 minute)</t>
  </si>
  <si>
    <t>20-12-GB02</t>
  </si>
  <si>
    <t>20-12-SM01</t>
  </si>
  <si>
    <t>20-12-SM02</t>
  </si>
  <si>
    <t>20-12-PP01</t>
  </si>
  <si>
    <t>Tow 2 was code 2 (Tow was reduced to 7 min due to snag, sample not compromised)</t>
  </si>
  <si>
    <t>20-12-LSJ01</t>
  </si>
  <si>
    <t>20-12-SJT01</t>
  </si>
  <si>
    <t>20-12-LSSC02</t>
  </si>
  <si>
    <t>20-12-LSSC04</t>
  </si>
  <si>
    <t>20-12-LSSC03</t>
  </si>
  <si>
    <t>2 Wakasagi (86-87mm) retained for verification</t>
  </si>
  <si>
    <t>20-12-LSSC05</t>
  </si>
  <si>
    <t>6 Wakasagi (55-81mm) retained for verification</t>
  </si>
  <si>
    <t>20-12-SBW01</t>
  </si>
  <si>
    <t>20-12-SBM02</t>
  </si>
  <si>
    <t>20-12-SBM01</t>
  </si>
  <si>
    <t>20-12-GB03</t>
  </si>
  <si>
    <t>20-12-SM03</t>
  </si>
  <si>
    <t>20-12-SM04</t>
  </si>
  <si>
    <t>20-12-SBW02</t>
  </si>
  <si>
    <t>20-12-CF01</t>
  </si>
  <si>
    <t xml:space="preserve">Tow 3 was 3 minutes, reduced tow time due to proximity to restricted area. Only 3 tows performed. </t>
  </si>
  <si>
    <t>20-12-HB01</t>
  </si>
  <si>
    <t>20-12-CS02</t>
  </si>
  <si>
    <t>20-12-CS03</t>
  </si>
  <si>
    <t>20-12-CS01</t>
  </si>
  <si>
    <t>3 Wakasagi (60-66mm) retained for verification</t>
  </si>
  <si>
    <t>20-12-LSR01</t>
  </si>
  <si>
    <t>20-12-RV02</t>
  </si>
  <si>
    <t>20-12-RV01</t>
  </si>
  <si>
    <t>20-12-LNR01</t>
  </si>
  <si>
    <t>20-12-SPE02</t>
  </si>
  <si>
    <t>20-12-SPE01</t>
  </si>
  <si>
    <t>20-12-CQS01</t>
  </si>
  <si>
    <t>20-12-CS04</t>
  </si>
  <si>
    <t>20-12-CS05</t>
  </si>
  <si>
    <t>20-12-CS06</t>
  </si>
  <si>
    <t>20-12-LSR03</t>
  </si>
  <si>
    <t>20-12-LSR02</t>
  </si>
  <si>
    <t>20-12-RV03</t>
  </si>
  <si>
    <t>20-13-LSSC02</t>
  </si>
  <si>
    <t xml:space="preserve">Tow 4 Code 2. 14 Wakasagi (80-96mm) retained for verification. </t>
  </si>
  <si>
    <t>20-13-LSSC03</t>
  </si>
  <si>
    <t>20-13-LSSC01</t>
  </si>
  <si>
    <t>20-13-RV01</t>
  </si>
  <si>
    <t>20-13-LSR02</t>
  </si>
  <si>
    <t>20-13-LSR01</t>
  </si>
  <si>
    <t>20-13-LSR04</t>
  </si>
  <si>
    <t>20-13-SPE01</t>
  </si>
  <si>
    <t>20-13-SPE02</t>
  </si>
  <si>
    <t>20-13-LNR01</t>
  </si>
  <si>
    <t>20-13-CQS01</t>
  </si>
  <si>
    <t>20-13-LSSC04</t>
  </si>
  <si>
    <t>20-13-LSSC06</t>
  </si>
  <si>
    <t>3 Wakasagi (85-101mm) retained for verification</t>
  </si>
  <si>
    <t>20-13-LSSC05</t>
  </si>
  <si>
    <t>20-13-RV02</t>
  </si>
  <si>
    <t>20-13-LSR03</t>
  </si>
  <si>
    <t>20-13-RV03</t>
  </si>
  <si>
    <t>20-13-SBW02</t>
  </si>
  <si>
    <t>20-13-SBM01</t>
  </si>
  <si>
    <t>Code 4: Site is in a restricted area</t>
  </si>
  <si>
    <t>20-13-HB01</t>
  </si>
  <si>
    <t>20-13-CF03</t>
  </si>
  <si>
    <t>20-13-CS03</t>
  </si>
  <si>
    <t>20-13-CS02</t>
  </si>
  <si>
    <t>20-13-CS01</t>
  </si>
  <si>
    <t>20-13-SBW01</t>
  </si>
  <si>
    <t>20-13-CF01</t>
  </si>
  <si>
    <t>20-13-CF02</t>
  </si>
  <si>
    <t>20-13-GB03</t>
  </si>
  <si>
    <t>51-79</t>
  </si>
  <si>
    <t>20-13-SM03</t>
  </si>
  <si>
    <t>20-13-SM02</t>
  </si>
  <si>
    <t>LFS brought back to lab, mortality after capture</t>
  </si>
  <si>
    <t>20-13-CS06</t>
  </si>
  <si>
    <t>20-13-CS05</t>
  </si>
  <si>
    <t>20-13-CS04</t>
  </si>
  <si>
    <t>Tow 2 was Code 2 (net twisted)</t>
  </si>
  <si>
    <t>20-13-LSJ03</t>
  </si>
  <si>
    <t xml:space="preserve">Tow 1 was Code 2 (started 380 feet from target, twist at box). Tow 3 and 4 were Code 2 (partial blockage due to veg). </t>
  </si>
  <si>
    <t>20-13-LSJ02</t>
  </si>
  <si>
    <t>20-13-LSJ01</t>
  </si>
  <si>
    <t>20-13-GB01</t>
  </si>
  <si>
    <t>20-13-GB02</t>
  </si>
  <si>
    <t>20-13-SM01</t>
  </si>
  <si>
    <t>1 Wakasagi (88mm) retained for verification</t>
  </si>
  <si>
    <t>20-14-LSSC02</t>
  </si>
  <si>
    <t>24 Wakasagi (78-98mm) retained for verification</t>
  </si>
  <si>
    <t>20-14-LSSC03</t>
  </si>
  <si>
    <t>20-14-LSSC01</t>
  </si>
  <si>
    <t>20-14-RV04</t>
  </si>
  <si>
    <t>20-14-RV05</t>
  </si>
  <si>
    <t>Tows 1-3 were code 2 (partial blockage due to vegetation)</t>
  </si>
  <si>
    <t>20-14-LSR01</t>
  </si>
  <si>
    <t>20-14-GB01</t>
  </si>
  <si>
    <t>69-94</t>
  </si>
  <si>
    <t xml:space="preserve">Tows 3/4 not performed to smoke. Other sites cancelled due to poor air quality. Sampling rescheduled for later in the week. </t>
  </si>
  <si>
    <t>20-14-CF01</t>
  </si>
  <si>
    <t>20-14-SBM01</t>
  </si>
  <si>
    <t xml:space="preserve">Tow 4 reduced to 3:30 due to sea lion </t>
  </si>
  <si>
    <t>20-14-SBW01</t>
  </si>
  <si>
    <t>20-14-USSC01</t>
  </si>
  <si>
    <t>20-14-LSSC05</t>
  </si>
  <si>
    <t xml:space="preserve">DSM flash frozen for UCD and swabbed for DNA study. 19 Wakasagi (76-100mm) retained for verification. </t>
  </si>
  <si>
    <t>20-14-LSSC04</t>
  </si>
  <si>
    <t>20-14-RV02</t>
  </si>
  <si>
    <t>Tow 1 was code 2 (tow started 0.13 miles from point due to net issues)</t>
  </si>
  <si>
    <t>20-14-RV01</t>
  </si>
  <si>
    <t>20-14-RV03</t>
  </si>
  <si>
    <t>20-14-CS02</t>
  </si>
  <si>
    <t>20-14-CS01</t>
  </si>
  <si>
    <t>20-14-CS03</t>
  </si>
  <si>
    <t>20-14-SM01</t>
  </si>
  <si>
    <t>20-14-SM02</t>
  </si>
  <si>
    <t>20-14-SM03</t>
  </si>
  <si>
    <t>Tow 1 was code 2 (buoy line twisted around cod end)</t>
  </si>
  <si>
    <t>20-14-SBM02</t>
  </si>
  <si>
    <t>20-14-HB01</t>
  </si>
  <si>
    <t>20-14-CF02</t>
  </si>
  <si>
    <t>20-14-GB02</t>
  </si>
  <si>
    <t xml:space="preserve">Tow 1 redone due to box opening during tow </t>
  </si>
  <si>
    <t>20-14-LNR01</t>
  </si>
  <si>
    <t>20-14-LNR02</t>
  </si>
  <si>
    <t>20-14-SPE02</t>
  </si>
  <si>
    <t>20-14-SPE01</t>
  </si>
  <si>
    <t>20-14-CS04</t>
  </si>
  <si>
    <t>Tow 2 was code 3 (heavy vegetation). Tow 3 reduced to 4 minutes due to heavy vegetation. Only 3 tows performed at this site.</t>
  </si>
  <si>
    <t>20-14-CS06</t>
  </si>
  <si>
    <t>Code 4: Heavy SAV and pilings</t>
  </si>
  <si>
    <t>20-14-CS07</t>
  </si>
  <si>
    <t>20-14-CS05</t>
  </si>
  <si>
    <t>20-14-PP01</t>
  </si>
  <si>
    <t>20-14-LSJ01</t>
  </si>
  <si>
    <t>20-14-LSJ02</t>
  </si>
  <si>
    <t>Tow 2 was code 2 (vegetation in net)</t>
  </si>
  <si>
    <t>20-15-CS02</t>
  </si>
  <si>
    <t>20-15-CS01</t>
  </si>
  <si>
    <t>20-15-CS03</t>
  </si>
  <si>
    <t>Tows 1 and 3 were code 2 (vegetation in net). Tow 4 was code 3 (total blockage due to vegetation). Tow 4 not repeated</t>
  </si>
  <si>
    <t>20-15-PP01</t>
  </si>
  <si>
    <t>20-15-SJT01</t>
  </si>
  <si>
    <t>Tow 1 was code 2 (vegetation in net)</t>
  </si>
  <si>
    <t>20-15-SJT02</t>
  </si>
  <si>
    <t>Tow 3 was code 2 (vegetation in net)</t>
  </si>
  <si>
    <t>20-15-LNR01</t>
  </si>
  <si>
    <t>Tow 3 was code 2 (partial net twist)</t>
  </si>
  <si>
    <t>20-15-SPE01</t>
  </si>
  <si>
    <t>20-15-SPE02</t>
  </si>
  <si>
    <t>20-15-CS06</t>
  </si>
  <si>
    <t>20-15-CS07</t>
  </si>
  <si>
    <t>20-15-CS08</t>
  </si>
  <si>
    <t>20-15-CS04</t>
  </si>
  <si>
    <t>20-15-CS05</t>
  </si>
  <si>
    <t>20-15-SBM04</t>
  </si>
  <si>
    <t>20-15-SBM02</t>
  </si>
  <si>
    <t>20-15-SBW01</t>
  </si>
  <si>
    <t>20-15-SBM01</t>
  </si>
  <si>
    <t>20-15-CQS01</t>
  </si>
  <si>
    <t>Tow 3 was code 2 (boats passed target distance from site while towing)</t>
  </si>
  <si>
    <t>20-15-SM01</t>
  </si>
  <si>
    <t>20-15-GB02</t>
  </si>
  <si>
    <t>61-96</t>
  </si>
  <si>
    <t>20-15-GB01</t>
  </si>
  <si>
    <t>Tow 4 was code 2 (Distance from site exceeded target distance, was 0.7 mi at stop)</t>
  </si>
  <si>
    <t>20-15-CF01</t>
  </si>
  <si>
    <t>20-15-LSR01</t>
  </si>
  <si>
    <t>20-15-LSR02</t>
  </si>
  <si>
    <t>20-15-LSR03</t>
  </si>
  <si>
    <t>20-15-RV04</t>
  </si>
  <si>
    <t>20-15-LSSC03</t>
  </si>
  <si>
    <t>20-15-LSSC02</t>
  </si>
  <si>
    <t>31 Wakasagi (75-98mm) retained for verification. Tow 1 was code 2 (partial blockage due to vegetation)</t>
  </si>
  <si>
    <t>20-15-USSC03</t>
  </si>
  <si>
    <t>20-15-SBM03</t>
  </si>
  <si>
    <t>20-15-GB04</t>
  </si>
  <si>
    <t>20-15-SM02</t>
  </si>
  <si>
    <t>65-69</t>
  </si>
  <si>
    <t>20-15-GB03</t>
  </si>
  <si>
    <t>64-74</t>
  </si>
  <si>
    <t>20-15-RV01</t>
  </si>
  <si>
    <t>20-15-RV03</t>
  </si>
  <si>
    <t>20-15-RV02</t>
  </si>
  <si>
    <t>20-15-USSC02</t>
  </si>
  <si>
    <t>20-15-USSC01</t>
  </si>
  <si>
    <t>20-15-LSSC01</t>
  </si>
  <si>
    <t>20-16-LSR04</t>
  </si>
  <si>
    <t>20-16-LSR03</t>
  </si>
  <si>
    <t>20-16-RV03</t>
  </si>
  <si>
    <t>20-16-RV02</t>
  </si>
  <si>
    <t>20-16-CS01</t>
  </si>
  <si>
    <t>Tows 2 and 3 were code 2 (partial blockage due to vegetation)</t>
  </si>
  <si>
    <t>20-16-CS03</t>
  </si>
  <si>
    <t>Tow 4 was code 2 (partial blockage due to vegetation)</t>
  </si>
  <si>
    <t>20-16-CS02</t>
  </si>
  <si>
    <t>20-16-SM01</t>
  </si>
  <si>
    <t>20-16-GB02</t>
  </si>
  <si>
    <t>20-16-GB01</t>
  </si>
  <si>
    <t>20-16-LSR01</t>
  </si>
  <si>
    <t>20-16-LSR02</t>
  </si>
  <si>
    <t>Tow 1 was code 2 (buoy line wrapped around net)</t>
  </si>
  <si>
    <t>20-16-RV01</t>
  </si>
  <si>
    <t>20-16-CS05</t>
  </si>
  <si>
    <t>20-16-CS06</t>
  </si>
  <si>
    <t>20-16-CS04</t>
  </si>
  <si>
    <t>20-16-GB03</t>
  </si>
  <si>
    <t>20-16-SM02</t>
  </si>
  <si>
    <t>20-16-GB04</t>
  </si>
  <si>
    <t>20-16-CF02</t>
  </si>
  <si>
    <t>20-16-CF01</t>
  </si>
  <si>
    <t>20-16-CF03</t>
  </si>
  <si>
    <t>20-16-LSSC01</t>
  </si>
  <si>
    <t>20-16-LSSC02</t>
  </si>
  <si>
    <t>2 Wakasagi (89-90mm) retained for verification</t>
  </si>
  <si>
    <t>20-16-USSC01</t>
  </si>
  <si>
    <t>20-16-SBM01</t>
  </si>
  <si>
    <t>20-16-SBW01</t>
  </si>
  <si>
    <t>20-16-HB01</t>
  </si>
  <si>
    <t>20-16-SBM02</t>
  </si>
  <si>
    <t>20-16-PP01</t>
  </si>
  <si>
    <t>20-16-SJT01</t>
  </si>
  <si>
    <t>Code 3: Net full of vegetation. No further tows performed</t>
  </si>
  <si>
    <t>20-16-SJT02</t>
  </si>
  <si>
    <t>20-16-LSJ01</t>
  </si>
  <si>
    <t>20-16-LSSC03</t>
  </si>
  <si>
    <t>Tow 4 was code 2 (twist in net)</t>
  </si>
  <si>
    <t>20-16-LSSC04</t>
  </si>
  <si>
    <t>20-16-LSSC05</t>
  </si>
  <si>
    <t>1 Wakasagi (76mm) retained for verification. Tow 1 was code 2 (partial net twist)</t>
  </si>
  <si>
    <t>20-16-SPE01</t>
  </si>
  <si>
    <t>20-16-SPE02</t>
  </si>
  <si>
    <t>20-16-SPE03</t>
  </si>
  <si>
    <t>20-17-PP01</t>
  </si>
  <si>
    <t>20-17-SJT01</t>
  </si>
  <si>
    <t>20-17-SJT02</t>
  </si>
  <si>
    <t>20-17-CS01</t>
  </si>
  <si>
    <t>20-17-CS02</t>
  </si>
  <si>
    <t>20-17-CS03</t>
  </si>
  <si>
    <t xml:space="preserve">Tow 1 was code 2 (partial blockage due to vegetation), Tow 3 was code 3 (full blockage due to vegetaion). Tow 4 not performed. </t>
  </si>
  <si>
    <t>20-17-LNR01</t>
  </si>
  <si>
    <t>20-17-SPE02</t>
  </si>
  <si>
    <t>20-17-SPE01</t>
  </si>
  <si>
    <t>20-17-SBW02</t>
  </si>
  <si>
    <t>Ended sampling after 2 tows due to constant ship traffic</t>
  </si>
  <si>
    <t>20-17-SBM01</t>
  </si>
  <si>
    <t>Tow 1 and 2 were code 2 (twist in net)</t>
  </si>
  <si>
    <t>20-17-SBM04</t>
  </si>
  <si>
    <t>20-17-SBM03</t>
  </si>
  <si>
    <t>20-17-CS04</t>
  </si>
  <si>
    <t>20-17-CS05</t>
  </si>
  <si>
    <t>20-17-CS06</t>
  </si>
  <si>
    <t>20-17-CS07</t>
  </si>
  <si>
    <t>20-17-SBW01</t>
  </si>
  <si>
    <t>20-17-SBM02</t>
  </si>
  <si>
    <t>20-17-HB01</t>
  </si>
  <si>
    <t>Tow 1 was code 2 (buoy line wrapped around net). Tow 2 was reduced to 9 min tow duration due to shallow depth. Ended sampling after 2 tows due to shallow depth at site</t>
  </si>
  <si>
    <t>20-17-SM01</t>
  </si>
  <si>
    <t>1 Wakasagi (98mm) retained for verification. Tows 3/4 not performed due to windy/hazardous conditions; crews out of Rio Vista and Eddos postponed sampling due to wind and will complete sites on Friday Nov 22</t>
  </si>
  <si>
    <t>20-17-LSR01</t>
  </si>
  <si>
    <t>20-17-RV02</t>
  </si>
  <si>
    <t>20-17-RV01</t>
  </si>
  <si>
    <t>20-17-LSSC01</t>
  </si>
  <si>
    <t xml:space="preserve">Tow 1 was code 2 (twist in net). Turbidity meter reading high values </t>
  </si>
  <si>
    <t>20-17-LSSC02</t>
  </si>
  <si>
    <t>1 Wakasagi (85mm) retained for verification</t>
  </si>
  <si>
    <t>20-17-LSSC03</t>
  </si>
  <si>
    <t>44 Wakasagi (82-106mm) retained for verification</t>
  </si>
  <si>
    <t>20-17-SM03</t>
  </si>
  <si>
    <t>62-76</t>
  </si>
  <si>
    <t>20-17-GB03</t>
  </si>
  <si>
    <t>56-65</t>
  </si>
  <si>
    <t>20-17-SM02</t>
  </si>
  <si>
    <t>20-17-GB04</t>
  </si>
  <si>
    <t>72-74</t>
  </si>
  <si>
    <t>20-17-LSSC04</t>
  </si>
  <si>
    <t>20-17-LSSC05</t>
  </si>
  <si>
    <t>27 Wakasagi (81-103mm) retained for verification</t>
  </si>
  <si>
    <t>20-17-USSC01</t>
  </si>
  <si>
    <t>20-17-RV03</t>
  </si>
  <si>
    <t>Tow 4 Code 3: Net full of vegetation. Extra tow performed.</t>
  </si>
  <si>
    <t>20-17-LSR02</t>
  </si>
  <si>
    <t>20-17-LSR03</t>
  </si>
  <si>
    <t>Tow 1 Code 2: Lead line wrapped around bar</t>
  </si>
  <si>
    <t>20-17-GB01</t>
  </si>
  <si>
    <t>67-113</t>
  </si>
  <si>
    <t>Turbidity meter bulb burnt out, no turbidity recording for rest of day.</t>
  </si>
  <si>
    <t>20-17-GB02</t>
  </si>
  <si>
    <t>56-80</t>
  </si>
  <si>
    <t>20-18-LSSC01</t>
  </si>
  <si>
    <t>20-18-USSC02</t>
  </si>
  <si>
    <t>Tow 4 was code 2 (Distance from site exceeded target distance, was 0.8 mi at stop)</t>
  </si>
  <si>
    <t>20-18-USSC01</t>
  </si>
  <si>
    <t>Tow 1 was code 2 (twist in net). Tow 4 was code 2 (Distance from site exceeded target distance, was 0.68 mi at stop)</t>
  </si>
  <si>
    <t>20-18-SM01</t>
  </si>
  <si>
    <t>20-18-SM02</t>
  </si>
  <si>
    <t>20-18-SM03</t>
  </si>
  <si>
    <t>20-18-LSR04</t>
  </si>
  <si>
    <t>Code 4: Too shallow and too much vegetation</t>
  </si>
  <si>
    <t>20-18-LSR03</t>
  </si>
  <si>
    <t>20-18-RV02</t>
  </si>
  <si>
    <t>20-18-RV03</t>
  </si>
  <si>
    <t>20-18-LSR02</t>
  </si>
  <si>
    <t xml:space="preserve">Tow 2 was code 2 (buoy line wrapped around net) </t>
  </si>
  <si>
    <t>20-18-LSR01</t>
  </si>
  <si>
    <t>20-18-RV01</t>
  </si>
  <si>
    <t>20-18-USSC03</t>
  </si>
  <si>
    <t>20-18-LSSC03</t>
  </si>
  <si>
    <t>3 Wakasagi (85-95mm) retained for verification. No secchi. Tow 3 was code 2 (Distance from site exceeded target distance, was 0.64 mi at stop)</t>
  </si>
  <si>
    <t>20-18-LSSC02</t>
  </si>
  <si>
    <t xml:space="preserve">No secchi </t>
  </si>
  <si>
    <t>20-18-SBM02</t>
  </si>
  <si>
    <t>20-18-SBW01</t>
  </si>
  <si>
    <t>20-18-SBW02</t>
  </si>
  <si>
    <t>20-18-SPE01</t>
  </si>
  <si>
    <t>20-18-CQS02</t>
  </si>
  <si>
    <t>Tow 1 was code 2 (partial net twist).</t>
  </si>
  <si>
    <t>20-18-CQS01</t>
  </si>
  <si>
    <t>Tow 4 was code 2 (Distance from site exceeded target distance, was 0.68 mi at stop)</t>
  </si>
  <si>
    <t>20-18-CS02</t>
  </si>
  <si>
    <t>20-18-CS03</t>
  </si>
  <si>
    <t>20-18-CS01</t>
  </si>
  <si>
    <t>20-18-CS04</t>
  </si>
  <si>
    <t>Tow 3 was code 2 (partial blockage due to vegetation). Turbidity meter not working</t>
  </si>
  <si>
    <t>20-18-CF02</t>
  </si>
  <si>
    <t>20-18-HB01</t>
  </si>
  <si>
    <t>20-18-CF01</t>
  </si>
  <si>
    <t>20-18-SBM01</t>
  </si>
  <si>
    <t>20-18-HB02</t>
  </si>
  <si>
    <t>20-18-CS05</t>
  </si>
  <si>
    <t>20-18-CS07</t>
  </si>
  <si>
    <t>Ended tow 1 minute early due to heavy SAV. Not sampling any more tows at this site due to high SAV</t>
  </si>
  <si>
    <t>20-18-CS08</t>
  </si>
  <si>
    <t>Tow 4 was code 2 (Heavy vegetation in net blocking box)</t>
  </si>
  <si>
    <t>20-18-CS06</t>
  </si>
  <si>
    <t>20-18-LSJ02</t>
  </si>
  <si>
    <t>20-18-LSJ01</t>
  </si>
  <si>
    <t>20-18-SJT01</t>
  </si>
  <si>
    <t>Tow 1 was code 2 (buoy line twisted arount net)</t>
  </si>
  <si>
    <t>20-18-GB01</t>
  </si>
  <si>
    <t>20-18-SM05</t>
  </si>
  <si>
    <t>20-18-SM04</t>
  </si>
  <si>
    <t>Note: Reports are based on data sheets that have not completed quality assurance and quality control procedures. Quality Assurance measures will be completed as soon as possible and subsequent reports will indicate any changes (errors) in red.</t>
  </si>
  <si>
    <t>19-45-CS03</t>
  </si>
  <si>
    <t>20 mm</t>
  </si>
  <si>
    <t>Oblique</t>
  </si>
  <si>
    <t>19-45-CS02</t>
  </si>
  <si>
    <t>19-45-CS01</t>
  </si>
  <si>
    <t>19-45-CS05</t>
  </si>
  <si>
    <t>19-45-CS04</t>
  </si>
  <si>
    <t>19-45-PP01</t>
  </si>
  <si>
    <t>19-45-LSJ02</t>
  </si>
  <si>
    <t>19-45-LSSC01</t>
  </si>
  <si>
    <t>One Wakasagi identified at 16 mm</t>
  </si>
  <si>
    <t>19-45-USSC02</t>
  </si>
  <si>
    <t>19-45-USSC01</t>
  </si>
  <si>
    <t>19-45-USSC04</t>
  </si>
  <si>
    <t>19-45-LSSC02</t>
  </si>
  <si>
    <t>19-45-SBM01</t>
  </si>
  <si>
    <t>19-45-SBM02</t>
  </si>
  <si>
    <t>19-45-SBW01</t>
  </si>
  <si>
    <t>19-45-SBW02</t>
  </si>
  <si>
    <t>26.1-32</t>
  </si>
  <si>
    <t>28.6-29</t>
  </si>
  <si>
    <t>Fish in poor condition, unable to obtain proper measurement.</t>
  </si>
  <si>
    <t>19-45-HB01</t>
  </si>
  <si>
    <t>19-45-LSSC06</t>
  </si>
  <si>
    <t>One Wakasagi identified at 14.1 mm</t>
  </si>
  <si>
    <t>19-45-LSSC03</t>
  </si>
  <si>
    <t>19-45-LSSC05</t>
  </si>
  <si>
    <t>WAG</t>
  </si>
  <si>
    <t>Outside ID performed Feb 2020 confirms WAG, not LFS</t>
  </si>
  <si>
    <t>19-45-LSSC04</t>
  </si>
  <si>
    <t>19-45-USSC03</t>
  </si>
  <si>
    <t>19-45-LSJ03</t>
  </si>
  <si>
    <t>19-45-LSJ01</t>
  </si>
  <si>
    <t>19-45-LSJ04</t>
  </si>
  <si>
    <t>19-45-SBM03</t>
  </si>
  <si>
    <t>19-45-HB02</t>
  </si>
  <si>
    <t xml:space="preserve">20 mm </t>
  </si>
  <si>
    <t>19-45-RV01</t>
  </si>
  <si>
    <t>19-45-RV02</t>
  </si>
  <si>
    <t>19-45-LSR01</t>
  </si>
  <si>
    <t>19-45-LSR02</t>
  </si>
  <si>
    <t>19-45-RV03</t>
  </si>
  <si>
    <t>19-45-SM04</t>
  </si>
  <si>
    <t>19-45-SM01</t>
  </si>
  <si>
    <t>19-45-SM03</t>
  </si>
  <si>
    <t>One Wakasagi identified at 23.4 mm</t>
  </si>
  <si>
    <t>19-45-SM02</t>
  </si>
  <si>
    <t>19-45-GB01</t>
  </si>
  <si>
    <t>One Wakasagi identified at 13.7 mm</t>
  </si>
  <si>
    <t>19-46-SM01</t>
  </si>
  <si>
    <t>n/a</t>
  </si>
  <si>
    <t>No bottom water quality measurements obtained due to broken Van Dorn</t>
  </si>
  <si>
    <t>19-46-SM03</t>
  </si>
  <si>
    <t>19-46-SM02</t>
  </si>
  <si>
    <t>19-46-SM04</t>
  </si>
  <si>
    <t>One Wakasagi identified at 16.7 mm</t>
  </si>
  <si>
    <t>19-46-LSSC02</t>
  </si>
  <si>
    <t>19-46-LSSC01</t>
  </si>
  <si>
    <t>One Wakasagi identified at 17 mm</t>
  </si>
  <si>
    <t>19-46-USSC01</t>
  </si>
  <si>
    <t>Tow 1 was code 2 (boats towed past target distance from site)</t>
  </si>
  <si>
    <t>19-46-USSC02</t>
  </si>
  <si>
    <t>One Wakasagi (52 mm) identified in field and returned to laboratory for ID verification</t>
  </si>
  <si>
    <t>19-46-LSSC04</t>
  </si>
  <si>
    <t>19-46-CS01</t>
  </si>
  <si>
    <t>19-46-CS03</t>
  </si>
  <si>
    <t>19-46-CS02</t>
  </si>
  <si>
    <t>Code 4: Too much veg to get to the site</t>
  </si>
  <si>
    <t>19-46-CS04</t>
  </si>
  <si>
    <t>Code 4: Site in veg patch</t>
  </si>
  <si>
    <t>19-46-CS05</t>
  </si>
  <si>
    <t>Tow 1 Code 3: Snagged 3:30 minutes into tow. When sled was freed, cod end was lost. Additional tow done (3 total).</t>
  </si>
  <si>
    <t>19-46-CS06</t>
  </si>
  <si>
    <t>19-46-CS07</t>
  </si>
  <si>
    <t>19-46-LSJ02</t>
  </si>
  <si>
    <t>19-46-LSJ01</t>
  </si>
  <si>
    <t>19-46-SJT01</t>
  </si>
  <si>
    <t>19-46-SJT02</t>
  </si>
  <si>
    <t>19-46-PP01</t>
  </si>
  <si>
    <t>19-46-RV01</t>
  </si>
  <si>
    <t>19-46-RV03</t>
  </si>
  <si>
    <t>Tow 2 not done. Too windy. Sampling was cancelled by Rio Vista crew for remained of day due to high winds. The Pittsburg crew did not sample on 6/13 due to high winds.</t>
  </si>
  <si>
    <t>19-46-SBM01</t>
  </si>
  <si>
    <t>19-46-SBW02</t>
  </si>
  <si>
    <t>19-46-SBW01</t>
  </si>
  <si>
    <t>25-29</t>
  </si>
  <si>
    <t>19-46-SM05</t>
  </si>
  <si>
    <t>19-46-CF01</t>
  </si>
  <si>
    <t>19-46-RV02</t>
  </si>
  <si>
    <t>19-46-LSR01</t>
  </si>
  <si>
    <t>Code 4: Site too choppy</t>
  </si>
  <si>
    <t>19-46-LSR02</t>
  </si>
  <si>
    <t>Code 4: Site too choppy. Code 4 for rest of sites, all too choppy. Bad weather conditions.</t>
  </si>
  <si>
    <t>19-47-RV02</t>
  </si>
  <si>
    <t>19-47-RV03</t>
  </si>
  <si>
    <t>19-47-RV01</t>
  </si>
  <si>
    <t>19-47-RV04</t>
  </si>
  <si>
    <t>19-47-RV05</t>
  </si>
  <si>
    <t>19-47-CF01</t>
  </si>
  <si>
    <t>19-47-HB01</t>
  </si>
  <si>
    <t>19-47-SBW01</t>
  </si>
  <si>
    <t>23-33</t>
  </si>
  <si>
    <t>19-47-SBM01</t>
  </si>
  <si>
    <t>19-47-LSSC05</t>
  </si>
  <si>
    <t>4 Wakasagi identified at 15.8-24.1 mm. Outside ID performed Feb 2020 confirms WAG, not DSM</t>
  </si>
  <si>
    <t>19-47-LSSC06</t>
  </si>
  <si>
    <t>One Wakasagi identified at 22.1 mm</t>
  </si>
  <si>
    <t>19-47-LSSC03</t>
  </si>
  <si>
    <t>19-47-LSSC02</t>
  </si>
  <si>
    <t>19-47-LSSC04</t>
  </si>
  <si>
    <t>No samples collected by second EDSM crew on 6/18 due to boat issues</t>
  </si>
  <si>
    <t>19-47-LSSC01</t>
  </si>
  <si>
    <t>One Wakasagi identified at 20.7</t>
  </si>
  <si>
    <t>19-47-USSC02</t>
  </si>
  <si>
    <t>19-47-USSC01</t>
  </si>
  <si>
    <t>19-47-USSC03</t>
  </si>
  <si>
    <t>19-47-USSC04</t>
  </si>
  <si>
    <t>DSM died after capture and was returned to lab, species ID was verified in lab; 1 Wakasagi identified in field at 31 mm; No samples collected by second EDSM crew on 6/19 due to boat issues</t>
  </si>
  <si>
    <t>Thur</t>
  </si>
  <si>
    <t>19-47-CS03</t>
  </si>
  <si>
    <t>19-47-CS02</t>
  </si>
  <si>
    <t>Tow 1 Was 4 min in duration; Sled hit bottom, was pulled in with 6 min left on timer.</t>
  </si>
  <si>
    <t>19-47-CS01</t>
  </si>
  <si>
    <t>19-47-CS05</t>
  </si>
  <si>
    <t>19-47-CS04</t>
  </si>
  <si>
    <t>19-47-SM03</t>
  </si>
  <si>
    <t>19-47-SM02</t>
  </si>
  <si>
    <t>19-47-SM01</t>
  </si>
  <si>
    <t>Code 3: Boat died while net was going out. Pulled in before max cable length hit, timer never started and no start GPS points taken (target coordinates listed).</t>
  </si>
  <si>
    <t>19-47-LSJ02</t>
  </si>
  <si>
    <t>19-47-LSJ01</t>
  </si>
  <si>
    <t>19-47-SJT01</t>
  </si>
  <si>
    <t>19-47-PP01</t>
  </si>
  <si>
    <t>19-47-SJT02</t>
  </si>
  <si>
    <t>19-48-SM01</t>
  </si>
  <si>
    <t>19-48-SM02</t>
  </si>
  <si>
    <t>19-48-GB01</t>
  </si>
  <si>
    <t>19-48-SM03</t>
  </si>
  <si>
    <t>19-48-GB03</t>
  </si>
  <si>
    <t>19-48-GB02</t>
  </si>
  <si>
    <t>19-48-SM04</t>
  </si>
  <si>
    <t>19-48-RV01</t>
  </si>
  <si>
    <t>19-48-LSR01</t>
  </si>
  <si>
    <t>19-48-LSR02</t>
  </si>
  <si>
    <t>19-48-LSR03</t>
  </si>
  <si>
    <t>Code 4: Restricted towing area</t>
  </si>
  <si>
    <t>19-48-RV02</t>
  </si>
  <si>
    <t>19-48-RV03</t>
  </si>
  <si>
    <t>19-48-CS01</t>
  </si>
  <si>
    <t>Code 4: Restricted towing area. Potentially a lot of snags</t>
  </si>
  <si>
    <t>19-48-CS04</t>
  </si>
  <si>
    <t>19-48-CS03</t>
  </si>
  <si>
    <t>19-48-CS02</t>
  </si>
  <si>
    <t>19-48-CS05</t>
  </si>
  <si>
    <t>19-48-CS06</t>
  </si>
  <si>
    <t>19-48-SJT02</t>
  </si>
  <si>
    <t>19-48-SJT01</t>
  </si>
  <si>
    <t>19-48-PP02</t>
  </si>
  <si>
    <t>19-48-PP01</t>
  </si>
  <si>
    <t>19-48-LSJ01</t>
  </si>
  <si>
    <t>19-48-USSC03</t>
  </si>
  <si>
    <t>19-48-USSC01</t>
  </si>
  <si>
    <t>19-48-USSC02</t>
  </si>
  <si>
    <t>19-48-USSC04</t>
  </si>
  <si>
    <t>19-48-LSSC01</t>
  </si>
  <si>
    <t>19-48-SBM01</t>
  </si>
  <si>
    <t>19-48-SBW02</t>
  </si>
  <si>
    <t>32-34</t>
  </si>
  <si>
    <t>19-48-SBW01</t>
  </si>
  <si>
    <t>30-36</t>
  </si>
  <si>
    <t>19-48-SBW03</t>
  </si>
  <si>
    <t>19-48-LSSC03</t>
  </si>
  <si>
    <t>19-48-LSSC02</t>
  </si>
  <si>
    <t>19-48-SBM02</t>
  </si>
  <si>
    <t>19-48-SBM04</t>
  </si>
  <si>
    <t>19-48-SBM03</t>
  </si>
  <si>
    <t>Avg E/C (µS)</t>
  </si>
  <si>
    <t>19-19-MIW01</t>
  </si>
  <si>
    <t>19-19-FT02</t>
  </si>
  <si>
    <t xml:space="preserve">Code 4: site too shallow </t>
  </si>
  <si>
    <t>19-19-MIW03</t>
  </si>
  <si>
    <t>19-19-FT01</t>
  </si>
  <si>
    <t>19-19-MIW02</t>
  </si>
  <si>
    <t>Code 4: site very heavy with SAV</t>
  </si>
  <si>
    <t>19-19-MIW05</t>
  </si>
  <si>
    <t>19-19-USSC01</t>
  </si>
  <si>
    <t>Tow 3 was code 2: passed out of sample distance by .01</t>
  </si>
  <si>
    <t>19-19-LSSC03</t>
  </si>
  <si>
    <t>53-63</t>
  </si>
  <si>
    <t>1 Wakasagi (89 mm) captured and retained for ID verification</t>
  </si>
  <si>
    <t>19-19-LSSC02</t>
  </si>
  <si>
    <t>19-19-LSSC01</t>
  </si>
  <si>
    <t>Tow 4 was not attempted due to sea lion in sampling area</t>
  </si>
  <si>
    <t>19-19-CQS01</t>
  </si>
  <si>
    <t>Tow 1 was code 2: Buoy twist around box</t>
  </si>
  <si>
    <t>19-19-CQS02</t>
  </si>
  <si>
    <t>19-19-SPE01</t>
  </si>
  <si>
    <t>19-19-LNR01</t>
  </si>
  <si>
    <t>19-19-CQS03</t>
  </si>
  <si>
    <t>Tow 3 was code 2: ended .64 from target</t>
  </si>
  <si>
    <t>19-19-SM02</t>
  </si>
  <si>
    <t>54-108</t>
  </si>
  <si>
    <t>19-19-SM03</t>
  </si>
  <si>
    <t>19-19-SM01</t>
  </si>
  <si>
    <t>19-19-RV01</t>
  </si>
  <si>
    <t>Tow 1 was code 2 (net twisted at box)</t>
  </si>
  <si>
    <t>19-19-LSR01</t>
  </si>
  <si>
    <t>Lower Sacamento River</t>
  </si>
  <si>
    <t>19-19-MRW01</t>
  </si>
  <si>
    <t>19-19-OR01</t>
  </si>
  <si>
    <t>19-19-MIW04</t>
  </si>
  <si>
    <t>19-19-FT04</t>
  </si>
  <si>
    <t>Code 4: site too shallow and vegetation</t>
  </si>
  <si>
    <t>19-19-FT03</t>
  </si>
  <si>
    <t>19-19-PP01</t>
  </si>
  <si>
    <t>19-19-SJT01</t>
  </si>
  <si>
    <t>19-19-SJT02</t>
  </si>
  <si>
    <t>Tow 4 was code 2 (boats went past max distance allowed from target site)</t>
  </si>
  <si>
    <t>19-19-CS03</t>
  </si>
  <si>
    <t>Tows 1-3 were code 2 (partial net blockage by vegetation); tow 4 was code 3 (net completely blocked by vegetation)</t>
  </si>
  <si>
    <t>19-19-CS02</t>
  </si>
  <si>
    <t>19-19-CS01</t>
  </si>
  <si>
    <t>Tows 3 and 4 were code 2 (partial net blockage by vegetation)</t>
  </si>
  <si>
    <t>19-19-SBW01</t>
  </si>
  <si>
    <t>19-19-HB01</t>
  </si>
  <si>
    <t>19-19-CF01</t>
  </si>
  <si>
    <t>19-20-SJT01</t>
  </si>
  <si>
    <t>19-20-LSJ01</t>
  </si>
  <si>
    <t>19-20-LSJ03</t>
  </si>
  <si>
    <t>19-10-PP01</t>
  </si>
  <si>
    <t>Code 4: site was too close to dredging boats</t>
  </si>
  <si>
    <t>19-20-LSR03</t>
  </si>
  <si>
    <t>19-20-LSR01</t>
  </si>
  <si>
    <t>19-20-LSR02</t>
  </si>
  <si>
    <t>19-20-LSR04</t>
  </si>
  <si>
    <t>19-20-SBW01</t>
  </si>
  <si>
    <t>19-20-SBW02</t>
  </si>
  <si>
    <t>19-20-SBM02</t>
  </si>
  <si>
    <t>Longfin Smelt was mortality, brought back to office</t>
  </si>
  <si>
    <t>19-20-LSJ04</t>
  </si>
  <si>
    <t>19-20-LSJ02</t>
  </si>
  <si>
    <t>Tow 3 was code 2 (partial blockage of net with vegetation)</t>
  </si>
  <si>
    <t>19-20-RV04</t>
  </si>
  <si>
    <t>Tow 3 was stopped after 6 min due to sea lion arriving at site; no 4th tow completed due to sea lion</t>
  </si>
  <si>
    <t>19-20-RV02</t>
  </si>
  <si>
    <t>19-20-RV03</t>
  </si>
  <si>
    <t>19-20-RV01</t>
  </si>
  <si>
    <t>19-20-CF01</t>
  </si>
  <si>
    <t>19-20-SBM01</t>
  </si>
  <si>
    <t>19-20-SBM03</t>
  </si>
  <si>
    <t>19-20-FT01</t>
  </si>
  <si>
    <t>19-20-HC02</t>
  </si>
  <si>
    <t>19-20-RS01</t>
  </si>
  <si>
    <t>Tows 1 and 3 were code 2 (twist in net around box)</t>
  </si>
  <si>
    <t>19-20-HC01</t>
  </si>
  <si>
    <t>19-20-CS03</t>
  </si>
  <si>
    <t>19-20-CS01</t>
  </si>
  <si>
    <t>19-20-CS02</t>
  </si>
  <si>
    <t>19-20-GB01</t>
  </si>
  <si>
    <t>19-20-SM01</t>
  </si>
  <si>
    <t>19-20-SM02</t>
  </si>
  <si>
    <t>19-20-SM03</t>
  </si>
  <si>
    <t>19-20-MIW01</t>
  </si>
  <si>
    <t>Tows 2 and 4 were code 2 (twist in net)</t>
  </si>
  <si>
    <t>19-20-MRW01</t>
  </si>
  <si>
    <t>19-20-FT02</t>
  </si>
  <si>
    <t>Tows 1 and 2 were code 3 (net blocked by vegetation)</t>
  </si>
  <si>
    <t>19-20-LSSC03</t>
  </si>
  <si>
    <t>7 Wakasagi (96-111 mm) captured and retained for ID verification; DSM was mortality, returned to the office</t>
  </si>
  <si>
    <t>19-20-LSSC02</t>
  </si>
  <si>
    <t>19-20-LSSC01</t>
  </si>
  <si>
    <t>19-20-CQS02</t>
  </si>
  <si>
    <t>Tow 2 was code 2 (boats went past max distance allowed from target site)</t>
  </si>
  <si>
    <t>19-20-SPE02</t>
  </si>
  <si>
    <t>Tow 2 was code 2 (tow was paused to retrieve a datasheet from water)</t>
  </si>
  <si>
    <t>19-20-SPE01</t>
  </si>
  <si>
    <t>19-20-CQS01</t>
  </si>
  <si>
    <t>19-21-LSSC01</t>
  </si>
  <si>
    <t>19-21-LSSC02</t>
  </si>
  <si>
    <t>17 Wakasagi (88-110 mm) captured and retained for ID verification; DSM was mortality, returned to the office</t>
  </si>
  <si>
    <t>19-21-USSC01</t>
  </si>
  <si>
    <t>19-21-PP02</t>
  </si>
  <si>
    <t>19-21-PP01</t>
  </si>
  <si>
    <t>19-21-SJT01</t>
  </si>
  <si>
    <t>19-21-CQS01</t>
  </si>
  <si>
    <t>no turbidity taken</t>
  </si>
  <si>
    <t>19-21-SPE02</t>
  </si>
  <si>
    <t>19-21-SPE01</t>
  </si>
  <si>
    <t>19-21-CQS02</t>
  </si>
  <si>
    <t>19-21-LSR01</t>
  </si>
  <si>
    <t>Tow 1 was code 2 (tow ended after 5 minutes due to snag, vegetation partially blocked net)</t>
  </si>
  <si>
    <t>19-21-LSR02</t>
  </si>
  <si>
    <t>19-21-RV04</t>
  </si>
  <si>
    <t>19-21-RV03</t>
  </si>
  <si>
    <t>19-21-LSJ02</t>
  </si>
  <si>
    <t>19-21-LSJ03</t>
  </si>
  <si>
    <t>19-21-LSJ01</t>
  </si>
  <si>
    <t>19-21-HB01</t>
  </si>
  <si>
    <t>19-21-CF03</t>
  </si>
  <si>
    <t>19-21-CF02</t>
  </si>
  <si>
    <t>19-21-CF01</t>
  </si>
  <si>
    <t>19-21-RV05</t>
  </si>
  <si>
    <t>19-21-RV01</t>
  </si>
  <si>
    <t>19-21-RV02</t>
  </si>
  <si>
    <t>Tows 1-4 were code 2 (partial blockage of net by floating vegetation)</t>
  </si>
  <si>
    <t>19-21-SBM01</t>
  </si>
  <si>
    <t>19-21-SBW01</t>
  </si>
  <si>
    <t>19-21-SBW02</t>
  </si>
  <si>
    <t>Tow 2 was code 2 (net twist)</t>
  </si>
  <si>
    <t>19-21-FT01</t>
  </si>
  <si>
    <t xml:space="preserve">Tow 4 was code 2 (tow was paused at 6.5 min due to a snag) </t>
  </si>
  <si>
    <t>19-21-MIW03</t>
  </si>
  <si>
    <t>19-21-MIW01</t>
  </si>
  <si>
    <t>Tow 4 was code 2 (vegetation partially blocking cod end)</t>
  </si>
  <si>
    <t>19-21-CS02</t>
  </si>
  <si>
    <t>19-21-CS04</t>
  </si>
  <si>
    <t>19-21-CS01</t>
  </si>
  <si>
    <t>19-21-CS03</t>
  </si>
  <si>
    <t>Code 4: site was unreachable and too shallow to tow</t>
  </si>
  <si>
    <t>19-21-VC01</t>
  </si>
  <si>
    <t>19-21-OR01</t>
  </si>
  <si>
    <t>19-21-MIW02</t>
  </si>
  <si>
    <t>19-21-SM01</t>
  </si>
  <si>
    <t>19-21-SM02</t>
  </si>
  <si>
    <t>DSM was a code 9; was mortality, returned to office</t>
  </si>
  <si>
    <t>52-76</t>
  </si>
  <si>
    <t>3 LFS were code 9</t>
  </si>
  <si>
    <t>19-21-GB01</t>
  </si>
  <si>
    <t>55-71</t>
  </si>
  <si>
    <t>1 LFS (71 mm) was mortality, returned to office</t>
  </si>
  <si>
    <t>19-22-SBM01</t>
  </si>
  <si>
    <t>19-22-HB01</t>
  </si>
  <si>
    <t>71-105</t>
  </si>
  <si>
    <t>19-22-CF01</t>
  </si>
  <si>
    <t>19-22-LSR01</t>
  </si>
  <si>
    <t>19-22-RV02</t>
  </si>
  <si>
    <t>19-22-RV01</t>
  </si>
  <si>
    <t>19-22-PP02</t>
  </si>
  <si>
    <t>Code 4: site had too much vegetation</t>
  </si>
  <si>
    <t>19-22-PP01</t>
  </si>
  <si>
    <t>19-22-SJT01</t>
  </si>
  <si>
    <t>Code 2 on tow #1, twist in net</t>
  </si>
  <si>
    <t>19-22-SJT02</t>
  </si>
  <si>
    <t>Code 2 on tow #2, partial blockage due to veg</t>
  </si>
  <si>
    <t>19-22-CQS01</t>
  </si>
  <si>
    <t>19-22-CQS02</t>
  </si>
  <si>
    <t>19-22-CQS03</t>
  </si>
  <si>
    <t>19-22-SPE01</t>
  </si>
  <si>
    <t>19-22-SPE02</t>
  </si>
  <si>
    <t>Code 4: Waves too rough</t>
  </si>
  <si>
    <t>19-22-CS02</t>
  </si>
  <si>
    <t>Code 2 on tows 1 &amp; 2, net partially blocked with veg. Code 3 on tow 3, total blockage, tow 4 cancelled</t>
  </si>
  <si>
    <t>19-22-CS01</t>
  </si>
  <si>
    <t>19-22-CS03</t>
  </si>
  <si>
    <t>Code 2 on tow 2, partial blockage, Code 3 on tow 3, total blockage, tow 4 cancelled due to wind and excessive veg</t>
  </si>
  <si>
    <t>19-22-LSJ01</t>
  </si>
  <si>
    <t>19-22-LSJ02</t>
  </si>
  <si>
    <t>19-22-SJT03</t>
  </si>
  <si>
    <t>Code 4: Hazardous conditions, high wind</t>
  </si>
  <si>
    <t>19-22-SJT04</t>
  </si>
  <si>
    <t>19-22-GB01</t>
  </si>
  <si>
    <t>54-68</t>
  </si>
  <si>
    <t>19-22-GB02</t>
  </si>
  <si>
    <t>55-84</t>
  </si>
  <si>
    <t>19-22-SM04</t>
  </si>
  <si>
    <t>53-106</t>
  </si>
  <si>
    <t>141-142</t>
  </si>
  <si>
    <t>19-22-SM02</t>
  </si>
  <si>
    <t>58-74</t>
  </si>
  <si>
    <t>19-22-SM03</t>
  </si>
  <si>
    <t>19-22-SM01</t>
  </si>
  <si>
    <t>66-70</t>
  </si>
  <si>
    <t>19-22-USSC01</t>
  </si>
  <si>
    <t>19-22-LSSC01</t>
  </si>
  <si>
    <t>1 WAG (95mm) brought back to the lab</t>
  </si>
  <si>
    <t>19-22-LSSC02</t>
  </si>
  <si>
    <t>19-22-VC01</t>
  </si>
  <si>
    <t>19-22-HC01</t>
  </si>
  <si>
    <t>19-22-FT01</t>
  </si>
  <si>
    <t>19-23-USSC01</t>
  </si>
  <si>
    <t>3 WAGs (98-105 mm) brought back to the lab; Tow 1 was code 3, no more tows completed</t>
  </si>
  <si>
    <t>19-23-LSSC02</t>
  </si>
  <si>
    <t>19-23-USSC02</t>
  </si>
  <si>
    <t>19-23-LSSC01</t>
  </si>
  <si>
    <t>Code 4: Site too close to the Rio Vista ferry; High winds prevented sampling in the Lower San Joaquin and Suisun Marsh today</t>
  </si>
  <si>
    <t>19-23-SM02</t>
  </si>
  <si>
    <t>60-67</t>
  </si>
  <si>
    <t>19-23-SM03</t>
  </si>
  <si>
    <t>66-91</t>
  </si>
  <si>
    <t>19-23-SM01</t>
  </si>
  <si>
    <t>61-79</t>
  </si>
  <si>
    <t>19-23-CS01</t>
  </si>
  <si>
    <t>19-23-CS02</t>
  </si>
  <si>
    <t>19-23-CS05</t>
  </si>
  <si>
    <t>1 Wakasagi (93 mm) captured and retained for ID verification</t>
  </si>
  <si>
    <t>19-23-CS03</t>
  </si>
  <si>
    <t>Code 4: thick vegetation throughout site, unable to tow</t>
  </si>
  <si>
    <t>19-23-CS04</t>
  </si>
  <si>
    <t>19-23-LSJ01</t>
  </si>
  <si>
    <t>19-23-SJT01</t>
  </si>
  <si>
    <t>Tows 2-4 were code 2 (partial blockage of net by vegetation)</t>
  </si>
  <si>
    <t>19-23-PP01</t>
  </si>
  <si>
    <t>19-23-CF01</t>
  </si>
  <si>
    <t>19-23-SBW01</t>
  </si>
  <si>
    <t>19-23-SBM01</t>
  </si>
  <si>
    <t>19-23-SBM02</t>
  </si>
  <si>
    <t>19-23-LSR03</t>
  </si>
  <si>
    <t>CHNT was code 9; tow 1 was code 2 (net twisted)</t>
  </si>
  <si>
    <t>19-23-LSR01</t>
  </si>
  <si>
    <t>CHNT was code 9, no fork length obtained</t>
  </si>
  <si>
    <t>19-23-LSR04</t>
  </si>
  <si>
    <t>19-23-LSR02</t>
  </si>
  <si>
    <t>19-23-LSJ02</t>
  </si>
  <si>
    <t>Tow 4 was code 2 (wing of net had a twist)</t>
  </si>
  <si>
    <t>19-23-LSJ03</t>
  </si>
  <si>
    <t>19-23-PP02</t>
  </si>
  <si>
    <t>19-23-CQS01</t>
  </si>
  <si>
    <t>19-23-SPE01</t>
  </si>
  <si>
    <t>Tow 4 ended after 8 min due to a sea lion arriving near site</t>
  </si>
  <si>
    <t>19-23-SPE02</t>
  </si>
  <si>
    <t>19-23-CQS02</t>
  </si>
  <si>
    <t>19-23-RV02</t>
  </si>
  <si>
    <t>19-23-RV03</t>
  </si>
  <si>
    <t>19-23-RV01</t>
  </si>
  <si>
    <t>19-23-FT01</t>
  </si>
  <si>
    <t>19-23-HC01</t>
  </si>
  <si>
    <t>Tow 1 was code 2 (vegetation in net); Tow 3 was code 2 (boats went past max distance allowed from target site); 4th tow not completed due to tide change and towing area being too shallow and vegetated</t>
  </si>
  <si>
    <t>19-23-MIW01</t>
  </si>
  <si>
    <t>19-24-FT02</t>
  </si>
  <si>
    <t>19-24-FT03</t>
  </si>
  <si>
    <t>Tow 1 was code 2 (float line twisted around net)</t>
  </si>
  <si>
    <t>19-24-FT01</t>
  </si>
  <si>
    <t>Code 4: site too shallow to sample</t>
  </si>
  <si>
    <t>19-24-FT04</t>
  </si>
  <si>
    <t>Code 4: site too shallow to sample and too close to duck blinds</t>
  </si>
  <si>
    <t>19-24-MIW02</t>
  </si>
  <si>
    <t>Tows 2-4 were cancelled because site was too close to a duck blind</t>
  </si>
  <si>
    <t>19-24-LSR01</t>
  </si>
  <si>
    <t>19-24-LSR02</t>
  </si>
  <si>
    <t>19-24-RV02</t>
  </si>
  <si>
    <t>19-24-RV01</t>
  </si>
  <si>
    <t>19-24-SPE01</t>
  </si>
  <si>
    <t>19-24-SPE02</t>
  </si>
  <si>
    <t>19-24-CQS01</t>
  </si>
  <si>
    <t>19-24-CQS02</t>
  </si>
  <si>
    <t>19-24-CQS03</t>
  </si>
  <si>
    <t>19-24-OR01</t>
  </si>
  <si>
    <t>19-24-OR02</t>
  </si>
  <si>
    <t>19-24-VC01</t>
  </si>
  <si>
    <t>19-24-MIW01</t>
  </si>
  <si>
    <t>Code 4: site not sampled due to duck hunters closeby</t>
  </si>
  <si>
    <t>19-24-MIW03</t>
  </si>
  <si>
    <t>19-24-RV05</t>
  </si>
  <si>
    <t>19-24-RV03</t>
  </si>
  <si>
    <t>19-24-RV04</t>
  </si>
  <si>
    <t>19-24-SM02</t>
  </si>
  <si>
    <t>19-24-SM01</t>
  </si>
  <si>
    <t>19-24-GB01</t>
  </si>
  <si>
    <t>58-100</t>
  </si>
  <si>
    <t>Tows 1 and 3 were code 2 (twist in net at box)</t>
  </si>
  <si>
    <t>19-24-SM03</t>
  </si>
  <si>
    <t>Code 4: site too shallow</t>
  </si>
  <si>
    <t>19-24-LSJ01</t>
  </si>
  <si>
    <t>19-24-LSJ04</t>
  </si>
  <si>
    <t>19-24-LSJ02</t>
  </si>
  <si>
    <t>19-24-LSJ05</t>
  </si>
  <si>
    <t>19-24-SJT03</t>
  </si>
  <si>
    <t>19-24-SJT02</t>
  </si>
  <si>
    <t>19-24-LSJ03</t>
  </si>
  <si>
    <t>19-24-CS01</t>
  </si>
  <si>
    <t>19-24-CS02</t>
  </si>
  <si>
    <t>19-24-CS03</t>
  </si>
  <si>
    <t>19-24-SBW02</t>
  </si>
  <si>
    <t>19-24-SBW01</t>
  </si>
  <si>
    <t>19-24-SBM02</t>
  </si>
  <si>
    <t>19-24-PP01</t>
  </si>
  <si>
    <t>19-24-SJT01</t>
  </si>
  <si>
    <t>19-24-PP02</t>
  </si>
  <si>
    <t>19-24-PP04</t>
  </si>
  <si>
    <t>19-24-PP03</t>
  </si>
  <si>
    <t>19-24-LSSC01</t>
  </si>
  <si>
    <t>6 Wakasagi (94-108 mm) captured and retained for ID verification</t>
  </si>
  <si>
    <t>19-24-USSC01</t>
  </si>
  <si>
    <t>19-24-USSC02</t>
  </si>
  <si>
    <t>Code 4: multiple fishing boats at site and thick fog</t>
  </si>
  <si>
    <t>19-24-SBM03</t>
  </si>
  <si>
    <t>19-24-SBM01</t>
  </si>
  <si>
    <t>19-24-CF01</t>
  </si>
  <si>
    <t>19-25-CS04</t>
  </si>
  <si>
    <t>19-25-CS01</t>
  </si>
  <si>
    <t>19-25-CS02</t>
  </si>
  <si>
    <t>1 Wakasagi (102 mm) captured and retained for ID verification</t>
  </si>
  <si>
    <t>19-25-CS03</t>
  </si>
  <si>
    <t>19-25-OR01</t>
  </si>
  <si>
    <t>19-25-FT01</t>
  </si>
  <si>
    <t>Tows 1, 2, and 4 were code 2 (partial blockage of net by vegetation or twist)</t>
  </si>
  <si>
    <t>19-25-FT03</t>
  </si>
  <si>
    <t>19-25-HC01</t>
  </si>
  <si>
    <t>Tow 1 was code 2 (partial net block by vegetation); tows 2 and 3 were code 3 (complete blockage of net), 3rd tow ended after 2.5 min due to vegetation;  4th tow not completed at site</t>
  </si>
  <si>
    <t>19-25-FT02</t>
  </si>
  <si>
    <t>19-25-SM01</t>
  </si>
  <si>
    <t>19-25-SM02</t>
  </si>
  <si>
    <t>19-25-SM03</t>
  </si>
  <si>
    <t>19-25-MIW01</t>
  </si>
  <si>
    <t>19-25-MIW02</t>
  </si>
  <si>
    <t>Turbidity meter not working; tow 1 was code 2 (partial net twist)</t>
  </si>
  <si>
    <t>19-25-HC02</t>
  </si>
  <si>
    <t>19-25-CF01</t>
  </si>
  <si>
    <t>58-103</t>
  </si>
  <si>
    <t>19-25-SBM01</t>
  </si>
  <si>
    <t>19-25-CF02</t>
  </si>
  <si>
    <t>No sampling was completed by a third crew today due to strong winds in the Sac Deep Water Shipping Channel</t>
  </si>
  <si>
    <t>19-25-LSJ01</t>
  </si>
  <si>
    <t>19-25-LSJ05</t>
  </si>
  <si>
    <t>Code 2 on tow 1, partial net twist</t>
  </si>
  <si>
    <t>19-25-LSJ03</t>
  </si>
  <si>
    <t>19-25-LSJ02</t>
  </si>
  <si>
    <t>Code 2 on tows 1 &amp; 2, partial net twist</t>
  </si>
  <si>
    <t>19-25-LSJ04</t>
  </si>
  <si>
    <t>19-25-LSR02</t>
  </si>
  <si>
    <t>19-25-LSR01</t>
  </si>
  <si>
    <t>73- 117</t>
  </si>
  <si>
    <t>E, M, X</t>
  </si>
  <si>
    <t>Expressions: LFS @ FL 104, X; LFS @ FLs 73, 110, E; LFS @ FL 117, M</t>
  </si>
  <si>
    <t>CHNT caught on a code 9</t>
  </si>
  <si>
    <t>19-25-RV02</t>
  </si>
  <si>
    <t>RBTC caught on a code 9</t>
  </si>
  <si>
    <t>19-25-RV01</t>
  </si>
  <si>
    <t>19-25-SBM02</t>
  </si>
  <si>
    <t>19-25-SBW01</t>
  </si>
  <si>
    <t>Code 2 on tow 2 with 1.3 minutes left crossed into Western Delta stratum</t>
  </si>
  <si>
    <t>19-25-SPE01</t>
  </si>
  <si>
    <t>19-25-SJT02</t>
  </si>
  <si>
    <t>19-25-SJT01</t>
  </si>
  <si>
    <t>19-25-PP02</t>
  </si>
  <si>
    <t>19-25-PP01</t>
  </si>
  <si>
    <t>19-25-PP03</t>
  </si>
  <si>
    <t>19-25-LSSC01</t>
  </si>
  <si>
    <t>RBTC caught on a code 9, no fork length provided</t>
  </si>
  <si>
    <t>19-25-LSSC03</t>
  </si>
  <si>
    <t>DSM mort brought back to lab</t>
  </si>
  <si>
    <t>19-25-LSSC02</t>
  </si>
  <si>
    <t>Eight WAGs (97-107 mm FL) brought back to lab</t>
  </si>
  <si>
    <t>19-25-SPE02</t>
  </si>
  <si>
    <t>19-25-CQS01</t>
  </si>
  <si>
    <t>Code 2 on tow 1, twist in net</t>
  </si>
  <si>
    <t>19-26-LSSC01</t>
  </si>
  <si>
    <t>36-37</t>
  </si>
  <si>
    <t>19-26-LSSC02</t>
  </si>
  <si>
    <t>1 Wakasagi (67 mm) captured and retained for ID verification; Tow 1 was code 2 (vegetaion partially blocking net)</t>
  </si>
  <si>
    <t>19-26-LSSC03</t>
  </si>
  <si>
    <t>51-53</t>
  </si>
  <si>
    <t>19-26-SJT01</t>
  </si>
  <si>
    <t>19-26-PP01</t>
  </si>
  <si>
    <t>19-26-PP02</t>
  </si>
  <si>
    <t>19-26-LNR01</t>
  </si>
  <si>
    <t>75-80</t>
  </si>
  <si>
    <t>19-26-LNR02</t>
  </si>
  <si>
    <t>70-86</t>
  </si>
  <si>
    <t>19-26-SPE01</t>
  </si>
  <si>
    <t>19-26-CQS01</t>
  </si>
  <si>
    <t>19-26-CQS02</t>
  </si>
  <si>
    <t>61-83</t>
  </si>
  <si>
    <t>19-26-CF02</t>
  </si>
  <si>
    <t>19-26-CF01</t>
  </si>
  <si>
    <t>19-26-HB01</t>
  </si>
  <si>
    <t>19-26-LSJ01</t>
  </si>
  <si>
    <t>19-26-LSJ03</t>
  </si>
  <si>
    <t>19-26-LSJ02</t>
  </si>
  <si>
    <t>19-26-CS02</t>
  </si>
  <si>
    <t>CHNT was mortality</t>
  </si>
  <si>
    <t>19-26-CS03</t>
  </si>
  <si>
    <t>19-26-CS01</t>
  </si>
  <si>
    <t>19-26-SBW01</t>
  </si>
  <si>
    <t>65-71</t>
  </si>
  <si>
    <t>19-26-SBM01</t>
  </si>
  <si>
    <t>19-26-SBM02</t>
  </si>
  <si>
    <t>74-76</t>
  </si>
  <si>
    <t>37-44</t>
  </si>
  <si>
    <t>CHNF at 37 mm was stage 1, CHNF at 44 mm was stage 3</t>
  </si>
  <si>
    <t>19-26-RV01</t>
  </si>
  <si>
    <t>Tows 1, 2, and 3 were code 2 (partial net blockage by vegetation)</t>
  </si>
  <si>
    <t>19-26-LSR01</t>
  </si>
  <si>
    <t>19-26-LSR03</t>
  </si>
  <si>
    <t>19-26-RV03</t>
  </si>
  <si>
    <t>19-26-MIW02</t>
  </si>
  <si>
    <t>19-26-VC01</t>
  </si>
  <si>
    <t>Tow 1 was code 3 (net blocked by hyacinth); tows 2-4 were code 2 (partial net blockage by hyacinth)</t>
  </si>
  <si>
    <t>19-26-MIW01</t>
  </si>
  <si>
    <t>19-26-GB01</t>
  </si>
  <si>
    <t>19-26-SM01</t>
  </si>
  <si>
    <t>19-26-SM02</t>
  </si>
  <si>
    <t>Tow 3 was code 2 (float line wrapped around net)</t>
  </si>
  <si>
    <t>19-26-RV02</t>
  </si>
  <si>
    <t>1 Wakasagi (98 mm) captured and retained for ID verification</t>
  </si>
  <si>
    <t>19-26-LSR02</t>
  </si>
  <si>
    <t>36-38</t>
  </si>
  <si>
    <t>19-26-LSR04</t>
  </si>
  <si>
    <t>19-26-HC01</t>
  </si>
  <si>
    <t>19-26-HC02</t>
  </si>
  <si>
    <t>19-26-FT01</t>
  </si>
  <si>
    <t>Tow 2 was code 2 (partial twist in net)</t>
  </si>
  <si>
    <t>19-27-PP02</t>
  </si>
  <si>
    <t>37-38</t>
  </si>
  <si>
    <t>Tow 2 was code 2 (partial net block by vegetation)</t>
  </si>
  <si>
    <t>19-27-PP01</t>
  </si>
  <si>
    <t>19-27-SJT01</t>
  </si>
  <si>
    <t>19-27-SJT02</t>
  </si>
  <si>
    <t>1 CHNF at 44 mm was stage 3, other at 44 mm was stage 2</t>
  </si>
  <si>
    <t>19-27-LSR02</t>
  </si>
  <si>
    <t>19-27-RV03</t>
  </si>
  <si>
    <t>19-27-RV02</t>
  </si>
  <si>
    <t>71-79</t>
  </si>
  <si>
    <t>19-27-SM03</t>
  </si>
  <si>
    <t>19-27-SM02</t>
  </si>
  <si>
    <t>19-27-SM01</t>
  </si>
  <si>
    <t>19-27-LSR03</t>
  </si>
  <si>
    <t>19-27-LSR01</t>
  </si>
  <si>
    <t>Tow 4 was code 2 (vegetation partially blocking net)</t>
  </si>
  <si>
    <t>19-27-RV01</t>
  </si>
  <si>
    <t>19-27-LSJ02</t>
  </si>
  <si>
    <t>Tow 1 was code 2 (partial twist at cod end)</t>
  </si>
  <si>
    <t>19-27-LSJ01</t>
  </si>
  <si>
    <t>19-27-SJT03</t>
  </si>
  <si>
    <t>19-27-CF02</t>
  </si>
  <si>
    <t>19-27-CF01</t>
  </si>
  <si>
    <t>RBT was a code 9</t>
  </si>
  <si>
    <t>19-27-HB01</t>
  </si>
  <si>
    <t>19-27-CS02</t>
  </si>
  <si>
    <t>19-27-CS01</t>
  </si>
  <si>
    <t>Tow 1 was code 2 (vegetation blocking box entry)</t>
  </si>
  <si>
    <t>19-27-CS04</t>
  </si>
  <si>
    <t>CHNF was a mortality, returned to the office; tow 1 was code 2 (hycinth blocking box)</t>
  </si>
  <si>
    <t>19-27-CS03</t>
  </si>
  <si>
    <t>19-27-FT03</t>
  </si>
  <si>
    <t>Tows 1, 2, and 4 were code 2 (partial blockage of net by vegetation)</t>
  </si>
  <si>
    <t>19-27-FT01</t>
  </si>
  <si>
    <t>Tows 1 and 2 were code 2 (partial blockage of net by vegetation)</t>
  </si>
  <si>
    <t>19-27-FT02</t>
  </si>
  <si>
    <t>19-27-SBM01</t>
  </si>
  <si>
    <t>65-111</t>
  </si>
  <si>
    <t>19-27-HB02</t>
  </si>
  <si>
    <t>85-96</t>
  </si>
  <si>
    <t>19-27-SBW01</t>
  </si>
  <si>
    <t>19-27-SPE01</t>
  </si>
  <si>
    <t>62-66</t>
  </si>
  <si>
    <t>19-27-LSSC01</t>
  </si>
  <si>
    <t>19-27-LSSC02</t>
  </si>
  <si>
    <t>19-27-LSSC03</t>
  </si>
  <si>
    <t>37-41</t>
  </si>
  <si>
    <t>1 WAG (101 mm) captured and returned to lab</t>
  </si>
  <si>
    <t>19-27-USSC01</t>
  </si>
  <si>
    <t>1 WAG (85 mm) brought back to lab</t>
  </si>
  <si>
    <t>19-27-MIW01</t>
  </si>
  <si>
    <t>Code 2 on tow 4, box mouth blocked by veg, went 0.12 miles beyond target point</t>
  </si>
  <si>
    <t>19-27-GLW01</t>
  </si>
  <si>
    <t>19-27-VC01</t>
  </si>
  <si>
    <t>19-27-SPE03</t>
  </si>
  <si>
    <t>Code 2 on Tow 1, net twist near box</t>
  </si>
  <si>
    <t>19-27-SPE02</t>
  </si>
  <si>
    <t>Code 2 on Tow 1, net twist</t>
  </si>
  <si>
    <t>19-27-CQS01</t>
  </si>
  <si>
    <t>19-28-PP01</t>
  </si>
  <si>
    <t>19-28-SJT02</t>
  </si>
  <si>
    <t>19-28-SJT03</t>
  </si>
  <si>
    <t>19-28-SJT01</t>
  </si>
  <si>
    <t>19-28-CS01</t>
  </si>
  <si>
    <t>19-28-CS02</t>
  </si>
  <si>
    <t>Code 4: Cannot sample site due to obstructions</t>
  </si>
  <si>
    <t>19-28-LNR01</t>
  </si>
  <si>
    <t>19-28-SPE02</t>
  </si>
  <si>
    <t>19-28-CQS01</t>
  </si>
  <si>
    <t>19-28-CQS02</t>
  </si>
  <si>
    <t>19-28-SPE01</t>
  </si>
  <si>
    <t>Code 4: Not sampled due to shallowness and large waves</t>
  </si>
  <si>
    <t>19-28-LSJ02</t>
  </si>
  <si>
    <t>19-28-LSJ01</t>
  </si>
  <si>
    <t>19-28-SJT04</t>
  </si>
  <si>
    <t>RBT was code 9 and no fork length or stage obtained</t>
  </si>
  <si>
    <t>19-28-LSSC03</t>
  </si>
  <si>
    <t>19-28-LSSC02</t>
  </si>
  <si>
    <t>19-28-LSSC01</t>
  </si>
  <si>
    <t>19-28-SBW01</t>
  </si>
  <si>
    <t>19-28-SBW03</t>
  </si>
  <si>
    <t>77-79</t>
  </si>
  <si>
    <t>19-28-SBW02</t>
  </si>
  <si>
    <t>74-75</t>
  </si>
  <si>
    <t>LFS at 74 was not expressing, LFS at 75 expressed eggs</t>
  </si>
  <si>
    <t>19-28-FT01</t>
  </si>
  <si>
    <t>19-28-VC01</t>
  </si>
  <si>
    <t>34-37</t>
  </si>
  <si>
    <t>CHNF at 37 mm was a mortality, brought back to the office</t>
  </si>
  <si>
    <t>19-28-HC01</t>
  </si>
  <si>
    <t>19-28-LSR01</t>
  </si>
  <si>
    <t>19-28-RV02</t>
  </si>
  <si>
    <t>19-28-RV03</t>
  </si>
  <si>
    <t>19-28-HB01</t>
  </si>
  <si>
    <t>19-28-SBM01</t>
  </si>
  <si>
    <t>19-28-SBM02</t>
  </si>
  <si>
    <t>19-28-FT03</t>
  </si>
  <si>
    <t>CHNF was a mortality, returned to the office; tow 1 was code 2 (vegetation blocking box)</t>
  </si>
  <si>
    <t>19-28-OR01</t>
  </si>
  <si>
    <t>19-28-MIW01</t>
  </si>
  <si>
    <t>19-28-FT02</t>
  </si>
  <si>
    <t>Code 4: Site not sampled because could not access it</t>
  </si>
  <si>
    <t>19-28-RV01</t>
  </si>
  <si>
    <t>37-42</t>
  </si>
  <si>
    <t>19-28-CS03</t>
  </si>
  <si>
    <t>Tows 1, 2, and 4 were code 2 (partial net blockage by vegetation)</t>
  </si>
  <si>
    <t>19-28-CS04</t>
  </si>
  <si>
    <t>19-28-GB01</t>
  </si>
  <si>
    <t>19-28-SM02</t>
  </si>
  <si>
    <t>19-28-SM01</t>
  </si>
  <si>
    <t>19-29-LSSC02</t>
  </si>
  <si>
    <t>4 WAGs (94-106 mm) captured and returned to lab</t>
  </si>
  <si>
    <t>19-29-LSSC01</t>
  </si>
  <si>
    <t>38-48</t>
  </si>
  <si>
    <t>1 WAG (114 mm) captured and returned to lab</t>
  </si>
  <si>
    <t>1 adult CHN captured, fork length estimated and immediately released</t>
  </si>
  <si>
    <t>187-225</t>
  </si>
  <si>
    <t>RBT were code 9</t>
  </si>
  <si>
    <t>19-29-LSSC03</t>
  </si>
  <si>
    <t>19-29-LSJ05</t>
  </si>
  <si>
    <t>19-29-LSJ03</t>
  </si>
  <si>
    <t>19-29-LSJ06</t>
  </si>
  <si>
    <t>19-29-LSJ04</t>
  </si>
  <si>
    <t>19-29-SM04</t>
  </si>
  <si>
    <t>19-29-SM01</t>
  </si>
  <si>
    <t>Tow 1 was code 2 (twist at cod end)</t>
  </si>
  <si>
    <t>19-29-SM03</t>
  </si>
  <si>
    <t>w</t>
  </si>
  <si>
    <t>19-29-SM02</t>
  </si>
  <si>
    <t>19-29-LSJ01</t>
  </si>
  <si>
    <t>19-29-LSJ02</t>
  </si>
  <si>
    <t>19-29-PP01</t>
  </si>
  <si>
    <t>CHNF was code 9</t>
  </si>
  <si>
    <t>19-29-SBM04</t>
  </si>
  <si>
    <t>19-29-SBW01</t>
  </si>
  <si>
    <t>19-29-SBM03</t>
  </si>
  <si>
    <t>19-29-SBM01</t>
  </si>
  <si>
    <t>19-29-RV01</t>
  </si>
  <si>
    <t>37-43</t>
  </si>
  <si>
    <t>1 CHNF at 40 mm was stage 3, other at 37 mm was stage 2</t>
  </si>
  <si>
    <t>19-29-RV02</t>
  </si>
  <si>
    <t>19-29-LSR01</t>
  </si>
  <si>
    <t>DSM was mortality, brought back to office</t>
  </si>
  <si>
    <t>19-29-RV03</t>
  </si>
  <si>
    <t>19-29-FT01</t>
  </si>
  <si>
    <t>Code 2 on tow 1, twist in net and buoy wrapped around</t>
  </si>
  <si>
    <t>19-29-VC01</t>
  </si>
  <si>
    <t>19-29-CS01</t>
  </si>
  <si>
    <t>Code 2 on all 4 tows, lots of veg. One WAG at FL98 mm caught on tow 1</t>
  </si>
  <si>
    <t>19-29-CS02</t>
  </si>
  <si>
    <t>19-29-CQS02</t>
  </si>
  <si>
    <t>Code 3 on tow tow 2, net not fishing properly, buoy came off net bar. Tow 4 cancelled due to rough conditions</t>
  </si>
  <si>
    <t>19-29-CQS01</t>
  </si>
  <si>
    <t>19-30-LSSC01</t>
  </si>
  <si>
    <t>34-35</t>
  </si>
  <si>
    <t>19-30-LSSC03</t>
  </si>
  <si>
    <t>19-30-LSSC02</t>
  </si>
  <si>
    <t>Two WAGs captured tows 3 &amp; 4 with fl of 97 &amp; 95 mm, respectrively</t>
  </si>
  <si>
    <t>19-30-LSJ02</t>
  </si>
  <si>
    <t>19-30-LSJ01</t>
  </si>
  <si>
    <t>19-30-SJT02</t>
  </si>
  <si>
    <t>19-30-SJT01</t>
  </si>
  <si>
    <t>19-30-SM02</t>
  </si>
  <si>
    <t>CHN</t>
  </si>
  <si>
    <t>19-30-SM01</t>
  </si>
  <si>
    <t>19-30-SM03</t>
  </si>
  <si>
    <t>34-55</t>
  </si>
  <si>
    <t>2,3</t>
  </si>
  <si>
    <t>19-30-LSR02</t>
  </si>
  <si>
    <t>1,2</t>
  </si>
  <si>
    <t>19-30-LSR01</t>
  </si>
  <si>
    <t>Code 2 on tow 2, heavy veg blocking mouth of box</t>
  </si>
  <si>
    <t>19-30-RV03</t>
  </si>
  <si>
    <t>19-30-SJT04</t>
  </si>
  <si>
    <t>34-36</t>
  </si>
  <si>
    <t>Conductivity and temperature taken from only one sample</t>
  </si>
  <si>
    <t>19-30-SJT03</t>
  </si>
  <si>
    <t>19-30-PP01</t>
  </si>
  <si>
    <t>19-30-SPE02</t>
  </si>
  <si>
    <t>74-87</t>
  </si>
  <si>
    <t>19-30-SPE01</t>
  </si>
  <si>
    <t>19-30-LNR01</t>
  </si>
  <si>
    <t>73-88</t>
  </si>
  <si>
    <t>19-30-SPE03</t>
  </si>
  <si>
    <t>72-80</t>
  </si>
  <si>
    <t>19-30-RV01</t>
  </si>
  <si>
    <t>36-56</t>
  </si>
  <si>
    <t>19-30-RV02</t>
  </si>
  <si>
    <t>37-39</t>
  </si>
  <si>
    <t>19-30-RV04</t>
  </si>
  <si>
    <t>33-37</t>
  </si>
  <si>
    <t>19-30-SBW01</t>
  </si>
  <si>
    <t>DSM Expression not checked</t>
  </si>
  <si>
    <t>19-30-SBM01</t>
  </si>
  <si>
    <t>19-30-SBM03</t>
  </si>
  <si>
    <t>19-30-SBW02</t>
  </si>
  <si>
    <t>19-30-VC02</t>
  </si>
  <si>
    <t>Tow 1 was 9 min 30 sec due to vegetation; tow 2 was 4 min 20 sec due to vegetation and was a Code 3; tows 3 and 4 not completed</t>
  </si>
  <si>
    <t>19-30-FT01</t>
  </si>
  <si>
    <t>Code 4: Site too shallow and vegetated to sample</t>
  </si>
  <si>
    <t>19-30-FT03</t>
  </si>
  <si>
    <t>19-30-RS01</t>
  </si>
  <si>
    <t>Code 4: Site too shallow and vegetated to sample; no more sampling completed in stratum today due to boat issues</t>
  </si>
  <si>
    <t>19-30-CS02</t>
  </si>
  <si>
    <t>19-30-CS01</t>
  </si>
  <si>
    <t>19-30-CS04</t>
  </si>
  <si>
    <t>19-30-CS03</t>
  </si>
  <si>
    <t>Tow 1 was code 3 (net full of vegetation); no more tows completed due to thick vegetation</t>
  </si>
  <si>
    <t>19-30-VC01</t>
  </si>
  <si>
    <t>19-30-MIW01</t>
  </si>
  <si>
    <t>19-30-MIW02</t>
  </si>
  <si>
    <t>19-30-CF01</t>
  </si>
  <si>
    <t>19-30-HB01</t>
  </si>
  <si>
    <t>19-30-SBM02</t>
  </si>
  <si>
    <t>19-31-USSC01</t>
  </si>
  <si>
    <t>19-31-LSSC02</t>
  </si>
  <si>
    <t>19-31-LSSC01</t>
  </si>
  <si>
    <t>196-218</t>
  </si>
  <si>
    <t>57-58</t>
  </si>
  <si>
    <t>19-31-GB01</t>
  </si>
  <si>
    <t>19-31-SM02</t>
  </si>
  <si>
    <t>19-31-SM01</t>
  </si>
  <si>
    <t>CHNF was mortality</t>
  </si>
  <si>
    <t>19-31-FT01</t>
  </si>
  <si>
    <t>Tows 1 and 3 were code 2 (partial blockage of net by vegetation)</t>
  </si>
  <si>
    <t>19-31-OR01</t>
  </si>
  <si>
    <t>19-31-VC01</t>
  </si>
  <si>
    <t>19-31-RS01</t>
  </si>
  <si>
    <t>Tow 1 was code 2 (partial blockage of net by vegetation)</t>
  </si>
  <si>
    <t>19-31-FT03</t>
  </si>
  <si>
    <t>19-31-FT02</t>
  </si>
  <si>
    <t>19-31-CS03</t>
  </si>
  <si>
    <t>Tows 1-4 were code 2 (vegetation partially blocking net)</t>
  </si>
  <si>
    <t>19-31-CS02</t>
  </si>
  <si>
    <t>Tow 1 was code 2 (vegetation partially blocking box)</t>
  </si>
  <si>
    <t>19-31-CS01</t>
  </si>
  <si>
    <t>19-31-SBM02</t>
  </si>
  <si>
    <t>69-108</t>
  </si>
  <si>
    <t xml:space="preserve">Tow 2 was ended after 3 min 30 sec due to sea lion in area; tows resumed after sea lion left and waiting period ended. </t>
  </si>
  <si>
    <t>19-31-SBW01</t>
  </si>
  <si>
    <t>19-31-CF01</t>
  </si>
  <si>
    <t>183-200</t>
  </si>
  <si>
    <t>19-31-SBM01</t>
  </si>
  <si>
    <t>Tow 4 was code 2 (net twisted at box)</t>
  </si>
  <si>
    <t>19-31-SBW02</t>
  </si>
  <si>
    <t>19-31-SBM03</t>
  </si>
  <si>
    <t>LFS was code 9 and was a mortality, returned to the office; Sampling by crews in the Lower San Joaquin and Lower Sacramento strata was cancelled today due to high winds</t>
  </si>
  <si>
    <t>19-31-RV02</t>
  </si>
  <si>
    <t>34-38</t>
  </si>
  <si>
    <t>19-31-RV01</t>
  </si>
  <si>
    <t>Tow 3 was code 2 (boats went past max distance allowed from target site)</t>
  </si>
  <si>
    <t>35-43</t>
  </si>
  <si>
    <t>4 CHNF were dead upon capture</t>
  </si>
  <si>
    <t>CHN was code 9</t>
  </si>
  <si>
    <t>19-31-LSR01</t>
  </si>
  <si>
    <t>35-41</t>
  </si>
  <si>
    <t>2 CHNF were dead upon capture</t>
  </si>
  <si>
    <t>19-31-PP01</t>
  </si>
  <si>
    <t>35-42</t>
  </si>
  <si>
    <t>19-31-SJT01</t>
  </si>
  <si>
    <t>19-31-LSJ01</t>
  </si>
  <si>
    <t>19-31-SPE01</t>
  </si>
  <si>
    <t>19-31-SPE02</t>
  </si>
  <si>
    <t>65-74</t>
  </si>
  <si>
    <t>19-31-LNR01</t>
  </si>
  <si>
    <t>19-31-PP02</t>
  </si>
  <si>
    <t>40-59</t>
  </si>
  <si>
    <t>CHNF at 40mm was stage 2, at 59mm was stage 4</t>
  </si>
  <si>
    <t>19-31-LSJ03</t>
  </si>
  <si>
    <t>CHNF at 37mm was stage 2, CHNF at 43mm was stage 3</t>
  </si>
  <si>
    <t>19-31-LSJ02</t>
  </si>
  <si>
    <t>19-32-CS03</t>
  </si>
  <si>
    <t>Tows 1 and 2 ended early (after 5 min 30 sec of towing and 6 min 45 sec of towing, respectively) due to vegetation; tow 3 ended after 7 min 30 sec due to sea lion arriving in area</t>
  </si>
  <si>
    <t>19-32-CS01</t>
  </si>
  <si>
    <t>19-32-CS02</t>
  </si>
  <si>
    <t>19-32-LSJ01</t>
  </si>
  <si>
    <t>19-32-LSJ03</t>
  </si>
  <si>
    <t>19-32-LSJ02</t>
  </si>
  <si>
    <t>36-47</t>
  </si>
  <si>
    <t>1 CHNF (at 45 mm) was code 9; tow 3 was code 2 (boats went past max distance allowed from target site)</t>
  </si>
  <si>
    <t xml:space="preserve">CHNS was code 9 </t>
  </si>
  <si>
    <t>19-32-LSJ04</t>
  </si>
  <si>
    <t>164-210</t>
  </si>
  <si>
    <t>19-32-LNR01</t>
  </si>
  <si>
    <t>19-32-CQS01</t>
  </si>
  <si>
    <t>19-32-SPE01</t>
  </si>
  <si>
    <t>19-32-SPE02</t>
  </si>
  <si>
    <t>76-83</t>
  </si>
  <si>
    <t>19-32-LSR04</t>
  </si>
  <si>
    <t>Code 2 on tow 1; partial net twist</t>
  </si>
  <si>
    <t>19-32-LSR01</t>
  </si>
  <si>
    <t>19-32-LSR03</t>
  </si>
  <si>
    <t>19-32-SBM02</t>
  </si>
  <si>
    <t>19-32-SBW01</t>
  </si>
  <si>
    <t>38,45</t>
  </si>
  <si>
    <t>Code 2 on tow 3, exceeded net distance from target point</t>
  </si>
  <si>
    <t>19-32-CQS02</t>
  </si>
  <si>
    <t>19-32-PP01</t>
  </si>
  <si>
    <t>19-32-LSJ05</t>
  </si>
  <si>
    <t>RBT caught on a code 9</t>
  </si>
  <si>
    <t>19-32-SJT01</t>
  </si>
  <si>
    <t>35-49</t>
  </si>
  <si>
    <t>LFS too small to be expressed (&lt;65mm)</t>
  </si>
  <si>
    <t>19-32-LSR02</t>
  </si>
  <si>
    <t>37,42</t>
  </si>
  <si>
    <t>19-32-RV02</t>
  </si>
  <si>
    <t>19-32-RV01</t>
  </si>
  <si>
    <t>19-32-SBM03</t>
  </si>
  <si>
    <t>84,98</t>
  </si>
  <si>
    <t>M,X</t>
  </si>
  <si>
    <t>Code 2 on tow 3, net twisted</t>
  </si>
  <si>
    <t>19-32-SBM01</t>
  </si>
  <si>
    <t>19-32-CF01</t>
  </si>
  <si>
    <t>38,43</t>
  </si>
  <si>
    <t>19-32-FT03</t>
  </si>
  <si>
    <t xml:space="preserve">RBT caught on a code 9. Code 2 on all four tows; elodea plug in front of live box </t>
  </si>
  <si>
    <t>19-32-FT01</t>
  </si>
  <si>
    <t>Code 3 on tow 1 due to too much veg in net. Other 3 tows cancelled due to excessive veg in area</t>
  </si>
  <si>
    <t>19-32-FT04</t>
  </si>
  <si>
    <t>Code 2 on tows 3&amp;4 veg partial block in net</t>
  </si>
  <si>
    <t>19-32-USSC01</t>
  </si>
  <si>
    <t>19-32-LSSC01</t>
  </si>
  <si>
    <t>19-32-LSSC02</t>
  </si>
  <si>
    <t>56,59</t>
  </si>
  <si>
    <t>226,---</t>
  </si>
  <si>
    <t>5,--</t>
  </si>
  <si>
    <t>One RBT caught on a code 9, lost before measured</t>
  </si>
  <si>
    <t>19-32-SM02</t>
  </si>
  <si>
    <t>One WAG (106 mm) caught and returned to office for verification</t>
  </si>
  <si>
    <t>62-64</t>
  </si>
  <si>
    <t>3,4</t>
  </si>
  <si>
    <t>Code 2 on tow 3, buoy wrapped around net</t>
  </si>
  <si>
    <t>19-32-SM03</t>
  </si>
  <si>
    <t>37-57</t>
  </si>
  <si>
    <t>One CHNF caught on a code 9</t>
  </si>
  <si>
    <t>19-32-SM01</t>
  </si>
  <si>
    <t>37-58</t>
  </si>
  <si>
    <t>Code 2 on tow 2, went over target (0.56 m)</t>
  </si>
  <si>
    <t>19-32-FT02</t>
  </si>
  <si>
    <t>Code 2 on tow 1, twist in net &amp; buoy wrapped around net</t>
  </si>
  <si>
    <t>19-32-VC01</t>
  </si>
  <si>
    <t>19-32-MIW01</t>
  </si>
  <si>
    <t>19-33-SM02</t>
  </si>
  <si>
    <t>19-33-SM03</t>
  </si>
  <si>
    <t>19-33-SM01</t>
  </si>
  <si>
    <t>37-48</t>
  </si>
  <si>
    <t>CHNF at 37 mm was stage 2, CHNF at 45 and 47 were stage 4</t>
  </si>
  <si>
    <t>19-33-CS02</t>
  </si>
  <si>
    <t>19-33-CS03</t>
  </si>
  <si>
    <t>Tow 1 was code 3 (heavy vegetation blocking net); tows 2-4 were not completed</t>
  </si>
  <si>
    <t>19-33-CS04</t>
  </si>
  <si>
    <t>19-33-CS01</t>
  </si>
  <si>
    <t>Tows 3 and 4 were not completed due to high flows causing difficulty towing within the target distance from site</t>
  </si>
  <si>
    <t>19-33-FT03</t>
  </si>
  <si>
    <t>19-33-FT01</t>
  </si>
  <si>
    <t>Tow 4 was code 2 (vegetation blocking box)</t>
  </si>
  <si>
    <t>19-33-FT02</t>
  </si>
  <si>
    <t>19-33-MIW01</t>
  </si>
  <si>
    <t>19-33-MRW01</t>
  </si>
  <si>
    <t>19-33-HC01</t>
  </si>
  <si>
    <t>19-33-LSSC02</t>
  </si>
  <si>
    <t>19-33-LSSC01</t>
  </si>
  <si>
    <t>19-33-LSSC03</t>
  </si>
  <si>
    <t>19-33-SBW01</t>
  </si>
  <si>
    <t>194-242</t>
  </si>
  <si>
    <t>1 RBT (at 219 mm) was code 9</t>
  </si>
  <si>
    <t>19-33-SBM03</t>
  </si>
  <si>
    <t>212-231</t>
  </si>
  <si>
    <t>19-33-SBM02</t>
  </si>
  <si>
    <t>19-33-LSR02</t>
  </si>
  <si>
    <t>19-33-LSR01</t>
  </si>
  <si>
    <t>31-32</t>
  </si>
  <si>
    <t>19-33-LSR03</t>
  </si>
  <si>
    <t>36-48</t>
  </si>
  <si>
    <t>CHNF at 36 mm was stage 2 and at 48 mm was stage 3</t>
  </si>
  <si>
    <t>19-33-SJT02</t>
  </si>
  <si>
    <t>Tow 1 was code 2 (net twist at box)</t>
  </si>
  <si>
    <t>19-33-SJT01</t>
  </si>
  <si>
    <t>228-250</t>
  </si>
  <si>
    <t>4 RBT were code 9</t>
  </si>
  <si>
    <t>19-33-LSJ02</t>
  </si>
  <si>
    <t>38-41</t>
  </si>
  <si>
    <t>19-33-CF01</t>
  </si>
  <si>
    <t>Tow 4 was code 2 (float line wrapped around net)</t>
  </si>
  <si>
    <t>19-33-SBM01</t>
  </si>
  <si>
    <t>19-33-CQS01</t>
  </si>
  <si>
    <t>178-205</t>
  </si>
  <si>
    <t>19-33-LSJ01</t>
  </si>
  <si>
    <t>39-42</t>
  </si>
  <si>
    <t>No turbidity readings due to meter malfunction</t>
  </si>
  <si>
    <t>19-33-LSJ03</t>
  </si>
  <si>
    <t>29-47</t>
  </si>
  <si>
    <t>19-33-LSJ04</t>
  </si>
  <si>
    <t>19-33-RV03</t>
  </si>
  <si>
    <t>19-33-RV01</t>
  </si>
  <si>
    <t>19-33-RV02</t>
  </si>
  <si>
    <t>19-33-LNR01</t>
  </si>
  <si>
    <t>68-78</t>
  </si>
  <si>
    <t>1 LFS at 78 mm was a mortality, brought back to the lab for verification</t>
  </si>
  <si>
    <t>19-33-SPE02</t>
  </si>
  <si>
    <t>61-78</t>
  </si>
  <si>
    <t>19-33-SPE01</t>
  </si>
  <si>
    <t>226-243</t>
  </si>
  <si>
    <t>tows 1-4 were code 2 (boats went past max distance allowed from target site)</t>
  </si>
  <si>
    <t>19-34-OR02</t>
  </si>
  <si>
    <t>Tow 1 was code 2 (vegetation in net), tow was cut short to 4 min 30 sec</t>
  </si>
  <si>
    <t>19-34-OR01</t>
  </si>
  <si>
    <t>19-34-GLW01</t>
  </si>
  <si>
    <t>19-34-LSR01</t>
  </si>
  <si>
    <t>19-34-LSR02</t>
  </si>
  <si>
    <t>73-79</t>
  </si>
  <si>
    <t>19-34-RV02</t>
  </si>
  <si>
    <t>19-34-SPE02</t>
  </si>
  <si>
    <t>32-48</t>
  </si>
  <si>
    <t>19-34-SPE01</t>
  </si>
  <si>
    <t>19-34-SPE03</t>
  </si>
  <si>
    <t>19-34-CQS01</t>
  </si>
  <si>
    <t>19-34-RV03</t>
  </si>
  <si>
    <t>19-34-RV04</t>
  </si>
  <si>
    <t>19-34-RV01</t>
  </si>
  <si>
    <t>19-34-MIW01</t>
  </si>
  <si>
    <t>50-64</t>
  </si>
  <si>
    <t>2 CHNF at 50 and 64 were code 9</t>
  </si>
  <si>
    <t>19-34-HC02</t>
  </si>
  <si>
    <t>Tow 1 was code 2 (net twisted); tow 2 was code 3 (net caught on something submerged and tow cut short to 1 min 30 sec); tow 3 was code 3 (heavy vegetation); tow 4 not completed</t>
  </si>
  <si>
    <t>19-34-HC01</t>
  </si>
  <si>
    <t>Tow 4 was code 2 (net twisted)</t>
  </si>
  <si>
    <t>19-34-SBM01</t>
  </si>
  <si>
    <t>19-34-CF01</t>
  </si>
  <si>
    <t>19-34-CF02</t>
  </si>
  <si>
    <t>19-34-CS02</t>
  </si>
  <si>
    <t>19-34-CS03</t>
  </si>
  <si>
    <t>19-34-CS01</t>
  </si>
  <si>
    <t>Tows 1 &amp; 2 shortened to 7 min. tows due to high flows</t>
  </si>
  <si>
    <t>19-34-LSJ01</t>
  </si>
  <si>
    <t>Conductivity for tow 1 likely incorrect (45.2), lowered average</t>
  </si>
  <si>
    <t>19-34-LSJ03</t>
  </si>
  <si>
    <t>19-34-LSJ02</t>
  </si>
  <si>
    <t>19-34-LSJ04</t>
  </si>
  <si>
    <t>19-34-SBW02</t>
  </si>
  <si>
    <t>19-34-SBW01</t>
  </si>
  <si>
    <t>19-34-HB01</t>
  </si>
  <si>
    <t>19-34-USSC01</t>
  </si>
  <si>
    <t>19-34-LSSC02</t>
  </si>
  <si>
    <t>19-34-LSSC01</t>
  </si>
  <si>
    <t>19-34-PP02</t>
  </si>
  <si>
    <t>Tows 1-4: crews towed across the stratum boundary line into the Southern Delta stratum</t>
  </si>
  <si>
    <t>19-34-PP03</t>
  </si>
  <si>
    <t>19-34-PP01</t>
  </si>
  <si>
    <t>19-34-GB01</t>
  </si>
  <si>
    <t>19-34-SM02</t>
  </si>
  <si>
    <t>19-34-SM01</t>
  </si>
  <si>
    <t>19-35-GB01</t>
  </si>
  <si>
    <t>41-44</t>
  </si>
  <si>
    <t>19-35-SM02</t>
  </si>
  <si>
    <t>19-35-SM01</t>
  </si>
  <si>
    <t>19-35-CS02</t>
  </si>
  <si>
    <t>19-35-CS01</t>
  </si>
  <si>
    <t>19-35-CS03</t>
  </si>
  <si>
    <t>19-35-GLW01</t>
  </si>
  <si>
    <t>19-35-MR01</t>
  </si>
  <si>
    <t>19-35-MR02</t>
  </si>
  <si>
    <t>19-35-MIW01</t>
  </si>
  <si>
    <t>19-35-MIW02</t>
  </si>
  <si>
    <t>19-35-FT01</t>
  </si>
  <si>
    <t>19-35-LSR01</t>
  </si>
  <si>
    <t>19-35-RV02</t>
  </si>
  <si>
    <t>19-35-RV01</t>
  </si>
  <si>
    <t>Tow 2 was shortened to 5 min due to sea lion arrival</t>
  </si>
  <si>
    <t>19-35-SBW01</t>
  </si>
  <si>
    <t>19-35-SBM01</t>
  </si>
  <si>
    <t>19-35-HB02</t>
  </si>
  <si>
    <t>19-35-LSR02</t>
  </si>
  <si>
    <t>19-35-LSR03</t>
  </si>
  <si>
    <t>19-35-LSR04</t>
  </si>
  <si>
    <t>19-35-LSJ01</t>
  </si>
  <si>
    <t>19-35-LSJ02</t>
  </si>
  <si>
    <t>19-35-LSJ03</t>
  </si>
  <si>
    <t>19-35-HB01</t>
  </si>
  <si>
    <t>19-35-CF02</t>
  </si>
  <si>
    <t>19-35-CF01</t>
  </si>
  <si>
    <t>Tow ended after 8 min due to boat issues; no more tows completed at site</t>
  </si>
  <si>
    <t>19-35-SJT01</t>
  </si>
  <si>
    <t>19-35-PP01</t>
  </si>
  <si>
    <t>19-35-PP02</t>
  </si>
  <si>
    <t>19-35-SPE01</t>
  </si>
  <si>
    <t>19-35-SPE03</t>
  </si>
  <si>
    <t>19-35-SPE02</t>
  </si>
  <si>
    <t>19-35-USSC02</t>
  </si>
  <si>
    <t>Tow 2 was code 2 (float line wrapped around net)</t>
  </si>
  <si>
    <t>19-35-USSC01</t>
  </si>
  <si>
    <t>19-35-LSSC01</t>
  </si>
  <si>
    <t>18-49-CS03</t>
  </si>
  <si>
    <t>18-49-CS05</t>
  </si>
  <si>
    <t>18-49-CS06</t>
  </si>
  <si>
    <t>Tow 1 was code 3 - lots of vegetation on lead line. No more tows completed due to shallowness and dense vegetation</t>
  </si>
  <si>
    <t>18-49-RV03</t>
  </si>
  <si>
    <t>18-49-RV01</t>
  </si>
  <si>
    <t>Tow 1 was code 2 (partial blockage of net by debris)</t>
  </si>
  <si>
    <t>18-49-RV02</t>
  </si>
  <si>
    <t>Ended sampling after 5th tow due to high winds</t>
  </si>
  <si>
    <t>18-49-CF02</t>
  </si>
  <si>
    <t>1 DSM flash frozen for UCDavis</t>
  </si>
  <si>
    <t>18-49-CF01</t>
  </si>
  <si>
    <t>18-49-CS02</t>
  </si>
  <si>
    <t>Tows 2 and 5 were code 2 (twist in net)</t>
  </si>
  <si>
    <t>18-49-CS04</t>
  </si>
  <si>
    <t>18-49-CS01</t>
  </si>
  <si>
    <t>18-49-HB01</t>
  </si>
  <si>
    <t>18-49-SBW02</t>
  </si>
  <si>
    <t>18-49-SBW01</t>
  </si>
  <si>
    <t>Code 4: site behind a large freighter, no access to site</t>
  </si>
  <si>
    <t>18-49-SBW03</t>
  </si>
  <si>
    <t>18-49-HB02</t>
  </si>
  <si>
    <t>Sampling stopped after tow 2 due to high wind and waves</t>
  </si>
  <si>
    <t>18-49-LSR02</t>
  </si>
  <si>
    <t>Lower Sacramneto River</t>
  </si>
  <si>
    <t>18-49-LSR01</t>
  </si>
  <si>
    <t>18-49-SM01</t>
  </si>
  <si>
    <t>One Wakasagi captured (60 mm) and retained for ID verification</t>
  </si>
  <si>
    <t>18-49-SM02</t>
  </si>
  <si>
    <t>18-49-GB04</t>
  </si>
  <si>
    <t>18-49-USSC01</t>
  </si>
  <si>
    <t>18-49-LSSC02</t>
  </si>
  <si>
    <t>18-49-LSSC03</t>
  </si>
  <si>
    <t>34-44</t>
  </si>
  <si>
    <t>1 DSM (34 mm) retained for ID verification; 4 DSM flash frozen for UCD</t>
  </si>
  <si>
    <t>18-49-PP01</t>
  </si>
  <si>
    <t>Tow 1 was code 2 (partial blockage, float line wrapped around net)</t>
  </si>
  <si>
    <t>18-49-PP02</t>
  </si>
  <si>
    <t>18-49-SJT02</t>
  </si>
  <si>
    <t>18-49-LSSC01</t>
  </si>
  <si>
    <t>18-49-LSSC04</t>
  </si>
  <si>
    <t>18-49-SJT01</t>
  </si>
  <si>
    <t>18-49-LSJ02</t>
  </si>
  <si>
    <t>Tows 1 and 2 were code 2 (partial block of net)</t>
  </si>
  <si>
    <t>18-49-LSJ01</t>
  </si>
  <si>
    <t>18-49-LSJ03</t>
  </si>
  <si>
    <t>18-49-GB02</t>
  </si>
  <si>
    <t>18-49-SM03</t>
  </si>
  <si>
    <t>Two Wakasagi captured (52 and 56 mm) and retained for ID verification</t>
  </si>
  <si>
    <t>18-49-GB03</t>
  </si>
  <si>
    <t>18-49-GB01</t>
  </si>
  <si>
    <t>18-49-GB05</t>
  </si>
  <si>
    <t>18-49-GB06</t>
  </si>
  <si>
    <t>18-50-RV01</t>
  </si>
  <si>
    <t>18-50-LSR02</t>
  </si>
  <si>
    <t>18-50-RV02</t>
  </si>
  <si>
    <t>18-50-RV03</t>
  </si>
  <si>
    <t>Code 4: site in marina, not accessible</t>
  </si>
  <si>
    <t>18-50-LSSC01</t>
  </si>
  <si>
    <t>42-50</t>
  </si>
  <si>
    <t>8 Wakasagi captured (55-70 mm) and retained for ID verification</t>
  </si>
  <si>
    <t>18-50-USSC01</t>
  </si>
  <si>
    <t>18-50-SBW01</t>
  </si>
  <si>
    <t>18-50-SBM01</t>
  </si>
  <si>
    <t>18-50-SBW02</t>
  </si>
  <si>
    <t>18-50-LSR05</t>
  </si>
  <si>
    <t>18-50-RV04</t>
  </si>
  <si>
    <t>18-50-LSR03</t>
  </si>
  <si>
    <t>18-50-LSR01</t>
  </si>
  <si>
    <t>18-50-LSR04</t>
  </si>
  <si>
    <t>18-50-LSSC03</t>
  </si>
  <si>
    <t>18-50-LSSC02</t>
  </si>
  <si>
    <t>Tow 1 was code 2 (box twisted)</t>
  </si>
  <si>
    <t>18-50-SBM02</t>
  </si>
  <si>
    <t>18-50-SBW03</t>
  </si>
  <si>
    <t>18-50-CF01</t>
  </si>
  <si>
    <t>Tow 5 was 8 min due to large ship approaching; 6th tow not completed due to ship passing in site</t>
  </si>
  <si>
    <t>18-50-LSJ05</t>
  </si>
  <si>
    <t>Note: on 7/10/2018 only 2 crews sampled instead of 3 due to boat issues. Missed sampling by the third crew will be made up on Friday July 13</t>
  </si>
  <si>
    <t>18-50-LSJ02</t>
  </si>
  <si>
    <t>18-50-LSJ03</t>
  </si>
  <si>
    <t>18-50-LSJ01</t>
  </si>
  <si>
    <t>18-50-LSJ04</t>
  </si>
  <si>
    <t>18-50-CS01</t>
  </si>
  <si>
    <t>Tow 1 was shortened to 7 min 30 sec due to net snag, no more tows completed at site due to snags in area; 1 WAG captured (55 mm) and retained for ID verification</t>
  </si>
  <si>
    <t>18-50-CS05</t>
  </si>
  <si>
    <t>Tows 1,4, and 6 were code 2 (partial block of net by veg)</t>
  </si>
  <si>
    <t>18-50-SJT01</t>
  </si>
  <si>
    <t>Lower San Joaquin River at Twitchell Island</t>
  </si>
  <si>
    <t>Tows 3 and 5 were code 2 (box twisted)</t>
  </si>
  <si>
    <t>18-50-PP01</t>
  </si>
  <si>
    <t>Lower San Joaquin River at Prisoners Pt</t>
  </si>
  <si>
    <t>18-50-SM02</t>
  </si>
  <si>
    <t>18-50-SM01</t>
  </si>
  <si>
    <t>LFS (mortality) returned to lab for ID verification; 2 WAG captured (63 and 76 mm) and retained for ID verification</t>
  </si>
  <si>
    <t>18-50-SM04</t>
  </si>
  <si>
    <t>18-50-CS03</t>
  </si>
  <si>
    <t>18-50-CS07</t>
  </si>
  <si>
    <t>Tow 2 was code 3 (net blocked by vegetation), 7th tow completed; tows 1 and 3-7 were code 2 (partial vegetation block)</t>
  </si>
  <si>
    <t>18-50-CS02</t>
  </si>
  <si>
    <t>18-50-CS06</t>
  </si>
  <si>
    <t>18-50-GB01</t>
  </si>
  <si>
    <t>18-50-GB02</t>
  </si>
  <si>
    <t>18-50-GB03</t>
  </si>
  <si>
    <t>18-50-GB04</t>
  </si>
  <si>
    <t>18-50-GB05</t>
  </si>
  <si>
    <t>18-50-GB06</t>
  </si>
  <si>
    <t>18-50-GB07</t>
  </si>
  <si>
    <t>18-50-GB08</t>
  </si>
  <si>
    <t>18-50-GB09</t>
  </si>
  <si>
    <t>18-50-GB10</t>
  </si>
  <si>
    <t>18-50-GB11</t>
  </si>
  <si>
    <t>18-50-SM03</t>
  </si>
  <si>
    <t>Tow 1 was code 2: float wrapped around net/box</t>
  </si>
  <si>
    <t>18-51-SBW02</t>
  </si>
  <si>
    <t>18-51-SBW01</t>
  </si>
  <si>
    <t>18-51-CS03</t>
  </si>
  <si>
    <t>18-51-CS02</t>
  </si>
  <si>
    <t>18-51-CS01</t>
  </si>
  <si>
    <t>Code 4: too narrow and shallow to reach site</t>
  </si>
  <si>
    <t>18-51-PP03</t>
  </si>
  <si>
    <t>18-51-PP01</t>
  </si>
  <si>
    <t>18-51-PP02</t>
  </si>
  <si>
    <t>18-51-CS05</t>
  </si>
  <si>
    <t>18-51-CS04</t>
  </si>
  <si>
    <t>18-51-LSJ01</t>
  </si>
  <si>
    <t>18-51-SJT01</t>
  </si>
  <si>
    <t>18-51-SJT02</t>
  </si>
  <si>
    <t>Tow 4 was code 2 (partial blockage of net by vegetation)</t>
  </si>
  <si>
    <t>18-51-HB01</t>
  </si>
  <si>
    <t>Tow 1 was code 2 (net twist); DSM fork length not measured before fish was flash frozen for UCD (estimated to be between 40 and 50 mm), will obtain length after processing</t>
  </si>
  <si>
    <t>18-51-CF02</t>
  </si>
  <si>
    <t>18-51-LSSC01</t>
  </si>
  <si>
    <t>1 DSM flash frozen for UCDavis; 12 Wagasaki (41 to 100 mm) captured and retained for ID verification</t>
  </si>
  <si>
    <t>18-51-USSC01</t>
  </si>
  <si>
    <t>18-51-LSSC02</t>
  </si>
  <si>
    <t>18-51-SM02</t>
  </si>
  <si>
    <t>3 Wagasaki (62-73 mm) captured and retained for ID verification</t>
  </si>
  <si>
    <t>18-51-SM03</t>
  </si>
  <si>
    <t>1 Wagasaki (71 mm) captured and retained for ID verification</t>
  </si>
  <si>
    <t>18-51-SM04</t>
  </si>
  <si>
    <t>1 Wagasaki (61 mm) captured and retained for ID verification</t>
  </si>
  <si>
    <t>18-51-RV03</t>
  </si>
  <si>
    <t>18-51-RV02</t>
  </si>
  <si>
    <t>18-51-RV01</t>
  </si>
  <si>
    <t>18-51-LSR01</t>
  </si>
  <si>
    <t>Code 4: too windy, strong swells</t>
  </si>
  <si>
    <t>18-51-LSR02</t>
  </si>
  <si>
    <t>18-51-LSR03</t>
  </si>
  <si>
    <t>18-51-RV04</t>
  </si>
  <si>
    <t>18-51-RV05</t>
  </si>
  <si>
    <t>18-51-LSSC04</t>
  </si>
  <si>
    <r>
      <t xml:space="preserve">1 DSM flash frozen for UCDavis; </t>
    </r>
    <r>
      <rPr>
        <sz val="11"/>
        <color rgb="FFFF0000"/>
        <rFont val="Times New Roman"/>
        <family val="1"/>
      </rPr>
      <t>4</t>
    </r>
    <r>
      <rPr>
        <sz val="11"/>
        <rFont val="Times New Roman"/>
        <family val="1"/>
      </rPr>
      <t xml:space="preserve"> Wagasaki (</t>
    </r>
    <r>
      <rPr>
        <sz val="11"/>
        <color rgb="FFFF0000"/>
        <rFont val="Times New Roman"/>
        <family val="1"/>
      </rPr>
      <t>35</t>
    </r>
    <r>
      <rPr>
        <sz val="11"/>
        <rFont val="Times New Roman"/>
        <family val="1"/>
      </rPr>
      <t>-80 mm) captured and retained for ID verification</t>
    </r>
  </si>
  <si>
    <t>18-51-LSSC03</t>
  </si>
  <si>
    <t>18-51-SM01</t>
  </si>
  <si>
    <r>
      <rPr>
        <sz val="11"/>
        <color rgb="FFFF0000"/>
        <rFont val="Times New Roman"/>
        <family val="1"/>
      </rPr>
      <t>12</t>
    </r>
    <r>
      <rPr>
        <sz val="11"/>
        <rFont val="Times New Roman"/>
        <family val="1"/>
      </rPr>
      <t xml:space="preserve"> Wagasaki (57-71 mm) captured and retained for ID verification</t>
    </r>
  </si>
  <si>
    <t>18-51-CF01</t>
  </si>
  <si>
    <t>18-52-RV03</t>
  </si>
  <si>
    <t>18-52-RV02</t>
  </si>
  <si>
    <t>18-52-RV01</t>
  </si>
  <si>
    <t>18-52-USSC01</t>
  </si>
  <si>
    <t>18-52-LSSC05</t>
  </si>
  <si>
    <t xml:space="preserve">1 DSM brought back to lab for ID verification </t>
  </si>
  <si>
    <t>18-52-LSSC02</t>
  </si>
  <si>
    <t>1 DSM flash frozen for UCDavis; 1 Wagasaki (72 mm) captured and retained for ID verification</t>
  </si>
  <si>
    <t>18-52-GB02</t>
  </si>
  <si>
    <t>18-52-GB01</t>
  </si>
  <si>
    <t>Code 4: too choppy and site right next to Suisun Bay Stratum boundary</t>
  </si>
  <si>
    <t>18-52-GB04</t>
  </si>
  <si>
    <t>18-52-SM03</t>
  </si>
  <si>
    <t>18-52-SM04</t>
  </si>
  <si>
    <t>Tow 4 was code 2: partial net twist</t>
  </si>
  <si>
    <t>18-52-GB03</t>
  </si>
  <si>
    <t xml:space="preserve">Tow 3 was code 2: partial net twist </t>
  </si>
  <si>
    <t>18-52-RV04</t>
  </si>
  <si>
    <t xml:space="preserve">Tow 1 was code 2: partial net twist </t>
  </si>
  <si>
    <t>18-52-LSR02</t>
  </si>
  <si>
    <t xml:space="preserve">Lower Sacramento River </t>
  </si>
  <si>
    <t>18-52-LSR01</t>
  </si>
  <si>
    <t>18-52-LSSC03</t>
  </si>
  <si>
    <t>43-48</t>
  </si>
  <si>
    <t>4 DSM flash frozen for UCDavis</t>
  </si>
  <si>
    <t>18-52-LSSC04</t>
  </si>
  <si>
    <t>18-52-LSSC01</t>
  </si>
  <si>
    <t>18-52-SM01</t>
  </si>
  <si>
    <t>18-52-SM02</t>
  </si>
  <si>
    <t>18-52-SJT01</t>
  </si>
  <si>
    <t>18-52-LSJ01</t>
  </si>
  <si>
    <t>18-52-LSJ02</t>
  </si>
  <si>
    <t>18-52-CS01</t>
  </si>
  <si>
    <t>Code 4: too shallow and narrow to sample</t>
  </si>
  <si>
    <t>18-52-CS02</t>
  </si>
  <si>
    <t>Tows 2, 3, and 4 were code 2: lots of veg</t>
  </si>
  <si>
    <t>18-52-CS04</t>
  </si>
  <si>
    <t>18-52-HB01</t>
  </si>
  <si>
    <t>18-52-SBW03</t>
  </si>
  <si>
    <t>18-52-PP01</t>
  </si>
  <si>
    <t>18-52-SJT02</t>
  </si>
  <si>
    <t>18-52-SJT03</t>
  </si>
  <si>
    <t>18-52-CS05</t>
  </si>
  <si>
    <t>18-52-CS06</t>
  </si>
  <si>
    <t>18-52-CS03</t>
  </si>
  <si>
    <t>Tow 1 was code 3: caught a log and net filled with veg. No more tows were completed due to log and dense veg in sampling area</t>
  </si>
  <si>
    <t>18-52-SBW04</t>
  </si>
  <si>
    <t>18-52-SBW01</t>
  </si>
  <si>
    <t>18-52-SBW02</t>
  </si>
  <si>
    <t>18-53-CS03</t>
  </si>
  <si>
    <t>18-53-CS01</t>
  </si>
  <si>
    <t>Tow 1 was code 2 (vegetation in net), tow 2 was code 3 (net blocked by vegetation); no more tows completed due to heavy vegetation at site</t>
  </si>
  <si>
    <t>18-53-CS02</t>
  </si>
  <si>
    <t>18-53-SJT02</t>
  </si>
  <si>
    <t>18-53-LSJ01</t>
  </si>
  <si>
    <t>18-53-SJT01</t>
  </si>
  <si>
    <t>18-53-SM01</t>
  </si>
  <si>
    <t>18-53-SM03</t>
  </si>
  <si>
    <t>1 Wagasaki (58 mm) captured and retained for ID verification</t>
  </si>
  <si>
    <t>18-53-GB01</t>
  </si>
  <si>
    <t>18-53-SM02</t>
  </si>
  <si>
    <t>18-53-PP03</t>
  </si>
  <si>
    <t>18-53-PP02</t>
  </si>
  <si>
    <t>18-53-PP01</t>
  </si>
  <si>
    <t>18-53-CS04</t>
  </si>
  <si>
    <t>18-53-CS05</t>
  </si>
  <si>
    <t>18-53-CS06</t>
  </si>
  <si>
    <t>18-53-GB02</t>
  </si>
  <si>
    <t>18-53-SM04</t>
  </si>
  <si>
    <t>18-53-SM07</t>
  </si>
  <si>
    <t>18-53-SM05</t>
  </si>
  <si>
    <t>Tow 1 was code 3: tow cut short to 2 min due to shallowness, no more tows completed at site</t>
  </si>
  <si>
    <t>18-53-SM06</t>
  </si>
  <si>
    <t>19-01-HB01</t>
  </si>
  <si>
    <t>19-01-SBM01</t>
  </si>
  <si>
    <t>19-01-SBM02</t>
  </si>
  <si>
    <t>19-01-RV04</t>
  </si>
  <si>
    <t>19-01-RV01</t>
  </si>
  <si>
    <t>over 1.8</t>
  </si>
  <si>
    <t>19-01-RV02</t>
  </si>
  <si>
    <t>19-01-LSSC02</t>
  </si>
  <si>
    <t>19-01-LSSC01</t>
  </si>
  <si>
    <t>50-55</t>
  </si>
  <si>
    <t>2 DSM flash frozen for UCDavis;  tow 2 was code 2 (twist in net)</t>
  </si>
  <si>
    <t>19-01-USSC03</t>
  </si>
  <si>
    <t>46-49</t>
  </si>
  <si>
    <t>2 DSM flash frozen for UCDavis</t>
  </si>
  <si>
    <t>19-01-LSR01</t>
  </si>
  <si>
    <t>19-01-RV05</t>
  </si>
  <si>
    <t>19-01-RV03</t>
  </si>
  <si>
    <t>Code 4: net was ripped before sampling commenced, no samples taken</t>
  </si>
  <si>
    <t>19-01-SBW02</t>
  </si>
  <si>
    <t>19-01-HB02</t>
  </si>
  <si>
    <t>A second day of sampling in the Sac Deep Water Shipping Channel stratum was not conducted this week</t>
  </si>
  <si>
    <t>19-01-SBW03</t>
  </si>
  <si>
    <t>Code 4: site too close to mothball fleet</t>
  </si>
  <si>
    <t>19-01-SBW01</t>
  </si>
  <si>
    <t>19-02-CS06</t>
  </si>
  <si>
    <t>3 Wagasaki (52-55 mm) captured and retained for ID verification</t>
  </si>
  <si>
    <t>19-02-CS01</t>
  </si>
  <si>
    <t>19-02-CS05</t>
  </si>
  <si>
    <t>19-02-PP01</t>
  </si>
  <si>
    <t>19-02-PP02</t>
  </si>
  <si>
    <t>Tow 4 was code 2: twist in net</t>
  </si>
  <si>
    <t>19-02-PP03</t>
  </si>
  <si>
    <t>19-02-SBW01</t>
  </si>
  <si>
    <t>Tow 2 was code 3: pulled net after towing &lt;3 min to retrieve datasheet</t>
  </si>
  <si>
    <t>19-02-SBW02</t>
  </si>
  <si>
    <t>19-02-HB01</t>
  </si>
  <si>
    <t>19-02-CS04</t>
  </si>
  <si>
    <t>19-02-CS02</t>
  </si>
  <si>
    <t>19-02-CS03</t>
  </si>
  <si>
    <t>19-02-SJT03</t>
  </si>
  <si>
    <t>Tow 1 was code 2: partial debris blockage</t>
  </si>
  <si>
    <t>19-02-SJT02</t>
  </si>
  <si>
    <t>19-02-SJT01</t>
  </si>
  <si>
    <t>19-02-CF01</t>
  </si>
  <si>
    <t>19-02-CF02</t>
  </si>
  <si>
    <t>19-02-HB02</t>
  </si>
  <si>
    <t>19-02-SM02</t>
  </si>
  <si>
    <t>19-02-SM06</t>
  </si>
  <si>
    <t>19-02-SM03</t>
  </si>
  <si>
    <t>Tow 2 was code 2: twist in net at box</t>
  </si>
  <si>
    <t>19-02-SM04</t>
  </si>
  <si>
    <t>19-02-USSC01</t>
  </si>
  <si>
    <t>19-02-USSC02</t>
  </si>
  <si>
    <t>19-02-LSSC02</t>
  </si>
  <si>
    <t>19-02-RV01</t>
  </si>
  <si>
    <t>Tow 1 was code 2: float line wrapped around cod end, partial blockage</t>
  </si>
  <si>
    <t>19-02-RV02</t>
  </si>
  <si>
    <t>19-02-SM05</t>
  </si>
  <si>
    <t>Tow 2 was code 2 (boats went past max distance allowed from target site due to low current)</t>
  </si>
  <si>
    <t>19-02-SM01</t>
  </si>
  <si>
    <t>19-02-SM07</t>
  </si>
  <si>
    <t>19-02-LSSC01</t>
  </si>
  <si>
    <t>Tow 1 was code 3 (twist in net); 5th tow completed</t>
  </si>
  <si>
    <t>19-02-LSSC03</t>
  </si>
  <si>
    <t>19-02-LSR01</t>
  </si>
  <si>
    <t>19-02-LSR02</t>
  </si>
  <si>
    <t>19-03-USSC01</t>
  </si>
  <si>
    <t>Tow 2 was code 2 (twist in net at box)</t>
  </si>
  <si>
    <t>19-03-USSC03</t>
  </si>
  <si>
    <t>Tow 3 was code 2 (boats went just past max distance allowed from target site)</t>
  </si>
  <si>
    <t>19-03-USSC02</t>
  </si>
  <si>
    <t>19-03-LSR02</t>
  </si>
  <si>
    <t>During tow 4, boats crossed the boundary between Lower Sacramento River and Suisun bay strata by 20 ft</t>
  </si>
  <si>
    <t>19-03-LSR01</t>
  </si>
  <si>
    <t>19-03-RV02</t>
  </si>
  <si>
    <t>19-03-SM01</t>
  </si>
  <si>
    <t>19-03-SM02</t>
  </si>
  <si>
    <t>4 Wagasaki (70-77 mm) captured and retained for ID verification</t>
  </si>
  <si>
    <t>19-03-SM03</t>
  </si>
  <si>
    <t>DSM ID verified in lab, was not assessed for expression</t>
  </si>
  <si>
    <t>19-03-LSSC02</t>
  </si>
  <si>
    <t>19-03-LSSC01</t>
  </si>
  <si>
    <t>40-46</t>
  </si>
  <si>
    <t>5 DSM flash frozen for UCDavis; 1 Wagasaki (73) captured and retained for ID verification</t>
  </si>
  <si>
    <t>19-03-LSSC03</t>
  </si>
  <si>
    <t>19-03-RV03</t>
  </si>
  <si>
    <t>19-03-RV01</t>
  </si>
  <si>
    <t>19-03-RV04</t>
  </si>
  <si>
    <t>19-03-SM04</t>
  </si>
  <si>
    <t>19-03-GB02</t>
  </si>
  <si>
    <t>19-03-SM05</t>
  </si>
  <si>
    <t>19-03-CS01</t>
  </si>
  <si>
    <t>Tow 1 was code 2 (twist in net at box); tow 2 was code 2 (boats went just past max distance allowed from target site due to strong winds)</t>
  </si>
  <si>
    <t>19-03-CS02</t>
  </si>
  <si>
    <t>19-03-CS03</t>
  </si>
  <si>
    <t>Tow 3 was code 3 ( net completely blocked by vegetation), 5th tow completed; tows 4 and 5 were code 2 (partially obstructed net)</t>
  </si>
  <si>
    <t>19-03-PP02</t>
  </si>
  <si>
    <t>19-03-PP01</t>
  </si>
  <si>
    <t>19-03-LSJ01</t>
  </si>
  <si>
    <t>19-03-HB01</t>
  </si>
  <si>
    <t>Tow 2 was code 3 (net tangled), 5th tow completed</t>
  </si>
  <si>
    <t>19-03-SBM01</t>
  </si>
  <si>
    <t>19-03-SBM02</t>
  </si>
  <si>
    <t>19-03-SBW02</t>
  </si>
  <si>
    <t>Towing discontinued after tow 2 because the tide changed and could not tow against current without reaching a too shallow area</t>
  </si>
  <si>
    <t>19-03-SBW01</t>
  </si>
  <si>
    <t>19-03-CS05</t>
  </si>
  <si>
    <t>Tows 1-4 were code 2 (mouth of box partially blocked by vegetation)</t>
  </si>
  <si>
    <t>19-03-CS04</t>
  </si>
  <si>
    <t>Tow 4 was code 2 (boats went just past max distance allowed from target site due to tide change during tow)</t>
  </si>
  <si>
    <t>19-03-CS06</t>
  </si>
  <si>
    <t>Code 4: site too shallow and covered by aquatic vegetation</t>
  </si>
  <si>
    <t>19-03-LSJ02</t>
  </si>
  <si>
    <t>19-03-SJT01</t>
  </si>
  <si>
    <t>19-04-PP01</t>
  </si>
  <si>
    <t>19-04-SJT03</t>
  </si>
  <si>
    <t>19-04-SJT01</t>
  </si>
  <si>
    <t>19-04-USSC01</t>
  </si>
  <si>
    <t>19-04-LSSC03</t>
  </si>
  <si>
    <t xml:space="preserve">DSM flash frozen for UCDavis; 2 Wagasaki (70-84 mm) captured and retained for ID verification </t>
  </si>
  <si>
    <t>19-04-LSSC05</t>
  </si>
  <si>
    <t>41-45</t>
  </si>
  <si>
    <t>2 DSM flash frozen for UCDavis; 1 Wagasaki (69 mm) captured and retained for ID verification</t>
  </si>
  <si>
    <t>19-04-LSSC04</t>
  </si>
  <si>
    <t>19-04-SM03</t>
  </si>
  <si>
    <t>19-04-SM01</t>
  </si>
  <si>
    <t>41-43</t>
  </si>
  <si>
    <t>19-04-SM02</t>
  </si>
  <si>
    <t>19-04-GB01</t>
  </si>
  <si>
    <t>19-04-SM04</t>
  </si>
  <si>
    <t>5 Wagasaki (59-78 mm) captured and retained for ID verification</t>
  </si>
  <si>
    <t>19-04-SM05</t>
  </si>
  <si>
    <t>1 Wagasaki (55 mm) captured and retained for ID verification</t>
  </si>
  <si>
    <t>19-04-LSSC02</t>
  </si>
  <si>
    <t>19-04-LSSC01</t>
  </si>
  <si>
    <t>19-04-LSSC06</t>
  </si>
  <si>
    <t>7 Wagasaki (61-105 mm) captured and retained for ID verification</t>
  </si>
  <si>
    <t>19-04-SJT02</t>
  </si>
  <si>
    <t>San Joaquin at Twitchell Island</t>
  </si>
  <si>
    <t>19-04-LSJ02</t>
  </si>
  <si>
    <t>19-04-LSJ01</t>
  </si>
  <si>
    <t>19-04-CS02</t>
  </si>
  <si>
    <t>19-04-CS06</t>
  </si>
  <si>
    <t>Code 4: site too narrow to tow</t>
  </si>
  <si>
    <t>19-04-CS01</t>
  </si>
  <si>
    <t>19-04-CS05</t>
  </si>
  <si>
    <t>19-04-LSR01</t>
  </si>
  <si>
    <t>42-57</t>
  </si>
  <si>
    <t>4 DSM flash frozen for UCDavis; Tow 1 was code 2: twist in net</t>
  </si>
  <si>
    <t>19-04-LSR03</t>
  </si>
  <si>
    <t>19-04-LSR02</t>
  </si>
  <si>
    <t>19-04-SBW01</t>
  </si>
  <si>
    <t>19-04-SBM01</t>
  </si>
  <si>
    <t>Code 4: site could not be reached due to docks</t>
  </si>
  <si>
    <t>19-04-SBM02</t>
  </si>
  <si>
    <t>19-04-HB01</t>
  </si>
  <si>
    <t>19-04-RV03</t>
  </si>
  <si>
    <t>19-04-RV02</t>
  </si>
  <si>
    <t>19-04-RV01</t>
  </si>
  <si>
    <t>19-04-CS03</t>
  </si>
  <si>
    <t>Tow 2 was code 2: partial blockage due to veg</t>
  </si>
  <si>
    <t>19-04-CS04</t>
  </si>
  <si>
    <t>19-04-CS08</t>
  </si>
  <si>
    <t>19-04-CS07</t>
  </si>
  <si>
    <t>Tows 2 and 3 were code 3: massive veg blockage throughout net; Tow 4 was not attempted due to heavy veg in site</t>
  </si>
  <si>
    <t>19-04-CF01</t>
  </si>
  <si>
    <t>19-04-CF02</t>
  </si>
  <si>
    <t>19-04-SBW02</t>
  </si>
  <si>
    <t>Code 4: site inside mothball fleet</t>
  </si>
  <si>
    <t>19-04-SBM03</t>
  </si>
  <si>
    <t>Code 4: site inside Port Chicago restricted area</t>
  </si>
  <si>
    <t>19-04-CF03</t>
  </si>
  <si>
    <t>19-05-RV01</t>
  </si>
  <si>
    <t>19-05-RV04</t>
  </si>
  <si>
    <t>19-05-RV03</t>
  </si>
  <si>
    <t>19-05-SM02</t>
  </si>
  <si>
    <t>19-05-GB01</t>
  </si>
  <si>
    <t>19-05-SM05</t>
  </si>
  <si>
    <t>19-05-SM03</t>
  </si>
  <si>
    <t>19-05-USSC01</t>
  </si>
  <si>
    <t>19-05-LSSC03</t>
  </si>
  <si>
    <t xml:space="preserve">21 Wagasaki (61-77 mm) captured and retained for ID verification </t>
  </si>
  <si>
    <t>19-05-LSSC05</t>
  </si>
  <si>
    <t>7 DSM caught at site; all 7 were flash frozen for UCDavis</t>
  </si>
  <si>
    <t>19-05-LSSC02</t>
  </si>
  <si>
    <t>19-05-LSSC04</t>
  </si>
  <si>
    <t>Tow 4 was code 2: partial twist in net</t>
  </si>
  <si>
    <t>19-05-LSSC01</t>
  </si>
  <si>
    <t>19-05-LSR02</t>
  </si>
  <si>
    <t>19-05-LSR01</t>
  </si>
  <si>
    <t>19-05-RV02</t>
  </si>
  <si>
    <t>19-05-SM06</t>
  </si>
  <si>
    <t>19-05-SM04</t>
  </si>
  <si>
    <t>19-05-SM01</t>
  </si>
  <si>
    <t>19-05-LSJ01</t>
  </si>
  <si>
    <t>19-05-LSJ03</t>
  </si>
  <si>
    <t>19-05-LSJ02</t>
  </si>
  <si>
    <t>19-05-CS07</t>
  </si>
  <si>
    <t>19-05-CS01</t>
  </si>
  <si>
    <t>19-05-CS06</t>
  </si>
  <si>
    <t>Tows 1, 3, and 4 were code 2: partial blockage due to veg</t>
  </si>
  <si>
    <t>19-05-CS02</t>
  </si>
  <si>
    <t>Tow 2 was code 2: partial twist in net</t>
  </si>
  <si>
    <t>19-05-CS03</t>
  </si>
  <si>
    <t>Tow 4 was code 2: partial blockage due to veg</t>
  </si>
  <si>
    <t>19-05-SBW01</t>
  </si>
  <si>
    <t>19-05-SBM01</t>
  </si>
  <si>
    <t>19-05-SBM02</t>
  </si>
  <si>
    <t>19-05-CS05</t>
  </si>
  <si>
    <t>19-05-CS04</t>
  </si>
  <si>
    <t>19-05-CS08</t>
  </si>
  <si>
    <t>Tow 1 was code 2: partial blockage due to veg; Tow 2 was code 3: full blockage due to veg; Tows 3 and 4 were not attempted due to dense veg at site</t>
  </si>
  <si>
    <t>19-05-SJT01</t>
  </si>
  <si>
    <t>19-05-LSJ04</t>
  </si>
  <si>
    <t>19-05-PP01</t>
  </si>
  <si>
    <t>19-05-HB01</t>
  </si>
  <si>
    <t>19-05-CF01</t>
  </si>
  <si>
    <t>19-05-CF02</t>
  </si>
  <si>
    <t>19-06-LSR01</t>
  </si>
  <si>
    <t>19-06-LSR02</t>
  </si>
  <si>
    <t>19-06-RV02</t>
  </si>
  <si>
    <t>19-06-CS03</t>
  </si>
  <si>
    <t>Tows 1-4 were code 2 (partial net block by vegetation)</t>
  </si>
  <si>
    <t>19-06-CS04</t>
  </si>
  <si>
    <t>19-06-CS01</t>
  </si>
  <si>
    <t>19-06-CS02</t>
  </si>
  <si>
    <t>19-06-HB01</t>
  </si>
  <si>
    <t>19-06-CF01</t>
  </si>
  <si>
    <t>19-06-CF02</t>
  </si>
  <si>
    <t>19-06-RV01</t>
  </si>
  <si>
    <t>19-06-RV04</t>
  </si>
  <si>
    <t>19-06-RV03</t>
  </si>
  <si>
    <t>19-06-CS05</t>
  </si>
  <si>
    <t>Tow 1 was code 3 (net caught on a snag and bar was twisted), tow ended after 8 min; 5th tow completed</t>
  </si>
  <si>
    <t>19-06-CS06</t>
  </si>
  <si>
    <t>19-06-CS07</t>
  </si>
  <si>
    <t>19-06-SBW01</t>
  </si>
  <si>
    <t>19-06-SBM01</t>
  </si>
  <si>
    <t>19-06-SBM02</t>
  </si>
  <si>
    <t>19-06-SJT01</t>
  </si>
  <si>
    <t>Tow 1 was code 2 (twist in net before box)</t>
  </si>
  <si>
    <t>19-06-LSJ02</t>
  </si>
  <si>
    <t>19-06-LSJ01</t>
  </si>
  <si>
    <t>19-06-USSC01</t>
  </si>
  <si>
    <t>19-06-LSSC01</t>
  </si>
  <si>
    <t xml:space="preserve">2 Wagasaki (78-88 mm) captured and retained for ID verification </t>
  </si>
  <si>
    <t>19-06-LSSC04</t>
  </si>
  <si>
    <t xml:space="preserve">7 Wagasaki (73-87 mm) captured and retained for ID verification </t>
  </si>
  <si>
    <t>19-06-SM01</t>
  </si>
  <si>
    <t>19-06-SM04</t>
  </si>
  <si>
    <t>LSF</t>
  </si>
  <si>
    <t>19-06-SM02</t>
  </si>
  <si>
    <t>During Tow 4, the boat crossed out of the boundary of Suisun Marsh by 0.01 miles due to tide change</t>
  </si>
  <si>
    <t>19-06-PP01</t>
  </si>
  <si>
    <t>19-06-PP02</t>
  </si>
  <si>
    <t>19-06-SJT02</t>
  </si>
  <si>
    <t>19-06-LSSC05</t>
  </si>
  <si>
    <t>19-06-LSSC02</t>
  </si>
  <si>
    <t>19-06-LSSC03</t>
  </si>
  <si>
    <t>19-06-GB01</t>
  </si>
  <si>
    <t>19-06-SM05</t>
  </si>
  <si>
    <t>19-06-SM06</t>
  </si>
  <si>
    <t>19-06-GB02</t>
  </si>
  <si>
    <t>19-07-SM03</t>
  </si>
  <si>
    <t>19-07-SM01</t>
  </si>
  <si>
    <t>19-07-GB01</t>
  </si>
  <si>
    <t>19-07-PP01</t>
  </si>
  <si>
    <t>19-07-PP02</t>
  </si>
  <si>
    <t>19-07-PP03</t>
  </si>
  <si>
    <t>19-07-LSSC04</t>
  </si>
  <si>
    <t>Tow 4 was code 2  (boats went past max distance allowed from target site)</t>
  </si>
  <si>
    <t>19-07-LSSC01</t>
  </si>
  <si>
    <t>19-07-LSSC05</t>
  </si>
  <si>
    <t>19-07-LSSC02</t>
  </si>
  <si>
    <t>39-57</t>
  </si>
  <si>
    <t>20 DSM flash frozen for UCDavis; 1 Wakasagi (90 mm) captured and retained for ID verification</t>
  </si>
  <si>
    <t>19-07-LSJ01</t>
  </si>
  <si>
    <t>19-07-SJT02</t>
  </si>
  <si>
    <t>19-07-SJT01</t>
  </si>
  <si>
    <t>19-07-LSSC06</t>
  </si>
  <si>
    <t>45-51</t>
  </si>
  <si>
    <t>19-07-LSSC03</t>
  </si>
  <si>
    <t>2 Wakasagi (77, 79 mm) captured and retained for ID verification</t>
  </si>
  <si>
    <t>19-07-USSC01</t>
  </si>
  <si>
    <t>19-07-SM04</t>
  </si>
  <si>
    <t>19-07-SM02</t>
  </si>
  <si>
    <t>19-07-SM05</t>
  </si>
  <si>
    <t>19-07-GB02</t>
  </si>
  <si>
    <t>19-07-CS06</t>
  </si>
  <si>
    <t>Code 3 on tow 1; net did not deploy. Replaced w/ extra tow</t>
  </si>
  <si>
    <t>19-07-CS05</t>
  </si>
  <si>
    <t>19-07-CS01</t>
  </si>
  <si>
    <t>19-07-SBW01</t>
  </si>
  <si>
    <t>19-07-SBW02</t>
  </si>
  <si>
    <t>19-07-CF01</t>
  </si>
  <si>
    <t>19-07-RV03</t>
  </si>
  <si>
    <t>19-07-RV01</t>
  </si>
  <si>
    <t>19-07-RV04</t>
  </si>
  <si>
    <t>19-07-CS03</t>
  </si>
  <si>
    <t>Tow 2 was code 3 (vegetation blocking net), 5th tow completed; tow 3 was code 2 (buoy line wrapped around net)</t>
  </si>
  <si>
    <t>19-07-CS02</t>
  </si>
  <si>
    <t>19-07-CS04</t>
  </si>
  <si>
    <t>Tows 1 and 4 were code 2 (partial net blockage by vegetation)</t>
  </si>
  <si>
    <t>19-07-SBM01</t>
  </si>
  <si>
    <t>19-07-SBM03</t>
  </si>
  <si>
    <t>Sea lion observed at site after tow 1 completed, no more tows completed at site</t>
  </si>
  <si>
    <t>19-07-SBM02</t>
  </si>
  <si>
    <t>Tow 3 was ended after 7 min due to sea lion sighting (code 8)</t>
  </si>
  <si>
    <t>19-07-SBM04</t>
  </si>
  <si>
    <t>19-07-LSR01</t>
  </si>
  <si>
    <t>19-07-LSR02</t>
  </si>
  <si>
    <t>19-07-RV02</t>
  </si>
  <si>
    <t>19-08-CS06</t>
  </si>
  <si>
    <t>19-08-CS02</t>
  </si>
  <si>
    <t>19-08-CS05</t>
  </si>
  <si>
    <t>19-08-LSR01</t>
  </si>
  <si>
    <t>19-08-LSR02</t>
  </si>
  <si>
    <t>48-62</t>
  </si>
  <si>
    <t>13 DSM flash frozen for UCDavis</t>
  </si>
  <si>
    <t>19-08-LSR03</t>
  </si>
  <si>
    <t>19-08-SBW03</t>
  </si>
  <si>
    <t>19-08-SBW02</t>
  </si>
  <si>
    <t>19-08-SBM02</t>
  </si>
  <si>
    <t>19-08-CF01</t>
  </si>
  <si>
    <t>Tow 1 was code 2 (towed with current due to reading of tide chart, corrected for subsequent tows)</t>
  </si>
  <si>
    <t>19-08-SBW01</t>
  </si>
  <si>
    <t>19-08-SBM01</t>
  </si>
  <si>
    <t>19-08-SBM03</t>
  </si>
  <si>
    <t>19-08-RV01</t>
  </si>
  <si>
    <t>19-08-RV03</t>
  </si>
  <si>
    <t>19-08-RV02</t>
  </si>
  <si>
    <t>19-08-CS04</t>
  </si>
  <si>
    <t>19-08-CS03</t>
  </si>
  <si>
    <t>Tows 2 and 3 were code 2 (partial net blockage by vegetation)</t>
  </si>
  <si>
    <t>19-08-CS01</t>
  </si>
  <si>
    <t>2 Wakasagi (59, 57 mm) captured and retained for ID verification</t>
  </si>
  <si>
    <t>19-08-PP02</t>
  </si>
  <si>
    <t>19-08-PP01</t>
  </si>
  <si>
    <t>19-08-SJT01</t>
  </si>
  <si>
    <t>19-08-USSC01</t>
  </si>
  <si>
    <t>19-08-LSSC02</t>
  </si>
  <si>
    <t>19-08-LSSC05</t>
  </si>
  <si>
    <t>19-08-SM03</t>
  </si>
  <si>
    <t>19-08-SM02</t>
  </si>
  <si>
    <t>19-08-GB01</t>
  </si>
  <si>
    <t>Tow 4 was code 2: crossed boundary with 1:30 left</t>
  </si>
  <si>
    <t>19-08-SM04</t>
  </si>
  <si>
    <t>19-08-SM06</t>
  </si>
  <si>
    <t>19-08-LSJ01</t>
  </si>
  <si>
    <t>19-08-LSJ03</t>
  </si>
  <si>
    <t>19-08-LSJ02</t>
  </si>
  <si>
    <t>Tow 1 was code 2: net twist</t>
  </si>
  <si>
    <t>19-08-LSSC03</t>
  </si>
  <si>
    <t>48-51</t>
  </si>
  <si>
    <t>2 DSM flash frozen for UCDavis; 2 Wakasagi (72, 81 mm) captured and retained for ID verification</t>
  </si>
  <si>
    <t>19-08-LSSC01</t>
  </si>
  <si>
    <t>19-08-LSSC04</t>
  </si>
  <si>
    <t>19-08-SM05</t>
  </si>
  <si>
    <t>19-08-SM01</t>
  </si>
  <si>
    <t>19-09-SBW03</t>
  </si>
  <si>
    <t>19-09-SBM02</t>
  </si>
  <si>
    <t>19-09-CF01</t>
  </si>
  <si>
    <t>Tow 1 &amp; 2 were code 2, twisted net</t>
  </si>
  <si>
    <t>19-09-CS01</t>
  </si>
  <si>
    <t>Paired with Directed Outflow Project habitat sampling</t>
  </si>
  <si>
    <t>19-09-CS02</t>
  </si>
  <si>
    <t>19-09-CS03</t>
  </si>
  <si>
    <t>19-09-LSR02</t>
  </si>
  <si>
    <t>51-60</t>
  </si>
  <si>
    <t>Code 9: 1 DSM (60mm) flash frozen and DNA for UCDavis. Other DSM code 1, not frozen and no DNA collected</t>
  </si>
  <si>
    <t>19-09-SJT01</t>
  </si>
  <si>
    <t>19-09-SJT02</t>
  </si>
  <si>
    <t>19-09-CS05</t>
  </si>
  <si>
    <t>19-09-CS04</t>
  </si>
  <si>
    <t>19-09-CS06</t>
  </si>
  <si>
    <t>19-09-SBM01</t>
  </si>
  <si>
    <t>Tow 1 was code 2 (towing was with the current because of tide change, corrected for subsequent tows); Paired with Directed Outflow Project habitat sampling</t>
  </si>
  <si>
    <t>19-09-SBW02</t>
  </si>
  <si>
    <t>19-09-SBW01</t>
  </si>
  <si>
    <t>19-09-LSJ02</t>
  </si>
  <si>
    <t>19-09-LSJ01</t>
  </si>
  <si>
    <t>19-09-PP01</t>
  </si>
  <si>
    <t>19-09-PP02</t>
  </si>
  <si>
    <t>19-09-SM01</t>
  </si>
  <si>
    <t>19-09-SM03</t>
  </si>
  <si>
    <t>19-09-SM02</t>
  </si>
  <si>
    <t>19-09-GB01</t>
  </si>
  <si>
    <t>19-09-RV01</t>
  </si>
  <si>
    <t>19-09-LSR01</t>
  </si>
  <si>
    <t>Paired with Directed Outflow Project habitat sampling; Tow 1 was code 2 (buoy line wrapped around cod end)</t>
  </si>
  <si>
    <t>19-09-RV02</t>
  </si>
  <si>
    <t>19-09-LSSC03</t>
  </si>
  <si>
    <t>Did not complete tows 3 and 4 due to sea lion arriving in site after tow 2</t>
  </si>
  <si>
    <t>19-09-LSSC04</t>
  </si>
  <si>
    <t>19-09-LSSC05</t>
  </si>
  <si>
    <t>44-52</t>
  </si>
  <si>
    <t>5 DSM flash frozen for UCDavis; 11 Wakasagi (78-94 mm) captured and retained for ID verification</t>
  </si>
  <si>
    <t>19-09-SM05</t>
  </si>
  <si>
    <t>19-09-SM04</t>
  </si>
  <si>
    <t>19-09-GB02</t>
  </si>
  <si>
    <t>Tow 1 was code 3 (box door came off during retrieval after tow due to net twist); 5th tow completed</t>
  </si>
  <si>
    <t>19-09-LSR03</t>
  </si>
  <si>
    <t>19-09-RV03</t>
  </si>
  <si>
    <t>19-09-RV04</t>
  </si>
  <si>
    <t>19-09-LSSC01</t>
  </si>
  <si>
    <t>19-09-LSSC02</t>
  </si>
  <si>
    <t>41-56</t>
  </si>
  <si>
    <t>Paired with Directed Outflow Project habitat sampling; 7 DSM flash frozen for UCDavis; 9 Wakasagi (81-95mm) captured and retained for ID verification</t>
  </si>
  <si>
    <t>19-09-USSC01</t>
  </si>
  <si>
    <t>19-09-USSC02</t>
  </si>
  <si>
    <t>19-10-LSR01</t>
  </si>
  <si>
    <t>19-10-LSR02</t>
  </si>
  <si>
    <t>19-10-RV04</t>
  </si>
  <si>
    <t>19-10-RV05</t>
  </si>
  <si>
    <t>Code 2 on third tow, net twist</t>
  </si>
  <si>
    <t>19-10-CS03</t>
  </si>
  <si>
    <t>Paired with Directed Outflow Project habitat sampling, code 3s on tows 1&amp;5 heavy vegitation, code 2 on tow 4 heavy veg.</t>
  </si>
  <si>
    <t>19-10-CS01</t>
  </si>
  <si>
    <t>Paired with Directed Outflow Project habitat sampling, code 3s on all tows, heavy vegitation</t>
  </si>
  <si>
    <t>19-10-CS05</t>
  </si>
  <si>
    <t>Code 2 on fourth tow, veg partially blocking net</t>
  </si>
  <si>
    <t>19-10-SM01</t>
  </si>
  <si>
    <t>Paired with Directed Outflow Project habitat sampling, code 2 on tow 3, bouy wrapped around net</t>
  </si>
  <si>
    <t>19-10-SM03</t>
  </si>
  <si>
    <t>19-10-SM02</t>
  </si>
  <si>
    <t>19-10-CS07</t>
  </si>
  <si>
    <t>19-10-CS04</t>
  </si>
  <si>
    <t>19-10-CS06</t>
  </si>
  <si>
    <t>19-10-CS02</t>
  </si>
  <si>
    <t>19-10-RV03</t>
  </si>
  <si>
    <t>19-10-RV02</t>
  </si>
  <si>
    <t>19-10-RV01</t>
  </si>
  <si>
    <t>19-10-LSR03</t>
  </si>
  <si>
    <t>19-10-GB01</t>
  </si>
  <si>
    <t>51-61</t>
  </si>
  <si>
    <t>19-10-SM05</t>
  </si>
  <si>
    <t>19-10-SM04</t>
  </si>
  <si>
    <t>19-10-SBW01</t>
  </si>
  <si>
    <t>19-10-HB01</t>
  </si>
  <si>
    <t>19-10-CF01</t>
  </si>
  <si>
    <t>--</t>
  </si>
  <si>
    <t>19-10-PP03</t>
  </si>
  <si>
    <t>19-10-PP02</t>
  </si>
  <si>
    <t>19-10-SJT01</t>
  </si>
  <si>
    <t>19-10-USSC01</t>
  </si>
  <si>
    <t>19-10-USSC02</t>
  </si>
  <si>
    <t>19-10-USSC04</t>
  </si>
  <si>
    <t>19-10-USSC03</t>
  </si>
  <si>
    <t>19-10-LSJ01</t>
  </si>
  <si>
    <t>19-10-LSJ03</t>
  </si>
  <si>
    <t>19-10-LSJ02</t>
  </si>
  <si>
    <t>19-10-LSSC01</t>
  </si>
  <si>
    <t>Paired with Directed Outflow Project habitat sampling; 2 Wakasagi (73-95 mm) captured and retained for ID verification</t>
  </si>
  <si>
    <t>19-10-LSSC03</t>
  </si>
  <si>
    <t>19-10-LSSC02</t>
  </si>
  <si>
    <t>19-10-CF02</t>
  </si>
  <si>
    <t>19-10-HB02</t>
  </si>
  <si>
    <t>19-10-SBW02</t>
  </si>
  <si>
    <t>19-11-LSR01</t>
  </si>
  <si>
    <t>4 DSM flash frozen for UCD</t>
  </si>
  <si>
    <t>19-11-LSR02</t>
  </si>
  <si>
    <t>19-11-RV05</t>
  </si>
  <si>
    <t>19-11-RV04</t>
  </si>
  <si>
    <t>19-11-HB01</t>
  </si>
  <si>
    <t>19-11-SBW01</t>
  </si>
  <si>
    <t>Winch malfunction on tow 1 caused start 0.14 from target; Paired with Directed Outflow Project habitat sampling</t>
  </si>
  <si>
    <t>19-11-SBM01</t>
  </si>
  <si>
    <t>19-11-CF01</t>
  </si>
  <si>
    <t>19-11-LSSC06</t>
  </si>
  <si>
    <t>12 Wakasagi (77-103 mm) captured and retained for ID verification</t>
  </si>
  <si>
    <t>19-11-USSC01</t>
  </si>
  <si>
    <t>19-11-LSSC03</t>
  </si>
  <si>
    <t>53-55</t>
  </si>
  <si>
    <t>2 DSM flash frozen for UCD. Extra tow performed, didn't realize DSM caught in tow 2; 9 Wakasagi (83-95 mm) captured and retained for ID verification; Paired with Directed Outflow Project habitat sampling</t>
  </si>
  <si>
    <t>19-11-LSSC01</t>
  </si>
  <si>
    <t>19-11-LSSC02</t>
  </si>
  <si>
    <t>19-11-LSSC05</t>
  </si>
  <si>
    <t>7 Wakasagi (83-106 mm) captured and retained for ID verification</t>
  </si>
  <si>
    <t>19-11-LSSC04</t>
  </si>
  <si>
    <t>19-11-SBM02</t>
  </si>
  <si>
    <t>19-11-SBM03</t>
  </si>
  <si>
    <t>19-11-CF02</t>
  </si>
  <si>
    <t>19-11-RV03</t>
  </si>
  <si>
    <t>19-11-RV02</t>
  </si>
  <si>
    <t>19-11-RV01</t>
  </si>
  <si>
    <t>19-11-PP01</t>
  </si>
  <si>
    <t>Tows 1-4 were code 2 (partial blockage of net by vegetation)</t>
  </si>
  <si>
    <t>19-11-LSJ01</t>
  </si>
  <si>
    <t>19-11-LSJ06</t>
  </si>
  <si>
    <t>19-11-LSJ05</t>
  </si>
  <si>
    <t>Code 4: restricted area, no sample taken</t>
  </si>
  <si>
    <t>19-11-SM03</t>
  </si>
  <si>
    <t>Tow 1 was code 2 (float line tisted around net); Paired with Directed Outflow Project habitat sampling</t>
  </si>
  <si>
    <t>19-11-SM02</t>
  </si>
  <si>
    <t>1 Wakasagi (87 mm) captured and retained for ID verification; Paired with Directed Outflow Project habitat sampling</t>
  </si>
  <si>
    <t>19-11-SM01</t>
  </si>
  <si>
    <t>19-11-CS01</t>
  </si>
  <si>
    <t>19-11-CS02</t>
  </si>
  <si>
    <t>Paired with Directed Outflow Project habitat sampling; Tow 1 was code 2 (buoy line wrapped under net)</t>
  </si>
  <si>
    <t>19-11-CS03</t>
  </si>
  <si>
    <t>19-11-CS07</t>
  </si>
  <si>
    <t>Code 4: heavy vegetation throughout site; unable to tow</t>
  </si>
  <si>
    <t>19-11-LSJ02</t>
  </si>
  <si>
    <t>19-11-LSJ03</t>
  </si>
  <si>
    <t>Code 2 on tow 1, float twisted around net</t>
  </si>
  <si>
    <t>19-11-PP02</t>
  </si>
  <si>
    <t>GPS point for tow 1 on land, moved 50 meters east</t>
  </si>
  <si>
    <t>19-11-CS06</t>
  </si>
  <si>
    <t>Code 4: Minimum depth not met</t>
  </si>
  <si>
    <t>19-11-CS08</t>
  </si>
  <si>
    <t>19-11-CS09</t>
  </si>
  <si>
    <t>19-11-CS05</t>
  </si>
  <si>
    <t>19-11-CS04</t>
  </si>
  <si>
    <t>19-11-GB01</t>
  </si>
  <si>
    <t>Code 2: on tow 1, lead line wrapped around net</t>
  </si>
  <si>
    <t>19-11-SM04</t>
  </si>
  <si>
    <t>19-11-SM05</t>
  </si>
  <si>
    <t>1 Wakasagi (92 mm) captured and retained for ID verification</t>
  </si>
  <si>
    <t>19-12-LSR04</t>
  </si>
  <si>
    <t xml:space="preserve"> 10/15/2018</t>
  </si>
  <si>
    <t>19-12-LSR03</t>
  </si>
  <si>
    <t>19-12-CS01</t>
  </si>
  <si>
    <t>19-12-CS03</t>
  </si>
  <si>
    <t>Paired with Directed Outflow Project habitat sampling, Code 2 on three of the four tows</t>
  </si>
  <si>
    <t>19-12-CS02</t>
  </si>
  <si>
    <t>19-12-GB01</t>
  </si>
  <si>
    <t>19-12-GB02</t>
  </si>
  <si>
    <t>Paired with Directed Outflow Project habitat sampling. Changed towing direction on Tow2 due to depth, code2 on tow 4</t>
  </si>
  <si>
    <t>19-12-SM01</t>
  </si>
  <si>
    <t>19-12-LSR01</t>
  </si>
  <si>
    <t>Paired with Directed Outflow Project habitat sampling. Code 2 on tow 2, partial net twist at box</t>
  </si>
  <si>
    <t>19-12-LSR02</t>
  </si>
  <si>
    <t>19-12-RV01</t>
  </si>
  <si>
    <t>19-12-RV02</t>
  </si>
  <si>
    <t>19-12-CS05</t>
  </si>
  <si>
    <t>19-12-CS06</t>
  </si>
  <si>
    <t>19-12-CS04</t>
  </si>
  <si>
    <t>19-12-CS07</t>
  </si>
  <si>
    <t>Code 2 on tow 1, net twisted</t>
  </si>
  <si>
    <t>19-12-GB03</t>
  </si>
  <si>
    <t>19-12-SM03</t>
  </si>
  <si>
    <t>19-12-SM02</t>
  </si>
  <si>
    <t>19-12-LSJ02</t>
  </si>
  <si>
    <t>19-12-LSJ01</t>
  </si>
  <si>
    <t>19-12-LSJ03</t>
  </si>
  <si>
    <t>19-12-USSC02</t>
  </si>
  <si>
    <t>Paired with Directed Outflow Project habitat sampling. Code 2 on tow 1&amp;2, partial rope twist at box</t>
  </si>
  <si>
    <t>19-12-USSC01</t>
  </si>
  <si>
    <t>19-12-LSSC03</t>
  </si>
  <si>
    <r>
      <t xml:space="preserve">Code 2 on tow 1, twist at box; </t>
    </r>
    <r>
      <rPr>
        <sz val="11"/>
        <color rgb="FFFF0000"/>
        <rFont val="Times New Roman"/>
        <family val="1"/>
      </rPr>
      <t>4 Wakasagi (80-110 mm) captured and retained for ID verification</t>
    </r>
  </si>
  <si>
    <t>19-12-LSSC04</t>
  </si>
  <si>
    <t>48-56</t>
  </si>
  <si>
    <t>3 Wakasagi (86-96 mm) captured and retained for ID verification</t>
  </si>
  <si>
    <t>19-12-SBW02</t>
  </si>
  <si>
    <t>Paired with Directed Outflow Project habitat sampling. Code 2 on tow 4, tow over target range</t>
  </si>
  <si>
    <t>19-12-SBM01</t>
  </si>
  <si>
    <t>19-12-SBW01</t>
  </si>
  <si>
    <t>Paired with Directed Outflow Project habitat sampling. Code 2 on tow 1, net twisted</t>
  </si>
  <si>
    <t>19-12-PP01</t>
  </si>
  <si>
    <t>Code 2 on tows 1, 2 &amp; 3, buoy line wrapped around the net</t>
  </si>
  <si>
    <t>19-12-PP02</t>
  </si>
  <si>
    <t>19-12-SJT01</t>
  </si>
  <si>
    <t>19-12-LSSC01</t>
  </si>
  <si>
    <t>19-12-LSSC05</t>
  </si>
  <si>
    <t>19-12-LSSC02</t>
  </si>
  <si>
    <t>19-12-SBW04</t>
  </si>
  <si>
    <t>19-12-SBW03</t>
  </si>
  <si>
    <t>Code 2 on tow 4, went over target range</t>
  </si>
  <si>
    <t>19-12-CF01</t>
  </si>
  <si>
    <t>Flow meter went in late on tow 1, 5 min 30 sec.</t>
  </si>
  <si>
    <t>19-13-PP02</t>
  </si>
  <si>
    <t>19-13-PP03</t>
  </si>
  <si>
    <t>19-13-PP01</t>
  </si>
  <si>
    <t>Code 3 on tow 3, veg blocked net. Code 2 on tow 4, went over distance limits</t>
  </si>
  <si>
    <t>19-13-LSSC01</t>
  </si>
  <si>
    <t>19-13-LSSC02</t>
  </si>
  <si>
    <t>19-13-LSSC03</t>
  </si>
  <si>
    <r>
      <t xml:space="preserve">Paired with Directed Outflow Project habitat sampling; </t>
    </r>
    <r>
      <rPr>
        <sz val="11"/>
        <color rgb="FFFF0000"/>
        <rFont val="Times New Roman"/>
        <family val="1"/>
      </rPr>
      <t>6 Wakasagi (92-98 mm) captured and retained for ID verification</t>
    </r>
  </si>
  <si>
    <t>19-13-CF01</t>
  </si>
  <si>
    <t>19-13-HB01</t>
  </si>
  <si>
    <t>19-13-SBW01</t>
  </si>
  <si>
    <t>19-13-SJT02</t>
  </si>
  <si>
    <t>19-13-SJT01</t>
  </si>
  <si>
    <t>19-13-LSJ02</t>
  </si>
  <si>
    <t>19-13-SJT03</t>
  </si>
  <si>
    <t>19-13-LSJ01</t>
  </si>
  <si>
    <t>Code 4: no sample taken due to dredging in channel</t>
  </si>
  <si>
    <t>19-13-CF03</t>
  </si>
  <si>
    <t>19-13-SBW02</t>
  </si>
  <si>
    <t>19-13-CF02</t>
  </si>
  <si>
    <t>19-13-USSC01</t>
  </si>
  <si>
    <t>Tows 1 and 2 were code 2 (float line wrapped around net)</t>
  </si>
  <si>
    <t>19-13-LSSC05</t>
  </si>
  <si>
    <t>19-13-LSSC04</t>
  </si>
  <si>
    <t>19-13-CS06</t>
  </si>
  <si>
    <t>19-13-CS05</t>
  </si>
  <si>
    <t>19-13-CS04</t>
  </si>
  <si>
    <t>19-13-CS01</t>
  </si>
  <si>
    <t>19-13-SM01</t>
  </si>
  <si>
    <t>19-13-GB01</t>
  </si>
  <si>
    <t>Paired with Directed Outflow Project habitat sampling; Tow 1 was code 2 (had to tow against current due to limiting depth in towing lane)</t>
  </si>
  <si>
    <t>19-13-SM02</t>
  </si>
  <si>
    <t>19-13-LSR01</t>
  </si>
  <si>
    <t>19-13-LSR02</t>
  </si>
  <si>
    <t>Paired with Directed Outflow Project habitat sampling: Tow 1 was code 2 (twist in net)</t>
  </si>
  <si>
    <t>19-13-RV01</t>
  </si>
  <si>
    <t>19-13-RV03</t>
  </si>
  <si>
    <t>19-13-CS03</t>
  </si>
  <si>
    <t>19-13-CS02</t>
  </si>
  <si>
    <t>Paired with Directed Outflow Project habitat sampling; Tows 1 and 5 were code 2 (partial blockage due to vegetation); Tow 5 was cut short to 8 min due to vegetation; Tow 2 was code 3 (full bloackage of net by vegetation, 5th tow completed)</t>
  </si>
  <si>
    <t>19-13-SM04</t>
  </si>
  <si>
    <t>19-13-SM03</t>
  </si>
  <si>
    <t>19-13-LSR03</t>
  </si>
  <si>
    <t>19-13-RV04</t>
  </si>
  <si>
    <t>19-13-RV05</t>
  </si>
  <si>
    <t>19-13-RV02</t>
  </si>
  <si>
    <t>19-14-LSR03</t>
  </si>
  <si>
    <t>19-14-LSR04</t>
  </si>
  <si>
    <t>19-14-RV02</t>
  </si>
  <si>
    <t xml:space="preserve">Tow 2 was code 2: twist in net </t>
  </si>
  <si>
    <t>19-14-CS03</t>
  </si>
  <si>
    <t>19-14-CS01</t>
  </si>
  <si>
    <t>19-14-CS02</t>
  </si>
  <si>
    <t>Paired with Directed Outflow Project habitat sampling; Tow 2 was code 2: went over target range; Tow 3 was code 2: partial twist in net</t>
  </si>
  <si>
    <t>19-14-CS05</t>
  </si>
  <si>
    <t>19-14-SM01</t>
  </si>
  <si>
    <t>19-14-SM03</t>
  </si>
  <si>
    <t>19-14-SM02</t>
  </si>
  <si>
    <t>19-14-LSR01</t>
  </si>
  <si>
    <t>19-14-LSR02</t>
  </si>
  <si>
    <t>Paired with Directed Outflow Project habitat sampling; DSM flash frozen for UCDavis</t>
  </si>
  <si>
    <t>19-14-RV01</t>
  </si>
  <si>
    <t>19-14-CS06</t>
  </si>
  <si>
    <t>Tows 1 and 2 were code 2: partial blockage due to veg; Tow 4 was code 3: full blockage due to veg</t>
  </si>
  <si>
    <t>19-14-CS04</t>
  </si>
  <si>
    <t>Code 4: too much veg at site</t>
  </si>
  <si>
    <t>19-14-CS07</t>
  </si>
  <si>
    <t>Tow 1 was code 2: partial blockage due to veg</t>
  </si>
  <si>
    <t>19-14-GB01</t>
  </si>
  <si>
    <t>19-14-GB02</t>
  </si>
  <si>
    <t>19-14-SM04</t>
  </si>
  <si>
    <t xml:space="preserve">Tow 1 was code 3: net got stuck in mud; No other tows were attempted </t>
  </si>
  <si>
    <t>19-14-SM05</t>
  </si>
  <si>
    <t>Tow 1 was code 2: buoy line wrapped around cod end</t>
  </si>
  <si>
    <t>19-14-PP02</t>
  </si>
  <si>
    <t>19-14-PP01</t>
  </si>
  <si>
    <t>19-14-PP03</t>
  </si>
  <si>
    <t>19-14-LSSC01</t>
  </si>
  <si>
    <t>2 Wakasagi (95 mm) captured and retained for ID verification; Paired with Directed Outflow Project habitat sampling</t>
  </si>
  <si>
    <t>19-14-LSSC02</t>
  </si>
  <si>
    <t>3 Wakasagi (84-102 mm) captured and retained for ID verification; Paired with Directed Outflow Project habitat sampling</t>
  </si>
  <si>
    <t>19-14-LSSC03</t>
  </si>
  <si>
    <t>DSM flash frozen for UCDavis; Paired with Directed Outflow Project habitat sampling</t>
  </si>
  <si>
    <t>19-14-USSC01</t>
  </si>
  <si>
    <t>19-14-HB01</t>
  </si>
  <si>
    <t>19-14-CF02</t>
  </si>
  <si>
    <t>19-14-CF01</t>
  </si>
  <si>
    <t>Code 4: Fishermen in site</t>
  </si>
  <si>
    <t>19-14-SBW01</t>
  </si>
  <si>
    <t>19-14-LSJ02</t>
  </si>
  <si>
    <t>19-14-SJT01</t>
  </si>
  <si>
    <t>19-14-LSJ01</t>
  </si>
  <si>
    <t>19-14-LSSC06</t>
  </si>
  <si>
    <t>48-57</t>
  </si>
  <si>
    <t>3 Wakasagi (91-100 mm) captured and retained for ID verification</t>
  </si>
  <si>
    <t>19-14-LSSC05</t>
  </si>
  <si>
    <t>19-14-LSSC04</t>
  </si>
  <si>
    <t>19-14-SBW02</t>
  </si>
  <si>
    <t>19-14-SBW03</t>
  </si>
  <si>
    <t>19-14-HB02</t>
  </si>
  <si>
    <t>19-15-CS02</t>
  </si>
  <si>
    <t xml:space="preserve">Paired with Directed Outflow Project habitat sampling. Code 2 on tow 1 and code 3's on tow 2 &amp; 3 due to heavy veg, </t>
  </si>
  <si>
    <t>19-15-CS06</t>
  </si>
  <si>
    <t>Paired with Directed Outflow Project habitat sampling. Code 2 on tow 1, veg.</t>
  </si>
  <si>
    <t>19-15-CS04</t>
  </si>
  <si>
    <t>Paired with Directed Outflow Project habitat sampling. Code 2 on tows 2 &amp; 3, veg blocking net and twist in net, respectively</t>
  </si>
  <si>
    <t>19-15-CS03</t>
  </si>
  <si>
    <t>19-15-CS05</t>
  </si>
  <si>
    <t>19-15-CS01</t>
  </si>
  <si>
    <t>19-15-RV02</t>
  </si>
  <si>
    <t>Code 2 on tow 3, Ended at 0.62</t>
  </si>
  <si>
    <t>19-15-LSR04</t>
  </si>
  <si>
    <t>19-15-LSR03</t>
  </si>
  <si>
    <t>19-15-SBM02</t>
  </si>
  <si>
    <t>19-15-SBW01</t>
  </si>
  <si>
    <t>19-15-SBM01</t>
  </si>
  <si>
    <t>19-15-LSR01</t>
  </si>
  <si>
    <t>19-15-LSR02</t>
  </si>
  <si>
    <t>19-15-RV01</t>
  </si>
  <si>
    <t>19-15-RV03</t>
  </si>
  <si>
    <t>19-15-CS08</t>
  </si>
  <si>
    <t>Tow 3 was code 2 (vegetation blocking mouth of box)</t>
  </si>
  <si>
    <t>19-15-CS09</t>
  </si>
  <si>
    <t>19-15-CS11</t>
  </si>
  <si>
    <t>19-15-CS07</t>
  </si>
  <si>
    <t>19-15-CS10</t>
  </si>
  <si>
    <t>19-15-SBW02</t>
  </si>
  <si>
    <t>19-15-SBW03</t>
  </si>
  <si>
    <t>19-15-CF01</t>
  </si>
  <si>
    <t>Tows 1 and 2 were code 2 (twist in net)</t>
  </si>
  <si>
    <t>19-15-SM03</t>
  </si>
  <si>
    <t>19-15-SM01</t>
  </si>
  <si>
    <t>19-15-GB01</t>
  </si>
  <si>
    <t>52-100</t>
  </si>
  <si>
    <t>19-15-SM02</t>
  </si>
  <si>
    <t>19-15-LSSC01</t>
  </si>
  <si>
    <t>50-53</t>
  </si>
  <si>
    <t>DSM flash frozen for UCDavis; Paired with Directed Outflow Project habitat sampling; 2 Wakasagi (97 and 103 mm) captured and retained for ID verification</t>
  </si>
  <si>
    <t>19-15-USSC02</t>
  </si>
  <si>
    <t>19-15-USSC01</t>
  </si>
  <si>
    <t>19-15-USSC03</t>
  </si>
  <si>
    <t>19-15-LSJ03</t>
  </si>
  <si>
    <t>19-15-LSJ02</t>
  </si>
  <si>
    <t>19-15-LSJ04</t>
  </si>
  <si>
    <t>19-15-LSSC02</t>
  </si>
  <si>
    <t>Tows 1,2,3, and 4 were code 2: veg blocking mouth of box</t>
  </si>
  <si>
    <t>19-15-LSSC03</t>
  </si>
  <si>
    <t>19-15-PP01</t>
  </si>
  <si>
    <t>Ended tow early due to high amounts of veg in water; No other tows attempted</t>
  </si>
  <si>
    <t>19-15-PP02</t>
  </si>
  <si>
    <t>19-15-LSJ01</t>
  </si>
  <si>
    <t>Tow 4 was code 2: ended at .60</t>
  </si>
  <si>
    <t>19-15-SM05</t>
  </si>
  <si>
    <t>19-15-SM04</t>
  </si>
  <si>
    <t>DSM flash frozen for UCDavis; 6 Wakasagi (85-110 mm) captured and retained for ID verification</t>
  </si>
  <si>
    <t>19-15-GB02</t>
  </si>
  <si>
    <t>95-103</t>
  </si>
  <si>
    <t>Tows 3 and 4 were not attempted due to rough conditions</t>
  </si>
  <si>
    <t>19-16-PP01</t>
  </si>
  <si>
    <t>19-16-PP02</t>
  </si>
  <si>
    <t>19-16-SJT02</t>
  </si>
  <si>
    <t>Note: due to poor air quality, crews did not complete sampling in Suisun Bay or the Sac Deep Water Shipping Channel</t>
  </si>
  <si>
    <t>19-16-SJT01</t>
  </si>
  <si>
    <t>19-16-LSJ01</t>
  </si>
  <si>
    <t>19-16-LSJ02</t>
  </si>
  <si>
    <t>Tow 1 was code 3 (bars were twisted, tow ended 7.5 min early), 5th tow completed</t>
  </si>
  <si>
    <t>19-16-LSSC01</t>
  </si>
  <si>
    <t>19-16-LSSC02</t>
  </si>
  <si>
    <t>Paired with Directed Outflow Project habitat sampling; Tow 1 was code 2: partial twist in net</t>
  </si>
  <si>
    <t>19-16-LSSC03</t>
  </si>
  <si>
    <t>19-16-SBW01</t>
  </si>
  <si>
    <t>19-16-SBM02</t>
  </si>
  <si>
    <t>19-16-SBM01</t>
  </si>
  <si>
    <t>Paired with Directed Outflow Project habitat sampling: Tow 4 was code 2: partial net twist</t>
  </si>
  <si>
    <t>19-16-RV01</t>
  </si>
  <si>
    <t>Paired with Directed Outflow Project habitat sampling; tow 1 was code 2 (net twisted)</t>
  </si>
  <si>
    <t>19-16-RV02</t>
  </si>
  <si>
    <t>Paired with Directed Outflow Project habitat sampling; tow 1 was code 3 (net twisted, tow ended after 1 minute), 5th tow completed</t>
  </si>
  <si>
    <t>19-16-RV03</t>
  </si>
  <si>
    <t>19-16-GB01</t>
  </si>
  <si>
    <t>Paired with Directed Outflow Project habitat sampling; tow 4 was code 2 (towed past target distance from target site)</t>
  </si>
  <si>
    <t>19-16-SM01</t>
  </si>
  <si>
    <t>19-16-SM02</t>
  </si>
  <si>
    <t>Paired with Directed Outflow Project habitat sampling; Note - due to poor air quality, the crew did not sample in the Cache Slough/Liberty Island stratum today</t>
  </si>
  <si>
    <t>Note: due to poor air quality, EDSM crews did not sample today</t>
  </si>
  <si>
    <t>19-17-LSR01</t>
  </si>
  <si>
    <t>Tow 3 was code 2 (towed past target distance from target site)</t>
  </si>
  <si>
    <t>19-17-RV04</t>
  </si>
  <si>
    <t>19-17-RV05</t>
  </si>
  <si>
    <t>19-17-CS01</t>
  </si>
  <si>
    <t>Paired with Directed Outflow Project habitat sampling; Tow 1 was code 2 (buoy line wrapped around net); tow 4 was code 2 (towed past target distance from site)</t>
  </si>
  <si>
    <t>19-17-CS03</t>
  </si>
  <si>
    <t>Paired with Directed Outflow Project habitat sampling; tow 2 was code 3 (vegetation blocking net), 5th tow completed</t>
  </si>
  <si>
    <t>19-17-CS04</t>
  </si>
  <si>
    <t>19-17-CS02</t>
  </si>
  <si>
    <t>Code 4: Site inside Liberty Island</t>
  </si>
  <si>
    <t>19-17-GB01</t>
  </si>
  <si>
    <t>19-17-GB02</t>
  </si>
  <si>
    <t>19-17-SM01</t>
  </si>
  <si>
    <t>Paired with Directed Outflow Project habitat sampling; Tow 2 was code 2 (net twisted near box)</t>
  </si>
  <si>
    <t>19-17-RV01</t>
  </si>
  <si>
    <t>Paired with Directed Outflow Project habitat sampling; Note: due to boat issues, no sampling was conducted in the Suisun Marsh stratum today</t>
  </si>
  <si>
    <t>19-17-RV02</t>
  </si>
  <si>
    <t>19-17-RV03</t>
  </si>
  <si>
    <t>Paired with Directed Outflow Project habitat sampling; Tow 1 was code 2: net twist</t>
  </si>
  <si>
    <t>19-17-CS06</t>
  </si>
  <si>
    <t>19-17-CS09</t>
  </si>
  <si>
    <t xml:space="preserve">Tow 2 was code 2: ended tow .66 miles from target; Tow 3 was code 2: twist in net </t>
  </si>
  <si>
    <t>19-17-CS05</t>
  </si>
  <si>
    <t>19-17-CS07</t>
  </si>
  <si>
    <t>19-17-CS08</t>
  </si>
  <si>
    <t>19-17-LSJ01</t>
  </si>
  <si>
    <t>19-17-LSJ03</t>
  </si>
  <si>
    <t>19-17-CF01</t>
  </si>
  <si>
    <t>19-17-HB01</t>
  </si>
  <si>
    <t>19-17-SBM01</t>
  </si>
  <si>
    <t>19-17-USSC01</t>
  </si>
  <si>
    <t>19-17-LSSC02</t>
  </si>
  <si>
    <t>DSM flash frozen for UCDavis; Paired with Directed Outflow Project habitat sampling; 1 Wakasagi (102 mm) captured and retained for ID verification</t>
  </si>
  <si>
    <t>19-17-LSSC01</t>
  </si>
  <si>
    <t>19-17-PP01</t>
  </si>
  <si>
    <t>19-17-SJT01</t>
  </si>
  <si>
    <t>19-17-SJT02</t>
  </si>
  <si>
    <t>19-17-LSJ02</t>
  </si>
  <si>
    <t>19-17-USSC02</t>
  </si>
  <si>
    <t>19-17-LSSC03</t>
  </si>
  <si>
    <t>26 Wakasagi (87-104 mm) captured and retained for ID verification</t>
  </si>
  <si>
    <t>19-17-LSSC04</t>
  </si>
  <si>
    <t>19-17-SM02</t>
  </si>
  <si>
    <t>19-17-HB02</t>
  </si>
  <si>
    <t>Tow 2 was code 2 (towed past target distance from target site)</t>
  </si>
  <si>
    <t>19-17-CF02</t>
  </si>
  <si>
    <t>19-17-SBW01</t>
  </si>
  <si>
    <t>19-18-PP02</t>
  </si>
  <si>
    <t>19-18-PP01</t>
  </si>
  <si>
    <t>19-18-SJT02</t>
  </si>
  <si>
    <t>Code 2 on tow 2 (partial blockage of net by vegetation)</t>
  </si>
  <si>
    <t>19-18-SJT01</t>
  </si>
  <si>
    <t>Tows 1 and 2 were code 3 (vegetation blocking net); Did not perform tows 3 and 4 due to heavy vegetation at site</t>
  </si>
  <si>
    <t>19-18-SM04</t>
  </si>
  <si>
    <t>19-18-SM02</t>
  </si>
  <si>
    <t>19-18-SM03</t>
  </si>
  <si>
    <t>19-18-SM01</t>
  </si>
  <si>
    <t>19-18-CS03</t>
  </si>
  <si>
    <t>19-18-CS01</t>
  </si>
  <si>
    <t>19-18-CS02</t>
  </si>
  <si>
    <t>19-18-LSJ01</t>
  </si>
  <si>
    <t>19-18-LSJ03</t>
  </si>
  <si>
    <t>19-18-LSJ02</t>
  </si>
  <si>
    <t>19-18-GB01</t>
  </si>
  <si>
    <t>57-107</t>
  </si>
  <si>
    <t>19-18-SM05</t>
  </si>
  <si>
    <t>19-18-SM06</t>
  </si>
  <si>
    <t>19-18-CS04</t>
  </si>
  <si>
    <t>19-18-CS05</t>
  </si>
  <si>
    <t>19-18-CS06</t>
  </si>
  <si>
    <t>19-18-LSR01</t>
  </si>
  <si>
    <t>19-18-LSR02</t>
  </si>
  <si>
    <t>19-18-RV01</t>
  </si>
  <si>
    <t>19-18-SBM01</t>
  </si>
  <si>
    <t>19-18-HB01</t>
  </si>
  <si>
    <t>19-18-CF01</t>
  </si>
  <si>
    <t>19-18-USSC03</t>
  </si>
  <si>
    <t>19-18-USSC04</t>
  </si>
  <si>
    <t>19-18-LSSC02</t>
  </si>
  <si>
    <t>19-18-USSC01</t>
  </si>
  <si>
    <t>19-18-USSC02</t>
  </si>
  <si>
    <t>19-18-LSSC01</t>
  </si>
  <si>
    <t>Paired with Directed Outflow Project habitat sampling; Tow 1 was code 2 (net twist around buoy)</t>
  </si>
  <si>
    <t>19-18-RV02</t>
  </si>
  <si>
    <t>19-18-LSR05</t>
  </si>
  <si>
    <t>61-64</t>
  </si>
  <si>
    <t>DSM flash frozen for UCDavis; Sampling in Suisun Bay was cancelled today due to unsafe conditions, rescheduled to Friday November 30</t>
  </si>
  <si>
    <t>19-18-SBW01</t>
  </si>
  <si>
    <t>19-18-SBM02</t>
  </si>
  <si>
    <t>18-45-SM01</t>
  </si>
  <si>
    <t>depth provided is minimum depth observed over tow (not starting depth)</t>
  </si>
  <si>
    <t>complete</t>
  </si>
  <si>
    <t>18-45-GB01</t>
  </si>
  <si>
    <t>Code 4: too shallow to perform tows</t>
  </si>
  <si>
    <t>18-45-GB02</t>
  </si>
  <si>
    <t>18-45-GB03</t>
  </si>
  <si>
    <t>18-45-GB04</t>
  </si>
  <si>
    <t>18-45-GB05</t>
  </si>
  <si>
    <t>18-45-GB06</t>
  </si>
  <si>
    <t>18-45-GB07</t>
  </si>
  <si>
    <t>18-45-SM02</t>
  </si>
  <si>
    <t>depth provided is minimum depth observed over tow (not starting depth); Did not perform 2nd tow due to shallow depths at site</t>
  </si>
  <si>
    <t>18-45-RV01</t>
  </si>
  <si>
    <t>18-45-LSR01</t>
  </si>
  <si>
    <t>18-45-RV02</t>
  </si>
  <si>
    <t>18-45-PP01</t>
  </si>
  <si>
    <t>18-45-SJT01</t>
  </si>
  <si>
    <t>18-45-LSJ01</t>
  </si>
  <si>
    <t>18-45-LSR02</t>
  </si>
  <si>
    <t>18-45-LSR03</t>
  </si>
  <si>
    <t>Turbidity meter malfunctioned after first reading; depth provided is minimum depth observed over tow (not starting depth)</t>
  </si>
  <si>
    <t>18-45-RV03</t>
  </si>
  <si>
    <t>Turbidity meter issue, no readings; depth provided is minimum depth observed over tow (not starting depth)</t>
  </si>
  <si>
    <t>18-45-RV04</t>
  </si>
  <si>
    <t>18-45-CS02</t>
  </si>
  <si>
    <t>18-45-CS03</t>
  </si>
  <si>
    <t>18-45-CS04</t>
  </si>
  <si>
    <t>18-45-CS01</t>
  </si>
  <si>
    <t>18-45-SBW01</t>
  </si>
  <si>
    <t>18-45-SBW02</t>
  </si>
  <si>
    <t>18-45-SBM01</t>
  </si>
  <si>
    <t xml:space="preserve">Tow 1 was code 3: winch issue after net was pulled in caused net to not be rinsed down (sample not retained); 2nd tow not completed at site </t>
  </si>
  <si>
    <t>18-45-SBM02</t>
  </si>
  <si>
    <t>18-45-SBM03</t>
  </si>
  <si>
    <t>18-45-HB01</t>
  </si>
  <si>
    <t>18-45-CF01</t>
  </si>
  <si>
    <t>18-45-HB02</t>
  </si>
  <si>
    <t>25.3-33.0</t>
  </si>
  <si>
    <t>18-45-CF02</t>
  </si>
  <si>
    <t>18-45-USSC01</t>
  </si>
  <si>
    <t>18-45-LSSC02</t>
  </si>
  <si>
    <t>18-45-LSSC01</t>
  </si>
  <si>
    <t>18-46-USSC01</t>
  </si>
  <si>
    <t>18-46-LSSC02</t>
  </si>
  <si>
    <t>18-46-LSSC01</t>
  </si>
  <si>
    <t>18-46-PP01</t>
  </si>
  <si>
    <t>18-46-SJT01</t>
  </si>
  <si>
    <t>18-46-LSJ01</t>
  </si>
  <si>
    <t>18-46-LSJ02</t>
  </si>
  <si>
    <t>18-46-LSR02</t>
  </si>
  <si>
    <t>18-46-LSR01</t>
  </si>
  <si>
    <t>18-46-RV02</t>
  </si>
  <si>
    <t>18-46-RV01</t>
  </si>
  <si>
    <t>depth provided is minimum depth observed over tow (not starting depth); tow 1 was code 3 due to cod end jar and neck falling off of net during tow, no sample reatined; 3rd tow completed at site</t>
  </si>
  <si>
    <t>18-46-HB01</t>
  </si>
  <si>
    <t>18-46-HB02</t>
  </si>
  <si>
    <t>no bottom water measurements for tow 2 due to YSI meter issue; DSM caught on tow 1</t>
  </si>
  <si>
    <t>18-46-CF01</t>
  </si>
  <si>
    <t>18-46-SBW01</t>
  </si>
  <si>
    <t>24.5-35</t>
  </si>
  <si>
    <t>18-46-SBW02</t>
  </si>
  <si>
    <t>30-33</t>
  </si>
  <si>
    <t>18-46-CF02</t>
  </si>
  <si>
    <t>18-46-SBM01</t>
  </si>
  <si>
    <t>18-46-HB03</t>
  </si>
  <si>
    <t>22.5-29.5</t>
  </si>
  <si>
    <t>18-46-LSR03</t>
  </si>
  <si>
    <t>18-46-RV03</t>
  </si>
  <si>
    <t>18-46-RV04</t>
  </si>
  <si>
    <t>18-46-CS02</t>
  </si>
  <si>
    <t>18-46-CS01</t>
  </si>
  <si>
    <t>sorting and sample identification will be completed week of June 18-22; tows 1 and 2 were code 2 (partial net block by vegetation); depth provided is minimum depth observed over tow (not starting depth)</t>
  </si>
  <si>
    <t>18-46-CS03</t>
  </si>
  <si>
    <t>18-46-CS04</t>
  </si>
  <si>
    <t>18-46-CS05</t>
  </si>
  <si>
    <t>sorting and sample identification will be completed week of June 18-22; depth provided is minimum depth observed over tow (not starting depth)</t>
  </si>
  <si>
    <t>18-46-CS06</t>
  </si>
  <si>
    <t>18-46-SM01</t>
  </si>
  <si>
    <t>sorting and sample identification will be completed week of June 18-22</t>
  </si>
  <si>
    <t>18-46-SM02</t>
  </si>
  <si>
    <t>sorting and sample identification will be completed week of June 18-23</t>
  </si>
  <si>
    <t>18-46-GB01</t>
  </si>
  <si>
    <t>18-47-RV02</t>
  </si>
  <si>
    <t xml:space="preserve">North </t>
  </si>
  <si>
    <t>18-47-RV01</t>
  </si>
  <si>
    <t>18-47-LSR02</t>
  </si>
  <si>
    <t>18-47-LSR01</t>
  </si>
  <si>
    <t xml:space="preserve">Suisun Bay </t>
  </si>
  <si>
    <t>18-47-SBM02</t>
  </si>
  <si>
    <t xml:space="preserve">Mid-Suisun Bay </t>
  </si>
  <si>
    <t>30.0-32.0</t>
  </si>
  <si>
    <t>Tow 2 sample lost (cod end lost during sampling), third tow completed to make it up</t>
  </si>
  <si>
    <t>18-47-SBM01</t>
  </si>
  <si>
    <t>18-47-LSR03</t>
  </si>
  <si>
    <t xml:space="preserve">Code 4: Too shallow </t>
  </si>
  <si>
    <t>18-47-LSR06</t>
  </si>
  <si>
    <t>18-47-RV03</t>
  </si>
  <si>
    <t>depth provided is minimum depth observed over tow (not starting depth).
Note: between 6/19 and 6/21, only one 20mm crew sampling due to boat issues with second crew</t>
  </si>
  <si>
    <t>18-47-LSR04</t>
  </si>
  <si>
    <t>18-47-LSR05</t>
  </si>
  <si>
    <t>18-47-RV04</t>
  </si>
  <si>
    <t>18-47-USSC01</t>
  </si>
  <si>
    <t>18-47-LSSC02</t>
  </si>
  <si>
    <t xml:space="preserve">depth provided is minimum depth observed over tow (not starting depth). one Wakasagi captured at 34mm. Retained for genetic verification. </t>
  </si>
  <si>
    <t>18-47-LSSC01</t>
  </si>
  <si>
    <t>18-47-CS02</t>
  </si>
  <si>
    <t>18-47-CS05</t>
  </si>
  <si>
    <t>&gt;1.80</t>
  </si>
  <si>
    <t>tow 2 Code 2, thick vegetation blocking net end</t>
  </si>
  <si>
    <t>18-47-PP01</t>
  </si>
  <si>
    <t>heavy vegetation during last minute of towing</t>
  </si>
  <si>
    <t>18-47-SJT01</t>
  </si>
  <si>
    <t>18-47-CS01</t>
  </si>
  <si>
    <t>Code 4: Too shallow, heavy vegetation</t>
  </si>
  <si>
    <t>18-47-CS03</t>
  </si>
  <si>
    <t>18-47-CS04</t>
  </si>
  <si>
    <t>18-47-SBW03</t>
  </si>
  <si>
    <t>30-32</t>
  </si>
  <si>
    <t>18-47-SBW02</t>
  </si>
  <si>
    <t>33-38</t>
  </si>
  <si>
    <t>18-47-CF01</t>
  </si>
  <si>
    <t>18-47-SM01</t>
  </si>
  <si>
    <t>18-47-SM02</t>
  </si>
  <si>
    <t>18-47-SM03</t>
  </si>
  <si>
    <t>18-47-SBW01</t>
  </si>
  <si>
    <t>18-47-GB01</t>
  </si>
  <si>
    <t>18-47-GB02</t>
  </si>
  <si>
    <t>18-48-CS01</t>
  </si>
  <si>
    <t>18-48-CS03</t>
  </si>
  <si>
    <t>18-48-CS07</t>
  </si>
  <si>
    <t>18-48-CS04</t>
  </si>
  <si>
    <t>18-48-CS05</t>
  </si>
  <si>
    <t>18-48-CS06</t>
  </si>
  <si>
    <t>18-48-CS02</t>
  </si>
  <si>
    <t>18-48-HB01</t>
  </si>
  <si>
    <t>18-48-SBM01</t>
  </si>
  <si>
    <t>18-48-CF01</t>
  </si>
  <si>
    <t>18-48-SBW01</t>
  </si>
  <si>
    <t>18-48-SBW02</t>
  </si>
  <si>
    <t>18-48-SBM02</t>
  </si>
  <si>
    <t>18-48-HB02</t>
  </si>
  <si>
    <t>18-48-USSC01</t>
  </si>
  <si>
    <t>18-48-USSC02</t>
  </si>
  <si>
    <t>18-48-LSSC01</t>
  </si>
  <si>
    <t>18-48-LSSC02</t>
  </si>
  <si>
    <t>18-48-RV01</t>
  </si>
  <si>
    <t>18-48-RV02</t>
  </si>
  <si>
    <t>18-48-RV03</t>
  </si>
  <si>
    <t>21 mm</t>
  </si>
  <si>
    <t>18-48-LSR01</t>
  </si>
  <si>
    <t>18-48-SM01</t>
  </si>
  <si>
    <t>18-48-SM03</t>
  </si>
  <si>
    <t>depth provided is minimum depth observed over tow (not starting depth); processing will be completed during week of July 2-6</t>
  </si>
  <si>
    <t>18-48-SM02</t>
  </si>
  <si>
    <t>18-48-GB02</t>
  </si>
  <si>
    <t>18-48-GB01</t>
  </si>
  <si>
    <t>18-48-GB03</t>
  </si>
  <si>
    <t>18-48-GB04</t>
  </si>
  <si>
    <t>18-48-PP02</t>
  </si>
  <si>
    <t xml:space="preserve">Tow 1 was 2.5 min due to lots of vegetation at site, tow 1 was code 3 due to vegetation blocking net, did not complete 2nd tow. </t>
  </si>
  <si>
    <t>18-48-PP01</t>
  </si>
  <si>
    <t>18-48-SJT01</t>
  </si>
  <si>
    <t>18-48-LSR02</t>
  </si>
  <si>
    <t>18-48-RV04</t>
  </si>
  <si>
    <t>18-48-RV05</t>
  </si>
  <si>
    <t>18-19-LSSC01</t>
  </si>
  <si>
    <t>Tow 1 was code 2 (buoytwisted around net)</t>
  </si>
  <si>
    <t>18-19-LSSC02</t>
  </si>
  <si>
    <t>18-19-FT01</t>
  </si>
  <si>
    <t>18-19-SJS01</t>
  </si>
  <si>
    <t>San Joaquin River near Stockton</t>
  </si>
  <si>
    <t>Tow 6 was code 2 (twist in net)</t>
  </si>
  <si>
    <t>18-19-SPE01</t>
  </si>
  <si>
    <t>18-19-SPE02</t>
  </si>
  <si>
    <t>18-19-SPE03</t>
  </si>
  <si>
    <t>Tows 4-6 not completed due to unsafe conditions (heavy winds)</t>
  </si>
  <si>
    <t>18-19-PP01</t>
  </si>
  <si>
    <t>18-19-SJT01</t>
  </si>
  <si>
    <t>18-19-LSJ01</t>
  </si>
  <si>
    <t>Upper Sacramento</t>
  </si>
  <si>
    <t>18-19-SRU01</t>
  </si>
  <si>
    <t>Upper Sacramento River</t>
  </si>
  <si>
    <t>18-19-SRU02</t>
  </si>
  <si>
    <t>18-19-CF01</t>
  </si>
  <si>
    <t>Tow 1 was code 2 (buoy line wrapped and twist in net)</t>
  </si>
  <si>
    <t>18-19-HB01</t>
  </si>
  <si>
    <t>18-19-SBW01</t>
  </si>
  <si>
    <t>18-19-SBM01</t>
  </si>
  <si>
    <t>Code 4: Site not sampled due to unsafe conditions (high winds and close to channel marker)</t>
  </si>
  <si>
    <t>18-19-CF02</t>
  </si>
  <si>
    <t>18-19-CS01</t>
  </si>
  <si>
    <t>18-19-CS02</t>
  </si>
  <si>
    <t>Tows 3-5 were code 3 (net full of vegetation)</t>
  </si>
  <si>
    <t>18-19-CS03</t>
  </si>
  <si>
    <t>18-19-SBW02</t>
  </si>
  <si>
    <t>18-19-SBW03</t>
  </si>
  <si>
    <t>18-19-SBM02</t>
  </si>
  <si>
    <t>18-19-CF03</t>
  </si>
  <si>
    <t>18-19-LSJ02</t>
  </si>
  <si>
    <t>Tow 1 ended early due to net snag, no other tows completed at the station due to shallowness</t>
  </si>
  <si>
    <t>18-19-PP02</t>
  </si>
  <si>
    <t>18-19-SJT02</t>
  </si>
  <si>
    <t>18-19-RV01</t>
  </si>
  <si>
    <t>18-19-RV02</t>
  </si>
  <si>
    <t>18-19-LSR01</t>
  </si>
  <si>
    <t>18-19-SM01</t>
  </si>
  <si>
    <t>18-19-SM02</t>
  </si>
  <si>
    <t>69-75</t>
  </si>
  <si>
    <t>1 LFS was code 9</t>
  </si>
  <si>
    <t>Eastern Delta</t>
  </si>
  <si>
    <t>18-19-MKR01</t>
  </si>
  <si>
    <t>North and South Forks Mokelumne River</t>
  </si>
  <si>
    <t>18-19-DS01</t>
  </si>
  <si>
    <t>Disappointment Slough</t>
  </si>
  <si>
    <t>Code 4 - no sample taken due to sea lions in area</t>
  </si>
  <si>
    <t>18-19-MKR02</t>
  </si>
  <si>
    <t>18-20-SM01</t>
  </si>
  <si>
    <t>18-20-GB01</t>
  </si>
  <si>
    <t>Tow 3 was code 2: Net wing twisted</t>
  </si>
  <si>
    <t>18-20-SM02</t>
  </si>
  <si>
    <t>DSM was code 9</t>
  </si>
  <si>
    <t>18-20-SRR01</t>
  </si>
  <si>
    <t>Sacramento River near Ryde</t>
  </si>
  <si>
    <t>start depth values collected by net boat because of chase boat meter issue</t>
  </si>
  <si>
    <t>18-20-SRR02</t>
  </si>
  <si>
    <t>18-20-MKR01</t>
  </si>
  <si>
    <t>18-20-MKR02</t>
  </si>
  <si>
    <t>Tow 1 was code 3: Net completely twisted</t>
  </si>
  <si>
    <t>18-20-PP01</t>
  </si>
  <si>
    <t>18-20-PP02</t>
  </si>
  <si>
    <t>Tow 3 was code 3 (trash bag in propeller), did 6th tow</t>
  </si>
  <si>
    <t>18-20-LSJ01</t>
  </si>
  <si>
    <t>18-20-CF01</t>
  </si>
  <si>
    <t>Tow 4 and 5 were code 2 (partial blockage due to vegetation)</t>
  </si>
  <si>
    <t>18-20-SBM01</t>
  </si>
  <si>
    <t>18-20-USSC01</t>
  </si>
  <si>
    <t>18-20-USSC02</t>
  </si>
  <si>
    <t>Tow 2 was code 8 due to sea lion in area, tow halted after 3:36 - towing resumed after waiting period; 6th tow completed</t>
  </si>
  <si>
    <t>18-20-LSSC01</t>
  </si>
  <si>
    <t>18-20-SJT01</t>
  </si>
  <si>
    <t>18-20-PP03</t>
  </si>
  <si>
    <t>18-20-LSJ02</t>
  </si>
  <si>
    <t>18-20-RV01</t>
  </si>
  <si>
    <t>18-20-LSR01</t>
  </si>
  <si>
    <t>Code 4: No water access to site</t>
  </si>
  <si>
    <t>18-20-LSR02</t>
  </si>
  <si>
    <t>18-20-RV02</t>
  </si>
  <si>
    <t>18-20-SPE01</t>
  </si>
  <si>
    <t>18-20-SPE02</t>
  </si>
  <si>
    <t>63-69</t>
  </si>
  <si>
    <t>18-20-SBM02</t>
  </si>
  <si>
    <t>Code 4: Site too close to Port Chicago</t>
  </si>
  <si>
    <t>18-20-SBM03</t>
  </si>
  <si>
    <t>18-20-CF03</t>
  </si>
  <si>
    <t>18-20-CF02</t>
  </si>
  <si>
    <t>18-20-MR01</t>
  </si>
  <si>
    <t>Middle River</t>
  </si>
  <si>
    <t>18-20-MR02</t>
  </si>
  <si>
    <t>18-20-CS02</t>
  </si>
  <si>
    <t>18-20-CS01</t>
  </si>
  <si>
    <t>Code 4: too shallow to get to site</t>
  </si>
  <si>
    <t>18-20-CS03</t>
  </si>
  <si>
    <t>18-20-CS04</t>
  </si>
  <si>
    <t>Tow 2 was code 2: vegetation in net</t>
  </si>
  <si>
    <t>18-21-CS01</t>
  </si>
  <si>
    <t>Cache Slough and Liberty island</t>
  </si>
  <si>
    <t>18-21-CS02</t>
  </si>
  <si>
    <t>18-21-CS03</t>
  </si>
  <si>
    <t>18-21-MI01</t>
  </si>
  <si>
    <t>Mildred Island</t>
  </si>
  <si>
    <t>18-21-HC01</t>
  </si>
  <si>
    <t xml:space="preserve">Code 4: Boat issues, will re-schedule sampling on Friday </t>
  </si>
  <si>
    <t>18-21-PP01</t>
  </si>
  <si>
    <t>18-21-SJT01</t>
  </si>
  <si>
    <t>18-21-LSJ01</t>
  </si>
  <si>
    <t>18-21-RV01</t>
  </si>
  <si>
    <t>18-21-LSR01</t>
  </si>
  <si>
    <t>Code 4: site in Sherman Lake, too shallow</t>
  </si>
  <si>
    <t>18-21-LSR02</t>
  </si>
  <si>
    <t>18-21-RV02</t>
  </si>
  <si>
    <t>18-21-LNR01</t>
  </si>
  <si>
    <t>Tow 2 was code 8 due to sea lion in area, tow halted after 7:10, no more tows completed at site</t>
  </si>
  <si>
    <t>18-21-SPE01</t>
  </si>
  <si>
    <t>Tow 1 was code 8 due to sea lion in area, tow halted after 20 seconds into tow, no more tows completed at site</t>
  </si>
  <si>
    <t>18-21-SPE02</t>
  </si>
  <si>
    <t>18-21-CQS01</t>
  </si>
  <si>
    <t>Tow 2 was code 2 (net twisted at live box)</t>
  </si>
  <si>
    <t>18-21-PP02</t>
  </si>
  <si>
    <t>18-21-SJT02</t>
  </si>
  <si>
    <t>18-21-LSJ02</t>
  </si>
  <si>
    <t>18-21-SRU01</t>
  </si>
  <si>
    <t>No turbidity taken due to meter issue</t>
  </si>
  <si>
    <t>18-21-SRR01</t>
  </si>
  <si>
    <t>18-21-SBW01</t>
  </si>
  <si>
    <t>18-21-SBW02</t>
  </si>
  <si>
    <t>18-21-HB01</t>
  </si>
  <si>
    <t>18-21-CF01</t>
  </si>
  <si>
    <t>18-21-SBM01</t>
  </si>
  <si>
    <t>18-21-SM03</t>
  </si>
  <si>
    <t>18-21-SM02</t>
  </si>
  <si>
    <t>Code 4: wind became too strong to sample at this site; no more samples collected in this stratum today, sampling will occur Friday 12/22</t>
  </si>
  <si>
    <t>18-21-MKR01</t>
  </si>
  <si>
    <t>18-21-MKR02</t>
  </si>
  <si>
    <t>18-21-USSC01</t>
  </si>
  <si>
    <t>18-21-LSSC01</t>
  </si>
  <si>
    <t>18-21-SM04</t>
  </si>
  <si>
    <t>18-21-SM01</t>
  </si>
  <si>
    <t>18-22-SRU01</t>
  </si>
  <si>
    <t>18-22-SRR01</t>
  </si>
  <si>
    <t>18-22-PP01</t>
  </si>
  <si>
    <t>18-22-SJT01</t>
  </si>
  <si>
    <t>18-22-SJT02</t>
  </si>
  <si>
    <t>18-22-SM01</t>
  </si>
  <si>
    <t>18-22-SM03</t>
  </si>
  <si>
    <t>18-22-SM02</t>
  </si>
  <si>
    <t>18-22-SM04</t>
  </si>
  <si>
    <t>18-22-LSJ02</t>
  </si>
  <si>
    <t>18-22-LSJ01</t>
  </si>
  <si>
    <t>18-22-PP02</t>
  </si>
  <si>
    <t>18-22-USSC01</t>
  </si>
  <si>
    <t>18-22-LSSC01</t>
  </si>
  <si>
    <t>18-22-LSSC02</t>
  </si>
  <si>
    <t>18-22-LNR01</t>
  </si>
  <si>
    <t>18-22-SPE01</t>
  </si>
  <si>
    <t>18-22-MKR01</t>
  </si>
  <si>
    <t>18-22-MKR02</t>
  </si>
  <si>
    <t>18-22-SBW01</t>
  </si>
  <si>
    <t>18-22-SBM02</t>
  </si>
  <si>
    <t>18-22-SBM01</t>
  </si>
  <si>
    <t>18-22-CS03</t>
  </si>
  <si>
    <t>18-22-CS01</t>
  </si>
  <si>
    <t>18-22-CS02</t>
  </si>
  <si>
    <t>18-22-SBW02</t>
  </si>
  <si>
    <t>18-22-CF01</t>
  </si>
  <si>
    <t>18-22-RV01</t>
  </si>
  <si>
    <t>18-22-RV02</t>
  </si>
  <si>
    <t>Tows 1 and 3 were code 2: net twisted ; Tow 2 was code 8: tow cut short due to sea lion; Stopped after tow 3 due to sea lion in sampling are and thick fog</t>
  </si>
  <si>
    <t>18-22-SJS01</t>
  </si>
  <si>
    <t>18-22-FT01</t>
  </si>
  <si>
    <t>18-22-FT02</t>
  </si>
  <si>
    <t>Tow 1 was code 3: Very thick veg blocking most of net; Tows 2-6 were not completed due to thick fog.</t>
  </si>
  <si>
    <t>18-23-CS01</t>
  </si>
  <si>
    <t>18-23-CS02</t>
  </si>
  <si>
    <t>18-23-CS03</t>
  </si>
  <si>
    <t>18-23-CS04</t>
  </si>
  <si>
    <t>18-23-SBW01</t>
  </si>
  <si>
    <t>Code 4: Point inside Mothball Fleet boudaries</t>
  </si>
  <si>
    <t>18-23-SBM01</t>
  </si>
  <si>
    <t>18-23-CF01</t>
  </si>
  <si>
    <t>18-23-CF02</t>
  </si>
  <si>
    <t>18-23-DS01</t>
  </si>
  <si>
    <t>18-23-DS02</t>
  </si>
  <si>
    <t>Code 2 on Tow #2 Partial blockage in net, veg</t>
  </si>
  <si>
    <t>18-23-HC01</t>
  </si>
  <si>
    <t>18-23-MI01</t>
  </si>
  <si>
    <t>Tow 6 was code 8: tow ended 4 mins early due to sea lion sighting</t>
  </si>
  <si>
    <t>18-23-SBW02</t>
  </si>
  <si>
    <t>18-23-SBM02</t>
  </si>
  <si>
    <t>18-23-SBM03</t>
  </si>
  <si>
    <t>18-23-SRU01</t>
  </si>
  <si>
    <t>Tow 3 was code 2: partial twist near box</t>
  </si>
  <si>
    <t>18-23-SRU02</t>
  </si>
  <si>
    <t>18-23-PP01</t>
  </si>
  <si>
    <t>18-23-LSJ01</t>
  </si>
  <si>
    <t>18-23-SJT01</t>
  </si>
  <si>
    <t>18-23-SJT02</t>
  </si>
  <si>
    <t>18-23-LSSC02</t>
  </si>
  <si>
    <t>18-23-LSSC01</t>
  </si>
  <si>
    <t>Tow 1 was code 2: partial twist near box</t>
  </si>
  <si>
    <t>18-23-USSC01</t>
  </si>
  <si>
    <t>18-23-LSSC03</t>
  </si>
  <si>
    <t>18-23-GB01</t>
  </si>
  <si>
    <t>18-23-SM01</t>
  </si>
  <si>
    <t>63-68</t>
  </si>
  <si>
    <t>18-23-SM02</t>
  </si>
  <si>
    <t>66-82</t>
  </si>
  <si>
    <t>18-23-PP02</t>
  </si>
  <si>
    <t>18-23-LSJ02</t>
  </si>
  <si>
    <t>18-23-SJT03</t>
  </si>
  <si>
    <t xml:space="preserve">Code 4: Site too shallow </t>
  </si>
  <si>
    <t>18-23-RV01</t>
  </si>
  <si>
    <t>18-23-LSR01</t>
  </si>
  <si>
    <t>18-23-LSR02</t>
  </si>
  <si>
    <t>18-23-CQS01</t>
  </si>
  <si>
    <t>LFS dead upon capture so brought back to office</t>
  </si>
  <si>
    <t>18-23-SPE01</t>
  </si>
  <si>
    <t>Tow 1 ended at 8 min due to sea lion sighting</t>
  </si>
  <si>
    <t>18-24-PP01</t>
  </si>
  <si>
    <t>18-24-LSJ01</t>
  </si>
  <si>
    <t>18-24-SJT01</t>
  </si>
  <si>
    <t>18-24-CS01</t>
  </si>
  <si>
    <t>18-24-CS02</t>
  </si>
  <si>
    <t>18-24-CS03</t>
  </si>
  <si>
    <t>Tows 2, 3, and 5 were code 2: partial net blockage by vegetation</t>
  </si>
  <si>
    <t>18-24-SPE01</t>
  </si>
  <si>
    <t>18-24-SPE02</t>
  </si>
  <si>
    <t>18-24-USSC01</t>
  </si>
  <si>
    <t>18-24-USSC02</t>
  </si>
  <si>
    <t>18-24-PP02</t>
  </si>
  <si>
    <t>18-24SJT03</t>
  </si>
  <si>
    <t>18-24SJT02</t>
  </si>
  <si>
    <t>18-24-SM01</t>
  </si>
  <si>
    <t>18-24-LSJ02</t>
  </si>
  <si>
    <t>18-24-SM02</t>
  </si>
  <si>
    <t>18-24-SM03</t>
  </si>
  <si>
    <t>18-24-FT01</t>
  </si>
  <si>
    <t>18-24-OR01</t>
  </si>
  <si>
    <t>18-24-CF01</t>
  </si>
  <si>
    <t>18-24-SBW01</t>
  </si>
  <si>
    <t>18-24-SBW02</t>
  </si>
  <si>
    <t>18-24-SRU02</t>
  </si>
  <si>
    <t>Tow 2 was code 2: Partial debris blockage; CHNF with FL of 36 was mortality, brought back to office</t>
  </si>
  <si>
    <t>18-24-SRU01</t>
  </si>
  <si>
    <t>18-24-RV02</t>
  </si>
  <si>
    <t>18-24-RV01</t>
  </si>
  <si>
    <t>18-24-SBW03</t>
  </si>
  <si>
    <t>18-24-SBM01</t>
  </si>
  <si>
    <t>18-24-MKR01</t>
  </si>
  <si>
    <t>18-24-MKR02</t>
  </si>
  <si>
    <t>18-25-CF01</t>
  </si>
  <si>
    <t>18-25-SBM01</t>
  </si>
  <si>
    <t>18-25-USSC01</t>
  </si>
  <si>
    <t>18-25-LSSC01</t>
  </si>
  <si>
    <t>18-25-LSSC02</t>
  </si>
  <si>
    <t>18-25-DS01</t>
  </si>
  <si>
    <t>Tow 1 was code 3: Net twisted and hit bottom multiple times, caught a lot of mud and rock; Turbidity meter not working; Did not complete tows 2-6 because of too many shallow spots on tow 1</t>
  </si>
  <si>
    <t>18-25-MKR01</t>
  </si>
  <si>
    <t>All tows were code 3: net twisted, and tow 1 had float line wrapped around net; Turbidity meter not working</t>
  </si>
  <si>
    <t>18-25-MKR02</t>
  </si>
  <si>
    <t>Tows 1 to 4 were code 3: net twisted, and tow 3 had buoy wrapped around cod end</t>
  </si>
  <si>
    <t>18-25-PP01</t>
  </si>
  <si>
    <t>18-25-LSJ01</t>
  </si>
  <si>
    <t>RBT was code 9 on tow 5</t>
  </si>
  <si>
    <t>18-25-PP02</t>
  </si>
  <si>
    <t>18-25-RV01</t>
  </si>
  <si>
    <t>Site paired with eDNA collection for DWR</t>
  </si>
  <si>
    <t>18-25-LSR01</t>
  </si>
  <si>
    <t>18-25-LSR02</t>
  </si>
  <si>
    <t>18-25-SBW01</t>
  </si>
  <si>
    <t>18-25-SBW02</t>
  </si>
  <si>
    <t>Tow 1 was code 2: buoy line twisted around net</t>
  </si>
  <si>
    <t>18-25-CF02</t>
  </si>
  <si>
    <t>18-25-PP03</t>
  </si>
  <si>
    <t>18-25-LSJ02</t>
  </si>
  <si>
    <t>18-25-LSJ03</t>
  </si>
  <si>
    <t>18-25-CS02</t>
  </si>
  <si>
    <t>Site paired with eDNA collection for DWR; no turbidity reading</t>
  </si>
  <si>
    <t>18-25-CS01</t>
  </si>
  <si>
    <t>18-25-SPE02</t>
  </si>
  <si>
    <t>18-25-SPE01</t>
  </si>
  <si>
    <t>Tow 4 was code 8: sea lion spotted 10 seconds into tow, tow halted and 7th tow completed</t>
  </si>
  <si>
    <t>18-25-SRR01</t>
  </si>
  <si>
    <t>18-25-SRU01</t>
  </si>
  <si>
    <t xml:space="preserve">Upper Sacramento River </t>
  </si>
  <si>
    <t>18-25-MI01</t>
  </si>
  <si>
    <t>18-25-HC01</t>
  </si>
  <si>
    <t>Tows 3 and 4 were code 2: Net partially blocked with vegetation; Tows 5 and 6 were not completed due to sea lion in area</t>
  </si>
  <si>
    <t>18-25-SM01</t>
  </si>
  <si>
    <t>59-67</t>
  </si>
  <si>
    <t>Site paired with eDNA collection for DWR; Extra tow completed</t>
  </si>
  <si>
    <t>18-25-SM02</t>
  </si>
  <si>
    <t>18-26-MKR01</t>
  </si>
  <si>
    <t>Tow 3 was code 3 (vegetation blocking net), 7th tow added</t>
  </si>
  <si>
    <t>18-26-MKR02</t>
  </si>
  <si>
    <t>18-26-SM01</t>
  </si>
  <si>
    <t>Code 4: Site not accessible due to low water and outgoing tide</t>
  </si>
  <si>
    <t>18-26-SM02</t>
  </si>
  <si>
    <t>18-26-SM03</t>
  </si>
  <si>
    <t>18-26-USSC01</t>
  </si>
  <si>
    <t>18-26-LSSC01</t>
  </si>
  <si>
    <t>DSM brought back to lab for identification</t>
  </si>
  <si>
    <t>18-26-LSSC02</t>
  </si>
  <si>
    <t>18-26-LSJ01</t>
  </si>
  <si>
    <t>18-26-LSJ02</t>
  </si>
  <si>
    <t>18-26-LSJ03</t>
  </si>
  <si>
    <t>18-26-SBW01</t>
  </si>
  <si>
    <t>18-26-CF01</t>
  </si>
  <si>
    <t>18-26-CF02</t>
  </si>
  <si>
    <t>18-26-SRR01</t>
  </si>
  <si>
    <t>no turbidity taken due to unit issue</t>
  </si>
  <si>
    <t>18-26-SRU01</t>
  </si>
  <si>
    <t>18-26-RV01</t>
  </si>
  <si>
    <t>18-26-RV02</t>
  </si>
  <si>
    <t>18-26-PP01</t>
  </si>
  <si>
    <t>18-26-SJT01</t>
  </si>
  <si>
    <t>18-26-LNR01</t>
  </si>
  <si>
    <t>18-26-CQS01</t>
  </si>
  <si>
    <t>18-26-SBM01</t>
  </si>
  <si>
    <t>18-26-SBM02</t>
  </si>
  <si>
    <t>18-26-CS01</t>
  </si>
  <si>
    <t>Site paired with eDNA collection for DWR; Tow 1 was code 2: buoy wrapped around net</t>
  </si>
  <si>
    <t>18-26-CS02</t>
  </si>
  <si>
    <t>18-26-CS03</t>
  </si>
  <si>
    <t>18-26-GL01</t>
  </si>
  <si>
    <t>Great Line Canal and Old River</t>
  </si>
  <si>
    <t>18-26-OR01</t>
  </si>
  <si>
    <t>18-26-FT01</t>
  </si>
  <si>
    <t>18-27-PP01</t>
  </si>
  <si>
    <t>18-27-RV01</t>
  </si>
  <si>
    <t>18-27-LSR01</t>
  </si>
  <si>
    <t>18-27-RV02</t>
  </si>
  <si>
    <t>18-27-SJT01</t>
  </si>
  <si>
    <t>18-27-SJT02</t>
  </si>
  <si>
    <t>18-27-SBW01</t>
  </si>
  <si>
    <t>18-27-SBW02</t>
  </si>
  <si>
    <t>18-27-HB01</t>
  </si>
  <si>
    <t>18-27-PP02</t>
  </si>
  <si>
    <t>18-27-SM01</t>
  </si>
  <si>
    <t>Sea Lion sighted tow 3, short tow (4min, 9sec); Site paired with eDNA collection for DWR</t>
  </si>
  <si>
    <t>18-27-GB01</t>
  </si>
  <si>
    <t>55-78</t>
  </si>
  <si>
    <t>18-27-LSSC01</t>
  </si>
  <si>
    <t>18-27-LSSC02</t>
  </si>
  <si>
    <t>18-27-VC01</t>
  </si>
  <si>
    <t>18-27-FT01</t>
  </si>
  <si>
    <t>18-27-SRU01</t>
  </si>
  <si>
    <t>18-27-SRU02</t>
  </si>
  <si>
    <t>18-27-CF01</t>
  </si>
  <si>
    <t>18-27-SBM02</t>
  </si>
  <si>
    <t>18-27-SBM01</t>
  </si>
  <si>
    <t>18-27-SBW03</t>
  </si>
  <si>
    <t>Code 4: site too close to restricted area</t>
  </si>
  <si>
    <t>18-27-CS01</t>
  </si>
  <si>
    <t>18-27-CS02</t>
  </si>
  <si>
    <t>An extra tow conducted. Heavy veg on tows 3 &amp; 5, tow 5 is gear condition code 3</t>
  </si>
  <si>
    <t>18-27-CS03</t>
  </si>
  <si>
    <t>18-27-MKR01</t>
  </si>
  <si>
    <t>18-27-MKR02</t>
  </si>
  <si>
    <t>Tow 1 short tow (1min) net did not deploy properly</t>
  </si>
  <si>
    <t>18-27-DS01</t>
  </si>
  <si>
    <t>18-27-CQS01</t>
  </si>
  <si>
    <t>18-27-CQS02</t>
  </si>
  <si>
    <t>18-28-HC01</t>
  </si>
  <si>
    <t>18-28-HC02</t>
  </si>
  <si>
    <t xml:space="preserve">Code 4: Site on land </t>
  </si>
  <si>
    <t>18-28-MR01</t>
  </si>
  <si>
    <t>18-28-SBW02</t>
  </si>
  <si>
    <t>18-28-SBW01</t>
  </si>
  <si>
    <t xml:space="preserve">Tow 4 was code 2: partial veg blockage </t>
  </si>
  <si>
    <t>18-28-SBM01</t>
  </si>
  <si>
    <t>Code 4: site in restricted area</t>
  </si>
  <si>
    <t>18-28-CF01</t>
  </si>
  <si>
    <t>18-28-SRU01</t>
  </si>
  <si>
    <t>18-28-SRU02</t>
  </si>
  <si>
    <t>18-28-PP02</t>
  </si>
  <si>
    <t>18-28-PP01</t>
  </si>
  <si>
    <t>18-28-LSSC02</t>
  </si>
  <si>
    <t>18-28-LSSC01</t>
  </si>
  <si>
    <t>18-28-USSC01</t>
  </si>
  <si>
    <t>18-28-SBW03</t>
  </si>
  <si>
    <t>18-28-SBW04</t>
  </si>
  <si>
    <t>64-100</t>
  </si>
  <si>
    <t>LFS expressions = 10 Egg, 1 Milt, 22 X; 2 LFS were mortalities and were returned to office</t>
  </si>
  <si>
    <t>18-28-LSJ01</t>
  </si>
  <si>
    <t>18-28-HB01</t>
  </si>
  <si>
    <t>18-28-PP03</t>
  </si>
  <si>
    <t>18-28-SJT01</t>
  </si>
  <si>
    <t>18-28-SJT02</t>
  </si>
  <si>
    <t>18-28-CS01</t>
  </si>
  <si>
    <t>18-28-CS02</t>
  </si>
  <si>
    <t>Tow #2 terminated early, due to sea lion present, rest of tows cancelled</t>
  </si>
  <si>
    <t>18-28-CS04</t>
  </si>
  <si>
    <t>18-28-CS03</t>
  </si>
  <si>
    <t>18-28-SPE01</t>
  </si>
  <si>
    <t>Sea lion spotted at end of tow #2, waited 15 min and moved back to target</t>
  </si>
  <si>
    <t>18-28-SPE02</t>
  </si>
  <si>
    <t>18-28-RV01</t>
  </si>
  <si>
    <t>Tow 5 was code 2 (cod end blocked with debris)</t>
  </si>
  <si>
    <t>18-28-LSR01</t>
  </si>
  <si>
    <t>18-28-LSR02</t>
  </si>
  <si>
    <t>18-28-RV02</t>
  </si>
  <si>
    <t>18-28-SM01</t>
  </si>
  <si>
    <t>LFS not examined for expression</t>
  </si>
  <si>
    <t>18-28-GB01</t>
  </si>
  <si>
    <t>18-28-GB02</t>
  </si>
  <si>
    <t>18-28-MKR02</t>
  </si>
  <si>
    <t>18-28-MKR01</t>
  </si>
  <si>
    <t>Tows 3 and 5 were code 3 (net completely full of vegetation); Tow 4 was code 2 (vegetation in net); 6th tow not completed due to vegetation</t>
  </si>
  <si>
    <t>18-29-MI01</t>
  </si>
  <si>
    <t>18-29-MR01</t>
  </si>
  <si>
    <t>18-29-VC01</t>
  </si>
  <si>
    <t>18-29-SRR01</t>
  </si>
  <si>
    <t>18-29-SRU01</t>
  </si>
  <si>
    <t>18-29-LNR01</t>
  </si>
  <si>
    <t>18-29-CQS01</t>
  </si>
  <si>
    <t>18-29-RV01</t>
  </si>
  <si>
    <t>18-29-LSR01</t>
  </si>
  <si>
    <t>Code 4: high wind and tangled net; unsafe conditions</t>
  </si>
  <si>
    <t>18-29-SBM01</t>
  </si>
  <si>
    <t>18-29-CF01</t>
  </si>
  <si>
    <t>18-29-MKR01</t>
  </si>
  <si>
    <t>18-29-MKR02</t>
  </si>
  <si>
    <t>18-29-SBW01</t>
  </si>
  <si>
    <t>Code 4: Site too close to dock</t>
  </si>
  <si>
    <t>18-29-SBW02</t>
  </si>
  <si>
    <t>18-29-SBM02</t>
  </si>
  <si>
    <t>18-29-PP01</t>
  </si>
  <si>
    <t>18-29-SJT01</t>
  </si>
  <si>
    <t>18-29-LSJ01</t>
  </si>
  <si>
    <t>18-29-CS01</t>
  </si>
  <si>
    <t>Code 4: Thick veg in shallow water</t>
  </si>
  <si>
    <t>18-29-CS02</t>
  </si>
  <si>
    <t>18-29-CS03</t>
  </si>
  <si>
    <t>Code 4: Point on land, too far from site in shallow water</t>
  </si>
  <si>
    <t>18-29-CS04</t>
  </si>
  <si>
    <t>18-29-CS05</t>
  </si>
  <si>
    <t>18-29-RV02</t>
  </si>
  <si>
    <t>18-29-PP02</t>
  </si>
  <si>
    <t>Tow 3 was code 2 (buoy line wrapped)</t>
  </si>
  <si>
    <t>18-29-LSJ02</t>
  </si>
  <si>
    <t>18-29-PP03</t>
  </si>
  <si>
    <t>18-29-LSSC01</t>
  </si>
  <si>
    <t>18-29-LSSC02</t>
  </si>
  <si>
    <t>18-29-USSC01</t>
  </si>
  <si>
    <t>Did not complete 5th tow because sea lion arrived and wind increased; tow 1 was code 2 (net twisted and buoy wrapped around net)</t>
  </si>
  <si>
    <t>18-29-SM01</t>
  </si>
  <si>
    <t>18-29-SM02</t>
  </si>
  <si>
    <t>78-85</t>
  </si>
  <si>
    <t>18-30-RV01</t>
  </si>
  <si>
    <t>18-30-LSR01</t>
  </si>
  <si>
    <t>DSM captured in tow 5</t>
  </si>
  <si>
    <t>18-30-RV02</t>
  </si>
  <si>
    <t>No tows completed after tow 2 due to sea lions in the area</t>
  </si>
  <si>
    <t>18-30-OR01</t>
  </si>
  <si>
    <t>1 tow completed, code 8: sea lions arrived in area; no more tows completed at site</t>
  </si>
  <si>
    <t>18-30-MI01</t>
  </si>
  <si>
    <t>18-30-FT01</t>
  </si>
  <si>
    <t>Tow 1 was 11 min 15 sec due to timer issue</t>
  </si>
  <si>
    <t>18-30-LNR01</t>
  </si>
  <si>
    <t>18-30-SPE01</t>
  </si>
  <si>
    <t>Tow 5 was code 8 (ended after 1 min due to sea lion); 7th tow completed</t>
  </si>
  <si>
    <t>18-30-LSJ01</t>
  </si>
  <si>
    <t>18-30-LSJ03</t>
  </si>
  <si>
    <t>18-30-LSJ02</t>
  </si>
  <si>
    <t>18-30-LSSC02</t>
  </si>
  <si>
    <t>18-30-LSSC01</t>
  </si>
  <si>
    <t>18-30-USSC01</t>
  </si>
  <si>
    <t>18-30-GB01</t>
  </si>
  <si>
    <t>66-84</t>
  </si>
  <si>
    <t>Tow 1 was coide 2 (partial net twist)</t>
  </si>
  <si>
    <t>18-30-GB02</t>
  </si>
  <si>
    <t>Tow 2 was code 2 (partial net twist); LFS verified in lab</t>
  </si>
  <si>
    <t>18-30-SM01</t>
  </si>
  <si>
    <t>18-30-SJT01</t>
  </si>
  <si>
    <t>Tow 2 was code 2 (buoy line wrapped)</t>
  </si>
  <si>
    <t>18-30-PP01</t>
  </si>
  <si>
    <t>18-30-PP02</t>
  </si>
  <si>
    <t>18-30-CF01</t>
  </si>
  <si>
    <t>18-30-HB01</t>
  </si>
  <si>
    <t>18-30-CS01</t>
  </si>
  <si>
    <t>Tow 2 was code 8 (tow stopped after 1 min due to sea lion); 6th tow completed</t>
  </si>
  <si>
    <t>18-30-CS02</t>
  </si>
  <si>
    <t>18-30-CS03</t>
  </si>
  <si>
    <t>18-30-CS04</t>
  </si>
  <si>
    <t>18-30-MKR01</t>
  </si>
  <si>
    <t>Tow 1 was code 3: Net twisted and pulled after 1 min</t>
  </si>
  <si>
    <t>18-30-MKR02</t>
  </si>
  <si>
    <t>Only 4 tows completed due to persistent sea lion in sampling area</t>
  </si>
  <si>
    <t>18-30-SBW02</t>
  </si>
  <si>
    <t>18-30-SBW01</t>
  </si>
  <si>
    <t>79-90</t>
  </si>
  <si>
    <t>LFS expressions = 1 Milt, 2 X; 1 LFS was code 9</t>
  </si>
  <si>
    <t>18-30-CF02</t>
  </si>
  <si>
    <t>Code 4: Too windy</t>
  </si>
  <si>
    <t>18-30-SRU01</t>
  </si>
  <si>
    <t>192-223</t>
  </si>
  <si>
    <t>18-30-SRU02</t>
  </si>
  <si>
    <t>18-31-LSSC02</t>
  </si>
  <si>
    <t>18-31-LSSC01</t>
  </si>
  <si>
    <t>Tow 1 was code 2: Partial twist in net</t>
  </si>
  <si>
    <t>18-31-USSC01</t>
  </si>
  <si>
    <t>18-31-SM01</t>
  </si>
  <si>
    <t>18-31-GB01</t>
  </si>
  <si>
    <t>18-31-DS01</t>
  </si>
  <si>
    <t xml:space="preserve">Tows 1, 3, 4, and 5 were code 2: Veg in net; Tow 6 was code 2: Twist in net; Tow 2 was code 3: Tow ended after 2 min due to boat engine problems </t>
  </si>
  <si>
    <t>18-31-MKR01</t>
  </si>
  <si>
    <t>18-31-LSR01</t>
  </si>
  <si>
    <t>Tow 1 was code 2 (partial net twist); tows 4 and 5 not completed due to high wind and no other sites sampled in stratum due to wind</t>
  </si>
  <si>
    <t>18-31-PP01</t>
  </si>
  <si>
    <t>18-31-PP02</t>
  </si>
  <si>
    <t>18-31-SBM02</t>
  </si>
  <si>
    <t>18-31-SBM01</t>
  </si>
  <si>
    <t>18-31-CF01</t>
  </si>
  <si>
    <t>192-238</t>
  </si>
  <si>
    <t>18-31-SJT01</t>
  </si>
  <si>
    <t>18-31-LSJ01</t>
  </si>
  <si>
    <t>18-31-LSJ02</t>
  </si>
  <si>
    <t>18-31-SBW01</t>
  </si>
  <si>
    <t>193-216</t>
  </si>
  <si>
    <t>1 RBTC was a mortality and not measured; Tow 4 was code 3: Box opened</t>
  </si>
  <si>
    <t>18-31-SBM03</t>
  </si>
  <si>
    <t>18-31-CF02</t>
  </si>
  <si>
    <t>RBTCs were code 9 fish, no measurements were taken</t>
  </si>
  <si>
    <t>18-31-CS02</t>
  </si>
  <si>
    <t>214-226</t>
  </si>
  <si>
    <t>Tows 4 and 5 were not attempted due to sea lion in sampling area and hunters on bank; 1 RBTC was code 9</t>
  </si>
  <si>
    <t>18-31-RV01</t>
  </si>
  <si>
    <t>18-31-CS01</t>
  </si>
  <si>
    <t>18-31-SRU01</t>
  </si>
  <si>
    <t>18-31-SRR01</t>
  </si>
  <si>
    <t>Tow 2 was code 8 (sea lion arrived, ended after 3 min); tows 3-6 not completed due to inclement weather</t>
  </si>
  <si>
    <t>No sites sampled in Southern Delta due to unsafe conditions; sampling rescheduled for Friday</t>
  </si>
  <si>
    <t>No sites sampled in Western Delta due to unsafe conditions; sampling rescheduled for Friday</t>
  </si>
  <si>
    <t>18-31-SPE01</t>
  </si>
  <si>
    <t>18-31-SPE02</t>
  </si>
  <si>
    <t>18-31-FT01</t>
  </si>
  <si>
    <t>18-31-RS01</t>
  </si>
  <si>
    <t>Tows 1 and 2 were code 3 (thick vegetation blocking net); tows 3-6 not completed due to heavy vegetation at site</t>
  </si>
  <si>
    <t>18-31-MR01</t>
  </si>
  <si>
    <t>Tow 1 ended early (after 3.2 min) due to ferry in center of site</t>
  </si>
  <si>
    <t>18-32-CS01</t>
  </si>
  <si>
    <t>18-32-CS02</t>
  </si>
  <si>
    <t>Tows 1-3 were unintentionally located in the Sac Deep Water Shipping Channel stratum and will not be included in analysis (the target site location was 5 meters from the boundary); 3 more tows (4-6) were possible once the boat was repositioned in the Cache Slough/Liberty Island stratum; RBTC was caught in tow 6</t>
  </si>
  <si>
    <t>18-32-CS03</t>
  </si>
  <si>
    <t>18-32-MKR01</t>
  </si>
  <si>
    <t>18-32-MKR02</t>
  </si>
  <si>
    <t>18-32-SM02</t>
  </si>
  <si>
    <t>18-32-SM01</t>
  </si>
  <si>
    <t>18-32-SRU02</t>
  </si>
  <si>
    <t>18-32-SRU01</t>
  </si>
  <si>
    <t>18-32-MR01</t>
  </si>
  <si>
    <t>18-32-HC01</t>
  </si>
  <si>
    <t>18-32-HC02</t>
  </si>
  <si>
    <t>18-32-CF01</t>
  </si>
  <si>
    <t>18-32-SBW01</t>
  </si>
  <si>
    <t>RBTC were code 9 fish</t>
  </si>
  <si>
    <t>18-32-SBM01</t>
  </si>
  <si>
    <t>184, 216</t>
  </si>
  <si>
    <t>18-32-LSSC02</t>
  </si>
  <si>
    <t>18-32-LSSC01</t>
  </si>
  <si>
    <t>Code 2 on tow 1, float line wrapped around net</t>
  </si>
  <si>
    <t>18-32-USSC01</t>
  </si>
  <si>
    <t>18-32-LSJ01</t>
  </si>
  <si>
    <t>18-32-LSJ02</t>
  </si>
  <si>
    <t>18-32-SJT01</t>
  </si>
  <si>
    <t>18-32-HB01</t>
  </si>
  <si>
    <t>18-32-SBM02</t>
  </si>
  <si>
    <t>173, 191</t>
  </si>
  <si>
    <t>One RBTC was code 9 fish</t>
  </si>
  <si>
    <t>18-32-SBM03</t>
  </si>
  <si>
    <t>Code 2s on tows 1 &amp; 3 float line wrapped and net twisted</t>
  </si>
  <si>
    <t>18-32-CF02</t>
  </si>
  <si>
    <t>18-32-RV01</t>
  </si>
  <si>
    <t>18-32-LSR01</t>
  </si>
  <si>
    <t>18-32-LSJ03</t>
  </si>
  <si>
    <t>18-32-PP01</t>
  </si>
  <si>
    <t>18-32-SJT02</t>
  </si>
  <si>
    <t>18-32-CQS01</t>
  </si>
  <si>
    <t>Code 8 on tow #1 (5.5 min), sea lion sighted</t>
  </si>
  <si>
    <t>18-32-LNR01</t>
  </si>
  <si>
    <t>18-33-SBW01</t>
  </si>
  <si>
    <t>18-33-SBM01</t>
  </si>
  <si>
    <t>18-33-SBM02</t>
  </si>
  <si>
    <t>18-33-SRU01</t>
  </si>
  <si>
    <t>18-33-SRU02</t>
  </si>
  <si>
    <t>18-33-DS01</t>
  </si>
  <si>
    <t>18-33-MKR02</t>
  </si>
  <si>
    <t>18-33-MKR01</t>
  </si>
  <si>
    <t>During tow 4, the boat unintentionally moved over the stratum boundary to the Lower San Joaquin stratum, so tow 4 will not be included in analysis; Tows 1-3 and 5-6 were located in the target stratum (Eastern Delta)</t>
  </si>
  <si>
    <t>18-33-CF02</t>
  </si>
  <si>
    <t>18-33-CF03</t>
  </si>
  <si>
    <t>18-33-CF01</t>
  </si>
  <si>
    <t>18-33-LSR01</t>
  </si>
  <si>
    <t>18-33-RV02</t>
  </si>
  <si>
    <t>18-33-RV01</t>
  </si>
  <si>
    <t>18-33-PP01</t>
  </si>
  <si>
    <t>Tow 1 was code 2: float line wrapped around cod-end</t>
  </si>
  <si>
    <t>18-33-SJT01</t>
  </si>
  <si>
    <t>18-33-SJT02</t>
  </si>
  <si>
    <t>18-33-LSJ01</t>
  </si>
  <si>
    <t>18-33-LSJ02</t>
  </si>
  <si>
    <t>18-33-PP02</t>
  </si>
  <si>
    <t>18-33-LSSC01</t>
  </si>
  <si>
    <t>18-33-LSSC02</t>
  </si>
  <si>
    <t>Code 4: sea lion present in sampling area</t>
  </si>
  <si>
    <t>18-33-LSSC03</t>
  </si>
  <si>
    <t>18-33-USSC01</t>
  </si>
  <si>
    <t>18-33-CQS01</t>
  </si>
  <si>
    <t xml:space="preserve">Tow 3 was code 2: Buoy wrapped around net </t>
  </si>
  <si>
    <t>18-33-SPE01</t>
  </si>
  <si>
    <t>18-33-SM01</t>
  </si>
  <si>
    <t>Tow 1 was code 2: Partial twist, buoy wrapped around net</t>
  </si>
  <si>
    <t>18-33-SM02</t>
  </si>
  <si>
    <t>18-33-SM03</t>
  </si>
  <si>
    <t>18-33-SM04</t>
  </si>
  <si>
    <t>18-33-CS01</t>
  </si>
  <si>
    <t>18-33-CS02</t>
  </si>
  <si>
    <t>Tow 2 was code 2: vegetation in net; Only two tows were completed due to high amount of veg at site</t>
  </si>
  <si>
    <t>18-33-CS03</t>
  </si>
  <si>
    <t>18-33-FT01</t>
  </si>
  <si>
    <t>18-33-FT02</t>
  </si>
  <si>
    <t>18-33-MR01</t>
  </si>
  <si>
    <t>18-34-LSSC02</t>
  </si>
  <si>
    <t>18-34-LSSC03</t>
  </si>
  <si>
    <t>18-34-LSSC01</t>
  </si>
  <si>
    <t>RBTC was a code 9 fish</t>
  </si>
  <si>
    <t>18-34-HC01</t>
  </si>
  <si>
    <t>18-34-FT01</t>
  </si>
  <si>
    <t>All tows were code 2 (net partially blocked by vegetation)</t>
  </si>
  <si>
    <t>18-34-HC02</t>
  </si>
  <si>
    <t>Tow 1 was code 2 (net partially blocked by vegetation)</t>
  </si>
  <si>
    <t>18-34-SBW01</t>
  </si>
  <si>
    <t>18-34-SBM01</t>
  </si>
  <si>
    <t>18-34-SBM02</t>
  </si>
  <si>
    <t>18-34-CF01</t>
  </si>
  <si>
    <t>18-34-SBM03</t>
  </si>
  <si>
    <t>Tow 1 was code 2: Twist in net</t>
  </si>
  <si>
    <t>18-34-CS02</t>
  </si>
  <si>
    <t>18-34-CS01</t>
  </si>
  <si>
    <t>18-34-CS04</t>
  </si>
  <si>
    <t>18-34-CS03</t>
  </si>
  <si>
    <t>18-34-LSJ03</t>
  </si>
  <si>
    <t>18-34-LSJ02</t>
  </si>
  <si>
    <t>18-34-SJT01</t>
  </si>
  <si>
    <t>18-34-LSJ01</t>
  </si>
  <si>
    <t>18-34-SRU02</t>
  </si>
  <si>
    <t>18-34-SRU01</t>
  </si>
  <si>
    <t>18-34-PP01</t>
  </si>
  <si>
    <t>18-34-PP02</t>
  </si>
  <si>
    <t>Code 2 for tow 4, twist in net</t>
  </si>
  <si>
    <t>18-34-SJT02</t>
  </si>
  <si>
    <t>Code 2 for tows 1,2 &amp; 4, twists in net. Code 3 on tow 3, total blockage, extra tow conducted</t>
  </si>
  <si>
    <t>18-34-SPE01</t>
  </si>
  <si>
    <t>18-34-SPE02</t>
  </si>
  <si>
    <t>18-34-CQS01</t>
  </si>
  <si>
    <t>18-34-MKR01</t>
  </si>
  <si>
    <t>RBTC was a code 9 fish and mortality (brought back to office); Tows 1 and 2 were code 2 (partial net block by vegetation)</t>
  </si>
  <si>
    <t>18-34-DS01</t>
  </si>
  <si>
    <t>18-34-SM01</t>
  </si>
  <si>
    <t>18-34-SM02</t>
  </si>
  <si>
    <t>18-34-LSR01</t>
  </si>
  <si>
    <t>Code 4: site inaccessible</t>
  </si>
  <si>
    <t>18-34-LSR02</t>
  </si>
  <si>
    <t>18-34-RV01</t>
  </si>
  <si>
    <t>18-34-RV02</t>
  </si>
  <si>
    <t>18-35-LSJ01</t>
  </si>
  <si>
    <t>18-35-LSJ02</t>
  </si>
  <si>
    <t>18-35-SJT01</t>
  </si>
  <si>
    <t>San Joaquin River ata Twitchell Island</t>
  </si>
  <si>
    <t>18-35-SM02</t>
  </si>
  <si>
    <t>18-35-SM01</t>
  </si>
  <si>
    <t>18-35-LSR01</t>
  </si>
  <si>
    <t>All tows were code 3: crew realized after sampling at site that net bars had issue, they were likely crossed for all tows</t>
  </si>
  <si>
    <t>18-35-RV02</t>
  </si>
  <si>
    <t>Tow 3 was code 3 (bars would not separate so tow ended after 1:30 to fix); 6th tow completed</t>
  </si>
  <si>
    <t>18-35-RV01</t>
  </si>
  <si>
    <t>37-53</t>
  </si>
  <si>
    <t>18-35-PP02</t>
  </si>
  <si>
    <t>18-35-PP01</t>
  </si>
  <si>
    <t>18-35-SJT02</t>
  </si>
  <si>
    <t>18-35-LSSC01</t>
  </si>
  <si>
    <t>RBTC was mortality (brought back to office)</t>
  </si>
  <si>
    <t>30-69</t>
  </si>
  <si>
    <t>CHNF with fork lengths 30 and 37 were stage 2, CHNF with fork length 69 was stage 3</t>
  </si>
  <si>
    <t>18-35-USSC01</t>
  </si>
  <si>
    <t>18-35-LSSC02</t>
  </si>
  <si>
    <t>18-35-CQS01</t>
  </si>
  <si>
    <t>Tow 2 was code 2 (twsit in met)</t>
  </si>
  <si>
    <t>18-35-LNR01</t>
  </si>
  <si>
    <t>18-35-SBW01</t>
  </si>
  <si>
    <t>18-35-SBW02</t>
  </si>
  <si>
    <t>18-35-SBW03</t>
  </si>
  <si>
    <t>Code 4: Site in Mothball Fleet</t>
  </si>
  <si>
    <t>18-35-CS01</t>
  </si>
  <si>
    <t>18-35-CS02</t>
  </si>
  <si>
    <t xml:space="preserve">Tow 1 was code 2: buoy line twisted around net; Tow 5 cut short because net got snagged </t>
  </si>
  <si>
    <t>18-35-MKR01</t>
  </si>
  <si>
    <t>36-40</t>
  </si>
  <si>
    <t>18-35-MKR02</t>
  </si>
  <si>
    <t>18-35-SBM01</t>
  </si>
  <si>
    <t>18-35-SBM02</t>
  </si>
  <si>
    <t>18-35-SBM03</t>
  </si>
  <si>
    <t>18-35-CF01</t>
  </si>
  <si>
    <t>110-124</t>
  </si>
  <si>
    <t>CHNT with fork length of 124 was mortality</t>
  </si>
  <si>
    <t>18-35-HC01</t>
  </si>
  <si>
    <t>18-35-SJS01</t>
  </si>
  <si>
    <t>18-35-SRU01</t>
  </si>
  <si>
    <t>75-90</t>
  </si>
  <si>
    <t>2 CHNT were code 9; Tow 5 was code 2 (float wrapped around net)</t>
  </si>
  <si>
    <t>57-66</t>
  </si>
  <si>
    <t>18-35-SRU02</t>
  </si>
  <si>
    <t>35-45</t>
  </si>
  <si>
    <t>17-49-FT01</t>
  </si>
  <si>
    <t>17-49-PP01</t>
  </si>
  <si>
    <t>17-49-SRU04</t>
  </si>
  <si>
    <t>17-49-SRU01</t>
  </si>
  <si>
    <t>17-49-SRR01</t>
  </si>
  <si>
    <t>Code 4: site too close to bridge to sample</t>
  </si>
  <si>
    <t>17-49-CQS01</t>
  </si>
  <si>
    <t>17-49-CQS04</t>
  </si>
  <si>
    <t>17-49-CS01</t>
  </si>
  <si>
    <t>Cache Slough &amp; Liberty Island</t>
  </si>
  <si>
    <t>30-56</t>
  </si>
  <si>
    <t>No</t>
  </si>
  <si>
    <t>17-49-CS02</t>
  </si>
  <si>
    <t>17-49-SJS01</t>
  </si>
  <si>
    <t>17-49-PP02</t>
  </si>
  <si>
    <t>17-49-SPE01</t>
  </si>
  <si>
    <t>17-49-SPE03</t>
  </si>
  <si>
    <t>Suisun Bay/Marsh</t>
  </si>
  <si>
    <t>17-49-SBM01</t>
  </si>
  <si>
    <t>17-49-SBM02</t>
  </si>
  <si>
    <t>41-54</t>
  </si>
  <si>
    <t>17-49-MKR01</t>
  </si>
  <si>
    <t>17-49-MKR02</t>
  </si>
  <si>
    <t>17-49-SSC01</t>
  </si>
  <si>
    <t>Sacramento River Ship Channel</t>
  </si>
  <si>
    <t>Tow 1 shortened to 2.5 min because of smelt caught in area on 6/5; Tow 2 was shortened to 1 minute due to smelt in first tow</t>
  </si>
  <si>
    <t>17-49-SSC02</t>
  </si>
  <si>
    <t>33-50</t>
  </si>
  <si>
    <t>2 DSM brought back to office</t>
  </si>
  <si>
    <t>17-49-SJT01</t>
  </si>
  <si>
    <t>17-49-SJT02</t>
  </si>
  <si>
    <t>17-49-RV01</t>
  </si>
  <si>
    <t>17-49-RV02</t>
  </si>
  <si>
    <t>17-49-LSJ01</t>
  </si>
  <si>
    <t>17-49-LSJ03</t>
  </si>
  <si>
    <t>Code 2 on tows 2 and 3: partial vegetation blockage</t>
  </si>
  <si>
    <t>17-49-LSJ02</t>
  </si>
  <si>
    <t>17-50-SJT01</t>
  </si>
  <si>
    <t>17-50-SJT05</t>
  </si>
  <si>
    <t>17-50-SJT02</t>
  </si>
  <si>
    <t>17-50-SJT04</t>
  </si>
  <si>
    <t>17-50-SRR01</t>
  </si>
  <si>
    <t>17-50-SRU01</t>
  </si>
  <si>
    <t>17-50-RV01</t>
  </si>
  <si>
    <t>17-50-RV02</t>
  </si>
  <si>
    <t>17-50-MKR01</t>
  </si>
  <si>
    <t>Code 2 on tow 1: Buoy wrapped around net, Tow 7 cut short (8 min.) due to log on net</t>
  </si>
  <si>
    <t xml:space="preserve">Code 4: Small craft advisory due to rough conditions, will re-schedule sampling on Friday </t>
  </si>
  <si>
    <t>17-50-CS01</t>
  </si>
  <si>
    <t>31-53</t>
  </si>
  <si>
    <t>17-50-CS02</t>
  </si>
  <si>
    <t>Tow 4: Larval brought back to check</t>
  </si>
  <si>
    <t>17-50-DS01</t>
  </si>
  <si>
    <t>Code 2 on tow 7: Net twisted before box</t>
  </si>
  <si>
    <t>17-50-SJS01</t>
  </si>
  <si>
    <t>Code 2 on tow 3: Partial block due to net twist</t>
  </si>
  <si>
    <t>17-50-SPE01</t>
  </si>
  <si>
    <t>17-50-SPE03</t>
  </si>
  <si>
    <t xml:space="preserve">Stopped after tow 4 due to inclement weather </t>
  </si>
  <si>
    <t>17-50-SSC01</t>
  </si>
  <si>
    <t>Tow 1 was 3 min, all other tows 5 min</t>
  </si>
  <si>
    <t>17-50-SSC02</t>
  </si>
  <si>
    <t>32-52</t>
  </si>
  <si>
    <t>1 DSM (32 mm) brought back to office</t>
  </si>
  <si>
    <t>17-50-MKR02</t>
  </si>
  <si>
    <t>tow 4 stopped after 8:30 due to vegetation</t>
  </si>
  <si>
    <t>17-50-PP01</t>
  </si>
  <si>
    <t>Tows 1, 2, and 5 were code 3 due to vegetation</t>
  </si>
  <si>
    <t>Sampling unable to occur due to rough conditions</t>
  </si>
  <si>
    <t>17-50-MI01</t>
  </si>
  <si>
    <t>17-51-PP01</t>
  </si>
  <si>
    <t>Tow 4 was code 2: twist at live box</t>
  </si>
  <si>
    <t>17-51-MKR03</t>
  </si>
  <si>
    <t>17-51-SSC01</t>
  </si>
  <si>
    <t>tow 1 was 3 min long, 2-5 were 5 min long</t>
  </si>
  <si>
    <t>17-51-SSC02</t>
  </si>
  <si>
    <t>33-54</t>
  </si>
  <si>
    <t>19 DSM returned to office (including 1 at 33 mm)</t>
  </si>
  <si>
    <t>17-51-SBW01</t>
  </si>
  <si>
    <t>17-51-SBW02</t>
  </si>
  <si>
    <t>17-51-CQS01</t>
  </si>
  <si>
    <t>17-51-CQS02</t>
  </si>
  <si>
    <t>17-51-RV01</t>
  </si>
  <si>
    <t>Code 2 on tow 1: Veg blocking box</t>
  </si>
  <si>
    <t>17-51-RV02</t>
  </si>
  <si>
    <t>Code 3 on tow 1: buoy line twisted around net</t>
  </si>
  <si>
    <t>17-51-MKR01</t>
  </si>
  <si>
    <t>17-51-SJS01</t>
  </si>
  <si>
    <t>17-51-SRR01</t>
  </si>
  <si>
    <t>17-51-SRU01</t>
  </si>
  <si>
    <t>17-51-LSJ01</t>
  </si>
  <si>
    <t>Tow 1 lasted 5:20</t>
  </si>
  <si>
    <t>17-51-SJT01</t>
  </si>
  <si>
    <t>17-51-MKR02</t>
  </si>
  <si>
    <t>17-51-MKR04</t>
  </si>
  <si>
    <t>17-51-CS01</t>
  </si>
  <si>
    <t>36-55</t>
  </si>
  <si>
    <t>11 DSM were code 9; 17 DSM brought back to office</t>
  </si>
  <si>
    <t>17-51-CS02</t>
  </si>
  <si>
    <t>Tow 1 was 3 min, tows 2 and 3 were 5 due to no DSM in first tow</t>
  </si>
  <si>
    <t>17-51-LSJ02</t>
  </si>
  <si>
    <t>17-51-LSJ03</t>
  </si>
  <si>
    <t>17-51-SM01</t>
  </si>
  <si>
    <t>17-51-SBM01</t>
  </si>
  <si>
    <t>35-60</t>
  </si>
  <si>
    <t>1 DSM brought back to office</t>
  </si>
  <si>
    <t>17-52-SJT01</t>
  </si>
  <si>
    <t>17-52-SJT02</t>
  </si>
  <si>
    <t>Tows 2,3, and 4 were Code 2: partial net block by veg</t>
  </si>
  <si>
    <t>17-52-MI01</t>
  </si>
  <si>
    <t>Tow 6, 7, and 8 were code 3 due to vegetation</t>
  </si>
  <si>
    <t>17-52-MI02</t>
  </si>
  <si>
    <t>17-52-RV02</t>
  </si>
  <si>
    <t>17-52-RV01</t>
  </si>
  <si>
    <t>Tow 5 was shortened to 2 min; 6th tow completed due to shortened 5th tow</t>
  </si>
  <si>
    <t>17-52-LSJ01</t>
  </si>
  <si>
    <t>17-52-LSJ02</t>
  </si>
  <si>
    <t>17-52-CQS01</t>
  </si>
  <si>
    <t>17-52-CQS02</t>
  </si>
  <si>
    <t>17-52-CS02</t>
  </si>
  <si>
    <t xml:space="preserve">Code 2 on tows 3 and 4: twist in net; Code 3 on tow 2: veg blocking net </t>
  </si>
  <si>
    <t>17-52-CS01</t>
  </si>
  <si>
    <t>Code 2 on tow 2: twist in net</t>
  </si>
  <si>
    <t>17-52-CQS03</t>
  </si>
  <si>
    <t>Code 4: no sample - too close to restricted area</t>
  </si>
  <si>
    <t>17-52-SPE01</t>
  </si>
  <si>
    <t>17-52-LNR01</t>
  </si>
  <si>
    <t>50-56</t>
  </si>
  <si>
    <t>17-52-FT02</t>
  </si>
  <si>
    <t>17-52-HC02</t>
  </si>
  <si>
    <t>17-52-SSC01</t>
  </si>
  <si>
    <t>33-58</t>
  </si>
  <si>
    <t>15 DSM brought back to office</t>
  </si>
  <si>
    <t>17-52-SSC02</t>
  </si>
  <si>
    <t>38-52</t>
  </si>
  <si>
    <t>9 DSM brought back to office</t>
  </si>
  <si>
    <t>17-52-SM01</t>
  </si>
  <si>
    <t>17-52-SBM01</t>
  </si>
  <si>
    <t>17-52-SRU01</t>
  </si>
  <si>
    <t>17-52-SRU02</t>
  </si>
  <si>
    <t>17-52-MKR01</t>
  </si>
  <si>
    <t>17-52-MKR02</t>
  </si>
  <si>
    <t>17-53-HB01</t>
  </si>
  <si>
    <t>Only 1 tow completed due to inclement weather</t>
  </si>
  <si>
    <t>17-53-SJT01</t>
  </si>
  <si>
    <t>Tow 1 was code 3: twist in net and buoy line wrapped around net</t>
  </si>
  <si>
    <t>17-53-SJT02</t>
  </si>
  <si>
    <t>17-53-SRR01</t>
  </si>
  <si>
    <t>17-53-SRU01</t>
  </si>
  <si>
    <t>17-53-SPE01</t>
  </si>
  <si>
    <t>18-01-SBM01</t>
  </si>
  <si>
    <t>18-01-SBM02</t>
  </si>
  <si>
    <t>18-01-SSC01</t>
  </si>
  <si>
    <t>Code 4: site inaccessable by boat</t>
  </si>
  <si>
    <t>18-01-SSC02</t>
  </si>
  <si>
    <t>44-45</t>
  </si>
  <si>
    <t>Tow 1 was 3 min; 2 DSM brought back to office</t>
  </si>
  <si>
    <t>18-01-SSC03</t>
  </si>
  <si>
    <t>Tow 1 was 3 min, tows 2-5 were 5 min</t>
  </si>
  <si>
    <t>18-01-SPE05</t>
  </si>
  <si>
    <t>18-01-SPE02</t>
  </si>
  <si>
    <t>18-01-SPE03</t>
  </si>
  <si>
    <t>18-01-CS01</t>
  </si>
  <si>
    <t>18-01-CS02</t>
  </si>
  <si>
    <t>18-01-LSJ01</t>
  </si>
  <si>
    <t>18-01-LSJ02</t>
  </si>
  <si>
    <t>18-01-SBW01</t>
  </si>
  <si>
    <t>43-60</t>
  </si>
  <si>
    <t>Tow 1 was 10 min, tow 2 was 5 min due to DSM caught in tow 1</t>
  </si>
  <si>
    <t>18-01-CQS01</t>
  </si>
  <si>
    <t>18-01-LNR01</t>
  </si>
  <si>
    <t>18-01-LSR01</t>
  </si>
  <si>
    <t>18-01-LSR02</t>
  </si>
  <si>
    <t>18-01-SBM03</t>
  </si>
  <si>
    <t>39-52</t>
  </si>
  <si>
    <t>18-01-HB02</t>
  </si>
  <si>
    <t>18-01-SPE04</t>
  </si>
  <si>
    <t>Code 2 on tow 1: twist in net</t>
  </si>
  <si>
    <t>18-02-SRU01</t>
  </si>
  <si>
    <t>18-02-SRU02</t>
  </si>
  <si>
    <t>CHNF is a code 9</t>
  </si>
  <si>
    <t>18-02-SPE01</t>
  </si>
  <si>
    <t>Code 4: Too shallow 6-7 ft</t>
  </si>
  <si>
    <t>18-02-SPE03</t>
  </si>
  <si>
    <t>18-02-SSC01</t>
  </si>
  <si>
    <t>18-02-SSC02</t>
  </si>
  <si>
    <t>18-02-SPE02</t>
  </si>
  <si>
    <t>18-02-LSJ01</t>
  </si>
  <si>
    <t>18-02-LSJ02</t>
  </si>
  <si>
    <t>18-02-LSJ03</t>
  </si>
  <si>
    <t>1 DSM dead upon capture and brought back to office</t>
  </si>
  <si>
    <t>18-02-LSJ04</t>
  </si>
  <si>
    <t>18-02-SBW01</t>
  </si>
  <si>
    <t>18-02-SBW02</t>
  </si>
  <si>
    <t>18-02-SJT01</t>
  </si>
  <si>
    <t>18-02-LSR01</t>
  </si>
  <si>
    <t>18-02-RV01</t>
  </si>
  <si>
    <t>18-02-LNR01</t>
  </si>
  <si>
    <t>18-02-SPE06</t>
  </si>
  <si>
    <t>18-02-CS01</t>
  </si>
  <si>
    <t>18-02-CS02</t>
  </si>
  <si>
    <t>18-02-SBM01</t>
  </si>
  <si>
    <t>18-02-SBM02</t>
  </si>
  <si>
    <t>18-02-SBM03</t>
  </si>
  <si>
    <t>18-02-SBM04</t>
  </si>
  <si>
    <t>40-64</t>
  </si>
  <si>
    <t>18-03-SJT01</t>
  </si>
  <si>
    <t>Tow was code 3: too much vegetation; rest of tows were not completed (code 4)</t>
  </si>
  <si>
    <t>18-03-SJT03</t>
  </si>
  <si>
    <t>Tow 2 was code 2: net got twisted during tow</t>
  </si>
  <si>
    <t>18-03-LSJ01</t>
  </si>
  <si>
    <t>18-03-SBW01</t>
  </si>
  <si>
    <t>Code 4: restricted access (site too close to Mothball Fleet)</t>
  </si>
  <si>
    <t>18-03-SBW02</t>
  </si>
  <si>
    <t>18-03-SPE01</t>
  </si>
  <si>
    <t>Code 4: inclement weather</t>
  </si>
  <si>
    <t>18-03-SPE04</t>
  </si>
  <si>
    <t>18-03-LNR01</t>
  </si>
  <si>
    <t>Only 1 tow completed due to inclement weather and tow cut to 3 minutes</t>
  </si>
  <si>
    <t>18-03-SRR01</t>
  </si>
  <si>
    <t>Tow 1 was code 3: net twisted</t>
  </si>
  <si>
    <t>18-03-SRU01</t>
  </si>
  <si>
    <t>18-03-SM01</t>
  </si>
  <si>
    <t>18-03-SSC01</t>
  </si>
  <si>
    <t>Tow 1 was code 3: twist at mouth of box; Tow 1 was 3 min, tows 2-5 were 5 min</t>
  </si>
  <si>
    <t>18-03-SSC02</t>
  </si>
  <si>
    <t>18-03-SPE02</t>
  </si>
  <si>
    <t>18-03-SPE03</t>
  </si>
  <si>
    <t>18-03-SM02</t>
  </si>
  <si>
    <t>45-50</t>
  </si>
  <si>
    <t>3 DSM flash frozen for UCDavis</t>
  </si>
  <si>
    <t>18-03-SBM01</t>
  </si>
  <si>
    <t>18-03-HB01</t>
  </si>
  <si>
    <t>18-03-CQS01</t>
  </si>
  <si>
    <t>18-03-CQS02</t>
  </si>
  <si>
    <t>18-03-CS01</t>
  </si>
  <si>
    <t>18-03-CS02</t>
  </si>
  <si>
    <t>18-03-RV01</t>
  </si>
  <si>
    <t>18-03-RV02</t>
  </si>
  <si>
    <t>18-03-SBW03</t>
  </si>
  <si>
    <t>18-03-CQS05</t>
  </si>
  <si>
    <t>18-03-LSJ02</t>
  </si>
  <si>
    <t>18-03-SJT02</t>
  </si>
  <si>
    <t>18-04-LSR01</t>
  </si>
  <si>
    <t>Code 4: waves too big</t>
  </si>
  <si>
    <t>18-04-LSR05</t>
  </si>
  <si>
    <t xml:space="preserve">DSM flash frozen for UCDavis </t>
  </si>
  <si>
    <t>18-04-RV01</t>
  </si>
  <si>
    <t>18-04-SJT01</t>
  </si>
  <si>
    <t>Code 4: Rough waters, strong winds</t>
  </si>
  <si>
    <t>18-04-SJT04</t>
  </si>
  <si>
    <t>18-04-LSJ01</t>
  </si>
  <si>
    <t xml:space="preserve">Tow 1 was code 3: Boat hook snagged door open before brought into boat;  Tow 5 was code 2: Partial blockage due to veg. </t>
  </si>
  <si>
    <t>18-04-LNR01</t>
  </si>
  <si>
    <t>18-04-LNR02</t>
  </si>
  <si>
    <t>18-04-SBM01</t>
  </si>
  <si>
    <t>Code 4: Site within naval docks</t>
  </si>
  <si>
    <t>18-04-SBM05</t>
  </si>
  <si>
    <t>45-58</t>
  </si>
  <si>
    <t>5 DSM flash frozen for UCDavis</t>
  </si>
  <si>
    <t>18-04-SBM02</t>
  </si>
  <si>
    <t>18-04-SSC01</t>
  </si>
  <si>
    <t>18-04-SSC02</t>
  </si>
  <si>
    <t>18-04-SPE01</t>
  </si>
  <si>
    <t>50-62</t>
  </si>
  <si>
    <t>18-04-SPE03</t>
  </si>
  <si>
    <t>18-04-SPE02</t>
  </si>
  <si>
    <t>49-72</t>
  </si>
  <si>
    <t>18-04-CQS01</t>
  </si>
  <si>
    <t>18-04-CQS02</t>
  </si>
  <si>
    <t>18-04-SPE04</t>
  </si>
  <si>
    <t>18-04-LSJ02</t>
  </si>
  <si>
    <t>18-04-LSJ03</t>
  </si>
  <si>
    <t>18-04-SRU01</t>
  </si>
  <si>
    <t>18-04-SRR01</t>
  </si>
  <si>
    <t>Tow 6 was code 3: Box opened upon retrieval 1/2 sample was lost</t>
  </si>
  <si>
    <t>18-04-CS01</t>
  </si>
  <si>
    <t>18-04-CS02</t>
  </si>
  <si>
    <t>Tow 2 was code 3: Blocked by veg; Tow 4 was code 2: partial block with veg</t>
  </si>
  <si>
    <t>18-04-SBM03</t>
  </si>
  <si>
    <t>18-05-LSR01</t>
  </si>
  <si>
    <t>Code 4: no sample taken - barge in site</t>
  </si>
  <si>
    <t>18-05-LSR02</t>
  </si>
  <si>
    <t>51-65</t>
  </si>
  <si>
    <t>2 DSM flash frozen for UCDavis; Tow 1 was code 2 (net twisted)</t>
  </si>
  <si>
    <t>18-05-RV01</t>
  </si>
  <si>
    <t>18-05-SM01</t>
  </si>
  <si>
    <t>18-05-SBM01</t>
  </si>
  <si>
    <t>18-05-CQS01</t>
  </si>
  <si>
    <t>18-05-CQS03</t>
  </si>
  <si>
    <t>18-05-SPE01</t>
  </si>
  <si>
    <t>18-05-SPE02</t>
  </si>
  <si>
    <t>18-05-LSJ01</t>
  </si>
  <si>
    <t>18-05-SJT01</t>
  </si>
  <si>
    <t>18-05-CS01</t>
  </si>
  <si>
    <t>18-05-CS02</t>
  </si>
  <si>
    <t>18-05-SBM02</t>
  </si>
  <si>
    <t>18-05-SBM03</t>
  </si>
  <si>
    <t>18-05-SBW01</t>
  </si>
  <si>
    <t>18-05-SBW03</t>
  </si>
  <si>
    <t>18-05-CQS02</t>
  </si>
  <si>
    <t>18-05-SSC01</t>
  </si>
  <si>
    <t>18-05-SSC02</t>
  </si>
  <si>
    <t>18-05-SPE03</t>
  </si>
  <si>
    <t>18-05-SRR01</t>
  </si>
  <si>
    <t>18-05-SRU01</t>
  </si>
  <si>
    <t>18-05-LSJ03</t>
  </si>
  <si>
    <t>18-05-LSJ02</t>
  </si>
  <si>
    <t>18-06-SPE01</t>
  </si>
  <si>
    <t>18-06-SSC01</t>
  </si>
  <si>
    <t>18-06-SSC02</t>
  </si>
  <si>
    <t>18-06-SM01</t>
  </si>
  <si>
    <t>18-06-HB01</t>
  </si>
  <si>
    <t>18-06-SJT01</t>
  </si>
  <si>
    <t>Tow 1 was Code 2: net twisted</t>
  </si>
  <si>
    <t>18-06-LSJ01</t>
  </si>
  <si>
    <t>18-06-SRU01</t>
  </si>
  <si>
    <t>18-06-SRU02</t>
  </si>
  <si>
    <t>18-06-SPE02</t>
  </si>
  <si>
    <t>18-06-SPE04</t>
  </si>
  <si>
    <t>Tow 5 was 8 minutes and tows 6-8 were not completed due to crew health concern</t>
  </si>
  <si>
    <t>18-06-SBW01</t>
  </si>
  <si>
    <t>47-61</t>
  </si>
  <si>
    <t>Tow 2 ended at 3.5 minutes due to sea lion sighting; 1 DSM (47 mm, mort) brought back for lab verification</t>
  </si>
  <si>
    <t>18-06-SBW02</t>
  </si>
  <si>
    <t>18-06-SBW03</t>
  </si>
  <si>
    <t>48-54</t>
  </si>
  <si>
    <t>18-06-CQS01</t>
  </si>
  <si>
    <t>18-06-CS01</t>
  </si>
  <si>
    <t>18-06-CS02</t>
  </si>
  <si>
    <t>18-06-SBM01</t>
  </si>
  <si>
    <t>LFS brought back to the office for ID verification; Paired with Directed Outflow Project habitat sampling</t>
  </si>
  <si>
    <t>18-06-SBM02</t>
  </si>
  <si>
    <t>18-06-SPE03</t>
  </si>
  <si>
    <t>53-56</t>
  </si>
  <si>
    <t>1 LFS (53) brought back for ID verification</t>
  </si>
  <si>
    <t>18-06-LSJ02</t>
  </si>
  <si>
    <t>18-06-LSJ03</t>
  </si>
  <si>
    <t>18-06-LSR01</t>
  </si>
  <si>
    <t>18-06-RV01</t>
  </si>
  <si>
    <t>18-07-SBM01</t>
  </si>
  <si>
    <t>18-07-SBM02</t>
  </si>
  <si>
    <t xml:space="preserve">DSM flash frozen for UCDavis; Tow 1 was Code 2: net twisted </t>
  </si>
  <si>
    <t>18-07-SPE01</t>
  </si>
  <si>
    <t>18-07-SPE05</t>
  </si>
  <si>
    <t>18-07-SPE02</t>
  </si>
  <si>
    <t>18-07-CS02</t>
  </si>
  <si>
    <t>18-07-CS01</t>
  </si>
  <si>
    <t>18-07-SPE03</t>
  </si>
  <si>
    <t>18-07-CQS02</t>
  </si>
  <si>
    <t>Short tow due to restricted area, no more tows completed</t>
  </si>
  <si>
    <t>18-07-CQS01</t>
  </si>
  <si>
    <t>18-07-SBW01</t>
  </si>
  <si>
    <t>18-07-SSC01</t>
  </si>
  <si>
    <t>18-07-SSC02</t>
  </si>
  <si>
    <t>18-07-SBM03</t>
  </si>
  <si>
    <t>18-07-HB01</t>
  </si>
  <si>
    <t>18-07-RV01</t>
  </si>
  <si>
    <t>18-07-LSR01</t>
  </si>
  <si>
    <t>18-07-SJT01</t>
  </si>
  <si>
    <t>18-07-SJT02</t>
  </si>
  <si>
    <t>Tow 1 was code 3: net twisted and float line wrapped</t>
  </si>
  <si>
    <t>18-07-SBW02</t>
  </si>
  <si>
    <t>18-07-SPE04</t>
  </si>
  <si>
    <t>18-07-LSJ01</t>
  </si>
  <si>
    <t>18-07-LSJ02</t>
  </si>
  <si>
    <t>18-07-SRU01</t>
  </si>
  <si>
    <t>18-07-SRU02</t>
  </si>
  <si>
    <t>18-08-LSJ01</t>
  </si>
  <si>
    <t>18-08-LSJ02</t>
  </si>
  <si>
    <t>18-08-LSR01</t>
  </si>
  <si>
    <t>15 DSM flash frozen for UCDavis; site paired with Directed Outflow Project habitat sampling</t>
  </si>
  <si>
    <t>18-08-LSR02</t>
  </si>
  <si>
    <t>2 DSM flash frozen for UCDavis; site  paired with Directed Outflow Project habitat sampling</t>
  </si>
  <si>
    <t>18-08-LNR01</t>
  </si>
  <si>
    <t>18-08-LNR02</t>
  </si>
  <si>
    <t>Tow 5 was code 3 (net twisted)</t>
  </si>
  <si>
    <t>18-08-SBW01</t>
  </si>
  <si>
    <t>DSM dead upon capture and brought back to office, ID  needs to be verified by expert; tow 5 was code 3 (box twisted)</t>
  </si>
  <si>
    <t>18-08-SBW04</t>
  </si>
  <si>
    <t>18-08-SSC01</t>
  </si>
  <si>
    <t>Site paired with Directed Outflow Project habitat sampling</t>
  </si>
  <si>
    <t>18-08-SSC02</t>
  </si>
  <si>
    <t>18-08-PP01</t>
  </si>
  <si>
    <t>18-08-PP02</t>
  </si>
  <si>
    <t>18-08-LSJ03</t>
  </si>
  <si>
    <t>Tows 1 through 3 were code 2 (partial block of net vy vegetation), tow 4 was code 3 (twist in net)</t>
  </si>
  <si>
    <t>18-08-SJT01</t>
  </si>
  <si>
    <t>18-08-SM01</t>
  </si>
  <si>
    <t>DSM flash frozen for UCDavis; site paired with Directed Outflow Project habitat sampling</t>
  </si>
  <si>
    <t>18-08-SBM01</t>
  </si>
  <si>
    <t>18-08-SRR01</t>
  </si>
  <si>
    <t>18-08-SRU01</t>
  </si>
  <si>
    <t>Tow 7 was code 2 (buoy wrapped around net); site paired with Directed Outflow Project habitat sampling</t>
  </si>
  <si>
    <t>18-08-CS01</t>
  </si>
  <si>
    <t>18-08-CS02</t>
  </si>
  <si>
    <t>18-08-SBM02</t>
  </si>
  <si>
    <t>18-08-SM02</t>
  </si>
  <si>
    <t>18-08-MKR01</t>
  </si>
  <si>
    <t>Tow 3 was code 3 (heavy vegetation); tow 6 was code 3 (total vegetation block so a 9th tow completed)</t>
  </si>
  <si>
    <t>18-08-MKR02</t>
  </si>
  <si>
    <t>Tow 3 was code 3 (heavy vegetation); tow 4 was code 3 (total vegetation block so a 9th tow completed)</t>
  </si>
  <si>
    <t>18-09-SJT01</t>
  </si>
  <si>
    <t>Tow 4 was cut short to 1 min due to sea lion presence, completed 6th tow</t>
  </si>
  <si>
    <t>18-09-SJT02</t>
  </si>
  <si>
    <t>18-09-SSC01</t>
  </si>
  <si>
    <t>Tow 3 was code 3 (float line wrapped); site paired with Directed Outflow Project habitat sampling</t>
  </si>
  <si>
    <t>18-09-SSC02</t>
  </si>
  <si>
    <t>18-09-SBW01</t>
  </si>
  <si>
    <t>Code 4: Site inside Mothball Fleet, not sampled</t>
  </si>
  <si>
    <t>18-09-SBW03</t>
  </si>
  <si>
    <t>LFS brought back to the office for ID verification</t>
  </si>
  <si>
    <t>18-09-SPE01</t>
  </si>
  <si>
    <t>18-09-CS01</t>
  </si>
  <si>
    <t>18-09-CS02</t>
  </si>
  <si>
    <t>Tow 4 was code 2 (veg partially blocking box); site paired with Directed Outflow Project habitat sampling</t>
  </si>
  <si>
    <t>18-09-LSJ01</t>
  </si>
  <si>
    <t>18-09-LSJ02</t>
  </si>
  <si>
    <t>18-09-SPE02</t>
  </si>
  <si>
    <t>18-09-SPE05</t>
  </si>
  <si>
    <t>18-09-SBM01</t>
  </si>
  <si>
    <t>18-09-HB01</t>
  </si>
  <si>
    <t>18-09-SRR01</t>
  </si>
  <si>
    <t>18-09-SRU01</t>
  </si>
  <si>
    <t>18-09-MKR01</t>
  </si>
  <si>
    <t>18-09-MKR03</t>
  </si>
  <si>
    <t>18-09-SBM02</t>
  </si>
  <si>
    <t>18-09-SBM03</t>
  </si>
  <si>
    <t>18-09-LSR01</t>
  </si>
  <si>
    <t>18-09-RV01</t>
  </si>
  <si>
    <t>18-09-HC01</t>
  </si>
  <si>
    <t>18-09-FT01</t>
  </si>
  <si>
    <t>18-10-CS01</t>
  </si>
  <si>
    <t>18-10-CS02</t>
  </si>
  <si>
    <t>18-10-SM01</t>
  </si>
  <si>
    <t>18-10-SBM01</t>
  </si>
  <si>
    <t>18-10-MKR01</t>
  </si>
  <si>
    <t>18-10-MKR02</t>
  </si>
  <si>
    <t>18-10-PP02</t>
  </si>
  <si>
    <t xml:space="preserve">Code 4: very shallow, too much vegetation </t>
  </si>
  <si>
    <t>18-10-PP01</t>
  </si>
  <si>
    <t>18-10-DS01</t>
  </si>
  <si>
    <t>18-10-SSC01</t>
  </si>
  <si>
    <t>18-10-SSC02</t>
  </si>
  <si>
    <t>18-10-SBM02</t>
  </si>
  <si>
    <t>18-10-SBM03</t>
  </si>
  <si>
    <t>18-10-SPE01</t>
  </si>
  <si>
    <t>LFS brought back to office for ID verification; tow 2 was ended 1 min early due to boat issues; no more tows completed due to boat issues</t>
  </si>
  <si>
    <t>18-10-LSJ01</t>
  </si>
  <si>
    <t>Tow 5 was code 2 (twist in net)</t>
  </si>
  <si>
    <t>18-10-LSJ02</t>
  </si>
  <si>
    <t>18-10-LSR01</t>
  </si>
  <si>
    <t>18-10-LSR06</t>
  </si>
  <si>
    <t>1 DSM flash frozen for UCDavis; Site paired with Directed Outflow Project habitat sampling</t>
  </si>
  <si>
    <t>18-10-RV01</t>
  </si>
  <si>
    <t>18-10-LSJ03</t>
  </si>
  <si>
    <t>Tow 1 was code 2: net twisted</t>
  </si>
  <si>
    <t>18-10-SJT01</t>
  </si>
  <si>
    <t>18-10-SBW01</t>
  </si>
  <si>
    <t>Only 4 tows completed at this site</t>
  </si>
  <si>
    <t>18-10-SBW02</t>
  </si>
  <si>
    <t>LFS brought back to office for ID verification</t>
  </si>
  <si>
    <t>18-10-SRU01</t>
  </si>
  <si>
    <t>18-10-SRR01</t>
  </si>
  <si>
    <t>18-11-SBM01</t>
  </si>
  <si>
    <t>18-11-SM01</t>
  </si>
  <si>
    <t>1 DSM dead upon capture and flash frozen for UCDavis.</t>
  </si>
  <si>
    <t>18-11-LSR02</t>
  </si>
  <si>
    <t>2 DSM flash frozen for UCDavis; 61 mm DSM was code 9 and dead upon capture</t>
  </si>
  <si>
    <t>18-11-LSR01</t>
  </si>
  <si>
    <t>44-68</t>
  </si>
  <si>
    <t>32 DSM flash frozen for UCDavis</t>
  </si>
  <si>
    <t>18-11-SJT01</t>
  </si>
  <si>
    <t>18-11-LSJ01</t>
  </si>
  <si>
    <t>18-11-HB02</t>
  </si>
  <si>
    <t>18-11-HB01</t>
  </si>
  <si>
    <t>18-11-SSC02</t>
  </si>
  <si>
    <t>18-11-SSC01</t>
  </si>
  <si>
    <t>18-11-MKR03</t>
  </si>
  <si>
    <t>18-11-MKR01</t>
  </si>
  <si>
    <t>18-11-MKR02</t>
  </si>
  <si>
    <t>18-11-HC01</t>
  </si>
  <si>
    <t>18-11-SRR01</t>
  </si>
  <si>
    <t>18-11-SRR02</t>
  </si>
  <si>
    <t>18-11-SBW01</t>
  </si>
  <si>
    <t>Code 4: No sample taken due to proximity to Mothball Fleet</t>
  </si>
  <si>
    <t>18-11-SBW03</t>
  </si>
  <si>
    <t>18-11-SBW02</t>
  </si>
  <si>
    <t>Tow 7 was code 8 (stopped due to sea lion after 2 min towing), 9th tow completed, no other stations sampled due to boat issue</t>
  </si>
  <si>
    <t>18-11-LSJ02</t>
  </si>
  <si>
    <t>18-11-LSJ03</t>
  </si>
  <si>
    <t>18-11-CS01</t>
  </si>
  <si>
    <t>18-11-CS02</t>
  </si>
  <si>
    <t>18-11-SBW05</t>
  </si>
  <si>
    <t xml:space="preserve">Code 4 due to smoke </t>
  </si>
  <si>
    <t>18-12-SSC01</t>
  </si>
  <si>
    <t>Site paired with Directed Outflow Project habitat sampling; crews began collecting starting depth for tows today</t>
  </si>
  <si>
    <t>18-12-SSC02</t>
  </si>
  <si>
    <t>18-12-SJU01</t>
  </si>
  <si>
    <t xml:space="preserve">Upper San Joaquin River </t>
  </si>
  <si>
    <t>18-12-SJS01</t>
  </si>
  <si>
    <t>18-12-RV01</t>
  </si>
  <si>
    <t>18-12-RV02</t>
  </si>
  <si>
    <t>18-12-SM01</t>
  </si>
  <si>
    <t>18-12-HB01</t>
  </si>
  <si>
    <t>18-12-MI01</t>
  </si>
  <si>
    <t>Tow 5 was code 2 (partial block of box with vegetation); net snagged at end of tow 5, no more tows completed at this station</t>
  </si>
  <si>
    <t>18-12-MR01</t>
  </si>
  <si>
    <t>18-12-SJT01</t>
  </si>
  <si>
    <t>18-12-SJT02</t>
  </si>
  <si>
    <t>18-12-CS01</t>
  </si>
  <si>
    <t>Site paired with Directed Outflow Project habitat sampling; No turbidity taken</t>
  </si>
  <si>
    <t>18-12-CS02</t>
  </si>
  <si>
    <t>18-12-SBM01</t>
  </si>
  <si>
    <t>18-12-SBM02</t>
  </si>
  <si>
    <t>18-12-LSJ01</t>
  </si>
  <si>
    <t>Site paired with Directed Outflow Project habitat sampling; note that avg start depth now reported in meters</t>
  </si>
  <si>
    <t>18-12-LSJ02</t>
  </si>
  <si>
    <t>18-12-SRU01</t>
  </si>
  <si>
    <t>18-12-SRU02</t>
  </si>
  <si>
    <t>18-12-SPE01</t>
  </si>
  <si>
    <t>LFS brought back to office for lab verification</t>
  </si>
  <si>
    <t>18-12-SPE02</t>
  </si>
  <si>
    <t>Tow 7 was code 8 (sea lion in area, tow cut short to 8 min), 8th and 9th tow completed after sea lion left area</t>
  </si>
  <si>
    <t>18-12-LNR01</t>
  </si>
  <si>
    <t>18-12-LNR02</t>
  </si>
  <si>
    <t xml:space="preserve">Code 4: Site inaccessible, too close to structure </t>
  </si>
  <si>
    <t>18-12-CQS01</t>
  </si>
  <si>
    <t>18-12-CQS02</t>
  </si>
  <si>
    <t xml:space="preserve">Code 4: Site inaccessible, close proximity to maritime academy training ship </t>
  </si>
  <si>
    <t>18-13-SJT01</t>
  </si>
  <si>
    <t>Lower San Joaquin River near Twitchell Island</t>
  </si>
  <si>
    <t>18-13-SJT02</t>
  </si>
  <si>
    <t>18-13-LSR01</t>
  </si>
  <si>
    <t>18-13-LSR02</t>
  </si>
  <si>
    <t>18-13-LNR01</t>
  </si>
  <si>
    <t xml:space="preserve">Tow 5 was code 3: sea lion encounter at 3:55 min of towing, tow ended and no more tows completed. </t>
  </si>
  <si>
    <t>18-13-LNR02</t>
  </si>
  <si>
    <t>18-13-LSJ01</t>
  </si>
  <si>
    <t>18-13-LSJ02</t>
  </si>
  <si>
    <t>18-13-SSC01</t>
  </si>
  <si>
    <t>18-13-SSC02</t>
  </si>
  <si>
    <t>Tow 2 was code 2 (bar twisted, net didn't fish correctly)</t>
  </si>
  <si>
    <t>18-13-SPE01</t>
  </si>
  <si>
    <t>18-13-SPE03</t>
  </si>
  <si>
    <t>18-13-HB01</t>
  </si>
  <si>
    <t>18-13-SBM04</t>
  </si>
  <si>
    <t>Tow 1 was code 3: Twisted net</t>
  </si>
  <si>
    <t>18-13-SBM01</t>
  </si>
  <si>
    <t>Code 4: Too close to restricted area</t>
  </si>
  <si>
    <t>18-13-CS01</t>
  </si>
  <si>
    <t>18-13-CS02</t>
  </si>
  <si>
    <t>18-13-SJS01</t>
  </si>
  <si>
    <t>Tows 3, 4, and 8 were code 2: Partial block from veg; Tow 7 was code 3: Box blocked by veg</t>
  </si>
  <si>
    <t>18-13-SJS02</t>
  </si>
  <si>
    <t>18-13-HC01</t>
  </si>
  <si>
    <t>Code 4: GPS point on land</t>
  </si>
  <si>
    <t>18-13-FT01</t>
  </si>
  <si>
    <t xml:space="preserve">Tow 1 was code 3: Twisted net; Tows 2, 5, 6, 7, and 8 were code 3: Box blocked by veg; Tow 3 was code 2: Partial net blockage due to veg  </t>
  </si>
  <si>
    <t>18-13-SBM02</t>
  </si>
  <si>
    <t>18-13-SBM03</t>
  </si>
  <si>
    <t>18-13-SRU01</t>
  </si>
  <si>
    <t>18-13-SRR01</t>
  </si>
  <si>
    <t>18-13-MKR01</t>
  </si>
  <si>
    <t>Tows 4, 5, and 8 were code 2: partial blockage of net due to vegetation</t>
  </si>
  <si>
    <t>18-13-MKR02</t>
  </si>
  <si>
    <t>18-14-VC01</t>
  </si>
  <si>
    <t>18-14-RV01</t>
  </si>
  <si>
    <t>18-14-RV02</t>
  </si>
  <si>
    <t>18-14-LSR01</t>
  </si>
  <si>
    <t>18-14-LSR02</t>
  </si>
  <si>
    <t>Code 4: Site on land</t>
  </si>
  <si>
    <t>18-14-SM01</t>
  </si>
  <si>
    <t>Site paired with Directed Outflow Project habitat sampling; DSM flash frozen for UCDavis</t>
  </si>
  <si>
    <t>18-14-SBM01</t>
  </si>
  <si>
    <t>Site paired with Directed Outflow Project habitat sampling; Tow 1 was code 3: Twisted net</t>
  </si>
  <si>
    <t>18-14-HB01</t>
  </si>
  <si>
    <t>18-14-SBM02</t>
  </si>
  <si>
    <t>18-14-CS01</t>
  </si>
  <si>
    <t>Site paired with Directed Outflow Project habitat sampling; Tow 1 was code 2 (net twisted)</t>
  </si>
  <si>
    <t>18-14-CS02</t>
  </si>
  <si>
    <t>18-14-LSJ01</t>
  </si>
  <si>
    <t>18-14-LSJ02</t>
  </si>
  <si>
    <t>18-14-OR01</t>
  </si>
  <si>
    <t>18-14-LSJ03</t>
  </si>
  <si>
    <t>Site paired with Directed Outflow Project habitat sampling; Code 3 on Tow 1: Buoy twisted around net</t>
  </si>
  <si>
    <t>18-14-SJT01</t>
  </si>
  <si>
    <t>18-14-SRR01</t>
  </si>
  <si>
    <t>18-14-SRU01</t>
  </si>
  <si>
    <t>18-14-SPE01</t>
  </si>
  <si>
    <t>18-14-SPE02</t>
  </si>
  <si>
    <t>18-14-MI01</t>
  </si>
  <si>
    <t>18-14-MI02</t>
  </si>
  <si>
    <t>Tow 2 was 8 min (cut short due to snagging on submerged line)</t>
  </si>
  <si>
    <t>18-14-SBW01</t>
  </si>
  <si>
    <t>18-14-SBW03</t>
  </si>
  <si>
    <t>18-14-SSC01</t>
  </si>
  <si>
    <t>18-14-SSC02</t>
  </si>
  <si>
    <t>18-15-LSJ01</t>
  </si>
  <si>
    <t>18-15-LSJ02</t>
  </si>
  <si>
    <t>18-15-SBM01</t>
  </si>
  <si>
    <t>18-15-SBM02</t>
  </si>
  <si>
    <t>18-15-SRR01</t>
  </si>
  <si>
    <t>18-15-SRU01</t>
  </si>
  <si>
    <t>18-15-CS01</t>
  </si>
  <si>
    <t>18-15-CS02</t>
  </si>
  <si>
    <t>18-15-CS07</t>
  </si>
  <si>
    <t>18-15-MKR01</t>
  </si>
  <si>
    <t>18-15-MKR03</t>
  </si>
  <si>
    <t>Tow 2 was code 2: net twisted</t>
  </si>
  <si>
    <t>18-15-LNR01</t>
  </si>
  <si>
    <t>Tows 7 and 8 not completed due to active sea lion in area; Tow 1 was code 2 (single twist in net at box)</t>
  </si>
  <si>
    <t>18-15-LNR02</t>
  </si>
  <si>
    <t>18-15-SPE01</t>
  </si>
  <si>
    <t>18-15-SPE02</t>
  </si>
  <si>
    <t>18-15-SJS01</t>
  </si>
  <si>
    <t>18-15-DS01</t>
  </si>
  <si>
    <t>Tows 3, 4, and 5 were code 2: net partially blocked with veg</t>
  </si>
  <si>
    <t>18-15-LSR01</t>
  </si>
  <si>
    <t>18-15-LSR02</t>
  </si>
  <si>
    <t xml:space="preserve">DSM flash frozen for UCDavis; Tow 1 was Code 3: net twisted </t>
  </si>
  <si>
    <t>18-15-LSJ03</t>
  </si>
  <si>
    <t>Tow 1 was Code 2 (buoy wrapped around net and box twisted)</t>
  </si>
  <si>
    <t>18-15-SJT01</t>
  </si>
  <si>
    <t>Tow 4 cut short to 3.5 min due to boat issue, tow 5 not completed</t>
  </si>
  <si>
    <t>18-15-HB01</t>
  </si>
  <si>
    <t>18-15-HB02</t>
  </si>
  <si>
    <t>18-15-SSC01</t>
  </si>
  <si>
    <t>18-15-SSC02</t>
  </si>
  <si>
    <t>18-16-RS01</t>
  </si>
  <si>
    <t>18-16-OR01</t>
  </si>
  <si>
    <t>18-16-SBW01</t>
  </si>
  <si>
    <t>18-16-SBW04</t>
  </si>
  <si>
    <t>18-16-SRU01</t>
  </si>
  <si>
    <t>18-16-SRR01</t>
  </si>
  <si>
    <t>18-16-SBW02</t>
  </si>
  <si>
    <t xml:space="preserve">Tow 3 was code 8: Tow cut short due to sea lion spotting </t>
  </si>
  <si>
    <t>18-16-SBW03</t>
  </si>
  <si>
    <t>18-16-LSJ01</t>
  </si>
  <si>
    <t>18-16-LSJ02</t>
  </si>
  <si>
    <t>18-16-LSR01</t>
  </si>
  <si>
    <t>Code 4: GPS point located on land</t>
  </si>
  <si>
    <t>18-16-LSR02</t>
  </si>
  <si>
    <t>18-16-RV01</t>
  </si>
  <si>
    <t>18-16-SBM01</t>
  </si>
  <si>
    <t>18-16-SBM02</t>
  </si>
  <si>
    <t>18-16-SSC01</t>
  </si>
  <si>
    <t>18-16-SSC02</t>
  </si>
  <si>
    <t>18-16-MI01</t>
  </si>
  <si>
    <t>18-16-DS01</t>
  </si>
  <si>
    <t>18-16-LSJ03</t>
  </si>
  <si>
    <t>18-16-SJT01</t>
  </si>
  <si>
    <t>18-16-CS01</t>
  </si>
  <si>
    <t>18-16-CS02</t>
  </si>
  <si>
    <t>18-16-CS03</t>
  </si>
  <si>
    <t>Site paired with Directed Outflow Project habitat sampling; Tow 2 was code 2 (partial net block)</t>
  </si>
  <si>
    <t>18-16-SBM03</t>
  </si>
  <si>
    <t>18-16-HB01</t>
  </si>
  <si>
    <t>18-17-RV01</t>
  </si>
  <si>
    <t>No start depth taken because meter not working; Tow 5 was code 3 (net twisted)</t>
  </si>
  <si>
    <t>18-17-LSR01</t>
  </si>
  <si>
    <t>DSM flash frozen for UCD; no start depths taken due to meter not working</t>
  </si>
  <si>
    <t>18-17-VC01</t>
  </si>
  <si>
    <t>Tow 7 was code 2 (buoy wrapped around net and box twisted)</t>
  </si>
  <si>
    <t>18-17-0R01</t>
  </si>
  <si>
    <t>18-17-CQS01</t>
  </si>
  <si>
    <t>18-17-SBW02</t>
  </si>
  <si>
    <t>18-17-MI01</t>
  </si>
  <si>
    <t>18-17-MI02</t>
  </si>
  <si>
    <t>18-17-SBW01</t>
  </si>
  <si>
    <t>18-17-SBW04</t>
  </si>
  <si>
    <t>18-17-SRU01</t>
  </si>
  <si>
    <t xml:space="preserve">Depth meter not working </t>
  </si>
  <si>
    <t>18-17-SRU02</t>
  </si>
  <si>
    <t>18-17-LSJ01</t>
  </si>
  <si>
    <t>18-17-LSJ02</t>
  </si>
  <si>
    <t>18-17-SBM01</t>
  </si>
  <si>
    <t>18-17-SBM02</t>
  </si>
  <si>
    <t>18-17-CS01</t>
  </si>
  <si>
    <t>18-17-CS02</t>
  </si>
  <si>
    <t>Depth meter not working; Tow 1 was code 2 (net full of vegetation); tow 2 was code 3 (net completely blocked by vegetation); tows 3 to 5 not completed due to heavy vegetation at site</t>
  </si>
  <si>
    <t>18-17-CS10</t>
  </si>
  <si>
    <t>Depth meter not working</t>
  </si>
  <si>
    <t>18-17-LSJ03</t>
  </si>
  <si>
    <t>No E/C or Temp collected because of meter battery issue</t>
  </si>
  <si>
    <t>18-17-LSJ04</t>
  </si>
  <si>
    <t>18-17-HB01</t>
  </si>
  <si>
    <t>18-17-SBM03</t>
  </si>
  <si>
    <t>18-17-SSC01</t>
  </si>
  <si>
    <t>18-17-SSC02</t>
  </si>
  <si>
    <t>start depth values collected by net boat because of chase boat meter issue; Tow 1 was code 2 (net twisted at cod end)</t>
  </si>
  <si>
    <t>18-18-LSJ01</t>
  </si>
  <si>
    <t>Tow 1 was code 2 (partial twist in net)</t>
  </si>
  <si>
    <t>18-18-LSJ02</t>
  </si>
  <si>
    <t>61-80</t>
  </si>
  <si>
    <t>18-18-SM01</t>
  </si>
  <si>
    <t>56-69</t>
  </si>
  <si>
    <t>2 DSM flash frozen for UCD (1 DSM was code 9); Site paired with Directed Outflow Project habitat sampling</t>
  </si>
  <si>
    <t>18-18-SBM01</t>
  </si>
  <si>
    <t>18-18-SSC01</t>
  </si>
  <si>
    <t>Site paired with Directed Outflow Project habitat sampling; start depth values collected by net boat because of chase boat meter issue</t>
  </si>
  <si>
    <t>18-18-SSC02</t>
  </si>
  <si>
    <t>18-18-SBM02</t>
  </si>
  <si>
    <t>DSM flash frozen for UCD; Site paired with Directed Outflow Project habitat sampling</t>
  </si>
  <si>
    <t>18-18-HB01</t>
  </si>
  <si>
    <t>18-18-RV01</t>
  </si>
  <si>
    <t>18-18-LSR01</t>
  </si>
  <si>
    <t>18-18-SJS01</t>
  </si>
  <si>
    <t>18-18-MI02</t>
  </si>
  <si>
    <t>18-18-LSJ03</t>
  </si>
  <si>
    <t>18-18-SJT01</t>
  </si>
  <si>
    <t>Tow 2 was code 3 (net full of vegetation); tows 3-5 not completed due to heavy vegetation at site</t>
  </si>
  <si>
    <t>18-18-SJT02</t>
  </si>
  <si>
    <t>18-18-CS01</t>
  </si>
  <si>
    <t>start depth values collected by net boat because of chase boat meter issue; Site paired with Directed Outflow Project habitat sampling</t>
  </si>
  <si>
    <t>18-18-CS02</t>
  </si>
  <si>
    <t>18-18-SPE01</t>
  </si>
  <si>
    <t>start depth values collected by net boat because of chase boat meter issue; turbidity meter not working</t>
  </si>
  <si>
    <t>18-18-SPE02</t>
  </si>
  <si>
    <t>18-18-MI01</t>
  </si>
  <si>
    <t>18-18-HC01</t>
  </si>
  <si>
    <t>18-18-CQS01</t>
  </si>
  <si>
    <t>18-18-SBW02</t>
  </si>
  <si>
    <t>18-18-SRU01</t>
  </si>
  <si>
    <t>Site paired with Directed Outflow Project habitat sampling; start depth values collected by net boat because of chase boat meter issue; Tow 4 was code 8: Tow cut short due to sea lion in the area</t>
  </si>
  <si>
    <t>18-18-SRR01</t>
  </si>
  <si>
    <t xml:space="preserve">Site paired with Directed Outflow Project habitat sampling;  Tow 5 was code 2: Partial blockage of net due to vegetation </t>
  </si>
  <si>
    <t>deep water (DW) or shallow water (SW)</t>
  </si>
  <si>
    <t>Eastern low.risk.low.density</t>
  </si>
  <si>
    <t>MKR202</t>
  </si>
  <si>
    <t>DW</t>
  </si>
  <si>
    <t>Ended tow early because hit bottom and net frame bent</t>
  </si>
  <si>
    <t>Western low.risk.low.density</t>
  </si>
  <si>
    <t>SBW201</t>
  </si>
  <si>
    <t>LNR201</t>
  </si>
  <si>
    <t>11.1-31.0</t>
  </si>
  <si>
    <t>SPE203</t>
  </si>
  <si>
    <t>22.5-40.0</t>
  </si>
  <si>
    <t>high.risk</t>
  </si>
  <si>
    <t>SJT202</t>
  </si>
  <si>
    <t>PP202</t>
  </si>
  <si>
    <t>MI201</t>
  </si>
  <si>
    <t>Tow 1 was 10 minutes long, tow 2 was 5 minutes long</t>
  </si>
  <si>
    <t>low.risk.high.density</t>
  </si>
  <si>
    <t>LSR201</t>
  </si>
  <si>
    <t>RV201</t>
  </si>
  <si>
    <t>SBM203</t>
  </si>
  <si>
    <t>MI202</t>
  </si>
  <si>
    <t>FT202</t>
  </si>
  <si>
    <t>HC202</t>
  </si>
  <si>
    <t>First tow was 10.5 minutes long</t>
  </si>
  <si>
    <t>HB202</t>
  </si>
  <si>
    <t xml:space="preserve"> paired with HB202 Surface SW sample</t>
  </si>
  <si>
    <t>SW</t>
  </si>
  <si>
    <t>Tow was cut short - ran aground. Sample not impacted, just cut short; paired with HB202 Oblique DW sample</t>
  </si>
  <si>
    <t>LSR202</t>
  </si>
  <si>
    <t xml:space="preserve"> paired with LSR202 Surface SW sample</t>
  </si>
  <si>
    <t>Tow 1 was code 3 - no sample collected because of total block of net with mud; paired with LSR202 Oblique DW sample</t>
  </si>
  <si>
    <t>RV202</t>
  </si>
  <si>
    <t xml:space="preserve"> paired with RV202 Surface SW sample</t>
  </si>
  <si>
    <t xml:space="preserve"> paired with RV202 Oblique DW sample</t>
  </si>
  <si>
    <t>MKR203</t>
  </si>
  <si>
    <t>On tow 1, net was pulled in 1.5 min early due to a loss in depth</t>
  </si>
  <si>
    <t>SRU203</t>
  </si>
  <si>
    <t>SBM204</t>
  </si>
  <si>
    <t>HB203</t>
  </si>
  <si>
    <t>LSJ203</t>
  </si>
  <si>
    <t>MI203</t>
  </si>
  <si>
    <t>VC201</t>
  </si>
  <si>
    <t xml:space="preserve">Tow was was 5 minutes instead if 10 because site had fallen trees and a narrow trawl lane. Tow 2 was 10 min because tow 1 went well. </t>
  </si>
  <si>
    <t>RS202</t>
  </si>
  <si>
    <t>Rock Slough</t>
  </si>
  <si>
    <t xml:space="preserve">Tow two was shortened to 5 minutes </t>
  </si>
  <si>
    <t>PP203</t>
  </si>
  <si>
    <t>FT204</t>
  </si>
  <si>
    <t>PP204</t>
  </si>
  <si>
    <t>SRR201</t>
  </si>
  <si>
    <t>SBM205</t>
  </si>
  <si>
    <t>CS201</t>
  </si>
  <si>
    <t>9.3-22.8</t>
  </si>
  <si>
    <t>SM202</t>
  </si>
  <si>
    <t>SPE204</t>
  </si>
  <si>
    <t>13.4-43.0</t>
  </si>
  <si>
    <t>LNR202</t>
  </si>
  <si>
    <t>15.2-34.0</t>
  </si>
  <si>
    <t>SBW202</t>
  </si>
  <si>
    <t>MKR204</t>
  </si>
  <si>
    <t>paired with MKR204 Surface SW sample</t>
  </si>
  <si>
    <t>paired with MKR204 Oblique DW sample</t>
  </si>
  <si>
    <t>SRU204</t>
  </si>
  <si>
    <t>paired with SRU204 Surface SW sample</t>
  </si>
  <si>
    <t>10+</t>
  </si>
  <si>
    <t>Tow shortened to 5 minutes because target depths were not present. No 2nd tow completed; paired with SRU204 Oblique DW sample</t>
  </si>
  <si>
    <t>MKR205</t>
  </si>
  <si>
    <t>MKR206</t>
  </si>
  <si>
    <t>SPE205</t>
  </si>
  <si>
    <t>CQS202</t>
  </si>
  <si>
    <t>20.1-41.0</t>
  </si>
  <si>
    <t>MKR207</t>
  </si>
  <si>
    <t>SBW203</t>
  </si>
  <si>
    <t>16.4-28.0</t>
  </si>
  <si>
    <t>16.5-27.0</t>
  </si>
  <si>
    <t>CS202</t>
  </si>
  <si>
    <t>LSJ204</t>
  </si>
  <si>
    <t>MR202</t>
  </si>
  <si>
    <t>DS202</t>
  </si>
  <si>
    <t>PP205</t>
  </si>
  <si>
    <t>MI204</t>
  </si>
  <si>
    <t>SJS201</t>
  </si>
  <si>
    <t>SJS202</t>
  </si>
  <si>
    <t>Code 2 on Tow 1: some debris in end of net before cod end jar</t>
  </si>
  <si>
    <t>RV203</t>
  </si>
  <si>
    <t>On tow 2, net snagged after 1 min, restarted but tow cut short - to 5:45; paired with RV203 Oblique DW sample</t>
  </si>
  <si>
    <t xml:space="preserve"> paired with RV203 Surface SW sample</t>
  </si>
  <si>
    <t>LSR203</t>
  </si>
  <si>
    <t xml:space="preserve"> paired with LSR03 Oblique DW sample</t>
  </si>
  <si>
    <t xml:space="preserve"> paired with LSR03 Surface SW sample</t>
  </si>
  <si>
    <t>MRK208</t>
  </si>
  <si>
    <t>CQS203</t>
  </si>
  <si>
    <t>17.8-33</t>
  </si>
  <si>
    <t>A second tow was completed but was code 4: net and sled snagged so no sample taken</t>
  </si>
  <si>
    <t>SRU205</t>
  </si>
  <si>
    <t>Two tows were successfully completed at this station, a third tow (code 3) was attempted but redone because of large debris load</t>
  </si>
  <si>
    <t>SPE206</t>
  </si>
  <si>
    <t>21-38</t>
  </si>
  <si>
    <t>SJT203</t>
  </si>
  <si>
    <t>SBW204</t>
  </si>
  <si>
    <t>HC203</t>
  </si>
  <si>
    <t>LSR204</t>
  </si>
  <si>
    <t>SBM206</t>
  </si>
  <si>
    <t>MI205</t>
  </si>
  <si>
    <t>HB204</t>
  </si>
  <si>
    <t>PP206</t>
  </si>
  <si>
    <t>VC202</t>
  </si>
  <si>
    <t>GL201</t>
  </si>
  <si>
    <t>Grant Line Canal and Old River</t>
  </si>
  <si>
    <t>LSR205</t>
  </si>
  <si>
    <t>Towed across channel due to site location within Sherman lake, proceeded to travel upstream into main Sac River through break, paired with LSR205 Surface SW sample</t>
  </si>
  <si>
    <t xml:space="preserve"> paired with LSR205 Oblique DW sample</t>
  </si>
  <si>
    <t>RV204</t>
  </si>
  <si>
    <t xml:space="preserve"> paired with RV204 Oblique DW sample</t>
  </si>
  <si>
    <t>paired with RV204 Surface SW sample</t>
  </si>
  <si>
    <t>SBM207</t>
  </si>
  <si>
    <t>Mid Suisun bay</t>
  </si>
  <si>
    <t>FT205</t>
  </si>
  <si>
    <t>Code 4: No sample taken, site too shallow; even during high tide</t>
  </si>
  <si>
    <t>OR201</t>
  </si>
  <si>
    <t>FT206</t>
  </si>
  <si>
    <t>PP207</t>
  </si>
  <si>
    <t>sidescan/depth meter read error so towed in channel</t>
  </si>
  <si>
    <t>SPE207</t>
  </si>
  <si>
    <t>CQS205</t>
  </si>
  <si>
    <t>CQS204</t>
  </si>
  <si>
    <t>DS203</t>
  </si>
  <si>
    <t>SJT204</t>
  </si>
  <si>
    <t>CS203</t>
  </si>
  <si>
    <t>MI206</t>
  </si>
  <si>
    <t>LSR206</t>
  </si>
  <si>
    <t>HB205</t>
  </si>
  <si>
    <t>LSJ205</t>
  </si>
  <si>
    <t>Paired with LSJ205 Surface SW sample</t>
  </si>
  <si>
    <t>Paired with LSJ205 Oblique DW sample</t>
  </si>
  <si>
    <t>SBM208</t>
  </si>
  <si>
    <t>16-20</t>
  </si>
  <si>
    <t>Paired with SBM208 Surface SW sample; dragged bottom on tow 1 - wind and current pulled boat into shallow water. Changed tow schedule to avoid bottom on 2nd tow</t>
  </si>
  <si>
    <t>Paired with SBM2018 Oblique DW; Code 4: No sample taken, no shallow water habitat within 100 m of site</t>
  </si>
  <si>
    <t>HB206</t>
  </si>
  <si>
    <t>Paired with HB206 Surface SW sample</t>
  </si>
  <si>
    <t>Paired with HB206 Oblique DW; Code 4: No sample taken, no shallow water habitat within 100 m of site</t>
  </si>
  <si>
    <t>MKR210</t>
  </si>
  <si>
    <t>tow 2 ended after 9 min 49 sec due to sea lion</t>
  </si>
  <si>
    <t>SRU206</t>
  </si>
  <si>
    <t>SRU207</t>
  </si>
  <si>
    <t>SRU208</t>
  </si>
  <si>
    <t>MKR211</t>
  </si>
  <si>
    <t>MKR212</t>
  </si>
  <si>
    <t>CS204</t>
  </si>
  <si>
    <t>SBM209</t>
  </si>
  <si>
    <t>LSR207</t>
  </si>
  <si>
    <t>SJS203</t>
  </si>
  <si>
    <t>MI207</t>
  </si>
  <si>
    <t>PP208</t>
  </si>
  <si>
    <t>SBM210</t>
  </si>
  <si>
    <t>RV205</t>
  </si>
  <si>
    <t>LSR208</t>
  </si>
  <si>
    <t>FT207</t>
  </si>
  <si>
    <t>Paired with FT207 Oblique DW sample</t>
  </si>
  <si>
    <t>MI208</t>
  </si>
  <si>
    <t>Paired with MI208 Oblique DW sample</t>
  </si>
  <si>
    <t>Paired with FT207 Surface SW sample</t>
  </si>
  <si>
    <t>Paired with MI208 Surface SW sample</t>
  </si>
  <si>
    <t>VC203</t>
  </si>
  <si>
    <t>SBW205</t>
  </si>
  <si>
    <t>27-35.2</t>
  </si>
  <si>
    <t>CHNF measured in field and released: stage 5</t>
  </si>
  <si>
    <t>SPE208</t>
  </si>
  <si>
    <t>LNR203</t>
  </si>
  <si>
    <t>DSM measured in field and released: no expression</t>
  </si>
  <si>
    <t>PP209</t>
  </si>
  <si>
    <t>SJT205</t>
  </si>
  <si>
    <t>FT209</t>
  </si>
  <si>
    <t>SBW210</t>
  </si>
  <si>
    <t>Code 4: No sample taken, site within Mothball Fleet</t>
  </si>
  <si>
    <t>SBW206</t>
  </si>
  <si>
    <t>SPE210</t>
  </si>
  <si>
    <t>SPE209</t>
  </si>
  <si>
    <t>SBW209</t>
  </si>
  <si>
    <t>MI210</t>
  </si>
  <si>
    <t>MI209</t>
  </si>
  <si>
    <t>FT210</t>
  </si>
  <si>
    <t>SSC201</t>
  </si>
  <si>
    <t>LSJ206</t>
  </si>
  <si>
    <t>LSR209</t>
  </si>
  <si>
    <t>Code 4: No sample taken, site too shallow</t>
  </si>
  <si>
    <t>LSR210</t>
  </si>
  <si>
    <t>SBM211</t>
  </si>
  <si>
    <t>SBM212</t>
  </si>
  <si>
    <t>LSJ207</t>
  </si>
  <si>
    <t>CS205</t>
  </si>
  <si>
    <t>MKR213</t>
  </si>
  <si>
    <t>Paired with MKR213 Surface SW sample</t>
  </si>
  <si>
    <t>MKR214</t>
  </si>
  <si>
    <t>Paired with MKR214 Surface SW sample</t>
  </si>
  <si>
    <t>SRR202</t>
  </si>
  <si>
    <t>Paired with MKR213 Oblique DW sample</t>
  </si>
  <si>
    <t>paired with MKR214 Oblique DW sample</t>
  </si>
  <si>
    <t>MKR215</t>
  </si>
  <si>
    <t>paired with MKR215 Oblique DW sample</t>
  </si>
  <si>
    <t>MKR216</t>
  </si>
  <si>
    <t>paired with MKR216 Oblique DW sample</t>
  </si>
  <si>
    <t>LSR211</t>
  </si>
  <si>
    <t>5 min tows because of heavy vegetation</t>
  </si>
  <si>
    <t>HB207</t>
  </si>
  <si>
    <t>1st tow ended 1 min early</t>
  </si>
  <si>
    <t>RV206</t>
  </si>
  <si>
    <t>Paired with MKR215 Surface SW sample</t>
  </si>
  <si>
    <t>Paired with MKR216 Surface SW sample</t>
  </si>
  <si>
    <t>SRU209</t>
  </si>
  <si>
    <t>PP210</t>
  </si>
  <si>
    <t>SJS204</t>
  </si>
  <si>
    <t>SJS205</t>
  </si>
  <si>
    <t>LSR212</t>
  </si>
  <si>
    <t>HB208</t>
  </si>
  <si>
    <t>LSJ208</t>
  </si>
  <si>
    <t>MR203</t>
  </si>
  <si>
    <t>MI211</t>
  </si>
  <si>
    <t xml:space="preserve"> DW</t>
  </si>
  <si>
    <t>FT212</t>
  </si>
  <si>
    <t>SBW207</t>
  </si>
  <si>
    <t>26-27</t>
  </si>
  <si>
    <t>top turbidity measures not obtained</t>
  </si>
  <si>
    <t>SPE211</t>
  </si>
  <si>
    <t>bottom turbidity measures not obtained; CHNT identified in field, stage 5</t>
  </si>
  <si>
    <t>CQS206</t>
  </si>
  <si>
    <t>bottom turbidity measures not obtained; LFS caught measured in the field and released</t>
  </si>
  <si>
    <t>SRR203</t>
  </si>
  <si>
    <t>SRU210</t>
  </si>
  <si>
    <t>MKR217</t>
  </si>
  <si>
    <t>SBW208</t>
  </si>
  <si>
    <t>CQS207</t>
  </si>
  <si>
    <t>SPE212</t>
  </si>
  <si>
    <t>SBM213</t>
  </si>
  <si>
    <t>DSM measured in field, no expression; dead and brought back</t>
  </si>
  <si>
    <t>HB209</t>
  </si>
  <si>
    <t>RV207</t>
  </si>
  <si>
    <t>OR202</t>
  </si>
  <si>
    <t>Secchi not taken on 1st tow</t>
  </si>
  <si>
    <t>HC205</t>
  </si>
  <si>
    <t>HC204</t>
  </si>
  <si>
    <t>SJT206</t>
  </si>
  <si>
    <t>HC206</t>
  </si>
  <si>
    <t>Paired with HC206 Surface SW sample</t>
  </si>
  <si>
    <t>MI212</t>
  </si>
  <si>
    <t>Shallow water crew in area, but they could not find site within 100 m to be considered paired sample</t>
  </si>
  <si>
    <t>Code 4: No sample taken, shallow water habitat not within 100 m of starting point</t>
  </si>
  <si>
    <t>Paired with HC206 Oblique DW sample</t>
  </si>
  <si>
    <t>Not paired with Oblique tow at MI212 because shallow water habitat too far from target starting point. Code 3: ended tow at 4 min due to thick vegetation blocking net</t>
  </si>
  <si>
    <t>LSJ209</t>
  </si>
  <si>
    <t>CS206</t>
  </si>
  <si>
    <t>SM204</t>
  </si>
  <si>
    <t>PP211</t>
  </si>
  <si>
    <t>VC204</t>
  </si>
  <si>
    <t>SJT207</t>
  </si>
  <si>
    <t>CS207</t>
  </si>
  <si>
    <t>primary</t>
  </si>
  <si>
    <t>LSJ211</t>
  </si>
  <si>
    <t>LSJ210</t>
  </si>
  <si>
    <t>DS204</t>
  </si>
  <si>
    <t>MI213</t>
  </si>
  <si>
    <t>SJT208</t>
  </si>
  <si>
    <t>HB210</t>
  </si>
  <si>
    <t>LSR213</t>
  </si>
  <si>
    <t>SBM214</t>
  </si>
  <si>
    <t>47-48</t>
  </si>
  <si>
    <t>3 DSM measured in field, no expression and brought back for verification; 1 identified in the lab</t>
  </si>
  <si>
    <t>SRU211</t>
  </si>
  <si>
    <t>MKR218</t>
  </si>
  <si>
    <t>MKR219</t>
  </si>
  <si>
    <t>SPE213</t>
  </si>
  <si>
    <t>Code 4: No sample taken, too shallow</t>
  </si>
  <si>
    <t>CQS208</t>
  </si>
  <si>
    <t>SPE214</t>
  </si>
  <si>
    <t>CQS209</t>
  </si>
  <si>
    <t xml:space="preserve">Note: Gear testing at reduced effort, in areas of hypothesized low DSM abundance, occurred from 4/18 to 4/20 . Gear testing included tows with and without a cod end. Data from samples with cod end attached are listed below. Full effort project sampling began on 4/24/17 (see primary tab). Reports are based on data sheets that have not completed quality assurance and quality control procedures. Quality Assurance measures will be completed as soon as possible and subsequent reports will indicate any changes (errors) in red." </t>
  </si>
  <si>
    <r>
      <t>Average Top E/C (</t>
    </r>
    <r>
      <rPr>
        <sz val="11"/>
        <color theme="1"/>
        <rFont val="Calibri"/>
        <family val="2"/>
      </rPr>
      <t>µ</t>
    </r>
    <r>
      <rPr>
        <sz val="11"/>
        <color theme="1"/>
        <rFont val="Times New Roman"/>
        <family val="1"/>
      </rPr>
      <t>S)</t>
    </r>
  </si>
  <si>
    <r>
      <t>Average Bottom E/C (</t>
    </r>
    <r>
      <rPr>
        <sz val="11"/>
        <color theme="1"/>
        <rFont val="Calibri"/>
        <family val="2"/>
      </rPr>
      <t>µ</t>
    </r>
    <r>
      <rPr>
        <sz val="11"/>
        <color theme="1"/>
        <rFont val="Times New Roman"/>
        <family val="1"/>
      </rPr>
      <t>S)</t>
    </r>
  </si>
  <si>
    <t>PP201</t>
  </si>
  <si>
    <t>HC201</t>
  </si>
  <si>
    <t>shortened tows due to S curve in canal</t>
  </si>
  <si>
    <t>SJT201</t>
  </si>
  <si>
    <t>SBM201</t>
  </si>
  <si>
    <t>SM201</t>
  </si>
  <si>
    <t>LSJ201</t>
  </si>
  <si>
    <t>RS201</t>
  </si>
  <si>
    <t>On second tow, net was pulled in 30 seconds late (at 10.5 minutes)</t>
  </si>
  <si>
    <t>DS201</t>
  </si>
  <si>
    <t>MR201</t>
  </si>
  <si>
    <t>LSJ202</t>
  </si>
  <si>
    <t>HB201</t>
  </si>
  <si>
    <t>SBM202</t>
  </si>
  <si>
    <t>SPE201</t>
  </si>
  <si>
    <t>CQS201</t>
  </si>
  <si>
    <t>13.2-28</t>
  </si>
  <si>
    <t>SPE202</t>
  </si>
  <si>
    <t>10.4-19.5</t>
  </si>
  <si>
    <t>SRU201</t>
  </si>
  <si>
    <t>First tow was 10 minutes, second and third tows were 2.5 minutes; three tows completed because first tow had sled issue</t>
  </si>
  <si>
    <t>SRU202</t>
  </si>
  <si>
    <t>First sample was 10 minutes long and was compromised. 2nd and 3rd tows were shortened to 5 min</t>
  </si>
  <si>
    <t>MKR201</t>
  </si>
  <si>
    <t>Note: Gear comparison sampling was conducted between 6/26 and 6/28. This involved paired sampling at 4 stations, each with 4 treatments (regular 20mm oblique trawl, surface only 20mm trawl, small larval net surface trawl, and Kodiak trawl). Each treamtment included 2 replicates (tows). Reports are based on data sheets that have not completed quality assurance and quality control procedures. Quality Assurance measures will be completed as soon as possible and subsequent reports will indicate any changes (errors) in red.</t>
  </si>
  <si>
    <t>Small (S) or Large (L) net</t>
  </si>
  <si>
    <t>31-55</t>
  </si>
  <si>
    <t>All DSM showed no expression; 17 of 19 DSM were mortalities retained for verification/voucher</t>
  </si>
  <si>
    <t>S</t>
  </si>
  <si>
    <t>L</t>
  </si>
  <si>
    <t>Base sampling; also listed on 20mm_EDSM tab. CDFW sampling in close proximity around the same time</t>
  </si>
  <si>
    <t>Tow 1 was 5 min in case of DSM capture, tow 2 was increased to 10 min due to lack of DSM</t>
  </si>
  <si>
    <t>Base sampling; also listed on 20mm_EDSM tab</t>
  </si>
  <si>
    <t xml:space="preserve">Tow 1 was 5 min in case of DSM capture, tow 2 was increased to 10 min due to lack of DSM; DSM caught in tow 2 - no expression, released alive in field; </t>
  </si>
  <si>
    <t>DSM caught in tow 2 - no expression, mortality and brought back to office for verification/voucher</t>
  </si>
  <si>
    <t>Base sampling; also listed on 20mm_EDSM tab. 3 DSM measured in field, no expression and brought back for verification; 1 identified in the lab</t>
  </si>
  <si>
    <t>Base sampling (only 1st two tows considered gear comparison); also listed on Enhanced_Delta Smelt_Monitoring tab; Tow 5 was shortened to 2 min; 6th tow completed due to shortened 5th tow</t>
  </si>
  <si>
    <t>Base sampling (only 1st two tows considered gear comparison); also listed on Enhanced_Delta Smelt_Monitoring tab</t>
  </si>
  <si>
    <t xml:space="preserve">Base sampling (only 1st two tows considered gear comparison); also listed on Enhanced_Delta Smelt_Monitoring tab; Code 2 on tows 3 and 4: twist in net; Code 3 on tow 2: veg blocking net </t>
  </si>
  <si>
    <t>Tow 1 was 5 min, tow 2 increased to 10 min due to no DSM caught in Tow 1</t>
  </si>
  <si>
    <t>Base sampling; also listed on Enhanced_Delta Smelt_Monitoring tab; 15 DSM brought back to office; all DSM showed no expression</t>
  </si>
  <si>
    <t>DSM identified in the field, 2 brought back to office for verification, no expression; only 1 tow completed due to DSM caught in tow 1</t>
  </si>
  <si>
    <t>30-40</t>
  </si>
  <si>
    <t>only 1 tow completed due to DSM caught in other tows at this station</t>
  </si>
  <si>
    <t>Base sampling; also listed on Enhanced_Delta Smelt_Monitoring tab; 9 DSM brought back to office; all DSM showed no expression</t>
  </si>
  <si>
    <t>DSM identified in the field, 1 brought back to office for verification, no expression; only 1 tow completed due to DSM caught in tow 1</t>
  </si>
  <si>
    <t>Note: Reports from the same day are based on summary sheets that have not undergone initial quality assurance and quality control procedures. Catch data will be processed on the next business day and subsequent reports will indicate any changes (errors) in red."</t>
  </si>
  <si>
    <t>high.risk.high.density</t>
  </si>
  <si>
    <t>SJT1</t>
  </si>
  <si>
    <t>KDTR</t>
  </si>
  <si>
    <t>10 min</t>
  </si>
  <si>
    <t>Up</t>
  </si>
  <si>
    <t>SJT2</t>
  </si>
  <si>
    <t>66 - 68</t>
  </si>
  <si>
    <t>no expression</t>
  </si>
  <si>
    <t>PP1</t>
  </si>
  <si>
    <t>San Joaquin River at Prisoner's Pt</t>
  </si>
  <si>
    <t>PP2</t>
  </si>
  <si>
    <t>Down</t>
  </si>
  <si>
    <t>PP4</t>
  </si>
  <si>
    <t>SJT3</t>
  </si>
  <si>
    <t>SBM4</t>
  </si>
  <si>
    <t>HB2</t>
  </si>
  <si>
    <t>SBM2</t>
  </si>
  <si>
    <t>Code 9</t>
  </si>
  <si>
    <t>LSR1</t>
  </si>
  <si>
    <t>5 min</t>
  </si>
  <si>
    <t>SJT4</t>
  </si>
  <si>
    <t>159 - 163</t>
  </si>
  <si>
    <t>One of CHN is a Code 9</t>
  </si>
  <si>
    <t>PP5</t>
  </si>
  <si>
    <t>PP3</t>
  </si>
  <si>
    <t>SJT5</t>
  </si>
  <si>
    <t>CS1</t>
  </si>
  <si>
    <t>LSJ8</t>
  </si>
  <si>
    <t>Code 4: Too shallow (2 m)</t>
  </si>
  <si>
    <t>LSR2</t>
  </si>
  <si>
    <t>63 - 67</t>
  </si>
  <si>
    <t>Five DSM were code 9, no measurement nor expressed</t>
  </si>
  <si>
    <t>LSR3</t>
  </si>
  <si>
    <t>PP6</t>
  </si>
  <si>
    <t>PP8</t>
  </si>
  <si>
    <t>LSJ11</t>
  </si>
  <si>
    <t>LSJ10</t>
  </si>
  <si>
    <t>SBM6</t>
  </si>
  <si>
    <t>SBM7</t>
  </si>
  <si>
    <t>PP7</t>
  </si>
  <si>
    <t>PP11</t>
  </si>
  <si>
    <t>SJT6</t>
  </si>
  <si>
    <t>One DSM code 9</t>
  </si>
  <si>
    <t>SJT8</t>
  </si>
  <si>
    <t>60 - 69</t>
  </si>
  <si>
    <t>SJT7</t>
  </si>
  <si>
    <t>SJT9</t>
  </si>
  <si>
    <t>PP9</t>
  </si>
  <si>
    <t>64 - 71</t>
  </si>
  <si>
    <t>CS2</t>
  </si>
  <si>
    <t>48 - 65</t>
  </si>
  <si>
    <t>One of DSM is a Code 9</t>
  </si>
  <si>
    <t>RV1</t>
  </si>
  <si>
    <t>One CHN is a Code 9</t>
  </si>
  <si>
    <t>56 - 58</t>
  </si>
  <si>
    <t>PP10</t>
  </si>
  <si>
    <t>PP13</t>
  </si>
  <si>
    <t>SJT10</t>
  </si>
  <si>
    <t>SBM8</t>
  </si>
  <si>
    <t>62 - 69</t>
  </si>
  <si>
    <t>SM1</t>
  </si>
  <si>
    <t>62 - 64</t>
  </si>
  <si>
    <t>SBM9</t>
  </si>
  <si>
    <t>LSR5</t>
  </si>
  <si>
    <t>PP12</t>
  </si>
  <si>
    <t>PP16</t>
  </si>
  <si>
    <t>Code 4: In the marsh, nothing within 50 m</t>
  </si>
  <si>
    <t>PP14</t>
  </si>
  <si>
    <t>SJT11</t>
  </si>
  <si>
    <t>65 - 79</t>
  </si>
  <si>
    <t>LSR4</t>
  </si>
  <si>
    <t>RV2</t>
  </si>
  <si>
    <t>CS3</t>
  </si>
  <si>
    <t>SJT12</t>
  </si>
  <si>
    <t>Lost data sheets for tows 3 &amp; 4</t>
  </si>
  <si>
    <t>SJT13</t>
  </si>
  <si>
    <t>Code 2: Net twisted before box</t>
  </si>
  <si>
    <t>SJT14</t>
  </si>
  <si>
    <t>60 - 66</t>
  </si>
  <si>
    <t>HB5</t>
  </si>
  <si>
    <t>HB4</t>
  </si>
  <si>
    <t>RV3</t>
  </si>
  <si>
    <t>PP17</t>
  </si>
  <si>
    <t>PP21</t>
  </si>
  <si>
    <t>PP18</t>
  </si>
  <si>
    <t>Code 3: Net blocked with, too shallow to continue</t>
  </si>
  <si>
    <t>PP27</t>
  </si>
  <si>
    <t>CS5</t>
  </si>
  <si>
    <t>Code 4: Inside Liberty; too shallow ~6ft</t>
  </si>
  <si>
    <t>CS6</t>
  </si>
  <si>
    <t>Code 4: No water within 50 m</t>
  </si>
  <si>
    <t>RV4</t>
  </si>
  <si>
    <t>Code 4: Too shallow. Alternate site full of snags</t>
  </si>
  <si>
    <t>SM2</t>
  </si>
  <si>
    <t>SJT16</t>
  </si>
  <si>
    <t>SJT15</t>
  </si>
  <si>
    <t>SJT18</t>
  </si>
  <si>
    <t>SJT17</t>
  </si>
  <si>
    <t>66 - 71</t>
  </si>
  <si>
    <t>PP19</t>
  </si>
  <si>
    <t>SM3</t>
  </si>
  <si>
    <t>67 - 70</t>
  </si>
  <si>
    <t>Code 3: First tow, net blockage</t>
  </si>
  <si>
    <t>SBM14</t>
  </si>
  <si>
    <t>DSM dead, brought back to office</t>
  </si>
  <si>
    <t>LSJ13</t>
  </si>
  <si>
    <t>59 - 66</t>
  </si>
  <si>
    <t>HB6</t>
  </si>
  <si>
    <t>SBM15</t>
  </si>
  <si>
    <t>102 - 132</t>
  </si>
  <si>
    <t>not expressed</t>
  </si>
  <si>
    <t>Longfin smelt were not expressed</t>
  </si>
  <si>
    <t>PP20</t>
  </si>
  <si>
    <t>PP22</t>
  </si>
  <si>
    <t>SJT19</t>
  </si>
  <si>
    <t>125 - 151</t>
  </si>
  <si>
    <t>Code 2: First tow had float line wrapped around net</t>
  </si>
  <si>
    <t>PP23</t>
  </si>
  <si>
    <t>PP25</t>
  </si>
  <si>
    <t>SJT20</t>
  </si>
  <si>
    <t>high.risk.low.density</t>
  </si>
  <si>
    <t>HC51</t>
  </si>
  <si>
    <t>FT53</t>
  </si>
  <si>
    <t>No sampling done due to high wind conditions</t>
  </si>
  <si>
    <t>High winds, sampling cancelled</t>
  </si>
  <si>
    <t>PP24</t>
  </si>
  <si>
    <t>PP26</t>
  </si>
  <si>
    <t>FT52</t>
  </si>
  <si>
    <t>FT54</t>
  </si>
  <si>
    <t>OR51</t>
  </si>
  <si>
    <t>Code 4: Coordinates point on land, no water within 50 m</t>
  </si>
  <si>
    <t>MR52</t>
  </si>
  <si>
    <t>MI55</t>
  </si>
  <si>
    <t>SJT21</t>
  </si>
  <si>
    <t>SJT22</t>
  </si>
  <si>
    <t>Tow 3 cut short due to sea lion (8.5 min)</t>
  </si>
  <si>
    <t>PP28</t>
  </si>
  <si>
    <t>36 - 38</t>
  </si>
  <si>
    <t>MI54</t>
  </si>
  <si>
    <t>Shifted site 50 meters to the west. Point was on land.</t>
  </si>
  <si>
    <t>OR52</t>
  </si>
  <si>
    <t>SJT51</t>
  </si>
  <si>
    <t>Turbidity meter broken</t>
  </si>
  <si>
    <t>SJT53</t>
  </si>
  <si>
    <t>37 - 39</t>
  </si>
  <si>
    <t>65 - 74</t>
  </si>
  <si>
    <t>PP51</t>
  </si>
  <si>
    <t>SSC1</t>
  </si>
  <si>
    <t>SSC51</t>
  </si>
  <si>
    <t>60 - 72</t>
  </si>
  <si>
    <t>PP52</t>
  </si>
  <si>
    <t>PP54</t>
  </si>
  <si>
    <t>Code 4: Point on land. No water within 50 meters</t>
  </si>
  <si>
    <t>PP53</t>
  </si>
  <si>
    <t>LSJ59</t>
  </si>
  <si>
    <t>LSR52</t>
  </si>
  <si>
    <t>LSR53</t>
  </si>
  <si>
    <t>SJT55</t>
  </si>
  <si>
    <t>SJT54</t>
  </si>
  <si>
    <t>SJT56</t>
  </si>
  <si>
    <t>37 - 40</t>
  </si>
  <si>
    <t>LSR51</t>
  </si>
  <si>
    <t>LSR54</t>
  </si>
  <si>
    <t>34 - 37</t>
  </si>
  <si>
    <t>SBM51</t>
  </si>
  <si>
    <t>Code 4: Restricted area, explosives</t>
  </si>
  <si>
    <t>SBM52</t>
  </si>
  <si>
    <t>PP55</t>
  </si>
  <si>
    <t>PP57</t>
  </si>
  <si>
    <t>CS51</t>
  </si>
  <si>
    <t>LSJ60</t>
  </si>
  <si>
    <t>HB51</t>
  </si>
  <si>
    <t>SBM53</t>
  </si>
  <si>
    <t>36 - 43</t>
  </si>
  <si>
    <t>HB52</t>
  </si>
  <si>
    <t>64 - 70</t>
  </si>
  <si>
    <t>Four DSM are code 9</t>
  </si>
  <si>
    <t>RV51</t>
  </si>
  <si>
    <t>SJT57</t>
  </si>
  <si>
    <t>SJT59</t>
  </si>
  <si>
    <t>PP56</t>
  </si>
  <si>
    <t>PP61</t>
  </si>
  <si>
    <t>SJT58</t>
  </si>
  <si>
    <t>PP59</t>
  </si>
  <si>
    <t>Code 2: first tow had buoy wrapped around net</t>
  </si>
  <si>
    <t>PP58</t>
  </si>
  <si>
    <t>SBM54</t>
  </si>
  <si>
    <t>SBM55</t>
  </si>
  <si>
    <t>CS52</t>
  </si>
  <si>
    <t>PP60</t>
  </si>
  <si>
    <t>PP66</t>
  </si>
  <si>
    <t>Code 4: Site is 400 feet from the water</t>
  </si>
  <si>
    <t>PP65</t>
  </si>
  <si>
    <t>SBM56</t>
  </si>
  <si>
    <t>SM51</t>
  </si>
  <si>
    <t>62 - 71</t>
  </si>
  <si>
    <t>CS53</t>
  </si>
  <si>
    <t>PP62</t>
  </si>
  <si>
    <t>Code 4: Point on land, no water within 50 meters</t>
  </si>
  <si>
    <t>PP64</t>
  </si>
  <si>
    <t>39 - 41</t>
  </si>
  <si>
    <t>PP67</t>
  </si>
  <si>
    <t>SJT60</t>
  </si>
  <si>
    <t>low.risk.low.density</t>
  </si>
  <si>
    <t>MKR51</t>
  </si>
  <si>
    <t>37 - 44</t>
  </si>
  <si>
    <t>MKR52</t>
  </si>
  <si>
    <t>RV52</t>
  </si>
  <si>
    <t>LSJ61</t>
  </si>
  <si>
    <t>62 - 65</t>
  </si>
  <si>
    <t>LSR55</t>
  </si>
  <si>
    <t>Code 4: Too shallow, &lt; 5 ft.</t>
  </si>
  <si>
    <t>SBM57</t>
  </si>
  <si>
    <t>SRR51</t>
  </si>
  <si>
    <t xml:space="preserve"> Sacramento River near Ryde</t>
  </si>
  <si>
    <t>PP63</t>
  </si>
  <si>
    <t>38-45</t>
  </si>
  <si>
    <t>SJT63</t>
  </si>
  <si>
    <t>Code 2: First and third tows had bebris partially blocking live box</t>
  </si>
  <si>
    <t>SJT61</t>
  </si>
  <si>
    <t xml:space="preserve">Code 2: Tows 1 and 4  had bebris partially blocking live box. Code 3: Tow 3 - debris completely blocking livebox. </t>
  </si>
  <si>
    <t>CS55</t>
  </si>
  <si>
    <t>34 - 38</t>
  </si>
  <si>
    <t>Code 3: Tow 4 net not fully deployed; not spreading</t>
  </si>
  <si>
    <t>CS54</t>
  </si>
  <si>
    <t>LNR51</t>
  </si>
  <si>
    <t>84 - 91</t>
  </si>
  <si>
    <t>SJS51</t>
  </si>
  <si>
    <t>Code 2: Tow 1 had twisted net</t>
  </si>
  <si>
    <t>MI52</t>
  </si>
  <si>
    <t>CqS51</t>
  </si>
  <si>
    <t>75 - 89</t>
  </si>
  <si>
    <t>SBW52</t>
  </si>
  <si>
    <t>SBW51</t>
  </si>
  <si>
    <t>Code 4: Site is in between mothballed fleet</t>
  </si>
  <si>
    <t>HB53</t>
  </si>
  <si>
    <t>CqS52</t>
  </si>
  <si>
    <t>64 - 65</t>
  </si>
  <si>
    <t>MR51</t>
  </si>
  <si>
    <t>MI51</t>
  </si>
  <si>
    <t>SBW53</t>
  </si>
  <si>
    <t>SBW56</t>
  </si>
  <si>
    <t>RBT is a code 9</t>
  </si>
  <si>
    <t>LNR52</t>
  </si>
  <si>
    <t>FT51</t>
  </si>
  <si>
    <t>RS51</t>
  </si>
  <si>
    <t>VC51</t>
  </si>
  <si>
    <t>n</t>
  </si>
  <si>
    <t>Second tow was Code 8 - tow was 5 min due to sea lion, all other tows were 10 min</t>
  </si>
  <si>
    <t>VC52</t>
  </si>
  <si>
    <t>DS51</t>
  </si>
  <si>
    <t>MI53</t>
  </si>
  <si>
    <t>Code 4: Multiple snags in area</t>
  </si>
  <si>
    <t>MI56</t>
  </si>
  <si>
    <t>Code 2 on tow 1, twisted net</t>
  </si>
  <si>
    <t>SJS53</t>
  </si>
  <si>
    <t>Code 4: Sea lion in site</t>
  </si>
  <si>
    <t>SJS55</t>
  </si>
  <si>
    <t>SJT62</t>
  </si>
  <si>
    <t>33 - 44</t>
  </si>
  <si>
    <t>Tow # three cut short (5 min) due to sea lion, Code 8</t>
  </si>
  <si>
    <t>LSJ62</t>
  </si>
  <si>
    <t>34 - 35</t>
  </si>
  <si>
    <t>LSJ64</t>
  </si>
  <si>
    <t>LSJ63</t>
  </si>
  <si>
    <t>35 - 38</t>
  </si>
  <si>
    <t>SBM58</t>
  </si>
  <si>
    <t>SBM59</t>
  </si>
  <si>
    <t>CqS53</t>
  </si>
  <si>
    <t>72 - 77</t>
  </si>
  <si>
    <t>SBW54</t>
  </si>
  <si>
    <t>38 - 46</t>
  </si>
  <si>
    <t>SBM60</t>
  </si>
  <si>
    <t>28 - 39</t>
  </si>
  <si>
    <t>SBM62</t>
  </si>
  <si>
    <t>SJT64</t>
  </si>
  <si>
    <t>31 - 40</t>
  </si>
  <si>
    <t>SJT68</t>
  </si>
  <si>
    <t>38 - 41</t>
  </si>
  <si>
    <t>PP68</t>
  </si>
  <si>
    <t>PP72</t>
  </si>
  <si>
    <t>Code 3 on tow #1, net blocked by vegitation; site on land shifted to nearest water body, Tows #3-#5 skipped due to conditions</t>
  </si>
  <si>
    <t>PP70</t>
  </si>
  <si>
    <t>Code 2 on tow #1, twist in net; code 8 on tow #3 net pulled early (3 min) due to sea lion</t>
  </si>
  <si>
    <t>MkR54</t>
  </si>
  <si>
    <t>HC52</t>
  </si>
  <si>
    <t>Code 3 on tows #1 &amp; #8, possibly debris blocking net</t>
  </si>
  <si>
    <t>FT55</t>
  </si>
  <si>
    <t>SRU52</t>
  </si>
  <si>
    <t>30 - 44</t>
  </si>
  <si>
    <t>SRR52</t>
  </si>
  <si>
    <t>34 - 48</t>
  </si>
  <si>
    <t>SJT65</t>
  </si>
  <si>
    <t>PP69</t>
  </si>
  <si>
    <t>SJT66</t>
  </si>
  <si>
    <t>40 - 41</t>
  </si>
  <si>
    <t>SJT67</t>
  </si>
  <si>
    <t>34 - 47</t>
  </si>
  <si>
    <t>PP71</t>
  </si>
  <si>
    <t>37- 40</t>
  </si>
  <si>
    <t>SJT69</t>
  </si>
  <si>
    <t>35-50</t>
  </si>
  <si>
    <t>CS56</t>
  </si>
  <si>
    <t>Code 4: Station 84 safety concerns due to high water conditions</t>
  </si>
  <si>
    <t>SBW55</t>
  </si>
  <si>
    <t>28 - 46</t>
  </si>
  <si>
    <t>Code 3 on tow #3 and Code 2 on tow #7, net blockage from veg</t>
  </si>
  <si>
    <t>LSR56</t>
  </si>
  <si>
    <t xml:space="preserve">n/p  </t>
  </si>
  <si>
    <t>PP78</t>
  </si>
  <si>
    <t>LSJ65</t>
  </si>
  <si>
    <t>Code 8 on tow #2 Sea lion</t>
  </si>
  <si>
    <t>HB54</t>
  </si>
  <si>
    <t>34 - 50</t>
  </si>
  <si>
    <t>CqS54</t>
  </si>
  <si>
    <t>33 - 51</t>
  </si>
  <si>
    <t>Code 3 on tow #1 and Code 2 on tow #2 ,debris blocking net</t>
  </si>
  <si>
    <t>SBM61</t>
  </si>
  <si>
    <t>33 - 36</t>
  </si>
  <si>
    <t>CqS55</t>
  </si>
  <si>
    <t>34 - 51</t>
  </si>
  <si>
    <t>Code 2 on tow #1 buoy  wrapped around net and twist in net</t>
  </si>
  <si>
    <t>eggs exp.</t>
  </si>
  <si>
    <t>SBW57</t>
  </si>
  <si>
    <t>35 - 53</t>
  </si>
  <si>
    <t>SBW58</t>
  </si>
  <si>
    <t>36 - 48</t>
  </si>
  <si>
    <t>SJT70</t>
  </si>
  <si>
    <t>29 - 50</t>
  </si>
  <si>
    <t>milt</t>
  </si>
  <si>
    <t>SJT71</t>
  </si>
  <si>
    <t xml:space="preserve">38 - 41 </t>
  </si>
  <si>
    <t>SJT72</t>
  </si>
  <si>
    <t>38 - 44</t>
  </si>
  <si>
    <t>SM52</t>
  </si>
  <si>
    <t>32 - 42</t>
  </si>
  <si>
    <t>SBM64</t>
  </si>
  <si>
    <t xml:space="preserve">35 - 38 </t>
  </si>
  <si>
    <t>LSJ66</t>
  </si>
  <si>
    <t>35 - 36</t>
  </si>
  <si>
    <t>LNR53</t>
  </si>
  <si>
    <t>SBW59</t>
  </si>
  <si>
    <t>35 - 54</t>
  </si>
  <si>
    <t>SBW61</t>
  </si>
  <si>
    <t>26 - 39</t>
  </si>
  <si>
    <t>OR53</t>
  </si>
  <si>
    <t>Code 2 on six of the samples due to heavy veg. in nets</t>
  </si>
  <si>
    <t>MI58</t>
  </si>
  <si>
    <t>FT56</t>
  </si>
  <si>
    <t>38 - 50</t>
  </si>
  <si>
    <t>FT57</t>
  </si>
  <si>
    <t>Code 8 on tow #2, sea lion sighted</t>
  </si>
  <si>
    <t>MI57</t>
  </si>
  <si>
    <t>Midred Island</t>
  </si>
  <si>
    <t>36 - 39</t>
  </si>
  <si>
    <t>SJS54</t>
  </si>
  <si>
    <t>LSJ67</t>
  </si>
  <si>
    <t>34 - 49</t>
  </si>
  <si>
    <t>LSR57</t>
  </si>
  <si>
    <t xml:space="preserve">First 2 tows were downstream, last 3 were upstream. Code 2 on tow 3: buoy line under net. 5th tow length cut short by 57 seconds due to sea lion. </t>
  </si>
  <si>
    <t>RV53</t>
  </si>
  <si>
    <t>PP73</t>
  </si>
  <si>
    <t>49 - 55</t>
  </si>
  <si>
    <t>PP75</t>
  </si>
  <si>
    <t>Delta smelt was Code 9</t>
  </si>
  <si>
    <t>PP74</t>
  </si>
  <si>
    <t>Code 4: site on land</t>
  </si>
  <si>
    <t>PP76</t>
  </si>
  <si>
    <t>PP77</t>
  </si>
  <si>
    <t>MKR55</t>
  </si>
  <si>
    <t>43 - 53</t>
  </si>
  <si>
    <t>57 - 63</t>
  </si>
  <si>
    <t>MKR57</t>
  </si>
  <si>
    <t>MKR56</t>
  </si>
  <si>
    <t>Code 3 on tow 3</t>
  </si>
  <si>
    <t>RV54</t>
  </si>
  <si>
    <t>Code 4: very high/fast flows at site</t>
  </si>
  <si>
    <t>MKR58</t>
  </si>
  <si>
    <t>PP101</t>
  </si>
  <si>
    <t>PP103</t>
  </si>
  <si>
    <t>SJT101</t>
  </si>
  <si>
    <t>One CHNF caught in 5th tow was lost with debris; Code 3: First tow, net twisted and buoy wrapped around net</t>
  </si>
  <si>
    <t>VC53</t>
  </si>
  <si>
    <t>CHNF dead</t>
  </si>
  <si>
    <t>RS52</t>
  </si>
  <si>
    <t>Code 4 on 5th tow - sea lions present so no sample taken</t>
  </si>
  <si>
    <t>MI59</t>
  </si>
  <si>
    <t>Code 2's occurred on tows 1 and 2</t>
  </si>
  <si>
    <t>CqS56</t>
  </si>
  <si>
    <t>Tow 3 was code 2: twist in net</t>
  </si>
  <si>
    <t>73 - 74</t>
  </si>
  <si>
    <t>SBW60</t>
  </si>
  <si>
    <t>CqS57</t>
  </si>
  <si>
    <t>SBM63</t>
  </si>
  <si>
    <t>SBW62</t>
  </si>
  <si>
    <t>FT58</t>
  </si>
  <si>
    <t>FT59</t>
  </si>
  <si>
    <t>CS57</t>
  </si>
  <si>
    <t>40 - 44</t>
  </si>
  <si>
    <t>CqS58</t>
  </si>
  <si>
    <t>CqS59</t>
  </si>
  <si>
    <t>44-48</t>
  </si>
  <si>
    <t>LSR58</t>
  </si>
  <si>
    <t>210 - 225</t>
  </si>
  <si>
    <t>DS52</t>
  </si>
  <si>
    <t>SJS56</t>
  </si>
  <si>
    <t>MKR59</t>
  </si>
  <si>
    <t xml:space="preserve">Code 2 on first tow (net twisted), Code 3 on 6th and 7th tows (vegetation) </t>
  </si>
  <si>
    <t>42 - 44</t>
  </si>
  <si>
    <t>MKR60</t>
  </si>
  <si>
    <t>MKR61</t>
  </si>
  <si>
    <t>SRU54</t>
  </si>
  <si>
    <t>Code 4: site unreachable in high water</t>
  </si>
  <si>
    <t>SRU55</t>
  </si>
  <si>
    <t>SSC52</t>
  </si>
  <si>
    <t xml:space="preserve">5th tow was Code 8 (sea lion), lasted 2:15. </t>
  </si>
  <si>
    <t>CS101</t>
  </si>
  <si>
    <t>42 - 47</t>
  </si>
  <si>
    <t>LSJ101</t>
  </si>
  <si>
    <t>SJT102</t>
  </si>
  <si>
    <t>SJT103</t>
  </si>
  <si>
    <t>SJT105</t>
  </si>
  <si>
    <t>Two RBT were code 9's (not measured or identified by stage), 1RBT flopped off measuring board so no length or stage recorded,but all were clipped</t>
  </si>
  <si>
    <t>SJT106</t>
  </si>
  <si>
    <t>Tow 2 was pulled early (after 8 min) due to a low bridge blocking canal</t>
  </si>
  <si>
    <t>LSJ102</t>
  </si>
  <si>
    <t>LSR101</t>
  </si>
  <si>
    <t>SBM101</t>
  </si>
  <si>
    <t>Code 3 on Tow#1, net twist</t>
  </si>
  <si>
    <t>PP102</t>
  </si>
  <si>
    <t>PP104</t>
  </si>
  <si>
    <t>SRU56</t>
  </si>
  <si>
    <t>SRR54</t>
  </si>
  <si>
    <t>HC53</t>
  </si>
  <si>
    <t>MkR101</t>
  </si>
  <si>
    <t>194 - 225</t>
  </si>
  <si>
    <t>MkR102</t>
  </si>
  <si>
    <t>1 RBT code 9</t>
  </si>
  <si>
    <t>SBM103</t>
  </si>
  <si>
    <t>FT60</t>
  </si>
  <si>
    <t>SJS57</t>
  </si>
  <si>
    <t>DS53</t>
  </si>
  <si>
    <t>HC55</t>
  </si>
  <si>
    <t>CqS60</t>
  </si>
  <si>
    <t>218-235</t>
  </si>
  <si>
    <t>CqS61</t>
  </si>
  <si>
    <t>211-231</t>
  </si>
  <si>
    <t>SBW63</t>
  </si>
  <si>
    <t>SBW64</t>
  </si>
  <si>
    <t>CqS62</t>
  </si>
  <si>
    <t>CqS63</t>
  </si>
  <si>
    <t>SM101</t>
  </si>
  <si>
    <t>SBM102</t>
  </si>
  <si>
    <t>LNR101</t>
  </si>
  <si>
    <t>SPE101</t>
  </si>
  <si>
    <t xml:space="preserve"> East San Pablo Bay</t>
  </si>
  <si>
    <t>HC54</t>
  </si>
  <si>
    <t>Tow 2 was Code 8 (sea lion), tow length was 2 minutes</t>
  </si>
  <si>
    <t>FT101</t>
  </si>
  <si>
    <t>Tow 3 pulled 2 minutes early (8 min tow) due to sea lion sighting; Tow 8 was Code 8 (sea lion sighting- 2 minutes long)</t>
  </si>
  <si>
    <t>MI60</t>
  </si>
  <si>
    <t>DS54</t>
  </si>
  <si>
    <t>Code 4: sea lions present at site and would not leave</t>
  </si>
  <si>
    <t>SJS101</t>
  </si>
  <si>
    <t>SJT104</t>
  </si>
  <si>
    <t>44 - 61</t>
  </si>
  <si>
    <t>SJT108</t>
  </si>
  <si>
    <t>SJT107</t>
  </si>
  <si>
    <t>40 - 42</t>
  </si>
  <si>
    <t>SBW101</t>
  </si>
  <si>
    <t>SBW102</t>
  </si>
  <si>
    <t>Code 2 on tow #3; buoy wrapped around net</t>
  </si>
  <si>
    <t>SJT109</t>
  </si>
  <si>
    <t>CS102</t>
  </si>
  <si>
    <t>LSJ103</t>
  </si>
  <si>
    <t>Code 4: unsafe waters</t>
  </si>
  <si>
    <t>LSR102</t>
  </si>
  <si>
    <t>LSR103</t>
  </si>
  <si>
    <t>RV102</t>
  </si>
  <si>
    <t>SM102</t>
  </si>
  <si>
    <t>RV101</t>
  </si>
  <si>
    <t>SPE102</t>
  </si>
  <si>
    <t>SBW103</t>
  </si>
  <si>
    <t>43 - 45</t>
  </si>
  <si>
    <t>SBW105</t>
  </si>
  <si>
    <t>SBW104</t>
  </si>
  <si>
    <t>Code 4: site inside Mothball fleet, no sample taken</t>
  </si>
  <si>
    <t>SPE103</t>
  </si>
  <si>
    <t>SPE104</t>
  </si>
  <si>
    <t>91-121</t>
  </si>
  <si>
    <t>CqS101</t>
  </si>
  <si>
    <t>212-225</t>
  </si>
  <si>
    <t>N/p</t>
  </si>
  <si>
    <t>PP105</t>
  </si>
  <si>
    <t>209-232</t>
  </si>
  <si>
    <t>PP109</t>
  </si>
  <si>
    <t>PP106</t>
  </si>
  <si>
    <t>CHNF was Code 9 on tow 5</t>
  </si>
  <si>
    <t>PP110</t>
  </si>
  <si>
    <t>LSJ104</t>
  </si>
  <si>
    <t>38-61</t>
  </si>
  <si>
    <t>LSJ105</t>
  </si>
  <si>
    <t>Tow 4 was code 8 (sea lion sighting), tow ended after 1 minute</t>
  </si>
  <si>
    <t>SBM104</t>
  </si>
  <si>
    <t>HB102</t>
  </si>
  <si>
    <t>RS101</t>
  </si>
  <si>
    <t>HC101</t>
  </si>
  <si>
    <t>Tow 1 was Code 2 (twist in net)</t>
  </si>
  <si>
    <t>MI101</t>
  </si>
  <si>
    <t>MI102</t>
  </si>
  <si>
    <t>Tow 8 was Code 8: tow was cut short at 3.5 min due to sea lion presence</t>
  </si>
  <si>
    <t>SRU101</t>
  </si>
  <si>
    <t>SRU102</t>
  </si>
  <si>
    <t>FT102</t>
  </si>
  <si>
    <t>Only 4 tows completed due to a sea lion arriving</t>
  </si>
  <si>
    <t>FT103</t>
  </si>
  <si>
    <t>Tows 2 and 5 were code 2: partial blockage due to vegetation</t>
  </si>
  <si>
    <t>SRR101</t>
  </si>
  <si>
    <t>MkR103</t>
  </si>
  <si>
    <t>MI103</t>
  </si>
  <si>
    <t>45-62</t>
  </si>
  <si>
    <t>MI104</t>
  </si>
  <si>
    <t>LNR102</t>
  </si>
  <si>
    <t>Tow 6 stopped after 2.5 minutes because DSM was captured on previous tow</t>
  </si>
  <si>
    <t>72-76</t>
  </si>
  <si>
    <t>SPE105</t>
  </si>
  <si>
    <t>SBW106</t>
  </si>
  <si>
    <t>HC102</t>
  </si>
  <si>
    <t>Tow 2 was Code 3: 100% block of net by vegetation; tow 4 was paused due to net issues, then resumed when issues were fixed</t>
  </si>
  <si>
    <t>MI105</t>
  </si>
  <si>
    <t>Tow 8 cut short due to sea lion (8 min 10 seconds long)</t>
  </si>
  <si>
    <t>MI106</t>
  </si>
  <si>
    <t>Tow 5 was cut to 8 min long due to sea lion sighting</t>
  </si>
  <si>
    <t>MR101</t>
  </si>
  <si>
    <t>FT104</t>
  </si>
  <si>
    <t>Tow 6 was code 3; float line wrapped around net</t>
  </si>
  <si>
    <t>CqS102</t>
  </si>
  <si>
    <t>SBM106</t>
  </si>
  <si>
    <t>FT105</t>
  </si>
  <si>
    <t>SBM107</t>
  </si>
  <si>
    <t>Mis Suisun Bay</t>
  </si>
  <si>
    <t>DS101</t>
  </si>
  <si>
    <t>Tow 1 was a code 3; net twist and debris blockage</t>
  </si>
  <si>
    <t>DS102</t>
  </si>
  <si>
    <t>Tow 5 was a code 3; twist in net</t>
  </si>
  <si>
    <t>SBW108</t>
  </si>
  <si>
    <t>PP107</t>
  </si>
  <si>
    <t>PP108</t>
  </si>
  <si>
    <t>SJT110</t>
  </si>
  <si>
    <t xml:space="preserve">Tow 2 was code 2: buildup of veg at mouth of box, Tows 3 and 4 were code 3: net blocked by veg. </t>
  </si>
  <si>
    <t>SJT115</t>
  </si>
  <si>
    <t>HB101</t>
  </si>
  <si>
    <t>LSJ106</t>
  </si>
  <si>
    <t>LSJ107</t>
  </si>
  <si>
    <t>SRU103</t>
  </si>
  <si>
    <t>37-63</t>
  </si>
  <si>
    <t>SM103</t>
  </si>
  <si>
    <t>SM104</t>
  </si>
  <si>
    <t>46 - 57</t>
  </si>
  <si>
    <t>SBM105</t>
  </si>
  <si>
    <t>PP111</t>
  </si>
  <si>
    <t>PP114</t>
  </si>
  <si>
    <t>SJT111</t>
  </si>
  <si>
    <t>SRR102</t>
  </si>
  <si>
    <t>44 - 46</t>
  </si>
  <si>
    <t>MKR105</t>
  </si>
  <si>
    <t>SJT114</t>
  </si>
  <si>
    <t>MKR106</t>
  </si>
  <si>
    <t>MKR107</t>
  </si>
  <si>
    <t>PP112</t>
  </si>
  <si>
    <t>PP113</t>
  </si>
  <si>
    <t>SJT113</t>
  </si>
  <si>
    <t>CHNS was a Code 9</t>
  </si>
  <si>
    <t>54-55</t>
  </si>
  <si>
    <t>SJT112</t>
  </si>
  <si>
    <t>95-112</t>
  </si>
  <si>
    <t>CHNW were code 9 on Tow 4, Tow 4 was 8 min long</t>
  </si>
  <si>
    <t>LSR104</t>
  </si>
  <si>
    <t>RV103</t>
  </si>
  <si>
    <t>HB103</t>
  </si>
  <si>
    <t>HB104</t>
  </si>
  <si>
    <t>68-74</t>
  </si>
  <si>
    <t>Tow 2 was Code 3: float twisted around the net</t>
  </si>
  <si>
    <t>PP115</t>
  </si>
  <si>
    <t>PP117</t>
  </si>
  <si>
    <t xml:space="preserve">Tow 2 was stopped after 4 minutes due to shallow water and the channel ending; Tow 3 was code 4: Started tow but the net got tangled. Subsequent tows cancelled due to wind and current. </t>
  </si>
  <si>
    <t>SRU104</t>
  </si>
  <si>
    <t>44-62</t>
  </si>
  <si>
    <t>69-83</t>
  </si>
  <si>
    <t>MKR108</t>
  </si>
  <si>
    <t>54-65</t>
  </si>
  <si>
    <t>HC105</t>
  </si>
  <si>
    <t>Tow 4 was code 3: massive amounts of weeds in net</t>
  </si>
  <si>
    <t>MI107</t>
  </si>
  <si>
    <t>1 tow was code 2 - stopped early because of a snag on something on bottom. No more tows completed</t>
  </si>
  <si>
    <t>SJT116</t>
  </si>
  <si>
    <t>LSJ108</t>
  </si>
  <si>
    <t>Tow 1 was code 3 - lead line wrapped and twisted; RBT was a code 9 on tow 3</t>
  </si>
  <si>
    <t>RV104</t>
  </si>
  <si>
    <t>65-104</t>
  </si>
  <si>
    <t>HC103</t>
  </si>
  <si>
    <t>CHNF was code 9 and dead on tow 2. Tow 2 was code 8: stopped after 5 minutes due to sea lion</t>
  </si>
  <si>
    <t xml:space="preserve"> </t>
  </si>
  <si>
    <t>SPE106</t>
  </si>
  <si>
    <t>SPE107</t>
  </si>
  <si>
    <t>SBW107</t>
  </si>
  <si>
    <t>SBW109</t>
  </si>
  <si>
    <t>OR101</t>
  </si>
  <si>
    <t>OR102</t>
  </si>
  <si>
    <t>HC104</t>
  </si>
  <si>
    <t>DS103</t>
  </si>
  <si>
    <t>CQS103</t>
  </si>
  <si>
    <t>SPE109</t>
  </si>
  <si>
    <t>CHNW Was Code 9 on tow 3</t>
  </si>
  <si>
    <t>N/P</t>
  </si>
  <si>
    <t>DS104</t>
  </si>
  <si>
    <t>PP116</t>
  </si>
  <si>
    <t>MKR109</t>
  </si>
  <si>
    <t>Turbidity meter bulb out, no turbidity taken at this station</t>
  </si>
  <si>
    <t>SJS102</t>
  </si>
  <si>
    <t>MI108</t>
  </si>
  <si>
    <t>MI109</t>
  </si>
  <si>
    <t>Tows 1 and 8 were Code 2: twist/buoy line wrapped around net</t>
  </si>
  <si>
    <t>FT106</t>
  </si>
  <si>
    <t>FT108</t>
  </si>
  <si>
    <t xml:space="preserve">Tow 2 was Code 2: twist in net; Net got stuck on Tow 4 so tow ended early at 8 min; Tows 7 and 8 were Code 4 because net caught again. </t>
  </si>
  <si>
    <t>FT107</t>
  </si>
  <si>
    <t>1 CHNS was a Code 9, tow 1 and 3 were code 2 (twist in net), tows 7 and 8 were not completed because got too windy (code 4)</t>
  </si>
  <si>
    <t>OR104</t>
  </si>
  <si>
    <t>VC103</t>
  </si>
  <si>
    <t>CHNW died, brought back to office; tow 5 was code 3 (vegetation blocking cod end)</t>
  </si>
  <si>
    <t>SRU105</t>
  </si>
  <si>
    <t>101-104</t>
  </si>
  <si>
    <t>SJT117</t>
  </si>
  <si>
    <t>SJT120</t>
  </si>
  <si>
    <t>SJT118</t>
  </si>
  <si>
    <t>Tow 1 was code 2 (twisted net and buoy line wrapped around net), tow 1 was also cut short to 9 min due to sea lion sighting</t>
  </si>
  <si>
    <t>SJT121</t>
  </si>
  <si>
    <t>SBM108</t>
  </si>
  <si>
    <t>SM105</t>
  </si>
  <si>
    <t>N</t>
  </si>
  <si>
    <t>LSJ109</t>
  </si>
  <si>
    <t>SPE108</t>
  </si>
  <si>
    <t>Code 4: site not sampled because too shallow</t>
  </si>
  <si>
    <t>SPE110</t>
  </si>
  <si>
    <t>83-93</t>
  </si>
  <si>
    <t>CHN were code 9 on Tow 8</t>
  </si>
  <si>
    <t>LNR103</t>
  </si>
  <si>
    <t>CQS104</t>
  </si>
  <si>
    <t>78-97</t>
  </si>
  <si>
    <t>99-112</t>
  </si>
  <si>
    <t>SJT119</t>
  </si>
  <si>
    <t>Code 4: site not sampled due to inclement conditions - high wind and barge activity</t>
  </si>
  <si>
    <t>PP119</t>
  </si>
  <si>
    <t>SBW110</t>
  </si>
  <si>
    <t>75-94</t>
  </si>
  <si>
    <t>101-111</t>
  </si>
  <si>
    <t>84-100</t>
  </si>
  <si>
    <t>21-36-PP01</t>
  </si>
  <si>
    <t>San Joaquin at Prisoners Point</t>
  </si>
  <si>
    <t xml:space="preserve">Start depth not recorded </t>
  </si>
  <si>
    <t>21-36-SJT01</t>
  </si>
  <si>
    <t>21-36-LSR02</t>
  </si>
  <si>
    <t>7.8-16.1</t>
  </si>
  <si>
    <t>21-36-SJT02</t>
  </si>
  <si>
    <t>21-36-LSJ01</t>
  </si>
  <si>
    <t>21-36-LSJ02</t>
  </si>
  <si>
    <t>21-36-RV02</t>
  </si>
  <si>
    <t xml:space="preserve">Sacramento River Near Rio Vista </t>
  </si>
  <si>
    <t>21-36-RV01</t>
  </si>
  <si>
    <t>21-36-LSR01</t>
  </si>
  <si>
    <t>8.3-8.9</t>
  </si>
  <si>
    <t>Start depth not recorded; 1 Wagasaki identified (13mm)</t>
  </si>
  <si>
    <t>Tuesday</t>
  </si>
  <si>
    <t>21-36-LSSC06</t>
  </si>
  <si>
    <t>21-36-LSSC04</t>
  </si>
  <si>
    <t>21-36-LSSC02</t>
  </si>
  <si>
    <t>21-36-USSC01</t>
  </si>
  <si>
    <t>21-36-LSSC01</t>
  </si>
  <si>
    <t>21-36-SM01</t>
  </si>
  <si>
    <t>6.7-16.3</t>
  </si>
  <si>
    <t>Tow 1 was code 2: (Distance from site exceeded target distance, was 0.67 mi at stop)</t>
  </si>
  <si>
    <t>21-36-SM04</t>
  </si>
  <si>
    <t>8.8-16</t>
  </si>
  <si>
    <t>21-36-SM06</t>
  </si>
  <si>
    <t>10.4-24.0</t>
  </si>
  <si>
    <t>21-36-SM03</t>
  </si>
  <si>
    <t>8.3-23.6</t>
  </si>
  <si>
    <t>21-36-SM02</t>
  </si>
  <si>
    <t>8-30.1</t>
  </si>
  <si>
    <t>Wednesday</t>
  </si>
  <si>
    <t>21-36-GB04</t>
  </si>
  <si>
    <t>21-36-GB02</t>
  </si>
  <si>
    <t>21-36-GB05</t>
  </si>
  <si>
    <t>21-36-SM05</t>
  </si>
  <si>
    <t>21-36-SM07</t>
  </si>
  <si>
    <t>21-36-LSSC08</t>
  </si>
  <si>
    <t>21-36-LSSC09</t>
  </si>
  <si>
    <t>21-36-LSSC05</t>
  </si>
  <si>
    <t>21-36-LSSC07</t>
  </si>
  <si>
    <t>21-36-LSSC03</t>
  </si>
  <si>
    <t>21-36-GB01</t>
  </si>
  <si>
    <t>21-36-SM08</t>
  </si>
  <si>
    <t>9.5-22.6</t>
  </si>
  <si>
    <t>10.2-23.3</t>
  </si>
  <si>
    <t>10.4-33</t>
  </si>
  <si>
    <t>Tow 1 was code 2: partial blockage at cod end due to vegetation</t>
  </si>
  <si>
    <t>Thursday</t>
  </si>
  <si>
    <t>21-36-SBM01</t>
  </si>
  <si>
    <t xml:space="preserve">Mid Suisun Bay </t>
  </si>
  <si>
    <t>21-36-SBW01</t>
  </si>
  <si>
    <t>21-36-SBW02</t>
  </si>
  <si>
    <t>21-36-CS01</t>
  </si>
  <si>
    <t>Tow 1 and 2 were code 2s: (Partial blockage in net with vegetation)</t>
  </si>
  <si>
    <t>21-36-CS02</t>
  </si>
  <si>
    <t>21-36-CS03</t>
  </si>
  <si>
    <t>21-36-CS05</t>
  </si>
  <si>
    <t>21-36-CS04</t>
  </si>
  <si>
    <t>21-36-HB01</t>
  </si>
  <si>
    <t>21-36-CF01</t>
  </si>
  <si>
    <t>21-36-GB03</t>
  </si>
  <si>
    <t>8.1-26.5</t>
  </si>
  <si>
    <t>9.5-19.5</t>
  </si>
  <si>
    <t>11.2-15.6</t>
  </si>
  <si>
    <t>8-15.1</t>
  </si>
  <si>
    <t>11.2-22.6</t>
  </si>
  <si>
    <t>14-15.5</t>
  </si>
  <si>
    <t>EDSM did not sample during the week of 4/5-4/9/2021; Regular sampling will start the week of 4/12</t>
  </si>
  <si>
    <t>11-15</t>
  </si>
  <si>
    <t>21-38-USSC01</t>
  </si>
  <si>
    <t>2 Wagasaki identified (12.9-15.3mm)</t>
  </si>
  <si>
    <t>21-38-USSC02</t>
  </si>
  <si>
    <t>21-38-PP01</t>
  </si>
  <si>
    <t>21-38-SJT02</t>
  </si>
  <si>
    <t>21-38-LSJ01</t>
  </si>
  <si>
    <t>21-38-LSSC03</t>
  </si>
  <si>
    <t>21-38-LSSC02</t>
  </si>
  <si>
    <t>21-38-LSJ02</t>
  </si>
  <si>
    <t>OSM not identified to species due to degraded body condition and several contradictory physical characteristics. OSM will be genetically confirmed</t>
  </si>
  <si>
    <t>21-38-SJT01</t>
  </si>
  <si>
    <t>21-38-LSSC01</t>
  </si>
  <si>
    <t>16 Wagasaki identified (11.1-20.3mm)</t>
  </si>
  <si>
    <t xml:space="preserve">2 LFS were verfied after secondary ID </t>
  </si>
  <si>
    <t/>
  </si>
  <si>
    <t>4/13/2021</t>
  </si>
  <si>
    <t>21-38-LSSC04</t>
  </si>
  <si>
    <t>7:42</t>
  </si>
  <si>
    <t>21-38-LSSC05</t>
  </si>
  <si>
    <t>9:20</t>
  </si>
  <si>
    <t>21-38-LSSC06</t>
  </si>
  <si>
    <t>8:26</t>
  </si>
  <si>
    <t>21-38-LSSC07</t>
  </si>
  <si>
    <t>11:01</t>
  </si>
  <si>
    <t>21-38-LSSC08</t>
  </si>
  <si>
    <t>10:05</t>
  </si>
  <si>
    <t xml:space="preserve">15 Wagasaki identified (14.5-22.6); Pittsburg crew did not sample on this date due to high winds </t>
  </si>
  <si>
    <t>4/14/2021</t>
  </si>
  <si>
    <t>21-38-LSR01</t>
  </si>
  <si>
    <t xml:space="preserve"> Lower Sacramento River</t>
  </si>
  <si>
    <t>10:09</t>
  </si>
  <si>
    <t>16.4-27</t>
  </si>
  <si>
    <t>21-38-RV01</t>
  </si>
  <si>
    <t xml:space="preserve"> Sacramento River Near Rio Vista</t>
  </si>
  <si>
    <t>8:05</t>
  </si>
  <si>
    <t>21-38-RV02</t>
  </si>
  <si>
    <t>8:40</t>
  </si>
  <si>
    <t>9-21.2</t>
  </si>
  <si>
    <t>21-38-RV03</t>
  </si>
  <si>
    <t>9:25</t>
  </si>
  <si>
    <t>21-38-RV04</t>
  </si>
  <si>
    <t>11:04</t>
  </si>
  <si>
    <t>21-38-CF01</t>
  </si>
  <si>
    <t>11:24</t>
  </si>
  <si>
    <t>9-22.5</t>
  </si>
  <si>
    <t>21-38-CF03</t>
  </si>
  <si>
    <t>10:38</t>
  </si>
  <si>
    <t>21-38-SBM01</t>
  </si>
  <si>
    <t>9:42</t>
  </si>
  <si>
    <t>21-38-SBM02</t>
  </si>
  <si>
    <t>7:58</t>
  </si>
  <si>
    <t>21-38-SBM03</t>
  </si>
  <si>
    <t>9:02</t>
  </si>
  <si>
    <t>14.5-30</t>
  </si>
  <si>
    <t>21-38-SBW01</t>
  </si>
  <si>
    <t xml:space="preserve"> West Suisun Bay</t>
  </si>
  <si>
    <t>8:54</t>
  </si>
  <si>
    <t>4/15/2021</t>
  </si>
  <si>
    <t>21-38-CS01</t>
  </si>
  <si>
    <t xml:space="preserve"> Cache Slough and Liberty Island</t>
  </si>
  <si>
    <t>7:37</t>
  </si>
  <si>
    <t>21-38-CS02</t>
  </si>
  <si>
    <t>7:54</t>
  </si>
  <si>
    <t>21-38-CS03</t>
  </si>
  <si>
    <t>9:35</t>
  </si>
  <si>
    <t>21-38-CS04</t>
  </si>
  <si>
    <t>8:43</t>
  </si>
  <si>
    <t>21-38-CS05</t>
  </si>
  <si>
    <t>10:59</t>
  </si>
  <si>
    <t>21-38-CS06</t>
  </si>
  <si>
    <t>10:17</t>
  </si>
  <si>
    <t>21-38-GB01</t>
  </si>
  <si>
    <t>10:20</t>
  </si>
  <si>
    <t>21-38-SM01</t>
  </si>
  <si>
    <t xml:space="preserve"> Suisun Marsh</t>
  </si>
  <si>
    <t>8:11</t>
  </si>
  <si>
    <t>21-38-SM02</t>
  </si>
  <si>
    <t>8.9-24</t>
  </si>
  <si>
    <t>21-38-SM03</t>
  </si>
  <si>
    <t>10:44</t>
  </si>
  <si>
    <t>9.9-28.5</t>
  </si>
  <si>
    <t>21-38-SM04</t>
  </si>
  <si>
    <t>10:30</t>
  </si>
  <si>
    <t>21-38-SM05</t>
  </si>
  <si>
    <t>11:21</t>
  </si>
  <si>
    <t>10.3-22.2</t>
  </si>
  <si>
    <t>21-38-SM06</t>
  </si>
  <si>
    <t>12:09</t>
  </si>
  <si>
    <t>13-15.2</t>
  </si>
  <si>
    <t>4/16/2021</t>
  </si>
  <si>
    <t>21-38-CF02</t>
  </si>
  <si>
    <t>11:10</t>
  </si>
  <si>
    <t>12.6-31</t>
  </si>
  <si>
    <t>21-38-SBM04</t>
  </si>
  <si>
    <t>10:21</t>
  </si>
  <si>
    <t>21-38-SBM05</t>
  </si>
  <si>
    <t>9:41</t>
  </si>
  <si>
    <t>21-38-SBW02</t>
  </si>
  <si>
    <t>8:20</t>
  </si>
  <si>
    <t>21-38-SBW03</t>
  </si>
  <si>
    <t>8:58</t>
  </si>
  <si>
    <t>4/19/2021</t>
  </si>
  <si>
    <t>21-39-PP01</t>
  </si>
  <si>
    <t xml:space="preserve"> San Joaquin at Prisoners Point</t>
  </si>
  <si>
    <t>9:52</t>
  </si>
  <si>
    <t>21-39-PP02</t>
  </si>
  <si>
    <t>9:14</t>
  </si>
  <si>
    <t>21-39-PP03</t>
  </si>
  <si>
    <t>8:39</t>
  </si>
  <si>
    <t>21-39-SJT01</t>
  </si>
  <si>
    <t xml:space="preserve"> San Joaquin at Twitchell Island</t>
  </si>
  <si>
    <t>10:35</t>
  </si>
  <si>
    <t>21-39-SJT03</t>
  </si>
  <si>
    <t>11:12</t>
  </si>
  <si>
    <t>21-39-LSSC01</t>
  </si>
  <si>
    <t>7:48</t>
  </si>
  <si>
    <t>21-39-LSSC02</t>
  </si>
  <si>
    <t>8:51</t>
  </si>
  <si>
    <t>21-39-LSSC03</t>
  </si>
  <si>
    <t>21-39-LSSC04</t>
  </si>
  <si>
    <t>10:22</t>
  </si>
  <si>
    <t>21-39-USSC01</t>
  </si>
  <si>
    <t>11:07</t>
  </si>
  <si>
    <t>4/20/2021</t>
  </si>
  <si>
    <t>21-39-LSJ01</t>
  </si>
  <si>
    <t xml:space="preserve"> Lower San Joaquin River</t>
  </si>
  <si>
    <t>9:50</t>
  </si>
  <si>
    <t>21-39-LSJ02</t>
  </si>
  <si>
    <t>11:13</t>
  </si>
  <si>
    <t>21-39-LSJ03</t>
  </si>
  <si>
    <t>10:31</t>
  </si>
  <si>
    <t>21-39-SJT02</t>
  </si>
  <si>
    <t>8:53</t>
  </si>
  <si>
    <t>21-39-SJT04</t>
  </si>
  <si>
    <t>8:17</t>
  </si>
  <si>
    <t>21-29-LSSC07</t>
  </si>
  <si>
    <t>8:19</t>
  </si>
  <si>
    <t>21-29-LSSC08</t>
  </si>
  <si>
    <t>10:14</t>
  </si>
  <si>
    <t>21-39-LSSC05</t>
  </si>
  <si>
    <t>10:47</t>
  </si>
  <si>
    <t>21-39-LSSC06</t>
  </si>
  <si>
    <t>8:55</t>
  </si>
  <si>
    <t>21-39-LSSC09</t>
  </si>
  <si>
    <t>9:32</t>
  </si>
  <si>
    <t>EDSM did not sample 4/21/2021 due to COVID mitigation</t>
  </si>
  <si>
    <t>4/22/2021</t>
  </si>
  <si>
    <t>21-39-CS01</t>
  </si>
  <si>
    <t>21-39-CS02</t>
  </si>
  <si>
    <t>9:10</t>
  </si>
  <si>
    <t>21-39-CS03</t>
  </si>
  <si>
    <t>9:07</t>
  </si>
  <si>
    <t>21-39-CS04</t>
  </si>
  <si>
    <t>9:18</t>
  </si>
  <si>
    <t>21-39-CS05</t>
  </si>
  <si>
    <t>10:04</t>
  </si>
  <si>
    <t>21-39-CS06</t>
  </si>
  <si>
    <t>10:43</t>
  </si>
  <si>
    <t>21-39-CS07</t>
  </si>
  <si>
    <t>11:41</t>
  </si>
  <si>
    <t>21-39-CF01</t>
  </si>
  <si>
    <t>8:10</t>
  </si>
  <si>
    <t>21-39-CF02</t>
  </si>
  <si>
    <t>12:04</t>
  </si>
  <si>
    <t>21-39-HB01</t>
  </si>
  <si>
    <t xml:space="preserve"> Honker Bay</t>
  </si>
  <si>
    <t>11:20</t>
  </si>
  <si>
    <t>21-39-SBM01</t>
  </si>
  <si>
    <t>11:00</t>
  </si>
  <si>
    <t>21-39-SBW01</t>
  </si>
  <si>
    <t>10:26</t>
  </si>
  <si>
    <t>21-39-SBW02</t>
  </si>
  <si>
    <t>9:44</t>
  </si>
  <si>
    <t xml:space="preserve">Tow 1 was a code 3: Too much vegetation in cod end of the net; extra tow was completed due to code 3 </t>
  </si>
  <si>
    <t>4/23/2021</t>
  </si>
  <si>
    <t>21-39-LSR01</t>
  </si>
  <si>
    <t>9:28</t>
  </si>
  <si>
    <t>21-39-LSR02</t>
  </si>
  <si>
    <t>10:08</t>
  </si>
  <si>
    <t>21-39-RV01</t>
  </si>
  <si>
    <t>7:39</t>
  </si>
  <si>
    <t>21-39-RV02</t>
  </si>
  <si>
    <t>8:16</t>
  </si>
  <si>
    <t>21-39-RV03</t>
  </si>
  <si>
    <t>10:53</t>
  </si>
  <si>
    <t>21-39-GB01</t>
  </si>
  <si>
    <t>11:42</t>
  </si>
  <si>
    <t>21-39-SM01</t>
  </si>
  <si>
    <t>11.3-28.3</t>
  </si>
  <si>
    <t>21-39-SM02</t>
  </si>
  <si>
    <t>11:02</t>
  </si>
  <si>
    <t>21-39-SM03</t>
  </si>
  <si>
    <t>10.3-29</t>
  </si>
  <si>
    <t>21-39-SM04</t>
  </si>
  <si>
    <t>10:18</t>
  </si>
  <si>
    <t>4/26/2021</t>
  </si>
  <si>
    <t>21-40-LSSC01</t>
  </si>
  <si>
    <t>8:59</t>
  </si>
  <si>
    <t>21-40-USSC01</t>
  </si>
  <si>
    <t>10:15</t>
  </si>
  <si>
    <t>21-40-USSC02</t>
  </si>
  <si>
    <t>11:06</t>
  </si>
  <si>
    <t>21-40-USSC03</t>
  </si>
  <si>
    <t>12:32</t>
  </si>
  <si>
    <t>21-40-USSC04</t>
  </si>
  <si>
    <t>11:49</t>
  </si>
  <si>
    <t>21-40-GB01</t>
  </si>
  <si>
    <t>16.9-23</t>
  </si>
  <si>
    <t>21-40-SM01</t>
  </si>
  <si>
    <t>8.1-27.2</t>
  </si>
  <si>
    <t>21-40-SM02</t>
  </si>
  <si>
    <t>9:40</t>
  </si>
  <si>
    <t>14-29.6</t>
  </si>
  <si>
    <t>21-40-SM03</t>
  </si>
  <si>
    <t>15.8-30</t>
  </si>
  <si>
    <t>21-40-SM04</t>
  </si>
  <si>
    <t>17.8-27.8</t>
  </si>
  <si>
    <t>Tow 1 stopped after 7 mintues; site was near bridge</t>
  </si>
  <si>
    <t>4/27/2021</t>
  </si>
  <si>
    <t>21-40-LSSC05</t>
  </si>
  <si>
    <t>8:23</t>
  </si>
  <si>
    <t>25.5-56</t>
  </si>
  <si>
    <t>21-40-LSSC02</t>
  </si>
  <si>
    <t>9:16</t>
  </si>
  <si>
    <t>21-40-LSSC03</t>
  </si>
  <si>
    <t>21-40-CF01</t>
  </si>
  <si>
    <t>7:59</t>
  </si>
  <si>
    <t>21-40-HB01</t>
  </si>
  <si>
    <t>21-40-SBM01</t>
  </si>
  <si>
    <t>9:03</t>
  </si>
  <si>
    <t>100-108</t>
  </si>
  <si>
    <t>21-40-SBM02</t>
  </si>
  <si>
    <t>10:06</t>
  </si>
  <si>
    <t>16.5-28</t>
  </si>
  <si>
    <t>21-40-SBM03</t>
  </si>
  <si>
    <t>9:55</t>
  </si>
  <si>
    <t>21-40-SBW01</t>
  </si>
  <si>
    <t>21-40-LSSC04</t>
  </si>
  <si>
    <t>21-40-LSSC06</t>
  </si>
  <si>
    <t>21-40-SBW02</t>
  </si>
  <si>
    <t>22.3-26.0</t>
  </si>
  <si>
    <t>4/28/2021</t>
  </si>
  <si>
    <t>21-40-CS01</t>
  </si>
  <si>
    <t>21-40-CS02</t>
  </si>
  <si>
    <t>10:10</t>
  </si>
  <si>
    <t>21-40-CS03</t>
  </si>
  <si>
    <t>9:01</t>
  </si>
  <si>
    <t>Code 2: Lots of vegetation. 4.74 FNU</t>
  </si>
  <si>
    <t>21-40-CS05</t>
  </si>
  <si>
    <t>21-40-CS06</t>
  </si>
  <si>
    <t>11:39</t>
  </si>
  <si>
    <t>21-40-CS09</t>
  </si>
  <si>
    <t>11:09</t>
  </si>
  <si>
    <t>21-40-LSJ01</t>
  </si>
  <si>
    <t>9:19</t>
  </si>
  <si>
    <t>21-40-LSJ02</t>
  </si>
  <si>
    <t>8:27</t>
  </si>
  <si>
    <t>18.1-21</t>
  </si>
  <si>
    <t>21-40-PP01</t>
  </si>
  <si>
    <t>21-40-PP02</t>
  </si>
  <si>
    <t>11:54</t>
  </si>
  <si>
    <t>21-40-SJT01</t>
  </si>
  <si>
    <t>10:07</t>
  </si>
  <si>
    <t>Tow 1 and 2 were 7 minute tows due to excessive vegetation</t>
  </si>
  <si>
    <t>Tow 1 was a code 3: Too much vegetation and too shallow; Only towed 2 minutes due to depth and vegetation; No further tows were completed</t>
  </si>
  <si>
    <t xml:space="preserve">Tow 1 was a 5 minute tow and tow 2 was a 3:30 minute tow due to depth and excessive vegetation </t>
  </si>
  <si>
    <t>4/29/2021</t>
  </si>
  <si>
    <t>21-40-CS04</t>
  </si>
  <si>
    <t>9:22</t>
  </si>
  <si>
    <t>21-40-CS07</t>
  </si>
  <si>
    <t>11:31</t>
  </si>
  <si>
    <t>21-40-CS08</t>
  </si>
  <si>
    <t>10:01</t>
  </si>
  <si>
    <t>21-40-CS10</t>
  </si>
  <si>
    <t>21-40-CS11</t>
  </si>
  <si>
    <t>8:18</t>
  </si>
  <si>
    <t>21-40-LSR01</t>
  </si>
  <si>
    <t>8:36</t>
  </si>
  <si>
    <t>21-40-LSR02</t>
  </si>
  <si>
    <t>10:34</t>
  </si>
  <si>
    <t>9-26</t>
  </si>
  <si>
    <t>21-40-RV01</t>
  </si>
  <si>
    <t>9:23</t>
  </si>
  <si>
    <t>18-23.4</t>
  </si>
  <si>
    <t>21-40-RV02</t>
  </si>
  <si>
    <t>21-40-RV03</t>
  </si>
  <si>
    <t>12:03</t>
  </si>
  <si>
    <t>10.9-11.1</t>
  </si>
  <si>
    <t>21-40-RV04</t>
  </si>
  <si>
    <t>11:22</t>
  </si>
  <si>
    <t>5/3/2021</t>
  </si>
  <si>
    <t>9:11</t>
  </si>
  <si>
    <t>21-41-LSSC01</t>
  </si>
  <si>
    <t>7:47</t>
  </si>
  <si>
    <t>21-41-LSSC04</t>
  </si>
  <si>
    <t>11:43</t>
  </si>
  <si>
    <t>21-41-USSC02</t>
  </si>
  <si>
    <t>10:23</t>
  </si>
  <si>
    <t>21-41-USSC03</t>
  </si>
  <si>
    <t>10:57</t>
  </si>
  <si>
    <t>21-41-SM07</t>
  </si>
  <si>
    <t>10:49</t>
  </si>
  <si>
    <t>16.6-21.4</t>
  </si>
  <si>
    <t>21-41-SM01</t>
  </si>
  <si>
    <t>10:11</t>
  </si>
  <si>
    <t>21-41-SM02</t>
  </si>
  <si>
    <t>21-41-SM03</t>
  </si>
  <si>
    <t>21-41-SM04</t>
  </si>
  <si>
    <t>11:38</t>
  </si>
  <si>
    <t>5/4/2021</t>
  </si>
  <si>
    <t>21-41-LSSC02</t>
  </si>
  <si>
    <t>9:12</t>
  </si>
  <si>
    <t>21-41-LSSC03</t>
  </si>
  <si>
    <t>21-41-LSSC05</t>
  </si>
  <si>
    <t>10:03</t>
  </si>
  <si>
    <t>21-41-LSSC06</t>
  </si>
  <si>
    <t>11:18</t>
  </si>
  <si>
    <t>21-41-LSSC07</t>
  </si>
  <si>
    <t>21.6-25.7</t>
  </si>
  <si>
    <t>21-41-GB01</t>
  </si>
  <si>
    <t>11:29</t>
  </si>
  <si>
    <t>21-41-GB02</t>
  </si>
  <si>
    <t>12:08</t>
  </si>
  <si>
    <t>25-27</t>
  </si>
  <si>
    <t>21-41-SM05</t>
  </si>
  <si>
    <t>14.9-23.3</t>
  </si>
  <si>
    <t>21-41-SM06</t>
  </si>
  <si>
    <t>10:48</t>
  </si>
  <si>
    <t>21-41-SM08</t>
  </si>
  <si>
    <t>OSM not identified to species or measured due to degraded body condition and several contradictory physical characteristics; OSM will be genetically confirmed</t>
  </si>
  <si>
    <t>5/5/2021</t>
  </si>
  <si>
    <t>21-41-CS01</t>
  </si>
  <si>
    <t>8:06</t>
  </si>
  <si>
    <t>21-41-CS02</t>
  </si>
  <si>
    <t>8:52</t>
  </si>
  <si>
    <t>21-41-CS03</t>
  </si>
  <si>
    <t>9:34</t>
  </si>
  <si>
    <t>21-41-CS04</t>
  </si>
  <si>
    <t>21-41-CS05</t>
  </si>
  <si>
    <t>21-41-LSJ01</t>
  </si>
  <si>
    <t>21-41-LSJ02</t>
  </si>
  <si>
    <t>12:36</t>
  </si>
  <si>
    <t>21-41-LSJ03</t>
  </si>
  <si>
    <t>11:48</t>
  </si>
  <si>
    <t>21-41-PP01</t>
  </si>
  <si>
    <t>21-41-SJT01</t>
  </si>
  <si>
    <t>10:00</t>
  </si>
  <si>
    <t>5/6/2021</t>
  </si>
  <si>
    <t>21-41-LSR01</t>
  </si>
  <si>
    <t>21-41-LSR02</t>
  </si>
  <si>
    <t>14.5-19.9</t>
  </si>
  <si>
    <t>21-41-LSR03</t>
  </si>
  <si>
    <t>10:13</t>
  </si>
  <si>
    <t>21-41-RV01</t>
  </si>
  <si>
    <t>21-41-RV02</t>
  </si>
  <si>
    <t>21-41-CF01</t>
  </si>
  <si>
    <t>8:14</t>
  </si>
  <si>
    <t>21-41-CF02</t>
  </si>
  <si>
    <t>21-41-SBM01</t>
  </si>
  <si>
    <t>10:19</t>
  </si>
  <si>
    <t>21-41-SBM02</t>
  </si>
  <si>
    <t>21-41-SBW01</t>
  </si>
  <si>
    <t>16.0-22.0</t>
  </si>
  <si>
    <t>18.0-30.2</t>
  </si>
  <si>
    <t>5/10/2021</t>
  </si>
  <si>
    <t>21-42-LSR01</t>
  </si>
  <si>
    <t>8:31</t>
  </si>
  <si>
    <t>16.9-20.4</t>
  </si>
  <si>
    <t>21-42-LSR02</t>
  </si>
  <si>
    <t>11:33</t>
  </si>
  <si>
    <t>21-42-RV01</t>
  </si>
  <si>
    <t>9:58</t>
  </si>
  <si>
    <t>21-42-RV02</t>
  </si>
  <si>
    <t>9:15</t>
  </si>
  <si>
    <t>14.5-18.8</t>
  </si>
  <si>
    <t>21-42-RV03</t>
  </si>
  <si>
    <t>10:41</t>
  </si>
  <si>
    <t>16.2-23.5</t>
  </si>
  <si>
    <t>21-42-LSSC01</t>
  </si>
  <si>
    <t>21-42-LSSC02</t>
  </si>
  <si>
    <t>8:50</t>
  </si>
  <si>
    <t>21-42-LSSC04</t>
  </si>
  <si>
    <t>13:33</t>
  </si>
  <si>
    <t>21-42-LSSC05</t>
  </si>
  <si>
    <t>12:39</t>
  </si>
  <si>
    <t>21-42-USSC01</t>
  </si>
  <si>
    <t xml:space="preserve">YSI not working; conductivity not recorded </t>
  </si>
  <si>
    <t>5/11/2021</t>
  </si>
  <si>
    <t>21-42-LSSC03</t>
  </si>
  <si>
    <t>11:05</t>
  </si>
  <si>
    <t>21-42-USSC02</t>
  </si>
  <si>
    <t>21-42-USSC03</t>
  </si>
  <si>
    <t>8:37</t>
  </si>
  <si>
    <t>21-42-USSC04</t>
  </si>
  <si>
    <t>21-41-SBW02</t>
  </si>
  <si>
    <t>10:37</t>
  </si>
  <si>
    <t>21-42-CF01</t>
  </si>
  <si>
    <t>12:01</t>
  </si>
  <si>
    <t>21-42-SBM01</t>
  </si>
  <si>
    <t>21-42-SBM02</t>
  </si>
  <si>
    <t>21-42-SBW01</t>
  </si>
  <si>
    <t>9:51</t>
  </si>
  <si>
    <t>Tow 1 was reduced to 5 minutes due to depth of site</t>
  </si>
  <si>
    <t>5/12/2021</t>
  </si>
  <si>
    <t>21-42-SM01</t>
  </si>
  <si>
    <t>21-42-SM02</t>
  </si>
  <si>
    <t>21-42-SM03</t>
  </si>
  <si>
    <t>8:21</t>
  </si>
  <si>
    <t>21-42-SM04</t>
  </si>
  <si>
    <t>11:47</t>
  </si>
  <si>
    <t>21-42-SM05</t>
  </si>
  <si>
    <t>Rio Crew did not sample on 5/12/21</t>
  </si>
  <si>
    <t>5/13/2021</t>
  </si>
  <si>
    <t>21-42-CS01</t>
  </si>
  <si>
    <t>8:02</t>
  </si>
  <si>
    <t>21-42-CS02</t>
  </si>
  <si>
    <t>8:48</t>
  </si>
  <si>
    <t>21-42-CS03</t>
  </si>
  <si>
    <t>21-42-CS04</t>
  </si>
  <si>
    <t>21-42-CS05</t>
  </si>
  <si>
    <t>21-42-LSJ01</t>
  </si>
  <si>
    <t>12:40</t>
  </si>
  <si>
    <t>21-42-LSJ02</t>
  </si>
  <si>
    <t>12:02</t>
  </si>
  <si>
    <t>21-42-PP01</t>
  </si>
  <si>
    <t>21-42-PP02</t>
  </si>
  <si>
    <t>9:31</t>
  </si>
  <si>
    <t>21-42-PP03</t>
  </si>
  <si>
    <t>5/17/2021</t>
  </si>
  <si>
    <t>21-43-PP01</t>
  </si>
  <si>
    <t>21-43-PP02</t>
  </si>
  <si>
    <t>5/18/2021</t>
  </si>
  <si>
    <t>21-43-LSSC01</t>
  </si>
  <si>
    <t>21-43-LSSC02</t>
  </si>
  <si>
    <t>21-43-LSSC04</t>
  </si>
  <si>
    <t>Pitts crew only sampled 2 sites due boat issues;  Rio crew did not sample on 5/17/2021</t>
  </si>
  <si>
    <t>Tow 2 was a code 3:  tow was less than 3 minutes due to boat issues;  Tow 1 was 4 minutes</t>
  </si>
  <si>
    <t>Rio crew only sampled 3 sites; Pitts crew did not sample on 5/18/2021</t>
  </si>
  <si>
    <t>5/19/2021</t>
  </si>
  <si>
    <t>21-43-LSJ01</t>
  </si>
  <si>
    <t>21-43-SJT01</t>
  </si>
  <si>
    <t>7:29</t>
  </si>
  <si>
    <t>21-43-CF03</t>
  </si>
  <si>
    <t>12:19</t>
  </si>
  <si>
    <t>21-43-SBM02</t>
  </si>
  <si>
    <t>10:54</t>
  </si>
  <si>
    <t>21-43-SBW03</t>
  </si>
  <si>
    <t>9:56</t>
  </si>
  <si>
    <t>Rio crew did not sample on 5/19/2021</t>
  </si>
  <si>
    <t>5/20/2021</t>
  </si>
  <si>
    <t>21-43-GB01</t>
  </si>
  <si>
    <t>21-43-GB02</t>
  </si>
  <si>
    <t>21-43-SM01</t>
  </si>
  <si>
    <t>21-43-SM02</t>
  </si>
  <si>
    <t>9:26</t>
  </si>
  <si>
    <t>21-43-SM03</t>
  </si>
  <si>
    <t>Rio crew did not sample on 5/20/2021</t>
  </si>
  <si>
    <t>5/21/2021</t>
  </si>
  <si>
    <t>21-43-CS01</t>
  </si>
  <si>
    <t>21-43-CS02</t>
  </si>
  <si>
    <t>12:50</t>
  </si>
  <si>
    <t>21-43-CS03</t>
  </si>
  <si>
    <t>12:11</t>
  </si>
  <si>
    <t>21-43-LSR01</t>
  </si>
  <si>
    <t>21-43-LSR02</t>
  </si>
  <si>
    <t>9:36</t>
  </si>
  <si>
    <t>21-43-RV01</t>
  </si>
  <si>
    <t>10:25</t>
  </si>
  <si>
    <t>21-43-CF01</t>
  </si>
  <si>
    <t>21-43-CF02</t>
  </si>
  <si>
    <t>21-43-SBM01</t>
  </si>
  <si>
    <t>11:28</t>
  </si>
  <si>
    <t>21-43-SBW01</t>
  </si>
  <si>
    <t>21-43-SBW02</t>
  </si>
  <si>
    <t>10:40</t>
  </si>
  <si>
    <t>21-44-PP01</t>
  </si>
  <si>
    <t>21-44-LSJ06</t>
  </si>
  <si>
    <t>21-44-PP02</t>
  </si>
  <si>
    <t>21-44-SJT01</t>
  </si>
  <si>
    <t>21-44-SJT02</t>
  </si>
  <si>
    <t>21-44-LSJ02</t>
  </si>
  <si>
    <t>21-44-CS01</t>
  </si>
  <si>
    <t>21-44-CS02</t>
  </si>
  <si>
    <t>21-44-CS03</t>
  </si>
  <si>
    <t>21-44-CS04</t>
  </si>
  <si>
    <t>21-44-CS05</t>
  </si>
  <si>
    <t>21-44-CF02</t>
  </si>
  <si>
    <t>7:57</t>
  </si>
  <si>
    <t>21-44-HB01</t>
  </si>
  <si>
    <t>5/27/2021</t>
  </si>
  <si>
    <t>21-44-LSSC02</t>
  </si>
  <si>
    <t>21-44-LSSC04</t>
  </si>
  <si>
    <t>10:56</t>
  </si>
  <si>
    <t>21-44-LSSC05</t>
  </si>
  <si>
    <t>21-44-GB03</t>
  </si>
  <si>
    <t>5/25/2021</t>
  </si>
  <si>
    <t>21-44-LSR01</t>
  </si>
  <si>
    <t>21-44-LSR02</t>
  </si>
  <si>
    <t>11:58</t>
  </si>
  <si>
    <t>21-44-RV01</t>
  </si>
  <si>
    <t>21-44-RV02</t>
  </si>
  <si>
    <t>21-44-LSJ01</t>
  </si>
  <si>
    <t>21-44-LSJ03</t>
  </si>
  <si>
    <t>21-44-LSJ04</t>
  </si>
  <si>
    <t>21-44-LSJ05</t>
  </si>
  <si>
    <t>5/26/2021</t>
  </si>
  <si>
    <t>21-44-SBW01</t>
  </si>
  <si>
    <t>21-44-LSSC01</t>
  </si>
  <si>
    <t>8:25</t>
  </si>
  <si>
    <t>21-44-RV03</t>
  </si>
  <si>
    <t>13:59</t>
  </si>
  <si>
    <t>21-44-LSSC03</t>
  </si>
  <si>
    <t>21-44-LSSC06</t>
  </si>
  <si>
    <t>21-44-GB01</t>
  </si>
  <si>
    <t>9:17</t>
  </si>
  <si>
    <t>23-34.6</t>
  </si>
  <si>
    <t>21-44-GB02</t>
  </si>
  <si>
    <t>8:33</t>
  </si>
  <si>
    <t>23.9-35.7</t>
  </si>
  <si>
    <t>21-44-SM01</t>
  </si>
  <si>
    <t>17.8-23.7</t>
  </si>
  <si>
    <t>21-44-SM02</t>
  </si>
  <si>
    <t>10:55</t>
  </si>
  <si>
    <t>21-44-SM03</t>
  </si>
  <si>
    <t>12:14</t>
  </si>
  <si>
    <t>21-44-USSC01</t>
  </si>
  <si>
    <t>9:47</t>
  </si>
  <si>
    <t>21-44-USSC02</t>
  </si>
  <si>
    <t>10:33</t>
  </si>
  <si>
    <t>21-44-USSC03</t>
  </si>
  <si>
    <t>11:52</t>
  </si>
  <si>
    <t>21-44-USSC04</t>
  </si>
  <si>
    <t>12:34</t>
  </si>
  <si>
    <t>21-44-CF01</t>
  </si>
  <si>
    <t>21-44-SBW02</t>
  </si>
  <si>
    <t>Tow 1 was a Code 3: tow was less than 3 minutes due to boat issues; no more tows were completed</t>
  </si>
  <si>
    <t>6/1/2021</t>
  </si>
  <si>
    <t>21-45-CF01</t>
  </si>
  <si>
    <t>21-45-CF02</t>
  </si>
  <si>
    <t>21-45-HB01</t>
  </si>
  <si>
    <t>12:25</t>
  </si>
  <si>
    <t>21-45-SBW01</t>
  </si>
  <si>
    <t>21-45-SBW02</t>
  </si>
  <si>
    <t>Rio crew did not sample on 6/1/2021</t>
  </si>
  <si>
    <t>6/2/2021</t>
  </si>
  <si>
    <t>21-45-LSJ01</t>
  </si>
  <si>
    <t>9:13</t>
  </si>
  <si>
    <t>21-45-LSJ02</t>
  </si>
  <si>
    <t>8:32</t>
  </si>
  <si>
    <t>21-45-SJT01</t>
  </si>
  <si>
    <t>Rio crew did not sample on 6/2/2021; Pitts crew only sampled three site; EDSM did not sample anymore site during the week of 6/1/2021</t>
  </si>
  <si>
    <t>21-46-LSSC03</t>
  </si>
  <si>
    <t>21-46-USSC01</t>
  </si>
  <si>
    <t>21-46-LSSC02</t>
  </si>
  <si>
    <t>21-46-LSSC01</t>
  </si>
  <si>
    <t>21-46-USSC02</t>
  </si>
  <si>
    <t xml:space="preserve">Secchi Depth was not taken </t>
  </si>
  <si>
    <t>Secchi Depth was not taken</t>
  </si>
  <si>
    <t>Secchi Depth was not taken; Pitts crew did not sample on 6/10/21</t>
  </si>
  <si>
    <t>6/11/2021</t>
  </si>
  <si>
    <t>21-46-LSR01</t>
  </si>
  <si>
    <t>10</t>
  </si>
  <si>
    <t>21-46-LSR02</t>
  </si>
  <si>
    <t>21-46-LSR03</t>
  </si>
  <si>
    <t>21-46-RV01</t>
  </si>
  <si>
    <t>21-46-RV02</t>
  </si>
  <si>
    <t>Pitts crew did not sampled on 6/11/21</t>
  </si>
  <si>
    <t>6/14/2021</t>
  </si>
  <si>
    <t>21-47-CS04</t>
  </si>
  <si>
    <t>21-47-CS05</t>
  </si>
  <si>
    <t>10:58</t>
  </si>
  <si>
    <t>21-47-CS06</t>
  </si>
  <si>
    <t>21-47-CS01</t>
  </si>
  <si>
    <t>9:21</t>
  </si>
  <si>
    <t>21-47-CS02</t>
  </si>
  <si>
    <t>21-47-CS03</t>
  </si>
  <si>
    <t>10:16</t>
  </si>
  <si>
    <t>21-47-CS07</t>
  </si>
  <si>
    <t>21-47-PP01</t>
  </si>
  <si>
    <t>10:42</t>
  </si>
  <si>
    <t>21-47-PP02</t>
  </si>
  <si>
    <t>21-47-PP03</t>
  </si>
  <si>
    <t>21-47-SJT01</t>
  </si>
  <si>
    <t>12:10</t>
  </si>
  <si>
    <t>21-47-SJT02</t>
  </si>
  <si>
    <t xml:space="preserve">Tow 1 was code 3:  too shallow for a complete tow; too much vegetation; 3rd tow was completed due to code 3 </t>
  </si>
  <si>
    <t>6/15/2021</t>
  </si>
  <si>
    <t>21-47-RV01</t>
  </si>
  <si>
    <t>9:53</t>
  </si>
  <si>
    <t>21-47-RV02</t>
  </si>
  <si>
    <t>7:51</t>
  </si>
  <si>
    <t>21-47-RV03</t>
  </si>
  <si>
    <t>21-47-RV05</t>
  </si>
  <si>
    <t>21-47-RV06</t>
  </si>
  <si>
    <t>12:12</t>
  </si>
  <si>
    <t>21-47-GB01</t>
  </si>
  <si>
    <t>21-47-SM01</t>
  </si>
  <si>
    <t>8:24</t>
  </si>
  <si>
    <t>21-47-SM02</t>
  </si>
  <si>
    <t>9:04</t>
  </si>
  <si>
    <t>21-47-SM03</t>
  </si>
  <si>
    <t>21-47-SM04</t>
  </si>
  <si>
    <t>21-47-SBM01</t>
  </si>
  <si>
    <t>21-47-SBW01</t>
  </si>
  <si>
    <t>21-47-LSSC01</t>
  </si>
  <si>
    <t>21-47-LSSC06</t>
  </si>
  <si>
    <t>21-47-USSC02</t>
  </si>
  <si>
    <t>21-47-USSC01</t>
  </si>
  <si>
    <t>21-47-USSC03</t>
  </si>
  <si>
    <t>21-47-CF01</t>
  </si>
  <si>
    <t>21-47-CF03</t>
  </si>
  <si>
    <t>21-47-CF02</t>
  </si>
  <si>
    <t>6/17/2021</t>
  </si>
  <si>
    <t>21-47-LSR01</t>
  </si>
  <si>
    <t>21-47-LSR02</t>
  </si>
  <si>
    <t>21-47-RV04</t>
  </si>
  <si>
    <t>21-47-LSSC02</t>
  </si>
  <si>
    <t>8</t>
  </si>
  <si>
    <t>21-47-LSSC03</t>
  </si>
  <si>
    <t>21-47-LSSC04</t>
  </si>
  <si>
    <t>21-47-LSSC05</t>
  </si>
  <si>
    <t>11:30</t>
  </si>
  <si>
    <t>21-47-LSSC07</t>
  </si>
  <si>
    <t>21-47-LSR03</t>
  </si>
  <si>
    <t>21-47-LSR04</t>
  </si>
  <si>
    <t>9:45</t>
  </si>
  <si>
    <t>21-48-CS01</t>
  </si>
  <si>
    <t>21-48-CS05</t>
  </si>
  <si>
    <t>21-48-CS06</t>
  </si>
  <si>
    <t>21-48-CS04</t>
  </si>
  <si>
    <t>21-48-CS07</t>
  </si>
  <si>
    <t>21-48-SM03</t>
  </si>
  <si>
    <t>21-48-SM01</t>
  </si>
  <si>
    <t>21-48-SM04</t>
  </si>
  <si>
    <t>21-48-SM02</t>
  </si>
  <si>
    <t>21-48-GB01</t>
  </si>
  <si>
    <t>21-49-CS01</t>
  </si>
  <si>
    <t>21-49-CS02</t>
  </si>
  <si>
    <t>21-49-CS03</t>
  </si>
  <si>
    <t>21-49-LSJ01</t>
  </si>
  <si>
    <t>21-49-LSJ02</t>
  </si>
  <si>
    <t>21-49-SJT02</t>
  </si>
  <si>
    <t>21-49-SJT03</t>
  </si>
  <si>
    <t>21-49-GB01</t>
  </si>
  <si>
    <t>21-49-GB02</t>
  </si>
  <si>
    <t>21-49-SM01</t>
  </si>
  <si>
    <t>21-49-SM03</t>
  </si>
  <si>
    <t>Tow 1 was a code 2: floatline wrapped around net</t>
  </si>
  <si>
    <t>Code 4:  high winds hazard</t>
  </si>
  <si>
    <t xml:space="preserve">Tow 1 and tow 4 were code 2: twist in net </t>
  </si>
  <si>
    <t>21-49-CS04</t>
  </si>
  <si>
    <t>21-49-CS05</t>
  </si>
  <si>
    <t>21-49-CS06</t>
  </si>
  <si>
    <t>21-49-PP01</t>
  </si>
  <si>
    <t>21-49-PP02</t>
  </si>
  <si>
    <t>21-49-SJT01</t>
  </si>
  <si>
    <t>21-49-GB03</t>
  </si>
  <si>
    <t>21-49-GB04</t>
  </si>
  <si>
    <t>21-49-SM04</t>
  </si>
  <si>
    <t>Code 4: channel too narrow to access</t>
  </si>
  <si>
    <t>Tow 3 was a code 3: live box malfunction, sample was lost</t>
  </si>
  <si>
    <t>11:35:00</t>
  </si>
  <si>
    <t>21-49-SM05</t>
  </si>
  <si>
    <t>21-48-CS02</t>
  </si>
  <si>
    <t xml:space="preserve">Code 4: multiple submerged hazards at site </t>
  </si>
  <si>
    <t>21-48-CS03</t>
  </si>
  <si>
    <t xml:space="preserve">Tow 1 was a code 3:  heavy vegetation; only 1 tow was completed due to depth of site </t>
  </si>
  <si>
    <t>6/22/2021</t>
  </si>
  <si>
    <t>21-48-LSR01</t>
  </si>
  <si>
    <t>21-48-LSR02</t>
  </si>
  <si>
    <t>10:50</t>
  </si>
  <si>
    <t>21-48-RV01</t>
  </si>
  <si>
    <t>21-48-RV02</t>
  </si>
  <si>
    <t>21-48-RV03</t>
  </si>
  <si>
    <t>21-48-CF01</t>
  </si>
  <si>
    <t>21-48-HB01</t>
  </si>
  <si>
    <t>21-48-SBW01</t>
  </si>
  <si>
    <t>9:48</t>
  </si>
  <si>
    <t>21-48-SBW02</t>
  </si>
  <si>
    <t>21-48-SBW03</t>
  </si>
  <si>
    <t>21-49-LSSC01</t>
  </si>
  <si>
    <t>21-49-RV03</t>
  </si>
  <si>
    <t>21-49-RV04</t>
  </si>
  <si>
    <t>21-49-LSR02</t>
  </si>
  <si>
    <t>21-49-LSSC02</t>
  </si>
  <si>
    <t>21-49-LSSC03</t>
  </si>
  <si>
    <t>21-49-CF01</t>
  </si>
  <si>
    <t>21-49-CF02</t>
  </si>
  <si>
    <t>21-49-SBM01</t>
  </si>
  <si>
    <t>Tow 1 was a code 2:  twist in net; Tow 4 was a code 2:  (Distance from site exceeded target distance: 0.67 mi at stop)</t>
  </si>
  <si>
    <t xml:space="preserve">Tow 2 was code 2:  twist in net </t>
  </si>
  <si>
    <t>Only two tows completed due to unsafe conditions; Tow 1 was a code 2: twist at cod end</t>
  </si>
  <si>
    <t>21-48-USSC02</t>
  </si>
  <si>
    <t>21-48-USSC01</t>
  </si>
  <si>
    <t>21-48-USSC03</t>
  </si>
  <si>
    <t>21-48-LSSC01</t>
  </si>
  <si>
    <t>21-48-LSSC02</t>
  </si>
  <si>
    <t>21-48-SJT01</t>
  </si>
  <si>
    <t>21-48-SJT02</t>
  </si>
  <si>
    <t>21-48-SJT03</t>
  </si>
  <si>
    <t>21-48-LSJ01</t>
  </si>
  <si>
    <t xml:space="preserve">Lower San Joaquin </t>
  </si>
  <si>
    <t>Rio crew did not sample on 6/24/21</t>
  </si>
  <si>
    <t>21-48-PP01</t>
  </si>
  <si>
    <t xml:space="preserve">Tow 1 was a code 2:  crossed boundary line </t>
  </si>
  <si>
    <t>21-49-RV01</t>
  </si>
  <si>
    <t>21-49-RV02</t>
  </si>
  <si>
    <t>21-49-LSR01</t>
  </si>
  <si>
    <t>21-49-LSSC04</t>
  </si>
  <si>
    <t>21-49-LSSC05</t>
  </si>
  <si>
    <t>21-49-USSC01</t>
  </si>
  <si>
    <t>21-49-CF03</t>
  </si>
  <si>
    <t>21-49-SBM02</t>
  </si>
  <si>
    <t>21-49-SBM03</t>
  </si>
  <si>
    <t>21-50-CS01</t>
  </si>
  <si>
    <t>21-50-CS02</t>
  </si>
  <si>
    <t>21-50-CS03</t>
  </si>
  <si>
    <t>21-50-PP01</t>
  </si>
  <si>
    <t>21-50-PP02</t>
  </si>
  <si>
    <t>21-50-SJT01</t>
  </si>
  <si>
    <t>21-50-GB01</t>
  </si>
  <si>
    <t>21-50-SM01</t>
  </si>
  <si>
    <t>21-50-SM02</t>
  </si>
  <si>
    <t>21-50-SM03</t>
  </si>
  <si>
    <t>Tow 2 was a code 2:  twist in net; Tow 4 was a code 2: (Distance from site exceeded target distance: 0.65 mi at stop)</t>
  </si>
  <si>
    <t>21-50-CS04</t>
  </si>
  <si>
    <t>21-50-CS05</t>
  </si>
  <si>
    <t>21-50-CS06</t>
  </si>
  <si>
    <t>21-50-SJT02</t>
  </si>
  <si>
    <t>21-50-LSJ01</t>
  </si>
  <si>
    <t>21-50-LSJ02</t>
  </si>
  <si>
    <t>21-50-SM04</t>
  </si>
  <si>
    <t>21-50-SM05</t>
  </si>
  <si>
    <t>21-50-SM06</t>
  </si>
  <si>
    <t>21-50-SM07</t>
  </si>
  <si>
    <t>Tow 3 was a code 2:  (Distance from the site exceeded target distance: 0.60 mi at stop); Tow 4 was a code 2: twist in net</t>
  </si>
  <si>
    <t>Code 4:  site not accessible; within salinity gates</t>
  </si>
  <si>
    <t>21-50-RV01</t>
  </si>
  <si>
    <t>21-50-RV02</t>
  </si>
  <si>
    <t>21-50-LSR01</t>
  </si>
  <si>
    <t>21-50-LSSC03</t>
  </si>
  <si>
    <t>21-50-LSSC04</t>
  </si>
  <si>
    <t>21-50-USSC02</t>
  </si>
  <si>
    <t>21-50-SBW02</t>
  </si>
  <si>
    <t>21-50-CF02</t>
  </si>
  <si>
    <t>21-50-SBM02</t>
  </si>
  <si>
    <t>Code 9 @10:16</t>
  </si>
  <si>
    <t>T1 code 2: twisted net</t>
  </si>
  <si>
    <t>Code 2: line wrapped around net. Code 9 @12:00; 15 Wagaskis were idenified (44-66mm)</t>
  </si>
  <si>
    <t>21-50-RV03</t>
  </si>
  <si>
    <t>21-50-RV04</t>
  </si>
  <si>
    <t>21-50-LSR02</t>
  </si>
  <si>
    <t>21-50-LSR03</t>
  </si>
  <si>
    <t>21-50-LSSC01</t>
  </si>
  <si>
    <t>21-50-LSSC02</t>
  </si>
  <si>
    <t>21-50-USSC01</t>
  </si>
  <si>
    <t>21-50-SBW01</t>
  </si>
  <si>
    <t>35-48</t>
  </si>
  <si>
    <t>21-50-CF01</t>
  </si>
  <si>
    <t>21-50-SBM01</t>
  </si>
  <si>
    <t xml:space="preserve">Code 4:  Site too shallow </t>
  </si>
  <si>
    <t>OSM was tentatively identified in the field as a Delta Smelt based on physical characteristics and brought back to FWS lab for ID verification; Update: OSM confirmed by FWS lab that OSM was WAG; 10 Wagaskis were idenified (46-71mm)</t>
  </si>
  <si>
    <t>21-51-RV02</t>
  </si>
  <si>
    <t>21-51-LSR03</t>
  </si>
  <si>
    <t>21-51-LSR04</t>
  </si>
  <si>
    <t>21-51-LSSC01</t>
  </si>
  <si>
    <t>21-51-LSSC02</t>
  </si>
  <si>
    <t>21-51-USSC01</t>
  </si>
  <si>
    <t>21-51-SM01</t>
  </si>
  <si>
    <t>21-51-SM02</t>
  </si>
  <si>
    <t>21-51-SM03</t>
  </si>
  <si>
    <t>21-51-RV01</t>
  </si>
  <si>
    <t>21-51-LSR01</t>
  </si>
  <si>
    <t>21-51-LSR02</t>
  </si>
  <si>
    <t>21-51-LSSC05</t>
  </si>
  <si>
    <t>21-51-GB01</t>
  </si>
  <si>
    <t>21-51-SM04</t>
  </si>
  <si>
    <t>21-51-SM05</t>
  </si>
  <si>
    <t>21-51-LSSC04</t>
  </si>
  <si>
    <t>21-51-LSSC03</t>
  </si>
  <si>
    <t>87 Wakasagis were idenified (45-66mm); Tow 4 was a code 2: (Distance from site exceeded target distance:  0.64 at stop)</t>
  </si>
  <si>
    <t>49 Wakasagis were idenified (49-67mm)</t>
  </si>
  <si>
    <t>77 Wakasagis were idenified (37-68mm)</t>
  </si>
  <si>
    <t>12 Wakasgis were idenified (50-67mm)</t>
  </si>
  <si>
    <t>4 Wakasagis were idenified (58-69mm)</t>
  </si>
  <si>
    <t>1 Wakasgi idenified (64mm)</t>
  </si>
  <si>
    <t>17 Wakasagis were idenified (41-64mm)</t>
  </si>
  <si>
    <t>2 Wakasagis were identified (10.8-11.6mm)</t>
  </si>
  <si>
    <t>3 Wakasagis were identified (9.7-13.6mm)</t>
  </si>
  <si>
    <t>4 Wakasagis identified (12.1-12.9)</t>
  </si>
  <si>
    <t>1 Wakasgi identified (14.5mm)</t>
  </si>
  <si>
    <t xml:space="preserve">2 Wakasagis were idenified (29.8 &amp; 55mm) </t>
  </si>
  <si>
    <t>2 Wakasagis were idenified (55-58mm)</t>
  </si>
  <si>
    <t>1 Wakasagi identified (22.6mm)</t>
  </si>
  <si>
    <t>4 Wakasagis were identified (22.2-28mm)</t>
  </si>
  <si>
    <t>65 Wakasagis were identified (14.8-31mm)</t>
  </si>
  <si>
    <t>30 Wakasagis were identified (14.2-24.4); ID of DSM changed to WAG in lab after 4th ID verfication</t>
  </si>
  <si>
    <t>28 Wakasagis were identified (13.6-21mm)</t>
  </si>
  <si>
    <t>3 Wakasagis were identified (13.9-23.8mm)</t>
  </si>
  <si>
    <t>26 Wakasagis were identified (15-22.5mm)</t>
  </si>
  <si>
    <t>2 Wakasagis were identified (10.2-18.6)</t>
  </si>
  <si>
    <t>15 Wakasagis were identified (15.3-22.9mm); Turbidity meter not working</t>
  </si>
  <si>
    <t>2 Wakasagi were identified (17.1-18.3mm); Turbidity meter not working</t>
  </si>
  <si>
    <t>2 Wakasagis were identified (18.6-18.9mm); Turbidity meter not working</t>
  </si>
  <si>
    <t>1 Wakasagi identified (16.8mm)</t>
  </si>
  <si>
    <t>7 Wakasagi identified (16-30mm)</t>
  </si>
  <si>
    <t>1 Wakasagi identified (12.2mm)</t>
  </si>
  <si>
    <t>90 Wakasagis were identified (14.9-32mm)</t>
  </si>
  <si>
    <t>1 Wakasagi identified (18.9mm)</t>
  </si>
  <si>
    <t>36 Wakasagi identified (16.7-30mm)</t>
  </si>
  <si>
    <t>2 Wakasagis were idenitfied (22-22.6mm); Rio crew only sampled 4 sites due to safety concerns</t>
  </si>
  <si>
    <t>1 Wakasagi idenitfied (16.4mm)</t>
  </si>
  <si>
    <t>22 Wakasagis were idenitfied (28-46mm)</t>
  </si>
  <si>
    <t>8 Wakasagis were idenitfied (17-48mm)</t>
  </si>
  <si>
    <t xml:space="preserve">only two tows were completed due to high winds </t>
  </si>
  <si>
    <t>Tow 1, 2, and 3 were code 2:  boundary line crossed</t>
  </si>
  <si>
    <t>21-51-CS01</t>
  </si>
  <si>
    <t>21-51-CS02</t>
  </si>
  <si>
    <t>21-51-CS03</t>
  </si>
  <si>
    <t>21-51-LSJ01</t>
  </si>
  <si>
    <t>21-51-LSJ02</t>
  </si>
  <si>
    <t>21-51-LSJ03</t>
  </si>
  <si>
    <t>21-51-HB01</t>
  </si>
  <si>
    <t>21-51-SBM02</t>
  </si>
  <si>
    <t>21-51-SBM03</t>
  </si>
  <si>
    <t>1 Wakasgi idenified (38mm)</t>
  </si>
  <si>
    <t>Tow 4 was a code 2:  bouy wrapped around net</t>
  </si>
  <si>
    <t>21-51-CS04</t>
  </si>
  <si>
    <t>21-51-CS05</t>
  </si>
  <si>
    <t>21-51-CS06</t>
  </si>
  <si>
    <t>21-51-PP01</t>
  </si>
  <si>
    <t>21-51-SJT01</t>
  </si>
  <si>
    <t>21-51-SJT02</t>
  </si>
  <si>
    <t>21-51-SBW01</t>
  </si>
  <si>
    <t>21-51-SBW02</t>
  </si>
  <si>
    <t>21-51-CF01</t>
  </si>
  <si>
    <t>Code 4:  site within mothball fleet</t>
  </si>
  <si>
    <t>Code 4:  Site not accessible</t>
  </si>
  <si>
    <t>Tow 1 was a code 3: net not deployed properly</t>
  </si>
  <si>
    <t>Tow 1 was a code 2:  buoy twisted around cod end</t>
  </si>
  <si>
    <t>21-52-RV03</t>
  </si>
  <si>
    <t>21-52-RV04</t>
  </si>
  <si>
    <t>21-52-LSR02</t>
  </si>
  <si>
    <t>21-52-SBW01</t>
  </si>
  <si>
    <t>21-52-HB01</t>
  </si>
  <si>
    <t>21-52-SBM01</t>
  </si>
  <si>
    <t>21-52-CS01</t>
  </si>
  <si>
    <t>21-52-CS02</t>
  </si>
  <si>
    <t>21-52-CS03</t>
  </si>
  <si>
    <t xml:space="preserve">Tow 4 was a code 3:  too much vegetation in net; no more tows were performed due to vegetation at site </t>
  </si>
  <si>
    <t xml:space="preserve">Tow 2 was a code 2:  bouy line wrapped around net </t>
  </si>
  <si>
    <r>
      <t>Tow 4 was a code 3:  net snagged 1:22 into tow; additional tow was performed;</t>
    </r>
    <r>
      <rPr>
        <sz val="11"/>
        <color rgb="FFFF0000"/>
        <rFont val="Times New Roman"/>
        <family val="1"/>
      </rPr>
      <t xml:space="preserve"> 1 Wakasgi idenified (50mm)</t>
    </r>
  </si>
  <si>
    <t>21-52-CS04</t>
  </si>
  <si>
    <t>21-52-CS05</t>
  </si>
  <si>
    <t>21-52-CS06</t>
  </si>
  <si>
    <t>21-52-RV01</t>
  </si>
  <si>
    <t>21-52-RV02</t>
  </si>
  <si>
    <t>21-52-LSR01</t>
  </si>
  <si>
    <t>21-52-SBW02</t>
  </si>
  <si>
    <t>21-52-CF01</t>
  </si>
  <si>
    <t>21-52-SBM02</t>
  </si>
  <si>
    <t>Tow 1 and 2 were code 2:  Partial net blockage due to vegetation;  Heavy vegetation at site; only two tows were performed</t>
  </si>
  <si>
    <t xml:space="preserve">Tow 2 was a code 2:  twist in net </t>
  </si>
  <si>
    <t>21-49-SM02</t>
  </si>
  <si>
    <t>21-52-LSSC02</t>
  </si>
  <si>
    <t>21-52-PP01</t>
  </si>
  <si>
    <t>21-52-PP02</t>
  </si>
  <si>
    <t>21-52-SJT01</t>
  </si>
  <si>
    <t>21-52-SJT02</t>
  </si>
  <si>
    <t>21-52-USSC01</t>
  </si>
  <si>
    <t>21-52-GB01</t>
  </si>
  <si>
    <t>21-52-SM01</t>
  </si>
  <si>
    <t>21-52-SM02</t>
  </si>
  <si>
    <t>Code 4:  site not accessible</t>
  </si>
  <si>
    <r>
      <t>58 Wakasagis were idenified</t>
    </r>
    <r>
      <rPr>
        <sz val="11"/>
        <rFont val="Times New Roman"/>
        <family val="1"/>
      </rPr>
      <t xml:space="preserve"> (47-72mm)</t>
    </r>
  </si>
  <si>
    <r>
      <t>219 Wakasgis were ide</t>
    </r>
    <r>
      <rPr>
        <sz val="11"/>
        <rFont val="Times New Roman"/>
        <family val="1"/>
      </rPr>
      <t>nified (40-77mm)</t>
    </r>
  </si>
  <si>
    <t>Tow 2 was a code 2:  (Distance from the site exceeded target distance: 0.56 mi at stop)</t>
  </si>
  <si>
    <t>Tow 4 was a code 2:  twist in net</t>
  </si>
  <si>
    <r>
      <t>30 Wakasgis were ide</t>
    </r>
    <r>
      <rPr>
        <sz val="11"/>
        <rFont val="Times New Roman"/>
        <family val="1"/>
      </rPr>
      <t>nified (47-70mm)</t>
    </r>
  </si>
  <si>
    <t>21-52-LSSC01</t>
  </si>
  <si>
    <t>37 Wakasgis were idenified (47-78mm)</t>
  </si>
  <si>
    <t>41 Wakasgis were idenified (47-77mm); Tow 1 was a code 2: twist in net; tow 2 was a code 2: (Distance from the site exceeded target distance: 0.70 at stop)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</si>
</sst>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0"/>
    <numFmt numFmtId="165" formatCode="0.0"/>
    <numFmt numFmtId="166" formatCode="0.000"/>
    <numFmt numFmtId="167" formatCode="h:mm;@"/>
  </numFmts>
  <fonts count="38" x14ac:knownFonts="1">
    <font>
      <sz val="11"/>
      <color theme="1"/>
      <name val="Calibri"/>
      <family val="2"/>
      <scheme val="minor"/>
    </font>
    <font>
      <sz val="10"/>
      <color indexed="8"/>
      <name val="Arial"/>
      <family val="2"/>
    </font>
    <font>
      <b/>
      <sz val="11"/>
      <name val="Calibri"/>
      <family val="2"/>
      <scheme val="minor"/>
    </font>
    <font>
      <sz val="11"/>
      <name val="Calibri"/>
      <family val="2"/>
      <scheme val="minor"/>
    </font>
    <font>
      <sz val="11"/>
      <color theme="1"/>
      <name val="Times New Roman"/>
      <family val="1"/>
    </font>
    <font>
      <sz val="11"/>
      <color indexed="8"/>
      <name val="Times New Roman"/>
      <family val="1"/>
    </font>
    <font>
      <sz val="11"/>
      <color rgb="FFFF0000"/>
      <name val="Times New Roman"/>
      <family val="1"/>
    </font>
    <font>
      <b/>
      <sz val="11"/>
      <color rgb="FF222222"/>
      <name val="Times New Roman"/>
      <family val="1"/>
    </font>
    <font>
      <sz val="11"/>
      <name val="Times New Roman"/>
      <family val="1"/>
    </font>
    <font>
      <sz val="9.9"/>
      <color indexed="8"/>
      <name val="Times New Roman"/>
      <family val="1"/>
    </font>
    <font>
      <b/>
      <sz val="11"/>
      <color theme="1"/>
      <name val="Times New Roman"/>
      <family val="1"/>
    </font>
    <font>
      <sz val="11"/>
      <color theme="1"/>
      <name val="Calibri"/>
      <family val="2"/>
      <scheme val="minor"/>
    </font>
    <font>
      <sz val="10"/>
      <name val="Arial"/>
      <family val="2"/>
    </font>
    <font>
      <sz val="11"/>
      <color indexed="8"/>
      <name val="Calibri"/>
      <family val="2"/>
      <charset val="1"/>
    </font>
    <font>
      <sz val="11"/>
      <color theme="0" tint="-0.499984740745262"/>
      <name val="Times New Roman"/>
      <family val="1"/>
    </font>
    <font>
      <sz val="11"/>
      <color theme="1" tint="0.499984740745262"/>
      <name val="Times New Roman"/>
      <family val="1"/>
    </font>
    <font>
      <sz val="11"/>
      <color theme="1"/>
      <name val="Calibri"/>
      <family val="2"/>
    </font>
    <font>
      <b/>
      <sz val="11"/>
      <name val="Times New Roman"/>
      <family val="1"/>
    </font>
    <font>
      <sz val="11"/>
      <color theme="0" tint="-0.34998626667073579"/>
      <name val="Times New Roman"/>
      <family val="1"/>
    </font>
    <font>
      <sz val="11"/>
      <color theme="0" tint="-0.249977111117893"/>
      <name val="Times New Roman"/>
      <family val="1"/>
    </font>
    <font>
      <b/>
      <sz val="11"/>
      <color theme="1"/>
      <name val="Calibri"/>
      <family val="2"/>
      <scheme val="minor"/>
    </font>
    <font>
      <b/>
      <sz val="11"/>
      <color rgb="FFFF0000"/>
      <name val="Times New Roman"/>
      <family val="1"/>
    </font>
    <font>
      <sz val="8"/>
      <name val="Calibri"/>
      <family val="2"/>
      <scheme val="minor"/>
    </font>
    <font>
      <sz val="11"/>
      <color rgb="FF000000"/>
      <name val="Times New Roman"/>
      <family val="1"/>
    </font>
    <font>
      <sz val="11"/>
      <color theme="0" tint="-0.499984740745262"/>
      <name val="Calibri"/>
      <family val="2"/>
      <scheme val="minor"/>
    </font>
    <font>
      <sz val="11"/>
      <color rgb="FF000000"/>
      <name val="Calibri"/>
      <family val="2"/>
      <scheme val="minor"/>
    </font>
    <font>
      <b/>
      <sz val="11"/>
      <color rgb="FF000000"/>
      <name val="Times New Roman"/>
      <family val="1"/>
    </font>
    <font>
      <sz val="11"/>
      <color theme="1" tint="0.499984740745262"/>
      <name val="Calibri"/>
      <family val="2"/>
      <scheme val="minor"/>
    </font>
    <font>
      <b/>
      <sz val="11"/>
      <color theme="0" tint="-0.499984740745262"/>
      <name val="Times New Roman"/>
      <family val="1"/>
    </font>
    <font>
      <sz val="11"/>
      <color rgb="FF000000"/>
      <name val="Times New Roman"/>
      <family val="1"/>
    </font>
    <font>
      <b/>
      <sz val="11"/>
      <color rgb="FF000000"/>
      <name val="Times New Roman"/>
      <family val="1"/>
    </font>
    <font>
      <sz val="11"/>
      <color rgb="FF808080"/>
      <name val="Times New Roman"/>
      <family val="1"/>
    </font>
    <font>
      <sz val="12"/>
      <name val="Times New Roman"/>
      <family val="1"/>
    </font>
    <font>
      <sz val="11"/>
      <color rgb="FF000000"/>
      <name val="Times New Roman"/>
      <family val="1"/>
    </font>
    <font>
      <b/>
      <sz val="11"/>
      <color rgb="FF000000"/>
      <name val="Times New Roman"/>
      <family val="1"/>
    </font>
    <font>
      <sz val="11"/>
      <color rgb="FF808080"/>
      <name val="Times New Roman"/>
      <family val="1"/>
    </font>
    <font>
      <sz val="11"/>
      <color rgb="FF000000"/>
      <name val="Times New Roman"/>
    </font>
    <font>
      <b/>
      <sz val="11"/>
      <color rgb="FF000000"/>
      <name val="Times New Roman"/>
    </font>
  </fonts>
  <fills count="14">
    <fill>
      <patternFill patternType="none"/>
    </fill>
    <fill>
      <patternFill patternType="gray125"/>
    </fill>
    <fill>
      <patternFill patternType="solid">
        <fgColor rgb="FFFFFF00"/>
        <bgColor indexed="64"/>
      </patternFill>
    </fill>
    <fill>
      <patternFill patternType="solid">
        <fgColor theme="6" tint="0.39997558519241921"/>
        <bgColor indexed="64"/>
      </patternFill>
    </fill>
    <fill>
      <patternFill patternType="solid">
        <fgColor theme="0"/>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6"/>
        <bgColor indexed="64"/>
      </patternFill>
    </fill>
    <fill>
      <patternFill patternType="solid">
        <fgColor rgb="FFFF0000"/>
        <bgColor indexed="64"/>
      </patternFill>
    </fill>
    <fill>
      <patternFill patternType="solid">
        <fgColor theme="8" tint="0.39997558519241921"/>
        <bgColor indexed="64"/>
      </patternFill>
    </fill>
    <fill>
      <patternFill patternType="solid">
        <fgColor rgb="FFD8E4BC"/>
      </patternFill>
    </fill>
    <fill>
      <patternFill patternType="solid">
        <fgColor theme="6" tint="0.79998168889431442"/>
        <bgColor indexed="64"/>
      </patternFill>
    </fill>
  </fills>
  <borders count="29">
    <border>
      <left/>
      <right/>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
      <left style="thin">
        <color indexed="22"/>
      </left>
      <right/>
      <top/>
      <bottom/>
      <diagonal/>
    </border>
    <border>
      <left/>
      <right style="thin">
        <color indexed="22"/>
      </right>
      <top/>
      <bottom/>
      <diagonal/>
    </border>
    <border>
      <left style="thin">
        <color indexed="22"/>
      </left>
      <right style="thin">
        <color indexed="22"/>
      </right>
      <top style="thin">
        <color indexed="22"/>
      </top>
      <bottom style="thin">
        <color indexed="64"/>
      </bottom>
      <diagonal/>
    </border>
    <border>
      <left/>
      <right/>
      <top/>
      <bottom style="thin">
        <color indexed="64"/>
      </bottom>
      <diagonal/>
    </border>
    <border>
      <left/>
      <right style="thin">
        <color indexed="22"/>
      </right>
      <top/>
      <bottom style="thin">
        <color indexed="22"/>
      </bottom>
      <diagonal/>
    </border>
    <border>
      <left style="thin">
        <color indexed="22"/>
      </left>
      <right style="thin">
        <color indexed="22"/>
      </right>
      <top/>
      <bottom style="thin">
        <color indexed="64"/>
      </bottom>
      <diagonal/>
    </border>
    <border>
      <left/>
      <right style="thin">
        <color indexed="22"/>
      </right>
      <top/>
      <bottom style="thin">
        <color indexed="64"/>
      </bottom>
      <diagonal/>
    </border>
    <border>
      <left/>
      <right/>
      <top/>
      <bottom style="medium">
        <color indexed="64"/>
      </bottom>
      <diagonal/>
    </border>
    <border>
      <left style="thin">
        <color indexed="22"/>
      </left>
      <right style="thin">
        <color indexed="22"/>
      </right>
      <top style="thin">
        <color indexed="22"/>
      </top>
      <bottom/>
      <diagonal/>
    </border>
    <border>
      <left/>
      <right/>
      <top/>
      <bottom style="double">
        <color indexed="64"/>
      </bottom>
      <diagonal/>
    </border>
    <border>
      <left style="thin">
        <color indexed="22"/>
      </left>
      <right style="thin">
        <color indexed="22"/>
      </right>
      <top style="thin">
        <color indexed="22"/>
      </top>
      <bottom style="double">
        <color indexed="64"/>
      </bottom>
      <diagonal/>
    </border>
    <border>
      <left style="thin">
        <color indexed="22"/>
      </left>
      <right style="thin">
        <color indexed="22"/>
      </right>
      <top/>
      <bottom style="double">
        <color indexed="64"/>
      </bottom>
      <diagonal/>
    </border>
    <border>
      <left style="thin">
        <color indexed="22"/>
      </left>
      <right style="thin">
        <color indexed="22"/>
      </right>
      <top/>
      <bottom/>
      <diagonal/>
    </border>
    <border>
      <left style="thin">
        <color indexed="22"/>
      </left>
      <right style="thin">
        <color indexed="22"/>
      </right>
      <top style="thin">
        <color indexed="64"/>
      </top>
      <bottom style="thin">
        <color indexed="22"/>
      </bottom>
      <diagonal/>
    </border>
    <border>
      <left/>
      <right/>
      <top style="thin">
        <color indexed="64"/>
      </top>
      <bottom/>
      <diagonal/>
    </border>
    <border>
      <left style="thin">
        <color indexed="22"/>
      </left>
      <right/>
      <top style="thin">
        <color indexed="22"/>
      </top>
      <bottom style="thin">
        <color indexed="22"/>
      </bottom>
      <diagonal/>
    </border>
    <border>
      <left style="thin">
        <color indexed="22"/>
      </left>
      <right/>
      <top style="thin">
        <color indexed="22"/>
      </top>
      <bottom style="thin">
        <color indexed="64"/>
      </bottom>
      <diagonal/>
    </border>
    <border>
      <left style="thin">
        <color indexed="22"/>
      </left>
      <right style="thin">
        <color indexed="22"/>
      </right>
      <top/>
      <bottom style="medium">
        <color indexed="64"/>
      </bottom>
      <diagonal/>
    </border>
    <border>
      <left style="thin">
        <color indexed="22"/>
      </left>
      <right style="thin">
        <color indexed="22"/>
      </right>
      <top style="thin">
        <color indexed="22"/>
      </top>
      <bottom style="medium">
        <color indexed="64"/>
      </bottom>
      <diagonal/>
    </border>
    <border>
      <left/>
      <right style="thin">
        <color indexed="64"/>
      </right>
      <top/>
      <bottom/>
      <diagonal/>
    </border>
    <border>
      <left/>
      <right style="thin">
        <color indexed="64"/>
      </right>
      <top/>
      <bottom style="medium">
        <color indexed="64"/>
      </bottom>
      <diagonal/>
    </border>
    <border>
      <left style="thin">
        <color indexed="64"/>
      </left>
      <right/>
      <top/>
      <bottom/>
      <diagonal/>
    </border>
    <border>
      <left style="thin">
        <color indexed="22"/>
      </left>
      <right/>
      <top/>
      <bottom style="thin">
        <color indexed="22"/>
      </bottom>
      <diagonal/>
    </border>
    <border>
      <left/>
      <right/>
      <top/>
      <bottom style="thin">
        <color auto="1"/>
      </bottom>
      <diagonal/>
    </border>
    <border>
      <left/>
      <right/>
      <top style="thin">
        <color auto="1"/>
      </top>
      <bottom/>
      <diagonal/>
    </border>
    <border>
      <left/>
      <right style="thin">
        <color indexed="64"/>
      </right>
      <top/>
      <bottom style="thin">
        <color indexed="64"/>
      </bottom>
      <diagonal/>
    </border>
  </borders>
  <cellStyleXfs count="8">
    <xf numFmtId="0" fontId="0" fillId="0" borderId="0"/>
    <xf numFmtId="0" fontId="1" fillId="0" borderId="0"/>
    <xf numFmtId="0" fontId="1" fillId="0" borderId="0"/>
    <xf numFmtId="0" fontId="12" fillId="0" borderId="0"/>
    <xf numFmtId="0" fontId="13" fillId="0" borderId="0"/>
    <xf numFmtId="0" fontId="11" fillId="0" borderId="0"/>
    <xf numFmtId="0" fontId="1" fillId="0" borderId="0"/>
    <xf numFmtId="0" fontId="25" fillId="0" borderId="0"/>
  </cellStyleXfs>
  <cellXfs count="1117">
    <xf numFmtId="0" fontId="0" fillId="0" borderId="0" xfId="0"/>
    <xf numFmtId="0" fontId="0" fillId="0" borderId="0" xfId="0" applyAlignment="1">
      <alignment horizontal="center"/>
    </xf>
    <xf numFmtId="0" fontId="0" fillId="0" borderId="0" xfId="0" applyAlignment="1">
      <alignment horizontal="left"/>
    </xf>
    <xf numFmtId="0" fontId="2" fillId="3" borderId="0" xfId="0" applyFont="1" applyFill="1" applyAlignment="1">
      <alignment horizontal="center"/>
    </xf>
    <xf numFmtId="2" fontId="4" fillId="0" borderId="0" xfId="0" applyNumberFormat="1" applyFont="1" applyFill="1" applyAlignment="1">
      <alignment horizontal="center" vertical="center"/>
    </xf>
    <xf numFmtId="0" fontId="4" fillId="0" borderId="0" xfId="0" applyFont="1" applyFill="1" applyAlignment="1">
      <alignment horizontal="left" vertical="center"/>
    </xf>
    <xf numFmtId="14" fontId="5" fillId="0" borderId="2" xfId="1" applyNumberFormat="1" applyFont="1" applyFill="1" applyBorder="1" applyAlignment="1">
      <alignment horizontal="center" vertical="center" wrapText="1"/>
    </xf>
    <xf numFmtId="20" fontId="5" fillId="0" borderId="2" xfId="1" applyNumberFormat="1" applyFont="1" applyFill="1" applyBorder="1" applyAlignment="1">
      <alignment horizontal="center" vertical="center" wrapText="1"/>
    </xf>
    <xf numFmtId="2" fontId="5" fillId="0" borderId="2" xfId="1" applyNumberFormat="1" applyFont="1" applyFill="1" applyBorder="1" applyAlignment="1">
      <alignment horizontal="center" vertical="center" wrapText="1"/>
    </xf>
    <xf numFmtId="0" fontId="5" fillId="0" borderId="2" xfId="1" applyFont="1" applyFill="1" applyBorder="1" applyAlignment="1">
      <alignment horizontal="center" vertical="center" wrapText="1"/>
    </xf>
    <xf numFmtId="0" fontId="5" fillId="0" borderId="0" xfId="1" applyFont="1" applyFill="1" applyBorder="1" applyAlignment="1">
      <alignment horizontal="center" vertical="center" wrapText="1"/>
    </xf>
    <xf numFmtId="14" fontId="5" fillId="0" borderId="1" xfId="1" applyNumberFormat="1" applyFont="1" applyFill="1" applyBorder="1" applyAlignment="1">
      <alignment horizontal="center" vertical="center" wrapText="1"/>
    </xf>
    <xf numFmtId="20" fontId="5" fillId="0" borderId="1" xfId="1" applyNumberFormat="1" applyFont="1" applyFill="1" applyBorder="1" applyAlignment="1">
      <alignment horizontal="center" vertical="center" wrapText="1"/>
    </xf>
    <xf numFmtId="2" fontId="5" fillId="0" borderId="1" xfId="1" applyNumberFormat="1" applyFont="1" applyFill="1" applyBorder="1" applyAlignment="1">
      <alignment horizontal="center" vertical="center" wrapText="1"/>
    </xf>
    <xf numFmtId="0" fontId="5" fillId="0" borderId="1" xfId="1" applyFont="1" applyFill="1" applyBorder="1" applyAlignment="1">
      <alignment horizontal="center" vertical="center" wrapText="1"/>
    </xf>
    <xf numFmtId="0" fontId="5" fillId="0" borderId="0" xfId="1" applyFont="1" applyFill="1" applyAlignment="1">
      <alignment horizontal="center" vertical="center"/>
    </xf>
    <xf numFmtId="0" fontId="6" fillId="0" borderId="0" xfId="0" applyFont="1" applyFill="1" applyAlignment="1">
      <alignment horizontal="center" vertical="center"/>
    </xf>
    <xf numFmtId="0" fontId="6" fillId="0" borderId="1" xfId="1" applyFont="1" applyFill="1" applyBorder="1" applyAlignment="1">
      <alignment horizontal="center" vertical="center" wrapText="1"/>
    </xf>
    <xf numFmtId="0" fontId="5" fillId="0" borderId="1" xfId="1" applyFont="1" applyFill="1" applyBorder="1" applyAlignment="1">
      <alignment horizontal="center" vertical="center"/>
    </xf>
    <xf numFmtId="0" fontId="6" fillId="0" borderId="1" xfId="1" applyFont="1" applyFill="1" applyBorder="1" applyAlignment="1">
      <alignment horizontal="center" vertical="center"/>
    </xf>
    <xf numFmtId="14" fontId="4" fillId="0" borderId="0" xfId="0" applyNumberFormat="1" applyFont="1" applyFill="1" applyAlignment="1">
      <alignment horizontal="center" vertical="center"/>
    </xf>
    <xf numFmtId="20" fontId="4" fillId="0" borderId="0" xfId="0" applyNumberFormat="1" applyFont="1" applyFill="1" applyAlignment="1">
      <alignment horizontal="center" vertical="center"/>
    </xf>
    <xf numFmtId="14" fontId="6" fillId="0" borderId="1" xfId="1" applyNumberFormat="1" applyFont="1" applyFill="1" applyBorder="1" applyAlignment="1">
      <alignment horizontal="center" vertical="center" wrapText="1"/>
    </xf>
    <xf numFmtId="20" fontId="6" fillId="0" borderId="1" xfId="1" applyNumberFormat="1" applyFont="1" applyFill="1" applyBorder="1" applyAlignment="1">
      <alignment horizontal="center" vertical="center" wrapText="1"/>
    </xf>
    <xf numFmtId="2" fontId="6" fillId="0" borderId="1" xfId="1" applyNumberFormat="1" applyFont="1" applyFill="1" applyBorder="1" applyAlignment="1">
      <alignment horizontal="center" vertical="center" wrapText="1"/>
    </xf>
    <xf numFmtId="0" fontId="6" fillId="0" borderId="0" xfId="1" applyFont="1" applyFill="1" applyAlignment="1">
      <alignment horizontal="center" vertical="center"/>
    </xf>
    <xf numFmtId="14" fontId="8" fillId="0" borderId="0" xfId="0" applyNumberFormat="1" applyFont="1" applyFill="1" applyAlignment="1">
      <alignment horizontal="center" vertical="center"/>
    </xf>
    <xf numFmtId="0" fontId="8" fillId="0" borderId="0" xfId="0" applyFont="1" applyFill="1" applyAlignment="1">
      <alignment horizontal="center" vertical="center"/>
    </xf>
    <xf numFmtId="2" fontId="4" fillId="0" borderId="1" xfId="1" applyNumberFormat="1" applyFont="1" applyFill="1" applyBorder="1" applyAlignment="1">
      <alignment horizontal="center" vertical="center" wrapText="1"/>
    </xf>
    <xf numFmtId="14" fontId="8" fillId="0" borderId="2" xfId="1" applyNumberFormat="1" applyFont="1" applyFill="1" applyBorder="1" applyAlignment="1">
      <alignment horizontal="center" vertical="center" wrapText="1"/>
    </xf>
    <xf numFmtId="20" fontId="8" fillId="0" borderId="1" xfId="1" applyNumberFormat="1" applyFont="1" applyFill="1" applyBorder="1" applyAlignment="1">
      <alignment horizontal="center" vertical="center" wrapText="1"/>
    </xf>
    <xf numFmtId="2" fontId="8" fillId="0" borderId="1" xfId="1" applyNumberFormat="1" applyFont="1" applyFill="1" applyBorder="1" applyAlignment="1">
      <alignment horizontal="center" vertical="center" wrapText="1"/>
    </xf>
    <xf numFmtId="0" fontId="8" fillId="0" borderId="1" xfId="1" applyFont="1" applyFill="1" applyBorder="1" applyAlignment="1">
      <alignment horizontal="center" vertical="center" wrapText="1"/>
    </xf>
    <xf numFmtId="0" fontId="8" fillId="0" borderId="2" xfId="1" applyFont="1" applyFill="1" applyBorder="1" applyAlignment="1">
      <alignment horizontal="center" vertical="center" wrapText="1"/>
    </xf>
    <xf numFmtId="0" fontId="8" fillId="0" borderId="0" xfId="1" applyFont="1" applyFill="1" applyBorder="1" applyAlignment="1">
      <alignment horizontal="center" vertical="center" wrapText="1"/>
    </xf>
    <xf numFmtId="0" fontId="8" fillId="0" borderId="0" xfId="0" applyFont="1" applyFill="1" applyAlignment="1">
      <alignment horizontal="left" vertical="center"/>
    </xf>
    <xf numFmtId="14" fontId="8" fillId="0" borderId="1" xfId="1" applyNumberFormat="1" applyFont="1" applyFill="1" applyBorder="1" applyAlignment="1">
      <alignment horizontal="center" vertical="center" wrapText="1"/>
    </xf>
    <xf numFmtId="0" fontId="4" fillId="0" borderId="0" xfId="0" applyFont="1" applyAlignment="1">
      <alignment horizontal="center" vertical="center"/>
    </xf>
    <xf numFmtId="0" fontId="4" fillId="0" borderId="3" xfId="0" applyFont="1" applyFill="1" applyBorder="1" applyAlignment="1">
      <alignment horizontal="center" vertical="center"/>
    </xf>
    <xf numFmtId="0" fontId="4" fillId="0" borderId="4" xfId="0" applyFont="1" applyFill="1" applyBorder="1" applyAlignment="1">
      <alignment horizontal="center" vertical="center"/>
    </xf>
    <xf numFmtId="0" fontId="4" fillId="0" borderId="0" xfId="1" applyFont="1" applyFill="1" applyBorder="1" applyAlignment="1">
      <alignment horizontal="center" vertical="center"/>
    </xf>
    <xf numFmtId="14" fontId="4" fillId="0" borderId="2" xfId="1" applyNumberFormat="1" applyFont="1" applyFill="1" applyBorder="1" applyAlignment="1">
      <alignment horizontal="center" vertical="center" wrapText="1"/>
    </xf>
    <xf numFmtId="0" fontId="4" fillId="0" borderId="2" xfId="1" applyFont="1" applyFill="1" applyBorder="1" applyAlignment="1">
      <alignment horizontal="center" vertical="center" wrapText="1"/>
    </xf>
    <xf numFmtId="0" fontId="4" fillId="0" borderId="1" xfId="1" applyFont="1" applyFill="1" applyBorder="1" applyAlignment="1">
      <alignment horizontal="center" vertical="center" wrapText="1"/>
    </xf>
    <xf numFmtId="14" fontId="4" fillId="0" borderId="1" xfId="1" applyNumberFormat="1" applyFont="1" applyFill="1" applyBorder="1" applyAlignment="1">
      <alignment horizontal="center" vertical="center" wrapText="1"/>
    </xf>
    <xf numFmtId="0" fontId="4" fillId="0" borderId="1" xfId="1" applyFont="1" applyFill="1" applyBorder="1" applyAlignment="1">
      <alignment horizontal="center" vertical="center"/>
    </xf>
    <xf numFmtId="0" fontId="4" fillId="2" borderId="0" xfId="0" applyFont="1" applyFill="1" applyAlignment="1">
      <alignment horizontal="left" vertical="center"/>
    </xf>
    <xf numFmtId="0" fontId="4" fillId="2" borderId="0" xfId="0" applyFont="1" applyFill="1" applyAlignment="1">
      <alignment horizontal="center" vertical="center"/>
    </xf>
    <xf numFmtId="0" fontId="4" fillId="0" borderId="0" xfId="0" applyFont="1" applyFill="1" applyAlignment="1">
      <alignment horizontal="center" vertical="center"/>
    </xf>
    <xf numFmtId="0" fontId="8" fillId="0" borderId="0" xfId="1" applyFont="1" applyFill="1" applyBorder="1" applyAlignment="1">
      <alignment horizontal="center" vertical="center"/>
    </xf>
    <xf numFmtId="0" fontId="10" fillId="2" borderId="0" xfId="0" applyFont="1" applyFill="1" applyAlignment="1">
      <alignment horizontal="left" vertical="center"/>
    </xf>
    <xf numFmtId="0" fontId="4" fillId="0" borderId="0" xfId="0" applyFont="1" applyAlignment="1">
      <alignment horizontal="center"/>
    </xf>
    <xf numFmtId="0" fontId="4" fillId="0" borderId="0" xfId="0" applyFont="1" applyAlignment="1">
      <alignment horizontal="left"/>
    </xf>
    <xf numFmtId="0" fontId="6" fillId="0" borderId="0" xfId="0" applyFont="1" applyFill="1" applyBorder="1" applyAlignment="1">
      <alignment horizontal="left" vertical="center"/>
    </xf>
    <xf numFmtId="0" fontId="4" fillId="0" borderId="0" xfId="0" applyFont="1" applyFill="1" applyAlignment="1">
      <alignment horizontal="center"/>
    </xf>
    <xf numFmtId="20" fontId="4" fillId="0" borderId="0" xfId="0" applyNumberFormat="1" applyFont="1" applyFill="1" applyAlignment="1">
      <alignment horizontal="center"/>
    </xf>
    <xf numFmtId="14" fontId="6" fillId="0" borderId="2" xfId="1" applyNumberFormat="1" applyFont="1" applyFill="1" applyBorder="1" applyAlignment="1">
      <alignment horizontal="center" vertical="center" wrapText="1"/>
    </xf>
    <xf numFmtId="20" fontId="6" fillId="0" borderId="2" xfId="1" applyNumberFormat="1" applyFont="1" applyFill="1" applyBorder="1" applyAlignment="1">
      <alignment horizontal="center" vertical="center" wrapText="1"/>
    </xf>
    <xf numFmtId="0" fontId="6" fillId="0" borderId="2" xfId="1" applyFont="1" applyFill="1" applyBorder="1" applyAlignment="1">
      <alignment horizontal="center" vertical="center" wrapText="1"/>
    </xf>
    <xf numFmtId="2" fontId="6" fillId="0" borderId="2" xfId="1" applyNumberFormat="1" applyFont="1" applyFill="1" applyBorder="1" applyAlignment="1">
      <alignment horizontal="center" vertical="center" wrapText="1"/>
    </xf>
    <xf numFmtId="0" fontId="6" fillId="0" borderId="2" xfId="1" applyFont="1" applyFill="1" applyBorder="1" applyAlignment="1">
      <alignment horizontal="center" vertical="center"/>
    </xf>
    <xf numFmtId="14" fontId="4" fillId="0" borderId="5" xfId="1" applyNumberFormat="1" applyFont="1" applyFill="1" applyBorder="1" applyAlignment="1">
      <alignment horizontal="center" vertical="center" wrapText="1"/>
    </xf>
    <xf numFmtId="0" fontId="4" fillId="0" borderId="6" xfId="0" applyFont="1" applyFill="1" applyBorder="1" applyAlignment="1">
      <alignment horizontal="center" vertical="center"/>
    </xf>
    <xf numFmtId="0" fontId="4" fillId="0" borderId="6" xfId="0" applyFont="1" applyFill="1" applyBorder="1" applyAlignment="1">
      <alignment horizontal="center"/>
    </xf>
    <xf numFmtId="20" fontId="4" fillId="0" borderId="6" xfId="0" applyNumberFormat="1" applyFont="1" applyFill="1" applyBorder="1" applyAlignment="1">
      <alignment horizontal="center"/>
    </xf>
    <xf numFmtId="0" fontId="4" fillId="0" borderId="5" xfId="1" applyFont="1" applyFill="1" applyBorder="1" applyAlignment="1">
      <alignment horizontal="center" vertical="center"/>
    </xf>
    <xf numFmtId="20" fontId="4" fillId="0" borderId="0" xfId="0" applyNumberFormat="1" applyFont="1" applyAlignment="1">
      <alignment horizontal="center"/>
    </xf>
    <xf numFmtId="0" fontId="4" fillId="0" borderId="0" xfId="0" applyFont="1" applyFill="1" applyAlignment="1">
      <alignment horizontal="left"/>
    </xf>
    <xf numFmtId="0" fontId="4" fillId="0" borderId="6" xfId="0" applyFont="1" applyFill="1" applyBorder="1" applyAlignment="1">
      <alignment horizontal="left"/>
    </xf>
    <xf numFmtId="0" fontId="4" fillId="0" borderId="2" xfId="1" applyFont="1" applyFill="1" applyBorder="1" applyAlignment="1">
      <alignment horizontal="center" vertical="center"/>
    </xf>
    <xf numFmtId="0" fontId="4" fillId="0" borderId="7" xfId="1" applyFont="1" applyFill="1" applyBorder="1" applyAlignment="1">
      <alignment horizontal="center" vertical="center" wrapText="1"/>
    </xf>
    <xf numFmtId="0" fontId="4" fillId="0" borderId="0" xfId="0" applyFont="1" applyFill="1" applyBorder="1" applyAlignment="1">
      <alignment horizontal="center"/>
    </xf>
    <xf numFmtId="14" fontId="4" fillId="0" borderId="8" xfId="1" applyNumberFormat="1" applyFont="1" applyFill="1" applyBorder="1" applyAlignment="1">
      <alignment horizontal="center" vertical="center" wrapText="1"/>
    </xf>
    <xf numFmtId="20" fontId="4" fillId="0" borderId="6" xfId="0" applyNumberFormat="1" applyFont="1" applyBorder="1" applyAlignment="1">
      <alignment horizontal="center"/>
    </xf>
    <xf numFmtId="0" fontId="4" fillId="0" borderId="6" xfId="0" applyFont="1" applyBorder="1" applyAlignment="1">
      <alignment horizontal="center"/>
    </xf>
    <xf numFmtId="0" fontId="4" fillId="0" borderId="9" xfId="1" applyFont="1" applyFill="1" applyBorder="1" applyAlignment="1">
      <alignment horizontal="center" vertical="center" wrapText="1"/>
    </xf>
    <xf numFmtId="0" fontId="4" fillId="0" borderId="8" xfId="1" applyFont="1" applyFill="1" applyBorder="1" applyAlignment="1">
      <alignment horizontal="center" vertical="center"/>
    </xf>
    <xf numFmtId="0" fontId="4" fillId="0" borderId="6" xfId="0" applyFont="1" applyBorder="1" applyAlignment="1">
      <alignment horizontal="left"/>
    </xf>
    <xf numFmtId="0" fontId="4" fillId="0" borderId="5" xfId="1" applyFont="1" applyFill="1" applyBorder="1" applyAlignment="1">
      <alignment horizontal="center" vertical="center" wrapText="1"/>
    </xf>
    <xf numFmtId="0" fontId="8" fillId="0" borderId="1" xfId="1" applyFont="1" applyFill="1" applyBorder="1" applyAlignment="1">
      <alignment horizontal="center" vertical="center"/>
    </xf>
    <xf numFmtId="0" fontId="8" fillId="0" borderId="1" xfId="1" quotePrefix="1" applyFont="1" applyFill="1" applyBorder="1" applyAlignment="1">
      <alignment horizontal="center" vertical="center" wrapText="1"/>
    </xf>
    <xf numFmtId="0" fontId="8" fillId="0" borderId="0" xfId="1" applyFont="1" applyFill="1" applyAlignment="1">
      <alignment horizontal="center" vertical="center"/>
    </xf>
    <xf numFmtId="2" fontId="8" fillId="0" borderId="0" xfId="0" applyNumberFormat="1" applyFont="1" applyFill="1" applyAlignment="1">
      <alignment horizontal="center" vertical="center"/>
    </xf>
    <xf numFmtId="20" fontId="8" fillId="0" borderId="0" xfId="1" applyNumberFormat="1" applyFont="1" applyFill="1" applyBorder="1" applyAlignment="1">
      <alignment horizontal="center" vertical="center" wrapText="1"/>
    </xf>
    <xf numFmtId="20" fontId="8" fillId="0" borderId="0" xfId="0" applyNumberFormat="1" applyFont="1" applyFill="1" applyAlignment="1">
      <alignment horizontal="center" vertical="center"/>
    </xf>
    <xf numFmtId="164" fontId="8" fillId="0" borderId="0" xfId="0" applyNumberFormat="1" applyFont="1" applyFill="1" applyAlignment="1">
      <alignment horizontal="center" vertical="center"/>
    </xf>
    <xf numFmtId="2" fontId="8" fillId="0" borderId="1" xfId="2" applyNumberFormat="1" applyFont="1" applyFill="1" applyBorder="1" applyAlignment="1">
      <alignment horizontal="center"/>
    </xf>
    <xf numFmtId="0" fontId="6" fillId="0" borderId="0" xfId="0" applyFont="1" applyFill="1" applyAlignment="1">
      <alignment horizontal="left" vertical="center"/>
    </xf>
    <xf numFmtId="0" fontId="8" fillId="4" borderId="0" xfId="0" applyFont="1" applyFill="1" applyAlignment="1">
      <alignment horizontal="left" vertical="center"/>
    </xf>
    <xf numFmtId="0" fontId="8" fillId="0" borderId="0" xfId="0" applyNumberFormat="1" applyFont="1" applyFill="1" applyAlignment="1">
      <alignment horizontal="center" vertical="center"/>
    </xf>
    <xf numFmtId="2" fontId="4" fillId="0" borderId="2" xfId="1" applyNumberFormat="1" applyFont="1" applyFill="1" applyBorder="1" applyAlignment="1">
      <alignment horizontal="center" vertical="center" wrapText="1"/>
    </xf>
    <xf numFmtId="2" fontId="4" fillId="0" borderId="0" xfId="0" applyNumberFormat="1" applyFont="1" applyAlignment="1">
      <alignment horizontal="center" vertical="center"/>
    </xf>
    <xf numFmtId="14" fontId="5" fillId="0" borderId="0" xfId="1" applyNumberFormat="1" applyFont="1" applyFill="1" applyBorder="1" applyAlignment="1">
      <alignment horizontal="center" vertical="center" wrapText="1"/>
    </xf>
    <xf numFmtId="14" fontId="8" fillId="0" borderId="0" xfId="1" applyNumberFormat="1" applyFont="1" applyFill="1" applyBorder="1" applyAlignment="1">
      <alignment horizontal="center" vertical="center" wrapText="1"/>
    </xf>
    <xf numFmtId="0" fontId="8" fillId="0" borderId="10" xfId="0" applyFont="1" applyFill="1" applyBorder="1" applyAlignment="1">
      <alignment horizontal="center" vertical="center"/>
    </xf>
    <xf numFmtId="2" fontId="4" fillId="0" borderId="10" xfId="0" applyNumberFormat="1" applyFont="1" applyFill="1" applyBorder="1" applyAlignment="1">
      <alignment horizontal="center" vertical="center"/>
    </xf>
    <xf numFmtId="14" fontId="8" fillId="0" borderId="11" xfId="1" applyNumberFormat="1" applyFont="1" applyFill="1" applyBorder="1" applyAlignment="1">
      <alignment horizontal="center" vertical="center" wrapText="1"/>
    </xf>
    <xf numFmtId="0" fontId="8" fillId="0" borderId="0" xfId="0" applyFont="1" applyFill="1" applyBorder="1" applyAlignment="1">
      <alignment horizontal="center" vertical="center"/>
    </xf>
    <xf numFmtId="0" fontId="8" fillId="0" borderId="0" xfId="0" applyNumberFormat="1" applyFont="1" applyFill="1" applyBorder="1" applyAlignment="1">
      <alignment horizontal="center" vertical="center"/>
    </xf>
    <xf numFmtId="20" fontId="8" fillId="0" borderId="0" xfId="0" applyNumberFormat="1" applyFont="1" applyFill="1" applyBorder="1" applyAlignment="1">
      <alignment horizontal="center" vertical="center"/>
    </xf>
    <xf numFmtId="2" fontId="8" fillId="0" borderId="0" xfId="0" applyNumberFormat="1" applyFont="1" applyFill="1" applyBorder="1" applyAlignment="1">
      <alignment horizontal="center" vertical="center"/>
    </xf>
    <xf numFmtId="2" fontId="4" fillId="0" borderId="0" xfId="0" applyNumberFormat="1" applyFont="1" applyFill="1" applyBorder="1" applyAlignment="1">
      <alignment horizontal="center" vertical="center"/>
    </xf>
    <xf numFmtId="0" fontId="8" fillId="0" borderId="0" xfId="0" applyFont="1" applyFill="1" applyBorder="1" applyAlignment="1">
      <alignment horizontal="left" vertical="center"/>
    </xf>
    <xf numFmtId="2" fontId="8" fillId="0" borderId="0" xfId="1" applyNumberFormat="1" applyFont="1" applyFill="1" applyBorder="1" applyAlignment="1">
      <alignment horizontal="center" vertical="center" wrapText="1"/>
    </xf>
    <xf numFmtId="2" fontId="4" fillId="0" borderId="0" xfId="1" applyNumberFormat="1" applyFont="1" applyFill="1" applyBorder="1" applyAlignment="1">
      <alignment horizontal="center" vertical="center" wrapText="1"/>
    </xf>
    <xf numFmtId="2" fontId="8" fillId="0" borderId="2" xfId="2" applyNumberFormat="1" applyFont="1" applyFill="1" applyBorder="1" applyAlignment="1">
      <alignment horizontal="center"/>
    </xf>
    <xf numFmtId="14" fontId="8" fillId="0" borderId="12" xfId="1" applyNumberFormat="1" applyFont="1" applyFill="1" applyBorder="1" applyAlignment="1">
      <alignment horizontal="center" vertical="center" wrapText="1"/>
    </xf>
    <xf numFmtId="14" fontId="5" fillId="0" borderId="12" xfId="1" applyNumberFormat="1" applyFont="1" applyFill="1" applyBorder="1" applyAlignment="1">
      <alignment horizontal="center" vertical="center" wrapText="1"/>
    </xf>
    <xf numFmtId="0" fontId="8" fillId="0" borderId="12" xfId="0" applyFont="1" applyFill="1" applyBorder="1" applyAlignment="1">
      <alignment horizontal="center" vertical="center"/>
    </xf>
    <xf numFmtId="0" fontId="8" fillId="0" borderId="12" xfId="0" applyNumberFormat="1" applyFont="1" applyFill="1" applyBorder="1" applyAlignment="1">
      <alignment horizontal="center" vertical="center"/>
    </xf>
    <xf numFmtId="20" fontId="8" fillId="0" borderId="12" xfId="0" applyNumberFormat="1" applyFont="1" applyFill="1" applyBorder="1" applyAlignment="1">
      <alignment horizontal="center" vertical="center"/>
    </xf>
    <xf numFmtId="2" fontId="8" fillId="0" borderId="12" xfId="0" applyNumberFormat="1" applyFont="1" applyFill="1" applyBorder="1" applyAlignment="1">
      <alignment horizontal="center" vertical="center"/>
    </xf>
    <xf numFmtId="2" fontId="4" fillId="0" borderId="12" xfId="0" applyNumberFormat="1" applyFont="1" applyFill="1" applyBorder="1" applyAlignment="1">
      <alignment horizontal="center" vertical="center"/>
    </xf>
    <xf numFmtId="0" fontId="8" fillId="0" borderId="12" xfId="0" applyFont="1" applyFill="1" applyBorder="1" applyAlignment="1">
      <alignment horizontal="left" vertical="center"/>
    </xf>
    <xf numFmtId="0" fontId="8" fillId="0" borderId="12" xfId="1" applyFont="1" applyFill="1" applyBorder="1" applyAlignment="1">
      <alignment horizontal="center" vertical="center" wrapText="1"/>
    </xf>
    <xf numFmtId="0" fontId="8" fillId="0" borderId="12" xfId="1" applyFont="1" applyFill="1" applyBorder="1" applyAlignment="1">
      <alignment horizontal="center" vertical="center"/>
    </xf>
    <xf numFmtId="0" fontId="8" fillId="0" borderId="2" xfId="1" applyFont="1" applyFill="1" applyBorder="1" applyAlignment="1">
      <alignment horizontal="center" vertical="center"/>
    </xf>
    <xf numFmtId="14" fontId="8" fillId="0" borderId="13" xfId="1" applyNumberFormat="1" applyFont="1" applyFill="1" applyBorder="1" applyAlignment="1">
      <alignment horizontal="center" vertical="center" wrapText="1"/>
    </xf>
    <xf numFmtId="0" fontId="8" fillId="0" borderId="13" xfId="1" applyFont="1" applyFill="1" applyBorder="1" applyAlignment="1">
      <alignment horizontal="center" vertical="center" wrapText="1"/>
    </xf>
    <xf numFmtId="0" fontId="8" fillId="0" borderId="13" xfId="1" applyFont="1" applyFill="1" applyBorder="1" applyAlignment="1">
      <alignment horizontal="center" vertical="center"/>
    </xf>
    <xf numFmtId="20" fontId="8" fillId="0" borderId="2" xfId="1" applyNumberFormat="1" applyFont="1" applyFill="1" applyBorder="1" applyAlignment="1">
      <alignment horizontal="center" vertical="center" wrapText="1"/>
    </xf>
    <xf numFmtId="2" fontId="8" fillId="0" borderId="2" xfId="1" applyNumberFormat="1" applyFont="1" applyFill="1" applyBorder="1" applyAlignment="1">
      <alignment horizontal="center" vertical="center" wrapText="1"/>
    </xf>
    <xf numFmtId="20" fontId="8" fillId="0" borderId="13" xfId="1" applyNumberFormat="1" applyFont="1" applyFill="1" applyBorder="1" applyAlignment="1">
      <alignment horizontal="center" vertical="center" wrapText="1"/>
    </xf>
    <xf numFmtId="2" fontId="8" fillId="0" borderId="13" xfId="1" applyNumberFormat="1" applyFont="1" applyFill="1" applyBorder="1" applyAlignment="1">
      <alignment horizontal="center" vertical="center" wrapText="1"/>
    </xf>
    <xf numFmtId="2" fontId="4" fillId="0" borderId="13" xfId="1" applyNumberFormat="1" applyFont="1" applyFill="1" applyBorder="1" applyAlignment="1">
      <alignment horizontal="center" vertical="center" wrapText="1"/>
    </xf>
    <xf numFmtId="2" fontId="4" fillId="0" borderId="14" xfId="1" applyNumberFormat="1" applyFont="1" applyFill="1" applyBorder="1" applyAlignment="1">
      <alignment horizontal="center" vertical="center" wrapText="1"/>
    </xf>
    <xf numFmtId="14" fontId="8" fillId="0" borderId="12" xfId="0" applyNumberFormat="1" applyFont="1" applyFill="1" applyBorder="1" applyAlignment="1">
      <alignment horizontal="center" vertical="center"/>
    </xf>
    <xf numFmtId="2" fontId="5" fillId="0" borderId="13" xfId="1" applyNumberFormat="1" applyFont="1" applyFill="1" applyBorder="1" applyAlignment="1">
      <alignment horizontal="center" vertical="center" wrapText="1"/>
    </xf>
    <xf numFmtId="2" fontId="8" fillId="0" borderId="13" xfId="2" applyNumberFormat="1" applyFont="1" applyFill="1" applyBorder="1" applyAlignment="1">
      <alignment horizontal="center"/>
    </xf>
    <xf numFmtId="0" fontId="5" fillId="0" borderId="13" xfId="1" applyFont="1" applyFill="1" applyBorder="1" applyAlignment="1">
      <alignment horizontal="center" vertical="center" wrapText="1"/>
    </xf>
    <xf numFmtId="14" fontId="5" fillId="0" borderId="13" xfId="1" applyNumberFormat="1" applyFont="1" applyFill="1" applyBorder="1" applyAlignment="1">
      <alignment horizontal="center" vertical="center" wrapText="1"/>
    </xf>
    <xf numFmtId="0" fontId="4" fillId="0" borderId="12" xfId="0" applyFont="1" applyFill="1" applyBorder="1" applyAlignment="1">
      <alignment horizontal="center" vertical="center"/>
    </xf>
    <xf numFmtId="20" fontId="5" fillId="0" borderId="13" xfId="1" applyNumberFormat="1" applyFont="1" applyFill="1" applyBorder="1" applyAlignment="1">
      <alignment horizontal="center" vertical="center" wrapText="1"/>
    </xf>
    <xf numFmtId="0" fontId="5" fillId="0" borderId="13" xfId="1" applyFont="1" applyFill="1" applyBorder="1" applyAlignment="1">
      <alignment horizontal="center" vertical="center"/>
    </xf>
    <xf numFmtId="0" fontId="4" fillId="0" borderId="12" xfId="0" applyFont="1" applyFill="1" applyBorder="1" applyAlignment="1">
      <alignment horizontal="left" vertical="center"/>
    </xf>
    <xf numFmtId="0" fontId="8" fillId="0" borderId="14" xfId="1" applyFont="1" applyFill="1" applyBorder="1" applyAlignment="1">
      <alignment horizontal="center" vertical="center" wrapText="1"/>
    </xf>
    <xf numFmtId="0" fontId="5" fillId="0" borderId="2" xfId="1" applyFont="1" applyFill="1" applyBorder="1" applyAlignment="1">
      <alignment horizontal="center" vertical="center"/>
    </xf>
    <xf numFmtId="14" fontId="4" fillId="0" borderId="13" xfId="1" applyNumberFormat="1" applyFont="1" applyFill="1" applyBorder="1" applyAlignment="1">
      <alignment horizontal="center" vertical="center" wrapText="1"/>
    </xf>
    <xf numFmtId="0" fontId="4" fillId="0" borderId="14" xfId="1" applyFont="1" applyFill="1" applyBorder="1" applyAlignment="1">
      <alignment horizontal="center" vertical="center" wrapText="1"/>
    </xf>
    <xf numFmtId="0" fontId="4" fillId="0" borderId="12" xfId="1" applyFont="1" applyFill="1" applyBorder="1" applyAlignment="1">
      <alignment horizontal="center" vertical="center" wrapText="1"/>
    </xf>
    <xf numFmtId="0" fontId="5" fillId="0" borderId="10" xfId="1" applyFont="1" applyFill="1" applyBorder="1" applyAlignment="1">
      <alignment horizontal="center" vertical="center"/>
    </xf>
    <xf numFmtId="0" fontId="4" fillId="0" borderId="10" xfId="0" applyFont="1" applyFill="1" applyBorder="1" applyAlignment="1">
      <alignment horizontal="center" vertical="center"/>
    </xf>
    <xf numFmtId="2" fontId="5" fillId="0" borderId="10" xfId="1" applyNumberFormat="1" applyFont="1" applyFill="1" applyBorder="1" applyAlignment="1">
      <alignment horizontal="center" vertical="center"/>
    </xf>
    <xf numFmtId="2" fontId="8" fillId="0" borderId="10" xfId="1" applyNumberFormat="1" applyFont="1" applyFill="1" applyBorder="1" applyAlignment="1">
      <alignment horizontal="center" vertical="center"/>
    </xf>
    <xf numFmtId="2" fontId="4" fillId="0" borderId="10" xfId="1" applyNumberFormat="1" applyFont="1" applyFill="1" applyBorder="1" applyAlignment="1">
      <alignment horizontal="center" vertical="center"/>
    </xf>
    <xf numFmtId="0" fontId="4" fillId="0" borderId="10" xfId="0" applyFont="1" applyFill="1" applyBorder="1" applyAlignment="1">
      <alignment horizontal="left" vertical="center"/>
    </xf>
    <xf numFmtId="0" fontId="7" fillId="0" borderId="0" xfId="0" applyFont="1" applyFill="1" applyAlignment="1">
      <alignment horizontal="left" vertical="top"/>
    </xf>
    <xf numFmtId="0" fontId="7" fillId="0" borderId="0" xfId="0" applyFont="1" applyFill="1" applyAlignment="1">
      <alignment vertical="top"/>
    </xf>
    <xf numFmtId="14" fontId="14" fillId="0" borderId="0" xfId="1" applyNumberFormat="1" applyFont="1" applyFill="1" applyBorder="1" applyAlignment="1">
      <alignment horizontal="center" vertical="center" wrapText="1"/>
    </xf>
    <xf numFmtId="0" fontId="14" fillId="0" borderId="0" xfId="0" applyFont="1" applyFill="1" applyAlignment="1">
      <alignment horizontal="center" vertical="center"/>
    </xf>
    <xf numFmtId="0" fontId="14" fillId="0" borderId="0" xfId="0" applyNumberFormat="1" applyFont="1" applyFill="1" applyAlignment="1">
      <alignment horizontal="center" vertical="center"/>
    </xf>
    <xf numFmtId="20" fontId="14" fillId="0" borderId="0" xfId="0" applyNumberFormat="1" applyFont="1" applyFill="1" applyAlignment="1">
      <alignment horizontal="center" vertical="center"/>
    </xf>
    <xf numFmtId="0" fontId="14" fillId="0" borderId="0" xfId="0" applyFont="1" applyFill="1" applyAlignment="1">
      <alignment horizontal="left" vertical="center"/>
    </xf>
    <xf numFmtId="0" fontId="14" fillId="0" borderId="0" xfId="0" applyFont="1" applyFill="1" applyBorder="1" applyAlignment="1">
      <alignment horizontal="center" vertical="center"/>
    </xf>
    <xf numFmtId="0" fontId="14" fillId="0" borderId="0" xfId="0" applyNumberFormat="1" applyFont="1" applyFill="1" applyBorder="1" applyAlignment="1">
      <alignment horizontal="center" vertical="center"/>
    </xf>
    <xf numFmtId="20" fontId="14" fillId="0" borderId="0" xfId="0" applyNumberFormat="1" applyFont="1" applyFill="1" applyBorder="1" applyAlignment="1">
      <alignment horizontal="center" vertical="center"/>
    </xf>
    <xf numFmtId="2" fontId="14" fillId="0" borderId="0" xfId="0" applyNumberFormat="1" applyFont="1" applyFill="1" applyBorder="1" applyAlignment="1">
      <alignment horizontal="center" vertical="center"/>
    </xf>
    <xf numFmtId="0" fontId="14" fillId="0" borderId="0" xfId="1" applyFont="1" applyFill="1" applyBorder="1" applyAlignment="1">
      <alignment horizontal="center" vertical="center" wrapText="1"/>
    </xf>
    <xf numFmtId="0" fontId="14" fillId="0" borderId="0" xfId="1" applyFont="1" applyFill="1" applyBorder="1" applyAlignment="1">
      <alignment horizontal="center" vertical="center"/>
    </xf>
    <xf numFmtId="0" fontId="14" fillId="0" borderId="0" xfId="0" applyFont="1" applyFill="1" applyBorder="1" applyAlignment="1">
      <alignment horizontal="left" vertical="center"/>
    </xf>
    <xf numFmtId="14" fontId="14" fillId="0" borderId="1" xfId="1" applyNumberFormat="1" applyFont="1" applyFill="1" applyBorder="1" applyAlignment="1">
      <alignment horizontal="center" vertical="center" wrapText="1"/>
    </xf>
    <xf numFmtId="0" fontId="14" fillId="0" borderId="1" xfId="1" applyFont="1" applyFill="1" applyBorder="1" applyAlignment="1">
      <alignment horizontal="center" vertical="center" wrapText="1"/>
    </xf>
    <xf numFmtId="0" fontId="14" fillId="0" borderId="1" xfId="1" applyFont="1" applyFill="1" applyBorder="1" applyAlignment="1">
      <alignment horizontal="center" vertical="center"/>
    </xf>
    <xf numFmtId="2" fontId="14" fillId="0" borderId="1" xfId="1" applyNumberFormat="1" applyFont="1" applyFill="1" applyBorder="1" applyAlignment="1">
      <alignment horizontal="center" vertical="center" wrapText="1"/>
    </xf>
    <xf numFmtId="0" fontId="14" fillId="0" borderId="0" xfId="1" applyFont="1" applyFill="1" applyAlignment="1">
      <alignment horizontal="center" vertical="center"/>
    </xf>
    <xf numFmtId="20" fontId="14" fillId="0" borderId="1" xfId="1" applyNumberFormat="1" applyFont="1" applyFill="1" applyBorder="1" applyAlignment="1">
      <alignment horizontal="center" vertical="center" wrapText="1"/>
    </xf>
    <xf numFmtId="14" fontId="14" fillId="0" borderId="13" xfId="1" applyNumberFormat="1" applyFont="1" applyFill="1" applyBorder="1" applyAlignment="1">
      <alignment horizontal="center" vertical="center" wrapText="1"/>
    </xf>
    <xf numFmtId="14" fontId="14" fillId="0" borderId="12" xfId="1" applyNumberFormat="1" applyFont="1" applyFill="1" applyBorder="1" applyAlignment="1">
      <alignment horizontal="center" vertical="center" wrapText="1"/>
    </xf>
    <xf numFmtId="0" fontId="14" fillId="0" borderId="12" xfId="0" applyFont="1" applyFill="1" applyBorder="1" applyAlignment="1">
      <alignment horizontal="center" vertical="center"/>
    </xf>
    <xf numFmtId="0" fontId="14" fillId="0" borderId="12" xfId="0" applyNumberFormat="1" applyFont="1" applyFill="1" applyBorder="1" applyAlignment="1">
      <alignment horizontal="center" vertical="center"/>
    </xf>
    <xf numFmtId="20" fontId="14" fillId="0" borderId="13" xfId="1" applyNumberFormat="1" applyFont="1" applyFill="1" applyBorder="1" applyAlignment="1">
      <alignment horizontal="center" vertical="center" wrapText="1"/>
    </xf>
    <xf numFmtId="2" fontId="14" fillId="0" borderId="13" xfId="1" applyNumberFormat="1" applyFont="1" applyFill="1" applyBorder="1" applyAlignment="1">
      <alignment horizontal="center" vertical="center" wrapText="1"/>
    </xf>
    <xf numFmtId="0" fontId="14" fillId="0" borderId="13" xfId="1" applyFont="1" applyFill="1" applyBorder="1" applyAlignment="1">
      <alignment horizontal="center" vertical="center" wrapText="1"/>
    </xf>
    <xf numFmtId="0" fontId="14" fillId="0" borderId="13" xfId="1" applyFont="1" applyFill="1" applyBorder="1" applyAlignment="1">
      <alignment horizontal="center" vertical="center"/>
    </xf>
    <xf numFmtId="0" fontId="14" fillId="0" borderId="12" xfId="0" applyFont="1" applyFill="1" applyBorder="1" applyAlignment="1">
      <alignment horizontal="left" vertical="center"/>
    </xf>
    <xf numFmtId="2" fontId="14" fillId="0" borderId="14" xfId="1" applyNumberFormat="1" applyFont="1" applyFill="1" applyBorder="1" applyAlignment="1">
      <alignment horizontal="center" vertical="center" wrapText="1"/>
    </xf>
    <xf numFmtId="0" fontId="14" fillId="0" borderId="12" xfId="1" applyFont="1" applyFill="1" applyBorder="1" applyAlignment="1">
      <alignment horizontal="center" vertical="center"/>
    </xf>
    <xf numFmtId="2" fontId="14" fillId="0" borderId="2" xfId="1" applyNumberFormat="1" applyFont="1" applyFill="1" applyBorder="1" applyAlignment="1">
      <alignment horizontal="center" vertical="center" wrapText="1"/>
    </xf>
    <xf numFmtId="14" fontId="14" fillId="0" borderId="0" xfId="0" applyNumberFormat="1" applyFont="1" applyFill="1" applyAlignment="1">
      <alignment horizontal="center" vertical="center"/>
    </xf>
    <xf numFmtId="14" fontId="14" fillId="0" borderId="2" xfId="1" applyNumberFormat="1" applyFont="1" applyFill="1" applyBorder="1" applyAlignment="1">
      <alignment horizontal="center" vertical="center" wrapText="1"/>
    </xf>
    <xf numFmtId="20" fontId="14" fillId="0" borderId="2" xfId="1" applyNumberFormat="1" applyFont="1" applyFill="1" applyBorder="1" applyAlignment="1">
      <alignment horizontal="center" vertical="center" wrapText="1"/>
    </xf>
    <xf numFmtId="0" fontId="14" fillId="0" borderId="2" xfId="1" applyFont="1" applyFill="1" applyBorder="1" applyAlignment="1">
      <alignment horizontal="center" vertical="center" wrapText="1"/>
    </xf>
    <xf numFmtId="0" fontId="14" fillId="0" borderId="2" xfId="1" applyFont="1" applyFill="1" applyBorder="1" applyAlignment="1">
      <alignment horizontal="center" vertical="center"/>
    </xf>
    <xf numFmtId="2" fontId="14" fillId="0" borderId="1" xfId="2" applyNumberFormat="1" applyFont="1" applyFill="1" applyBorder="1" applyAlignment="1">
      <alignment horizontal="center"/>
    </xf>
    <xf numFmtId="2" fontId="14" fillId="0" borderId="2" xfId="2" applyNumberFormat="1" applyFont="1" applyFill="1" applyBorder="1" applyAlignment="1">
      <alignment horizontal="center"/>
    </xf>
    <xf numFmtId="14" fontId="14" fillId="0" borderId="0" xfId="0" applyNumberFormat="1" applyFont="1" applyFill="1" applyAlignment="1">
      <alignment horizontal="center" vertical="center" wrapText="1"/>
    </xf>
    <xf numFmtId="0" fontId="14" fillId="0" borderId="0" xfId="0" applyFont="1" applyFill="1" applyAlignment="1">
      <alignment horizontal="center" vertical="center" wrapText="1"/>
    </xf>
    <xf numFmtId="0" fontId="14" fillId="0" borderId="0" xfId="0" applyNumberFormat="1" applyFont="1" applyFill="1" applyAlignment="1">
      <alignment horizontal="center" vertical="center" wrapText="1"/>
    </xf>
    <xf numFmtId="20" fontId="14" fillId="0" borderId="0" xfId="0" applyNumberFormat="1" applyFont="1" applyFill="1" applyAlignment="1">
      <alignment horizontal="center" vertical="center" wrapText="1"/>
    </xf>
    <xf numFmtId="2" fontId="14" fillId="0" borderId="0" xfId="0" applyNumberFormat="1" applyFont="1" applyFill="1" applyAlignment="1">
      <alignment horizontal="center" vertical="center" wrapText="1"/>
    </xf>
    <xf numFmtId="0" fontId="14" fillId="0" borderId="0" xfId="0" applyFont="1" applyFill="1" applyAlignment="1">
      <alignment horizontal="left" vertical="center" wrapText="1"/>
    </xf>
    <xf numFmtId="14" fontId="14" fillId="0" borderId="12" xfId="0" applyNumberFormat="1" applyFont="1" applyFill="1" applyBorder="1" applyAlignment="1">
      <alignment horizontal="center" vertical="center"/>
    </xf>
    <xf numFmtId="20" fontId="14" fillId="0" borderId="12" xfId="0" applyNumberFormat="1" applyFont="1" applyFill="1" applyBorder="1" applyAlignment="1">
      <alignment horizontal="center" vertical="center"/>
    </xf>
    <xf numFmtId="2" fontId="14" fillId="0" borderId="12" xfId="0" applyNumberFormat="1" applyFont="1" applyFill="1" applyBorder="1" applyAlignment="1">
      <alignment horizontal="center" vertical="center"/>
    </xf>
    <xf numFmtId="14" fontId="8" fillId="0" borderId="0" xfId="0" applyNumberFormat="1" applyFont="1" applyFill="1" applyBorder="1" applyAlignment="1">
      <alignment horizontal="center" vertical="center"/>
    </xf>
    <xf numFmtId="14" fontId="14" fillId="0" borderId="0" xfId="0" applyNumberFormat="1" applyFont="1" applyFill="1" applyBorder="1" applyAlignment="1">
      <alignment horizontal="center" vertical="center"/>
    </xf>
    <xf numFmtId="0" fontId="6" fillId="0" borderId="0" xfId="0" applyNumberFormat="1" applyFont="1" applyFill="1" applyAlignment="1">
      <alignment horizontal="center" vertical="center"/>
    </xf>
    <xf numFmtId="2" fontId="14" fillId="0" borderId="0" xfId="0" applyNumberFormat="1" applyFont="1" applyFill="1" applyAlignment="1">
      <alignment horizontal="center" vertical="center"/>
    </xf>
    <xf numFmtId="14" fontId="15" fillId="0" borderId="0" xfId="0" applyNumberFormat="1" applyFont="1" applyFill="1" applyAlignment="1">
      <alignment horizontal="center" vertical="center"/>
    </xf>
    <xf numFmtId="0" fontId="15" fillId="0" borderId="0" xfId="0" applyFont="1" applyFill="1" applyAlignment="1">
      <alignment horizontal="center" vertical="center"/>
    </xf>
    <xf numFmtId="0" fontId="15" fillId="0" borderId="0" xfId="0" applyFont="1" applyFill="1" applyAlignment="1">
      <alignment horizontal="left" vertical="center"/>
    </xf>
    <xf numFmtId="0" fontId="15" fillId="0" borderId="0" xfId="0" applyNumberFormat="1" applyFont="1" applyFill="1" applyAlignment="1">
      <alignment horizontal="center" vertical="center"/>
    </xf>
    <xf numFmtId="20" fontId="15" fillId="0" borderId="0" xfId="0" applyNumberFormat="1" applyFont="1" applyFill="1" applyAlignment="1">
      <alignment horizontal="center" vertical="center"/>
    </xf>
    <xf numFmtId="2" fontId="15" fillId="0" borderId="0" xfId="0" applyNumberFormat="1" applyFont="1" applyFill="1" applyAlignment="1">
      <alignment horizontal="center" vertical="center"/>
    </xf>
    <xf numFmtId="14" fontId="8" fillId="5" borderId="0" xfId="0" applyNumberFormat="1" applyFont="1" applyFill="1" applyAlignment="1">
      <alignment horizontal="center" vertical="center"/>
    </xf>
    <xf numFmtId="0" fontId="8" fillId="5" borderId="0" xfId="0" applyFont="1" applyFill="1" applyAlignment="1">
      <alignment horizontal="center" vertical="center"/>
    </xf>
    <xf numFmtId="0" fontId="8" fillId="5" borderId="0" xfId="0" applyNumberFormat="1" applyFont="1" applyFill="1" applyAlignment="1">
      <alignment horizontal="center" vertical="center"/>
    </xf>
    <xf numFmtId="20" fontId="8" fillId="5" borderId="0" xfId="0" applyNumberFormat="1" applyFont="1" applyFill="1" applyAlignment="1">
      <alignment horizontal="center" vertical="center"/>
    </xf>
    <xf numFmtId="2" fontId="8" fillId="5" borderId="0" xfId="0" applyNumberFormat="1" applyFont="1" applyFill="1" applyAlignment="1">
      <alignment horizontal="center" vertical="center"/>
    </xf>
    <xf numFmtId="2" fontId="4" fillId="5" borderId="0" xfId="0" applyNumberFormat="1" applyFont="1" applyFill="1" applyAlignment="1">
      <alignment horizontal="center" vertical="center"/>
    </xf>
    <xf numFmtId="0" fontId="8" fillId="5" borderId="0" xfId="0" applyFont="1" applyFill="1" applyAlignment="1">
      <alignment horizontal="left" vertical="center"/>
    </xf>
    <xf numFmtId="0" fontId="6" fillId="5" borderId="0" xfId="0" applyFont="1" applyFill="1" applyAlignment="1">
      <alignment horizontal="center" vertical="center"/>
    </xf>
    <xf numFmtId="2" fontId="6" fillId="5" borderId="0" xfId="0" applyNumberFormat="1" applyFont="1" applyFill="1" applyAlignment="1">
      <alignment horizontal="center" vertical="center"/>
    </xf>
    <xf numFmtId="0" fontId="6" fillId="5" borderId="0" xfId="0" applyFont="1" applyFill="1" applyAlignment="1">
      <alignment horizontal="left" vertical="center"/>
    </xf>
    <xf numFmtId="0" fontId="8" fillId="5" borderId="0" xfId="0" applyFont="1" applyFill="1" applyBorder="1" applyAlignment="1">
      <alignment horizontal="center" vertical="center"/>
    </xf>
    <xf numFmtId="0" fontId="8" fillId="6" borderId="0" xfId="0" applyFont="1" applyFill="1" applyAlignment="1">
      <alignment horizontal="center" vertical="center"/>
    </xf>
    <xf numFmtId="14" fontId="8" fillId="5" borderId="12" xfId="0" applyNumberFormat="1" applyFont="1" applyFill="1" applyBorder="1" applyAlignment="1">
      <alignment horizontal="center" vertical="center"/>
    </xf>
    <xf numFmtId="0" fontId="8" fillId="5" borderId="12" xfId="0" applyFont="1" applyFill="1" applyBorder="1" applyAlignment="1">
      <alignment horizontal="center" vertical="center"/>
    </xf>
    <xf numFmtId="0" fontId="8" fillId="5" borderId="12" xfId="0" applyNumberFormat="1" applyFont="1" applyFill="1" applyBorder="1" applyAlignment="1">
      <alignment horizontal="center" vertical="center"/>
    </xf>
    <xf numFmtId="20" fontId="8" fillId="5" borderId="12" xfId="0" applyNumberFormat="1" applyFont="1" applyFill="1" applyBorder="1" applyAlignment="1">
      <alignment horizontal="center" vertical="center"/>
    </xf>
    <xf numFmtId="2" fontId="8" fillId="5" borderId="12" xfId="0" applyNumberFormat="1" applyFont="1" applyFill="1" applyBorder="1" applyAlignment="1">
      <alignment horizontal="center" vertical="center"/>
    </xf>
    <xf numFmtId="2" fontId="4" fillId="5" borderId="12" xfId="0" applyNumberFormat="1" applyFont="1" applyFill="1" applyBorder="1" applyAlignment="1">
      <alignment horizontal="center" vertical="center"/>
    </xf>
    <xf numFmtId="0" fontId="8" fillId="5" borderId="12" xfId="0" applyFont="1" applyFill="1" applyBorder="1" applyAlignment="1">
      <alignment horizontal="left" vertical="center"/>
    </xf>
    <xf numFmtId="0" fontId="6" fillId="0" borderId="0" xfId="0" applyNumberFormat="1" applyFont="1" applyFill="1" applyBorder="1" applyAlignment="1">
      <alignment horizontal="center" vertical="center"/>
    </xf>
    <xf numFmtId="0" fontId="6" fillId="5" borderId="0" xfId="0" applyNumberFormat="1" applyFont="1" applyFill="1" applyAlignment="1">
      <alignment horizontal="center" vertical="center"/>
    </xf>
    <xf numFmtId="0" fontId="6" fillId="0" borderId="13" xfId="1" applyFont="1" applyFill="1" applyBorder="1" applyAlignment="1">
      <alignment horizontal="center" vertical="center"/>
    </xf>
    <xf numFmtId="0" fontId="4" fillId="7" borderId="0" xfId="1" applyFont="1" applyFill="1" applyBorder="1" applyAlignment="1">
      <alignment horizontal="center" vertical="center"/>
    </xf>
    <xf numFmtId="0" fontId="4" fillId="7" borderId="0" xfId="0" applyFont="1" applyFill="1" applyAlignment="1">
      <alignment horizontal="center" vertical="center"/>
    </xf>
    <xf numFmtId="0" fontId="8" fillId="7" borderId="0" xfId="1" applyFont="1" applyFill="1" applyBorder="1" applyAlignment="1">
      <alignment horizontal="center" vertical="center"/>
    </xf>
    <xf numFmtId="0" fontId="4" fillId="7" borderId="0" xfId="0" applyFont="1" applyFill="1" applyAlignment="1">
      <alignment horizontal="left" vertical="center"/>
    </xf>
    <xf numFmtId="0" fontId="4" fillId="0" borderId="0" xfId="0" applyFont="1" applyFill="1" applyBorder="1" applyAlignment="1">
      <alignment horizontal="center" vertical="center"/>
    </xf>
    <xf numFmtId="20" fontId="4" fillId="0" borderId="2" xfId="1" applyNumberFormat="1" applyFont="1" applyFill="1" applyBorder="1" applyAlignment="1">
      <alignment horizontal="center" vertical="center" wrapText="1"/>
    </xf>
    <xf numFmtId="0" fontId="4" fillId="4" borderId="2" xfId="1" applyFont="1" applyFill="1" applyBorder="1" applyAlignment="1">
      <alignment horizontal="center" vertical="center" wrapText="1"/>
    </xf>
    <xf numFmtId="2" fontId="5" fillId="0" borderId="1" xfId="2" applyNumberFormat="1" applyFont="1" applyFill="1" applyBorder="1" applyAlignment="1">
      <alignment horizontal="center"/>
    </xf>
    <xf numFmtId="0" fontId="5" fillId="0" borderId="1" xfId="2" applyFont="1" applyFill="1" applyBorder="1" applyAlignment="1">
      <alignment horizontal="center"/>
    </xf>
    <xf numFmtId="0" fontId="4" fillId="0" borderId="0" xfId="1" applyFont="1" applyFill="1" applyBorder="1" applyAlignment="1">
      <alignment horizontal="center" vertical="center" wrapText="1"/>
    </xf>
    <xf numFmtId="0" fontId="14" fillId="4" borderId="1" xfId="1" applyFont="1" applyFill="1" applyBorder="1" applyAlignment="1">
      <alignment horizontal="center" vertical="center" wrapText="1"/>
    </xf>
    <xf numFmtId="20" fontId="4" fillId="0" borderId="0" xfId="1" applyNumberFormat="1" applyFont="1" applyFill="1" applyBorder="1" applyAlignment="1">
      <alignment horizontal="center" vertical="center" wrapText="1"/>
    </xf>
    <xf numFmtId="0" fontId="4" fillId="4" borderId="1" xfId="1" applyFont="1" applyFill="1" applyBorder="1" applyAlignment="1">
      <alignment horizontal="center" vertical="center" wrapText="1"/>
    </xf>
    <xf numFmtId="20" fontId="4" fillId="0" borderId="1" xfId="1" applyNumberFormat="1" applyFont="1" applyFill="1" applyBorder="1" applyAlignment="1">
      <alignment horizontal="center" vertical="center" wrapText="1"/>
    </xf>
    <xf numFmtId="0" fontId="4" fillId="0" borderId="0" xfId="1" applyFont="1" applyFill="1" applyAlignment="1">
      <alignment horizontal="center" vertical="center"/>
    </xf>
    <xf numFmtId="0" fontId="4" fillId="4" borderId="0" xfId="0" applyFont="1" applyFill="1" applyAlignment="1">
      <alignment horizontal="center" vertical="center"/>
    </xf>
    <xf numFmtId="165" fontId="4" fillId="0" borderId="2" xfId="1" applyNumberFormat="1" applyFont="1" applyFill="1" applyBorder="1" applyAlignment="1">
      <alignment horizontal="center" vertical="center" wrapText="1"/>
    </xf>
    <xf numFmtId="165" fontId="5" fillId="0" borderId="1" xfId="2" applyNumberFormat="1" applyFont="1" applyFill="1" applyBorder="1" applyAlignment="1">
      <alignment horizontal="center"/>
    </xf>
    <xf numFmtId="0" fontId="8" fillId="4" borderId="0" xfId="0" applyFont="1" applyFill="1" applyAlignment="1">
      <alignment horizontal="center" vertical="center"/>
    </xf>
    <xf numFmtId="165" fontId="8" fillId="0" borderId="2" xfId="1" applyNumberFormat="1" applyFont="1" applyFill="1" applyBorder="1" applyAlignment="1">
      <alignment horizontal="center" vertical="center" wrapText="1"/>
    </xf>
    <xf numFmtId="165" fontId="8" fillId="0" borderId="1" xfId="2" applyNumberFormat="1" applyFont="1" applyFill="1" applyBorder="1" applyAlignment="1">
      <alignment horizontal="center"/>
    </xf>
    <xf numFmtId="165" fontId="14" fillId="0" borderId="1" xfId="1" applyNumberFormat="1" applyFont="1" applyFill="1" applyBorder="1" applyAlignment="1">
      <alignment horizontal="center" vertical="center" wrapText="1"/>
    </xf>
    <xf numFmtId="0" fontId="8" fillId="4" borderId="1" xfId="1" applyFont="1" applyFill="1" applyBorder="1" applyAlignment="1">
      <alignment horizontal="center" vertical="center" wrapText="1"/>
    </xf>
    <xf numFmtId="165" fontId="8" fillId="0" borderId="1" xfId="1" applyNumberFormat="1" applyFont="1" applyFill="1" applyBorder="1" applyAlignment="1">
      <alignment horizontal="center" vertical="center" wrapText="1"/>
    </xf>
    <xf numFmtId="14" fontId="4" fillId="0" borderId="15" xfId="1" applyNumberFormat="1" applyFont="1" applyFill="1" applyBorder="1" applyAlignment="1">
      <alignment horizontal="center" vertical="center" wrapText="1"/>
    </xf>
    <xf numFmtId="20" fontId="4" fillId="0" borderId="11" xfId="1" applyNumberFormat="1" applyFont="1" applyFill="1" applyBorder="1" applyAlignment="1">
      <alignment horizontal="center" vertical="center" wrapText="1"/>
    </xf>
    <xf numFmtId="0" fontId="4" fillId="0" borderId="11" xfId="1" applyFont="1" applyFill="1" applyBorder="1" applyAlignment="1">
      <alignment horizontal="center" vertical="center" wrapText="1"/>
    </xf>
    <xf numFmtId="0" fontId="4" fillId="4" borderId="11" xfId="1" applyFont="1" applyFill="1" applyBorder="1" applyAlignment="1">
      <alignment horizontal="center" vertical="center" wrapText="1"/>
    </xf>
    <xf numFmtId="0" fontId="4" fillId="0" borderId="15" xfId="1" applyFont="1" applyFill="1" applyBorder="1" applyAlignment="1">
      <alignment horizontal="center" vertical="center" wrapText="1"/>
    </xf>
    <xf numFmtId="165" fontId="4" fillId="0" borderId="15" xfId="1" applyNumberFormat="1" applyFont="1" applyFill="1" applyBorder="1" applyAlignment="1">
      <alignment horizontal="center" vertical="center" wrapText="1"/>
    </xf>
    <xf numFmtId="2" fontId="5" fillId="0" borderId="11" xfId="2" applyNumberFormat="1" applyFont="1" applyFill="1" applyBorder="1" applyAlignment="1">
      <alignment horizontal="center"/>
    </xf>
    <xf numFmtId="165" fontId="5" fillId="0" borderId="11" xfId="2" applyNumberFormat="1" applyFont="1" applyFill="1" applyBorder="1" applyAlignment="1">
      <alignment horizontal="center"/>
    </xf>
    <xf numFmtId="14" fontId="4" fillId="0" borderId="16" xfId="1" applyNumberFormat="1" applyFont="1" applyFill="1" applyBorder="1" applyAlignment="1">
      <alignment horizontal="center" vertical="center" wrapText="1"/>
    </xf>
    <xf numFmtId="0" fontId="4" fillId="0" borderId="17" xfId="0" applyFont="1" applyFill="1" applyBorder="1" applyAlignment="1">
      <alignment horizontal="center" vertical="center"/>
    </xf>
    <xf numFmtId="20" fontId="4" fillId="0" borderId="16" xfId="1" applyNumberFormat="1" applyFont="1" applyFill="1" applyBorder="1" applyAlignment="1">
      <alignment horizontal="center" vertical="center" wrapText="1"/>
    </xf>
    <xf numFmtId="0" fontId="4" fillId="0" borderId="16" xfId="1" applyFont="1" applyFill="1" applyBorder="1" applyAlignment="1">
      <alignment horizontal="center" vertical="center" wrapText="1"/>
    </xf>
    <xf numFmtId="0" fontId="4" fillId="4" borderId="16" xfId="1" applyFont="1" applyFill="1" applyBorder="1" applyAlignment="1">
      <alignment horizontal="center" vertical="center" wrapText="1"/>
    </xf>
    <xf numFmtId="165" fontId="4" fillId="0" borderId="16" xfId="1" applyNumberFormat="1" applyFont="1" applyFill="1" applyBorder="1" applyAlignment="1">
      <alignment horizontal="center" vertical="center" wrapText="1"/>
    </xf>
    <xf numFmtId="2" fontId="5" fillId="0" borderId="16" xfId="2" applyNumberFormat="1" applyFont="1" applyFill="1" applyBorder="1" applyAlignment="1">
      <alignment horizontal="center"/>
    </xf>
    <xf numFmtId="165" fontId="5" fillId="0" borderId="16" xfId="2" applyNumberFormat="1" applyFont="1" applyFill="1" applyBorder="1" applyAlignment="1">
      <alignment horizontal="center"/>
    </xf>
    <xf numFmtId="0" fontId="4" fillId="0" borderId="17" xfId="1" applyFont="1" applyFill="1" applyBorder="1" applyAlignment="1">
      <alignment horizontal="center" vertical="center" wrapText="1"/>
    </xf>
    <xf numFmtId="0" fontId="4" fillId="0" borderId="17" xfId="0" applyFont="1" applyFill="1" applyBorder="1" applyAlignment="1">
      <alignment horizontal="left" vertical="center"/>
    </xf>
    <xf numFmtId="0" fontId="4" fillId="0" borderId="17" xfId="1" applyFont="1" applyFill="1" applyBorder="1" applyAlignment="1">
      <alignment horizontal="center" vertical="center"/>
    </xf>
    <xf numFmtId="0" fontId="6" fillId="0" borderId="0" xfId="1" applyFont="1" applyFill="1" applyBorder="1" applyAlignment="1">
      <alignment horizontal="center" vertical="center"/>
    </xf>
    <xf numFmtId="0" fontId="6" fillId="0" borderId="0" xfId="1" applyFont="1" applyFill="1" applyBorder="1" applyAlignment="1">
      <alignment horizontal="center" vertical="center" wrapText="1"/>
    </xf>
    <xf numFmtId="14" fontId="14" fillId="0" borderId="11" xfId="1" applyNumberFormat="1" applyFont="1" applyFill="1" applyBorder="1" applyAlignment="1">
      <alignment horizontal="center" vertical="center" wrapText="1"/>
    </xf>
    <xf numFmtId="20" fontId="14" fillId="0" borderId="11" xfId="1" applyNumberFormat="1" applyFont="1" applyFill="1" applyBorder="1" applyAlignment="1">
      <alignment horizontal="center" vertical="center" wrapText="1"/>
    </xf>
    <xf numFmtId="0" fontId="14" fillId="0" borderId="11" xfId="1" applyFont="1" applyFill="1" applyBorder="1" applyAlignment="1">
      <alignment horizontal="center" vertical="center" wrapText="1"/>
    </xf>
    <xf numFmtId="0" fontId="14" fillId="4" borderId="11" xfId="1" applyFont="1" applyFill="1" applyBorder="1" applyAlignment="1">
      <alignment horizontal="center" vertical="center" wrapText="1"/>
    </xf>
    <xf numFmtId="165" fontId="14" fillId="0" borderId="11" xfId="1" applyNumberFormat="1" applyFont="1" applyFill="1" applyBorder="1" applyAlignment="1">
      <alignment horizontal="center" vertical="center" wrapText="1"/>
    </xf>
    <xf numFmtId="2" fontId="14" fillId="0" borderId="11" xfId="1" applyNumberFormat="1" applyFont="1" applyFill="1" applyBorder="1" applyAlignment="1">
      <alignment horizontal="center" vertical="center" wrapText="1"/>
    </xf>
    <xf numFmtId="0" fontId="4" fillId="0" borderId="11" xfId="1" applyFont="1" applyFill="1" applyBorder="1" applyAlignment="1">
      <alignment horizontal="center" vertical="center"/>
    </xf>
    <xf numFmtId="0" fontId="4" fillId="0" borderId="18" xfId="1" applyFont="1" applyFill="1" applyBorder="1" applyAlignment="1">
      <alignment horizontal="center" vertical="center" wrapText="1"/>
    </xf>
    <xf numFmtId="0" fontId="14" fillId="0" borderId="18" xfId="1" applyFont="1" applyFill="1" applyBorder="1" applyAlignment="1">
      <alignment horizontal="center" vertical="center" wrapText="1"/>
    </xf>
    <xf numFmtId="0" fontId="8" fillId="0" borderId="0" xfId="0" applyFont="1" applyFill="1" applyBorder="1" applyAlignment="1">
      <alignment horizontal="left" vertical="center" wrapText="1"/>
    </xf>
    <xf numFmtId="0" fontId="8" fillId="0" borderId="18" xfId="1" applyFont="1" applyFill="1" applyBorder="1" applyAlignment="1">
      <alignment horizontal="center" vertical="center" wrapText="1"/>
    </xf>
    <xf numFmtId="14" fontId="14" fillId="0" borderId="5" xfId="1" applyNumberFormat="1" applyFont="1" applyFill="1" applyBorder="1" applyAlignment="1">
      <alignment horizontal="center" vertical="center" wrapText="1"/>
    </xf>
    <xf numFmtId="0" fontId="14" fillId="0" borderId="6" xfId="0" applyFont="1" applyFill="1" applyBorder="1" applyAlignment="1">
      <alignment horizontal="center" vertical="center"/>
    </xf>
    <xf numFmtId="20" fontId="14" fillId="0" borderId="5" xfId="1" applyNumberFormat="1" applyFont="1" applyFill="1" applyBorder="1" applyAlignment="1">
      <alignment horizontal="center" vertical="center" wrapText="1"/>
    </xf>
    <xf numFmtId="0" fontId="14" fillId="0" borderId="5" xfId="1" applyFont="1" applyFill="1" applyBorder="1" applyAlignment="1">
      <alignment horizontal="center" vertical="center" wrapText="1"/>
    </xf>
    <xf numFmtId="0" fontId="14" fillId="4" borderId="5" xfId="1" applyFont="1" applyFill="1" applyBorder="1" applyAlignment="1">
      <alignment horizontal="center" vertical="center" wrapText="1"/>
    </xf>
    <xf numFmtId="0" fontId="14" fillId="0" borderId="19" xfId="1" applyFont="1" applyFill="1" applyBorder="1" applyAlignment="1">
      <alignment horizontal="center" vertical="center" wrapText="1"/>
    </xf>
    <xf numFmtId="0" fontId="14" fillId="0" borderId="6" xfId="1" applyFont="1" applyFill="1" applyBorder="1" applyAlignment="1">
      <alignment horizontal="center" vertical="center" wrapText="1"/>
    </xf>
    <xf numFmtId="0" fontId="14" fillId="0" borderId="6" xfId="1" applyFont="1" applyFill="1" applyBorder="1" applyAlignment="1">
      <alignment horizontal="center" vertical="center"/>
    </xf>
    <xf numFmtId="0" fontId="14" fillId="0" borderId="6" xfId="0" applyFont="1" applyFill="1" applyBorder="1" applyAlignment="1">
      <alignment horizontal="left" vertical="center"/>
    </xf>
    <xf numFmtId="164" fontId="4" fillId="0" borderId="0" xfId="0" applyNumberFormat="1" applyFont="1" applyFill="1" applyAlignment="1">
      <alignment horizontal="center" vertical="center"/>
    </xf>
    <xf numFmtId="0" fontId="4" fillId="4" borderId="0" xfId="1" applyFont="1" applyFill="1" applyBorder="1" applyAlignment="1">
      <alignment horizontal="center" vertical="center"/>
    </xf>
    <xf numFmtId="0" fontId="5" fillId="0" borderId="0" xfId="2" applyFont="1" applyAlignment="1">
      <alignment horizontal="center"/>
    </xf>
    <xf numFmtId="0" fontId="5" fillId="0" borderId="0" xfId="2" applyFont="1" applyFill="1" applyAlignment="1">
      <alignment horizontal="center"/>
    </xf>
    <xf numFmtId="166" fontId="5" fillId="0" borderId="1" xfId="2" applyNumberFormat="1" applyFont="1" applyFill="1" applyBorder="1" applyAlignment="1">
      <alignment horizontal="center"/>
    </xf>
    <xf numFmtId="0" fontId="10" fillId="2" borderId="0" xfId="0" applyFont="1" applyFill="1" applyAlignment="1">
      <alignment vertical="center"/>
    </xf>
    <xf numFmtId="14" fontId="4" fillId="8" borderId="2" xfId="1" applyNumberFormat="1" applyFont="1" applyFill="1" applyBorder="1" applyAlignment="1">
      <alignment horizontal="center" vertical="center" wrapText="1"/>
    </xf>
    <xf numFmtId="0" fontId="4" fillId="8" borderId="0" xfId="0" applyFont="1" applyFill="1" applyAlignment="1">
      <alignment horizontal="center" vertical="center"/>
    </xf>
    <xf numFmtId="20" fontId="4" fillId="8" borderId="2" xfId="1" applyNumberFormat="1" applyFont="1" applyFill="1" applyBorder="1" applyAlignment="1">
      <alignment horizontal="center" vertical="center" wrapText="1"/>
    </xf>
    <xf numFmtId="0" fontId="4" fillId="8" borderId="2" xfId="1" applyFont="1" applyFill="1" applyBorder="1" applyAlignment="1">
      <alignment horizontal="center" vertical="center" wrapText="1"/>
    </xf>
    <xf numFmtId="0" fontId="5" fillId="8" borderId="1" xfId="2" applyFont="1" applyFill="1" applyBorder="1" applyAlignment="1">
      <alignment horizontal="center" vertical="center"/>
    </xf>
    <xf numFmtId="0" fontId="4" fillId="8" borderId="1" xfId="1" applyFont="1" applyFill="1" applyBorder="1" applyAlignment="1">
      <alignment horizontal="center" vertical="center" wrapText="1"/>
    </xf>
    <xf numFmtId="0" fontId="4" fillId="8" borderId="0" xfId="1" applyFont="1" applyFill="1" applyAlignment="1">
      <alignment horizontal="center" vertical="center"/>
    </xf>
    <xf numFmtId="20" fontId="4" fillId="8" borderId="1" xfId="1" applyNumberFormat="1" applyFont="1" applyFill="1" applyBorder="1" applyAlignment="1">
      <alignment horizontal="center" vertical="center" wrapText="1"/>
    </xf>
    <xf numFmtId="0" fontId="4" fillId="8" borderId="0" xfId="0" applyFont="1" applyFill="1" applyAlignment="1">
      <alignment horizontal="left" vertical="center"/>
    </xf>
    <xf numFmtId="0" fontId="4" fillId="8" borderId="0" xfId="1" applyFont="1" applyFill="1" applyBorder="1" applyAlignment="1">
      <alignment horizontal="center" vertical="center" wrapText="1"/>
    </xf>
    <xf numFmtId="0" fontId="8" fillId="8" borderId="0" xfId="0" applyFont="1" applyFill="1" applyAlignment="1">
      <alignment horizontal="center" vertical="center"/>
    </xf>
    <xf numFmtId="0" fontId="5" fillId="8" borderId="1" xfId="6" applyFont="1" applyFill="1" applyBorder="1" applyAlignment="1">
      <alignment horizontal="center" vertical="center"/>
    </xf>
    <xf numFmtId="0" fontId="8" fillId="8" borderId="1" xfId="1" applyFont="1" applyFill="1" applyBorder="1" applyAlignment="1">
      <alignment horizontal="center" vertical="center" wrapText="1"/>
    </xf>
    <xf numFmtId="0" fontId="8" fillId="8" borderId="0" xfId="1" applyFont="1" applyFill="1" applyAlignment="1">
      <alignment horizontal="center" vertical="center"/>
    </xf>
    <xf numFmtId="166" fontId="5" fillId="8" borderId="1" xfId="6" applyNumberFormat="1" applyFont="1" applyFill="1" applyBorder="1" applyAlignment="1">
      <alignment horizontal="center" vertical="center"/>
    </xf>
    <xf numFmtId="14" fontId="4" fillId="8" borderId="20" xfId="1" applyNumberFormat="1" applyFont="1" applyFill="1" applyBorder="1" applyAlignment="1">
      <alignment horizontal="center" vertical="center" wrapText="1"/>
    </xf>
    <xf numFmtId="0" fontId="4" fillId="8" borderId="10" xfId="0" applyFont="1" applyFill="1" applyBorder="1" applyAlignment="1">
      <alignment horizontal="center" vertical="center"/>
    </xf>
    <xf numFmtId="20" fontId="4" fillId="8" borderId="21" xfId="1" applyNumberFormat="1" applyFont="1" applyFill="1" applyBorder="1" applyAlignment="1">
      <alignment horizontal="center" vertical="center" wrapText="1"/>
    </xf>
    <xf numFmtId="0" fontId="4" fillId="8" borderId="21" xfId="1" applyFont="1" applyFill="1" applyBorder="1" applyAlignment="1">
      <alignment horizontal="center" vertical="center" wrapText="1"/>
    </xf>
    <xf numFmtId="0" fontId="4" fillId="8" borderId="20" xfId="1" applyFont="1" applyFill="1" applyBorder="1" applyAlignment="1">
      <alignment horizontal="center" vertical="center" wrapText="1"/>
    </xf>
    <xf numFmtId="0" fontId="5" fillId="8" borderId="21" xfId="6" applyFont="1" applyFill="1" applyBorder="1" applyAlignment="1">
      <alignment horizontal="center" vertical="center"/>
    </xf>
    <xf numFmtId="0" fontId="4" fillId="8" borderId="10" xfId="1" applyFont="1" applyFill="1" applyBorder="1" applyAlignment="1">
      <alignment horizontal="center" vertical="center" wrapText="1"/>
    </xf>
    <xf numFmtId="0" fontId="4" fillId="8" borderId="10" xfId="0" applyFont="1" applyFill="1" applyBorder="1" applyAlignment="1">
      <alignment horizontal="left" vertical="center"/>
    </xf>
    <xf numFmtId="14" fontId="4" fillId="0" borderId="17" xfId="1" applyNumberFormat="1" applyFont="1" applyFill="1" applyBorder="1" applyAlignment="1">
      <alignment horizontal="center" vertical="center" wrapText="1"/>
    </xf>
    <xf numFmtId="20" fontId="4" fillId="0" borderId="17" xfId="0" applyNumberFormat="1" applyFont="1" applyBorder="1" applyAlignment="1">
      <alignment horizontal="center"/>
    </xf>
    <xf numFmtId="0" fontId="4" fillId="0" borderId="17" xfId="0" applyFont="1" applyBorder="1" applyAlignment="1">
      <alignment horizontal="center"/>
    </xf>
    <xf numFmtId="0" fontId="4" fillId="0" borderId="17" xfId="0" applyFont="1" applyBorder="1" applyAlignment="1">
      <alignment horizontal="left"/>
    </xf>
    <xf numFmtId="14" fontId="4" fillId="0" borderId="0" xfId="1" applyNumberFormat="1" applyFont="1" applyFill="1" applyBorder="1" applyAlignment="1">
      <alignment horizontal="center" vertical="center" wrapText="1"/>
    </xf>
    <xf numFmtId="0" fontId="4" fillId="0" borderId="0" xfId="0" applyFont="1" applyBorder="1" applyAlignment="1">
      <alignment horizontal="center"/>
    </xf>
    <xf numFmtId="20" fontId="4" fillId="0" borderId="0" xfId="0" applyNumberFormat="1" applyFont="1" applyBorder="1" applyAlignment="1">
      <alignment horizontal="center"/>
    </xf>
    <xf numFmtId="0" fontId="4" fillId="0" borderId="0" xfId="0" applyFont="1" applyBorder="1" applyAlignment="1">
      <alignment horizontal="left"/>
    </xf>
    <xf numFmtId="14" fontId="6" fillId="0" borderId="0" xfId="1" applyNumberFormat="1" applyFont="1" applyFill="1" applyBorder="1" applyAlignment="1">
      <alignment horizontal="center" vertical="center" wrapText="1"/>
    </xf>
    <xf numFmtId="0" fontId="6" fillId="0" borderId="0" xfId="0" applyFont="1" applyFill="1" applyBorder="1" applyAlignment="1">
      <alignment horizontal="center" vertical="center"/>
    </xf>
    <xf numFmtId="20" fontId="6" fillId="0" borderId="0" xfId="1" applyNumberFormat="1" applyFont="1" applyFill="1" applyBorder="1" applyAlignment="1">
      <alignment horizontal="center" vertical="center" wrapText="1"/>
    </xf>
    <xf numFmtId="0" fontId="6" fillId="0" borderId="0" xfId="0" applyFont="1" applyFill="1" applyBorder="1" applyAlignment="1">
      <alignment horizontal="left" vertical="center" wrapText="1"/>
    </xf>
    <xf numFmtId="14" fontId="6" fillId="0" borderId="6" xfId="1" applyNumberFormat="1" applyFont="1" applyFill="1" applyBorder="1" applyAlignment="1">
      <alignment horizontal="center" vertical="center" wrapText="1"/>
    </xf>
    <xf numFmtId="0" fontId="6" fillId="0" borderId="6" xfId="0" applyFont="1" applyFill="1" applyBorder="1" applyAlignment="1">
      <alignment horizontal="center" vertical="center"/>
    </xf>
    <xf numFmtId="20" fontId="6" fillId="0" borderId="6" xfId="1" applyNumberFormat="1" applyFont="1" applyFill="1" applyBorder="1" applyAlignment="1">
      <alignment horizontal="center" vertical="center" wrapText="1"/>
    </xf>
    <xf numFmtId="0" fontId="6" fillId="0" borderId="6" xfId="1" applyFont="1" applyFill="1" applyBorder="1" applyAlignment="1">
      <alignment horizontal="center" vertical="center" wrapText="1"/>
    </xf>
    <xf numFmtId="0" fontId="6" fillId="0" borderId="6" xfId="1" applyFont="1" applyFill="1" applyBorder="1" applyAlignment="1">
      <alignment horizontal="center" vertical="center"/>
    </xf>
    <xf numFmtId="0" fontId="6" fillId="0" borderId="6" xfId="0" applyFont="1" applyFill="1" applyBorder="1" applyAlignment="1">
      <alignment horizontal="left" vertical="center"/>
    </xf>
    <xf numFmtId="0" fontId="7" fillId="0" borderId="0" xfId="0" applyFont="1" applyFill="1" applyAlignment="1">
      <alignment vertical="center"/>
    </xf>
    <xf numFmtId="0" fontId="5" fillId="0" borderId="0" xfId="1" applyFont="1" applyFill="1" applyBorder="1" applyAlignment="1">
      <alignment horizontal="center" vertical="center"/>
    </xf>
    <xf numFmtId="2" fontId="5" fillId="0" borderId="0" xfId="1" applyNumberFormat="1" applyFont="1" applyFill="1" applyBorder="1" applyAlignment="1">
      <alignment horizontal="center" vertical="center"/>
    </xf>
    <xf numFmtId="0" fontId="4" fillId="0" borderId="0" xfId="0" applyFont="1" applyFill="1" applyAlignment="1">
      <alignment horizontal="center" vertical="center"/>
    </xf>
    <xf numFmtId="20" fontId="5" fillId="0" borderId="0" xfId="1" applyNumberFormat="1" applyFont="1" applyFill="1" applyBorder="1" applyAlignment="1">
      <alignment horizontal="center" vertical="center" wrapText="1"/>
    </xf>
    <xf numFmtId="14" fontId="6" fillId="0" borderId="0" xfId="0" applyNumberFormat="1" applyFont="1" applyFill="1" applyAlignment="1">
      <alignment horizontal="center" vertical="center"/>
    </xf>
    <xf numFmtId="20" fontId="6" fillId="0" borderId="0" xfId="0" applyNumberFormat="1" applyFont="1" applyFill="1" applyAlignment="1">
      <alignment horizontal="center" vertical="center"/>
    </xf>
    <xf numFmtId="2" fontId="6" fillId="0" borderId="0" xfId="0" applyNumberFormat="1" applyFont="1" applyFill="1" applyAlignment="1">
      <alignment horizontal="center" vertical="center"/>
    </xf>
    <xf numFmtId="14" fontId="8" fillId="6" borderId="1" xfId="1" applyNumberFormat="1" applyFont="1" applyFill="1" applyBorder="1" applyAlignment="1">
      <alignment horizontal="center" vertical="center" wrapText="1"/>
    </xf>
    <xf numFmtId="0" fontId="4" fillId="0" borderId="0" xfId="0" applyNumberFormat="1" applyFont="1" applyFill="1" applyAlignment="1">
      <alignment horizontal="center" vertical="center"/>
    </xf>
    <xf numFmtId="14" fontId="4" fillId="6" borderId="0" xfId="0" applyNumberFormat="1" applyFont="1" applyFill="1" applyAlignment="1">
      <alignment horizontal="center" vertical="center"/>
    </xf>
    <xf numFmtId="0" fontId="8" fillId="0" borderId="17" xfId="1" applyFont="1" applyFill="1" applyBorder="1" applyAlignment="1">
      <alignment horizontal="center" vertical="center"/>
    </xf>
    <xf numFmtId="14" fontId="14" fillId="0" borderId="6" xfId="0" applyNumberFormat="1" applyFont="1" applyFill="1" applyBorder="1" applyAlignment="1">
      <alignment horizontal="center" vertical="center"/>
    </xf>
    <xf numFmtId="0" fontId="14" fillId="0" borderId="6" xfId="0" applyNumberFormat="1" applyFont="1" applyFill="1" applyBorder="1" applyAlignment="1">
      <alignment horizontal="center" vertical="center"/>
    </xf>
    <xf numFmtId="20" fontId="14" fillId="0" borderId="6" xfId="0" applyNumberFormat="1" applyFont="1" applyFill="1" applyBorder="1" applyAlignment="1">
      <alignment horizontal="center" vertical="center"/>
    </xf>
    <xf numFmtId="0" fontId="4" fillId="9" borderId="0" xfId="0" applyFont="1" applyFill="1" applyAlignment="1">
      <alignment horizontal="center" vertical="center"/>
    </xf>
    <xf numFmtId="14" fontId="8" fillId="3" borderId="0" xfId="0" applyNumberFormat="1" applyFont="1" applyFill="1" applyAlignment="1">
      <alignment horizontal="center" vertical="center"/>
    </xf>
    <xf numFmtId="0" fontId="8" fillId="3" borderId="0" xfId="0" applyFont="1" applyFill="1" applyAlignment="1">
      <alignment horizontal="center" vertical="center"/>
    </xf>
    <xf numFmtId="0" fontId="8" fillId="3" borderId="0" xfId="0" applyNumberFormat="1" applyFont="1" applyFill="1" applyAlignment="1">
      <alignment horizontal="center" vertical="center"/>
    </xf>
    <xf numFmtId="20" fontId="8" fillId="3" borderId="0" xfId="0" applyNumberFormat="1" applyFont="1" applyFill="1" applyAlignment="1">
      <alignment horizontal="center" vertical="center"/>
    </xf>
    <xf numFmtId="2" fontId="8" fillId="3" borderId="0" xfId="0" applyNumberFormat="1" applyFont="1" applyFill="1" applyAlignment="1">
      <alignment horizontal="center" vertical="center"/>
    </xf>
    <xf numFmtId="2" fontId="4" fillId="3" borderId="0" xfId="0" applyNumberFormat="1" applyFont="1" applyFill="1" applyAlignment="1">
      <alignment horizontal="center" vertical="center"/>
    </xf>
    <xf numFmtId="14" fontId="8" fillId="0" borderId="6" xfId="0" applyNumberFormat="1" applyFont="1" applyFill="1" applyBorder="1" applyAlignment="1">
      <alignment horizontal="center" vertical="center"/>
    </xf>
    <xf numFmtId="0" fontId="8" fillId="0" borderId="6" xfId="0" applyFont="1" applyFill="1" applyBorder="1" applyAlignment="1">
      <alignment horizontal="center" vertical="center"/>
    </xf>
    <xf numFmtId="0" fontId="8" fillId="0" borderId="6" xfId="0" applyNumberFormat="1" applyFont="1" applyFill="1" applyBorder="1" applyAlignment="1">
      <alignment horizontal="center" vertical="center"/>
    </xf>
    <xf numFmtId="20" fontId="8" fillId="0" borderId="6" xfId="0" applyNumberFormat="1" applyFont="1" applyFill="1" applyBorder="1" applyAlignment="1">
      <alignment horizontal="center" vertical="center"/>
    </xf>
    <xf numFmtId="2" fontId="8" fillId="0" borderId="6" xfId="0" applyNumberFormat="1" applyFont="1" applyFill="1" applyBorder="1" applyAlignment="1">
      <alignment horizontal="center" vertical="center"/>
    </xf>
    <xf numFmtId="2" fontId="4" fillId="0" borderId="6" xfId="0" applyNumberFormat="1" applyFont="1" applyFill="1" applyBorder="1" applyAlignment="1">
      <alignment horizontal="center" vertical="center"/>
    </xf>
    <xf numFmtId="0" fontId="8" fillId="0" borderId="6" xfId="0" applyFont="1" applyFill="1" applyBorder="1" applyAlignment="1">
      <alignment horizontal="left" vertical="center"/>
    </xf>
    <xf numFmtId="0" fontId="4" fillId="3" borderId="0" xfId="0" applyFont="1" applyFill="1" applyAlignment="1">
      <alignment horizontal="left" vertical="center"/>
    </xf>
    <xf numFmtId="2" fontId="14" fillId="0" borderId="6" xfId="0" applyNumberFormat="1" applyFont="1" applyFill="1" applyBorder="1" applyAlignment="1">
      <alignment horizontal="center" vertical="center"/>
    </xf>
    <xf numFmtId="0" fontId="4" fillId="0" borderId="0" xfId="0" applyFont="1" applyFill="1" applyAlignment="1">
      <alignment horizontal="center" vertical="center"/>
    </xf>
    <xf numFmtId="0" fontId="4" fillId="0" borderId="0" xfId="0" applyFont="1" applyFill="1" applyAlignment="1">
      <alignment horizontal="center" vertical="center"/>
    </xf>
    <xf numFmtId="0" fontId="8" fillId="3" borderId="0" xfId="0" applyFont="1" applyFill="1" applyAlignment="1">
      <alignment horizontal="left" vertical="center"/>
    </xf>
    <xf numFmtId="0" fontId="17" fillId="6" borderId="0" xfId="0" applyFont="1" applyFill="1" applyAlignment="1">
      <alignment horizontal="center" vertical="center"/>
    </xf>
    <xf numFmtId="0" fontId="8" fillId="6" borderId="0" xfId="0" applyFont="1" applyFill="1" applyAlignment="1">
      <alignment horizontal="center" vertical="center"/>
    </xf>
    <xf numFmtId="0" fontId="8" fillId="6" borderId="0" xfId="0" applyFont="1" applyFill="1" applyAlignment="1">
      <alignment horizontal="center" vertical="center"/>
    </xf>
    <xf numFmtId="0" fontId="8" fillId="6" borderId="0" xfId="0" applyFont="1" applyFill="1" applyAlignment="1">
      <alignment horizontal="center" vertical="center"/>
    </xf>
    <xf numFmtId="0" fontId="8" fillId="6" borderId="0" xfId="0" applyFont="1" applyFill="1" applyAlignment="1">
      <alignment horizontal="center" vertical="center"/>
    </xf>
    <xf numFmtId="14" fontId="18" fillId="0" borderId="0" xfId="0" applyNumberFormat="1" applyFont="1" applyFill="1" applyAlignment="1">
      <alignment horizontal="center" vertical="center"/>
    </xf>
    <xf numFmtId="0" fontId="18" fillId="0" borderId="0" xfId="0" applyFont="1" applyFill="1" applyAlignment="1">
      <alignment horizontal="center" vertical="center"/>
    </xf>
    <xf numFmtId="0" fontId="18" fillId="0" borderId="0" xfId="0" applyNumberFormat="1" applyFont="1" applyFill="1" applyAlignment="1">
      <alignment horizontal="center" vertical="center"/>
    </xf>
    <xf numFmtId="20" fontId="18" fillId="0" borderId="0" xfId="0" applyNumberFormat="1" applyFont="1" applyFill="1" applyAlignment="1">
      <alignment horizontal="center" vertical="center"/>
    </xf>
    <xf numFmtId="2" fontId="18" fillId="0" borderId="0" xfId="0" applyNumberFormat="1" applyFont="1" applyFill="1" applyAlignment="1">
      <alignment horizontal="center" vertical="center"/>
    </xf>
    <xf numFmtId="0" fontId="18" fillId="0" borderId="0" xfId="0" applyFont="1" applyFill="1" applyAlignment="1">
      <alignment horizontal="left" vertical="center"/>
    </xf>
    <xf numFmtId="0" fontId="8" fillId="6" borderId="0" xfId="0" applyFont="1" applyFill="1" applyAlignment="1">
      <alignment horizontal="center" vertical="center"/>
    </xf>
    <xf numFmtId="0" fontId="8" fillId="6" borderId="0" xfId="0" applyFont="1" applyFill="1" applyAlignment="1">
      <alignment horizontal="center" vertical="center"/>
    </xf>
    <xf numFmtId="0" fontId="8" fillId="6" borderId="0" xfId="0" applyFont="1" applyFill="1" applyAlignment="1">
      <alignment horizontal="center" vertical="center"/>
    </xf>
    <xf numFmtId="0" fontId="8" fillId="6" borderId="0" xfId="0" applyFont="1" applyFill="1" applyAlignment="1">
      <alignment horizontal="center" vertical="center"/>
    </xf>
    <xf numFmtId="0" fontId="8" fillId="6" borderId="0" xfId="0" applyFont="1" applyFill="1" applyAlignment="1">
      <alignment horizontal="center" vertical="center"/>
    </xf>
    <xf numFmtId="2" fontId="4" fillId="0" borderId="0" xfId="0" quotePrefix="1" applyNumberFormat="1" applyFont="1" applyFill="1" applyAlignment="1">
      <alignment horizontal="center" vertical="center"/>
    </xf>
    <xf numFmtId="0" fontId="8" fillId="6" borderId="0" xfId="0" applyFont="1" applyFill="1" applyAlignment="1">
      <alignment horizontal="center" vertical="center"/>
    </xf>
    <xf numFmtId="0" fontId="8" fillId="6" borderId="0" xfId="0" applyFont="1" applyFill="1" applyAlignment="1">
      <alignment horizontal="center" vertical="center"/>
    </xf>
    <xf numFmtId="14" fontId="19" fillId="0" borderId="0" xfId="0" applyNumberFormat="1" applyFont="1" applyFill="1" applyAlignment="1">
      <alignment horizontal="center" vertical="center"/>
    </xf>
    <xf numFmtId="0" fontId="19" fillId="0" borderId="0" xfId="0" applyFont="1" applyFill="1" applyAlignment="1">
      <alignment horizontal="center" vertical="center"/>
    </xf>
    <xf numFmtId="0" fontId="19" fillId="0" borderId="0" xfId="0" applyNumberFormat="1" applyFont="1" applyFill="1" applyAlignment="1">
      <alignment horizontal="center" vertical="center"/>
    </xf>
    <xf numFmtId="20" fontId="19" fillId="0" borderId="0" xfId="0" applyNumberFormat="1" applyFont="1" applyFill="1" applyAlignment="1">
      <alignment horizontal="center" vertical="center"/>
    </xf>
    <xf numFmtId="2" fontId="19" fillId="0" borderId="0" xfId="0" applyNumberFormat="1" applyFont="1" applyFill="1" applyAlignment="1">
      <alignment horizontal="center" vertical="center"/>
    </xf>
    <xf numFmtId="0" fontId="19" fillId="0" borderId="0" xfId="0" applyFont="1" applyFill="1" applyAlignment="1">
      <alignment horizontal="left" vertical="center"/>
    </xf>
    <xf numFmtId="0" fontId="4" fillId="6" borderId="0" xfId="0" applyFont="1" applyFill="1" applyAlignment="1">
      <alignment horizontal="left" vertical="center"/>
    </xf>
    <xf numFmtId="0" fontId="8" fillId="6" borderId="0" xfId="0" applyFont="1" applyFill="1" applyAlignment="1">
      <alignment horizontal="center" vertical="center"/>
    </xf>
    <xf numFmtId="14" fontId="8" fillId="0" borderId="17" xfId="0" applyNumberFormat="1" applyFont="1" applyFill="1" applyBorder="1" applyAlignment="1">
      <alignment horizontal="center" vertical="center"/>
    </xf>
    <xf numFmtId="0" fontId="8" fillId="0" borderId="17" xfId="0" applyFont="1" applyFill="1" applyBorder="1" applyAlignment="1">
      <alignment horizontal="center" vertical="center"/>
    </xf>
    <xf numFmtId="0" fontId="8" fillId="0" borderId="17" xfId="0" applyNumberFormat="1" applyFont="1" applyFill="1" applyBorder="1" applyAlignment="1">
      <alignment horizontal="center" vertical="center"/>
    </xf>
    <xf numFmtId="20" fontId="8" fillId="0" borderId="17" xfId="0" applyNumberFormat="1" applyFont="1" applyFill="1" applyBorder="1" applyAlignment="1">
      <alignment horizontal="center" vertical="center"/>
    </xf>
    <xf numFmtId="2" fontId="8" fillId="0" borderId="17" xfId="0" applyNumberFormat="1" applyFont="1" applyFill="1" applyBorder="1" applyAlignment="1">
      <alignment horizontal="center" vertical="center"/>
    </xf>
    <xf numFmtId="2" fontId="4" fillId="0" borderId="17" xfId="0" applyNumberFormat="1" applyFont="1" applyFill="1" applyBorder="1" applyAlignment="1">
      <alignment horizontal="center" vertical="center"/>
    </xf>
    <xf numFmtId="0" fontId="8" fillId="0" borderId="17" xfId="0" applyFont="1" applyFill="1" applyBorder="1" applyAlignment="1">
      <alignment horizontal="left" vertical="center"/>
    </xf>
    <xf numFmtId="0" fontId="8" fillId="6" borderId="0" xfId="0" applyFont="1" applyFill="1" applyAlignment="1">
      <alignment horizontal="center" vertical="center"/>
    </xf>
    <xf numFmtId="0" fontId="8" fillId="6" borderId="0" xfId="0" applyFont="1" applyFill="1" applyAlignment="1">
      <alignment horizontal="center" vertical="center"/>
    </xf>
    <xf numFmtId="0" fontId="8" fillId="6" borderId="0" xfId="0" applyFont="1" applyFill="1" applyAlignment="1">
      <alignment horizontal="center" vertical="center"/>
    </xf>
    <xf numFmtId="0" fontId="8" fillId="6" borderId="0" xfId="0" applyFont="1" applyFill="1" applyAlignment="1">
      <alignment horizontal="center" vertical="center"/>
    </xf>
    <xf numFmtId="0" fontId="8" fillId="6" borderId="0" xfId="0" applyFont="1" applyFill="1" applyAlignment="1">
      <alignment horizontal="center" vertical="center"/>
    </xf>
    <xf numFmtId="0" fontId="8" fillId="6" borderId="0" xfId="0" applyFont="1" applyFill="1" applyAlignment="1">
      <alignment horizontal="center" vertical="center"/>
    </xf>
    <xf numFmtId="14" fontId="8" fillId="5" borderId="6" xfId="0" applyNumberFormat="1" applyFont="1" applyFill="1" applyBorder="1" applyAlignment="1">
      <alignment horizontal="center" vertical="center"/>
    </xf>
    <xf numFmtId="0" fontId="8" fillId="5" borderId="6" xfId="0" applyFont="1" applyFill="1" applyBorder="1" applyAlignment="1">
      <alignment horizontal="center" vertical="center"/>
    </xf>
    <xf numFmtId="0" fontId="8" fillId="5" borderId="6" xfId="0" applyNumberFormat="1" applyFont="1" applyFill="1" applyBorder="1" applyAlignment="1">
      <alignment horizontal="center" vertical="center"/>
    </xf>
    <xf numFmtId="20" fontId="8" fillId="5" borderId="6" xfId="0" applyNumberFormat="1" applyFont="1" applyFill="1" applyBorder="1" applyAlignment="1">
      <alignment horizontal="center" vertical="center"/>
    </xf>
    <xf numFmtId="2" fontId="8" fillId="5" borderId="6" xfId="0" applyNumberFormat="1" applyFont="1" applyFill="1" applyBorder="1" applyAlignment="1">
      <alignment horizontal="center" vertical="center"/>
    </xf>
    <xf numFmtId="2" fontId="4" fillId="5" borderId="6" xfId="0" applyNumberFormat="1" applyFont="1" applyFill="1" applyBorder="1" applyAlignment="1">
      <alignment horizontal="center" vertical="center"/>
    </xf>
    <xf numFmtId="0" fontId="8" fillId="5" borderId="6" xfId="0" applyFont="1" applyFill="1" applyBorder="1" applyAlignment="1">
      <alignment horizontal="left" vertical="center"/>
    </xf>
    <xf numFmtId="0" fontId="8" fillId="6" borderId="0" xfId="0" applyFont="1" applyFill="1" applyAlignment="1">
      <alignment horizontal="center" vertical="center"/>
    </xf>
    <xf numFmtId="0" fontId="8" fillId="6" borderId="0" xfId="0" applyFont="1" applyFill="1" applyAlignment="1">
      <alignment horizontal="center" vertical="center"/>
    </xf>
    <xf numFmtId="0" fontId="4" fillId="6" borderId="0" xfId="0" applyFont="1" applyFill="1" applyAlignment="1">
      <alignment horizontal="center" vertical="center"/>
    </xf>
    <xf numFmtId="0" fontId="20" fillId="3" borderId="0" xfId="0" applyFont="1" applyFill="1"/>
    <xf numFmtId="0" fontId="8" fillId="6" borderId="0" xfId="0" applyFont="1" applyFill="1" applyAlignment="1">
      <alignment horizontal="center" vertical="center"/>
    </xf>
    <xf numFmtId="0" fontId="14" fillId="0" borderId="0" xfId="0" applyFont="1" applyAlignment="1">
      <alignment horizontal="center"/>
    </xf>
    <xf numFmtId="20" fontId="14" fillId="0" borderId="0" xfId="0" applyNumberFormat="1" applyFont="1" applyAlignment="1">
      <alignment horizontal="center"/>
    </xf>
    <xf numFmtId="0" fontId="14" fillId="0" borderId="0" xfId="0" applyFont="1" applyAlignment="1">
      <alignment horizontal="left"/>
    </xf>
    <xf numFmtId="2" fontId="14" fillId="0" borderId="0" xfId="0" applyNumberFormat="1" applyFont="1" applyAlignment="1">
      <alignment horizontal="center"/>
    </xf>
    <xf numFmtId="2" fontId="4" fillId="0" borderId="0" xfId="0" applyNumberFormat="1" applyFont="1" applyAlignment="1">
      <alignment horizontal="center"/>
    </xf>
    <xf numFmtId="14" fontId="8" fillId="6" borderId="0" xfId="1" applyNumberFormat="1" applyFont="1" applyFill="1" applyBorder="1" applyAlignment="1">
      <alignment horizontal="center" vertical="center" wrapText="1"/>
    </xf>
    <xf numFmtId="14" fontId="5" fillId="6" borderId="0" xfId="1" applyNumberFormat="1" applyFont="1" applyFill="1" applyBorder="1" applyAlignment="1">
      <alignment horizontal="center" vertical="center" wrapText="1"/>
    </xf>
    <xf numFmtId="0" fontId="4" fillId="6" borderId="0" xfId="0" applyFont="1" applyFill="1" applyAlignment="1">
      <alignment horizontal="center"/>
    </xf>
    <xf numFmtId="20" fontId="4" fillId="6" borderId="0" xfId="0" applyNumberFormat="1" applyFont="1" applyFill="1" applyAlignment="1">
      <alignment horizontal="center"/>
    </xf>
    <xf numFmtId="2" fontId="4" fillId="6" borderId="0" xfId="0" applyNumberFormat="1" applyFont="1" applyFill="1" applyAlignment="1">
      <alignment horizontal="center"/>
    </xf>
    <xf numFmtId="0" fontId="4" fillId="0" borderId="0" xfId="0" applyFont="1" applyFill="1" applyAlignment="1">
      <alignment horizontal="center" vertical="center"/>
    </xf>
    <xf numFmtId="14" fontId="8" fillId="5" borderId="0" xfId="1" applyNumberFormat="1" applyFont="1" applyFill="1" applyBorder="1" applyAlignment="1">
      <alignment horizontal="center" vertical="center" wrapText="1"/>
    </xf>
    <xf numFmtId="14" fontId="5" fillId="5" borderId="0" xfId="1" applyNumberFormat="1" applyFont="1" applyFill="1" applyBorder="1" applyAlignment="1">
      <alignment horizontal="center" vertical="center" wrapText="1"/>
    </xf>
    <xf numFmtId="0" fontId="4" fillId="5" borderId="0" xfId="0" applyFont="1" applyFill="1" applyAlignment="1">
      <alignment horizontal="center"/>
    </xf>
    <xf numFmtId="20" fontId="4" fillId="5" borderId="0" xfId="0" applyNumberFormat="1" applyFont="1" applyFill="1" applyAlignment="1">
      <alignment horizontal="center"/>
    </xf>
    <xf numFmtId="2" fontId="4" fillId="5" borderId="0" xfId="0" applyNumberFormat="1" applyFont="1" applyFill="1" applyAlignment="1">
      <alignment horizontal="center"/>
    </xf>
    <xf numFmtId="0" fontId="4" fillId="5" borderId="0" xfId="0" applyFont="1" applyFill="1" applyAlignment="1">
      <alignment horizontal="left"/>
    </xf>
    <xf numFmtId="0" fontId="4" fillId="0" borderId="0" xfId="0" applyFont="1"/>
    <xf numFmtId="0" fontId="8" fillId="0" borderId="0" xfId="0" applyFont="1" applyAlignment="1">
      <alignment horizontal="center"/>
    </xf>
    <xf numFmtId="14" fontId="4" fillId="0" borderId="0" xfId="0" applyNumberFormat="1" applyFont="1" applyAlignment="1">
      <alignment horizontal="center"/>
    </xf>
    <xf numFmtId="14" fontId="4" fillId="0" borderId="6" xfId="0" applyNumberFormat="1" applyFont="1" applyBorder="1" applyAlignment="1">
      <alignment horizontal="center"/>
    </xf>
    <xf numFmtId="2" fontId="4" fillId="0" borderId="6" xfId="0" applyNumberFormat="1" applyFont="1" applyBorder="1" applyAlignment="1">
      <alignment horizontal="center"/>
    </xf>
    <xf numFmtId="14" fontId="14" fillId="0" borderId="0" xfId="0" applyNumberFormat="1" applyFont="1" applyAlignment="1">
      <alignment horizontal="center"/>
    </xf>
    <xf numFmtId="14" fontId="4" fillId="6" borderId="0" xfId="0" applyNumberFormat="1" applyFont="1" applyFill="1" applyAlignment="1">
      <alignment horizontal="center"/>
    </xf>
    <xf numFmtId="0" fontId="4" fillId="6" borderId="0" xfId="0" applyFont="1" applyFill="1" applyAlignment="1">
      <alignment horizontal="left"/>
    </xf>
    <xf numFmtId="14" fontId="4" fillId="3" borderId="0" xfId="0" applyNumberFormat="1" applyFont="1" applyFill="1" applyAlignment="1">
      <alignment horizontal="center"/>
    </xf>
    <xf numFmtId="0" fontId="4" fillId="3" borderId="0" xfId="0" applyFont="1" applyFill="1" applyAlignment="1">
      <alignment horizontal="center"/>
    </xf>
    <xf numFmtId="20" fontId="4" fillId="3" borderId="0" xfId="0" applyNumberFormat="1" applyFont="1" applyFill="1" applyAlignment="1">
      <alignment horizontal="center"/>
    </xf>
    <xf numFmtId="2" fontId="4" fillId="3" borderId="0" xfId="0" applyNumberFormat="1" applyFont="1" applyFill="1" applyAlignment="1">
      <alignment horizontal="center"/>
    </xf>
    <xf numFmtId="0" fontId="4" fillId="3" borderId="0" xfId="0" applyFont="1" applyFill="1" applyAlignment="1">
      <alignment horizontal="left"/>
    </xf>
    <xf numFmtId="0" fontId="4" fillId="0" borderId="0" xfId="0" applyFont="1" applyFill="1" applyAlignment="1">
      <alignment horizontal="center" vertical="center"/>
    </xf>
    <xf numFmtId="0" fontId="8" fillId="6" borderId="0" xfId="0" applyFont="1" applyFill="1" applyAlignment="1">
      <alignment horizontal="left" vertical="center"/>
    </xf>
    <xf numFmtId="2" fontId="4" fillId="0" borderId="0" xfId="0" applyNumberFormat="1" applyFont="1" applyFill="1" applyAlignment="1">
      <alignment horizontal="center"/>
    </xf>
    <xf numFmtId="14" fontId="4" fillId="0" borderId="0" xfId="0" applyNumberFormat="1" applyFont="1" applyFill="1" applyAlignment="1">
      <alignment horizontal="center"/>
    </xf>
    <xf numFmtId="14" fontId="14" fillId="0" borderId="0" xfId="0" applyNumberFormat="1" applyFont="1" applyFill="1" applyAlignment="1">
      <alignment horizontal="center"/>
    </xf>
    <xf numFmtId="0" fontId="14" fillId="0" borderId="0" xfId="0" applyFont="1" applyFill="1" applyAlignment="1">
      <alignment horizontal="center"/>
    </xf>
    <xf numFmtId="14" fontId="18" fillId="0" borderId="0" xfId="0" applyNumberFormat="1" applyFont="1" applyAlignment="1">
      <alignment horizontal="center"/>
    </xf>
    <xf numFmtId="0" fontId="18" fillId="0" borderId="0" xfId="0" applyFont="1" applyAlignment="1">
      <alignment horizontal="center"/>
    </xf>
    <xf numFmtId="20" fontId="18" fillId="0" borderId="0" xfId="0" applyNumberFormat="1" applyFont="1" applyAlignment="1">
      <alignment horizontal="center"/>
    </xf>
    <xf numFmtId="2" fontId="18" fillId="0" borderId="0" xfId="0" applyNumberFormat="1" applyFont="1" applyAlignment="1">
      <alignment horizontal="center"/>
    </xf>
    <xf numFmtId="0" fontId="18" fillId="0" borderId="0" xfId="0" applyFont="1" applyAlignment="1">
      <alignment horizontal="left"/>
    </xf>
    <xf numFmtId="14" fontId="19" fillId="0" borderId="0" xfId="0" applyNumberFormat="1" applyFont="1" applyAlignment="1">
      <alignment horizontal="center"/>
    </xf>
    <xf numFmtId="0" fontId="19" fillId="0" borderId="0" xfId="0" applyFont="1" applyAlignment="1">
      <alignment horizontal="center"/>
    </xf>
    <xf numFmtId="20" fontId="19" fillId="0" borderId="0" xfId="0" applyNumberFormat="1" applyFont="1" applyAlignment="1">
      <alignment horizontal="center"/>
    </xf>
    <xf numFmtId="2" fontId="19" fillId="0" borderId="0" xfId="0" applyNumberFormat="1" applyFont="1" applyAlignment="1">
      <alignment horizontal="center"/>
    </xf>
    <xf numFmtId="14" fontId="4" fillId="3" borderId="6" xfId="0" applyNumberFormat="1" applyFont="1" applyFill="1" applyBorder="1" applyAlignment="1">
      <alignment horizontal="center"/>
    </xf>
    <xf numFmtId="0" fontId="4" fillId="3" borderId="6" xfId="0" applyFont="1" applyFill="1" applyBorder="1" applyAlignment="1">
      <alignment horizontal="center"/>
    </xf>
    <xf numFmtId="20" fontId="4" fillId="3" borderId="6" xfId="0" applyNumberFormat="1" applyFont="1" applyFill="1" applyBorder="1" applyAlignment="1">
      <alignment horizontal="center"/>
    </xf>
    <xf numFmtId="2" fontId="4" fillId="3" borderId="6" xfId="0" applyNumberFormat="1" applyFont="1" applyFill="1" applyBorder="1" applyAlignment="1">
      <alignment horizontal="center"/>
    </xf>
    <xf numFmtId="0" fontId="4" fillId="3" borderId="6" xfId="0" applyFont="1" applyFill="1" applyBorder="1" applyAlignment="1">
      <alignment horizontal="left"/>
    </xf>
    <xf numFmtId="0" fontId="6" fillId="6" borderId="0" xfId="0" applyFont="1" applyFill="1" applyAlignment="1">
      <alignment horizontal="center"/>
    </xf>
    <xf numFmtId="0" fontId="8" fillId="6" borderId="0" xfId="0" applyFont="1" applyFill="1" applyAlignment="1">
      <alignment horizontal="center"/>
    </xf>
    <xf numFmtId="14" fontId="4" fillId="5" borderId="0" xfId="0" applyNumberFormat="1" applyFont="1" applyFill="1" applyAlignment="1">
      <alignment horizontal="center"/>
    </xf>
    <xf numFmtId="0" fontId="6" fillId="6" borderId="0" xfId="0" applyFont="1" applyFill="1" applyAlignment="1">
      <alignment horizontal="left" vertical="center"/>
    </xf>
    <xf numFmtId="0" fontId="8" fillId="0" borderId="6" xfId="0" applyFont="1" applyBorder="1" applyAlignment="1">
      <alignment horizontal="center"/>
    </xf>
    <xf numFmtId="14" fontId="8" fillId="0" borderId="0" xfId="0" applyNumberFormat="1" applyFont="1" applyAlignment="1">
      <alignment horizontal="center"/>
    </xf>
    <xf numFmtId="14" fontId="4" fillId="5" borderId="6" xfId="0" applyNumberFormat="1" applyFont="1" applyFill="1" applyBorder="1" applyAlignment="1">
      <alignment horizontal="center"/>
    </xf>
    <xf numFmtId="0" fontId="4" fillId="5" borderId="6" xfId="0" applyFont="1" applyFill="1" applyBorder="1" applyAlignment="1">
      <alignment horizontal="center"/>
    </xf>
    <xf numFmtId="20" fontId="4" fillId="5" borderId="6" xfId="0" applyNumberFormat="1" applyFont="1" applyFill="1" applyBorder="1" applyAlignment="1">
      <alignment horizontal="center"/>
    </xf>
    <xf numFmtId="2" fontId="4" fillId="5" borderId="6" xfId="0" applyNumberFormat="1" applyFont="1" applyFill="1" applyBorder="1" applyAlignment="1">
      <alignment horizontal="center"/>
    </xf>
    <xf numFmtId="0" fontId="4" fillId="5" borderId="6" xfId="0" applyFont="1" applyFill="1" applyBorder="1" applyAlignment="1">
      <alignment horizontal="left"/>
    </xf>
    <xf numFmtId="14" fontId="8" fillId="5" borderId="0" xfId="0" applyNumberFormat="1" applyFont="1" applyFill="1" applyAlignment="1">
      <alignment horizontal="center"/>
    </xf>
    <xf numFmtId="0" fontId="8" fillId="5" borderId="0" xfId="0" applyFont="1" applyFill="1" applyAlignment="1">
      <alignment horizontal="center"/>
    </xf>
    <xf numFmtId="20" fontId="8" fillId="5" borderId="0" xfId="0" applyNumberFormat="1" applyFont="1" applyFill="1" applyAlignment="1">
      <alignment horizontal="center"/>
    </xf>
    <xf numFmtId="2" fontId="8" fillId="5" borderId="0" xfId="0" applyNumberFormat="1" applyFont="1" applyFill="1" applyAlignment="1">
      <alignment horizontal="center"/>
    </xf>
    <xf numFmtId="0" fontId="8" fillId="5" borderId="0" xfId="0" applyFont="1" applyFill="1" applyAlignment="1">
      <alignment horizontal="left"/>
    </xf>
    <xf numFmtId="0" fontId="4" fillId="5" borderId="0" xfId="0" applyFont="1" applyFill="1"/>
    <xf numFmtId="0" fontId="14" fillId="0" borderId="0" xfId="0" applyFont="1"/>
    <xf numFmtId="0" fontId="4" fillId="0" borderId="6" xfId="0" applyFont="1" applyBorder="1"/>
    <xf numFmtId="2" fontId="4" fillId="5" borderId="0" xfId="0" applyNumberFormat="1" applyFont="1" applyFill="1"/>
    <xf numFmtId="0" fontId="8" fillId="6" borderId="0" xfId="0" applyFont="1" applyFill="1" applyAlignment="1">
      <alignment horizontal="center" vertical="center"/>
    </xf>
    <xf numFmtId="14" fontId="8" fillId="6" borderId="0" xfId="0" applyNumberFormat="1" applyFont="1" applyFill="1" applyAlignment="1">
      <alignment horizontal="center" vertical="center"/>
    </xf>
    <xf numFmtId="0" fontId="8" fillId="6" borderId="0" xfId="0" applyNumberFormat="1" applyFont="1" applyFill="1" applyAlignment="1">
      <alignment horizontal="center" vertical="center"/>
    </xf>
    <xf numFmtId="20" fontId="8" fillId="6" borderId="0" xfId="0" applyNumberFormat="1" applyFont="1" applyFill="1" applyAlignment="1">
      <alignment horizontal="center" vertical="center"/>
    </xf>
    <xf numFmtId="2" fontId="8" fillId="6" borderId="0" xfId="0" applyNumberFormat="1" applyFont="1" applyFill="1" applyAlignment="1">
      <alignment horizontal="center" vertical="center"/>
    </xf>
    <xf numFmtId="2" fontId="4" fillId="6" borderId="0" xfId="0" applyNumberFormat="1" applyFont="1" applyFill="1" applyAlignment="1">
      <alignment horizontal="center" vertical="center"/>
    </xf>
    <xf numFmtId="0" fontId="8" fillId="6" borderId="0" xfId="0" applyFont="1" applyFill="1" applyAlignment="1">
      <alignment vertical="center"/>
    </xf>
    <xf numFmtId="0" fontId="6" fillId="6" borderId="0" xfId="0" applyFont="1" applyFill="1" applyAlignment="1">
      <alignment horizontal="center" vertical="center"/>
    </xf>
    <xf numFmtId="0" fontId="4" fillId="0" borderId="0" xfId="0" applyFont="1" applyFill="1" applyAlignment="1">
      <alignment horizontal="center" vertical="center"/>
    </xf>
    <xf numFmtId="0" fontId="10" fillId="0" borderId="0" xfId="0" applyFont="1" applyFill="1" applyAlignment="1">
      <alignment horizontal="left" vertical="center"/>
    </xf>
    <xf numFmtId="0" fontId="10" fillId="0" borderId="22" xfId="0" applyFont="1" applyFill="1" applyBorder="1" applyAlignment="1">
      <alignment horizontal="center" vertical="center"/>
    </xf>
    <xf numFmtId="0" fontId="10" fillId="0" borderId="0" xfId="0" applyFont="1" applyFill="1" applyAlignment="1">
      <alignment horizontal="center" vertical="center"/>
    </xf>
    <xf numFmtId="0" fontId="4" fillId="0" borderId="10" xfId="1" applyFont="1" applyFill="1" applyBorder="1" applyAlignment="1">
      <alignment horizontal="center" vertical="center"/>
    </xf>
    <xf numFmtId="0" fontId="4" fillId="0" borderId="23" xfId="0" applyFont="1" applyFill="1" applyBorder="1" applyAlignment="1">
      <alignment horizontal="center" vertical="center"/>
    </xf>
    <xf numFmtId="0" fontId="4" fillId="0" borderId="22" xfId="0" applyFont="1" applyFill="1" applyBorder="1" applyAlignment="1">
      <alignment horizontal="center" vertical="center"/>
    </xf>
    <xf numFmtId="2" fontId="5" fillId="0" borderId="2" xfId="2" applyNumberFormat="1" applyFont="1" applyFill="1" applyBorder="1" applyAlignment="1">
      <alignment horizontal="center"/>
    </xf>
    <xf numFmtId="0" fontId="2" fillId="3" borderId="24" xfId="0" applyFont="1" applyFill="1" applyBorder="1" applyAlignment="1">
      <alignment horizontal="center"/>
    </xf>
    <xf numFmtId="0" fontId="0" fillId="0" borderId="24" xfId="0" applyBorder="1"/>
    <xf numFmtId="0" fontId="0" fillId="0" borderId="24" xfId="0" applyBorder="1" applyAlignment="1">
      <alignment horizontal="left"/>
    </xf>
    <xf numFmtId="0" fontId="0" fillId="0" borderId="24" xfId="0" applyBorder="1" applyAlignment="1">
      <alignment horizontal="center"/>
    </xf>
    <xf numFmtId="0" fontId="3" fillId="0" borderId="24" xfId="0" applyFont="1" applyBorder="1" applyAlignment="1">
      <alignment horizontal="center"/>
    </xf>
    <xf numFmtId="14" fontId="4" fillId="3" borderId="0" xfId="1" applyNumberFormat="1" applyFont="1" applyFill="1" applyBorder="1" applyAlignment="1">
      <alignment horizontal="center" vertical="center" wrapText="1"/>
    </xf>
    <xf numFmtId="0" fontId="4" fillId="3" borderId="0" xfId="0" applyFont="1" applyFill="1" applyAlignment="1">
      <alignment horizontal="center" vertical="center"/>
    </xf>
    <xf numFmtId="0" fontId="4" fillId="3" borderId="22" xfId="0" applyFont="1" applyFill="1" applyBorder="1" applyAlignment="1">
      <alignment horizontal="center" vertical="center"/>
    </xf>
    <xf numFmtId="20" fontId="4" fillId="3" borderId="1" xfId="1" applyNumberFormat="1" applyFont="1" applyFill="1" applyBorder="1" applyAlignment="1">
      <alignment horizontal="center" vertical="center" wrapText="1"/>
    </xf>
    <xf numFmtId="0" fontId="4" fillId="3" borderId="1" xfId="1" applyFont="1" applyFill="1" applyBorder="1" applyAlignment="1">
      <alignment horizontal="center" vertical="center" wrapText="1"/>
    </xf>
    <xf numFmtId="0" fontId="4" fillId="3" borderId="0" xfId="1" applyFont="1" applyFill="1" applyBorder="1" applyAlignment="1">
      <alignment horizontal="center" vertical="center"/>
    </xf>
    <xf numFmtId="0" fontId="4" fillId="3" borderId="0" xfId="1" applyFont="1" applyFill="1" applyAlignment="1">
      <alignment horizontal="center" vertical="center"/>
    </xf>
    <xf numFmtId="14" fontId="4" fillId="6" borderId="1" xfId="1" applyNumberFormat="1" applyFont="1" applyFill="1" applyBorder="1" applyAlignment="1">
      <alignment horizontal="center" vertical="center" wrapText="1"/>
    </xf>
    <xf numFmtId="14" fontId="4" fillId="6" borderId="0" xfId="1" applyNumberFormat="1" applyFont="1" applyFill="1" applyBorder="1" applyAlignment="1">
      <alignment horizontal="center" vertical="center" wrapText="1"/>
    </xf>
    <xf numFmtId="0" fontId="4" fillId="6" borderId="22" xfId="0" applyFont="1" applyFill="1" applyBorder="1" applyAlignment="1">
      <alignment horizontal="center" vertical="center"/>
    </xf>
    <xf numFmtId="20" fontId="4" fillId="6" borderId="1" xfId="1" applyNumberFormat="1" applyFont="1" applyFill="1" applyBorder="1" applyAlignment="1">
      <alignment horizontal="center" vertical="center" wrapText="1"/>
    </xf>
    <xf numFmtId="0" fontId="4" fillId="6" borderId="1" xfId="1" applyFont="1" applyFill="1" applyBorder="1" applyAlignment="1">
      <alignment horizontal="center" vertical="center" wrapText="1"/>
    </xf>
    <xf numFmtId="0" fontId="4" fillId="6" borderId="0" xfId="1" applyFont="1" applyFill="1" applyAlignment="1">
      <alignment horizontal="center" vertical="center"/>
    </xf>
    <xf numFmtId="0" fontId="14" fillId="0" borderId="22" xfId="0" applyFont="1" applyFill="1" applyBorder="1" applyAlignment="1">
      <alignment horizontal="center" vertical="center"/>
    </xf>
    <xf numFmtId="2" fontId="4" fillId="3" borderId="1" xfId="1" applyNumberFormat="1" applyFont="1" applyFill="1" applyBorder="1" applyAlignment="1">
      <alignment horizontal="center" vertical="center" wrapText="1"/>
    </xf>
    <xf numFmtId="2" fontId="4" fillId="6" borderId="1" xfId="1" applyNumberFormat="1" applyFont="1" applyFill="1" applyBorder="1" applyAlignment="1">
      <alignment horizontal="center" vertical="center" wrapText="1"/>
    </xf>
    <xf numFmtId="0" fontId="8" fillId="3" borderId="0" xfId="1" applyFont="1" applyFill="1" applyBorder="1" applyAlignment="1">
      <alignment horizontal="center" vertical="center"/>
    </xf>
    <xf numFmtId="0" fontId="8" fillId="3" borderId="1" xfId="1" applyFont="1" applyFill="1" applyBorder="1" applyAlignment="1">
      <alignment horizontal="center" vertical="center" wrapText="1"/>
    </xf>
    <xf numFmtId="0" fontId="8" fillId="0" borderId="22" xfId="0" applyFont="1" applyFill="1" applyBorder="1" applyAlignment="1">
      <alignment horizontal="center" vertical="center"/>
    </xf>
    <xf numFmtId="0" fontId="8" fillId="3" borderId="22" xfId="0" applyFont="1" applyFill="1" applyBorder="1" applyAlignment="1">
      <alignment horizontal="center" vertical="center"/>
    </xf>
    <xf numFmtId="0" fontId="4" fillId="0" borderId="0" xfId="0" applyFont="1" applyFill="1" applyAlignment="1">
      <alignment horizontal="center" vertical="center"/>
    </xf>
    <xf numFmtId="14" fontId="4" fillId="3" borderId="0" xfId="0" applyNumberFormat="1" applyFont="1" applyFill="1" applyAlignment="1">
      <alignment horizontal="center" vertical="center"/>
    </xf>
    <xf numFmtId="20" fontId="4" fillId="3" borderId="0" xfId="0" applyNumberFormat="1" applyFont="1" applyFill="1" applyAlignment="1">
      <alignment horizontal="center" vertical="center"/>
    </xf>
    <xf numFmtId="0" fontId="4" fillId="0" borderId="0" xfId="0" applyFont="1" applyFill="1" applyAlignment="1">
      <alignment horizontal="center" vertical="center"/>
    </xf>
    <xf numFmtId="20" fontId="4" fillId="6" borderId="0" xfId="0" applyNumberFormat="1" applyFont="1" applyFill="1" applyAlignment="1">
      <alignment horizontal="center" vertical="center"/>
    </xf>
    <xf numFmtId="2" fontId="8" fillId="6" borderId="1" xfId="1" applyNumberFormat="1" applyFont="1" applyFill="1" applyBorder="1" applyAlignment="1">
      <alignment horizontal="center" vertical="center" wrapText="1"/>
    </xf>
    <xf numFmtId="2" fontId="10" fillId="0" borderId="0" xfId="0" applyNumberFormat="1" applyFont="1" applyFill="1" applyAlignment="1">
      <alignment horizontal="center" vertical="center"/>
    </xf>
    <xf numFmtId="0" fontId="4" fillId="0" borderId="0" xfId="0" applyFont="1" applyFill="1" applyAlignment="1">
      <alignment horizontal="center" vertical="center"/>
    </xf>
    <xf numFmtId="0" fontId="15" fillId="0" borderId="22" xfId="0" applyFont="1" applyFill="1" applyBorder="1" applyAlignment="1">
      <alignment horizontal="center" vertical="center"/>
    </xf>
    <xf numFmtId="0" fontId="15" fillId="0" borderId="0" xfId="1" applyFont="1" applyFill="1" applyBorder="1" applyAlignment="1">
      <alignment horizontal="center" vertical="center"/>
    </xf>
    <xf numFmtId="0" fontId="15" fillId="0" borderId="1" xfId="1" applyFont="1" applyFill="1" applyBorder="1" applyAlignment="1">
      <alignment horizontal="center" vertical="center" wrapText="1"/>
    </xf>
    <xf numFmtId="0" fontId="4" fillId="0" borderId="0" xfId="0" applyFont="1" applyFill="1" applyAlignment="1">
      <alignment horizontal="center" vertical="center" wrapText="1"/>
    </xf>
    <xf numFmtId="14" fontId="8" fillId="5" borderId="1" xfId="1" applyNumberFormat="1" applyFont="1" applyFill="1" applyBorder="1" applyAlignment="1">
      <alignment horizontal="center" vertical="center" wrapText="1"/>
    </xf>
    <xf numFmtId="0" fontId="4" fillId="0" borderId="0" xfId="0" applyFont="1" applyFill="1" applyAlignment="1">
      <alignment horizontal="center" vertical="center"/>
    </xf>
    <xf numFmtId="0" fontId="4" fillId="5" borderId="0" xfId="1" applyFont="1" applyFill="1" applyBorder="1" applyAlignment="1">
      <alignment horizontal="center" vertical="center"/>
    </xf>
    <xf numFmtId="0" fontId="4" fillId="5" borderId="0" xfId="1" applyFont="1" applyFill="1" applyBorder="1" applyAlignment="1">
      <alignment horizontal="center" vertical="center" wrapText="1"/>
    </xf>
    <xf numFmtId="0" fontId="15" fillId="0" borderId="18" xfId="1" applyFont="1" applyFill="1" applyBorder="1" applyAlignment="1">
      <alignment horizontal="center" vertical="center" wrapText="1"/>
    </xf>
    <xf numFmtId="0" fontId="15" fillId="0" borderId="0" xfId="1" applyFont="1" applyFill="1" applyBorder="1" applyAlignment="1">
      <alignment horizontal="center" vertical="center" wrapText="1"/>
    </xf>
    <xf numFmtId="0" fontId="10" fillId="5" borderId="0" xfId="1" applyFont="1" applyFill="1" applyBorder="1" applyAlignment="1">
      <alignment horizontal="center" vertical="center"/>
    </xf>
    <xf numFmtId="0" fontId="4" fillId="0" borderId="0" xfId="0" applyFont="1" applyFill="1" applyAlignment="1">
      <alignment horizontal="center" vertical="center"/>
    </xf>
    <xf numFmtId="0" fontId="15" fillId="0" borderId="0" xfId="0" applyFont="1" applyFill="1" applyAlignment="1">
      <alignment horizontal="center" vertical="center" wrapText="1"/>
    </xf>
    <xf numFmtId="0" fontId="17" fillId="5" borderId="0" xfId="0" applyNumberFormat="1" applyFont="1" applyFill="1" applyAlignment="1">
      <alignment horizontal="center" vertical="center"/>
    </xf>
    <xf numFmtId="0" fontId="4" fillId="3" borderId="0" xfId="0" applyFont="1" applyFill="1" applyAlignment="1">
      <alignment horizontal="center" vertical="center" wrapText="1"/>
    </xf>
    <xf numFmtId="0" fontId="4" fillId="3" borderId="1" xfId="1" applyFont="1" applyFill="1" applyBorder="1" applyAlignment="1">
      <alignment horizontal="center" vertical="center"/>
    </xf>
    <xf numFmtId="0" fontId="10" fillId="6" borderId="0" xfId="1" applyFont="1" applyFill="1" applyBorder="1" applyAlignment="1">
      <alignment horizontal="center" vertical="center"/>
    </xf>
    <xf numFmtId="0" fontId="4" fillId="6" borderId="0" xfId="1" applyFont="1" applyFill="1" applyBorder="1" applyAlignment="1">
      <alignment horizontal="center" vertical="center"/>
    </xf>
    <xf numFmtId="0" fontId="4" fillId="6" borderId="0" xfId="1" applyFont="1" applyFill="1" applyBorder="1" applyAlignment="1">
      <alignment horizontal="center" vertical="center" wrapText="1"/>
    </xf>
    <xf numFmtId="2" fontId="15" fillId="0" borderId="1" xfId="1" applyNumberFormat="1" applyFont="1" applyFill="1" applyBorder="1" applyAlignment="1">
      <alignment horizontal="center" vertical="center" wrapText="1"/>
    </xf>
    <xf numFmtId="0" fontId="4" fillId="0" borderId="0" xfId="0" applyFont="1" applyFill="1" applyAlignment="1">
      <alignment horizontal="center" vertical="center"/>
    </xf>
    <xf numFmtId="2" fontId="8" fillId="5" borderId="1" xfId="1" applyNumberFormat="1" applyFont="1" applyFill="1" applyBorder="1" applyAlignment="1">
      <alignment horizontal="center" vertical="center" wrapText="1"/>
    </xf>
    <xf numFmtId="0" fontId="8" fillId="5" borderId="0" xfId="1" applyFont="1" applyFill="1" applyBorder="1" applyAlignment="1">
      <alignment horizontal="center" vertical="center" wrapText="1"/>
    </xf>
    <xf numFmtId="0" fontId="8" fillId="5" borderId="0" xfId="1" applyFont="1" applyFill="1" applyBorder="1" applyAlignment="1">
      <alignment horizontal="center" vertical="center"/>
    </xf>
    <xf numFmtId="0" fontId="6" fillId="3" borderId="0" xfId="0" applyFont="1" applyFill="1" applyAlignment="1">
      <alignment horizontal="center" vertical="center"/>
    </xf>
    <xf numFmtId="0" fontId="8" fillId="6" borderId="0" xfId="1" applyFont="1" applyFill="1" applyBorder="1" applyAlignment="1">
      <alignment horizontal="center" vertical="center" wrapText="1"/>
    </xf>
    <xf numFmtId="0" fontId="8" fillId="6" borderId="0" xfId="1" applyFont="1" applyFill="1" applyBorder="1" applyAlignment="1">
      <alignment horizontal="center" vertical="center"/>
    </xf>
    <xf numFmtId="0" fontId="17" fillId="6" borderId="0" xfId="1" applyFont="1" applyFill="1" applyBorder="1" applyAlignment="1">
      <alignment horizontal="center" vertical="center"/>
    </xf>
    <xf numFmtId="0" fontId="6" fillId="3" borderId="0" xfId="1" applyFont="1" applyFill="1" applyBorder="1" applyAlignment="1">
      <alignment horizontal="center" vertical="center"/>
    </xf>
    <xf numFmtId="0" fontId="17" fillId="5" borderId="0" xfId="1" applyFont="1" applyFill="1" applyBorder="1" applyAlignment="1">
      <alignment horizontal="center" vertical="center"/>
    </xf>
    <xf numFmtId="0" fontId="8" fillId="6" borderId="1" xfId="1" applyFont="1" applyFill="1" applyBorder="1" applyAlignment="1">
      <alignment horizontal="center" vertical="center" wrapText="1"/>
    </xf>
    <xf numFmtId="0" fontId="8" fillId="6" borderId="18" xfId="1" applyFont="1" applyFill="1" applyBorder="1" applyAlignment="1">
      <alignment horizontal="center" vertical="center" wrapText="1"/>
    </xf>
    <xf numFmtId="0" fontId="8" fillId="0" borderId="5" xfId="1" applyFont="1" applyFill="1" applyBorder="1" applyAlignment="1">
      <alignment horizontal="center" vertical="center" wrapText="1"/>
    </xf>
    <xf numFmtId="2" fontId="8" fillId="0" borderId="5" xfId="1" applyNumberFormat="1" applyFont="1" applyFill="1" applyBorder="1" applyAlignment="1">
      <alignment horizontal="center" vertical="center" wrapText="1"/>
    </xf>
    <xf numFmtId="0" fontId="8" fillId="0" borderId="19" xfId="1" applyFont="1" applyFill="1" applyBorder="1" applyAlignment="1">
      <alignment horizontal="center" vertical="center" wrapText="1"/>
    </xf>
    <xf numFmtId="0" fontId="8" fillId="0" borderId="6" xfId="1" applyFont="1" applyFill="1" applyBorder="1" applyAlignment="1">
      <alignment horizontal="center" vertical="center" wrapText="1"/>
    </xf>
    <xf numFmtId="0" fontId="8" fillId="0" borderId="6" xfId="1" applyFont="1" applyFill="1" applyBorder="1" applyAlignment="1">
      <alignment horizontal="center" vertical="center"/>
    </xf>
    <xf numFmtId="14" fontId="15" fillId="0" borderId="6" xfId="0" applyNumberFormat="1" applyFont="1" applyFill="1" applyBorder="1" applyAlignment="1">
      <alignment horizontal="center" vertical="center"/>
    </xf>
    <xf numFmtId="0" fontId="15" fillId="0" borderId="6" xfId="0" applyFont="1" applyFill="1" applyBorder="1" applyAlignment="1">
      <alignment horizontal="center" vertical="center"/>
    </xf>
    <xf numFmtId="0" fontId="15" fillId="0" borderId="6" xfId="0" applyNumberFormat="1" applyFont="1" applyFill="1" applyBorder="1" applyAlignment="1">
      <alignment horizontal="center" vertical="center"/>
    </xf>
    <xf numFmtId="2" fontId="15" fillId="0" borderId="5" xfId="1" applyNumberFormat="1" applyFont="1" applyFill="1" applyBorder="1" applyAlignment="1">
      <alignment horizontal="center" vertical="center" wrapText="1"/>
    </xf>
    <xf numFmtId="0" fontId="15" fillId="0" borderId="5" xfId="1" applyFont="1" applyFill="1" applyBorder="1" applyAlignment="1">
      <alignment horizontal="center" vertical="center" wrapText="1"/>
    </xf>
    <xf numFmtId="0" fontId="15" fillId="0" borderId="19" xfId="1" applyFont="1" applyFill="1" applyBorder="1" applyAlignment="1">
      <alignment horizontal="center" vertical="center" wrapText="1"/>
    </xf>
    <xf numFmtId="0" fontId="15" fillId="0" borderId="6" xfId="1" applyFont="1" applyFill="1" applyBorder="1" applyAlignment="1">
      <alignment horizontal="center" vertical="center" wrapText="1"/>
    </xf>
    <xf numFmtId="0" fontId="15" fillId="0" borderId="6" xfId="1" applyFont="1" applyFill="1" applyBorder="1" applyAlignment="1">
      <alignment horizontal="center" vertical="center"/>
    </xf>
    <xf numFmtId="0" fontId="15" fillId="0" borderId="6" xfId="0" applyFont="1" applyFill="1" applyBorder="1" applyAlignment="1">
      <alignment horizontal="left" vertical="center"/>
    </xf>
    <xf numFmtId="0" fontId="8" fillId="0" borderId="25" xfId="1" applyFont="1" applyFill="1" applyBorder="1" applyAlignment="1">
      <alignment horizontal="center" vertical="center" wrapText="1"/>
    </xf>
    <xf numFmtId="14" fontId="8" fillId="6" borderId="0" xfId="0" applyNumberFormat="1" applyFont="1" applyFill="1" applyBorder="1" applyAlignment="1">
      <alignment horizontal="center" vertical="center"/>
    </xf>
    <xf numFmtId="0" fontId="8" fillId="6" borderId="0" xfId="0" applyFont="1" applyFill="1" applyBorder="1" applyAlignment="1">
      <alignment horizontal="center" vertical="center"/>
    </xf>
    <xf numFmtId="0" fontId="8" fillId="6" borderId="0" xfId="0" applyNumberFormat="1" applyFont="1" applyFill="1" applyBorder="1" applyAlignment="1">
      <alignment horizontal="center" vertical="center"/>
    </xf>
    <xf numFmtId="2" fontId="8" fillId="6" borderId="0" xfId="0" applyNumberFormat="1" applyFont="1" applyFill="1" applyBorder="1" applyAlignment="1">
      <alignment horizontal="center" vertical="center"/>
    </xf>
    <xf numFmtId="2" fontId="4" fillId="6" borderId="0" xfId="0" applyNumberFormat="1" applyFont="1" applyFill="1" applyBorder="1" applyAlignment="1">
      <alignment horizontal="center" vertical="center"/>
    </xf>
    <xf numFmtId="0" fontId="8" fillId="6" borderId="0" xfId="0" applyFont="1" applyFill="1" applyBorder="1" applyAlignment="1">
      <alignment horizontal="left" vertical="center"/>
    </xf>
    <xf numFmtId="2" fontId="8" fillId="6" borderId="0" xfId="1" applyNumberFormat="1" applyFont="1" applyFill="1" applyBorder="1" applyAlignment="1">
      <alignment horizontal="center" vertical="center" wrapText="1"/>
    </xf>
    <xf numFmtId="0" fontId="8" fillId="0" borderId="0" xfId="0" applyNumberFormat="1" applyFont="1" applyFill="1" applyAlignment="1">
      <alignment horizontal="left" vertical="center"/>
    </xf>
    <xf numFmtId="0" fontId="8" fillId="5" borderId="0" xfId="0" applyNumberFormat="1" applyFont="1" applyFill="1" applyAlignment="1">
      <alignment horizontal="left" vertical="center"/>
    </xf>
    <xf numFmtId="0" fontId="8" fillId="0" borderId="6" xfId="0" applyNumberFormat="1" applyFont="1" applyFill="1" applyBorder="1" applyAlignment="1">
      <alignment horizontal="left" vertical="center"/>
    </xf>
    <xf numFmtId="0" fontId="8" fillId="0" borderId="0" xfId="0" applyNumberFormat="1" applyFont="1" applyFill="1" applyAlignment="1">
      <alignment vertical="center"/>
    </xf>
    <xf numFmtId="0" fontId="8" fillId="6" borderId="0" xfId="0" applyNumberFormat="1" applyFont="1" applyFill="1" applyAlignment="1">
      <alignment vertical="center"/>
    </xf>
    <xf numFmtId="167" fontId="8" fillId="0" borderId="0" xfId="0" applyNumberFormat="1" applyFont="1" applyFill="1" applyAlignment="1">
      <alignment horizontal="center" vertical="center"/>
    </xf>
    <xf numFmtId="0" fontId="8" fillId="0" borderId="6" xfId="0" applyNumberFormat="1" applyFont="1" applyFill="1" applyBorder="1" applyAlignment="1">
      <alignment vertical="center"/>
    </xf>
    <xf numFmtId="0" fontId="14" fillId="0" borderId="0" xfId="0" applyNumberFormat="1" applyFont="1" applyFill="1" applyAlignment="1">
      <alignment vertical="center"/>
    </xf>
    <xf numFmtId="0" fontId="8" fillId="5" borderId="0" xfId="0" applyNumberFormat="1" applyFont="1" applyFill="1" applyAlignment="1">
      <alignment vertical="center"/>
    </xf>
    <xf numFmtId="0" fontId="17" fillId="6" borderId="0" xfId="0" applyNumberFormat="1" applyFont="1" applyFill="1" applyAlignment="1">
      <alignment horizontal="center" vertical="center"/>
    </xf>
    <xf numFmtId="0" fontId="8" fillId="0" borderId="26" xfId="0" applyNumberFormat="1" applyFont="1" applyFill="1" applyBorder="1" applyAlignment="1">
      <alignment horizontal="center" vertical="center"/>
    </xf>
    <xf numFmtId="0" fontId="8" fillId="0" borderId="27" xfId="0" applyNumberFormat="1" applyFont="1" applyFill="1" applyBorder="1" applyAlignment="1">
      <alignment horizontal="center" vertical="center"/>
    </xf>
    <xf numFmtId="0" fontId="8" fillId="0" borderId="27" xfId="0" applyNumberFormat="1" applyFont="1" applyFill="1" applyBorder="1" applyAlignment="1">
      <alignment vertical="center"/>
    </xf>
    <xf numFmtId="1" fontId="8" fillId="0" borderId="0" xfId="0" applyNumberFormat="1" applyFont="1" applyFill="1" applyAlignment="1">
      <alignment horizontal="center" vertical="center"/>
    </xf>
    <xf numFmtId="167" fontId="7" fillId="0" borderId="0" xfId="0" applyNumberFormat="1" applyFont="1" applyFill="1" applyAlignment="1">
      <alignment vertical="top"/>
    </xf>
    <xf numFmtId="167" fontId="5" fillId="0" borderId="10" xfId="1" applyNumberFormat="1" applyFont="1" applyFill="1" applyBorder="1" applyAlignment="1">
      <alignment horizontal="center" vertical="center"/>
    </xf>
    <xf numFmtId="167" fontId="8" fillId="5" borderId="0" xfId="0" applyNumberFormat="1" applyFont="1" applyFill="1" applyAlignment="1">
      <alignment horizontal="center" vertical="center"/>
    </xf>
    <xf numFmtId="167" fontId="14" fillId="0" borderId="0" xfId="0" applyNumberFormat="1" applyFont="1" applyFill="1" applyAlignment="1">
      <alignment horizontal="center" vertical="center"/>
    </xf>
    <xf numFmtId="167" fontId="8" fillId="6" borderId="0" xfId="0" applyNumberFormat="1" applyFont="1" applyFill="1" applyAlignment="1">
      <alignment horizontal="center" vertical="center"/>
    </xf>
    <xf numFmtId="167" fontId="14" fillId="0" borderId="6" xfId="0" applyNumberFormat="1" applyFont="1" applyFill="1" applyBorder="1" applyAlignment="1">
      <alignment horizontal="center" vertical="center"/>
    </xf>
    <xf numFmtId="167" fontId="15" fillId="0" borderId="0" xfId="0" applyNumberFormat="1" applyFont="1" applyFill="1" applyAlignment="1">
      <alignment horizontal="center" vertical="center"/>
    </xf>
    <xf numFmtId="167" fontId="8" fillId="0" borderId="6" xfId="0" applyNumberFormat="1" applyFont="1" applyFill="1" applyBorder="1" applyAlignment="1">
      <alignment horizontal="center" vertical="center"/>
    </xf>
    <xf numFmtId="167" fontId="8" fillId="6" borderId="0" xfId="0" applyNumberFormat="1" applyFont="1" applyFill="1" applyBorder="1" applyAlignment="1">
      <alignment horizontal="center" vertical="center"/>
    </xf>
    <xf numFmtId="164" fontId="8" fillId="6" borderId="0" xfId="0" applyNumberFormat="1" applyFont="1" applyFill="1" applyAlignment="1">
      <alignment horizontal="center" vertical="center"/>
    </xf>
    <xf numFmtId="167" fontId="8" fillId="0" borderId="0" xfId="0" applyNumberFormat="1" applyFont="1" applyFill="1" applyBorder="1" applyAlignment="1">
      <alignment horizontal="center" vertical="center"/>
    </xf>
    <xf numFmtId="0" fontId="8" fillId="0" borderId="0" xfId="0" applyNumberFormat="1" applyFont="1" applyFill="1" applyBorder="1" applyAlignment="1">
      <alignment vertical="center"/>
    </xf>
    <xf numFmtId="164" fontId="8" fillId="0" borderId="0" xfId="0" applyNumberFormat="1" applyFont="1" applyFill="1" applyBorder="1" applyAlignment="1">
      <alignment horizontal="center" vertical="center"/>
    </xf>
    <xf numFmtId="1" fontId="8" fillId="0" borderId="0" xfId="0" applyNumberFormat="1" applyFont="1" applyFill="1" applyBorder="1" applyAlignment="1">
      <alignment horizontal="center" vertical="center"/>
    </xf>
    <xf numFmtId="0" fontId="8" fillId="5" borderId="26" xfId="0" applyNumberFormat="1" applyFont="1" applyFill="1" applyBorder="1" applyAlignment="1">
      <alignment horizontal="center" vertical="center"/>
    </xf>
    <xf numFmtId="0" fontId="14" fillId="0" borderId="6" xfId="0" applyNumberFormat="1" applyFont="1" applyFill="1" applyBorder="1" applyAlignment="1">
      <alignment vertical="center"/>
    </xf>
    <xf numFmtId="0" fontId="14" fillId="0" borderId="0" xfId="0" applyNumberFormat="1" applyFont="1" applyFill="1" applyBorder="1" applyAlignment="1">
      <alignment vertical="center"/>
    </xf>
    <xf numFmtId="0" fontId="6" fillId="6" borderId="0" xfId="0" applyNumberFormat="1" applyFont="1" applyFill="1" applyAlignment="1">
      <alignment horizontal="center" vertical="center"/>
    </xf>
    <xf numFmtId="167" fontId="8" fillId="5" borderId="6" xfId="0" applyNumberFormat="1" applyFont="1" applyFill="1" applyBorder="1" applyAlignment="1">
      <alignment horizontal="center" vertical="center"/>
    </xf>
    <xf numFmtId="0" fontId="8" fillId="5" borderId="6" xfId="0" applyNumberFormat="1" applyFont="1" applyFill="1" applyBorder="1" applyAlignment="1">
      <alignment vertical="center"/>
    </xf>
    <xf numFmtId="0" fontId="4" fillId="0" borderId="0" xfId="0" applyFont="1" applyFill="1" applyAlignment="1">
      <alignment horizontal="center" vertical="center"/>
    </xf>
    <xf numFmtId="167" fontId="5" fillId="0" borderId="0" xfId="1" applyNumberFormat="1" applyFont="1" applyFill="1" applyBorder="1" applyAlignment="1">
      <alignment horizontal="center" vertical="center"/>
    </xf>
    <xf numFmtId="2" fontId="8" fillId="0" borderId="0" xfId="1" applyNumberFormat="1" applyFont="1" applyFill="1" applyBorder="1" applyAlignment="1">
      <alignment horizontal="center" vertical="center"/>
    </xf>
    <xf numFmtId="2" fontId="4" fillId="0" borderId="0" xfId="1" applyNumberFormat="1" applyFont="1" applyFill="1" applyBorder="1" applyAlignment="1">
      <alignment horizontal="center" vertical="center"/>
    </xf>
    <xf numFmtId="0" fontId="4" fillId="0" borderId="0" xfId="0" applyFont="1" applyFill="1" applyBorder="1" applyAlignment="1">
      <alignment horizontal="left" vertical="center"/>
    </xf>
    <xf numFmtId="167" fontId="14" fillId="0" borderId="0" xfId="0" applyNumberFormat="1" applyFont="1" applyFill="1" applyBorder="1" applyAlignment="1">
      <alignment horizontal="center" vertical="center"/>
    </xf>
    <xf numFmtId="14" fontId="4" fillId="0" borderId="0" xfId="0" applyNumberFormat="1" applyFont="1" applyFill="1" applyBorder="1" applyAlignment="1">
      <alignment horizontal="center" vertical="center"/>
    </xf>
    <xf numFmtId="0" fontId="8" fillId="0" borderId="0" xfId="0" applyNumberFormat="1" applyFont="1" applyFill="1" applyBorder="1" applyAlignment="1">
      <alignment horizontal="left" vertical="center"/>
    </xf>
    <xf numFmtId="2" fontId="8" fillId="0" borderId="6" xfId="1" applyNumberFormat="1" applyFont="1" applyFill="1" applyBorder="1" applyAlignment="1">
      <alignment horizontal="center" vertical="center" wrapText="1"/>
    </xf>
    <xf numFmtId="0" fontId="4" fillId="0" borderId="6" xfId="1" applyFont="1" applyFill="1" applyBorder="1" applyAlignment="1">
      <alignment horizontal="center" vertical="center"/>
    </xf>
    <xf numFmtId="0" fontId="4" fillId="0" borderId="6" xfId="1" applyFont="1" applyFill="1" applyBorder="1" applyAlignment="1">
      <alignment horizontal="center" vertical="center" wrapText="1"/>
    </xf>
    <xf numFmtId="0" fontId="6" fillId="6" borderId="0" xfId="1" applyFont="1" applyFill="1" applyBorder="1" applyAlignment="1">
      <alignment horizontal="center" vertical="center"/>
    </xf>
    <xf numFmtId="0" fontId="6" fillId="6" borderId="0" xfId="0" applyNumberFormat="1" applyFont="1" applyFill="1" applyAlignment="1">
      <alignment vertical="center"/>
    </xf>
    <xf numFmtId="0" fontId="6" fillId="6" borderId="0" xfId="1" applyFont="1" applyFill="1" applyBorder="1" applyAlignment="1">
      <alignment horizontal="center" vertical="center" wrapText="1"/>
    </xf>
    <xf numFmtId="14" fontId="8" fillId="5" borderId="0" xfId="0" applyNumberFormat="1" applyFont="1" applyFill="1" applyBorder="1" applyAlignment="1">
      <alignment horizontal="center" vertical="center"/>
    </xf>
    <xf numFmtId="0" fontId="8" fillId="5" borderId="0" xfId="0" applyNumberFormat="1" applyFont="1" applyFill="1" applyBorder="1" applyAlignment="1">
      <alignment horizontal="center" vertical="center"/>
    </xf>
    <xf numFmtId="167" fontId="8" fillId="5" borderId="0" xfId="0" applyNumberFormat="1" applyFont="1" applyFill="1" applyBorder="1" applyAlignment="1">
      <alignment horizontal="center" vertical="center"/>
    </xf>
    <xf numFmtId="2" fontId="8" fillId="5" borderId="0" xfId="0" applyNumberFormat="1" applyFont="1" applyFill="1" applyBorder="1" applyAlignment="1">
      <alignment horizontal="center" vertical="center"/>
    </xf>
    <xf numFmtId="2" fontId="4" fillId="5" borderId="0" xfId="0" applyNumberFormat="1" applyFont="1" applyFill="1" applyBorder="1" applyAlignment="1">
      <alignment horizontal="center" vertical="center"/>
    </xf>
    <xf numFmtId="0" fontId="8" fillId="5" borderId="0" xfId="0" applyFont="1" applyFill="1" applyBorder="1" applyAlignment="1">
      <alignment horizontal="left" vertical="center"/>
    </xf>
    <xf numFmtId="2" fontId="8" fillId="0" borderId="0" xfId="0" applyNumberFormat="1" applyFont="1" applyFill="1" applyBorder="1" applyAlignment="1">
      <alignment horizontal="center"/>
    </xf>
    <xf numFmtId="0" fontId="0" fillId="0" borderId="0" xfId="0" applyFont="1" applyAlignment="1">
      <alignment vertical="center" wrapText="1"/>
    </xf>
    <xf numFmtId="0" fontId="4" fillId="0" borderId="3" xfId="0" applyFont="1" applyFill="1" applyBorder="1" applyAlignment="1">
      <alignment vertical="center"/>
    </xf>
    <xf numFmtId="0" fontId="4" fillId="0" borderId="0" xfId="0" applyFont="1" applyFill="1" applyAlignment="1">
      <alignment vertical="center"/>
    </xf>
    <xf numFmtId="0" fontId="4" fillId="0" borderId="4" xfId="0" applyFont="1" applyFill="1" applyBorder="1" applyAlignment="1">
      <alignment vertical="center"/>
    </xf>
    <xf numFmtId="2" fontId="8" fillId="5" borderId="0" xfId="1" applyNumberFormat="1" applyFont="1" applyFill="1" applyBorder="1" applyAlignment="1">
      <alignment horizontal="center" vertical="center" wrapText="1"/>
    </xf>
    <xf numFmtId="14" fontId="17" fillId="5" borderId="0" xfId="0" applyNumberFormat="1" applyFont="1" applyFill="1" applyBorder="1" applyAlignment="1">
      <alignment horizontal="center" vertical="center"/>
    </xf>
    <xf numFmtId="14" fontId="17" fillId="6" borderId="0" xfId="0" applyNumberFormat="1" applyFont="1" applyFill="1" applyBorder="1" applyAlignment="1">
      <alignment horizontal="center" vertical="center"/>
    </xf>
    <xf numFmtId="14" fontId="8" fillId="6" borderId="6" xfId="0" applyNumberFormat="1" applyFont="1" applyFill="1" applyBorder="1" applyAlignment="1">
      <alignment horizontal="center" vertical="center"/>
    </xf>
    <xf numFmtId="0" fontId="8" fillId="6" borderId="6" xfId="0" applyFont="1" applyFill="1" applyBorder="1" applyAlignment="1">
      <alignment horizontal="center" vertical="center"/>
    </xf>
    <xf numFmtId="0" fontId="8" fillId="6" borderId="6" xfId="0" applyNumberFormat="1" applyFont="1" applyFill="1" applyBorder="1" applyAlignment="1">
      <alignment horizontal="center" vertical="center"/>
    </xf>
    <xf numFmtId="167" fontId="8" fillId="6" borderId="6" xfId="0" applyNumberFormat="1" applyFont="1" applyFill="1" applyBorder="1" applyAlignment="1">
      <alignment horizontal="center" vertical="center"/>
    </xf>
    <xf numFmtId="2" fontId="8" fillId="6" borderId="6" xfId="0" applyNumberFormat="1" applyFont="1" applyFill="1" applyBorder="1" applyAlignment="1">
      <alignment horizontal="center" vertical="center"/>
    </xf>
    <xf numFmtId="0" fontId="8" fillId="6" borderId="6" xfId="0" applyFont="1" applyFill="1" applyBorder="1" applyAlignment="1">
      <alignment horizontal="left" vertical="center"/>
    </xf>
    <xf numFmtId="0" fontId="8" fillId="6" borderId="0" xfId="0" applyNumberFormat="1" applyFont="1" applyFill="1" applyBorder="1" applyAlignment="1">
      <alignment horizontal="left" vertical="center"/>
    </xf>
    <xf numFmtId="0" fontId="8" fillId="5" borderId="0" xfId="0" applyNumberFormat="1" applyFont="1" applyFill="1" applyBorder="1" applyAlignment="1">
      <alignment horizontal="left" vertical="center"/>
    </xf>
    <xf numFmtId="0" fontId="17" fillId="5" borderId="0" xfId="0" applyNumberFormat="1" applyFont="1" applyFill="1" applyBorder="1" applyAlignment="1">
      <alignment horizontal="center" vertical="center"/>
    </xf>
    <xf numFmtId="0" fontId="8" fillId="5" borderId="0" xfId="0" applyNumberFormat="1" applyFont="1" applyFill="1" applyBorder="1" applyAlignment="1">
      <alignment vertical="center"/>
    </xf>
    <xf numFmtId="0" fontId="8" fillId="6" borderId="0" xfId="0" applyNumberFormat="1" applyFont="1" applyFill="1" applyBorder="1" applyAlignment="1">
      <alignment vertical="center"/>
    </xf>
    <xf numFmtId="0" fontId="21" fillId="6" borderId="0" xfId="0" applyNumberFormat="1" applyFont="1" applyFill="1" applyAlignment="1">
      <alignment horizontal="center" vertical="center"/>
    </xf>
    <xf numFmtId="0" fontId="4" fillId="0" borderId="0" xfId="0" applyNumberFormat="1" applyFont="1" applyFill="1" applyBorder="1" applyAlignment="1">
      <alignment horizontal="center" vertical="center"/>
    </xf>
    <xf numFmtId="0" fontId="4" fillId="5" borderId="0" xfId="0" applyNumberFormat="1" applyFont="1" applyFill="1" applyBorder="1" applyAlignment="1">
      <alignment horizontal="center" vertical="center"/>
    </xf>
    <xf numFmtId="164" fontId="8" fillId="5" borderId="0" xfId="0" applyNumberFormat="1" applyFont="1" applyFill="1" applyBorder="1" applyAlignment="1">
      <alignment horizontal="center" vertical="center"/>
    </xf>
    <xf numFmtId="164" fontId="14" fillId="0" borderId="0" xfId="0" applyNumberFormat="1" applyFont="1" applyFill="1" applyBorder="1" applyAlignment="1">
      <alignment horizontal="center" vertical="center"/>
    </xf>
    <xf numFmtId="0" fontId="17" fillId="6" borderId="0" xfId="0" applyNumberFormat="1" applyFont="1" applyFill="1" applyBorder="1" applyAlignment="1">
      <alignment horizontal="center" vertical="center"/>
    </xf>
    <xf numFmtId="0" fontId="17" fillId="5" borderId="6" xfId="0" applyNumberFormat="1" applyFont="1" applyFill="1" applyBorder="1" applyAlignment="1">
      <alignment horizontal="center" vertical="center"/>
    </xf>
    <xf numFmtId="2" fontId="7" fillId="0" borderId="0" xfId="0" applyNumberFormat="1" applyFont="1" applyFill="1" applyAlignment="1">
      <alignment vertical="top"/>
    </xf>
    <xf numFmtId="20" fontId="8" fillId="5" borderId="0" xfId="0" applyNumberFormat="1" applyFont="1" applyFill="1" applyBorder="1" applyAlignment="1">
      <alignment horizontal="center" vertical="center"/>
    </xf>
    <xf numFmtId="0" fontId="4" fillId="10" borderId="0" xfId="0" applyFont="1" applyFill="1" applyAlignment="1">
      <alignment horizontal="center" vertical="center"/>
    </xf>
    <xf numFmtId="0" fontId="4" fillId="10" borderId="1" xfId="1" applyFont="1" applyFill="1" applyBorder="1" applyAlignment="1">
      <alignment horizontal="center" vertical="center" wrapText="1"/>
    </xf>
    <xf numFmtId="14" fontId="4" fillId="5" borderId="2" xfId="1" applyNumberFormat="1" applyFont="1" applyFill="1" applyBorder="1" applyAlignment="1">
      <alignment horizontal="center" vertical="center" wrapText="1"/>
    </xf>
    <xf numFmtId="0" fontId="4" fillId="5" borderId="22" xfId="0" applyFont="1" applyFill="1" applyBorder="1" applyAlignment="1">
      <alignment horizontal="center" vertical="center"/>
    </xf>
    <xf numFmtId="0" fontId="4" fillId="5" borderId="0" xfId="0" applyFont="1" applyFill="1" applyAlignment="1">
      <alignment horizontal="center" vertical="center"/>
    </xf>
    <xf numFmtId="20" fontId="4" fillId="5" borderId="1" xfId="1" applyNumberFormat="1" applyFont="1" applyFill="1" applyBorder="1" applyAlignment="1">
      <alignment horizontal="center" vertical="center" wrapText="1"/>
    </xf>
    <xf numFmtId="0" fontId="4" fillId="5" borderId="2" xfId="1" applyFont="1" applyFill="1" applyBorder="1" applyAlignment="1">
      <alignment horizontal="center" vertical="center" wrapText="1"/>
    </xf>
    <xf numFmtId="0" fontId="4" fillId="5" borderId="1" xfId="1" applyFont="1" applyFill="1" applyBorder="1" applyAlignment="1">
      <alignment horizontal="center" vertical="center" wrapText="1"/>
    </xf>
    <xf numFmtId="2" fontId="4" fillId="5" borderId="1" xfId="1" applyNumberFormat="1" applyFont="1" applyFill="1" applyBorder="1" applyAlignment="1">
      <alignment horizontal="center" vertical="center" wrapText="1"/>
    </xf>
    <xf numFmtId="0" fontId="4" fillId="5" borderId="1" xfId="1" applyFont="1" applyFill="1" applyBorder="1" applyAlignment="1">
      <alignment horizontal="center" vertical="center"/>
    </xf>
    <xf numFmtId="0" fontId="4" fillId="5" borderId="0" xfId="0" applyFont="1" applyFill="1" applyAlignment="1">
      <alignment horizontal="left" vertical="center"/>
    </xf>
    <xf numFmtId="0" fontId="10" fillId="5" borderId="1" xfId="1" applyFont="1" applyFill="1" applyBorder="1" applyAlignment="1">
      <alignment horizontal="center" vertical="center" wrapText="1"/>
    </xf>
    <xf numFmtId="14" fontId="4" fillId="0" borderId="2" xfId="1" applyNumberFormat="1" applyFont="1" applyBorder="1" applyAlignment="1">
      <alignment horizontal="center" vertical="center" wrapText="1"/>
    </xf>
    <xf numFmtId="14" fontId="4" fillId="0" borderId="0" xfId="1" applyNumberFormat="1" applyFont="1" applyAlignment="1">
      <alignment horizontal="center" vertical="center" wrapText="1"/>
    </xf>
    <xf numFmtId="0" fontId="4" fillId="0" borderId="22" xfId="0" applyFont="1" applyBorder="1" applyAlignment="1">
      <alignment horizontal="center" vertical="center"/>
    </xf>
    <xf numFmtId="20" fontId="4" fillId="0" borderId="1" xfId="1" applyNumberFormat="1" applyFont="1" applyBorder="1" applyAlignment="1">
      <alignment horizontal="center" vertical="center" wrapText="1"/>
    </xf>
    <xf numFmtId="0" fontId="4" fillId="0" borderId="1" xfId="1" applyFont="1" applyBorder="1" applyAlignment="1">
      <alignment horizontal="center" vertical="center" wrapText="1"/>
    </xf>
    <xf numFmtId="2" fontId="4" fillId="0" borderId="1" xfId="1" applyNumberFormat="1" applyFont="1" applyBorder="1" applyAlignment="1">
      <alignment horizontal="center" vertical="center" wrapText="1"/>
    </xf>
    <xf numFmtId="0" fontId="4" fillId="0" borderId="0" xfId="1" applyFont="1" applyAlignment="1">
      <alignment horizontal="center" vertical="center"/>
    </xf>
    <xf numFmtId="0" fontId="4" fillId="0" borderId="0" xfId="0" applyFont="1" applyAlignment="1">
      <alignment horizontal="left" vertical="center"/>
    </xf>
    <xf numFmtId="0" fontId="4" fillId="0" borderId="1" xfId="1" applyFont="1" applyBorder="1" applyAlignment="1">
      <alignment horizontal="center" vertical="center"/>
    </xf>
    <xf numFmtId="0" fontId="8" fillId="0" borderId="0" xfId="1" applyFont="1" applyAlignment="1">
      <alignment horizontal="center" vertical="center"/>
    </xf>
    <xf numFmtId="14" fontId="4" fillId="5" borderId="0" xfId="1" applyNumberFormat="1" applyFont="1" applyFill="1" applyAlignment="1">
      <alignment horizontal="center" vertical="center" wrapText="1"/>
    </xf>
    <xf numFmtId="0" fontId="4" fillId="5" borderId="0" xfId="1" applyFont="1" applyFill="1" applyAlignment="1">
      <alignment horizontal="center" vertical="center"/>
    </xf>
    <xf numFmtId="0" fontId="8" fillId="5" borderId="0" xfId="1" applyFont="1" applyFill="1" applyAlignment="1">
      <alignment horizontal="center" vertical="center"/>
    </xf>
    <xf numFmtId="14" fontId="4" fillId="6" borderId="2" xfId="1" applyNumberFormat="1" applyFont="1" applyFill="1" applyBorder="1" applyAlignment="1">
      <alignment horizontal="center" vertical="center" wrapText="1"/>
    </xf>
    <xf numFmtId="14" fontId="4" fillId="6" borderId="0" xfId="1" applyNumberFormat="1" applyFont="1" applyFill="1" applyAlignment="1">
      <alignment horizontal="center" vertical="center" wrapText="1"/>
    </xf>
    <xf numFmtId="0" fontId="10" fillId="6" borderId="1" xfId="1" applyFont="1" applyFill="1" applyBorder="1" applyAlignment="1">
      <alignment horizontal="center" vertical="center" wrapText="1"/>
    </xf>
    <xf numFmtId="0" fontId="4" fillId="6" borderId="1" xfId="1" applyFont="1" applyFill="1" applyBorder="1" applyAlignment="1">
      <alignment horizontal="center" vertical="center"/>
    </xf>
    <xf numFmtId="20" fontId="4" fillId="5" borderId="0" xfId="0" applyNumberFormat="1" applyFont="1" applyFill="1" applyAlignment="1">
      <alignment horizontal="center" vertical="center"/>
    </xf>
    <xf numFmtId="0" fontId="10" fillId="5" borderId="0" xfId="0" applyFont="1" applyFill="1" applyAlignment="1">
      <alignment horizontal="center" vertical="center"/>
    </xf>
    <xf numFmtId="14" fontId="4" fillId="5" borderId="1" xfId="1" applyNumberFormat="1" applyFont="1" applyFill="1" applyBorder="1" applyAlignment="1">
      <alignment horizontal="center" vertical="center" wrapText="1"/>
    </xf>
    <xf numFmtId="14" fontId="4" fillId="0" borderId="0" xfId="0" applyNumberFormat="1" applyFont="1" applyAlignment="1">
      <alignment horizontal="center" vertical="center"/>
    </xf>
    <xf numFmtId="20" fontId="4" fillId="0" borderId="0" xfId="0" applyNumberFormat="1" applyFont="1" applyAlignment="1">
      <alignment horizontal="center" vertical="center"/>
    </xf>
    <xf numFmtId="14" fontId="14" fillId="0" borderId="0" xfId="0" applyNumberFormat="1" applyFont="1" applyAlignment="1">
      <alignment horizontal="center" vertical="center"/>
    </xf>
    <xf numFmtId="0" fontId="14" fillId="0" borderId="0" xfId="0" applyFont="1" applyAlignment="1">
      <alignment horizontal="center" vertical="center"/>
    </xf>
    <xf numFmtId="0" fontId="14" fillId="0" borderId="22" xfId="0" applyFont="1" applyBorder="1" applyAlignment="1">
      <alignment horizontal="center" vertical="center"/>
    </xf>
    <xf numFmtId="20" fontId="14" fillId="0" borderId="1" xfId="1" applyNumberFormat="1" applyFont="1" applyBorder="1" applyAlignment="1">
      <alignment horizontal="center" vertical="center" wrapText="1"/>
    </xf>
    <xf numFmtId="0" fontId="14" fillId="0" borderId="1" xfId="1" applyFont="1" applyBorder="1" applyAlignment="1">
      <alignment horizontal="center" vertical="center" wrapText="1"/>
    </xf>
    <xf numFmtId="2" fontId="14" fillId="0" borderId="1" xfId="1" applyNumberFormat="1" applyFont="1" applyBorder="1" applyAlignment="1">
      <alignment horizontal="center" vertical="center" wrapText="1"/>
    </xf>
    <xf numFmtId="0" fontId="14" fillId="0" borderId="1" xfId="1" applyFont="1" applyBorder="1" applyAlignment="1">
      <alignment horizontal="center" vertical="center"/>
    </xf>
    <xf numFmtId="0" fontId="14" fillId="0" borderId="0" xfId="0" applyFont="1" applyAlignment="1">
      <alignment horizontal="left" vertical="center"/>
    </xf>
    <xf numFmtId="0" fontId="14" fillId="0" borderId="0" xfId="1" applyFont="1" applyAlignment="1">
      <alignment horizontal="center" vertical="center"/>
    </xf>
    <xf numFmtId="14" fontId="4" fillId="5" borderId="0" xfId="0" applyNumberFormat="1" applyFont="1" applyFill="1" applyAlignment="1">
      <alignment horizontal="center" vertical="center"/>
    </xf>
    <xf numFmtId="164" fontId="4" fillId="5" borderId="0" xfId="0" applyNumberFormat="1" applyFont="1" applyFill="1" applyAlignment="1">
      <alignment horizontal="center" vertical="center"/>
    </xf>
    <xf numFmtId="0" fontId="8" fillId="0" borderId="1" xfId="1" applyFont="1" applyBorder="1" applyAlignment="1">
      <alignment horizontal="center" vertical="center" wrapText="1"/>
    </xf>
    <xf numFmtId="14" fontId="8" fillId="5" borderId="5" xfId="1" applyNumberFormat="1" applyFont="1" applyFill="1" applyBorder="1" applyAlignment="1">
      <alignment horizontal="center" vertical="center" wrapText="1"/>
    </xf>
    <xf numFmtId="14" fontId="8" fillId="5" borderId="6" xfId="1" applyNumberFormat="1" applyFont="1" applyFill="1" applyBorder="1" applyAlignment="1">
      <alignment horizontal="center" vertical="center" wrapText="1"/>
    </xf>
    <xf numFmtId="0" fontId="8" fillId="5" borderId="28" xfId="0" applyFont="1" applyFill="1" applyBorder="1" applyAlignment="1">
      <alignment horizontal="center" vertical="center"/>
    </xf>
    <xf numFmtId="20" fontId="8" fillId="5" borderId="5" xfId="1" applyNumberFormat="1" applyFont="1" applyFill="1" applyBorder="1" applyAlignment="1">
      <alignment horizontal="center" vertical="center" wrapText="1"/>
    </xf>
    <xf numFmtId="0" fontId="8" fillId="5" borderId="5" xfId="1" applyFont="1" applyFill="1" applyBorder="1" applyAlignment="1">
      <alignment horizontal="center" vertical="center" wrapText="1"/>
    </xf>
    <xf numFmtId="2" fontId="8" fillId="5" borderId="5" xfId="1" applyNumberFormat="1" applyFont="1" applyFill="1" applyBorder="1" applyAlignment="1">
      <alignment horizontal="center" vertical="center" wrapText="1"/>
    </xf>
    <xf numFmtId="0" fontId="4" fillId="5" borderId="6" xfId="1" applyFont="1" applyFill="1" applyBorder="1" applyAlignment="1">
      <alignment horizontal="center" vertical="center"/>
    </xf>
    <xf numFmtId="0" fontId="4" fillId="5" borderId="6" xfId="0" applyFont="1" applyFill="1" applyBorder="1" applyAlignment="1">
      <alignment horizontal="left" vertical="center"/>
    </xf>
    <xf numFmtId="0" fontId="8" fillId="5" borderId="6" xfId="1" applyFont="1" applyFill="1" applyBorder="1" applyAlignment="1">
      <alignment horizontal="center" vertical="center"/>
    </xf>
    <xf numFmtId="20" fontId="4" fillId="5" borderId="2" xfId="1" applyNumberFormat="1" applyFont="1" applyFill="1" applyBorder="1" applyAlignment="1">
      <alignment horizontal="center" vertical="center" wrapText="1"/>
    </xf>
    <xf numFmtId="0" fontId="8" fillId="5" borderId="1" xfId="1" applyFont="1" applyFill="1" applyBorder="1" applyAlignment="1">
      <alignment horizontal="center" vertical="center" wrapText="1"/>
    </xf>
    <xf numFmtId="2" fontId="4" fillId="5" borderId="2" xfId="1" applyNumberFormat="1" applyFont="1" applyFill="1" applyBorder="1" applyAlignment="1">
      <alignment horizontal="center" vertical="center" wrapText="1"/>
    </xf>
    <xf numFmtId="2" fontId="4" fillId="5" borderId="25" xfId="1" applyNumberFormat="1" applyFont="1" applyFill="1" applyBorder="1" applyAlignment="1">
      <alignment horizontal="center" vertical="center" wrapText="1"/>
    </xf>
    <xf numFmtId="0" fontId="10" fillId="5" borderId="11" xfId="1" applyFont="1" applyFill="1" applyBorder="1" applyAlignment="1">
      <alignment horizontal="center" vertical="center" wrapText="1"/>
    </xf>
    <xf numFmtId="0" fontId="10" fillId="5" borderId="17" xfId="1" applyFont="1" applyFill="1" applyBorder="1" applyAlignment="1">
      <alignment horizontal="center" vertical="center" wrapText="1"/>
    </xf>
    <xf numFmtId="0" fontId="10" fillId="5" borderId="2" xfId="1" applyFont="1" applyFill="1" applyBorder="1" applyAlignment="1">
      <alignment horizontal="center" vertical="center" wrapText="1"/>
    </xf>
    <xf numFmtId="14" fontId="8" fillId="5" borderId="2" xfId="1" applyNumberFormat="1" applyFont="1" applyFill="1" applyBorder="1" applyAlignment="1">
      <alignment horizontal="center" vertical="center" wrapText="1"/>
    </xf>
    <xf numFmtId="0" fontId="8" fillId="5" borderId="22" xfId="0" applyFont="1" applyFill="1" applyBorder="1" applyAlignment="1">
      <alignment horizontal="center" vertical="center"/>
    </xf>
    <xf numFmtId="20" fontId="8" fillId="5" borderId="1" xfId="1" applyNumberFormat="1" applyFont="1" applyFill="1" applyBorder="1" applyAlignment="1">
      <alignment horizontal="center" vertical="center" wrapText="1"/>
    </xf>
    <xf numFmtId="0" fontId="8" fillId="5" borderId="1" xfId="1" applyFont="1" applyFill="1" applyBorder="1" applyAlignment="1">
      <alignment horizontal="center" vertical="center"/>
    </xf>
    <xf numFmtId="0" fontId="8" fillId="6" borderId="22" xfId="0" applyFont="1" applyFill="1" applyBorder="1" applyAlignment="1">
      <alignment horizontal="center" vertical="center"/>
    </xf>
    <xf numFmtId="0" fontId="10" fillId="6" borderId="0" xfId="0" applyFont="1" applyFill="1" applyAlignment="1">
      <alignment horizontal="center" vertical="center"/>
    </xf>
    <xf numFmtId="0" fontId="17" fillId="5" borderId="0" xfId="0" applyFont="1" applyFill="1" applyAlignment="1">
      <alignment horizontal="center" vertical="center"/>
    </xf>
    <xf numFmtId="0" fontId="14" fillId="5" borderId="0" xfId="0" applyFont="1" applyFill="1" applyAlignment="1">
      <alignment horizontal="left" vertical="center"/>
    </xf>
    <xf numFmtId="0" fontId="14" fillId="5" borderId="0" xfId="0" applyFont="1" applyFill="1" applyAlignment="1">
      <alignment horizontal="center" vertical="center"/>
    </xf>
    <xf numFmtId="0" fontId="8" fillId="0" borderId="0" xfId="0" applyFont="1" applyAlignment="1">
      <alignment horizontal="center" vertical="center"/>
    </xf>
    <xf numFmtId="20" fontId="14" fillId="0" borderId="0" xfId="0" applyNumberFormat="1" applyFont="1" applyAlignment="1">
      <alignment horizontal="center" vertical="center"/>
    </xf>
    <xf numFmtId="2" fontId="14" fillId="0" borderId="0" xfId="0" applyNumberFormat="1" applyFont="1" applyAlignment="1">
      <alignment horizontal="center" vertical="center"/>
    </xf>
    <xf numFmtId="14" fontId="4" fillId="5" borderId="6" xfId="0" applyNumberFormat="1" applyFont="1" applyFill="1" applyBorder="1" applyAlignment="1">
      <alignment horizontal="center" vertical="center"/>
    </xf>
    <xf numFmtId="0" fontId="4" fillId="5" borderId="6" xfId="0" applyFont="1" applyFill="1" applyBorder="1" applyAlignment="1">
      <alignment horizontal="center" vertical="center"/>
    </xf>
    <xf numFmtId="0" fontId="4" fillId="5" borderId="28" xfId="0" applyFont="1" applyFill="1" applyBorder="1" applyAlignment="1">
      <alignment horizontal="center" vertical="center"/>
    </xf>
    <xf numFmtId="20" fontId="4" fillId="5" borderId="6" xfId="0" applyNumberFormat="1" applyFont="1" applyFill="1" applyBorder="1" applyAlignment="1">
      <alignment horizontal="center" vertical="center"/>
    </xf>
    <xf numFmtId="0" fontId="10" fillId="5" borderId="6" xfId="0" applyFont="1" applyFill="1" applyBorder="1" applyAlignment="1">
      <alignment horizontal="center" vertical="center"/>
    </xf>
    <xf numFmtId="2" fontId="8" fillId="0" borderId="0" xfId="0" applyNumberFormat="1" applyFont="1" applyAlignment="1">
      <alignment horizontal="center" vertical="center"/>
    </xf>
    <xf numFmtId="0" fontId="4" fillId="0" borderId="6" xfId="0" applyFont="1" applyBorder="1" applyAlignment="1">
      <alignment horizontal="center" vertical="center"/>
    </xf>
    <xf numFmtId="14" fontId="4" fillId="6" borderId="0" xfId="0" applyNumberFormat="1" applyFont="1" applyFill="1" applyBorder="1" applyAlignment="1">
      <alignment horizontal="center" vertical="center"/>
    </xf>
    <xf numFmtId="0" fontId="6" fillId="6" borderId="0" xfId="0" applyFont="1" applyFill="1" applyBorder="1" applyAlignment="1">
      <alignment horizontal="left" vertical="center"/>
    </xf>
    <xf numFmtId="0" fontId="6" fillId="5" borderId="0" xfId="0" applyNumberFormat="1" applyFont="1" applyFill="1" applyBorder="1" applyAlignment="1">
      <alignment horizontal="center" vertical="center"/>
    </xf>
    <xf numFmtId="0" fontId="8" fillId="0" borderId="6" xfId="0" applyFont="1" applyBorder="1" applyAlignment="1">
      <alignment horizontal="center" vertical="center"/>
    </xf>
    <xf numFmtId="0" fontId="6" fillId="0" borderId="0" xfId="0" applyNumberFormat="1" applyFont="1" applyFill="1" applyBorder="1" applyAlignment="1">
      <alignment vertical="center"/>
    </xf>
    <xf numFmtId="2" fontId="4" fillId="0" borderId="0" xfId="0" applyNumberFormat="1" applyFont="1" applyFill="1" applyBorder="1" applyAlignment="1">
      <alignment horizontal="center"/>
    </xf>
    <xf numFmtId="0" fontId="17" fillId="0" borderId="0" xfId="0" applyFont="1" applyAlignment="1">
      <alignment horizontal="center" vertical="center"/>
    </xf>
    <xf numFmtId="0" fontId="8" fillId="0" borderId="10" xfId="1" applyFont="1" applyBorder="1" applyAlignment="1">
      <alignment horizontal="center" vertical="center"/>
    </xf>
    <xf numFmtId="0" fontId="8" fillId="6" borderId="0" xfId="1" applyFont="1" applyFill="1" applyAlignment="1">
      <alignment horizontal="center" vertical="center"/>
    </xf>
    <xf numFmtId="0" fontId="8" fillId="0" borderId="0" xfId="0" applyFont="1" applyAlignment="1">
      <alignment vertical="center"/>
    </xf>
    <xf numFmtId="0" fontId="10" fillId="0" borderId="0" xfId="0" applyFont="1" applyAlignment="1">
      <alignment horizontal="left" vertical="center"/>
    </xf>
    <xf numFmtId="0" fontId="10" fillId="0" borderId="22" xfId="0" applyFont="1" applyBorder="1" applyAlignment="1">
      <alignment horizontal="center" vertical="center"/>
    </xf>
    <xf numFmtId="0" fontId="10" fillId="0" borderId="0" xfId="0" applyFont="1" applyAlignment="1">
      <alignment horizontal="center" vertical="center"/>
    </xf>
    <xf numFmtId="2" fontId="10" fillId="0" borderId="0" xfId="0" applyNumberFormat="1" applyFont="1" applyAlignment="1">
      <alignment horizontal="center" vertical="center"/>
    </xf>
    <xf numFmtId="0" fontId="4" fillId="0" borderId="10" xfId="1" applyFont="1" applyBorder="1" applyAlignment="1">
      <alignment horizontal="center" vertical="center"/>
    </xf>
    <xf numFmtId="0" fontId="4" fillId="0" borderId="23" xfId="0" applyFont="1" applyBorder="1" applyAlignment="1">
      <alignment horizontal="center" vertical="center"/>
    </xf>
    <xf numFmtId="0" fontId="4" fillId="0" borderId="10" xfId="0" applyFont="1" applyBorder="1" applyAlignment="1">
      <alignment horizontal="center" vertical="center"/>
    </xf>
    <xf numFmtId="2" fontId="4" fillId="0" borderId="10" xfId="1" applyNumberFormat="1" applyFont="1" applyBorder="1" applyAlignment="1">
      <alignment horizontal="center" vertical="center"/>
    </xf>
    <xf numFmtId="2" fontId="8" fillId="0" borderId="10" xfId="1" applyNumberFormat="1" applyFont="1" applyBorder="1" applyAlignment="1">
      <alignment horizontal="center" vertical="center"/>
    </xf>
    <xf numFmtId="0" fontId="4" fillId="0" borderId="10" xfId="0" applyFont="1" applyBorder="1" applyAlignment="1">
      <alignment horizontal="left" vertical="center"/>
    </xf>
    <xf numFmtId="20" fontId="4" fillId="0" borderId="2" xfId="1" applyNumberFormat="1" applyFont="1" applyBorder="1" applyAlignment="1">
      <alignment horizontal="center" vertical="center" wrapText="1"/>
    </xf>
    <xf numFmtId="0" fontId="4" fillId="0" borderId="2" xfId="1" applyFont="1" applyBorder="1" applyAlignment="1">
      <alignment horizontal="center" vertical="center" wrapText="1"/>
    </xf>
    <xf numFmtId="2" fontId="4" fillId="0" borderId="2" xfId="1" applyNumberFormat="1" applyFont="1" applyBorder="1" applyAlignment="1">
      <alignment horizontal="center" vertical="center" wrapText="1"/>
    </xf>
    <xf numFmtId="2" fontId="5" fillId="0" borderId="2" xfId="2" applyNumberFormat="1" applyFont="1" applyBorder="1" applyAlignment="1">
      <alignment horizontal="center"/>
    </xf>
    <xf numFmtId="14" fontId="14" fillId="0" borderId="2" xfId="1" applyNumberFormat="1" applyFont="1" applyBorder="1" applyAlignment="1">
      <alignment horizontal="center" vertical="center" wrapText="1"/>
    </xf>
    <xf numFmtId="14" fontId="14" fillId="0" borderId="0" xfId="1" applyNumberFormat="1" applyFont="1" applyAlignment="1">
      <alignment horizontal="center" vertical="center" wrapText="1"/>
    </xf>
    <xf numFmtId="0" fontId="14" fillId="0" borderId="2" xfId="1" applyFont="1" applyBorder="1" applyAlignment="1">
      <alignment horizontal="center" vertical="center" wrapText="1"/>
    </xf>
    <xf numFmtId="14" fontId="4" fillId="0" borderId="1" xfId="1" applyNumberFormat="1" applyFont="1" applyBorder="1" applyAlignment="1">
      <alignment horizontal="center" vertical="center" wrapText="1"/>
    </xf>
    <xf numFmtId="164" fontId="4" fillId="0" borderId="0" xfId="0" applyNumberFormat="1" applyFont="1" applyAlignment="1">
      <alignment horizontal="center" vertical="center"/>
    </xf>
    <xf numFmtId="14" fontId="8" fillId="0" borderId="1" xfId="1" applyNumberFormat="1" applyFont="1" applyBorder="1" applyAlignment="1">
      <alignment horizontal="center" vertical="center" wrapText="1"/>
    </xf>
    <xf numFmtId="14" fontId="8" fillId="0" borderId="0" xfId="1" applyNumberFormat="1" applyFont="1" applyAlignment="1">
      <alignment horizontal="center" vertical="center" wrapText="1"/>
    </xf>
    <xf numFmtId="0" fontId="8" fillId="0" borderId="22" xfId="0" applyFont="1" applyBorder="1" applyAlignment="1">
      <alignment horizontal="center" vertical="center"/>
    </xf>
    <xf numFmtId="20" fontId="8" fillId="0" borderId="1" xfId="1" applyNumberFormat="1" applyFont="1" applyBorder="1" applyAlignment="1">
      <alignment horizontal="center" vertical="center" wrapText="1"/>
    </xf>
    <xf numFmtId="2" fontId="8" fillId="0" borderId="1" xfId="1" applyNumberFormat="1" applyFont="1" applyBorder="1" applyAlignment="1">
      <alignment horizontal="center" vertical="center" wrapText="1"/>
    </xf>
    <xf numFmtId="0" fontId="8" fillId="0" borderId="0" xfId="0" applyFont="1" applyAlignment="1">
      <alignment horizontal="left" vertical="center"/>
    </xf>
    <xf numFmtId="14" fontId="8" fillId="5" borderId="0" xfId="1" applyNumberFormat="1" applyFont="1" applyFill="1" applyAlignment="1">
      <alignment horizontal="center" vertical="center" wrapText="1"/>
    </xf>
    <xf numFmtId="20" fontId="8" fillId="0" borderId="0" xfId="0" applyNumberFormat="1" applyFont="1" applyAlignment="1">
      <alignment horizontal="center" vertical="center"/>
    </xf>
    <xf numFmtId="14" fontId="8" fillId="6" borderId="0" xfId="1" applyNumberFormat="1" applyFont="1" applyFill="1" applyAlignment="1">
      <alignment horizontal="center" vertical="center" wrapText="1"/>
    </xf>
    <xf numFmtId="14" fontId="4" fillId="0" borderId="6" xfId="0" applyNumberFormat="1" applyFont="1" applyBorder="1" applyAlignment="1">
      <alignment horizontal="center" vertical="center"/>
    </xf>
    <xf numFmtId="0" fontId="4" fillId="0" borderId="28" xfId="0" applyFont="1" applyBorder="1" applyAlignment="1">
      <alignment horizontal="center" vertical="center"/>
    </xf>
    <xf numFmtId="20" fontId="4" fillId="0" borderId="6" xfId="0" applyNumberFormat="1" applyFont="1" applyBorder="1" applyAlignment="1">
      <alignment horizontal="center" vertical="center"/>
    </xf>
    <xf numFmtId="0" fontId="4" fillId="0" borderId="5" xfId="1" applyFont="1" applyBorder="1" applyAlignment="1">
      <alignment horizontal="center" vertical="center" wrapText="1"/>
    </xf>
    <xf numFmtId="2" fontId="4" fillId="0" borderId="6" xfId="0" applyNumberFormat="1" applyFont="1" applyBorder="1" applyAlignment="1">
      <alignment horizontal="center" vertical="center"/>
    </xf>
    <xf numFmtId="0" fontId="4" fillId="0" borderId="6" xfId="0" applyFont="1" applyBorder="1" applyAlignment="1">
      <alignment horizontal="left" vertical="center"/>
    </xf>
    <xf numFmtId="14" fontId="8" fillId="0" borderId="0" xfId="0" applyNumberFormat="1" applyFont="1" applyAlignment="1">
      <alignment horizontal="center" vertical="center"/>
    </xf>
    <xf numFmtId="0" fontId="8" fillId="0" borderId="1" xfId="1" applyFont="1" applyBorder="1" applyAlignment="1">
      <alignment horizontal="center" vertical="center"/>
    </xf>
    <xf numFmtId="0" fontId="15" fillId="0" borderId="0" xfId="0" applyFont="1" applyAlignment="1">
      <alignment horizontal="center" vertical="center"/>
    </xf>
    <xf numFmtId="0" fontId="4" fillId="0" borderId="0" xfId="0" applyFont="1" applyAlignment="1">
      <alignment horizontal="center" vertical="center" wrapText="1"/>
    </xf>
    <xf numFmtId="0" fontId="8" fillId="0" borderId="28" xfId="0" applyFont="1" applyBorder="1" applyAlignment="1">
      <alignment horizontal="center" vertical="center"/>
    </xf>
    <xf numFmtId="0" fontId="4" fillId="0" borderId="6" xfId="0" applyFont="1" applyBorder="1" applyAlignment="1">
      <alignment horizontal="center" vertical="center" wrapText="1"/>
    </xf>
    <xf numFmtId="0" fontId="4" fillId="6" borderId="0" xfId="0" applyFont="1" applyFill="1" applyBorder="1" applyAlignment="1">
      <alignment horizontal="center"/>
    </xf>
    <xf numFmtId="14" fontId="4" fillId="5" borderId="0" xfId="0" applyNumberFormat="1" applyFont="1" applyFill="1" applyBorder="1" applyAlignment="1">
      <alignment horizontal="center" vertical="center"/>
    </xf>
    <xf numFmtId="164" fontId="8" fillId="5" borderId="6" xfId="0" applyNumberFormat="1" applyFont="1" applyFill="1" applyBorder="1" applyAlignment="1">
      <alignment horizontal="center" vertical="center"/>
    </xf>
    <xf numFmtId="1" fontId="8" fillId="5" borderId="6" xfId="0" applyNumberFormat="1" applyFont="1" applyFill="1" applyBorder="1" applyAlignment="1">
      <alignment horizontal="center" vertical="center"/>
    </xf>
    <xf numFmtId="14" fontId="8"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167" fontId="8" fillId="3" borderId="0" xfId="0" applyNumberFormat="1" applyFont="1" applyFill="1" applyBorder="1" applyAlignment="1">
      <alignment horizontal="center" vertical="center"/>
    </xf>
    <xf numFmtId="2" fontId="8" fillId="3" borderId="0" xfId="0" applyNumberFormat="1" applyFont="1" applyFill="1" applyBorder="1" applyAlignment="1">
      <alignment horizontal="center" vertical="center"/>
    </xf>
    <xf numFmtId="0" fontId="8" fillId="3" borderId="0" xfId="0" applyNumberFormat="1" applyFont="1" applyFill="1" applyBorder="1" applyAlignment="1">
      <alignment vertical="center"/>
    </xf>
    <xf numFmtId="0" fontId="17" fillId="3" borderId="0" xfId="0" applyNumberFormat="1" applyFont="1" applyFill="1" applyBorder="1" applyAlignment="1">
      <alignment horizontal="center" vertical="center"/>
    </xf>
    <xf numFmtId="167" fontId="14" fillId="0" borderId="0" xfId="0" applyNumberFormat="1" applyFont="1" applyAlignment="1">
      <alignment horizontal="center"/>
    </xf>
    <xf numFmtId="14" fontId="23" fillId="0" borderId="0" xfId="0" applyNumberFormat="1" applyFont="1" applyAlignment="1">
      <alignment horizontal="center"/>
    </xf>
    <xf numFmtId="167" fontId="4" fillId="0" borderId="0" xfId="0" applyNumberFormat="1" applyFont="1" applyAlignment="1">
      <alignment horizontal="center"/>
    </xf>
    <xf numFmtId="14" fontId="23" fillId="0" borderId="0" xfId="0" applyNumberFormat="1" applyFont="1" applyBorder="1" applyAlignment="1">
      <alignment horizontal="center"/>
    </xf>
    <xf numFmtId="167" fontId="4" fillId="0" borderId="0" xfId="0" applyNumberFormat="1" applyFont="1" applyBorder="1" applyAlignment="1">
      <alignment horizontal="center"/>
    </xf>
    <xf numFmtId="0" fontId="4" fillId="3" borderId="0" xfId="0" applyFont="1" applyFill="1" applyBorder="1" applyAlignment="1">
      <alignment horizontal="center"/>
    </xf>
    <xf numFmtId="20" fontId="4" fillId="3" borderId="0" xfId="0" applyNumberFormat="1" applyFont="1" applyFill="1" applyBorder="1" applyAlignment="1">
      <alignment horizontal="center"/>
    </xf>
    <xf numFmtId="0" fontId="7" fillId="0" borderId="0" xfId="0" applyFont="1" applyFill="1" applyAlignment="1">
      <alignment horizontal="center" vertical="top"/>
    </xf>
    <xf numFmtId="14" fontId="23" fillId="3" borderId="0" xfId="0" applyNumberFormat="1" applyFont="1" applyFill="1" applyBorder="1" applyAlignment="1">
      <alignment horizontal="center"/>
    </xf>
    <xf numFmtId="0" fontId="10" fillId="3" borderId="0" xfId="0" applyFont="1" applyFill="1" applyBorder="1" applyAlignment="1">
      <alignment horizontal="center"/>
    </xf>
    <xf numFmtId="0" fontId="4" fillId="3" borderId="0" xfId="0" applyFont="1" applyFill="1"/>
    <xf numFmtId="0" fontId="7" fillId="0" borderId="0" xfId="0" applyFont="1" applyFill="1" applyAlignment="1">
      <alignment horizontal="center" vertical="center"/>
    </xf>
    <xf numFmtId="167" fontId="7" fillId="0" borderId="0" xfId="0" applyNumberFormat="1" applyFont="1" applyFill="1" applyAlignment="1">
      <alignment horizontal="center" vertical="center"/>
    </xf>
    <xf numFmtId="14" fontId="23" fillId="0" borderId="0" xfId="0" applyNumberFormat="1" applyFont="1" applyAlignment="1">
      <alignment horizontal="center" vertical="center"/>
    </xf>
    <xf numFmtId="14" fontId="23" fillId="3" borderId="0" xfId="0" applyNumberFormat="1" applyFont="1" applyFill="1" applyAlignment="1">
      <alignment horizontal="center" vertical="center"/>
    </xf>
    <xf numFmtId="0" fontId="0" fillId="0" borderId="0" xfId="0" applyAlignment="1">
      <alignment horizontal="center" vertical="center"/>
    </xf>
    <xf numFmtId="0" fontId="10" fillId="3" borderId="0" xfId="0" applyFont="1" applyFill="1" applyAlignment="1">
      <alignment horizontal="center" vertical="center"/>
    </xf>
    <xf numFmtId="167" fontId="4" fillId="0" borderId="0" xfId="0" applyNumberFormat="1" applyFont="1" applyAlignment="1">
      <alignment horizontal="center" vertical="center"/>
    </xf>
    <xf numFmtId="167" fontId="14" fillId="0" borderId="0" xfId="0" applyNumberFormat="1" applyFont="1" applyAlignment="1">
      <alignment horizontal="center" vertical="center"/>
    </xf>
    <xf numFmtId="167" fontId="4" fillId="3" borderId="0" xfId="0" applyNumberFormat="1" applyFont="1" applyFill="1" applyAlignment="1">
      <alignment horizontal="center" vertical="center"/>
    </xf>
    <xf numFmtId="167" fontId="0" fillId="0" borderId="0" xfId="0" applyNumberFormat="1" applyAlignment="1">
      <alignment horizontal="center" vertical="center"/>
    </xf>
    <xf numFmtId="14" fontId="23" fillId="0" borderId="0" xfId="0" applyNumberFormat="1" applyFont="1" applyBorder="1" applyAlignment="1">
      <alignment horizontal="center" vertical="center"/>
    </xf>
    <xf numFmtId="0" fontId="4" fillId="0" borderId="0" xfId="0" applyFont="1" applyBorder="1" applyAlignment="1">
      <alignment horizontal="center" vertical="center"/>
    </xf>
    <xf numFmtId="167" fontId="4" fillId="0" borderId="0" xfId="0" applyNumberFormat="1" applyFont="1" applyBorder="1" applyAlignment="1">
      <alignment horizontal="center" vertical="center"/>
    </xf>
    <xf numFmtId="0" fontId="4" fillId="0" borderId="0" xfId="0" applyFont="1" applyBorder="1"/>
    <xf numFmtId="14" fontId="14" fillId="0" borderId="0" xfId="0" applyNumberFormat="1" applyFont="1" applyBorder="1" applyAlignment="1">
      <alignment horizontal="center" vertical="center"/>
    </xf>
    <xf numFmtId="0" fontId="14" fillId="0" borderId="0" xfId="0" applyFont="1" applyBorder="1" applyAlignment="1">
      <alignment horizontal="center" vertical="center"/>
    </xf>
    <xf numFmtId="167" fontId="14" fillId="0" borderId="0" xfId="0" applyNumberFormat="1" applyFont="1" applyBorder="1" applyAlignment="1">
      <alignment horizontal="center" vertical="center"/>
    </xf>
    <xf numFmtId="0" fontId="4" fillId="0" borderId="0" xfId="0" applyFont="1" applyBorder="1" applyAlignment="1">
      <alignment vertical="center"/>
    </xf>
    <xf numFmtId="0" fontId="8" fillId="0" borderId="0" xfId="0" applyFont="1" applyBorder="1" applyAlignment="1">
      <alignment horizontal="center" vertical="center"/>
    </xf>
    <xf numFmtId="20" fontId="4" fillId="0" borderId="0" xfId="0" applyNumberFormat="1" applyFont="1" applyBorder="1" applyAlignment="1">
      <alignment horizontal="center" vertical="center"/>
    </xf>
    <xf numFmtId="0" fontId="14" fillId="0" borderId="0" xfId="0" applyFont="1" applyBorder="1" applyAlignment="1">
      <alignment horizontal="left" vertical="center"/>
    </xf>
    <xf numFmtId="0" fontId="4" fillId="0" borderId="0" xfId="0" applyFont="1" applyBorder="1" applyAlignment="1">
      <alignment horizontal="left" vertical="center"/>
    </xf>
    <xf numFmtId="14" fontId="23" fillId="0" borderId="6" xfId="0" applyNumberFormat="1" applyFont="1" applyBorder="1" applyAlignment="1">
      <alignment horizontal="center"/>
    </xf>
    <xf numFmtId="0" fontId="0" fillId="0" borderId="6" xfId="0" applyBorder="1"/>
    <xf numFmtId="14" fontId="23" fillId="3" borderId="0" xfId="0" applyNumberFormat="1" applyFont="1" applyFill="1" applyAlignment="1">
      <alignment horizontal="center"/>
    </xf>
    <xf numFmtId="0" fontId="0" fillId="3" borderId="0" xfId="0" applyFill="1"/>
    <xf numFmtId="0" fontId="24" fillId="0" borderId="0" xfId="0" applyFont="1"/>
    <xf numFmtId="0" fontId="10" fillId="3" borderId="0" xfId="0" applyFont="1" applyFill="1" applyAlignment="1">
      <alignment horizontal="center"/>
    </xf>
    <xf numFmtId="0" fontId="4" fillId="3" borderId="0" xfId="0" applyNumberFormat="1" applyFont="1" applyFill="1" applyAlignment="1">
      <alignment horizontal="center"/>
    </xf>
    <xf numFmtId="14" fontId="23" fillId="0" borderId="0" xfId="7" applyNumberFormat="1" applyFont="1" applyAlignment="1">
      <alignment horizontal="center"/>
    </xf>
    <xf numFmtId="0" fontId="23" fillId="0" borderId="0" xfId="7" applyFont="1" applyAlignment="1">
      <alignment horizontal="center"/>
    </xf>
    <xf numFmtId="20" fontId="23" fillId="0" borderId="0" xfId="7" applyNumberFormat="1" applyFont="1" applyAlignment="1">
      <alignment horizontal="center"/>
    </xf>
    <xf numFmtId="164" fontId="23" fillId="0" borderId="0" xfId="7" applyNumberFormat="1" applyFont="1" applyAlignment="1">
      <alignment horizontal="center"/>
    </xf>
    <xf numFmtId="14" fontId="23" fillId="6" borderId="0" xfId="7" applyNumberFormat="1" applyFont="1" applyFill="1" applyAlignment="1">
      <alignment horizontal="center"/>
    </xf>
    <xf numFmtId="0" fontId="23" fillId="6" borderId="0" xfId="7" applyFont="1" applyFill="1" applyAlignment="1">
      <alignment horizontal="center"/>
    </xf>
    <xf numFmtId="20" fontId="23" fillId="6" borderId="0" xfId="7" applyNumberFormat="1" applyFont="1" applyFill="1" applyAlignment="1">
      <alignment horizontal="center"/>
    </xf>
    <xf numFmtId="0" fontId="26" fillId="6" borderId="0" xfId="7" applyFont="1" applyFill="1" applyAlignment="1">
      <alignment horizontal="center"/>
    </xf>
    <xf numFmtId="0" fontId="0" fillId="6" borderId="0" xfId="0" applyFill="1"/>
    <xf numFmtId="164" fontId="23" fillId="6" borderId="0" xfId="7" applyNumberFormat="1" applyFont="1" applyFill="1" applyAlignment="1">
      <alignment horizontal="center"/>
    </xf>
    <xf numFmtId="164" fontId="4" fillId="0" borderId="0" xfId="0" applyNumberFormat="1" applyFont="1" applyAlignment="1">
      <alignment horizontal="center"/>
    </xf>
    <xf numFmtId="164" fontId="14" fillId="0" borderId="0" xfId="0" applyNumberFormat="1" applyFont="1" applyAlignment="1">
      <alignment horizontal="center"/>
    </xf>
    <xf numFmtId="0" fontId="14" fillId="0" borderId="0" xfId="7" applyFont="1" applyAlignment="1">
      <alignment horizontal="center"/>
    </xf>
    <xf numFmtId="1" fontId="4" fillId="0" borderId="0" xfId="0" applyNumberFormat="1" applyFont="1" applyAlignment="1">
      <alignment horizontal="center"/>
    </xf>
    <xf numFmtId="0" fontId="23" fillId="0" borderId="0" xfId="0" applyFont="1"/>
    <xf numFmtId="0" fontId="0" fillId="0" borderId="0" xfId="0" applyAlignment="1"/>
    <xf numFmtId="14" fontId="23" fillId="5" borderId="0" xfId="0" applyNumberFormat="1" applyFont="1" applyFill="1" applyAlignment="1">
      <alignment horizontal="center"/>
    </xf>
    <xf numFmtId="0" fontId="10" fillId="5" borderId="0" xfId="0" applyFont="1" applyFill="1" applyAlignment="1">
      <alignment horizontal="center"/>
    </xf>
    <xf numFmtId="0" fontId="0" fillId="5" borderId="0" xfId="0" applyFill="1"/>
    <xf numFmtId="0" fontId="23" fillId="0" borderId="6" xfId="7" applyFont="1" applyBorder="1" applyAlignment="1">
      <alignment horizontal="center"/>
    </xf>
    <xf numFmtId="0" fontId="0" fillId="0" borderId="6" xfId="0" applyBorder="1" applyAlignment="1"/>
    <xf numFmtId="164" fontId="4" fillId="3" borderId="0" xfId="0" applyNumberFormat="1" applyFont="1" applyFill="1" applyAlignment="1">
      <alignment horizontal="center"/>
    </xf>
    <xf numFmtId="164" fontId="4" fillId="0" borderId="6" xfId="0" applyNumberFormat="1" applyFont="1" applyBorder="1" applyAlignment="1">
      <alignment horizontal="center"/>
    </xf>
    <xf numFmtId="14" fontId="23" fillId="11" borderId="0" xfId="0" applyNumberFormat="1" applyFont="1" applyFill="1" applyAlignment="1">
      <alignment horizontal="center"/>
    </xf>
    <xf numFmtId="0" fontId="4" fillId="11" borderId="0" xfId="0" applyFont="1" applyFill="1" applyAlignment="1">
      <alignment horizontal="center"/>
    </xf>
    <xf numFmtId="20" fontId="4" fillId="11" borderId="0" xfId="0" applyNumberFormat="1" applyFont="1" applyFill="1" applyAlignment="1">
      <alignment horizontal="center"/>
    </xf>
    <xf numFmtId="0" fontId="10" fillId="11" borderId="0" xfId="0" applyFont="1" applyFill="1" applyAlignment="1">
      <alignment horizontal="center"/>
    </xf>
    <xf numFmtId="0" fontId="4" fillId="11" borderId="0" xfId="0" applyFont="1" applyFill="1" applyAlignment="1">
      <alignment horizontal="left"/>
    </xf>
    <xf numFmtId="0" fontId="0" fillId="11" borderId="0" xfId="0" applyFill="1"/>
    <xf numFmtId="164" fontId="4" fillId="11" borderId="0" xfId="0" applyNumberFormat="1" applyFont="1" applyFill="1" applyAlignment="1">
      <alignment horizontal="center"/>
    </xf>
    <xf numFmtId="0" fontId="23" fillId="0" borderId="0" xfId="0" applyFont="1" applyAlignment="1">
      <alignment horizontal="center"/>
    </xf>
    <xf numFmtId="20" fontId="23" fillId="0" borderId="0" xfId="0" applyNumberFormat="1" applyFont="1" applyAlignment="1">
      <alignment horizontal="center"/>
    </xf>
    <xf numFmtId="164" fontId="23" fillId="0" borderId="0" xfId="0" applyNumberFormat="1" applyFont="1" applyAlignment="1">
      <alignment horizontal="center"/>
    </xf>
    <xf numFmtId="0" fontId="23" fillId="0" borderId="0" xfId="0" applyFont="1" applyAlignment="1">
      <alignment horizontal="left"/>
    </xf>
    <xf numFmtId="167" fontId="4" fillId="0" borderId="6" xfId="0" applyNumberFormat="1" applyFont="1" applyBorder="1" applyAlignment="1">
      <alignment horizontal="center"/>
    </xf>
    <xf numFmtId="0" fontId="23" fillId="0" borderId="6" xfId="0" applyFont="1" applyBorder="1" applyAlignment="1">
      <alignment horizontal="center"/>
    </xf>
    <xf numFmtId="49" fontId="4" fillId="5" borderId="0" xfId="0" applyNumberFormat="1" applyFont="1" applyFill="1" applyAlignment="1">
      <alignment horizontal="center"/>
    </xf>
    <xf numFmtId="164" fontId="4" fillId="5" borderId="0" xfId="0" applyNumberFormat="1" applyFont="1" applyFill="1" applyAlignment="1">
      <alignment horizontal="center"/>
    </xf>
    <xf numFmtId="14" fontId="23" fillId="3" borderId="6" xfId="0" applyNumberFormat="1" applyFont="1" applyFill="1" applyBorder="1" applyAlignment="1">
      <alignment horizontal="center"/>
    </xf>
    <xf numFmtId="0" fontId="10" fillId="3" borderId="6" xfId="0" applyFont="1" applyFill="1" applyBorder="1" applyAlignment="1">
      <alignment horizontal="center"/>
    </xf>
    <xf numFmtId="14" fontId="15" fillId="0" borderId="0" xfId="0" applyNumberFormat="1" applyFont="1" applyAlignment="1">
      <alignment horizontal="center"/>
    </xf>
    <xf numFmtId="0" fontId="15" fillId="0" borderId="0" xfId="0" applyFont="1" applyAlignment="1">
      <alignment horizontal="center"/>
    </xf>
    <xf numFmtId="164" fontId="15" fillId="0" borderId="0" xfId="0" applyNumberFormat="1" applyFont="1" applyAlignment="1">
      <alignment horizontal="center"/>
    </xf>
    <xf numFmtId="20" fontId="15" fillId="0" borderId="0" xfId="0" applyNumberFormat="1" applyFont="1" applyAlignment="1">
      <alignment horizontal="center"/>
    </xf>
    <xf numFmtId="0" fontId="15" fillId="0" borderId="0" xfId="0" applyFont="1" applyAlignment="1">
      <alignment horizontal="left"/>
    </xf>
    <xf numFmtId="0" fontId="27" fillId="0" borderId="0" xfId="0" applyFont="1"/>
    <xf numFmtId="14" fontId="15" fillId="0" borderId="6" xfId="0" applyNumberFormat="1" applyFont="1" applyBorder="1" applyAlignment="1">
      <alignment horizontal="center"/>
    </xf>
    <xf numFmtId="0" fontId="15" fillId="0" borderId="6" xfId="0" applyFont="1" applyBorder="1" applyAlignment="1">
      <alignment horizontal="center"/>
    </xf>
    <xf numFmtId="164" fontId="15" fillId="0" borderId="6" xfId="0" applyNumberFormat="1" applyFont="1" applyBorder="1" applyAlignment="1">
      <alignment horizontal="center"/>
    </xf>
    <xf numFmtId="20" fontId="15" fillId="0" borderId="6" xfId="0" applyNumberFormat="1" applyFont="1" applyBorder="1" applyAlignment="1">
      <alignment horizontal="center"/>
    </xf>
    <xf numFmtId="0" fontId="15" fillId="0" borderId="6" xfId="0" applyFont="1" applyBorder="1" applyAlignment="1">
      <alignment horizontal="left"/>
    </xf>
    <xf numFmtId="0" fontId="27" fillId="0" borderId="6" xfId="0" applyFont="1" applyBorder="1"/>
    <xf numFmtId="0" fontId="2" fillId="3" borderId="22" xfId="0" applyFont="1" applyFill="1" applyBorder="1" applyAlignment="1">
      <alignment horizontal="center"/>
    </xf>
    <xf numFmtId="0" fontId="0" fillId="0" borderId="22" xfId="0" applyBorder="1"/>
    <xf numFmtId="0" fontId="0" fillId="0" borderId="0" xfId="0" applyFill="1" applyBorder="1" applyAlignment="1">
      <alignment horizontal="center"/>
    </xf>
    <xf numFmtId="0" fontId="0" fillId="0" borderId="0" xfId="0" applyFill="1" applyBorder="1"/>
    <xf numFmtId="0" fontId="10" fillId="0" borderId="0" xfId="0" applyFont="1" applyAlignment="1">
      <alignment vertical="center"/>
    </xf>
    <xf numFmtId="0" fontId="4" fillId="0" borderId="10" xfId="0" applyFont="1" applyBorder="1" applyAlignment="1">
      <alignment vertical="center"/>
    </xf>
    <xf numFmtId="0" fontId="4" fillId="0" borderId="0" xfId="0" applyFont="1" applyAlignment="1"/>
    <xf numFmtId="0" fontId="4" fillId="5" borderId="0" xfId="0" applyFont="1" applyFill="1" applyAlignment="1"/>
    <xf numFmtId="0" fontId="4" fillId="5" borderId="0" xfId="0" applyFont="1" applyFill="1" applyBorder="1" applyAlignment="1">
      <alignment horizontal="center"/>
    </xf>
    <xf numFmtId="0" fontId="0" fillId="5" borderId="0" xfId="0" applyFill="1" applyAlignment="1"/>
    <xf numFmtId="164" fontId="4" fillId="0" borderId="0" xfId="0" applyNumberFormat="1" applyFont="1" applyFill="1" applyBorder="1" applyAlignment="1">
      <alignment horizontal="center"/>
    </xf>
    <xf numFmtId="164" fontId="4" fillId="5" borderId="0" xfId="0" applyNumberFormat="1" applyFont="1" applyFill="1" applyBorder="1" applyAlignment="1">
      <alignment horizontal="center"/>
    </xf>
    <xf numFmtId="2" fontId="0" fillId="0" borderId="0" xfId="0" applyNumberFormat="1"/>
    <xf numFmtId="164" fontId="4" fillId="0" borderId="0" xfId="0" applyNumberFormat="1" applyFont="1" applyFill="1" applyAlignment="1">
      <alignment horizontal="center"/>
    </xf>
    <xf numFmtId="0" fontId="4" fillId="0" borderId="0" xfId="0" applyFont="1" applyFill="1" applyAlignment="1"/>
    <xf numFmtId="0" fontId="4" fillId="0" borderId="0" xfId="0" applyFont="1" applyFill="1"/>
    <xf numFmtId="1" fontId="4" fillId="5" borderId="0" xfId="0" applyNumberFormat="1" applyFont="1" applyFill="1" applyAlignment="1">
      <alignment horizontal="center"/>
    </xf>
    <xf numFmtId="164" fontId="14" fillId="0" borderId="0" xfId="0" applyNumberFormat="1" applyFont="1" applyFill="1" applyBorder="1" applyAlignment="1">
      <alignment horizontal="center"/>
    </xf>
    <xf numFmtId="164" fontId="14" fillId="0" borderId="0" xfId="0" applyNumberFormat="1" applyFont="1" applyFill="1" applyAlignment="1">
      <alignment horizontal="center"/>
    </xf>
    <xf numFmtId="20" fontId="14" fillId="0" borderId="0" xfId="0" applyNumberFormat="1" applyFont="1" applyFill="1" applyAlignment="1">
      <alignment horizontal="center"/>
    </xf>
    <xf numFmtId="0" fontId="14" fillId="0" borderId="0" xfId="0" applyFont="1" applyFill="1" applyAlignment="1">
      <alignment horizontal="left"/>
    </xf>
    <xf numFmtId="0" fontId="14" fillId="0" borderId="0" xfId="0" applyFont="1" applyFill="1"/>
    <xf numFmtId="0" fontId="28" fillId="0" borderId="0" xfId="0" applyFont="1" applyFill="1" applyAlignment="1">
      <alignment horizontal="center"/>
    </xf>
    <xf numFmtId="2" fontId="14" fillId="0" borderId="0" xfId="0" applyNumberFormat="1" applyFont="1" applyFill="1" applyAlignment="1">
      <alignment horizontal="center"/>
    </xf>
    <xf numFmtId="0" fontId="14" fillId="5" borderId="0" xfId="0" applyFont="1" applyFill="1" applyAlignment="1">
      <alignment horizontal="center"/>
    </xf>
    <xf numFmtId="0" fontId="6" fillId="5" borderId="0" xfId="0" applyFont="1" applyFill="1" applyAlignment="1">
      <alignment horizontal="left"/>
    </xf>
    <xf numFmtId="0" fontId="4" fillId="0" borderId="0" xfId="0" applyFont="1" applyFill="1" applyBorder="1" applyAlignment="1">
      <alignment horizontal="left"/>
    </xf>
    <xf numFmtId="2" fontId="4" fillId="5" borderId="0" xfId="0" applyNumberFormat="1" applyFont="1" applyFill="1" applyBorder="1" applyAlignment="1">
      <alignment horizontal="center"/>
    </xf>
    <xf numFmtId="164" fontId="4" fillId="6" borderId="0" xfId="0" applyNumberFormat="1" applyFont="1" applyFill="1" applyBorder="1" applyAlignment="1">
      <alignment horizontal="center"/>
    </xf>
    <xf numFmtId="2" fontId="4" fillId="6" borderId="0" xfId="0" applyNumberFormat="1" applyFont="1" applyFill="1" applyBorder="1" applyAlignment="1">
      <alignment horizontal="center"/>
    </xf>
    <xf numFmtId="0" fontId="10" fillId="6" borderId="0" xfId="0" applyFont="1" applyFill="1" applyBorder="1" applyAlignment="1">
      <alignment horizontal="center"/>
    </xf>
    <xf numFmtId="1" fontId="4" fillId="6" borderId="0" xfId="0" applyNumberFormat="1" applyFont="1" applyFill="1" applyBorder="1" applyAlignment="1">
      <alignment horizontal="center"/>
    </xf>
    <xf numFmtId="0" fontId="4" fillId="6" borderId="0" xfId="0" applyFont="1" applyFill="1"/>
    <xf numFmtId="0" fontId="29" fillId="0" borderId="0" xfId="0" applyFont="1" applyAlignment="1">
      <alignment horizontal="center" vertical="center"/>
    </xf>
    <xf numFmtId="0" fontId="29" fillId="0" borderId="0" xfId="0" applyFont="1" applyAlignment="1">
      <alignment horizontal="left" vertical="center"/>
    </xf>
    <xf numFmtId="0" fontId="8" fillId="6" borderId="0" xfId="0" applyFont="1" applyFill="1" applyAlignment="1"/>
    <xf numFmtId="0" fontId="29" fillId="6" borderId="0" xfId="0" applyFont="1" applyFill="1" applyAlignment="1">
      <alignment horizontal="center" vertical="center"/>
    </xf>
    <xf numFmtId="0" fontId="23" fillId="0" borderId="0" xfId="0" applyFont="1" applyAlignment="1">
      <alignment horizontal="center" vertical="center"/>
    </xf>
    <xf numFmtId="164" fontId="23" fillId="0" borderId="0" xfId="0" applyNumberFormat="1" applyFont="1" applyAlignment="1">
      <alignment horizontal="center" vertical="center"/>
    </xf>
    <xf numFmtId="0" fontId="23" fillId="6" borderId="0" xfId="0" applyFont="1" applyFill="1" applyAlignment="1">
      <alignment horizontal="center" vertical="center"/>
    </xf>
    <xf numFmtId="164" fontId="23" fillId="6" borderId="0" xfId="0" applyNumberFormat="1" applyFont="1" applyFill="1" applyAlignment="1">
      <alignment horizontal="center" vertical="center"/>
    </xf>
    <xf numFmtId="0" fontId="26" fillId="6" borderId="0" xfId="0" applyFont="1" applyFill="1" applyAlignment="1">
      <alignment horizontal="center" vertical="center"/>
    </xf>
    <xf numFmtId="2" fontId="23" fillId="6" borderId="0" xfId="0" applyNumberFormat="1" applyFont="1" applyFill="1" applyAlignment="1">
      <alignment horizontal="center" vertical="center"/>
    </xf>
    <xf numFmtId="2" fontId="23" fillId="0" borderId="0" xfId="0" applyNumberFormat="1" applyFont="1" applyAlignment="1">
      <alignment horizontal="center" vertical="center"/>
    </xf>
    <xf numFmtId="0" fontId="23" fillId="0" borderId="0" xfId="0" applyNumberFormat="1" applyFont="1" applyAlignment="1">
      <alignment horizontal="center" vertical="center"/>
    </xf>
    <xf numFmtId="0" fontId="23" fillId="6" borderId="0" xfId="0" applyNumberFormat="1" applyFont="1" applyFill="1" applyAlignment="1">
      <alignment horizontal="center" vertical="center"/>
    </xf>
    <xf numFmtId="0" fontId="29" fillId="12" borderId="0" xfId="0" applyFont="1" applyFill="1" applyAlignment="1">
      <alignment horizontal="center" vertical="center"/>
    </xf>
    <xf numFmtId="0" fontId="30" fillId="12" borderId="0" xfId="0" applyFont="1" applyFill="1" applyAlignment="1">
      <alignment horizontal="center" vertical="center"/>
    </xf>
    <xf numFmtId="0" fontId="29" fillId="12" borderId="0" xfId="0" applyFont="1" applyFill="1" applyAlignment="1">
      <alignment horizontal="left" vertical="center"/>
    </xf>
    <xf numFmtId="0" fontId="31" fillId="0" borderId="0" xfId="0" applyFont="1" applyAlignment="1">
      <alignment horizontal="center" vertical="center"/>
    </xf>
    <xf numFmtId="0" fontId="31" fillId="0" borderId="0" xfId="0" applyFont="1" applyAlignment="1">
      <alignment horizontal="left" vertical="center"/>
    </xf>
    <xf numFmtId="0" fontId="29" fillId="0" borderId="0" xfId="0" applyFont="1" applyFill="1" applyAlignment="1">
      <alignment horizontal="center" vertical="center"/>
    </xf>
    <xf numFmtId="2" fontId="29" fillId="12" borderId="0" xfId="0" applyNumberFormat="1" applyFont="1" applyFill="1" applyAlignment="1">
      <alignment horizontal="center" vertical="center"/>
    </xf>
    <xf numFmtId="2" fontId="29" fillId="0" borderId="0" xfId="0" applyNumberFormat="1" applyFont="1" applyAlignment="1">
      <alignment horizontal="center" vertical="center"/>
    </xf>
    <xf numFmtId="2" fontId="31" fillId="0" borderId="0" xfId="0" applyNumberFormat="1" applyFont="1" applyAlignment="1">
      <alignment horizontal="center" vertical="center"/>
    </xf>
    <xf numFmtId="164" fontId="29" fillId="12" borderId="0" xfId="0" applyNumberFormat="1" applyFont="1" applyFill="1" applyAlignment="1">
      <alignment horizontal="center" vertical="center"/>
    </xf>
    <xf numFmtId="164" fontId="29" fillId="0" borderId="0" xfId="0" applyNumberFormat="1" applyFont="1" applyAlignment="1">
      <alignment horizontal="center" vertical="center"/>
    </xf>
    <xf numFmtId="164" fontId="31" fillId="0" borderId="0" xfId="0" applyNumberFormat="1" applyFont="1" applyAlignment="1">
      <alignment horizontal="center" vertical="center"/>
    </xf>
    <xf numFmtId="0" fontId="23" fillId="0" borderId="0" xfId="0" applyFont="1" applyAlignment="1">
      <alignment horizontal="left" vertical="center"/>
    </xf>
    <xf numFmtId="0" fontId="23" fillId="12" borderId="0" xfId="0" applyFont="1" applyFill="1" applyAlignment="1">
      <alignment horizontal="center" vertical="center"/>
    </xf>
    <xf numFmtId="0" fontId="23" fillId="12" borderId="0" xfId="0" applyNumberFormat="1" applyFont="1" applyFill="1" applyAlignment="1">
      <alignment horizontal="center" vertical="center"/>
    </xf>
    <xf numFmtId="0" fontId="26" fillId="12" borderId="0" xfId="0" applyFont="1" applyFill="1" applyAlignment="1">
      <alignment horizontal="center" vertical="center"/>
    </xf>
    <xf numFmtId="0" fontId="23" fillId="12" borderId="0" xfId="0" applyFont="1" applyFill="1" applyAlignment="1">
      <alignment horizontal="left" vertical="center"/>
    </xf>
    <xf numFmtId="2" fontId="23" fillId="12" borderId="0" xfId="0" applyNumberFormat="1" applyFont="1" applyFill="1" applyAlignment="1">
      <alignment horizontal="center" vertical="center"/>
    </xf>
    <xf numFmtId="0" fontId="8" fillId="0" borderId="0" xfId="0" applyFont="1" applyFill="1" applyAlignment="1">
      <alignment horizontal="center"/>
    </xf>
    <xf numFmtId="0" fontId="32" fillId="5" borderId="0" xfId="0" applyFont="1" applyFill="1"/>
    <xf numFmtId="164" fontId="23" fillId="12" borderId="0" xfId="0" applyNumberFormat="1" applyFont="1" applyFill="1" applyAlignment="1">
      <alignment horizontal="center" vertical="center"/>
    </xf>
    <xf numFmtId="0" fontId="33" fillId="12" borderId="0" xfId="0" applyFont="1" applyFill="1" applyAlignment="1">
      <alignment horizontal="center" vertical="center"/>
    </xf>
    <xf numFmtId="0" fontId="34" fillId="12" borderId="0" xfId="0" applyFont="1" applyFill="1" applyAlignment="1">
      <alignment horizontal="center" vertical="center"/>
    </xf>
    <xf numFmtId="0" fontId="33" fillId="12" borderId="0" xfId="0" applyFont="1" applyFill="1" applyAlignment="1">
      <alignment horizontal="left" vertical="center"/>
    </xf>
    <xf numFmtId="0" fontId="33" fillId="0" borderId="0" xfId="0" applyFont="1" applyAlignment="1">
      <alignment horizontal="center" vertical="center"/>
    </xf>
    <xf numFmtId="0" fontId="33" fillId="0" borderId="0" xfId="0" applyFont="1" applyAlignment="1">
      <alignment horizontal="left" vertical="center"/>
    </xf>
    <xf numFmtId="0" fontId="33" fillId="12" borderId="0" xfId="0" applyNumberFormat="1" applyFont="1" applyFill="1" applyAlignment="1">
      <alignment horizontal="center" vertical="center"/>
    </xf>
    <xf numFmtId="0" fontId="33" fillId="0" borderId="0" xfId="0" applyNumberFormat="1" applyFont="1" applyAlignment="1">
      <alignment horizontal="center" vertical="center"/>
    </xf>
    <xf numFmtId="2" fontId="33" fillId="12" borderId="0" xfId="0" applyNumberFormat="1" applyFont="1" applyFill="1" applyAlignment="1">
      <alignment horizontal="center" vertical="center"/>
    </xf>
    <xf numFmtId="2" fontId="33" fillId="0" borderId="0" xfId="0" applyNumberFormat="1" applyFont="1" applyAlignment="1">
      <alignment horizontal="center" vertical="center"/>
    </xf>
    <xf numFmtId="164" fontId="33" fillId="12" borderId="0" xfId="0" applyNumberFormat="1" applyFont="1" applyFill="1" applyAlignment="1">
      <alignment horizontal="center" vertical="center"/>
    </xf>
    <xf numFmtId="164" fontId="33" fillId="0" borderId="0" xfId="0" applyNumberFormat="1" applyFont="1" applyAlignment="1">
      <alignment horizontal="center" vertical="center"/>
    </xf>
    <xf numFmtId="0" fontId="33" fillId="0" borderId="6" xfId="0" applyFont="1" applyBorder="1" applyAlignment="1">
      <alignment horizontal="center" vertical="center"/>
    </xf>
    <xf numFmtId="164" fontId="33" fillId="0" borderId="6" xfId="0" applyNumberFormat="1" applyFont="1" applyBorder="1" applyAlignment="1">
      <alignment horizontal="center" vertical="center"/>
    </xf>
    <xf numFmtId="0" fontId="33" fillId="0" borderId="6" xfId="0" applyNumberFormat="1" applyFont="1" applyBorder="1" applyAlignment="1">
      <alignment horizontal="center" vertical="center"/>
    </xf>
    <xf numFmtId="2" fontId="33" fillId="0" borderId="6" xfId="0" applyNumberFormat="1" applyFont="1" applyBorder="1" applyAlignment="1">
      <alignment horizontal="center" vertical="center"/>
    </xf>
    <xf numFmtId="0" fontId="33" fillId="0" borderId="6" xfId="0" applyFont="1" applyBorder="1" applyAlignment="1">
      <alignment horizontal="left" vertical="center"/>
    </xf>
    <xf numFmtId="0" fontId="33" fillId="0" borderId="0" xfId="0" applyFont="1" applyFill="1" applyAlignment="1">
      <alignment horizontal="center" vertical="center"/>
    </xf>
    <xf numFmtId="0" fontId="33" fillId="0" borderId="0" xfId="0" applyNumberFormat="1" applyFont="1" applyFill="1" applyAlignment="1">
      <alignment horizontal="center" vertical="center"/>
    </xf>
    <xf numFmtId="2" fontId="33" fillId="0" borderId="0" xfId="0" applyNumberFormat="1" applyFont="1" applyFill="1" applyAlignment="1">
      <alignment horizontal="center" vertical="center"/>
    </xf>
    <xf numFmtId="0" fontId="23" fillId="0" borderId="0" xfId="0" applyFont="1" applyFill="1" applyAlignment="1">
      <alignment horizontal="center" vertical="center"/>
    </xf>
    <xf numFmtId="0" fontId="0" fillId="0" borderId="0" xfId="0" applyFill="1"/>
    <xf numFmtId="0" fontId="23" fillId="0" borderId="0" xfId="0" applyNumberFormat="1" applyFont="1" applyFill="1" applyAlignment="1">
      <alignment horizontal="center" vertical="center"/>
    </xf>
    <xf numFmtId="164" fontId="33" fillId="0" borderId="0" xfId="0" applyNumberFormat="1" applyFont="1" applyFill="1" applyAlignment="1">
      <alignment horizontal="center" vertical="center"/>
    </xf>
    <xf numFmtId="0" fontId="17" fillId="5" borderId="0" xfId="0" applyFont="1" applyFill="1" applyBorder="1" applyAlignment="1">
      <alignment horizontal="center"/>
    </xf>
    <xf numFmtId="0" fontId="35" fillId="0" borderId="0" xfId="0" applyFont="1" applyAlignment="1">
      <alignment horizontal="center" vertical="center"/>
    </xf>
    <xf numFmtId="0" fontId="35" fillId="0" borderId="0" xfId="0" applyFont="1" applyAlignment="1">
      <alignment horizontal="left" vertical="center"/>
    </xf>
    <xf numFmtId="2" fontId="35" fillId="0" borderId="0" xfId="0" applyNumberFormat="1" applyFont="1" applyAlignment="1">
      <alignment horizontal="center" vertical="center"/>
    </xf>
    <xf numFmtId="164" fontId="35" fillId="0" borderId="0" xfId="0" applyNumberFormat="1" applyFont="1" applyAlignment="1">
      <alignment horizontal="center" vertical="center"/>
    </xf>
    <xf numFmtId="0" fontId="33" fillId="13" borderId="0" xfId="0" applyFont="1" applyFill="1" applyAlignment="1">
      <alignment horizontal="center" vertical="center"/>
    </xf>
    <xf numFmtId="164" fontId="33" fillId="13" borderId="0" xfId="0" applyNumberFormat="1" applyFont="1" applyFill="1" applyAlignment="1">
      <alignment horizontal="center" vertical="center"/>
    </xf>
    <xf numFmtId="0" fontId="33" fillId="13" borderId="0" xfId="0" applyNumberFormat="1" applyFont="1" applyFill="1" applyAlignment="1">
      <alignment horizontal="center" vertical="center"/>
    </xf>
    <xf numFmtId="2" fontId="33" fillId="13" borderId="0" xfId="0" applyNumberFormat="1" applyFont="1" applyFill="1" applyAlignment="1">
      <alignment horizontal="center" vertical="center"/>
    </xf>
    <xf numFmtId="0" fontId="34" fillId="13" borderId="0" xfId="0" applyFont="1" applyFill="1" applyAlignment="1">
      <alignment horizontal="center" vertical="center"/>
    </xf>
    <xf numFmtId="0" fontId="33" fillId="13" borderId="0" xfId="0" applyFont="1" applyFill="1" applyAlignment="1">
      <alignment horizontal="left" vertical="center"/>
    </xf>
    <xf numFmtId="0" fontId="23" fillId="5" borderId="0" xfId="0" applyFont="1" applyFill="1" applyAlignment="1">
      <alignment horizontal="center" vertical="center"/>
    </xf>
    <xf numFmtId="20" fontId="23" fillId="5" borderId="0" xfId="0" applyNumberFormat="1" applyFont="1" applyFill="1" applyAlignment="1">
      <alignment horizontal="center"/>
    </xf>
    <xf numFmtId="0" fontId="23" fillId="5" borderId="0" xfId="0" applyFont="1" applyFill="1" applyAlignment="1">
      <alignment horizontal="center"/>
    </xf>
    <xf numFmtId="0" fontId="26" fillId="5" borderId="0" xfId="0" applyFont="1" applyFill="1" applyAlignment="1">
      <alignment horizontal="center" vertical="center"/>
    </xf>
    <xf numFmtId="0" fontId="23" fillId="0" borderId="0" xfId="0" applyFont="1" applyFill="1" applyAlignment="1">
      <alignment horizontal="left" vertical="center"/>
    </xf>
    <xf numFmtId="0" fontId="23" fillId="0" borderId="0" xfId="0" applyFont="1" applyFill="1" applyAlignment="1">
      <alignment horizontal="center"/>
    </xf>
    <xf numFmtId="0" fontId="33" fillId="12" borderId="6" xfId="0" applyFont="1" applyFill="1" applyBorder="1" applyAlignment="1">
      <alignment horizontal="center" vertical="center"/>
    </xf>
    <xf numFmtId="164" fontId="33" fillId="12" borderId="6" xfId="0" applyNumberFormat="1" applyFont="1" applyFill="1" applyBorder="1" applyAlignment="1">
      <alignment horizontal="center" vertical="center"/>
    </xf>
    <xf numFmtId="0" fontId="33" fillId="12" borderId="6" xfId="0" applyNumberFormat="1" applyFont="1" applyFill="1" applyBorder="1" applyAlignment="1">
      <alignment horizontal="center" vertical="center"/>
    </xf>
    <xf numFmtId="2" fontId="33" fillId="12" borderId="6" xfId="0" applyNumberFormat="1" applyFont="1" applyFill="1" applyBorder="1" applyAlignment="1">
      <alignment horizontal="center" vertical="center"/>
    </xf>
    <xf numFmtId="0" fontId="34" fillId="12" borderId="6" xfId="0" applyFont="1" applyFill="1" applyBorder="1" applyAlignment="1">
      <alignment horizontal="center" vertical="center"/>
    </xf>
    <xf numFmtId="0" fontId="33" fillId="12" borderId="6" xfId="0" applyFont="1" applyFill="1" applyBorder="1" applyAlignment="1">
      <alignment horizontal="left" vertical="center"/>
    </xf>
    <xf numFmtId="0" fontId="33" fillId="6" borderId="0" xfId="0" applyFont="1" applyFill="1" applyAlignment="1">
      <alignment horizontal="center" vertical="center"/>
    </xf>
    <xf numFmtId="0" fontId="34" fillId="6" borderId="0" xfId="0" applyFont="1" applyFill="1" applyAlignment="1">
      <alignment horizontal="center" vertical="center"/>
    </xf>
    <xf numFmtId="0" fontId="33" fillId="6" borderId="0" xfId="0" applyNumberFormat="1" applyFont="1" applyFill="1" applyAlignment="1">
      <alignment horizontal="center" vertical="center"/>
    </xf>
    <xf numFmtId="164" fontId="33" fillId="6" borderId="0" xfId="0" applyNumberFormat="1" applyFont="1" applyFill="1" applyAlignment="1">
      <alignment horizontal="center" vertical="center"/>
    </xf>
    <xf numFmtId="14" fontId="33" fillId="0" borderId="0" xfId="0" applyNumberFormat="1" applyFont="1" applyAlignment="1">
      <alignment horizontal="center" vertical="center"/>
    </xf>
    <xf numFmtId="20" fontId="33" fillId="0" borderId="0" xfId="0" applyNumberFormat="1" applyFont="1" applyAlignment="1">
      <alignment horizontal="center" vertical="center"/>
    </xf>
    <xf numFmtId="14" fontId="33" fillId="12" borderId="0" xfId="0" applyNumberFormat="1" applyFont="1" applyFill="1" applyAlignment="1">
      <alignment horizontal="center" vertical="center"/>
    </xf>
    <xf numFmtId="20" fontId="33" fillId="12" borderId="0" xfId="0" applyNumberFormat="1" applyFont="1" applyFill="1" applyAlignment="1">
      <alignment horizontal="center" vertical="center"/>
    </xf>
    <xf numFmtId="2" fontId="33" fillId="6" borderId="0" xfId="0" applyNumberFormat="1" applyFont="1" applyFill="1" applyAlignment="1">
      <alignment horizontal="center" vertical="center"/>
    </xf>
    <xf numFmtId="20" fontId="23" fillId="0" borderId="0" xfId="0" applyNumberFormat="1" applyFont="1" applyAlignment="1">
      <alignment horizontal="center" vertical="center"/>
    </xf>
    <xf numFmtId="0" fontId="23" fillId="0" borderId="6" xfId="0" applyFont="1" applyBorder="1" applyAlignment="1">
      <alignment horizontal="center" vertical="center"/>
    </xf>
    <xf numFmtId="0" fontId="33" fillId="6" borderId="0" xfId="0" applyFont="1" applyFill="1" applyAlignment="1">
      <alignment horizontal="left" vertical="center"/>
    </xf>
    <xf numFmtId="0" fontId="34" fillId="0" borderId="0" xfId="0" applyFont="1" applyFill="1" applyAlignment="1">
      <alignment horizontal="center" vertical="center"/>
    </xf>
    <xf numFmtId="1" fontId="33" fillId="0" borderId="0" xfId="0" applyNumberFormat="1" applyFont="1" applyAlignment="1">
      <alignment horizontal="center" vertical="center"/>
    </xf>
    <xf numFmtId="1" fontId="33" fillId="0" borderId="6" xfId="0" applyNumberFormat="1" applyFont="1" applyBorder="1" applyAlignment="1">
      <alignment horizontal="center" vertical="center"/>
    </xf>
    <xf numFmtId="164" fontId="14" fillId="0" borderId="0" xfId="0" applyNumberFormat="1" applyFont="1" applyAlignment="1">
      <alignment horizontal="center" vertical="center"/>
    </xf>
    <xf numFmtId="0" fontId="14" fillId="0" borderId="0" xfId="0" applyNumberFormat="1" applyFont="1" applyAlignment="1">
      <alignment horizontal="center" vertical="center"/>
    </xf>
    <xf numFmtId="0" fontId="8" fillId="0" borderId="0" xfId="0" applyNumberFormat="1" applyFont="1" applyAlignment="1">
      <alignment horizontal="center" vertical="center"/>
    </xf>
    <xf numFmtId="0" fontId="8" fillId="0" borderId="0" xfId="0" applyFont="1"/>
    <xf numFmtId="0" fontId="3" fillId="0" borderId="0" xfId="0" applyFont="1"/>
    <xf numFmtId="0" fontId="3" fillId="0" borderId="0" xfId="0" applyFont="1" applyFill="1"/>
    <xf numFmtId="0" fontId="8" fillId="12" borderId="0" xfId="0" applyFont="1" applyFill="1" applyAlignment="1">
      <alignment horizontal="center" vertical="center"/>
    </xf>
    <xf numFmtId="164" fontId="8" fillId="12" borderId="0" xfId="0" applyNumberFormat="1" applyFont="1" applyFill="1" applyAlignment="1">
      <alignment horizontal="center" vertical="center"/>
    </xf>
    <xf numFmtId="0" fontId="8" fillId="12" borderId="0" xfId="0" applyNumberFormat="1" applyFont="1" applyFill="1" applyAlignment="1">
      <alignment horizontal="center" vertical="center"/>
    </xf>
    <xf numFmtId="2" fontId="8" fillId="12" borderId="0" xfId="0" applyNumberFormat="1" applyFont="1" applyFill="1" applyAlignment="1">
      <alignment horizontal="center" vertical="center"/>
    </xf>
    <xf numFmtId="0" fontId="17" fillId="12" borderId="0" xfId="0" applyFont="1" applyFill="1" applyAlignment="1">
      <alignment horizontal="center" vertical="center"/>
    </xf>
    <xf numFmtId="0" fontId="8" fillId="12" borderId="0" xfId="0" applyFont="1" applyFill="1" applyAlignment="1">
      <alignment horizontal="left" vertical="center"/>
    </xf>
    <xf numFmtId="164" fontId="8" fillId="0" borderId="0" xfId="0" applyNumberFormat="1" applyFont="1" applyAlignment="1">
      <alignment horizontal="center" vertical="center"/>
    </xf>
    <xf numFmtId="164" fontId="8" fillId="0" borderId="6" xfId="0" applyNumberFormat="1" applyFont="1" applyBorder="1" applyAlignment="1">
      <alignment horizontal="center" vertical="center"/>
    </xf>
    <xf numFmtId="0" fontId="8" fillId="0" borderId="6" xfId="0" applyNumberFormat="1" applyFont="1" applyBorder="1" applyAlignment="1">
      <alignment horizontal="center" vertical="center"/>
    </xf>
    <xf numFmtId="2" fontId="8" fillId="0" borderId="6" xfId="0" applyNumberFormat="1" applyFont="1" applyBorder="1" applyAlignment="1">
      <alignment horizontal="center" vertical="center"/>
    </xf>
    <xf numFmtId="0" fontId="8" fillId="0" borderId="6" xfId="0" applyFont="1" applyBorder="1" applyAlignment="1">
      <alignment horizontal="left" vertical="center"/>
    </xf>
    <xf numFmtId="0" fontId="3" fillId="0" borderId="6" xfId="0" applyFont="1" applyBorder="1"/>
    <xf numFmtId="0" fontId="17" fillId="13" borderId="0" xfId="0" applyFont="1" applyFill="1" applyAlignment="1">
      <alignment horizontal="center" vertical="center"/>
    </xf>
    <xf numFmtId="0" fontId="8" fillId="13" borderId="0" xfId="0" applyNumberFormat="1" applyFont="1" applyFill="1" applyAlignment="1">
      <alignment horizontal="center" vertical="center"/>
    </xf>
    <xf numFmtId="0" fontId="23" fillId="0" borderId="6" xfId="0" applyFont="1" applyBorder="1" applyAlignment="1">
      <alignment horizontal="left" vertical="center"/>
    </xf>
    <xf numFmtId="0" fontId="23" fillId="0" borderId="0" xfId="0" applyFont="1" applyFill="1" applyBorder="1" applyAlignment="1">
      <alignment horizontal="center" vertical="center"/>
    </xf>
    <xf numFmtId="164" fontId="23" fillId="0" borderId="0" xfId="0" applyNumberFormat="1" applyFont="1" applyFill="1" applyBorder="1" applyAlignment="1">
      <alignment horizontal="center" vertical="center"/>
    </xf>
    <xf numFmtId="0" fontId="23" fillId="0" borderId="0" xfId="0" applyNumberFormat="1" applyFont="1" applyFill="1" applyBorder="1" applyAlignment="1">
      <alignment horizontal="center" vertical="center"/>
    </xf>
    <xf numFmtId="2" fontId="23" fillId="0" borderId="0" xfId="0" applyNumberFormat="1" applyFont="1" applyFill="1" applyBorder="1" applyAlignment="1">
      <alignment horizontal="center" vertical="center"/>
    </xf>
    <xf numFmtId="2" fontId="4" fillId="0" borderId="0" xfId="0" quotePrefix="1" applyNumberFormat="1" applyFont="1" applyAlignment="1">
      <alignment horizontal="center"/>
    </xf>
    <xf numFmtId="0" fontId="36" fillId="0" borderId="0" xfId="0" applyFont="1" applyAlignment="1">
      <alignment horizontal="center" vertical="center"/>
    </xf>
    <xf numFmtId="0" fontId="36" fillId="0" borderId="0" xfId="0" applyFont="1" applyAlignment="1">
      <alignment horizontal="left" vertical="center"/>
    </xf>
    <xf numFmtId="0" fontId="36" fillId="12" borderId="0" xfId="0" applyFont="1" applyFill="1" applyAlignment="1">
      <alignment horizontal="center" vertical="center"/>
    </xf>
    <xf numFmtId="0" fontId="37" fillId="12" borderId="0" xfId="0" applyFont="1" applyFill="1" applyAlignment="1">
      <alignment horizontal="center" vertical="center"/>
    </xf>
    <xf numFmtId="0" fontId="36" fillId="12" borderId="0" xfId="0" applyFont="1" applyFill="1" applyAlignment="1">
      <alignment horizontal="left" vertical="center"/>
    </xf>
    <xf numFmtId="20" fontId="36" fillId="0" borderId="0" xfId="0" applyNumberFormat="1" applyFont="1" applyAlignment="1">
      <alignment horizontal="center" vertical="center"/>
    </xf>
    <xf numFmtId="2" fontId="36" fillId="0" borderId="0" xfId="0" applyNumberFormat="1" applyFont="1" applyAlignment="1">
      <alignment horizontal="center" vertical="center"/>
    </xf>
    <xf numFmtId="2" fontId="36" fillId="12" borderId="0" xfId="0" applyNumberFormat="1" applyFont="1" applyFill="1" applyAlignment="1">
      <alignment horizontal="center" vertical="center"/>
    </xf>
    <xf numFmtId="164" fontId="36" fillId="0" borderId="0" xfId="0" applyNumberFormat="1" applyFont="1" applyAlignment="1">
      <alignment horizontal="center" vertical="center"/>
    </xf>
    <xf numFmtId="164" fontId="36" fillId="12" borderId="0" xfId="0" applyNumberFormat="1" applyFont="1" applyFill="1" applyAlignment="1">
      <alignment horizontal="center" vertical="center"/>
    </xf>
    <xf numFmtId="0" fontId="4" fillId="0" borderId="0" xfId="0" applyNumberFormat="1" applyFont="1" applyAlignment="1">
      <alignment horizontal="center"/>
    </xf>
    <xf numFmtId="0" fontId="4" fillId="0" borderId="0" xfId="0" applyNumberFormat="1" applyFont="1"/>
    <xf numFmtId="0" fontId="4" fillId="0" borderId="0" xfId="0" applyNumberFormat="1" applyFont="1" applyAlignment="1"/>
    <xf numFmtId="0" fontId="36" fillId="0" borderId="0" xfId="0" applyFont="1" applyFill="1" applyAlignment="1">
      <alignment horizontal="center" vertical="center"/>
    </xf>
    <xf numFmtId="0" fontId="4" fillId="0" borderId="0" xfId="0" applyNumberFormat="1" applyFont="1" applyFill="1"/>
    <xf numFmtId="2" fontId="36" fillId="0" borderId="0" xfId="0" applyNumberFormat="1" applyFont="1" applyFill="1" applyAlignment="1">
      <alignment horizontal="center" vertical="center"/>
    </xf>
    <xf numFmtId="164" fontId="36" fillId="0" borderId="0" xfId="0" applyNumberFormat="1" applyFont="1" applyFill="1" applyAlignment="1">
      <alignment horizontal="center" vertical="center"/>
    </xf>
    <xf numFmtId="0" fontId="36" fillId="0" borderId="6" xfId="0" applyFont="1" applyFill="1" applyBorder="1" applyAlignment="1">
      <alignment horizontal="center" vertical="center"/>
    </xf>
    <xf numFmtId="0" fontId="23" fillId="0" borderId="6" xfId="0" applyFont="1" applyFill="1" applyBorder="1" applyAlignment="1">
      <alignment horizontal="center" vertical="center"/>
    </xf>
    <xf numFmtId="164" fontId="36" fillId="0" borderId="6" xfId="0" applyNumberFormat="1" applyFont="1" applyFill="1" applyBorder="1" applyAlignment="1">
      <alignment horizontal="center" vertical="center"/>
    </xf>
    <xf numFmtId="0" fontId="0" fillId="0" borderId="6" xfId="0" applyFill="1" applyBorder="1"/>
    <xf numFmtId="2" fontId="36" fillId="0" borderId="6" xfId="0" applyNumberFormat="1" applyFont="1" applyFill="1" applyBorder="1" applyAlignment="1">
      <alignment horizontal="center" vertical="center"/>
    </xf>
    <xf numFmtId="2" fontId="4" fillId="0" borderId="6" xfId="0" applyNumberFormat="1" applyFont="1" applyFill="1" applyBorder="1" applyAlignment="1">
      <alignment horizontal="center"/>
    </xf>
    <xf numFmtId="2" fontId="23" fillId="0" borderId="6" xfId="0" applyNumberFormat="1" applyFont="1" applyFill="1" applyBorder="1" applyAlignment="1">
      <alignment horizontal="center" vertical="center"/>
    </xf>
    <xf numFmtId="164" fontId="8" fillId="0" borderId="6" xfId="0" applyNumberFormat="1" applyFont="1" applyFill="1" applyBorder="1" applyAlignment="1">
      <alignment horizontal="center" vertical="center"/>
    </xf>
    <xf numFmtId="1" fontId="8" fillId="0" borderId="6" xfId="0" applyNumberFormat="1" applyFont="1" applyFill="1" applyBorder="1" applyAlignment="1">
      <alignment horizontal="center" vertical="center"/>
    </xf>
    <xf numFmtId="0" fontId="17" fillId="0" borderId="6" xfId="0" applyNumberFormat="1" applyFont="1" applyFill="1" applyBorder="1" applyAlignment="1">
      <alignment horizontal="center" vertical="center"/>
    </xf>
    <xf numFmtId="0" fontId="17" fillId="0" borderId="0" xfId="0" applyNumberFormat="1" applyFont="1" applyFill="1" applyBorder="1" applyAlignment="1">
      <alignment horizontal="center" vertical="center"/>
    </xf>
    <xf numFmtId="14" fontId="23" fillId="0" borderId="0" xfId="0" applyNumberFormat="1" applyFont="1" applyFill="1" applyAlignment="1">
      <alignment horizontal="center"/>
    </xf>
    <xf numFmtId="167" fontId="4" fillId="0" borderId="0" xfId="0" applyNumberFormat="1" applyFont="1" applyFill="1" applyAlignment="1">
      <alignment horizontal="center"/>
    </xf>
    <xf numFmtId="167" fontId="14" fillId="0" borderId="0" xfId="0" applyNumberFormat="1" applyFont="1" applyFill="1" applyAlignment="1">
      <alignment horizontal="center"/>
    </xf>
    <xf numFmtId="14" fontId="23" fillId="0" borderId="0" xfId="0" applyNumberFormat="1" applyFont="1" applyFill="1" applyBorder="1" applyAlignment="1">
      <alignment horizontal="center"/>
    </xf>
    <xf numFmtId="167" fontId="4" fillId="0" borderId="0" xfId="0" applyNumberFormat="1" applyFont="1" applyFill="1" applyBorder="1" applyAlignment="1">
      <alignment horizontal="center"/>
    </xf>
    <xf numFmtId="20" fontId="4" fillId="0" borderId="0" xfId="0" applyNumberFormat="1" applyFont="1" applyFill="1" applyBorder="1" applyAlignment="1">
      <alignment horizontal="center"/>
    </xf>
    <xf numFmtId="0" fontId="10" fillId="0" borderId="0" xfId="0" applyFont="1" applyFill="1" applyBorder="1" applyAlignment="1">
      <alignment horizontal="center"/>
    </xf>
    <xf numFmtId="164" fontId="8" fillId="0" borderId="0" xfId="0" applyNumberFormat="1" applyFont="1" applyAlignment="1">
      <alignment horizontal="center"/>
    </xf>
    <xf numFmtId="20" fontId="8" fillId="0" borderId="0" xfId="0" applyNumberFormat="1" applyFont="1" applyAlignment="1">
      <alignment horizontal="center"/>
    </xf>
    <xf numFmtId="0" fontId="6" fillId="0" borderId="0" xfId="0" applyFont="1" applyAlignment="1">
      <alignment horizontal="center" vertical="center"/>
    </xf>
    <xf numFmtId="164" fontId="4" fillId="0" borderId="0" xfId="0" applyNumberFormat="1" applyFont="1" applyBorder="1" applyAlignment="1">
      <alignment horizontal="center"/>
    </xf>
    <xf numFmtId="0" fontId="8" fillId="0" borderId="0" xfId="0" applyNumberFormat="1" applyFont="1" applyFill="1" applyAlignment="1">
      <alignment horizontal="center"/>
    </xf>
    <xf numFmtId="0" fontId="23" fillId="5" borderId="0" xfId="0" applyFont="1" applyFill="1" applyAlignment="1">
      <alignment horizontal="left" vertical="center"/>
    </xf>
    <xf numFmtId="0" fontId="23" fillId="6" borderId="0" xfId="0" applyFont="1" applyFill="1" applyAlignment="1">
      <alignment horizontal="left" vertical="center"/>
    </xf>
    <xf numFmtId="14" fontId="36" fillId="0" borderId="0" xfId="0" applyNumberFormat="1" applyFont="1" applyAlignment="1">
      <alignment horizontal="center" vertical="center"/>
    </xf>
    <xf numFmtId="164" fontId="4" fillId="3" borderId="0" xfId="0" applyNumberFormat="1" applyFont="1" applyFill="1" applyBorder="1" applyAlignment="1">
      <alignment horizontal="center"/>
    </xf>
    <xf numFmtId="0" fontId="8" fillId="3" borderId="0" xfId="0" applyFont="1" applyFill="1" applyBorder="1" applyAlignment="1">
      <alignment horizontal="left" vertical="center"/>
    </xf>
    <xf numFmtId="0" fontId="8" fillId="3" borderId="0" xfId="0" applyFont="1" applyFill="1" applyBorder="1" applyAlignment="1">
      <alignment horizontal="center" vertical="center"/>
    </xf>
    <xf numFmtId="0" fontId="14" fillId="0" borderId="0" xfId="0" applyNumberFormat="1" applyFont="1" applyFill="1" applyBorder="1" applyAlignment="1">
      <alignment horizontal="left" vertical="center"/>
    </xf>
    <xf numFmtId="14" fontId="6" fillId="0" borderId="0" xfId="0" applyNumberFormat="1" applyFont="1" applyAlignment="1">
      <alignment horizontal="center"/>
    </xf>
    <xf numFmtId="0" fontId="6" fillId="0" borderId="0" xfId="0" applyFont="1" applyAlignment="1">
      <alignment horizontal="center"/>
    </xf>
    <xf numFmtId="20" fontId="6" fillId="0" borderId="0" xfId="0" applyNumberFormat="1" applyFont="1" applyAlignment="1">
      <alignment horizontal="center"/>
    </xf>
    <xf numFmtId="0" fontId="6" fillId="0" borderId="0" xfId="0" applyFont="1" applyAlignment="1">
      <alignment horizontal="left"/>
    </xf>
  </cellXfs>
  <cellStyles count="8">
    <cellStyle name="Excel Built-in Normal" xfId="4" xr:uid="{00000000-0005-0000-0000-000000000000}"/>
    <cellStyle name="Normal" xfId="0" builtinId="0"/>
    <cellStyle name="Normal 2" xfId="3" xr:uid="{00000000-0005-0000-0000-000002000000}"/>
    <cellStyle name="Normal 3" xfId="5" xr:uid="{00000000-0005-0000-0000-000003000000}"/>
    <cellStyle name="Normal 4" xfId="7" xr:uid="{00000000-0005-0000-0000-000004000000}"/>
    <cellStyle name="Normal_Jersey-Prisoner's Pt. Trawls" xfId="1" xr:uid="{00000000-0005-0000-0000-000005000000}"/>
    <cellStyle name="Normal_Sheet1" xfId="2" xr:uid="{00000000-0005-0000-0000-000006000000}"/>
    <cellStyle name="Normal_Sheet1 2" xfId="6" xr:uid="{00000000-0005-0000-0000-000007000000}"/>
  </cellStyles>
  <dxfs count="4983">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color theme="1"/>
      </font>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font>
      <fill>
        <patternFill>
          <bgColor theme="6" tint="0.59996337778862885"/>
        </patternFill>
      </fill>
    </dxf>
    <dxf>
      <font>
        <b/>
        <i val="0"/>
        <color theme="1"/>
      </font>
      <fill>
        <patternFill>
          <bgColor theme="8"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color theme="1"/>
      </font>
      <fill>
        <patternFill>
          <bgColor theme="8" tint="0.59996337778862885"/>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6" tint="0.39994506668294322"/>
        </patternFill>
      </fill>
    </dxf>
    <dxf>
      <font>
        <b/>
        <i val="0"/>
      </font>
      <fill>
        <patternFill>
          <bgColor theme="8" tint="0.39994506668294322"/>
        </patternFill>
      </fill>
    </dxf>
    <dxf>
      <font>
        <b/>
        <i val="0"/>
        <color theme="1"/>
      </font>
      <fill>
        <patternFill>
          <bgColor theme="8"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sheetPr>
  <dimension ref="A1:AE880"/>
  <sheetViews>
    <sheetView tabSelected="1" workbookViewId="0">
      <pane xSplit="6" ySplit="2" topLeftCell="R126" activePane="bottomRight" state="frozen"/>
      <selection pane="topRight" activeCell="G1" sqref="G1"/>
      <selection pane="bottomLeft" activeCell="A3" sqref="A3"/>
      <selection pane="bottomRight" activeCell="Y144" sqref="Y144"/>
    </sheetView>
  </sheetViews>
  <sheetFormatPr defaultColWidth="9.140625" defaultRowHeight="15" x14ac:dyDescent="0.25"/>
  <cols>
    <col min="1" max="1" width="12.85546875" style="98" customWidth="1"/>
    <col min="2" max="2" width="9.140625" style="98" bestFit="1" customWidth="1"/>
    <col min="3" max="3" width="30.85546875" style="98" bestFit="1" customWidth="1"/>
    <col min="4" max="4" width="15.7109375" style="98" customWidth="1"/>
    <col min="5" max="5" width="14" style="98" bestFit="1" customWidth="1"/>
    <col min="6" max="6" width="14.85546875" style="98" customWidth="1"/>
    <col min="7" max="7" width="10.42578125" style="98" customWidth="1"/>
    <col min="8" max="8" width="43.7109375" style="98" customWidth="1"/>
    <col min="9" max="9" width="11.85546875" style="621" bestFit="1" customWidth="1"/>
    <col min="10" max="14" width="20.7109375" style="98" customWidth="1"/>
    <col min="15" max="15" width="8" style="98" customWidth="1"/>
    <col min="16" max="16" width="15.7109375" style="98" customWidth="1"/>
    <col min="17" max="17" width="13" style="98" customWidth="1"/>
    <col min="18" max="18" width="13.42578125" style="98" customWidth="1"/>
    <col min="19" max="19" width="7.7109375" style="98" customWidth="1"/>
    <col min="20" max="20" width="6.85546875" style="98" customWidth="1"/>
    <col min="21" max="21" width="14.7109375" style="98" bestFit="1" customWidth="1"/>
    <col min="22" max="22" width="11.85546875" style="98" customWidth="1"/>
    <col min="23" max="23" width="6.85546875" style="98" customWidth="1"/>
    <col min="24" max="24" width="11.42578125" style="98" customWidth="1"/>
    <col min="25" max="25" width="61.7109375" style="622" customWidth="1"/>
    <col min="26" max="16384" width="9.140625" style="98"/>
  </cols>
  <sheetData>
    <row r="1" spans="1:25" s="631" customFormat="1" x14ac:dyDescent="0.25">
      <c r="A1" s="827" t="s">
        <v>33</v>
      </c>
      <c r="B1" s="147"/>
      <c r="C1" s="147"/>
      <c r="D1" s="147"/>
      <c r="E1" s="147"/>
      <c r="F1" s="147"/>
      <c r="G1" s="147"/>
      <c r="H1" s="147"/>
      <c r="I1" s="611"/>
      <c r="J1" s="147"/>
      <c r="K1" s="147"/>
      <c r="L1" s="147"/>
      <c r="M1" s="147"/>
      <c r="N1" s="147"/>
      <c r="O1" s="147"/>
      <c r="P1" s="147"/>
      <c r="Q1" s="147"/>
      <c r="R1" s="147"/>
      <c r="S1" s="147"/>
      <c r="T1" s="147"/>
      <c r="U1" s="147"/>
      <c r="V1" s="147"/>
      <c r="W1" s="146"/>
      <c r="X1" s="146"/>
      <c r="Y1" s="5"/>
    </row>
    <row r="2" spans="1:25" s="141" customFormat="1" ht="15.75" thickBot="1" x14ac:dyDescent="0.3">
      <c r="A2" s="140" t="s">
        <v>1</v>
      </c>
      <c r="B2" s="140" t="s">
        <v>2</v>
      </c>
      <c r="C2" s="141" t="s">
        <v>3</v>
      </c>
      <c r="D2" s="141" t="s">
        <v>4</v>
      </c>
      <c r="E2" s="141" t="s">
        <v>5</v>
      </c>
      <c r="F2" s="94" t="s">
        <v>6</v>
      </c>
      <c r="G2" s="141" t="s">
        <v>7</v>
      </c>
      <c r="H2" s="141" t="s">
        <v>8</v>
      </c>
      <c r="I2" s="612" t="s">
        <v>9</v>
      </c>
      <c r="J2" s="142" t="s">
        <v>34</v>
      </c>
      <c r="K2" s="143" t="s">
        <v>35</v>
      </c>
      <c r="L2" s="142" t="s">
        <v>36</v>
      </c>
      <c r="M2" s="95" t="s">
        <v>37</v>
      </c>
      <c r="N2" s="144" t="s">
        <v>38</v>
      </c>
      <c r="O2" s="140" t="s">
        <v>10</v>
      </c>
      <c r="P2" s="140" t="s">
        <v>13</v>
      </c>
      <c r="Q2" s="140" t="s">
        <v>14</v>
      </c>
      <c r="R2" s="140" t="s">
        <v>39</v>
      </c>
      <c r="S2" s="140" t="s">
        <v>19</v>
      </c>
      <c r="T2" s="140" t="s">
        <v>20</v>
      </c>
      <c r="U2" s="140" t="s">
        <v>21</v>
      </c>
      <c r="V2" s="140" t="s">
        <v>40</v>
      </c>
      <c r="W2" s="140" t="s">
        <v>41</v>
      </c>
      <c r="X2" s="140" t="s">
        <v>42</v>
      </c>
      <c r="Y2" s="145" t="s">
        <v>22</v>
      </c>
    </row>
    <row r="3" spans="1:25" s="97" customFormat="1" x14ac:dyDescent="0.25">
      <c r="A3" s="821">
        <v>44375</v>
      </c>
      <c r="B3" s="51" t="s">
        <v>43</v>
      </c>
      <c r="C3" s="51" t="s">
        <v>162</v>
      </c>
      <c r="D3" s="870">
        <v>38.236890000000002</v>
      </c>
      <c r="E3" s="870">
        <v>-121.68359</v>
      </c>
      <c r="F3" s="51" t="s">
        <v>9971</v>
      </c>
      <c r="G3" s="51" t="s">
        <v>90</v>
      </c>
      <c r="H3" s="51" t="s">
        <v>126</v>
      </c>
      <c r="I3" s="66">
        <v>0.42152777777777778</v>
      </c>
      <c r="J3" s="51">
        <v>331.53</v>
      </c>
      <c r="K3" s="51">
        <v>21.7</v>
      </c>
      <c r="L3" s="51">
        <v>15.4</v>
      </c>
      <c r="M3" s="51">
        <v>0.83</v>
      </c>
      <c r="N3" s="51">
        <v>19.12</v>
      </c>
      <c r="O3" s="51" t="s">
        <v>48</v>
      </c>
      <c r="P3" s="51">
        <v>4</v>
      </c>
      <c r="Q3" s="51">
        <v>10</v>
      </c>
      <c r="R3" s="51" t="s">
        <v>49</v>
      </c>
      <c r="S3" s="51" t="s">
        <v>50</v>
      </c>
      <c r="T3" s="51" t="s">
        <v>50</v>
      </c>
      <c r="U3" s="51" t="s">
        <v>50</v>
      </c>
      <c r="V3" s="51" t="s">
        <v>50</v>
      </c>
      <c r="W3" s="51" t="s">
        <v>50</v>
      </c>
      <c r="X3" s="51" t="s">
        <v>50</v>
      </c>
      <c r="Y3" s="102"/>
    </row>
    <row r="4" spans="1:25" s="97" customFormat="1" x14ac:dyDescent="0.25">
      <c r="A4" s="821">
        <v>44375</v>
      </c>
      <c r="B4" s="51" t="s">
        <v>43</v>
      </c>
      <c r="C4" s="51" t="s">
        <v>162</v>
      </c>
      <c r="D4" s="870">
        <v>38.278790000000001</v>
      </c>
      <c r="E4" s="870">
        <v>-121.66481</v>
      </c>
      <c r="F4" s="51" t="s">
        <v>9972</v>
      </c>
      <c r="G4" s="51" t="s">
        <v>90</v>
      </c>
      <c r="H4" s="51" t="s">
        <v>126</v>
      </c>
      <c r="I4" s="66">
        <v>0.48194444444444445</v>
      </c>
      <c r="J4" s="51">
        <v>229.5</v>
      </c>
      <c r="K4" s="51">
        <v>21.13</v>
      </c>
      <c r="L4" s="51">
        <v>23.62</v>
      </c>
      <c r="M4" s="51">
        <v>0.48</v>
      </c>
      <c r="N4" s="51">
        <v>6.4</v>
      </c>
      <c r="O4" s="51" t="s">
        <v>48</v>
      </c>
      <c r="P4" s="51">
        <v>4</v>
      </c>
      <c r="Q4" s="51">
        <v>10</v>
      </c>
      <c r="R4" s="51" t="s">
        <v>49</v>
      </c>
      <c r="S4" s="51" t="s">
        <v>50</v>
      </c>
      <c r="T4" s="51" t="s">
        <v>50</v>
      </c>
      <c r="U4" s="51" t="s">
        <v>50</v>
      </c>
      <c r="V4" s="51" t="s">
        <v>50</v>
      </c>
      <c r="W4" s="51" t="s">
        <v>50</v>
      </c>
      <c r="X4" s="51" t="s">
        <v>50</v>
      </c>
      <c r="Y4" s="102"/>
    </row>
    <row r="5" spans="1:25" s="97" customFormat="1" x14ac:dyDescent="0.25">
      <c r="A5" s="479">
        <v>44375</v>
      </c>
      <c r="B5" s="442" t="s">
        <v>43</v>
      </c>
      <c r="C5" s="51" t="s">
        <v>162</v>
      </c>
      <c r="D5" s="1101">
        <v>38.27075</v>
      </c>
      <c r="E5" s="1101">
        <v>-121.69374999999999</v>
      </c>
      <c r="F5" s="442" t="s">
        <v>9973</v>
      </c>
      <c r="G5" s="442" t="s">
        <v>90</v>
      </c>
      <c r="H5" s="442" t="s">
        <v>126</v>
      </c>
      <c r="I5" s="1102">
        <v>0.35486111111111113</v>
      </c>
      <c r="J5" s="442">
        <v>865.25</v>
      </c>
      <c r="K5" s="442">
        <v>21.68</v>
      </c>
      <c r="L5" s="442">
        <v>12.97</v>
      </c>
      <c r="M5" s="442">
        <v>0.87</v>
      </c>
      <c r="N5" s="442">
        <v>6.65</v>
      </c>
      <c r="O5" s="442" t="s">
        <v>48</v>
      </c>
      <c r="P5" s="442">
        <v>4</v>
      </c>
      <c r="Q5" s="442">
        <v>10</v>
      </c>
      <c r="R5" s="442" t="s">
        <v>49</v>
      </c>
      <c r="S5" s="442" t="s">
        <v>50</v>
      </c>
      <c r="T5" s="442" t="s">
        <v>50</v>
      </c>
      <c r="U5" s="442" t="s">
        <v>50</v>
      </c>
      <c r="V5" s="442" t="s">
        <v>50</v>
      </c>
      <c r="W5" s="442" t="s">
        <v>50</v>
      </c>
      <c r="X5" s="442" t="s">
        <v>50</v>
      </c>
      <c r="Y5" s="102"/>
    </row>
    <row r="6" spans="1:25" s="153" customFormat="1" x14ac:dyDescent="0.25">
      <c r="A6" s="446">
        <v>44375</v>
      </c>
      <c r="B6" s="424" t="s">
        <v>43</v>
      </c>
      <c r="C6" s="424" t="s">
        <v>95</v>
      </c>
      <c r="D6" s="871">
        <v>38.023099999999999</v>
      </c>
      <c r="E6" s="871">
        <v>-121.72454</v>
      </c>
      <c r="F6" s="424" t="s">
        <v>9974</v>
      </c>
      <c r="G6" s="424" t="s">
        <v>46</v>
      </c>
      <c r="H6" s="424" t="s">
        <v>97</v>
      </c>
      <c r="I6" s="425">
        <v>0.47916666666666669</v>
      </c>
      <c r="J6" s="424" t="s">
        <v>50</v>
      </c>
      <c r="K6" s="424" t="s">
        <v>50</v>
      </c>
      <c r="L6" s="424" t="s">
        <v>50</v>
      </c>
      <c r="M6" s="424" t="s">
        <v>50</v>
      </c>
      <c r="N6" s="424" t="s">
        <v>50</v>
      </c>
      <c r="O6" s="424" t="s">
        <v>48</v>
      </c>
      <c r="P6" s="424">
        <v>0</v>
      </c>
      <c r="Q6" s="424">
        <v>0</v>
      </c>
      <c r="R6" s="424" t="s">
        <v>50</v>
      </c>
      <c r="S6" s="424" t="s">
        <v>50</v>
      </c>
      <c r="T6" s="424" t="s">
        <v>50</v>
      </c>
      <c r="U6" s="424" t="s">
        <v>50</v>
      </c>
      <c r="V6" s="424" t="s">
        <v>50</v>
      </c>
      <c r="W6" s="424" t="s">
        <v>50</v>
      </c>
      <c r="X6" s="424" t="s">
        <v>50</v>
      </c>
      <c r="Y6" s="159" t="s">
        <v>9983</v>
      </c>
    </row>
    <row r="7" spans="1:25" s="97" customFormat="1" x14ac:dyDescent="0.25">
      <c r="A7" s="821">
        <v>44375</v>
      </c>
      <c r="B7" s="51" t="s">
        <v>43</v>
      </c>
      <c r="C7" s="51" t="s">
        <v>95</v>
      </c>
      <c r="D7" s="870">
        <v>38.09057</v>
      </c>
      <c r="E7" s="870">
        <v>-121.63151999999999</v>
      </c>
      <c r="F7" s="51" t="s">
        <v>9976</v>
      </c>
      <c r="G7" s="51" t="s">
        <v>46</v>
      </c>
      <c r="H7" s="51" t="s">
        <v>97</v>
      </c>
      <c r="I7" s="66">
        <v>0.36388888888888887</v>
      </c>
      <c r="J7" s="51">
        <v>2198</v>
      </c>
      <c r="K7" s="51">
        <v>21.8</v>
      </c>
      <c r="L7" s="51">
        <v>12.85</v>
      </c>
      <c r="M7" s="51">
        <v>0.99</v>
      </c>
      <c r="N7" s="51">
        <v>9.75</v>
      </c>
      <c r="O7" s="51" t="s">
        <v>48</v>
      </c>
      <c r="P7" s="51">
        <v>4</v>
      </c>
      <c r="Q7" s="51">
        <v>10</v>
      </c>
      <c r="R7" s="51" t="s">
        <v>49</v>
      </c>
      <c r="S7" s="51" t="s">
        <v>50</v>
      </c>
      <c r="T7" s="51" t="s">
        <v>50</v>
      </c>
      <c r="U7" s="51" t="s">
        <v>50</v>
      </c>
      <c r="V7" s="51" t="s">
        <v>50</v>
      </c>
      <c r="W7" s="51" t="s">
        <v>50</v>
      </c>
      <c r="X7" s="51" t="s">
        <v>50</v>
      </c>
      <c r="Y7" s="102"/>
    </row>
    <row r="8" spans="1:25" s="97" customFormat="1" x14ac:dyDescent="0.25">
      <c r="A8" s="821">
        <v>44375</v>
      </c>
      <c r="B8" s="51" t="s">
        <v>43</v>
      </c>
      <c r="C8" s="51" t="s">
        <v>95</v>
      </c>
      <c r="D8" s="870">
        <v>38.056420000000003</v>
      </c>
      <c r="E8" s="870">
        <v>-121.68997</v>
      </c>
      <c r="F8" s="51" t="s">
        <v>9977</v>
      </c>
      <c r="G8" s="51" t="s">
        <v>46</v>
      </c>
      <c r="H8" s="51" t="s">
        <v>97</v>
      </c>
      <c r="I8" s="66">
        <v>0.42222222222222222</v>
      </c>
      <c r="J8" s="51">
        <v>3655.25</v>
      </c>
      <c r="K8" s="51">
        <v>21.37</v>
      </c>
      <c r="L8" s="51">
        <v>24.12</v>
      </c>
      <c r="M8" s="51">
        <v>0.82</v>
      </c>
      <c r="N8" s="51">
        <v>4.12</v>
      </c>
      <c r="O8" s="51" t="s">
        <v>48</v>
      </c>
      <c r="P8" s="51">
        <v>4</v>
      </c>
      <c r="Q8" s="51">
        <v>10</v>
      </c>
      <c r="R8" s="51" t="s">
        <v>49</v>
      </c>
      <c r="S8" s="51" t="s">
        <v>50</v>
      </c>
      <c r="T8" s="51" t="s">
        <v>50</v>
      </c>
      <c r="U8" s="51" t="s">
        <v>50</v>
      </c>
      <c r="V8" s="51" t="s">
        <v>50</v>
      </c>
      <c r="W8" s="51" t="s">
        <v>50</v>
      </c>
      <c r="X8" s="51" t="s">
        <v>50</v>
      </c>
      <c r="Y8" s="102" t="s">
        <v>9982</v>
      </c>
    </row>
    <row r="9" spans="1:25" s="51" customFormat="1" x14ac:dyDescent="0.25">
      <c r="A9" s="821">
        <v>44375</v>
      </c>
      <c r="B9" s="51" t="s">
        <v>43</v>
      </c>
      <c r="C9" s="51" t="s">
        <v>95</v>
      </c>
      <c r="D9" s="51">
        <v>38.030709999999999</v>
      </c>
      <c r="E9" s="51">
        <v>-121.72213000000001</v>
      </c>
      <c r="F9" s="51" t="s">
        <v>9975</v>
      </c>
      <c r="G9" s="51" t="s">
        <v>46</v>
      </c>
      <c r="H9" s="51" t="s">
        <v>97</v>
      </c>
      <c r="I9" s="51" t="s">
        <v>9996</v>
      </c>
      <c r="J9" s="51">
        <v>3889</v>
      </c>
      <c r="K9" s="51">
        <v>21.75</v>
      </c>
      <c r="L9" s="51">
        <v>25.45</v>
      </c>
      <c r="M9" s="51">
        <v>1.06</v>
      </c>
      <c r="N9" s="51">
        <v>6.1</v>
      </c>
      <c r="O9" s="51" t="s">
        <v>48</v>
      </c>
      <c r="P9" s="51">
        <v>2</v>
      </c>
      <c r="Q9" s="51">
        <v>10</v>
      </c>
      <c r="R9" s="51" t="s">
        <v>49</v>
      </c>
      <c r="S9" s="51" t="s">
        <v>50</v>
      </c>
      <c r="T9" s="51" t="s">
        <v>50</v>
      </c>
      <c r="U9" s="51" t="s">
        <v>50</v>
      </c>
      <c r="V9" s="51" t="s">
        <v>50</v>
      </c>
      <c r="W9" s="51" t="s">
        <v>50</v>
      </c>
      <c r="X9" s="51" t="s">
        <v>50</v>
      </c>
    </row>
    <row r="10" spans="1:25" s="153" customFormat="1" x14ac:dyDescent="0.25">
      <c r="A10" s="446">
        <v>44375</v>
      </c>
      <c r="B10" s="424" t="s">
        <v>43</v>
      </c>
      <c r="C10" s="424" t="s">
        <v>62</v>
      </c>
      <c r="D10" s="871">
        <v>38.107250000000001</v>
      </c>
      <c r="E10" s="871">
        <v>-122.03718000000001</v>
      </c>
      <c r="F10" s="424" t="s">
        <v>9978</v>
      </c>
      <c r="G10" s="424" t="s">
        <v>27</v>
      </c>
      <c r="H10" s="424" t="s">
        <v>173</v>
      </c>
      <c r="I10" s="425">
        <v>0.45208333333333334</v>
      </c>
      <c r="J10" s="424" t="s">
        <v>50</v>
      </c>
      <c r="K10" s="424" t="s">
        <v>50</v>
      </c>
      <c r="L10" s="424" t="s">
        <v>50</v>
      </c>
      <c r="M10" s="424" t="s">
        <v>50</v>
      </c>
      <c r="N10" s="424" t="s">
        <v>50</v>
      </c>
      <c r="O10" s="424" t="s">
        <v>48</v>
      </c>
      <c r="P10" s="424">
        <v>0</v>
      </c>
      <c r="Q10" s="424">
        <v>0</v>
      </c>
      <c r="R10" s="424" t="s">
        <v>50</v>
      </c>
      <c r="S10" s="424" t="s">
        <v>50</v>
      </c>
      <c r="T10" s="424" t="s">
        <v>50</v>
      </c>
      <c r="U10" s="424" t="s">
        <v>50</v>
      </c>
      <c r="V10" s="424" t="s">
        <v>50</v>
      </c>
      <c r="W10" s="424" t="s">
        <v>50</v>
      </c>
      <c r="X10" s="424" t="s">
        <v>50</v>
      </c>
      <c r="Y10" s="159" t="s">
        <v>72</v>
      </c>
    </row>
    <row r="11" spans="1:25" s="97" customFormat="1" x14ac:dyDescent="0.25">
      <c r="A11" s="821">
        <v>44375</v>
      </c>
      <c r="B11" s="51" t="s">
        <v>43</v>
      </c>
      <c r="C11" s="51" t="s">
        <v>62</v>
      </c>
      <c r="D11" s="870">
        <v>38.11806</v>
      </c>
      <c r="E11" s="870">
        <v>-122.05475</v>
      </c>
      <c r="F11" s="51" t="s">
        <v>9979</v>
      </c>
      <c r="G11" s="51" t="s">
        <v>27</v>
      </c>
      <c r="H11" s="51" t="s">
        <v>173</v>
      </c>
      <c r="I11" s="66">
        <v>0.46180555555555558</v>
      </c>
      <c r="J11" s="51">
        <v>22932.75</v>
      </c>
      <c r="K11" s="51">
        <v>20.97</v>
      </c>
      <c r="L11" s="51" t="s">
        <v>50</v>
      </c>
      <c r="M11" s="51">
        <v>0.21</v>
      </c>
      <c r="N11" s="51">
        <v>3.15</v>
      </c>
      <c r="O11" s="51" t="s">
        <v>48</v>
      </c>
      <c r="P11" s="51">
        <v>4</v>
      </c>
      <c r="Q11" s="51">
        <v>10</v>
      </c>
      <c r="R11" s="51" t="s">
        <v>49</v>
      </c>
      <c r="S11" s="51" t="s">
        <v>50</v>
      </c>
      <c r="T11" s="51" t="s">
        <v>50</v>
      </c>
      <c r="U11" s="51" t="s">
        <v>50</v>
      </c>
      <c r="V11" s="51" t="s">
        <v>50</v>
      </c>
      <c r="W11" s="51" t="s">
        <v>50</v>
      </c>
      <c r="X11" s="51" t="s">
        <v>50</v>
      </c>
      <c r="Y11" s="102"/>
    </row>
    <row r="12" spans="1:25" s="97" customFormat="1" x14ac:dyDescent="0.25">
      <c r="A12" s="821">
        <v>44375</v>
      </c>
      <c r="B12" s="51" t="s">
        <v>43</v>
      </c>
      <c r="C12" s="51" t="s">
        <v>62</v>
      </c>
      <c r="D12" s="870">
        <v>38.168109999999999</v>
      </c>
      <c r="E12" s="870">
        <v>-121.93384</v>
      </c>
      <c r="F12" s="51" t="s">
        <v>9980</v>
      </c>
      <c r="G12" s="51" t="s">
        <v>27</v>
      </c>
      <c r="H12" s="51" t="s">
        <v>62</v>
      </c>
      <c r="I12" s="66">
        <v>0.37083333333333335</v>
      </c>
      <c r="J12" s="51">
        <v>15207</v>
      </c>
      <c r="K12" s="51">
        <v>20.329999999999998</v>
      </c>
      <c r="L12" s="51" t="s">
        <v>50</v>
      </c>
      <c r="M12" s="51">
        <v>0.3</v>
      </c>
      <c r="N12" s="51">
        <v>9.43</v>
      </c>
      <c r="O12" s="51" t="s">
        <v>48</v>
      </c>
      <c r="P12" s="51">
        <v>4</v>
      </c>
      <c r="Q12" s="51">
        <v>10</v>
      </c>
      <c r="R12" s="51" t="s">
        <v>49</v>
      </c>
      <c r="S12" s="51" t="s">
        <v>50</v>
      </c>
      <c r="T12" s="51" t="s">
        <v>50</v>
      </c>
      <c r="U12" s="51" t="s">
        <v>50</v>
      </c>
      <c r="V12" s="51" t="s">
        <v>50</v>
      </c>
      <c r="W12" s="51" t="s">
        <v>50</v>
      </c>
      <c r="X12" s="51" t="s">
        <v>50</v>
      </c>
      <c r="Y12" s="102" t="s">
        <v>9984</v>
      </c>
    </row>
    <row r="13" spans="1:25" s="1114" customFormat="1" x14ac:dyDescent="0.25">
      <c r="A13" s="1113">
        <v>44375</v>
      </c>
      <c r="B13" s="1114" t="s">
        <v>43</v>
      </c>
      <c r="C13" s="1114" t="s">
        <v>62</v>
      </c>
      <c r="D13" s="1114">
        <v>38.139659999999999</v>
      </c>
      <c r="E13" s="1114">
        <v>-122.07395</v>
      </c>
      <c r="F13" s="1114" t="s">
        <v>10198</v>
      </c>
      <c r="G13" s="1114" t="s">
        <v>27</v>
      </c>
      <c r="H13" s="1114" t="s">
        <v>62</v>
      </c>
      <c r="I13" s="1115">
        <v>0.4375</v>
      </c>
      <c r="J13" s="1114" t="s">
        <v>50</v>
      </c>
      <c r="K13" s="1114" t="s">
        <v>50</v>
      </c>
      <c r="L13" s="1114" t="s">
        <v>50</v>
      </c>
      <c r="M13" s="1114" t="s">
        <v>50</v>
      </c>
      <c r="N13" s="1114" t="s">
        <v>50</v>
      </c>
      <c r="O13" s="1114" t="s">
        <v>48</v>
      </c>
      <c r="P13" s="1114">
        <v>0</v>
      </c>
      <c r="Q13" s="1114" t="s">
        <v>50</v>
      </c>
      <c r="R13" s="1114" t="s">
        <v>50</v>
      </c>
      <c r="S13" s="1114" t="s">
        <v>50</v>
      </c>
      <c r="T13" s="1114" t="s">
        <v>50</v>
      </c>
      <c r="U13" s="1114" t="s">
        <v>50</v>
      </c>
      <c r="V13" s="1114" t="s">
        <v>50</v>
      </c>
      <c r="W13" s="1114" t="s">
        <v>50</v>
      </c>
      <c r="X13" s="1114" t="s">
        <v>50</v>
      </c>
      <c r="Y13" s="1116" t="s">
        <v>72</v>
      </c>
    </row>
    <row r="14" spans="1:25" s="97" customFormat="1" x14ac:dyDescent="0.25">
      <c r="A14" s="821">
        <v>44375</v>
      </c>
      <c r="B14" s="51" t="s">
        <v>43</v>
      </c>
      <c r="C14" s="51" t="s">
        <v>62</v>
      </c>
      <c r="D14" s="870">
        <v>38.18477</v>
      </c>
      <c r="E14" s="870">
        <v>-121.98452</v>
      </c>
      <c r="F14" s="51" t="s">
        <v>9981</v>
      </c>
      <c r="G14" s="51" t="s">
        <v>27</v>
      </c>
      <c r="H14" s="51" t="s">
        <v>62</v>
      </c>
      <c r="I14" s="66">
        <v>0.53125</v>
      </c>
      <c r="J14" s="51">
        <v>15755.5</v>
      </c>
      <c r="K14" s="51">
        <v>20.72</v>
      </c>
      <c r="L14" s="51" t="s">
        <v>50</v>
      </c>
      <c r="M14" s="51">
        <v>0.3</v>
      </c>
      <c r="N14" s="51">
        <v>8.93</v>
      </c>
      <c r="O14" s="51" t="s">
        <v>48</v>
      </c>
      <c r="P14" s="51">
        <v>4</v>
      </c>
      <c r="Q14" s="51">
        <v>10</v>
      </c>
      <c r="R14" s="51" t="s">
        <v>49</v>
      </c>
      <c r="S14" s="51" t="s">
        <v>50</v>
      </c>
      <c r="T14" s="51" t="s">
        <v>50</v>
      </c>
      <c r="U14" s="51" t="s">
        <v>50</v>
      </c>
      <c r="V14" s="51" t="s">
        <v>50</v>
      </c>
      <c r="W14" s="51" t="s">
        <v>50</v>
      </c>
      <c r="X14" s="51" t="s">
        <v>50</v>
      </c>
      <c r="Y14" s="102"/>
    </row>
    <row r="15" spans="1:25" s="97" customFormat="1" x14ac:dyDescent="0.25">
      <c r="A15" s="821">
        <v>44376</v>
      </c>
      <c r="B15" s="51" t="s">
        <v>70</v>
      </c>
      <c r="C15" s="51" t="s">
        <v>162</v>
      </c>
      <c r="D15" s="870">
        <v>38.247010000000003</v>
      </c>
      <c r="E15" s="870">
        <v>-121.69855</v>
      </c>
      <c r="F15" s="51" t="s">
        <v>9985</v>
      </c>
      <c r="G15" s="51" t="s">
        <v>90</v>
      </c>
      <c r="H15" s="51" t="s">
        <v>126</v>
      </c>
      <c r="I15" s="66">
        <v>0.4694444444444445</v>
      </c>
      <c r="J15" s="51">
        <v>248.37</v>
      </c>
      <c r="K15" s="51">
        <v>21.53</v>
      </c>
      <c r="L15" s="51">
        <v>14.48</v>
      </c>
      <c r="M15" s="51">
        <v>0.64</v>
      </c>
      <c r="N15" s="51">
        <v>5.58</v>
      </c>
      <c r="O15" s="51" t="s">
        <v>48</v>
      </c>
      <c r="P15" s="51">
        <v>4</v>
      </c>
      <c r="Q15" s="51">
        <v>10</v>
      </c>
      <c r="R15" s="51" t="s">
        <v>49</v>
      </c>
      <c r="S15" s="51" t="s">
        <v>50</v>
      </c>
      <c r="T15" s="51" t="s">
        <v>50</v>
      </c>
      <c r="U15" s="51" t="s">
        <v>50</v>
      </c>
      <c r="V15" s="51" t="s">
        <v>50</v>
      </c>
      <c r="W15" s="51" t="s">
        <v>50</v>
      </c>
      <c r="X15" s="51" t="s">
        <v>50</v>
      </c>
    </row>
    <row r="16" spans="1:25" s="97" customFormat="1" x14ac:dyDescent="0.25">
      <c r="A16" s="821">
        <v>44376</v>
      </c>
      <c r="B16" s="51" t="s">
        <v>70</v>
      </c>
      <c r="C16" s="51" t="s">
        <v>162</v>
      </c>
      <c r="D16" s="870">
        <v>38.24286</v>
      </c>
      <c r="E16" s="870">
        <v>-121.6875</v>
      </c>
      <c r="F16" s="51" t="s">
        <v>9986</v>
      </c>
      <c r="G16" s="51" t="s">
        <v>90</v>
      </c>
      <c r="H16" s="51" t="s">
        <v>126</v>
      </c>
      <c r="I16" s="66">
        <v>0.40972222222222227</v>
      </c>
      <c r="J16" s="51">
        <v>339.18</v>
      </c>
      <c r="K16" s="51">
        <v>22</v>
      </c>
      <c r="L16" s="51">
        <v>13.85</v>
      </c>
      <c r="M16" s="51">
        <v>0.78</v>
      </c>
      <c r="N16" s="51">
        <v>14.05</v>
      </c>
      <c r="O16" s="51" t="s">
        <v>48</v>
      </c>
      <c r="P16" s="51">
        <v>4</v>
      </c>
      <c r="Q16" s="51">
        <v>10</v>
      </c>
      <c r="R16" s="51" t="s">
        <v>49</v>
      </c>
      <c r="S16" s="51" t="s">
        <v>50</v>
      </c>
      <c r="T16" s="51" t="s">
        <v>50</v>
      </c>
      <c r="U16" s="51" t="s">
        <v>50</v>
      </c>
      <c r="V16" s="51" t="s">
        <v>50</v>
      </c>
      <c r="W16" s="51" t="s">
        <v>50</v>
      </c>
      <c r="X16" s="51" t="s">
        <v>50</v>
      </c>
      <c r="Y16" s="102" t="s">
        <v>678</v>
      </c>
    </row>
    <row r="17" spans="1:25" s="97" customFormat="1" x14ac:dyDescent="0.25">
      <c r="A17" s="821">
        <v>44376</v>
      </c>
      <c r="B17" s="51" t="s">
        <v>70</v>
      </c>
      <c r="C17" s="51" t="s">
        <v>162</v>
      </c>
      <c r="D17" s="870">
        <v>38.323340000000002</v>
      </c>
      <c r="E17" s="870">
        <v>-121.69358</v>
      </c>
      <c r="F17" s="51" t="s">
        <v>9987</v>
      </c>
      <c r="G17" s="51" t="s">
        <v>90</v>
      </c>
      <c r="H17" s="51" t="s">
        <v>126</v>
      </c>
      <c r="I17" s="66">
        <v>0.33402777777777781</v>
      </c>
      <c r="J17" s="51">
        <v>251.58</v>
      </c>
      <c r="K17" s="51">
        <v>21.47</v>
      </c>
      <c r="L17" s="51">
        <v>11.16</v>
      </c>
      <c r="M17" s="51">
        <v>0.75</v>
      </c>
      <c r="N17" s="51">
        <v>5.53</v>
      </c>
      <c r="O17" s="51" t="s">
        <v>48</v>
      </c>
      <c r="P17" s="51">
        <v>4</v>
      </c>
      <c r="Q17" s="51">
        <v>10</v>
      </c>
      <c r="R17" s="51" t="s">
        <v>64</v>
      </c>
      <c r="S17" s="51" t="s">
        <v>50</v>
      </c>
      <c r="T17" s="51" t="s">
        <v>50</v>
      </c>
      <c r="U17" s="51" t="s">
        <v>50</v>
      </c>
      <c r="V17" s="51" t="s">
        <v>50</v>
      </c>
      <c r="W17" s="51" t="s">
        <v>50</v>
      </c>
      <c r="X17" s="51" t="s">
        <v>50</v>
      </c>
    </row>
    <row r="18" spans="1:25" s="97" customFormat="1" x14ac:dyDescent="0.25">
      <c r="A18" s="821">
        <v>44376</v>
      </c>
      <c r="B18" s="51" t="s">
        <v>70</v>
      </c>
      <c r="C18" s="51" t="s">
        <v>95</v>
      </c>
      <c r="D18" s="870">
        <v>38.084679999999999</v>
      </c>
      <c r="E18" s="870">
        <v>-121.56838999999999</v>
      </c>
      <c r="F18" s="51" t="s">
        <v>9988</v>
      </c>
      <c r="G18" s="51" t="s">
        <v>46</v>
      </c>
      <c r="H18" s="51" t="s">
        <v>115</v>
      </c>
      <c r="I18" s="66">
        <v>0.40347222222222223</v>
      </c>
      <c r="J18" s="51">
        <v>588.12</v>
      </c>
      <c r="K18" s="51">
        <v>22.5</v>
      </c>
      <c r="L18" s="51">
        <v>24.05</v>
      </c>
      <c r="M18" s="51">
        <v>1.1399999999999999</v>
      </c>
      <c r="N18" s="51">
        <v>8.91</v>
      </c>
      <c r="O18" s="51" t="s">
        <v>48</v>
      </c>
      <c r="P18" s="51">
        <v>4</v>
      </c>
      <c r="Q18" s="51">
        <v>10</v>
      </c>
      <c r="R18" s="51" t="s">
        <v>64</v>
      </c>
      <c r="S18" s="51" t="s">
        <v>50</v>
      </c>
      <c r="T18" s="51" t="s">
        <v>50</v>
      </c>
      <c r="U18" s="51" t="s">
        <v>50</v>
      </c>
      <c r="V18" s="51" t="s">
        <v>50</v>
      </c>
      <c r="W18" s="51" t="s">
        <v>50</v>
      </c>
      <c r="X18" s="51" t="s">
        <v>50</v>
      </c>
    </row>
    <row r="19" spans="1:25" s="153" customFormat="1" x14ac:dyDescent="0.25">
      <c r="A19" s="821">
        <v>44376</v>
      </c>
      <c r="B19" s="51" t="s">
        <v>70</v>
      </c>
      <c r="C19" s="51" t="s">
        <v>95</v>
      </c>
      <c r="D19" s="870">
        <v>38.056449999999998</v>
      </c>
      <c r="E19" s="870">
        <v>-121.53321</v>
      </c>
      <c r="F19" s="51" t="s">
        <v>9989</v>
      </c>
      <c r="G19" s="51" t="s">
        <v>46</v>
      </c>
      <c r="H19" s="51" t="s">
        <v>115</v>
      </c>
      <c r="I19" s="66">
        <v>0.34791666666666665</v>
      </c>
      <c r="J19" s="51">
        <v>658.75</v>
      </c>
      <c r="K19" s="51">
        <v>22.85</v>
      </c>
      <c r="L19" s="51">
        <v>16.41</v>
      </c>
      <c r="M19" s="51">
        <v>1.22</v>
      </c>
      <c r="N19" s="51">
        <v>12.07</v>
      </c>
      <c r="O19" s="51" t="s">
        <v>48</v>
      </c>
      <c r="P19" s="51">
        <v>4</v>
      </c>
      <c r="Q19" s="51">
        <v>10</v>
      </c>
      <c r="R19" s="51" t="s">
        <v>64</v>
      </c>
      <c r="S19" s="51" t="s">
        <v>50</v>
      </c>
      <c r="T19" s="51" t="s">
        <v>50</v>
      </c>
      <c r="U19" s="51" t="s">
        <v>50</v>
      </c>
      <c r="V19" s="51" t="s">
        <v>50</v>
      </c>
      <c r="W19" s="51" t="s">
        <v>50</v>
      </c>
      <c r="X19" s="51" t="s">
        <v>50</v>
      </c>
    </row>
    <row r="20" spans="1:25" s="97" customFormat="1" x14ac:dyDescent="0.25">
      <c r="A20" s="821">
        <v>44376</v>
      </c>
      <c r="B20" s="51" t="s">
        <v>70</v>
      </c>
      <c r="C20" s="51" t="s">
        <v>95</v>
      </c>
      <c r="D20" s="870">
        <v>38.100470000000001</v>
      </c>
      <c r="E20" s="870">
        <v>-121.62392</v>
      </c>
      <c r="F20" s="51" t="s">
        <v>9990</v>
      </c>
      <c r="G20" s="51" t="s">
        <v>46</v>
      </c>
      <c r="H20" s="51" t="s">
        <v>97</v>
      </c>
      <c r="I20" s="66">
        <v>0.46527777777777773</v>
      </c>
      <c r="J20" s="51">
        <v>1206.75</v>
      </c>
      <c r="K20" s="51">
        <v>22.1</v>
      </c>
      <c r="L20" s="51">
        <v>26.1</v>
      </c>
      <c r="M20" s="51">
        <v>1.1100000000000001</v>
      </c>
      <c r="N20" s="51">
        <v>8.32</v>
      </c>
      <c r="O20" s="51" t="s">
        <v>48</v>
      </c>
      <c r="P20" s="51">
        <v>4</v>
      </c>
      <c r="Q20" s="51">
        <v>10</v>
      </c>
      <c r="R20" s="51" t="s">
        <v>49</v>
      </c>
      <c r="S20" s="51" t="s">
        <v>50</v>
      </c>
      <c r="T20" s="51" t="s">
        <v>50</v>
      </c>
      <c r="U20" s="51" t="s">
        <v>50</v>
      </c>
      <c r="V20" s="51" t="s">
        <v>50</v>
      </c>
      <c r="W20" s="51" t="s">
        <v>50</v>
      </c>
      <c r="X20" s="51" t="s">
        <v>50</v>
      </c>
    </row>
    <row r="21" spans="1:25" s="153" customFormat="1" x14ac:dyDescent="0.25">
      <c r="A21" s="446">
        <v>44376</v>
      </c>
      <c r="B21" s="424" t="s">
        <v>70</v>
      </c>
      <c r="C21" s="424" t="s">
        <v>62</v>
      </c>
      <c r="D21" s="871">
        <v>38.097700000000003</v>
      </c>
      <c r="E21" s="871">
        <v>-121.01339</v>
      </c>
      <c r="F21" s="424" t="s">
        <v>9991</v>
      </c>
      <c r="G21" s="424" t="s">
        <v>27</v>
      </c>
      <c r="H21" s="424" t="s">
        <v>173</v>
      </c>
      <c r="I21" s="425">
        <v>0.35347222222222219</v>
      </c>
      <c r="J21" s="424" t="s">
        <v>50</v>
      </c>
      <c r="K21" s="424" t="s">
        <v>50</v>
      </c>
      <c r="L21" s="424" t="s">
        <v>50</v>
      </c>
      <c r="M21" s="424" t="s">
        <v>50</v>
      </c>
      <c r="N21" s="424" t="s">
        <v>50</v>
      </c>
      <c r="O21" s="424" t="s">
        <v>48</v>
      </c>
      <c r="P21" s="424">
        <v>0</v>
      </c>
      <c r="Q21" s="424" t="s">
        <v>50</v>
      </c>
      <c r="R21" s="424" t="s">
        <v>50</v>
      </c>
      <c r="S21" s="424" t="s">
        <v>50</v>
      </c>
      <c r="T21" s="424" t="s">
        <v>50</v>
      </c>
      <c r="U21" s="424" t="s">
        <v>50</v>
      </c>
      <c r="V21" s="424" t="s">
        <v>50</v>
      </c>
      <c r="W21" s="424" t="s">
        <v>50</v>
      </c>
      <c r="X21" s="424" t="s">
        <v>50</v>
      </c>
      <c r="Y21" s="159" t="s">
        <v>9994</v>
      </c>
    </row>
    <row r="22" spans="1:25" s="97" customFormat="1" x14ac:dyDescent="0.25">
      <c r="A22" s="821">
        <v>44376</v>
      </c>
      <c r="B22" s="51" t="s">
        <v>70</v>
      </c>
      <c r="C22" s="51" t="s">
        <v>62</v>
      </c>
      <c r="D22" s="870">
        <v>38.116059999999997</v>
      </c>
      <c r="E22" s="870">
        <v>-122.05754</v>
      </c>
      <c r="F22" s="51" t="s">
        <v>9992</v>
      </c>
      <c r="G22" s="51" t="s">
        <v>27</v>
      </c>
      <c r="H22" s="51" t="s">
        <v>173</v>
      </c>
      <c r="I22" s="66">
        <v>0.37083333333333335</v>
      </c>
      <c r="J22" s="51">
        <v>80928.25</v>
      </c>
      <c r="K22" s="51">
        <v>20.149999999999999</v>
      </c>
      <c r="L22" s="51">
        <v>93.43</v>
      </c>
      <c r="M22" s="51">
        <v>0.19</v>
      </c>
      <c r="N22" s="51">
        <v>3.18</v>
      </c>
      <c r="O22" s="51" t="s">
        <v>48</v>
      </c>
      <c r="P22" s="51">
        <v>4</v>
      </c>
      <c r="Q22" s="51">
        <v>10</v>
      </c>
      <c r="R22" s="51" t="s">
        <v>49</v>
      </c>
      <c r="S22" s="51" t="s">
        <v>50</v>
      </c>
      <c r="T22" s="51" t="s">
        <v>50</v>
      </c>
      <c r="U22" s="51" t="s">
        <v>50</v>
      </c>
      <c r="V22" s="51" t="s">
        <v>50</v>
      </c>
      <c r="W22" s="51" t="s">
        <v>50</v>
      </c>
      <c r="X22" s="51" t="s">
        <v>50</v>
      </c>
      <c r="Y22" s="102" t="s">
        <v>9995</v>
      </c>
    </row>
    <row r="23" spans="1:25" s="97" customFormat="1" x14ac:dyDescent="0.25">
      <c r="A23" s="821">
        <v>44376</v>
      </c>
      <c r="B23" s="51" t="s">
        <v>70</v>
      </c>
      <c r="C23" s="51" t="s">
        <v>62</v>
      </c>
      <c r="D23" s="870">
        <v>38.159880000000001</v>
      </c>
      <c r="E23" s="870">
        <v>-122.04823</v>
      </c>
      <c r="F23" s="51" t="s">
        <v>9993</v>
      </c>
      <c r="G23" s="51" t="s">
        <v>27</v>
      </c>
      <c r="H23" s="51" t="s">
        <v>62</v>
      </c>
      <c r="I23" s="66">
        <v>0.43472222222222223</v>
      </c>
      <c r="J23" s="51">
        <v>16572</v>
      </c>
      <c r="K23" s="51">
        <v>21.58</v>
      </c>
      <c r="L23" s="51">
        <v>38.22</v>
      </c>
      <c r="M23" s="51">
        <v>0.33</v>
      </c>
      <c r="N23" s="51">
        <v>6.25</v>
      </c>
      <c r="O23" s="51" t="s">
        <v>48</v>
      </c>
      <c r="P23" s="51">
        <v>4</v>
      </c>
      <c r="Q23" s="51">
        <v>10</v>
      </c>
      <c r="R23" s="51" t="s">
        <v>49</v>
      </c>
      <c r="S23" s="51" t="s">
        <v>50</v>
      </c>
      <c r="T23" s="51" t="s">
        <v>50</v>
      </c>
      <c r="U23" s="51" t="s">
        <v>50</v>
      </c>
      <c r="V23" s="51" t="s">
        <v>50</v>
      </c>
      <c r="W23" s="51" t="s">
        <v>50</v>
      </c>
      <c r="X23" s="51" t="s">
        <v>50</v>
      </c>
    </row>
    <row r="24" spans="1:25" s="51" customFormat="1" x14ac:dyDescent="0.25">
      <c r="A24" s="821">
        <v>44376</v>
      </c>
      <c r="B24" s="51" t="s">
        <v>70</v>
      </c>
      <c r="C24" s="51" t="s">
        <v>62</v>
      </c>
      <c r="D24" s="51">
        <v>38.18045</v>
      </c>
      <c r="E24" s="51">
        <v>-121.99572000000001</v>
      </c>
      <c r="F24" s="51" t="s">
        <v>9997</v>
      </c>
      <c r="G24" s="51" t="s">
        <v>27</v>
      </c>
      <c r="H24" s="51" t="s">
        <v>62</v>
      </c>
      <c r="I24" s="66">
        <v>0.49236111111111108</v>
      </c>
      <c r="J24" s="51">
        <v>16511.75</v>
      </c>
      <c r="K24" s="51">
        <v>21.18</v>
      </c>
      <c r="L24" s="51">
        <v>43.82</v>
      </c>
      <c r="M24" s="51">
        <v>0.31</v>
      </c>
      <c r="N24" s="51">
        <v>7.03</v>
      </c>
      <c r="O24" s="51" t="s">
        <v>48</v>
      </c>
      <c r="P24" s="51">
        <v>4</v>
      </c>
      <c r="Q24" s="51">
        <v>10</v>
      </c>
      <c r="R24" s="51" t="s">
        <v>49</v>
      </c>
      <c r="S24" s="51" t="s">
        <v>50</v>
      </c>
      <c r="T24" s="51" t="s">
        <v>50</v>
      </c>
      <c r="U24" s="51" t="s">
        <v>50</v>
      </c>
      <c r="V24" s="51" t="s">
        <v>50</v>
      </c>
      <c r="W24" s="51" t="s">
        <v>50</v>
      </c>
      <c r="X24" s="51" t="s">
        <v>50</v>
      </c>
    </row>
    <row r="25" spans="1:25" s="97" customFormat="1" x14ac:dyDescent="0.25">
      <c r="A25" s="821">
        <v>44377</v>
      </c>
      <c r="B25" s="51" t="s">
        <v>87</v>
      </c>
      <c r="C25" s="51" t="s">
        <v>88</v>
      </c>
      <c r="D25" s="870">
        <v>38.104349999999997</v>
      </c>
      <c r="E25" s="870">
        <v>-121.68514</v>
      </c>
      <c r="F25" s="51" t="s">
        <v>10016</v>
      </c>
      <c r="G25" s="51" t="s">
        <v>90</v>
      </c>
      <c r="H25" s="51" t="s">
        <v>91</v>
      </c>
      <c r="I25" s="66">
        <v>0.48125000000000001</v>
      </c>
      <c r="J25" s="428">
        <v>2366.0700000000002</v>
      </c>
      <c r="K25" s="428">
        <v>25.35</v>
      </c>
      <c r="L25" s="428">
        <v>37.799999999999997</v>
      </c>
      <c r="M25" s="428">
        <v>1.05</v>
      </c>
      <c r="N25" s="428">
        <v>9.5</v>
      </c>
      <c r="O25" s="51" t="s">
        <v>48</v>
      </c>
      <c r="P25" s="51">
        <v>4</v>
      </c>
      <c r="Q25" s="51">
        <v>10</v>
      </c>
      <c r="R25" s="51" t="s">
        <v>49</v>
      </c>
      <c r="S25" s="51" t="s">
        <v>50</v>
      </c>
      <c r="T25" s="51" t="s">
        <v>50</v>
      </c>
      <c r="U25" s="51" t="s">
        <v>50</v>
      </c>
      <c r="V25" s="51" t="s">
        <v>50</v>
      </c>
      <c r="W25" s="51" t="s">
        <v>50</v>
      </c>
      <c r="X25" s="51" t="s">
        <v>50</v>
      </c>
      <c r="Y25" s="35"/>
    </row>
    <row r="26" spans="1:25" s="97" customFormat="1" x14ac:dyDescent="0.25">
      <c r="A26" s="821">
        <v>44377</v>
      </c>
      <c r="B26" s="51" t="s">
        <v>87</v>
      </c>
      <c r="C26" s="51" t="s">
        <v>88</v>
      </c>
      <c r="D26" s="870">
        <v>38.096919999999997</v>
      </c>
      <c r="E26" s="870">
        <v>-121.72193</v>
      </c>
      <c r="F26" s="51" t="s">
        <v>10017</v>
      </c>
      <c r="G26" s="51" t="s">
        <v>90</v>
      </c>
      <c r="H26" s="51" t="s">
        <v>91</v>
      </c>
      <c r="I26" s="66">
        <v>0.42569444444444443</v>
      </c>
      <c r="J26" s="428">
        <v>5619.5</v>
      </c>
      <c r="K26" s="428">
        <v>21.32</v>
      </c>
      <c r="L26" s="428">
        <v>1375.98</v>
      </c>
      <c r="M26" s="428">
        <v>0.9</v>
      </c>
      <c r="N26" s="428">
        <v>4.92</v>
      </c>
      <c r="O26" s="51" t="s">
        <v>48</v>
      </c>
      <c r="P26" s="51">
        <v>4</v>
      </c>
      <c r="Q26" s="51">
        <v>10</v>
      </c>
      <c r="R26" s="51" t="s">
        <v>49</v>
      </c>
      <c r="S26" s="51" t="s">
        <v>50</v>
      </c>
      <c r="T26" s="51" t="s">
        <v>50</v>
      </c>
      <c r="U26" s="51" t="s">
        <v>50</v>
      </c>
      <c r="V26" s="51" t="s">
        <v>50</v>
      </c>
      <c r="W26" s="51" t="s">
        <v>50</v>
      </c>
      <c r="X26" s="51" t="s">
        <v>50</v>
      </c>
      <c r="Y26" s="102"/>
    </row>
    <row r="27" spans="1:25" s="97" customFormat="1" x14ac:dyDescent="0.25">
      <c r="A27" s="821">
        <v>44377</v>
      </c>
      <c r="B27" s="51" t="s">
        <v>87</v>
      </c>
      <c r="C27" s="51" t="s">
        <v>88</v>
      </c>
      <c r="D27" s="870">
        <v>38.078859999999999</v>
      </c>
      <c r="E27" s="870">
        <v>-121.7561</v>
      </c>
      <c r="F27" s="51" t="s">
        <v>10018</v>
      </c>
      <c r="G27" s="51" t="s">
        <v>27</v>
      </c>
      <c r="H27" s="51" t="s">
        <v>25</v>
      </c>
      <c r="I27" s="66">
        <v>0.36388888888888887</v>
      </c>
      <c r="J27" s="428">
        <v>4784.95</v>
      </c>
      <c r="K27" s="428">
        <v>21.15</v>
      </c>
      <c r="L27" s="428">
        <v>24.08</v>
      </c>
      <c r="M27" s="428">
        <v>0.84</v>
      </c>
      <c r="N27" s="428">
        <v>9.7200000000000006</v>
      </c>
      <c r="O27" s="51" t="s">
        <v>48</v>
      </c>
      <c r="P27" s="51">
        <v>4</v>
      </c>
      <c r="Q27" s="51">
        <v>10</v>
      </c>
      <c r="R27" s="51" t="s">
        <v>64</v>
      </c>
      <c r="S27" s="51" t="s">
        <v>50</v>
      </c>
      <c r="T27" s="51" t="s">
        <v>50</v>
      </c>
      <c r="U27" s="51" t="s">
        <v>50</v>
      </c>
      <c r="V27" s="51" t="s">
        <v>50</v>
      </c>
      <c r="W27" s="51" t="s">
        <v>50</v>
      </c>
      <c r="X27" s="51" t="s">
        <v>50</v>
      </c>
      <c r="Y27" s="102" t="s">
        <v>10024</v>
      </c>
    </row>
    <row r="28" spans="1:25" s="97" customFormat="1" x14ac:dyDescent="0.25">
      <c r="A28" s="821">
        <v>44377</v>
      </c>
      <c r="B28" s="51" t="s">
        <v>87</v>
      </c>
      <c r="C28" s="51" t="s">
        <v>106</v>
      </c>
      <c r="D28" s="870">
        <v>38.206029999999998</v>
      </c>
      <c r="E28" s="870">
        <v>-121.65653</v>
      </c>
      <c r="F28" s="51" t="s">
        <v>10015</v>
      </c>
      <c r="G28" s="51" t="s">
        <v>90</v>
      </c>
      <c r="H28" s="51" t="s">
        <v>519</v>
      </c>
      <c r="I28" s="66">
        <v>0.50902777777777775</v>
      </c>
      <c r="J28" s="428">
        <v>307.85000000000002</v>
      </c>
      <c r="K28" s="428">
        <v>23.85</v>
      </c>
      <c r="L28" s="428">
        <v>17.350000000000001</v>
      </c>
      <c r="M28" s="428">
        <v>1.01</v>
      </c>
      <c r="N28" s="428">
        <v>10.3</v>
      </c>
      <c r="O28" s="51" t="s">
        <v>48</v>
      </c>
      <c r="P28" s="51">
        <v>4</v>
      </c>
      <c r="Q28" s="51">
        <v>10</v>
      </c>
      <c r="R28" s="51" t="s">
        <v>49</v>
      </c>
      <c r="S28" s="51" t="s">
        <v>50</v>
      </c>
      <c r="T28" s="51" t="s">
        <v>50</v>
      </c>
      <c r="U28" s="51" t="s">
        <v>50</v>
      </c>
      <c r="V28" s="51" t="s">
        <v>50</v>
      </c>
      <c r="W28" s="51" t="s">
        <v>50</v>
      </c>
      <c r="X28" s="51" t="s">
        <v>50</v>
      </c>
      <c r="Y28" s="102"/>
    </row>
    <row r="29" spans="1:25" s="97" customFormat="1" x14ac:dyDescent="0.25">
      <c r="A29" s="821">
        <v>44377</v>
      </c>
      <c r="B29" s="51" t="s">
        <v>87</v>
      </c>
      <c r="C29" s="51" t="s">
        <v>106</v>
      </c>
      <c r="D29" s="870">
        <v>38.378169999999997</v>
      </c>
      <c r="E29" s="870">
        <v>-121.62813</v>
      </c>
      <c r="F29" s="51" t="s">
        <v>10019</v>
      </c>
      <c r="G29" s="51" t="s">
        <v>90</v>
      </c>
      <c r="H29" s="51" t="s">
        <v>519</v>
      </c>
      <c r="I29" s="66">
        <v>0.33819444444444446</v>
      </c>
      <c r="J29" s="428">
        <v>398.62</v>
      </c>
      <c r="K29" s="428">
        <v>22.2</v>
      </c>
      <c r="L29" s="428">
        <v>108.3</v>
      </c>
      <c r="M29" s="428">
        <v>0.15</v>
      </c>
      <c r="N29" s="428">
        <v>10.35</v>
      </c>
      <c r="O29" s="51" t="s">
        <v>48</v>
      </c>
      <c r="P29" s="51">
        <v>4</v>
      </c>
      <c r="Q29" s="51">
        <v>10</v>
      </c>
      <c r="R29" s="51" t="s">
        <v>64</v>
      </c>
      <c r="S29" s="51" t="s">
        <v>50</v>
      </c>
      <c r="T29" s="51" t="s">
        <v>50</v>
      </c>
      <c r="U29" s="51" t="s">
        <v>50</v>
      </c>
      <c r="V29" s="51" t="s">
        <v>50</v>
      </c>
      <c r="W29" s="51" t="s">
        <v>50</v>
      </c>
      <c r="X29" s="51" t="s">
        <v>50</v>
      </c>
      <c r="Y29" s="102" t="s">
        <v>10115</v>
      </c>
    </row>
    <row r="30" spans="1:25" s="97" customFormat="1" x14ac:dyDescent="0.25">
      <c r="A30" s="821">
        <v>44377</v>
      </c>
      <c r="B30" s="51" t="s">
        <v>87</v>
      </c>
      <c r="C30" s="51" t="s">
        <v>106</v>
      </c>
      <c r="D30" s="870">
        <v>38.278219999999997</v>
      </c>
      <c r="E30" s="870">
        <v>-121.66099</v>
      </c>
      <c r="F30" s="51" t="s">
        <v>10020</v>
      </c>
      <c r="G30" s="51" t="s">
        <v>90</v>
      </c>
      <c r="H30" s="51" t="s">
        <v>519</v>
      </c>
      <c r="I30" s="66">
        <v>0.4375</v>
      </c>
      <c r="J30" s="428">
        <v>252.05</v>
      </c>
      <c r="K30" s="428">
        <v>22.23</v>
      </c>
      <c r="L30" s="428">
        <v>33.68</v>
      </c>
      <c r="M30" s="428">
        <v>0.52</v>
      </c>
      <c r="N30" s="428">
        <v>9.57</v>
      </c>
      <c r="O30" s="51" t="s">
        <v>48</v>
      </c>
      <c r="P30" s="51">
        <v>4</v>
      </c>
      <c r="Q30" s="51">
        <v>10</v>
      </c>
      <c r="R30" s="51" t="s">
        <v>49</v>
      </c>
      <c r="S30" s="51" t="s">
        <v>50</v>
      </c>
      <c r="T30" s="51" t="s">
        <v>50</v>
      </c>
      <c r="U30" s="51" t="s">
        <v>50</v>
      </c>
      <c r="V30" s="51" t="s">
        <v>50</v>
      </c>
      <c r="W30" s="51" t="s">
        <v>50</v>
      </c>
      <c r="X30" s="51" t="s">
        <v>50</v>
      </c>
      <c r="Y30" s="102" t="s">
        <v>10025</v>
      </c>
    </row>
    <row r="31" spans="1:25" s="97" customFormat="1" x14ac:dyDescent="0.25">
      <c r="A31" s="821">
        <v>44377</v>
      </c>
      <c r="B31" s="51" t="s">
        <v>87</v>
      </c>
      <c r="C31" s="51" t="s">
        <v>78</v>
      </c>
      <c r="D31" s="870">
        <v>38.050409999999999</v>
      </c>
      <c r="E31" s="870">
        <v>-121.92661</v>
      </c>
      <c r="F31" s="51" t="s">
        <v>10021</v>
      </c>
      <c r="G31" s="51" t="s">
        <v>27</v>
      </c>
      <c r="H31" s="51" t="s">
        <v>101</v>
      </c>
      <c r="I31" s="66">
        <v>0.40763888888888888</v>
      </c>
      <c r="J31" s="428">
        <v>16790.75</v>
      </c>
      <c r="K31" s="428">
        <v>20.93</v>
      </c>
      <c r="L31" s="428">
        <v>21.7</v>
      </c>
      <c r="M31" s="428">
        <v>0.47</v>
      </c>
      <c r="N31" s="428">
        <v>9.25</v>
      </c>
      <c r="O31" s="51" t="s">
        <v>48</v>
      </c>
      <c r="P31" s="51">
        <v>4</v>
      </c>
      <c r="Q31" s="51">
        <v>10</v>
      </c>
      <c r="R31" s="51" t="s">
        <v>49</v>
      </c>
      <c r="S31" s="51" t="s">
        <v>50</v>
      </c>
      <c r="T31" s="51" t="s">
        <v>50</v>
      </c>
      <c r="U31" s="51" t="s">
        <v>50</v>
      </c>
      <c r="V31" s="51" t="s">
        <v>50</v>
      </c>
      <c r="W31" s="51" t="s">
        <v>50</v>
      </c>
      <c r="X31" s="51" t="s">
        <v>50</v>
      </c>
      <c r="Y31" s="102"/>
    </row>
    <row r="32" spans="1:25" s="97" customFormat="1" x14ac:dyDescent="0.25">
      <c r="A32" s="821">
        <v>44377</v>
      </c>
      <c r="B32" s="51" t="s">
        <v>87</v>
      </c>
      <c r="C32" s="51" t="s">
        <v>78</v>
      </c>
      <c r="D32" s="870">
        <v>38.040100000000002</v>
      </c>
      <c r="E32" s="870">
        <v>-121.83355</v>
      </c>
      <c r="F32" s="51" t="s">
        <v>10022</v>
      </c>
      <c r="G32" s="51" t="s">
        <v>27</v>
      </c>
      <c r="H32" s="51" t="s">
        <v>101</v>
      </c>
      <c r="I32" s="66">
        <v>0.47083333333333338</v>
      </c>
      <c r="J32" s="428">
        <v>7839.5</v>
      </c>
      <c r="K32" s="428">
        <v>22.05</v>
      </c>
      <c r="L32" s="428">
        <v>10.4</v>
      </c>
      <c r="M32" s="428">
        <v>0.89</v>
      </c>
      <c r="N32" s="428">
        <v>6.7</v>
      </c>
      <c r="O32" s="51" t="s">
        <v>48</v>
      </c>
      <c r="P32" s="51">
        <v>4</v>
      </c>
      <c r="Q32" s="51">
        <v>10</v>
      </c>
      <c r="R32" s="51" t="s">
        <v>49</v>
      </c>
      <c r="S32" s="51" t="s">
        <v>50</v>
      </c>
      <c r="T32" s="51" t="s">
        <v>50</v>
      </c>
      <c r="U32" s="51" t="s">
        <v>50</v>
      </c>
      <c r="V32" s="51" t="s">
        <v>50</v>
      </c>
      <c r="W32" s="51" t="s">
        <v>50</v>
      </c>
      <c r="X32" s="51" t="s">
        <v>50</v>
      </c>
      <c r="Y32" s="102"/>
    </row>
    <row r="33" spans="1:25" s="97" customFormat="1" x14ac:dyDescent="0.25">
      <c r="A33" s="821">
        <v>44377</v>
      </c>
      <c r="B33" s="51" t="s">
        <v>87</v>
      </c>
      <c r="C33" s="51" t="s">
        <v>78</v>
      </c>
      <c r="D33" s="870">
        <v>38.095559999999999</v>
      </c>
      <c r="E33" s="870">
        <v>-122.05410999999999</v>
      </c>
      <c r="F33" s="51" t="s">
        <v>10023</v>
      </c>
      <c r="G33" s="51" t="s">
        <v>27</v>
      </c>
      <c r="H33" s="51" t="s">
        <v>86</v>
      </c>
      <c r="I33" s="66">
        <v>0.36180555555555555</v>
      </c>
      <c r="J33" s="428">
        <v>28310</v>
      </c>
      <c r="K33" s="428">
        <v>20</v>
      </c>
      <c r="L33" s="428">
        <v>14.8</v>
      </c>
      <c r="M33" s="428">
        <v>0.62</v>
      </c>
      <c r="N33" s="428">
        <v>6.4</v>
      </c>
      <c r="O33" s="51" t="s">
        <v>48</v>
      </c>
      <c r="P33" s="51">
        <v>2</v>
      </c>
      <c r="Q33" s="51">
        <v>10</v>
      </c>
      <c r="R33" s="51" t="s">
        <v>49</v>
      </c>
      <c r="S33" s="51" t="s">
        <v>50</v>
      </c>
      <c r="T33" s="51" t="s">
        <v>50</v>
      </c>
      <c r="U33" s="51" t="s">
        <v>50</v>
      </c>
      <c r="V33" s="51" t="s">
        <v>50</v>
      </c>
      <c r="W33" s="51" t="s">
        <v>50</v>
      </c>
      <c r="X33" s="51" t="s">
        <v>50</v>
      </c>
      <c r="Y33" s="102" t="s">
        <v>10026</v>
      </c>
    </row>
    <row r="34" spans="1:25" s="97" customFormat="1" x14ac:dyDescent="0.25">
      <c r="A34" s="821">
        <v>44378</v>
      </c>
      <c r="B34" s="51" t="s">
        <v>105</v>
      </c>
      <c r="C34" s="51" t="s">
        <v>88</v>
      </c>
      <c r="D34" s="870">
        <v>38.1145</v>
      </c>
      <c r="E34" s="870">
        <v>-121.70411</v>
      </c>
      <c r="F34" s="51" t="s">
        <v>10040</v>
      </c>
      <c r="G34" s="51" t="s">
        <v>90</v>
      </c>
      <c r="H34" s="51" t="s">
        <v>91</v>
      </c>
      <c r="I34" s="66">
        <v>0.47152777777777777</v>
      </c>
      <c r="J34" s="51">
        <v>2794.75</v>
      </c>
      <c r="K34" s="51">
        <v>21.93</v>
      </c>
      <c r="L34" s="51">
        <v>38.28</v>
      </c>
      <c r="M34" s="51">
        <v>0.8</v>
      </c>
      <c r="N34" s="51">
        <v>6.2</v>
      </c>
      <c r="O34" s="51" t="s">
        <v>48</v>
      </c>
      <c r="P34" s="51">
        <v>4</v>
      </c>
      <c r="Q34" s="51">
        <v>10</v>
      </c>
      <c r="R34" s="51" t="s">
        <v>49</v>
      </c>
      <c r="S34" s="51" t="s">
        <v>50</v>
      </c>
      <c r="T34" s="51" t="s">
        <v>50</v>
      </c>
      <c r="U34" s="51" t="s">
        <v>50</v>
      </c>
      <c r="V34" s="51" t="s">
        <v>50</v>
      </c>
      <c r="W34" s="51" t="s">
        <v>50</v>
      </c>
      <c r="X34" s="51" t="s">
        <v>50</v>
      </c>
      <c r="Y34" s="102"/>
    </row>
    <row r="35" spans="1:25" s="97" customFormat="1" x14ac:dyDescent="0.25">
      <c r="A35" s="821">
        <v>44378</v>
      </c>
      <c r="B35" s="51" t="s">
        <v>105</v>
      </c>
      <c r="C35" s="51" t="s">
        <v>88</v>
      </c>
      <c r="D35" s="870">
        <v>38.08229</v>
      </c>
      <c r="E35" s="870">
        <v>-121.72781000000001</v>
      </c>
      <c r="F35" s="51" t="s">
        <v>10041</v>
      </c>
      <c r="G35" s="51" t="s">
        <v>90</v>
      </c>
      <c r="H35" s="51" t="s">
        <v>91</v>
      </c>
      <c r="I35" s="66">
        <v>0.41250000000000003</v>
      </c>
      <c r="J35" s="51">
        <v>5408.25</v>
      </c>
      <c r="K35" s="51">
        <v>21.47</v>
      </c>
      <c r="L35" s="51">
        <v>49.9</v>
      </c>
      <c r="M35" s="51">
        <v>0.83</v>
      </c>
      <c r="N35" s="51">
        <v>5.92</v>
      </c>
      <c r="O35" s="51" t="s">
        <v>48</v>
      </c>
      <c r="P35" s="51">
        <v>4</v>
      </c>
      <c r="Q35" s="51">
        <v>10</v>
      </c>
      <c r="R35" s="51" t="s">
        <v>64</v>
      </c>
      <c r="S35" s="51" t="s">
        <v>50</v>
      </c>
      <c r="T35" s="51" t="s">
        <v>50</v>
      </c>
      <c r="U35" s="51" t="s">
        <v>50</v>
      </c>
      <c r="V35" s="51" t="s">
        <v>50</v>
      </c>
      <c r="W35" s="51" t="s">
        <v>50</v>
      </c>
      <c r="X35" s="51" t="s">
        <v>50</v>
      </c>
      <c r="Y35" s="35"/>
    </row>
    <row r="36" spans="1:25" s="97" customFormat="1" x14ac:dyDescent="0.25">
      <c r="A36" s="821">
        <v>44378</v>
      </c>
      <c r="B36" s="51" t="s">
        <v>105</v>
      </c>
      <c r="C36" s="51" t="s">
        <v>88</v>
      </c>
      <c r="D36" s="870">
        <v>38.063850000000002</v>
      </c>
      <c r="E36" s="870">
        <v>-121.79170999999999</v>
      </c>
      <c r="F36" s="51" t="s">
        <v>10042</v>
      </c>
      <c r="G36" s="51" t="s">
        <v>27</v>
      </c>
      <c r="H36" s="51" t="s">
        <v>25</v>
      </c>
      <c r="I36" s="66">
        <v>0.3527777777777778</v>
      </c>
      <c r="J36" s="51">
        <v>902.33</v>
      </c>
      <c r="K36" s="51">
        <v>25.72</v>
      </c>
      <c r="L36" s="51">
        <v>38.15</v>
      </c>
      <c r="M36" s="51">
        <v>0.84</v>
      </c>
      <c r="N36" s="51">
        <v>11.15</v>
      </c>
      <c r="O36" s="51" t="s">
        <v>48</v>
      </c>
      <c r="P36" s="51">
        <v>4</v>
      </c>
      <c r="Q36" s="51">
        <v>10</v>
      </c>
      <c r="R36" s="51" t="s">
        <v>64</v>
      </c>
      <c r="S36" s="51" t="s">
        <v>50</v>
      </c>
      <c r="T36" s="51" t="s">
        <v>50</v>
      </c>
      <c r="U36" s="51" t="s">
        <v>50</v>
      </c>
      <c r="V36" s="51" t="s">
        <v>50</v>
      </c>
      <c r="W36" s="51" t="s">
        <v>50</v>
      </c>
      <c r="X36" s="51" t="s">
        <v>50</v>
      </c>
      <c r="Y36" s="102"/>
    </row>
    <row r="37" spans="1:25" s="97" customFormat="1" x14ac:dyDescent="0.25">
      <c r="A37" s="821">
        <v>44378</v>
      </c>
      <c r="B37" s="51" t="s">
        <v>105</v>
      </c>
      <c r="C37" s="51" t="s">
        <v>106</v>
      </c>
      <c r="D37" s="870">
        <v>38.228290000000001</v>
      </c>
      <c r="E37" s="870">
        <v>-121.67447</v>
      </c>
      <c r="F37" s="51" t="s">
        <v>10043</v>
      </c>
      <c r="G37" s="51" t="s">
        <v>90</v>
      </c>
      <c r="H37" s="51" t="s">
        <v>519</v>
      </c>
      <c r="I37" s="66">
        <v>0.51944444444444449</v>
      </c>
      <c r="J37" s="51">
        <v>237.1</v>
      </c>
      <c r="K37" s="51">
        <v>22.93</v>
      </c>
      <c r="L37" s="51">
        <v>17.88</v>
      </c>
      <c r="M37" s="51">
        <v>1.1599999999999999</v>
      </c>
      <c r="N37" s="51">
        <v>12.03</v>
      </c>
      <c r="O37" s="51" t="s">
        <v>48</v>
      </c>
      <c r="P37" s="51">
        <v>4</v>
      </c>
      <c r="Q37" s="51">
        <v>10</v>
      </c>
      <c r="R37" s="51" t="s">
        <v>49</v>
      </c>
      <c r="S37" s="51" t="s">
        <v>50</v>
      </c>
      <c r="T37" s="51" t="s">
        <v>50</v>
      </c>
      <c r="U37" s="51" t="s">
        <v>50</v>
      </c>
      <c r="V37" s="51" t="s">
        <v>50</v>
      </c>
      <c r="W37" s="51" t="s">
        <v>50</v>
      </c>
      <c r="X37" s="51" t="s">
        <v>50</v>
      </c>
      <c r="Y37" s="102"/>
    </row>
    <row r="38" spans="1:25" s="97" customFormat="1" x14ac:dyDescent="0.25">
      <c r="A38" s="821">
        <v>44378</v>
      </c>
      <c r="B38" s="51" t="s">
        <v>105</v>
      </c>
      <c r="C38" s="51" t="s">
        <v>106</v>
      </c>
      <c r="D38" s="870">
        <v>38.418889999999998</v>
      </c>
      <c r="E38" s="870">
        <v>-121.60875</v>
      </c>
      <c r="F38" s="51" t="s">
        <v>10044</v>
      </c>
      <c r="G38" s="51" t="s">
        <v>90</v>
      </c>
      <c r="H38" s="51" t="s">
        <v>519</v>
      </c>
      <c r="I38" s="66">
        <v>0.4284722222222222</v>
      </c>
      <c r="J38" s="51">
        <v>545</v>
      </c>
      <c r="K38" s="51">
        <v>22.18</v>
      </c>
      <c r="L38" s="51">
        <v>112.25</v>
      </c>
      <c r="M38" s="51">
        <v>0.2</v>
      </c>
      <c r="N38" s="51">
        <v>10.72</v>
      </c>
      <c r="O38" s="51" t="s">
        <v>48</v>
      </c>
      <c r="P38" s="51">
        <v>4</v>
      </c>
      <c r="Q38" s="51">
        <v>10</v>
      </c>
      <c r="R38" s="51" t="s">
        <v>64</v>
      </c>
      <c r="S38" s="51" t="s">
        <v>50</v>
      </c>
      <c r="T38" s="51" t="s">
        <v>50</v>
      </c>
      <c r="U38" s="51" t="s">
        <v>50</v>
      </c>
      <c r="V38" s="51" t="s">
        <v>50</v>
      </c>
      <c r="W38" s="51" t="s">
        <v>50</v>
      </c>
      <c r="X38" s="51" t="s">
        <v>50</v>
      </c>
      <c r="Y38" s="102" t="s">
        <v>10116</v>
      </c>
    </row>
    <row r="39" spans="1:25" s="97" customFormat="1" x14ac:dyDescent="0.25">
      <c r="A39" s="821">
        <v>44378</v>
      </c>
      <c r="B39" s="51" t="s">
        <v>105</v>
      </c>
      <c r="C39" s="51" t="s">
        <v>106</v>
      </c>
      <c r="D39" s="870">
        <v>38.50712</v>
      </c>
      <c r="E39" s="870">
        <v>-121.58435</v>
      </c>
      <c r="F39" s="51" t="s">
        <v>10045</v>
      </c>
      <c r="G39" s="51" t="s">
        <v>90</v>
      </c>
      <c r="H39" s="51" t="s">
        <v>722</v>
      </c>
      <c r="I39" s="66">
        <v>0.34652777777777777</v>
      </c>
      <c r="J39" s="51">
        <v>949.25</v>
      </c>
      <c r="K39" s="51">
        <v>22.85</v>
      </c>
      <c r="L39" s="51">
        <v>43.75</v>
      </c>
      <c r="M39" s="51">
        <v>0.3</v>
      </c>
      <c r="N39" s="51">
        <v>10.78</v>
      </c>
      <c r="O39" s="51" t="s">
        <v>48</v>
      </c>
      <c r="P39" s="51">
        <v>4</v>
      </c>
      <c r="Q39" s="51">
        <v>10</v>
      </c>
      <c r="R39" s="51" t="s">
        <v>64</v>
      </c>
      <c r="S39" s="51" t="s">
        <v>50</v>
      </c>
      <c r="T39" s="51" t="s">
        <v>50</v>
      </c>
      <c r="U39" s="51" t="s">
        <v>50</v>
      </c>
      <c r="V39" s="51" t="s">
        <v>50</v>
      </c>
      <c r="W39" s="51" t="s">
        <v>50</v>
      </c>
      <c r="X39" s="51" t="s">
        <v>50</v>
      </c>
      <c r="Y39" s="102" t="s">
        <v>10117</v>
      </c>
    </row>
    <row r="40" spans="1:25" s="97" customFormat="1" x14ac:dyDescent="0.25">
      <c r="A40" s="823">
        <v>44378</v>
      </c>
      <c r="B40" s="325" t="s">
        <v>105</v>
      </c>
      <c r="C40" s="325" t="s">
        <v>78</v>
      </c>
      <c r="D40" s="1104">
        <v>38.063090000000003</v>
      </c>
      <c r="E40" s="1104">
        <v>-121.8601</v>
      </c>
      <c r="F40" s="325" t="s">
        <v>10046</v>
      </c>
      <c r="G40" s="325" t="s">
        <v>27</v>
      </c>
      <c r="H40" s="325" t="s">
        <v>101</v>
      </c>
      <c r="I40" s="326">
        <v>0.4777777777777778</v>
      </c>
      <c r="J40" s="325">
        <v>989.27</v>
      </c>
      <c r="K40" s="325">
        <v>21.35</v>
      </c>
      <c r="L40" s="325">
        <v>14.85</v>
      </c>
      <c r="M40" s="325">
        <v>0.72</v>
      </c>
      <c r="N40" s="325">
        <v>20.05</v>
      </c>
      <c r="O40" s="325" t="s">
        <v>48</v>
      </c>
      <c r="P40" s="325">
        <v>4</v>
      </c>
      <c r="Q40" s="325">
        <v>10</v>
      </c>
      <c r="R40" s="325" t="s">
        <v>49</v>
      </c>
      <c r="S40" s="325" t="s">
        <v>50</v>
      </c>
      <c r="T40" s="325" t="s">
        <v>50</v>
      </c>
      <c r="U40" s="325" t="s">
        <v>50</v>
      </c>
      <c r="V40" s="325" t="s">
        <v>50</v>
      </c>
      <c r="W40" s="325" t="s">
        <v>50</v>
      </c>
      <c r="X40" s="325" t="s">
        <v>50</v>
      </c>
      <c r="Y40" s="102"/>
    </row>
    <row r="41" spans="1:25" s="97" customFormat="1" x14ac:dyDescent="0.25">
      <c r="A41" s="821">
        <v>44378</v>
      </c>
      <c r="B41" s="51" t="s">
        <v>105</v>
      </c>
      <c r="C41" s="51" t="s">
        <v>78</v>
      </c>
      <c r="D41" s="870">
        <v>38.062199999999997</v>
      </c>
      <c r="E41" s="870">
        <v>-122.04413</v>
      </c>
      <c r="F41" s="51" t="s">
        <v>10047</v>
      </c>
      <c r="G41" s="51" t="s">
        <v>27</v>
      </c>
      <c r="H41" s="51" t="s">
        <v>86</v>
      </c>
      <c r="I41" s="66">
        <v>0.34027777777777773</v>
      </c>
      <c r="J41" s="51">
        <v>24251.75</v>
      </c>
      <c r="K41" s="51">
        <v>20.32</v>
      </c>
      <c r="L41" s="51">
        <v>5662.9</v>
      </c>
      <c r="M41" s="51">
        <v>0.72</v>
      </c>
      <c r="N41" s="51">
        <v>9.7799999999999994</v>
      </c>
      <c r="O41" s="51" t="s">
        <v>48</v>
      </c>
      <c r="P41" s="51">
        <v>4</v>
      </c>
      <c r="Q41" s="51">
        <v>10</v>
      </c>
      <c r="R41" s="51" t="s">
        <v>64</v>
      </c>
      <c r="S41" s="51" t="s">
        <v>50</v>
      </c>
      <c r="T41" s="51" t="s">
        <v>50</v>
      </c>
      <c r="U41" s="51" t="s">
        <v>50</v>
      </c>
      <c r="V41" s="51" t="s">
        <v>50</v>
      </c>
      <c r="W41" s="51" t="s">
        <v>50</v>
      </c>
      <c r="X41" s="51" t="s">
        <v>50</v>
      </c>
      <c r="Y41" s="102"/>
    </row>
    <row r="42" spans="1:25" s="361" customFormat="1" x14ac:dyDescent="0.25">
      <c r="A42" s="853">
        <v>44378</v>
      </c>
      <c r="B42" s="74" t="s">
        <v>105</v>
      </c>
      <c r="C42" s="74" t="s">
        <v>78</v>
      </c>
      <c r="D42" s="882">
        <v>38.078879999999998</v>
      </c>
      <c r="E42" s="882">
        <v>-121.9935</v>
      </c>
      <c r="F42" s="74" t="s">
        <v>10048</v>
      </c>
      <c r="G42" s="74" t="s">
        <v>27</v>
      </c>
      <c r="H42" s="74" t="s">
        <v>86</v>
      </c>
      <c r="I42" s="73">
        <v>0.40902777777777777</v>
      </c>
      <c r="J42" s="74">
        <v>21403.75</v>
      </c>
      <c r="K42" s="74">
        <v>20.68</v>
      </c>
      <c r="L42" s="74">
        <v>26.65</v>
      </c>
      <c r="M42" s="74">
        <v>0.46</v>
      </c>
      <c r="N42" s="74">
        <v>10.95</v>
      </c>
      <c r="O42" s="74" t="s">
        <v>48</v>
      </c>
      <c r="P42" s="74">
        <v>4</v>
      </c>
      <c r="Q42" s="74">
        <v>10</v>
      </c>
      <c r="R42" s="74" t="s">
        <v>64</v>
      </c>
      <c r="S42" s="74" t="s">
        <v>50</v>
      </c>
      <c r="T42" s="74" t="s">
        <v>50</v>
      </c>
      <c r="U42" s="74" t="s">
        <v>50</v>
      </c>
      <c r="V42" s="74" t="s">
        <v>50</v>
      </c>
      <c r="W42" s="74" t="s">
        <v>50</v>
      </c>
      <c r="X42" s="74" t="s">
        <v>50</v>
      </c>
      <c r="Y42" s="366"/>
    </row>
    <row r="43" spans="1:25" s="97" customFormat="1" x14ac:dyDescent="0.25">
      <c r="A43" s="821">
        <v>44383</v>
      </c>
      <c r="B43" s="51" t="s">
        <v>70</v>
      </c>
      <c r="C43" s="51" t="s">
        <v>162</v>
      </c>
      <c r="D43" s="870">
        <v>38.334870000000002</v>
      </c>
      <c r="E43" s="870">
        <v>-121.65058999999999</v>
      </c>
      <c r="F43" s="51" t="s">
        <v>10049</v>
      </c>
      <c r="G43" s="51" t="s">
        <v>90</v>
      </c>
      <c r="H43" s="51" t="s">
        <v>126</v>
      </c>
      <c r="I43" s="66">
        <v>0.53819444444444442</v>
      </c>
      <c r="J43" s="428">
        <v>248.32</v>
      </c>
      <c r="K43" s="428">
        <v>22.22</v>
      </c>
      <c r="L43" s="428">
        <v>22.6</v>
      </c>
      <c r="M43" s="428">
        <v>0.66</v>
      </c>
      <c r="N43" s="428">
        <v>3.78</v>
      </c>
      <c r="O43" s="51" t="s">
        <v>48</v>
      </c>
      <c r="P43" s="51">
        <v>4</v>
      </c>
      <c r="Q43" s="51">
        <v>10</v>
      </c>
      <c r="R43" s="51" t="s">
        <v>64</v>
      </c>
      <c r="S43" s="51" t="s">
        <v>50</v>
      </c>
      <c r="T43" s="51" t="s">
        <v>50</v>
      </c>
      <c r="U43" s="51" t="s">
        <v>50</v>
      </c>
      <c r="V43" s="51" t="s">
        <v>50</v>
      </c>
      <c r="W43" s="51" t="s">
        <v>50</v>
      </c>
      <c r="X43" s="51" t="s">
        <v>50</v>
      </c>
      <c r="Y43" s="102"/>
    </row>
    <row r="44" spans="1:25" s="97" customFormat="1" x14ac:dyDescent="0.25">
      <c r="A44" s="821">
        <v>44383</v>
      </c>
      <c r="B44" s="51" t="s">
        <v>70</v>
      </c>
      <c r="C44" s="51" t="s">
        <v>162</v>
      </c>
      <c r="D44" s="870">
        <v>38.249420000000001</v>
      </c>
      <c r="E44" s="870">
        <v>-121.68744</v>
      </c>
      <c r="F44" s="51" t="s">
        <v>10050</v>
      </c>
      <c r="G44" s="51" t="s">
        <v>90</v>
      </c>
      <c r="H44" s="51" t="s">
        <v>126</v>
      </c>
      <c r="I44" s="66">
        <v>0.46875</v>
      </c>
      <c r="J44" s="428">
        <v>222.43</v>
      </c>
      <c r="K44" s="428">
        <v>20.92</v>
      </c>
      <c r="L44" s="428">
        <v>9.65</v>
      </c>
      <c r="M44" s="428">
        <v>1.1200000000000001</v>
      </c>
      <c r="N44" s="428">
        <v>8.07</v>
      </c>
      <c r="O44" s="51" t="s">
        <v>48</v>
      </c>
      <c r="P44" s="51">
        <v>4</v>
      </c>
      <c r="Q44" s="51">
        <v>10</v>
      </c>
      <c r="R44" s="51" t="s">
        <v>64</v>
      </c>
      <c r="S44" s="51" t="s">
        <v>50</v>
      </c>
      <c r="T44" s="51" t="s">
        <v>50</v>
      </c>
      <c r="U44" s="51" t="s">
        <v>50</v>
      </c>
      <c r="V44" s="51" t="s">
        <v>50</v>
      </c>
      <c r="W44" s="51" t="s">
        <v>50</v>
      </c>
      <c r="X44" s="51" t="s">
        <v>50</v>
      </c>
      <c r="Y44" s="35"/>
    </row>
    <row r="45" spans="1:25" s="97" customFormat="1" x14ac:dyDescent="0.25">
      <c r="A45" s="821">
        <v>44383</v>
      </c>
      <c r="B45" s="51" t="s">
        <v>70</v>
      </c>
      <c r="C45" s="51" t="s">
        <v>162</v>
      </c>
      <c r="D45" s="870">
        <v>38.302390000000003</v>
      </c>
      <c r="E45" s="870">
        <v>-121.7295</v>
      </c>
      <c r="F45" s="51" t="s">
        <v>10051</v>
      </c>
      <c r="G45" s="51" t="s">
        <v>90</v>
      </c>
      <c r="H45" s="51" t="s">
        <v>126</v>
      </c>
      <c r="I45" s="66">
        <v>0.34375</v>
      </c>
      <c r="J45" s="428">
        <v>255.05</v>
      </c>
      <c r="K45" s="428">
        <v>20.23</v>
      </c>
      <c r="L45" s="428">
        <v>16.079999999999998</v>
      </c>
      <c r="M45" s="428">
        <v>0.72</v>
      </c>
      <c r="N45" s="428">
        <v>2.92</v>
      </c>
      <c r="O45" s="51" t="s">
        <v>48</v>
      </c>
      <c r="P45" s="51">
        <v>4</v>
      </c>
      <c r="Q45" s="51">
        <v>10</v>
      </c>
      <c r="R45" s="51" t="s">
        <v>64</v>
      </c>
      <c r="S45" s="51" t="s">
        <v>50</v>
      </c>
      <c r="T45" s="51" t="s">
        <v>50</v>
      </c>
      <c r="U45" s="51" t="s">
        <v>50</v>
      </c>
      <c r="V45" s="51" t="s">
        <v>50</v>
      </c>
      <c r="W45" s="51" t="s">
        <v>50</v>
      </c>
      <c r="X45" s="51" t="s">
        <v>50</v>
      </c>
      <c r="Y45" s="35" t="s">
        <v>10118</v>
      </c>
    </row>
    <row r="46" spans="1:25" s="97" customFormat="1" x14ac:dyDescent="0.25">
      <c r="A46" s="821">
        <v>44383</v>
      </c>
      <c r="B46" s="51" t="s">
        <v>70</v>
      </c>
      <c r="C46" s="51" t="s">
        <v>95</v>
      </c>
      <c r="D46" s="870">
        <v>38.08887</v>
      </c>
      <c r="E46" s="870">
        <v>-121.5767</v>
      </c>
      <c r="F46" s="51" t="s">
        <v>10052</v>
      </c>
      <c r="G46" s="51" t="s">
        <v>46</v>
      </c>
      <c r="H46" s="51" t="s">
        <v>582</v>
      </c>
      <c r="I46" s="66">
        <v>0.41875000000000001</v>
      </c>
      <c r="J46" s="428">
        <v>641.25</v>
      </c>
      <c r="K46" s="428">
        <v>22.95</v>
      </c>
      <c r="L46" s="428">
        <v>22.3</v>
      </c>
      <c r="M46" s="428">
        <v>0.91</v>
      </c>
      <c r="N46" s="428">
        <v>5.9</v>
      </c>
      <c r="O46" s="51" t="s">
        <v>48</v>
      </c>
      <c r="P46" s="51">
        <v>4</v>
      </c>
      <c r="Q46" s="51">
        <v>10</v>
      </c>
      <c r="R46" s="51" t="s">
        <v>49</v>
      </c>
      <c r="S46" s="51" t="s">
        <v>50</v>
      </c>
      <c r="T46" s="51" t="s">
        <v>50</v>
      </c>
      <c r="U46" s="51" t="s">
        <v>50</v>
      </c>
      <c r="V46" s="51" t="s">
        <v>50</v>
      </c>
      <c r="W46" s="51" t="s">
        <v>50</v>
      </c>
      <c r="X46" s="51" t="s">
        <v>50</v>
      </c>
      <c r="Y46" s="102"/>
    </row>
    <row r="47" spans="1:25" s="153" customFormat="1" x14ac:dyDescent="0.25">
      <c r="A47" s="821">
        <v>44383</v>
      </c>
      <c r="B47" s="51" t="s">
        <v>70</v>
      </c>
      <c r="C47" s="51" t="s">
        <v>95</v>
      </c>
      <c r="D47" s="870">
        <v>38.059759999999997</v>
      </c>
      <c r="E47" s="870">
        <v>-121.53404</v>
      </c>
      <c r="F47" s="51" t="s">
        <v>10053</v>
      </c>
      <c r="G47" s="51" t="s">
        <v>46</v>
      </c>
      <c r="H47" s="51" t="s">
        <v>582</v>
      </c>
      <c r="I47" s="66">
        <v>0.35972222222222222</v>
      </c>
      <c r="J47" s="428">
        <v>568</v>
      </c>
      <c r="K47" s="428">
        <v>23.78</v>
      </c>
      <c r="L47" s="428">
        <v>11.67</v>
      </c>
      <c r="M47" s="428">
        <v>1.24</v>
      </c>
      <c r="N47" s="428">
        <v>8.6199999999999992</v>
      </c>
      <c r="O47" s="51" t="s">
        <v>48</v>
      </c>
      <c r="P47" s="51">
        <v>4</v>
      </c>
      <c r="Q47" s="51">
        <v>10</v>
      </c>
      <c r="R47" s="51" t="s">
        <v>49</v>
      </c>
      <c r="S47" s="51" t="s">
        <v>50</v>
      </c>
      <c r="T47" s="51" t="s">
        <v>50</v>
      </c>
      <c r="U47" s="51" t="s">
        <v>50</v>
      </c>
      <c r="V47" s="51" t="s">
        <v>50</v>
      </c>
      <c r="W47" s="51" t="s">
        <v>50</v>
      </c>
      <c r="X47" s="51" t="s">
        <v>50</v>
      </c>
      <c r="Y47" s="159"/>
    </row>
    <row r="48" spans="1:25" s="153" customFormat="1" x14ac:dyDescent="0.25">
      <c r="A48" s="821">
        <v>44383</v>
      </c>
      <c r="B48" s="51" t="s">
        <v>70</v>
      </c>
      <c r="C48" s="51" t="s">
        <v>95</v>
      </c>
      <c r="D48" s="870">
        <v>38.103729999999999</v>
      </c>
      <c r="E48" s="870">
        <v>-121.60791</v>
      </c>
      <c r="F48" s="51" t="s">
        <v>10054</v>
      </c>
      <c r="G48" s="51" t="s">
        <v>46</v>
      </c>
      <c r="H48" s="51" t="s">
        <v>97</v>
      </c>
      <c r="I48" s="66">
        <v>0.47291666666666665</v>
      </c>
      <c r="J48" s="428">
        <v>575</v>
      </c>
      <c r="K48" s="428">
        <v>23.18</v>
      </c>
      <c r="L48" s="428">
        <v>33.25</v>
      </c>
      <c r="M48" s="428">
        <v>0.89</v>
      </c>
      <c r="N48" s="428">
        <v>11.78</v>
      </c>
      <c r="O48" s="51" t="s">
        <v>48</v>
      </c>
      <c r="P48" s="51">
        <v>4</v>
      </c>
      <c r="Q48" s="51">
        <v>10</v>
      </c>
      <c r="R48" s="51" t="s">
        <v>49</v>
      </c>
      <c r="S48" s="51" t="s">
        <v>50</v>
      </c>
      <c r="T48" s="51" t="s">
        <v>50</v>
      </c>
      <c r="U48" s="51" t="s">
        <v>50</v>
      </c>
      <c r="V48" s="51" t="s">
        <v>50</v>
      </c>
      <c r="W48" s="51" t="s">
        <v>50</v>
      </c>
      <c r="X48" s="51" t="s">
        <v>50</v>
      </c>
      <c r="Y48" s="102" t="s">
        <v>10059</v>
      </c>
    </row>
    <row r="49" spans="1:25" s="97" customFormat="1" x14ac:dyDescent="0.25">
      <c r="A49" s="821">
        <v>44383</v>
      </c>
      <c r="B49" s="51" t="s">
        <v>70</v>
      </c>
      <c r="C49" s="51" t="s">
        <v>62</v>
      </c>
      <c r="D49" s="870">
        <v>38.110869999999998</v>
      </c>
      <c r="E49" s="870">
        <v>-122.05465</v>
      </c>
      <c r="F49" s="51" t="s">
        <v>10055</v>
      </c>
      <c r="G49" s="51" t="s">
        <v>27</v>
      </c>
      <c r="H49" s="51" t="s">
        <v>173</v>
      </c>
      <c r="I49" s="66">
        <v>0.48194444444444445</v>
      </c>
      <c r="J49" s="428">
        <v>4150.3999999999996</v>
      </c>
      <c r="K49" s="428">
        <v>21.7</v>
      </c>
      <c r="L49" s="428">
        <v>72.3</v>
      </c>
      <c r="M49" s="428">
        <v>0.33</v>
      </c>
      <c r="N49" s="428">
        <v>3.8</v>
      </c>
      <c r="O49" s="51" t="s">
        <v>48</v>
      </c>
      <c r="P49" s="51">
        <v>2</v>
      </c>
      <c r="Q49" s="51">
        <v>10</v>
      </c>
      <c r="R49" s="51" t="s">
        <v>64</v>
      </c>
      <c r="S49" s="51" t="s">
        <v>50</v>
      </c>
      <c r="T49" s="51" t="s">
        <v>50</v>
      </c>
      <c r="U49" s="51" t="s">
        <v>50</v>
      </c>
      <c r="V49" s="51" t="s">
        <v>50</v>
      </c>
      <c r="W49" s="51" t="s">
        <v>50</v>
      </c>
      <c r="X49" s="51" t="s">
        <v>50</v>
      </c>
      <c r="Y49" s="102"/>
    </row>
    <row r="50" spans="1:25" s="97" customFormat="1" x14ac:dyDescent="0.25">
      <c r="A50" s="821">
        <v>44383</v>
      </c>
      <c r="B50" s="51" t="s">
        <v>70</v>
      </c>
      <c r="C50" s="51" t="s">
        <v>62</v>
      </c>
      <c r="D50" s="870">
        <v>38.181190000000001</v>
      </c>
      <c r="E50" s="870">
        <v>-121.99791</v>
      </c>
      <c r="F50" s="51" t="s">
        <v>10056</v>
      </c>
      <c r="G50" s="51" t="s">
        <v>27</v>
      </c>
      <c r="H50" s="51" t="s">
        <v>62</v>
      </c>
      <c r="I50" s="66">
        <v>0.41736111111111113</v>
      </c>
      <c r="J50" s="428">
        <v>16458</v>
      </c>
      <c r="K50" s="428">
        <v>20.78</v>
      </c>
      <c r="L50" s="428">
        <v>30.5</v>
      </c>
      <c r="M50" s="428">
        <v>0.48</v>
      </c>
      <c r="N50" s="428">
        <v>6.9</v>
      </c>
      <c r="O50" s="51" t="s">
        <v>48</v>
      </c>
      <c r="P50" s="51">
        <v>4</v>
      </c>
      <c r="Q50" s="51">
        <v>10</v>
      </c>
      <c r="R50" s="51" t="s">
        <v>64</v>
      </c>
      <c r="S50" s="51" t="s">
        <v>50</v>
      </c>
      <c r="T50" s="51" t="s">
        <v>50</v>
      </c>
      <c r="U50" s="51" t="s">
        <v>50</v>
      </c>
      <c r="V50" s="51" t="s">
        <v>50</v>
      </c>
      <c r="W50" s="51" t="s">
        <v>50</v>
      </c>
      <c r="X50" s="51" t="s">
        <v>50</v>
      </c>
      <c r="Y50" s="35"/>
    </row>
    <row r="51" spans="1:25" s="153" customFormat="1" x14ac:dyDescent="0.25">
      <c r="A51" s="446">
        <v>44383</v>
      </c>
      <c r="B51" s="424" t="s">
        <v>70</v>
      </c>
      <c r="C51" s="424" t="s">
        <v>62</v>
      </c>
      <c r="D51" s="871">
        <v>38.152380000000001</v>
      </c>
      <c r="E51" s="871">
        <v>-122.07114</v>
      </c>
      <c r="F51" s="424" t="s">
        <v>10057</v>
      </c>
      <c r="G51" s="424" t="s">
        <v>27</v>
      </c>
      <c r="H51" s="424" t="s">
        <v>62</v>
      </c>
      <c r="I51" s="425">
        <v>0.4604166666666667</v>
      </c>
      <c r="J51" s="427" t="s">
        <v>50</v>
      </c>
      <c r="K51" s="427" t="s">
        <v>50</v>
      </c>
      <c r="L51" s="427" t="s">
        <v>50</v>
      </c>
      <c r="M51" s="427" t="s">
        <v>50</v>
      </c>
      <c r="N51" s="427" t="s">
        <v>50</v>
      </c>
      <c r="O51" s="424" t="s">
        <v>48</v>
      </c>
      <c r="P51" s="424">
        <v>0</v>
      </c>
      <c r="Q51" s="424" t="s">
        <v>50</v>
      </c>
      <c r="R51" s="424" t="s">
        <v>50</v>
      </c>
      <c r="S51" s="424" t="s">
        <v>50</v>
      </c>
      <c r="T51" s="424" t="s">
        <v>50</v>
      </c>
      <c r="U51" s="424" t="s">
        <v>50</v>
      </c>
      <c r="V51" s="424" t="s">
        <v>50</v>
      </c>
      <c r="W51" s="424" t="s">
        <v>50</v>
      </c>
      <c r="X51" s="424" t="s">
        <v>50</v>
      </c>
      <c r="Y51" s="159"/>
    </row>
    <row r="52" spans="1:25" s="97" customFormat="1" x14ac:dyDescent="0.25">
      <c r="A52" s="821">
        <v>44383</v>
      </c>
      <c r="B52" s="51" t="s">
        <v>70</v>
      </c>
      <c r="C52" s="51" t="s">
        <v>62</v>
      </c>
      <c r="D52" s="870">
        <v>38.138379999999998</v>
      </c>
      <c r="E52" s="870">
        <v>-121.91038</v>
      </c>
      <c r="F52" s="51" t="s">
        <v>10058</v>
      </c>
      <c r="G52" s="51" t="s">
        <v>27</v>
      </c>
      <c r="H52" s="51" t="s">
        <v>62</v>
      </c>
      <c r="I52" s="66">
        <v>0.34583333333333338</v>
      </c>
      <c r="J52" s="428">
        <v>11646</v>
      </c>
      <c r="K52" s="428">
        <v>19.850000000000001</v>
      </c>
      <c r="L52" s="428">
        <v>37.78</v>
      </c>
      <c r="M52" s="428">
        <v>0.41</v>
      </c>
      <c r="N52" s="428">
        <v>6.14</v>
      </c>
      <c r="O52" s="51" t="s">
        <v>48</v>
      </c>
      <c r="P52" s="51">
        <v>4</v>
      </c>
      <c r="Q52" s="51">
        <v>10</v>
      </c>
      <c r="R52" s="51" t="s">
        <v>49</v>
      </c>
      <c r="S52" s="51" t="s">
        <v>50</v>
      </c>
      <c r="T52" s="51" t="s">
        <v>50</v>
      </c>
      <c r="U52" s="51" t="s">
        <v>50</v>
      </c>
      <c r="V52" s="51" t="s">
        <v>50</v>
      </c>
      <c r="W52" s="51" t="s">
        <v>50</v>
      </c>
      <c r="X52" s="51" t="s">
        <v>50</v>
      </c>
      <c r="Y52" s="102" t="s">
        <v>621</v>
      </c>
    </row>
    <row r="53" spans="1:25" s="97" customFormat="1" x14ac:dyDescent="0.25">
      <c r="A53" s="821">
        <v>44384</v>
      </c>
      <c r="B53" s="51" t="s">
        <v>87</v>
      </c>
      <c r="C53" s="51" t="s">
        <v>162</v>
      </c>
      <c r="D53" s="870">
        <v>38.258360000000003</v>
      </c>
      <c r="E53" s="870">
        <v>-121.72698</v>
      </c>
      <c r="F53" s="51" t="s">
        <v>10060</v>
      </c>
      <c r="G53" s="51" t="s">
        <v>90</v>
      </c>
      <c r="H53" s="51" t="s">
        <v>126</v>
      </c>
      <c r="I53" s="66">
        <v>0.34513888888888888</v>
      </c>
      <c r="J53" s="428">
        <v>240.73</v>
      </c>
      <c r="K53" s="428">
        <v>20.5</v>
      </c>
      <c r="L53" s="428">
        <v>14.88</v>
      </c>
      <c r="M53" s="428">
        <v>0.53</v>
      </c>
      <c r="N53" s="428">
        <v>6.15</v>
      </c>
      <c r="O53" s="51" t="s">
        <v>48</v>
      </c>
      <c r="P53" s="51">
        <v>4</v>
      </c>
      <c r="Q53" s="51">
        <v>10</v>
      </c>
      <c r="R53" s="51" t="s">
        <v>49</v>
      </c>
      <c r="S53" s="51" t="s">
        <v>50</v>
      </c>
      <c r="T53" s="51" t="s">
        <v>50</v>
      </c>
      <c r="U53" s="51" t="s">
        <v>50</v>
      </c>
      <c r="V53" s="51" t="s">
        <v>50</v>
      </c>
      <c r="W53" s="51" t="s">
        <v>50</v>
      </c>
      <c r="X53" s="51" t="s">
        <v>50</v>
      </c>
      <c r="Y53" s="102"/>
    </row>
    <row r="54" spans="1:25" s="97" customFormat="1" x14ac:dyDescent="0.25">
      <c r="A54" s="821">
        <v>44384</v>
      </c>
      <c r="B54" s="51" t="s">
        <v>87</v>
      </c>
      <c r="C54" s="51" t="s">
        <v>162</v>
      </c>
      <c r="D54" s="870">
        <v>38.290179999999999</v>
      </c>
      <c r="E54" s="870">
        <v>-121.66676</v>
      </c>
      <c r="F54" s="51" t="s">
        <v>10061</v>
      </c>
      <c r="G54" s="51" t="s">
        <v>90</v>
      </c>
      <c r="H54" s="51" t="s">
        <v>126</v>
      </c>
      <c r="I54" s="66">
        <v>0.41666666666666669</v>
      </c>
      <c r="J54" s="428">
        <v>239.2</v>
      </c>
      <c r="K54" s="428">
        <v>19.77</v>
      </c>
      <c r="L54" s="428">
        <v>23.93</v>
      </c>
      <c r="M54" s="428">
        <v>0.51</v>
      </c>
      <c r="N54" s="428">
        <v>5.95</v>
      </c>
      <c r="O54" s="51" t="s">
        <v>48</v>
      </c>
      <c r="P54" s="51">
        <v>4</v>
      </c>
      <c r="Q54" s="51">
        <v>10</v>
      </c>
      <c r="R54" s="51" t="s">
        <v>49</v>
      </c>
      <c r="S54" s="51" t="s">
        <v>50</v>
      </c>
      <c r="T54" s="51" t="s">
        <v>50</v>
      </c>
      <c r="U54" s="51" t="s">
        <v>50</v>
      </c>
      <c r="V54" s="51" t="s">
        <v>50</v>
      </c>
      <c r="W54" s="51" t="s">
        <v>50</v>
      </c>
      <c r="X54" s="51" t="s">
        <v>50</v>
      </c>
      <c r="Y54" s="102"/>
    </row>
    <row r="55" spans="1:25" s="97" customFormat="1" x14ac:dyDescent="0.25">
      <c r="A55" s="821">
        <v>44384</v>
      </c>
      <c r="B55" s="51" t="s">
        <v>87</v>
      </c>
      <c r="C55" s="51" t="s">
        <v>162</v>
      </c>
      <c r="D55" s="870">
        <v>38.251660000000001</v>
      </c>
      <c r="E55" s="870">
        <v>-121.67225000000001</v>
      </c>
      <c r="F55" s="51" t="s">
        <v>10062</v>
      </c>
      <c r="G55" s="51" t="s">
        <v>90</v>
      </c>
      <c r="H55" s="51" t="s">
        <v>126</v>
      </c>
      <c r="I55" s="66">
        <v>0.47152777777777777</v>
      </c>
      <c r="J55" s="428">
        <v>232.05</v>
      </c>
      <c r="K55" s="428">
        <v>19.899999999999999</v>
      </c>
      <c r="L55" s="428">
        <v>19.649999999999999</v>
      </c>
      <c r="M55" s="428">
        <v>0.59</v>
      </c>
      <c r="N55" s="428">
        <v>6.08</v>
      </c>
      <c r="O55" s="51" t="s">
        <v>48</v>
      </c>
      <c r="P55" s="51">
        <v>4</v>
      </c>
      <c r="Q55" s="51">
        <v>10</v>
      </c>
      <c r="R55" s="51" t="s">
        <v>49</v>
      </c>
      <c r="S55" s="51" t="s">
        <v>50</v>
      </c>
      <c r="T55" s="51" t="s">
        <v>50</v>
      </c>
      <c r="U55" s="51" t="s">
        <v>50</v>
      </c>
      <c r="V55" s="51" t="s">
        <v>50</v>
      </c>
      <c r="W55" s="51" t="s">
        <v>50</v>
      </c>
      <c r="X55" s="51" t="s">
        <v>50</v>
      </c>
      <c r="Y55" s="102" t="s">
        <v>678</v>
      </c>
    </row>
    <row r="56" spans="1:25" s="97" customFormat="1" x14ac:dyDescent="0.25">
      <c r="A56" s="821">
        <v>44384</v>
      </c>
      <c r="B56" s="51" t="s">
        <v>87</v>
      </c>
      <c r="C56" s="51" t="s">
        <v>95</v>
      </c>
      <c r="D56" s="870">
        <v>38.091639999999998</v>
      </c>
      <c r="E56" s="870">
        <v>-121.62918999999999</v>
      </c>
      <c r="F56" s="51" t="s">
        <v>10063</v>
      </c>
      <c r="G56" s="51" t="s">
        <v>46</v>
      </c>
      <c r="H56" s="51" t="s">
        <v>97</v>
      </c>
      <c r="I56" s="66">
        <v>0.35972222222222222</v>
      </c>
      <c r="J56" s="428">
        <v>902.25</v>
      </c>
      <c r="K56" s="428">
        <v>22.4</v>
      </c>
      <c r="L56" s="428">
        <v>22.82</v>
      </c>
      <c r="M56" s="428">
        <v>0.79</v>
      </c>
      <c r="N56" s="428">
        <v>5.05</v>
      </c>
      <c r="O56" s="51" t="s">
        <v>48</v>
      </c>
      <c r="P56" s="51">
        <v>4</v>
      </c>
      <c r="Q56" s="51">
        <v>10</v>
      </c>
      <c r="R56" s="51" t="s">
        <v>49</v>
      </c>
      <c r="S56" s="51" t="s">
        <v>50</v>
      </c>
      <c r="T56" s="51" t="s">
        <v>50</v>
      </c>
      <c r="U56" s="51" t="s">
        <v>50</v>
      </c>
      <c r="V56" s="51" t="s">
        <v>50</v>
      </c>
      <c r="W56" s="51" t="s">
        <v>50</v>
      </c>
      <c r="X56" s="51" t="s">
        <v>50</v>
      </c>
      <c r="Y56" s="102"/>
    </row>
    <row r="57" spans="1:25" s="97" customFormat="1" x14ac:dyDescent="0.25">
      <c r="A57" s="821">
        <v>44384</v>
      </c>
      <c r="B57" s="51" t="s">
        <v>87</v>
      </c>
      <c r="C57" s="51" t="s">
        <v>95</v>
      </c>
      <c r="D57" s="870">
        <v>38.02514</v>
      </c>
      <c r="E57" s="870">
        <v>-121.73869999999999</v>
      </c>
      <c r="F57" s="51" t="s">
        <v>10064</v>
      </c>
      <c r="G57" s="51" t="s">
        <v>27</v>
      </c>
      <c r="H57" s="51" t="s">
        <v>95</v>
      </c>
      <c r="I57" s="66">
        <v>0.42291666666666666</v>
      </c>
      <c r="J57" s="428">
        <v>2336.25</v>
      </c>
      <c r="K57" s="428">
        <v>21.85</v>
      </c>
      <c r="L57" s="428">
        <v>29.98</v>
      </c>
      <c r="M57" s="428">
        <v>1.08</v>
      </c>
      <c r="N57" s="428">
        <v>6.1</v>
      </c>
      <c r="O57" s="51" t="s">
        <v>48</v>
      </c>
      <c r="P57" s="51">
        <v>4</v>
      </c>
      <c r="Q57" s="51">
        <v>10</v>
      </c>
      <c r="R57" s="51" t="s">
        <v>49</v>
      </c>
      <c r="S57" s="51" t="s">
        <v>50</v>
      </c>
      <c r="T57" s="51" t="s">
        <v>50</v>
      </c>
      <c r="U57" s="51" t="s">
        <v>50</v>
      </c>
      <c r="V57" s="51" t="s">
        <v>50</v>
      </c>
      <c r="W57" s="51" t="s">
        <v>50</v>
      </c>
      <c r="X57" s="51" t="s">
        <v>50</v>
      </c>
      <c r="Y57" s="102"/>
    </row>
    <row r="58" spans="1:25" s="97" customFormat="1" x14ac:dyDescent="0.25">
      <c r="A58" s="821">
        <v>44384</v>
      </c>
      <c r="B58" s="51" t="s">
        <v>87</v>
      </c>
      <c r="C58" s="51" t="s">
        <v>95</v>
      </c>
      <c r="D58" s="870">
        <v>38.024940000000001</v>
      </c>
      <c r="E58" s="870">
        <v>-121.77983999999999</v>
      </c>
      <c r="F58" s="51" t="s">
        <v>10065</v>
      </c>
      <c r="G58" s="51" t="s">
        <v>27</v>
      </c>
      <c r="H58" s="51" t="s">
        <v>95</v>
      </c>
      <c r="I58" s="66">
        <v>0.47638888888888892</v>
      </c>
      <c r="J58" s="428">
        <v>2771</v>
      </c>
      <c r="K58" s="428">
        <v>21.82</v>
      </c>
      <c r="L58" s="428">
        <v>33.85</v>
      </c>
      <c r="M58" s="428">
        <v>0.89</v>
      </c>
      <c r="N58" s="428">
        <v>11.33</v>
      </c>
      <c r="O58" s="51" t="s">
        <v>48</v>
      </c>
      <c r="P58" s="51">
        <v>4</v>
      </c>
      <c r="Q58" s="51">
        <v>10</v>
      </c>
      <c r="R58" s="51" t="s">
        <v>49</v>
      </c>
      <c r="S58" s="51" t="s">
        <v>50</v>
      </c>
      <c r="T58" s="51" t="s">
        <v>50</v>
      </c>
      <c r="U58" s="51" t="s">
        <v>50</v>
      </c>
      <c r="V58" s="51" t="s">
        <v>50</v>
      </c>
      <c r="W58" s="51" t="s">
        <v>50</v>
      </c>
      <c r="X58" s="51" t="s">
        <v>50</v>
      </c>
      <c r="Y58" s="102" t="s">
        <v>10070</v>
      </c>
    </row>
    <row r="59" spans="1:25" s="97" customFormat="1" x14ac:dyDescent="0.25">
      <c r="A59" s="821">
        <v>44384</v>
      </c>
      <c r="B59" s="51" t="s">
        <v>87</v>
      </c>
      <c r="C59" s="51" t="s">
        <v>62</v>
      </c>
      <c r="D59" s="870">
        <v>38.181849999999997</v>
      </c>
      <c r="E59" s="870">
        <v>-122.05121</v>
      </c>
      <c r="F59" s="51" t="s">
        <v>10066</v>
      </c>
      <c r="G59" s="51" t="s">
        <v>27</v>
      </c>
      <c r="H59" s="51" t="s">
        <v>62</v>
      </c>
      <c r="I59" s="66">
        <v>0.41319444444444442</v>
      </c>
      <c r="J59" s="428">
        <v>16090.75</v>
      </c>
      <c r="K59" s="428">
        <v>26.8</v>
      </c>
      <c r="L59" s="428">
        <v>48.8</v>
      </c>
      <c r="M59" s="428">
        <v>0.26</v>
      </c>
      <c r="N59" s="428">
        <v>4.75</v>
      </c>
      <c r="O59" s="51" t="s">
        <v>48</v>
      </c>
      <c r="P59" s="51">
        <v>4</v>
      </c>
      <c r="Q59" s="51">
        <v>10</v>
      </c>
      <c r="R59" s="51" t="s">
        <v>49</v>
      </c>
      <c r="S59" s="51" t="s">
        <v>50</v>
      </c>
      <c r="T59" s="51" t="s">
        <v>50</v>
      </c>
      <c r="U59" s="51" t="s">
        <v>50</v>
      </c>
      <c r="V59" s="51" t="s">
        <v>50</v>
      </c>
      <c r="W59" s="51" t="s">
        <v>50</v>
      </c>
      <c r="X59" s="51" t="s">
        <v>50</v>
      </c>
      <c r="Y59" s="102"/>
    </row>
    <row r="60" spans="1:25" s="97" customFormat="1" x14ac:dyDescent="0.25">
      <c r="A60" s="821">
        <v>44384</v>
      </c>
      <c r="B60" s="51" t="s">
        <v>87</v>
      </c>
      <c r="C60" s="51" t="s">
        <v>62</v>
      </c>
      <c r="D60" s="870">
        <v>38.16798</v>
      </c>
      <c r="E60" s="870">
        <v>-122.04067000000001</v>
      </c>
      <c r="F60" s="51" t="s">
        <v>10067</v>
      </c>
      <c r="G60" s="51" t="s">
        <v>27</v>
      </c>
      <c r="H60" s="51" t="s">
        <v>62</v>
      </c>
      <c r="I60" s="66">
        <v>0.35694444444444445</v>
      </c>
      <c r="J60" s="428">
        <v>18731.75</v>
      </c>
      <c r="K60" s="428">
        <v>21.08</v>
      </c>
      <c r="L60" s="428">
        <v>41.2</v>
      </c>
      <c r="M60" s="428">
        <v>0.33</v>
      </c>
      <c r="N60" s="428">
        <v>6.32</v>
      </c>
      <c r="O60" s="51" t="s">
        <v>48</v>
      </c>
      <c r="P60" s="51">
        <v>4</v>
      </c>
      <c r="Q60" s="51">
        <v>10</v>
      </c>
      <c r="R60" s="51" t="s">
        <v>49</v>
      </c>
      <c r="S60" s="51" t="s">
        <v>50</v>
      </c>
      <c r="T60" s="51" t="s">
        <v>50</v>
      </c>
      <c r="U60" s="51" t="s">
        <v>50</v>
      </c>
      <c r="V60" s="51" t="s">
        <v>50</v>
      </c>
      <c r="W60" s="51" t="s">
        <v>50</v>
      </c>
      <c r="X60" s="51" t="s">
        <v>50</v>
      </c>
      <c r="Y60" s="102"/>
    </row>
    <row r="61" spans="1:25" s="153" customFormat="1" x14ac:dyDescent="0.25">
      <c r="A61" s="446">
        <v>44384</v>
      </c>
      <c r="B61" s="424" t="s">
        <v>87</v>
      </c>
      <c r="C61" s="424" t="s">
        <v>62</v>
      </c>
      <c r="D61" s="871">
        <v>38.092080000000003</v>
      </c>
      <c r="E61" s="871">
        <v>-121.88549999999999</v>
      </c>
      <c r="F61" s="424" t="s">
        <v>10068</v>
      </c>
      <c r="G61" s="424" t="s">
        <v>27</v>
      </c>
      <c r="H61" s="424" t="s">
        <v>62</v>
      </c>
      <c r="I61" s="425">
        <v>0.3444444444444445</v>
      </c>
      <c r="J61" s="427" t="s">
        <v>50</v>
      </c>
      <c r="K61" s="427" t="s">
        <v>50</v>
      </c>
      <c r="L61" s="427" t="s">
        <v>50</v>
      </c>
      <c r="M61" s="427" t="s">
        <v>50</v>
      </c>
      <c r="N61" s="427" t="s">
        <v>50</v>
      </c>
      <c r="O61" s="424" t="s">
        <v>48</v>
      </c>
      <c r="P61" s="424">
        <v>0</v>
      </c>
      <c r="Q61" s="424" t="s">
        <v>50</v>
      </c>
      <c r="R61" s="424" t="s">
        <v>50</v>
      </c>
      <c r="S61" s="424" t="s">
        <v>50</v>
      </c>
      <c r="T61" s="424" t="s">
        <v>50</v>
      </c>
      <c r="U61" s="424" t="s">
        <v>50</v>
      </c>
      <c r="V61" s="424" t="s">
        <v>50</v>
      </c>
      <c r="W61" s="424" t="s">
        <v>50</v>
      </c>
      <c r="X61" s="424" t="s">
        <v>50</v>
      </c>
      <c r="Y61" s="159" t="s">
        <v>10071</v>
      </c>
    </row>
    <row r="62" spans="1:25" s="97" customFormat="1" x14ac:dyDescent="0.25">
      <c r="A62" s="821">
        <v>44384</v>
      </c>
      <c r="B62" s="51" t="s">
        <v>87</v>
      </c>
      <c r="C62" s="51" t="s">
        <v>62</v>
      </c>
      <c r="D62" s="870">
        <v>38.128100000000003</v>
      </c>
      <c r="E62" s="870">
        <v>-122.05978</v>
      </c>
      <c r="F62" s="51" t="s">
        <v>10069</v>
      </c>
      <c r="G62" s="51" t="s">
        <v>27</v>
      </c>
      <c r="H62" s="51" t="s">
        <v>62</v>
      </c>
      <c r="I62" s="66">
        <v>0.48055555555555557</v>
      </c>
      <c r="J62" s="428">
        <v>22420.75</v>
      </c>
      <c r="K62" s="428">
        <v>20.170000000000002</v>
      </c>
      <c r="L62" s="428">
        <v>77.099999999999994</v>
      </c>
      <c r="M62" s="428">
        <v>0.2</v>
      </c>
      <c r="N62" s="428">
        <v>5.58</v>
      </c>
      <c r="O62" s="51" t="s">
        <v>48</v>
      </c>
      <c r="P62" s="51">
        <v>4</v>
      </c>
      <c r="Q62" s="51">
        <v>10</v>
      </c>
      <c r="R62" s="51" t="s">
        <v>64</v>
      </c>
      <c r="S62" s="51" t="s">
        <v>50</v>
      </c>
      <c r="T62" s="51" t="s">
        <v>50</v>
      </c>
      <c r="U62" s="51" t="s">
        <v>50</v>
      </c>
      <c r="V62" s="51" t="s">
        <v>50</v>
      </c>
      <c r="W62" s="51" t="s">
        <v>50</v>
      </c>
      <c r="X62" s="51" t="s">
        <v>50</v>
      </c>
      <c r="Y62" s="102"/>
    </row>
    <row r="63" spans="1:25" s="97" customFormat="1" x14ac:dyDescent="0.25">
      <c r="A63" s="821">
        <v>44385</v>
      </c>
      <c r="B63" s="51" t="s">
        <v>105</v>
      </c>
      <c r="C63" s="51" t="s">
        <v>88</v>
      </c>
      <c r="D63" s="870">
        <v>38.140470000000001</v>
      </c>
      <c r="E63" s="870">
        <v>-121.68957</v>
      </c>
      <c r="F63" s="51" t="s">
        <v>10072</v>
      </c>
      <c r="G63" s="51" t="s">
        <v>90</v>
      </c>
      <c r="H63" s="51" t="s">
        <v>91</v>
      </c>
      <c r="I63" s="66">
        <v>0.45277777777777778</v>
      </c>
      <c r="J63" s="428">
        <v>324.3</v>
      </c>
      <c r="K63" s="428">
        <v>22.3</v>
      </c>
      <c r="L63" s="428">
        <v>39.92</v>
      </c>
      <c r="M63" s="428">
        <v>0.87</v>
      </c>
      <c r="N63" s="428">
        <v>5.03</v>
      </c>
      <c r="O63" s="51" t="s">
        <v>48</v>
      </c>
      <c r="P63" s="51">
        <v>4</v>
      </c>
      <c r="Q63" s="51">
        <v>10</v>
      </c>
      <c r="R63" s="51" t="s">
        <v>49</v>
      </c>
      <c r="S63" s="51" t="s">
        <v>50</v>
      </c>
      <c r="T63" s="51" t="s">
        <v>50</v>
      </c>
      <c r="U63" s="51" t="s">
        <v>50</v>
      </c>
      <c r="V63" s="51" t="s">
        <v>50</v>
      </c>
      <c r="W63" s="51" t="s">
        <v>50</v>
      </c>
      <c r="X63" s="51" t="s">
        <v>50</v>
      </c>
      <c r="Y63" s="102"/>
    </row>
    <row r="64" spans="1:25" s="97" customFormat="1" x14ac:dyDescent="0.25">
      <c r="A64" s="821">
        <v>44385</v>
      </c>
      <c r="B64" s="51" t="s">
        <v>105</v>
      </c>
      <c r="C64" s="51" t="s">
        <v>88</v>
      </c>
      <c r="D64" s="870">
        <v>38.107779999999998</v>
      </c>
      <c r="E64" s="870">
        <v>-121.71341</v>
      </c>
      <c r="F64" s="51" t="s">
        <v>10073</v>
      </c>
      <c r="G64" s="51" t="s">
        <v>90</v>
      </c>
      <c r="H64" s="51" t="s">
        <v>91</v>
      </c>
      <c r="I64" s="66">
        <v>0.40208333333333335</v>
      </c>
      <c r="J64" s="428">
        <v>1133</v>
      </c>
      <c r="K64" s="428">
        <v>21.78</v>
      </c>
      <c r="L64" s="428">
        <v>42.03</v>
      </c>
      <c r="M64" s="428">
        <v>0.6</v>
      </c>
      <c r="N64" s="428">
        <v>6.05</v>
      </c>
      <c r="O64" s="51" t="s">
        <v>48</v>
      </c>
      <c r="P64" s="51">
        <v>4</v>
      </c>
      <c r="Q64" s="51">
        <v>10</v>
      </c>
      <c r="R64" s="51" t="s">
        <v>49</v>
      </c>
      <c r="S64" s="51" t="s">
        <v>50</v>
      </c>
      <c r="T64" s="51" t="s">
        <v>50</v>
      </c>
      <c r="U64" s="51" t="s">
        <v>50</v>
      </c>
      <c r="V64" s="51" t="s">
        <v>50</v>
      </c>
      <c r="W64" s="51" t="s">
        <v>50</v>
      </c>
      <c r="X64" s="51" t="s">
        <v>50</v>
      </c>
      <c r="Y64" s="102"/>
    </row>
    <row r="65" spans="1:25" s="97" customFormat="1" x14ac:dyDescent="0.25">
      <c r="A65" s="821">
        <v>44385</v>
      </c>
      <c r="B65" s="51" t="s">
        <v>105</v>
      </c>
      <c r="C65" s="51" t="s">
        <v>88</v>
      </c>
      <c r="D65" s="870">
        <v>38.071719999999999</v>
      </c>
      <c r="E65" s="870">
        <v>-121.76961</v>
      </c>
      <c r="F65" s="51" t="s">
        <v>10074</v>
      </c>
      <c r="G65" s="51" t="s">
        <v>27</v>
      </c>
      <c r="H65" s="51" t="s">
        <v>25</v>
      </c>
      <c r="I65" s="66">
        <v>0.34652777777777777</v>
      </c>
      <c r="J65" s="428">
        <v>5750.75</v>
      </c>
      <c r="K65" s="428">
        <v>20.58</v>
      </c>
      <c r="L65" s="428">
        <v>23.63</v>
      </c>
      <c r="M65" s="428">
        <v>0.74</v>
      </c>
      <c r="N65" s="428">
        <v>8.8800000000000008</v>
      </c>
      <c r="O65" s="51" t="s">
        <v>48</v>
      </c>
      <c r="P65" s="51">
        <v>4</v>
      </c>
      <c r="Q65" s="51">
        <v>10</v>
      </c>
      <c r="R65" s="51" t="s">
        <v>49</v>
      </c>
      <c r="S65" s="51" t="s">
        <v>50</v>
      </c>
      <c r="T65" s="51" t="s">
        <v>50</v>
      </c>
      <c r="U65" s="51" t="s">
        <v>50</v>
      </c>
      <c r="V65" s="51" t="s">
        <v>50</v>
      </c>
      <c r="W65" s="51" t="s">
        <v>50</v>
      </c>
      <c r="X65" s="51" t="s">
        <v>50</v>
      </c>
      <c r="Y65" s="35" t="s">
        <v>10082</v>
      </c>
    </row>
    <row r="66" spans="1:25" s="97" customFormat="1" x14ac:dyDescent="0.25">
      <c r="A66" s="821">
        <v>44385</v>
      </c>
      <c r="B66" s="51" t="s">
        <v>105</v>
      </c>
      <c r="C66" s="51" t="s">
        <v>106</v>
      </c>
      <c r="D66" s="870">
        <v>38.182470000000002</v>
      </c>
      <c r="E66" s="870">
        <v>-121.66330000000001</v>
      </c>
      <c r="F66" s="51" t="s">
        <v>10075</v>
      </c>
      <c r="G66" s="51" t="s">
        <v>90</v>
      </c>
      <c r="H66" s="51" t="s">
        <v>519</v>
      </c>
      <c r="I66" s="66">
        <v>0.54861111111111105</v>
      </c>
      <c r="J66" s="428">
        <v>169.08</v>
      </c>
      <c r="K66" s="428">
        <v>23.93</v>
      </c>
      <c r="L66" s="428">
        <v>15.79</v>
      </c>
      <c r="M66" s="428">
        <v>0.97</v>
      </c>
      <c r="N66" s="428">
        <v>9.5299999999999994</v>
      </c>
      <c r="O66" s="51" t="s">
        <v>48</v>
      </c>
      <c r="P66" s="51">
        <v>4</v>
      </c>
      <c r="Q66" s="51">
        <v>10</v>
      </c>
      <c r="R66" s="51" t="s">
        <v>64</v>
      </c>
      <c r="S66" s="51" t="s">
        <v>50</v>
      </c>
      <c r="T66" s="51" t="s">
        <v>50</v>
      </c>
      <c r="U66" s="51" t="s">
        <v>50</v>
      </c>
      <c r="V66" s="51" t="s">
        <v>50</v>
      </c>
      <c r="W66" s="51" t="s">
        <v>50</v>
      </c>
      <c r="X66" s="51" t="s">
        <v>50</v>
      </c>
      <c r="Y66" s="102"/>
    </row>
    <row r="67" spans="1:25" s="97" customFormat="1" x14ac:dyDescent="0.25">
      <c r="A67" s="821">
        <v>44385</v>
      </c>
      <c r="B67" s="51" t="s">
        <v>105</v>
      </c>
      <c r="C67" s="51" t="s">
        <v>106</v>
      </c>
      <c r="D67" s="870">
        <v>38.332630000000002</v>
      </c>
      <c r="E67" s="870">
        <v>-121.64709999999999</v>
      </c>
      <c r="F67" s="51" t="s">
        <v>10076</v>
      </c>
      <c r="G67" s="51" t="s">
        <v>90</v>
      </c>
      <c r="H67" s="51" t="s">
        <v>519</v>
      </c>
      <c r="I67" s="66">
        <v>0.45</v>
      </c>
      <c r="J67" s="428">
        <v>413.55</v>
      </c>
      <c r="K67" s="428">
        <v>21.8</v>
      </c>
      <c r="L67" s="428">
        <v>85.5</v>
      </c>
      <c r="M67" s="428">
        <v>0.19</v>
      </c>
      <c r="N67" s="428">
        <v>6.55</v>
      </c>
      <c r="O67" s="51" t="s">
        <v>48</v>
      </c>
      <c r="P67" s="51">
        <v>4</v>
      </c>
      <c r="Q67" s="51">
        <v>10</v>
      </c>
      <c r="R67" s="51" t="s">
        <v>49</v>
      </c>
      <c r="S67" s="51" t="s">
        <v>50</v>
      </c>
      <c r="T67" s="51" t="s">
        <v>50</v>
      </c>
      <c r="U67" s="51" t="s">
        <v>50</v>
      </c>
      <c r="V67" s="51" t="s">
        <v>50</v>
      </c>
      <c r="W67" s="51" t="s">
        <v>50</v>
      </c>
      <c r="X67" s="51" t="s">
        <v>50</v>
      </c>
      <c r="Y67" s="102" t="s">
        <v>10083</v>
      </c>
    </row>
    <row r="68" spans="1:25" s="97" customFormat="1" x14ac:dyDescent="0.25">
      <c r="A68" s="821">
        <v>44385</v>
      </c>
      <c r="B68" s="51" t="s">
        <v>105</v>
      </c>
      <c r="C68" s="51" t="s">
        <v>106</v>
      </c>
      <c r="D68" s="870">
        <v>38.527000000000001</v>
      </c>
      <c r="E68" s="870">
        <v>-121.58446000000001</v>
      </c>
      <c r="F68" s="51" t="s">
        <v>10077</v>
      </c>
      <c r="G68" s="51" t="s">
        <v>90</v>
      </c>
      <c r="H68" s="51" t="s">
        <v>722</v>
      </c>
      <c r="I68" s="66">
        <v>0.36041666666666666</v>
      </c>
      <c r="J68" s="428">
        <v>1039.25</v>
      </c>
      <c r="K68" s="428">
        <v>23.47</v>
      </c>
      <c r="L68" s="428">
        <v>15.42</v>
      </c>
      <c r="M68" s="428">
        <v>0.61</v>
      </c>
      <c r="N68" s="428">
        <v>11.2</v>
      </c>
      <c r="O68" s="51" t="s">
        <v>48</v>
      </c>
      <c r="P68" s="51">
        <v>4</v>
      </c>
      <c r="Q68" s="51">
        <v>10</v>
      </c>
      <c r="R68" s="51" t="s">
        <v>49</v>
      </c>
      <c r="S68" s="51" t="s">
        <v>50</v>
      </c>
      <c r="T68" s="51" t="s">
        <v>50</v>
      </c>
      <c r="U68" s="51" t="s">
        <v>50</v>
      </c>
      <c r="V68" s="51" t="s">
        <v>50</v>
      </c>
      <c r="W68" s="51" t="s">
        <v>50</v>
      </c>
      <c r="X68" s="51" t="s">
        <v>50</v>
      </c>
      <c r="Y68" s="102" t="s">
        <v>10081</v>
      </c>
    </row>
    <row r="69" spans="1:25" s="1111" customFormat="1" x14ac:dyDescent="0.25">
      <c r="A69" s="855">
        <v>44385</v>
      </c>
      <c r="B69" s="450" t="s">
        <v>105</v>
      </c>
      <c r="C69" s="450" t="s">
        <v>78</v>
      </c>
      <c r="D69" s="881">
        <v>38.075380000000003</v>
      </c>
      <c r="E69" s="881">
        <v>-122.0839</v>
      </c>
      <c r="F69" s="450" t="s">
        <v>10078</v>
      </c>
      <c r="G69" s="450" t="s">
        <v>80</v>
      </c>
      <c r="H69" s="450" t="s">
        <v>81</v>
      </c>
      <c r="I69" s="451">
        <v>0.35416666666666669</v>
      </c>
      <c r="J69" s="452">
        <v>24827.5</v>
      </c>
      <c r="K69" s="452">
        <v>19.7</v>
      </c>
      <c r="L69" s="452">
        <v>84.9</v>
      </c>
      <c r="M69" s="452">
        <v>0.24</v>
      </c>
      <c r="N69" s="452">
        <v>6.35</v>
      </c>
      <c r="O69" s="450" t="s">
        <v>48</v>
      </c>
      <c r="P69" s="450">
        <v>4</v>
      </c>
      <c r="Q69" s="450">
        <v>10</v>
      </c>
      <c r="R69" s="450" t="s">
        <v>49</v>
      </c>
      <c r="S69" s="858" t="s">
        <v>31</v>
      </c>
      <c r="T69" s="450">
        <v>1</v>
      </c>
      <c r="U69" s="859">
        <v>42</v>
      </c>
      <c r="V69" s="450" t="s">
        <v>50</v>
      </c>
      <c r="W69" s="450" t="s">
        <v>50</v>
      </c>
      <c r="X69" s="450" t="s">
        <v>228</v>
      </c>
      <c r="Y69" s="1110"/>
    </row>
    <row r="70" spans="1:25" s="97" customFormat="1" x14ac:dyDescent="0.25">
      <c r="A70" s="821">
        <v>44385</v>
      </c>
      <c r="B70" s="51" t="s">
        <v>105</v>
      </c>
      <c r="C70" s="51" t="s">
        <v>78</v>
      </c>
      <c r="D70" s="870">
        <v>38.031840000000003</v>
      </c>
      <c r="E70" s="870">
        <v>-121.83119000000001</v>
      </c>
      <c r="F70" s="51" t="s">
        <v>10079</v>
      </c>
      <c r="G70" s="51" t="s">
        <v>27</v>
      </c>
      <c r="H70" s="51" t="s">
        <v>101</v>
      </c>
      <c r="I70" s="66">
        <v>0.48333333333333334</v>
      </c>
      <c r="J70" s="428">
        <v>4447.25</v>
      </c>
      <c r="K70" s="428">
        <v>21.8</v>
      </c>
      <c r="L70" s="428">
        <v>13.53</v>
      </c>
      <c r="M70" s="428">
        <v>1.1399999999999999</v>
      </c>
      <c r="N70" s="428">
        <v>13.38</v>
      </c>
      <c r="O70" s="51" t="s">
        <v>48</v>
      </c>
      <c r="P70" s="51">
        <v>4</v>
      </c>
      <c r="Q70" s="51">
        <v>10</v>
      </c>
      <c r="R70" s="51" t="s">
        <v>49</v>
      </c>
      <c r="S70" s="51" t="s">
        <v>50</v>
      </c>
      <c r="T70" s="51" t="s">
        <v>50</v>
      </c>
      <c r="U70" s="51" t="s">
        <v>50</v>
      </c>
      <c r="V70" s="51" t="s">
        <v>50</v>
      </c>
      <c r="W70" s="51" t="s">
        <v>50</v>
      </c>
      <c r="X70" s="51" t="s">
        <v>50</v>
      </c>
      <c r="Y70" s="102"/>
    </row>
    <row r="71" spans="1:25" s="153" customFormat="1" x14ac:dyDescent="0.25">
      <c r="A71" s="821">
        <v>44385</v>
      </c>
      <c r="B71" s="51" t="s">
        <v>105</v>
      </c>
      <c r="C71" s="51" t="s">
        <v>78</v>
      </c>
      <c r="D71" s="870">
        <v>38.064149999999998</v>
      </c>
      <c r="E71" s="870">
        <v>-121.97342999999999</v>
      </c>
      <c r="F71" s="51" t="s">
        <v>10080</v>
      </c>
      <c r="G71" s="51" t="s">
        <v>27</v>
      </c>
      <c r="H71" s="51" t="s">
        <v>86</v>
      </c>
      <c r="I71" s="66">
        <v>0.4201388888888889</v>
      </c>
      <c r="J71" s="428">
        <v>14588.75</v>
      </c>
      <c r="K71" s="428">
        <v>20.5</v>
      </c>
      <c r="L71" s="428">
        <v>48.38</v>
      </c>
      <c r="M71" s="428">
        <v>0.54</v>
      </c>
      <c r="N71" s="428">
        <v>6.61</v>
      </c>
      <c r="O71" s="51" t="s">
        <v>48</v>
      </c>
      <c r="P71" s="51">
        <v>4</v>
      </c>
      <c r="Q71" s="51">
        <v>10</v>
      </c>
      <c r="R71" s="51" t="s">
        <v>49</v>
      </c>
      <c r="S71" s="51" t="s">
        <v>50</v>
      </c>
      <c r="T71" s="51" t="s">
        <v>50</v>
      </c>
      <c r="U71" s="51" t="s">
        <v>50</v>
      </c>
      <c r="V71" s="51" t="s">
        <v>50</v>
      </c>
      <c r="W71" s="51" t="s">
        <v>50</v>
      </c>
      <c r="X71" s="51" t="s">
        <v>50</v>
      </c>
    </row>
    <row r="72" spans="1:25" s="97" customFormat="1" x14ac:dyDescent="0.25">
      <c r="A72" s="821">
        <v>44386</v>
      </c>
      <c r="B72" s="51" t="s">
        <v>125</v>
      </c>
      <c r="C72" s="51" t="s">
        <v>88</v>
      </c>
      <c r="D72" s="870">
        <v>38.097499999999997</v>
      </c>
      <c r="E72" s="870">
        <v>-121.72031</v>
      </c>
      <c r="F72" s="51" t="s">
        <v>10084</v>
      </c>
      <c r="G72" s="51" t="s">
        <v>90</v>
      </c>
      <c r="H72" s="51" t="s">
        <v>91</v>
      </c>
      <c r="I72" s="66">
        <v>0.41805555555555557</v>
      </c>
      <c r="J72" s="51">
        <v>2464</v>
      </c>
      <c r="K72" s="51">
        <v>22.17</v>
      </c>
      <c r="L72" s="51">
        <v>53.33</v>
      </c>
      <c r="M72" s="51">
        <v>0.56000000000000005</v>
      </c>
      <c r="N72" s="51">
        <v>4.53</v>
      </c>
      <c r="O72" s="51" t="s">
        <v>48</v>
      </c>
      <c r="P72" s="51">
        <v>3</v>
      </c>
      <c r="Q72" s="51">
        <v>10</v>
      </c>
      <c r="R72" s="51" t="s">
        <v>49</v>
      </c>
      <c r="S72" s="51" t="s">
        <v>50</v>
      </c>
      <c r="T72" s="51" t="s">
        <v>50</v>
      </c>
      <c r="U72" s="51" t="s">
        <v>50</v>
      </c>
      <c r="V72" s="51" t="s">
        <v>50</v>
      </c>
      <c r="W72" s="51" t="s">
        <v>50</v>
      </c>
      <c r="X72" s="51" t="s">
        <v>50</v>
      </c>
      <c r="Y72" s="102"/>
    </row>
    <row r="73" spans="1:25" s="97" customFormat="1" x14ac:dyDescent="0.25">
      <c r="A73" s="821">
        <v>44386</v>
      </c>
      <c r="B73" s="51" t="s">
        <v>125</v>
      </c>
      <c r="C73" s="51" t="s">
        <v>88</v>
      </c>
      <c r="D73" s="870">
        <v>38.119430000000001</v>
      </c>
      <c r="E73" s="870">
        <v>-121.6972</v>
      </c>
      <c r="F73" s="51" t="s">
        <v>10085</v>
      </c>
      <c r="G73" s="51" t="s">
        <v>90</v>
      </c>
      <c r="H73" s="51" t="s">
        <v>91</v>
      </c>
      <c r="I73" s="66">
        <v>0.4694444444444445</v>
      </c>
      <c r="J73" s="51">
        <v>582.25</v>
      </c>
      <c r="K73" s="51">
        <v>22.92</v>
      </c>
      <c r="L73" s="51">
        <v>38.32</v>
      </c>
      <c r="M73" s="51">
        <v>0.8</v>
      </c>
      <c r="N73" s="51">
        <v>3.08</v>
      </c>
      <c r="O73" s="51" t="s">
        <v>48</v>
      </c>
      <c r="P73" s="51">
        <v>4</v>
      </c>
      <c r="Q73" s="51">
        <v>10</v>
      </c>
      <c r="R73" s="51" t="s">
        <v>49</v>
      </c>
      <c r="S73" s="51" t="s">
        <v>50</v>
      </c>
      <c r="T73" s="51" t="s">
        <v>50</v>
      </c>
      <c r="U73" s="51" t="s">
        <v>50</v>
      </c>
      <c r="V73" s="51" t="s">
        <v>50</v>
      </c>
      <c r="W73" s="51" t="s">
        <v>50</v>
      </c>
      <c r="X73" s="51" t="s">
        <v>50</v>
      </c>
      <c r="Y73" s="102"/>
    </row>
    <row r="74" spans="1:25" s="97" customFormat="1" x14ac:dyDescent="0.25">
      <c r="A74" s="821">
        <v>44386</v>
      </c>
      <c r="B74" s="51" t="s">
        <v>125</v>
      </c>
      <c r="C74" s="51" t="s">
        <v>88</v>
      </c>
      <c r="D74" s="870">
        <v>38.060029999999998</v>
      </c>
      <c r="E74" s="870">
        <v>-121.85912999999999</v>
      </c>
      <c r="F74" s="51" t="s">
        <v>10086</v>
      </c>
      <c r="G74" s="51" t="s">
        <v>27</v>
      </c>
      <c r="H74" s="51" t="s">
        <v>25</v>
      </c>
      <c r="I74" s="66">
        <v>0.35347222222222219</v>
      </c>
      <c r="J74" s="51">
        <v>8651.33</v>
      </c>
      <c r="K74" s="51">
        <v>21.07</v>
      </c>
      <c r="L74" s="51">
        <v>26.07</v>
      </c>
      <c r="M74" s="51">
        <v>0.77</v>
      </c>
      <c r="N74" s="51">
        <v>9.4700000000000006</v>
      </c>
      <c r="O74" s="51" t="s">
        <v>48</v>
      </c>
      <c r="P74" s="51">
        <v>3</v>
      </c>
      <c r="Q74" s="51">
        <v>10</v>
      </c>
      <c r="R74" s="51" t="s">
        <v>49</v>
      </c>
      <c r="S74" s="51" t="s">
        <v>50</v>
      </c>
      <c r="T74" s="51" t="s">
        <v>50</v>
      </c>
      <c r="U74" s="51" t="s">
        <v>50</v>
      </c>
      <c r="V74" s="51" t="s">
        <v>50</v>
      </c>
      <c r="W74" s="51" t="s">
        <v>50</v>
      </c>
      <c r="X74" s="51" t="s">
        <v>50</v>
      </c>
      <c r="Y74" s="102"/>
    </row>
    <row r="75" spans="1:25" s="153" customFormat="1" x14ac:dyDescent="0.25">
      <c r="A75" s="446">
        <v>44386</v>
      </c>
      <c r="B75" s="424" t="s">
        <v>125</v>
      </c>
      <c r="C75" s="424" t="s">
        <v>88</v>
      </c>
      <c r="D75" s="871">
        <v>38.053460000000001</v>
      </c>
      <c r="E75" s="871">
        <v>-121.78444</v>
      </c>
      <c r="F75" s="424" t="s">
        <v>10087</v>
      </c>
      <c r="G75" s="424" t="s">
        <v>27</v>
      </c>
      <c r="H75" s="424" t="s">
        <v>25</v>
      </c>
      <c r="I75" s="425">
        <v>0.40486111111111112</v>
      </c>
      <c r="J75" s="424" t="s">
        <v>50</v>
      </c>
      <c r="K75" s="424" t="s">
        <v>50</v>
      </c>
      <c r="L75" s="424" t="s">
        <v>50</v>
      </c>
      <c r="M75" s="424" t="s">
        <v>50</v>
      </c>
      <c r="N75" s="424" t="s">
        <v>50</v>
      </c>
      <c r="O75" s="424" t="s">
        <v>48</v>
      </c>
      <c r="P75" s="424">
        <v>0</v>
      </c>
      <c r="Q75" s="424" t="s">
        <v>50</v>
      </c>
      <c r="R75" s="424" t="s">
        <v>50</v>
      </c>
      <c r="S75" s="424" t="s">
        <v>50</v>
      </c>
      <c r="T75" s="424" t="s">
        <v>50</v>
      </c>
      <c r="U75" s="424" t="s">
        <v>50</v>
      </c>
      <c r="V75" s="424" t="s">
        <v>50</v>
      </c>
      <c r="W75" s="424" t="s">
        <v>50</v>
      </c>
      <c r="X75" s="424" t="s">
        <v>50</v>
      </c>
      <c r="Y75" s="152" t="s">
        <v>10095</v>
      </c>
    </row>
    <row r="76" spans="1:25" s="97" customFormat="1" x14ac:dyDescent="0.25">
      <c r="A76" s="821">
        <v>44386</v>
      </c>
      <c r="B76" s="51" t="s">
        <v>125</v>
      </c>
      <c r="C76" s="51" t="s">
        <v>88</v>
      </c>
      <c r="D76" s="870">
        <v>38.097720000000002</v>
      </c>
      <c r="E76" s="870">
        <v>-121.72075</v>
      </c>
      <c r="F76" s="51" t="s">
        <v>10084</v>
      </c>
      <c r="G76" s="51" t="s">
        <v>27</v>
      </c>
      <c r="H76" s="51" t="s">
        <v>25</v>
      </c>
      <c r="I76" s="66">
        <v>0.4291666666666667</v>
      </c>
      <c r="J76" s="51">
        <v>2643</v>
      </c>
      <c r="K76" s="51">
        <v>22.1</v>
      </c>
      <c r="L76" s="51">
        <v>56.8</v>
      </c>
      <c r="M76" s="51">
        <v>0.56999999999999995</v>
      </c>
      <c r="N76" s="51">
        <v>0.56999999999999995</v>
      </c>
      <c r="O76" s="51" t="s">
        <v>48</v>
      </c>
      <c r="P76" s="51">
        <v>1</v>
      </c>
      <c r="Q76" s="51">
        <v>10</v>
      </c>
      <c r="R76" s="51" t="s">
        <v>49</v>
      </c>
      <c r="S76" s="51" t="s">
        <v>50</v>
      </c>
      <c r="T76" s="51" t="s">
        <v>50</v>
      </c>
      <c r="U76" s="51" t="s">
        <v>50</v>
      </c>
      <c r="V76" s="51" t="s">
        <v>50</v>
      </c>
      <c r="W76" s="51" t="s">
        <v>50</v>
      </c>
      <c r="X76" s="51" t="s">
        <v>50</v>
      </c>
      <c r="Y76" s="102"/>
    </row>
    <row r="77" spans="1:25" s="97" customFormat="1" x14ac:dyDescent="0.25">
      <c r="A77" s="1094">
        <v>44386</v>
      </c>
      <c r="B77" s="54" t="s">
        <v>125</v>
      </c>
      <c r="C77" s="54" t="s">
        <v>106</v>
      </c>
      <c r="D77" s="925">
        <v>38.460079999999998</v>
      </c>
      <c r="E77" s="925">
        <v>-121.58926</v>
      </c>
      <c r="F77" s="54" t="s">
        <v>10088</v>
      </c>
      <c r="G77" s="54" t="s">
        <v>90</v>
      </c>
      <c r="H77" s="54" t="s">
        <v>519</v>
      </c>
      <c r="I77" s="55">
        <v>0.43055555555555558</v>
      </c>
      <c r="J77" s="54">
        <v>806.5</v>
      </c>
      <c r="K77" s="54">
        <v>23.1</v>
      </c>
      <c r="L77" s="54">
        <v>33.700000000000003</v>
      </c>
      <c r="M77" s="54">
        <v>0.42</v>
      </c>
      <c r="N77" s="54">
        <v>7.3</v>
      </c>
      <c r="O77" s="54" t="s">
        <v>48</v>
      </c>
      <c r="P77" s="54">
        <v>2</v>
      </c>
      <c r="Q77" s="54">
        <v>10</v>
      </c>
      <c r="R77" s="54" t="s">
        <v>49</v>
      </c>
      <c r="S77" s="976" t="s">
        <v>50</v>
      </c>
      <c r="T77" s="976" t="s">
        <v>50</v>
      </c>
      <c r="U77" s="1105" t="s">
        <v>50</v>
      </c>
      <c r="V77" s="54" t="s">
        <v>50</v>
      </c>
      <c r="W77" s="54" t="s">
        <v>50</v>
      </c>
      <c r="X77" s="54" t="s">
        <v>228</v>
      </c>
      <c r="Y77" s="102" t="s">
        <v>10096</v>
      </c>
    </row>
    <row r="78" spans="1:25" s="97" customFormat="1" x14ac:dyDescent="0.25">
      <c r="A78" s="821">
        <v>44386</v>
      </c>
      <c r="B78" s="51" t="s">
        <v>125</v>
      </c>
      <c r="C78" s="51" t="s">
        <v>106</v>
      </c>
      <c r="D78" s="870">
        <v>38.281739999999999</v>
      </c>
      <c r="E78" s="870">
        <v>-121.65969</v>
      </c>
      <c r="F78" s="51" t="s">
        <v>10089</v>
      </c>
      <c r="G78" s="51" t="s">
        <v>90</v>
      </c>
      <c r="H78" s="51" t="s">
        <v>519</v>
      </c>
      <c r="I78" s="66">
        <v>0.50416666666666665</v>
      </c>
      <c r="J78" s="51">
        <v>323.23</v>
      </c>
      <c r="K78" s="51">
        <v>23.05</v>
      </c>
      <c r="L78" s="51">
        <v>36.700000000000003</v>
      </c>
      <c r="M78" s="51">
        <v>0.4</v>
      </c>
      <c r="N78" s="51">
        <v>10.55</v>
      </c>
      <c r="O78" s="51" t="s">
        <v>48</v>
      </c>
      <c r="P78" s="51">
        <v>4</v>
      </c>
      <c r="Q78" s="51">
        <v>10</v>
      </c>
      <c r="R78" s="51" t="s">
        <v>49</v>
      </c>
      <c r="S78" s="51" t="s">
        <v>50</v>
      </c>
      <c r="T78" s="51" t="s">
        <v>50</v>
      </c>
      <c r="U78" s="51" t="s">
        <v>50</v>
      </c>
      <c r="V78" s="51" t="s">
        <v>50</v>
      </c>
      <c r="W78" s="51" t="s">
        <v>50</v>
      </c>
      <c r="X78" s="51" t="s">
        <v>50</v>
      </c>
      <c r="Y78" s="102" t="s">
        <v>10119</v>
      </c>
    </row>
    <row r="79" spans="1:25" s="97" customFormat="1" x14ac:dyDescent="0.25">
      <c r="A79" s="821">
        <v>44386</v>
      </c>
      <c r="B79" s="51" t="s">
        <v>125</v>
      </c>
      <c r="C79" s="51" t="s">
        <v>106</v>
      </c>
      <c r="D79" s="870">
        <v>38.5593</v>
      </c>
      <c r="E79" s="870">
        <v>-121.56656</v>
      </c>
      <c r="F79" s="51" t="s">
        <v>10090</v>
      </c>
      <c r="G79" s="51" t="s">
        <v>90</v>
      </c>
      <c r="H79" s="51" t="s">
        <v>722</v>
      </c>
      <c r="I79" s="66">
        <v>0.36249999999999999</v>
      </c>
      <c r="J79" s="51">
        <v>1197.25</v>
      </c>
      <c r="K79" s="51">
        <v>25.4</v>
      </c>
      <c r="L79" s="51">
        <v>3.06</v>
      </c>
      <c r="M79" s="51">
        <v>1.91</v>
      </c>
      <c r="N79" s="51">
        <v>9.6</v>
      </c>
      <c r="O79" s="51" t="s">
        <v>48</v>
      </c>
      <c r="P79" s="51">
        <v>4</v>
      </c>
      <c r="Q79" s="51">
        <v>10</v>
      </c>
      <c r="R79" s="51" t="s">
        <v>49</v>
      </c>
      <c r="S79" s="51" t="s">
        <v>50</v>
      </c>
      <c r="T79" s="51" t="s">
        <v>50</v>
      </c>
      <c r="U79" s="51" t="s">
        <v>50</v>
      </c>
      <c r="V79" s="51" t="s">
        <v>50</v>
      </c>
      <c r="W79" s="51" t="s">
        <v>50</v>
      </c>
      <c r="X79" s="51" t="s">
        <v>50</v>
      </c>
      <c r="Y79" s="102"/>
    </row>
    <row r="80" spans="1:25" s="1111" customFormat="1" x14ac:dyDescent="0.25">
      <c r="A80" s="828">
        <v>44386</v>
      </c>
      <c r="B80" s="825" t="s">
        <v>125</v>
      </c>
      <c r="C80" s="825" t="s">
        <v>78</v>
      </c>
      <c r="D80" s="1109">
        <v>38.061030000000002</v>
      </c>
      <c r="E80" s="1109">
        <v>-122.11429</v>
      </c>
      <c r="F80" s="825" t="s">
        <v>10091</v>
      </c>
      <c r="G80" s="825" t="s">
        <v>80</v>
      </c>
      <c r="H80" s="825" t="s">
        <v>81</v>
      </c>
      <c r="I80" s="826">
        <v>0.34722222222222227</v>
      </c>
      <c r="J80" s="825">
        <v>26193.75</v>
      </c>
      <c r="K80" s="825">
        <v>20.32</v>
      </c>
      <c r="L80" s="825">
        <v>178.15</v>
      </c>
      <c r="M80" s="825">
        <v>0.14000000000000001</v>
      </c>
      <c r="N80" s="825">
        <v>5.68</v>
      </c>
      <c r="O80" s="825" t="s">
        <v>48</v>
      </c>
      <c r="P80" s="825">
        <v>4</v>
      </c>
      <c r="Q80" s="825">
        <v>10</v>
      </c>
      <c r="R80" s="825" t="s">
        <v>49</v>
      </c>
      <c r="S80" s="829" t="s">
        <v>31</v>
      </c>
      <c r="T80" s="825">
        <v>2</v>
      </c>
      <c r="U80" s="825" t="s">
        <v>10092</v>
      </c>
      <c r="V80" s="825" t="s">
        <v>50</v>
      </c>
      <c r="W80" s="825" t="s">
        <v>50</v>
      </c>
      <c r="X80" s="825" t="s">
        <v>228</v>
      </c>
      <c r="Y80" s="1110"/>
    </row>
    <row r="81" spans="1:25" s="1111" customFormat="1" x14ac:dyDescent="0.25">
      <c r="A81" s="855">
        <v>44386</v>
      </c>
      <c r="B81" s="450" t="s">
        <v>125</v>
      </c>
      <c r="C81" s="450" t="s">
        <v>78</v>
      </c>
      <c r="D81" s="881">
        <v>38.061030000000002</v>
      </c>
      <c r="E81" s="881">
        <v>-122.11429</v>
      </c>
      <c r="F81" s="450" t="s">
        <v>10091</v>
      </c>
      <c r="G81" s="450" t="s">
        <v>80</v>
      </c>
      <c r="H81" s="450" t="s">
        <v>81</v>
      </c>
      <c r="I81" s="451">
        <v>0.34722222222222227</v>
      </c>
      <c r="J81" s="450">
        <v>26193.75</v>
      </c>
      <c r="K81" s="450">
        <v>20.32</v>
      </c>
      <c r="L81" s="450">
        <v>178.15</v>
      </c>
      <c r="M81" s="450">
        <v>0.14000000000000001</v>
      </c>
      <c r="N81" s="450">
        <v>5.68</v>
      </c>
      <c r="O81" s="450" t="s">
        <v>48</v>
      </c>
      <c r="P81" s="450">
        <v>4</v>
      </c>
      <c r="Q81" s="450">
        <v>10</v>
      </c>
      <c r="R81" s="450" t="s">
        <v>49</v>
      </c>
      <c r="S81" s="858" t="s">
        <v>31</v>
      </c>
      <c r="T81" s="450">
        <v>1</v>
      </c>
      <c r="U81" s="859">
        <v>76</v>
      </c>
      <c r="V81" s="450" t="s">
        <v>66</v>
      </c>
      <c r="W81" s="450" t="s">
        <v>50</v>
      </c>
      <c r="X81" s="450" t="s">
        <v>228</v>
      </c>
      <c r="Y81" s="1110"/>
    </row>
    <row r="82" spans="1:25" s="97" customFormat="1" x14ac:dyDescent="0.25">
      <c r="A82" s="821">
        <v>44386</v>
      </c>
      <c r="B82" s="51" t="s">
        <v>125</v>
      </c>
      <c r="C82" s="51" t="s">
        <v>78</v>
      </c>
      <c r="D82" s="870">
        <v>38.060229999999997</v>
      </c>
      <c r="E82" s="870">
        <v>-121.86151</v>
      </c>
      <c r="F82" s="51" t="s">
        <v>10093</v>
      </c>
      <c r="G82" s="51" t="s">
        <v>27</v>
      </c>
      <c r="H82" s="51" t="s">
        <v>101</v>
      </c>
      <c r="I82" s="66">
        <v>0.4694444444444445</v>
      </c>
      <c r="J82" s="51">
        <v>8035</v>
      </c>
      <c r="K82" s="51">
        <v>21.85</v>
      </c>
      <c r="L82" s="51">
        <v>18.55</v>
      </c>
      <c r="M82" s="51">
        <v>0.94</v>
      </c>
      <c r="N82" s="51">
        <v>10.78</v>
      </c>
      <c r="O82" s="51" t="s">
        <v>48</v>
      </c>
      <c r="P82" s="51">
        <v>4</v>
      </c>
      <c r="Q82" s="51">
        <v>10</v>
      </c>
      <c r="R82" s="51" t="s">
        <v>49</v>
      </c>
      <c r="S82" s="51" t="s">
        <v>50</v>
      </c>
      <c r="T82" s="51" t="s">
        <v>50</v>
      </c>
      <c r="U82" s="51" t="s">
        <v>50</v>
      </c>
      <c r="V82" s="51" t="s">
        <v>50</v>
      </c>
      <c r="W82" s="51" t="s">
        <v>50</v>
      </c>
      <c r="X82" s="51" t="s">
        <v>50</v>
      </c>
      <c r="Y82" s="102"/>
    </row>
    <row r="83" spans="1:25" s="361" customFormat="1" x14ac:dyDescent="0.25">
      <c r="A83" s="853">
        <v>44386</v>
      </c>
      <c r="B83" s="74" t="s">
        <v>125</v>
      </c>
      <c r="C83" s="74" t="s">
        <v>78</v>
      </c>
      <c r="D83" s="882">
        <v>38.071060000000003</v>
      </c>
      <c r="E83" s="882">
        <v>-121.99442999999999</v>
      </c>
      <c r="F83" s="74" t="s">
        <v>10094</v>
      </c>
      <c r="G83" s="74" t="s">
        <v>27</v>
      </c>
      <c r="H83" s="74" t="s">
        <v>86</v>
      </c>
      <c r="I83" s="73">
        <v>0.41180555555555554</v>
      </c>
      <c r="J83" s="74">
        <v>17456</v>
      </c>
      <c r="K83" s="74">
        <v>20.95</v>
      </c>
      <c r="L83" s="74">
        <v>65.83</v>
      </c>
      <c r="M83" s="74">
        <v>0.37</v>
      </c>
      <c r="N83" s="74">
        <v>5.0999999999999996</v>
      </c>
      <c r="O83" s="74" t="s">
        <v>48</v>
      </c>
      <c r="P83" s="74">
        <v>4</v>
      </c>
      <c r="Q83" s="74">
        <v>10</v>
      </c>
      <c r="R83" s="74" t="s">
        <v>49</v>
      </c>
      <c r="S83" s="74" t="s">
        <v>50</v>
      </c>
      <c r="T83" s="74" t="s">
        <v>50</v>
      </c>
      <c r="U83" s="74" t="s">
        <v>50</v>
      </c>
      <c r="V83" s="74" t="s">
        <v>50</v>
      </c>
      <c r="W83" s="74" t="s">
        <v>50</v>
      </c>
      <c r="X83" s="74" t="s">
        <v>50</v>
      </c>
      <c r="Y83" s="366"/>
    </row>
    <row r="84" spans="1:25" s="97" customFormat="1" x14ac:dyDescent="0.25">
      <c r="A84" s="821">
        <v>44389</v>
      </c>
      <c r="B84" s="51" t="s">
        <v>43</v>
      </c>
      <c r="C84" s="51" t="s">
        <v>88</v>
      </c>
      <c r="D84" s="870">
        <v>38.101370000000003</v>
      </c>
      <c r="E84" s="870">
        <v>-121.72497</v>
      </c>
      <c r="F84" s="51" t="s">
        <v>10097</v>
      </c>
      <c r="G84" s="51" t="s">
        <v>90</v>
      </c>
      <c r="H84" s="51" t="s">
        <v>91</v>
      </c>
      <c r="I84" s="66">
        <v>0.47083333333333338</v>
      </c>
      <c r="J84" s="428">
        <v>2371.75</v>
      </c>
      <c r="K84" s="428">
        <v>22.32</v>
      </c>
      <c r="L84" s="428">
        <v>54.25</v>
      </c>
      <c r="M84" s="428">
        <v>0.48</v>
      </c>
      <c r="N84" s="428">
        <v>7.93</v>
      </c>
      <c r="O84" s="51" t="s">
        <v>48</v>
      </c>
      <c r="P84" s="51">
        <v>4</v>
      </c>
      <c r="Q84" s="51">
        <v>10</v>
      </c>
      <c r="R84" s="51" t="s">
        <v>49</v>
      </c>
      <c r="S84" s="51" t="s">
        <v>50</v>
      </c>
      <c r="T84" s="51" t="s">
        <v>50</v>
      </c>
      <c r="U84" s="51" t="s">
        <v>50</v>
      </c>
      <c r="V84" s="51" t="s">
        <v>50</v>
      </c>
      <c r="W84" s="51" t="s">
        <v>50</v>
      </c>
      <c r="X84" s="51" t="s">
        <v>50</v>
      </c>
      <c r="Y84" s="102"/>
    </row>
    <row r="85" spans="1:25" s="194" customFormat="1" x14ac:dyDescent="0.25">
      <c r="A85" s="821">
        <v>44389</v>
      </c>
      <c r="B85" s="51" t="s">
        <v>43</v>
      </c>
      <c r="C85" s="51" t="s">
        <v>88</v>
      </c>
      <c r="D85" s="870">
        <v>38.058430000000001</v>
      </c>
      <c r="E85" s="870">
        <v>-121.81704000000001</v>
      </c>
      <c r="F85" s="51" t="s">
        <v>10098</v>
      </c>
      <c r="G85" s="51" t="s">
        <v>27</v>
      </c>
      <c r="H85" s="51" t="s">
        <v>25</v>
      </c>
      <c r="I85" s="66">
        <v>0.35625000000000001</v>
      </c>
      <c r="J85" s="428">
        <v>12256.5</v>
      </c>
      <c r="K85" s="428">
        <v>20.92</v>
      </c>
      <c r="L85" s="428">
        <v>20.61</v>
      </c>
      <c r="M85" s="428">
        <v>0.8</v>
      </c>
      <c r="N85" s="428">
        <v>10.6</v>
      </c>
      <c r="O85" s="51" t="s">
        <v>48</v>
      </c>
      <c r="P85" s="51">
        <v>4</v>
      </c>
      <c r="Q85" s="51">
        <v>10</v>
      </c>
      <c r="R85" s="51" t="s">
        <v>49</v>
      </c>
      <c r="S85" s="51" t="s">
        <v>50</v>
      </c>
      <c r="T85" s="51" t="s">
        <v>50</v>
      </c>
      <c r="U85" s="51" t="s">
        <v>50</v>
      </c>
      <c r="V85" s="51" t="s">
        <v>50</v>
      </c>
      <c r="W85" s="51" t="s">
        <v>50</v>
      </c>
      <c r="X85" s="51" t="s">
        <v>50</v>
      </c>
    </row>
    <row r="86" spans="1:25" s="97" customFormat="1" x14ac:dyDescent="0.25">
      <c r="A86" s="821">
        <v>44389</v>
      </c>
      <c r="B86" s="51" t="s">
        <v>43</v>
      </c>
      <c r="C86" s="51" t="s">
        <v>88</v>
      </c>
      <c r="D86" s="870">
        <v>38.07647</v>
      </c>
      <c r="E86" s="870">
        <v>-121.76075</v>
      </c>
      <c r="F86" s="51" t="s">
        <v>10099</v>
      </c>
      <c r="G86" s="51" t="s">
        <v>27</v>
      </c>
      <c r="H86" s="51" t="s">
        <v>25</v>
      </c>
      <c r="I86" s="66">
        <v>0.41597222222222219</v>
      </c>
      <c r="J86" s="428">
        <v>6797.5</v>
      </c>
      <c r="K86" s="428">
        <v>21.47</v>
      </c>
      <c r="L86" s="428">
        <v>38.1</v>
      </c>
      <c r="M86" s="428">
        <v>0.69</v>
      </c>
      <c r="N86" s="428">
        <v>8.85</v>
      </c>
      <c r="O86" s="51" t="s">
        <v>48</v>
      </c>
      <c r="P86" s="51">
        <v>4</v>
      </c>
      <c r="Q86" s="51">
        <v>10</v>
      </c>
      <c r="R86" s="51" t="s">
        <v>49</v>
      </c>
      <c r="S86" s="51" t="s">
        <v>50</v>
      </c>
      <c r="T86" s="51" t="s">
        <v>50</v>
      </c>
      <c r="U86" s="51" t="s">
        <v>50</v>
      </c>
      <c r="V86" s="51" t="s">
        <v>50</v>
      </c>
      <c r="W86" s="51" t="s">
        <v>50</v>
      </c>
      <c r="X86" s="51" t="s">
        <v>50</v>
      </c>
      <c r="Y86" s="102" t="s">
        <v>678</v>
      </c>
    </row>
    <row r="87" spans="1:25" s="97" customFormat="1" x14ac:dyDescent="0.25">
      <c r="A87" s="821">
        <v>44389</v>
      </c>
      <c r="B87" s="51" t="s">
        <v>43</v>
      </c>
      <c r="C87" s="51" t="s">
        <v>106</v>
      </c>
      <c r="D87" s="870">
        <v>38.181420000000003</v>
      </c>
      <c r="E87" s="870">
        <v>-121.6636</v>
      </c>
      <c r="F87" s="51" t="s">
        <v>10100</v>
      </c>
      <c r="G87" s="51" t="s">
        <v>90</v>
      </c>
      <c r="H87" s="51" t="s">
        <v>519</v>
      </c>
      <c r="I87" s="66">
        <v>0.54375000000000007</v>
      </c>
      <c r="J87" s="428">
        <v>205.97</v>
      </c>
      <c r="K87" s="428">
        <v>24.2</v>
      </c>
      <c r="L87" s="428">
        <v>11.09</v>
      </c>
      <c r="M87" s="428">
        <v>1.31</v>
      </c>
      <c r="N87" s="428">
        <v>20.25</v>
      </c>
      <c r="O87" s="51" t="s">
        <v>48</v>
      </c>
      <c r="P87" s="51">
        <v>4</v>
      </c>
      <c r="Q87" s="51">
        <v>10</v>
      </c>
      <c r="R87" s="51" t="s">
        <v>49</v>
      </c>
      <c r="S87" s="51" t="s">
        <v>50</v>
      </c>
      <c r="T87" s="51" t="s">
        <v>50</v>
      </c>
      <c r="U87" s="51" t="s">
        <v>50</v>
      </c>
      <c r="V87" s="51" t="s">
        <v>50</v>
      </c>
      <c r="W87" s="51" t="s">
        <v>50</v>
      </c>
      <c r="X87" s="51" t="s">
        <v>50</v>
      </c>
      <c r="Y87" s="102"/>
    </row>
    <row r="88" spans="1:25" s="97" customFormat="1" x14ac:dyDescent="0.25">
      <c r="A88" s="821">
        <v>44389</v>
      </c>
      <c r="B88" s="51" t="s">
        <v>43</v>
      </c>
      <c r="C88" s="51" t="s">
        <v>106</v>
      </c>
      <c r="D88" s="870">
        <v>38.300449999999998</v>
      </c>
      <c r="E88" s="870">
        <v>-121.65492</v>
      </c>
      <c r="F88" s="51" t="s">
        <v>10101</v>
      </c>
      <c r="G88" s="51" t="s">
        <v>90</v>
      </c>
      <c r="H88" s="51" t="s">
        <v>519</v>
      </c>
      <c r="I88" s="66">
        <v>0.47569444444444442</v>
      </c>
      <c r="J88" s="428">
        <v>290.10000000000002</v>
      </c>
      <c r="K88" s="428">
        <v>23.15</v>
      </c>
      <c r="L88" s="428">
        <v>31</v>
      </c>
      <c r="M88" s="428">
        <v>0.42</v>
      </c>
      <c r="N88" s="428">
        <v>4.0999999999999996</v>
      </c>
      <c r="O88" s="51" t="s">
        <v>48</v>
      </c>
      <c r="P88" s="51">
        <v>4</v>
      </c>
      <c r="Q88" s="51">
        <v>10</v>
      </c>
      <c r="R88" s="51" t="s">
        <v>49</v>
      </c>
      <c r="S88" s="51" t="s">
        <v>50</v>
      </c>
      <c r="T88" s="51" t="s">
        <v>50</v>
      </c>
      <c r="U88" s="51" t="s">
        <v>50</v>
      </c>
      <c r="V88" s="51" t="s">
        <v>50</v>
      </c>
      <c r="W88" s="51" t="s">
        <v>50</v>
      </c>
      <c r="X88" s="51" t="s">
        <v>50</v>
      </c>
      <c r="Y88" s="102" t="s">
        <v>10120</v>
      </c>
    </row>
    <row r="89" spans="1:25" s="97" customFormat="1" x14ac:dyDescent="0.25">
      <c r="A89" s="821">
        <v>44389</v>
      </c>
      <c r="B89" s="51" t="s">
        <v>43</v>
      </c>
      <c r="C89" s="51" t="s">
        <v>106</v>
      </c>
      <c r="D89" s="870">
        <v>38.49727</v>
      </c>
      <c r="E89" s="870">
        <v>-121.58391</v>
      </c>
      <c r="F89" s="51" t="s">
        <v>10102</v>
      </c>
      <c r="G89" s="51" t="s">
        <v>90</v>
      </c>
      <c r="H89" s="51" t="s">
        <v>722</v>
      </c>
      <c r="I89" s="66">
        <v>0.35625000000000001</v>
      </c>
      <c r="J89" s="428">
        <v>906</v>
      </c>
      <c r="K89" s="428">
        <v>23.4</v>
      </c>
      <c r="L89" s="428">
        <v>23.07</v>
      </c>
      <c r="M89" s="428">
        <v>0.4</v>
      </c>
      <c r="N89" s="428">
        <v>9.4</v>
      </c>
      <c r="O89" s="51" t="s">
        <v>48</v>
      </c>
      <c r="P89" s="51">
        <v>4</v>
      </c>
      <c r="Q89" s="51">
        <v>10</v>
      </c>
      <c r="R89" s="51" t="s">
        <v>49</v>
      </c>
      <c r="S89" s="51" t="s">
        <v>50</v>
      </c>
      <c r="T89" s="51" t="s">
        <v>50</v>
      </c>
      <c r="U89" s="51" t="s">
        <v>50</v>
      </c>
      <c r="V89" s="51" t="s">
        <v>50</v>
      </c>
      <c r="W89" s="51" t="s">
        <v>50</v>
      </c>
      <c r="X89" s="51" t="s">
        <v>50</v>
      </c>
      <c r="Y89" s="102" t="s">
        <v>10121</v>
      </c>
    </row>
    <row r="90" spans="1:25" s="97" customFormat="1" x14ac:dyDescent="0.25">
      <c r="A90" s="821">
        <v>44389</v>
      </c>
      <c r="B90" s="51" t="s">
        <v>43</v>
      </c>
      <c r="C90" s="51" t="s">
        <v>62</v>
      </c>
      <c r="D90" s="870">
        <v>38.152389999999997</v>
      </c>
      <c r="E90" s="870">
        <v>-121.91951</v>
      </c>
      <c r="F90" s="51" t="s">
        <v>10103</v>
      </c>
      <c r="G90" s="51" t="s">
        <v>27</v>
      </c>
      <c r="H90" s="51" t="s">
        <v>62</v>
      </c>
      <c r="I90" s="66">
        <v>0.35000000000000003</v>
      </c>
      <c r="J90" s="428">
        <v>13988.75</v>
      </c>
      <c r="K90" s="428">
        <v>21.3</v>
      </c>
      <c r="L90" s="428">
        <v>20.9</v>
      </c>
      <c r="M90" s="428">
        <v>0.47</v>
      </c>
      <c r="N90" s="428">
        <v>3.78</v>
      </c>
      <c r="O90" s="51" t="s">
        <v>48</v>
      </c>
      <c r="P90" s="51">
        <v>4</v>
      </c>
      <c r="Q90" s="51">
        <v>10</v>
      </c>
      <c r="R90" s="51" t="s">
        <v>49</v>
      </c>
      <c r="S90" s="51" t="s">
        <v>50</v>
      </c>
      <c r="T90" s="51" t="s">
        <v>50</v>
      </c>
      <c r="U90" s="51" t="s">
        <v>50</v>
      </c>
      <c r="V90" s="51" t="s">
        <v>50</v>
      </c>
      <c r="W90" s="51" t="s">
        <v>50</v>
      </c>
      <c r="X90" s="51" t="s">
        <v>50</v>
      </c>
      <c r="Y90" s="102"/>
    </row>
    <row r="91" spans="1:25" s="97" customFormat="1" x14ac:dyDescent="0.25">
      <c r="A91" s="821">
        <v>44389</v>
      </c>
      <c r="B91" s="51" t="s">
        <v>43</v>
      </c>
      <c r="C91" s="51" t="s">
        <v>62</v>
      </c>
      <c r="D91" s="870">
        <v>38.155500000000004</v>
      </c>
      <c r="E91" s="870">
        <v>-122.05211</v>
      </c>
      <c r="F91" s="51" t="s">
        <v>10104</v>
      </c>
      <c r="G91" s="51" t="s">
        <v>27</v>
      </c>
      <c r="H91" s="51" t="s">
        <v>62</v>
      </c>
      <c r="I91" s="66">
        <v>0.47222222222222227</v>
      </c>
      <c r="J91" s="428">
        <v>15191.5</v>
      </c>
      <c r="K91" s="428">
        <v>22.08</v>
      </c>
      <c r="L91" s="428">
        <v>34.65</v>
      </c>
      <c r="M91" s="428">
        <v>0.3</v>
      </c>
      <c r="N91" s="428">
        <v>6.82</v>
      </c>
      <c r="O91" s="51" t="s">
        <v>48</v>
      </c>
      <c r="P91" s="51">
        <v>4</v>
      </c>
      <c r="Q91" s="51">
        <v>10</v>
      </c>
      <c r="R91" s="51" t="s">
        <v>49</v>
      </c>
      <c r="S91" s="51" t="s">
        <v>50</v>
      </c>
      <c r="T91" s="51" t="s">
        <v>50</v>
      </c>
      <c r="U91" s="51" t="s">
        <v>50</v>
      </c>
      <c r="V91" s="51" t="s">
        <v>50</v>
      </c>
      <c r="W91" s="51" t="s">
        <v>50</v>
      </c>
      <c r="X91" s="51" t="s">
        <v>50</v>
      </c>
      <c r="Y91" s="102"/>
    </row>
    <row r="92" spans="1:25" s="97" customFormat="1" x14ac:dyDescent="0.25">
      <c r="A92" s="821">
        <v>44389</v>
      </c>
      <c r="B92" s="51" t="s">
        <v>43</v>
      </c>
      <c r="C92" s="51" t="s">
        <v>62</v>
      </c>
      <c r="D92" s="870">
        <v>38.175060000000002</v>
      </c>
      <c r="E92" s="870">
        <v>-122.01485</v>
      </c>
      <c r="F92" s="51" t="s">
        <v>10105</v>
      </c>
      <c r="G92" s="51" t="s">
        <v>27</v>
      </c>
      <c r="H92" s="51" t="s">
        <v>62</v>
      </c>
      <c r="I92" s="66">
        <v>0.41805555555555557</v>
      </c>
      <c r="J92" s="428">
        <v>18107.5</v>
      </c>
      <c r="K92" s="428">
        <v>21.85</v>
      </c>
      <c r="L92" s="428">
        <v>33.35</v>
      </c>
      <c r="M92" s="428">
        <v>0.32</v>
      </c>
      <c r="N92" s="428">
        <v>7.22</v>
      </c>
      <c r="O92" s="51" t="s">
        <v>48</v>
      </c>
      <c r="P92" s="51">
        <v>4</v>
      </c>
      <c r="Q92" s="51">
        <v>10</v>
      </c>
      <c r="R92" s="51" t="s">
        <v>49</v>
      </c>
      <c r="S92" s="51" t="s">
        <v>50</v>
      </c>
      <c r="T92" s="51" t="s">
        <v>50</v>
      </c>
      <c r="U92" s="51" t="s">
        <v>50</v>
      </c>
      <c r="V92" s="51" t="s">
        <v>50</v>
      </c>
      <c r="W92" s="51" t="s">
        <v>50</v>
      </c>
      <c r="X92" s="51" t="s">
        <v>50</v>
      </c>
      <c r="Y92" s="102"/>
    </row>
    <row r="93" spans="1:25" s="51" customFormat="1" x14ac:dyDescent="0.25">
      <c r="A93" s="821">
        <v>44390</v>
      </c>
      <c r="B93" s="51" t="s">
        <v>70</v>
      </c>
      <c r="C93" s="51" t="s">
        <v>88</v>
      </c>
      <c r="D93" s="870">
        <v>38.12077</v>
      </c>
      <c r="E93" s="870">
        <v>-121.69607000000001</v>
      </c>
      <c r="F93" s="51" t="s">
        <v>10106</v>
      </c>
      <c r="G93" s="51" t="s">
        <v>90</v>
      </c>
      <c r="H93" s="51" t="s">
        <v>91</v>
      </c>
      <c r="I93" s="66">
        <v>0.49027777777777781</v>
      </c>
      <c r="J93" s="51">
        <v>1179.75</v>
      </c>
      <c r="K93" s="51">
        <v>22.65</v>
      </c>
      <c r="L93" s="51">
        <v>31.48</v>
      </c>
      <c r="M93" s="51">
        <v>0.67</v>
      </c>
      <c r="N93" s="51">
        <v>2.88</v>
      </c>
      <c r="O93" s="51" t="s">
        <v>48</v>
      </c>
      <c r="P93" s="51">
        <v>4</v>
      </c>
      <c r="Q93" s="51">
        <v>10</v>
      </c>
      <c r="R93" s="51" t="s">
        <v>49</v>
      </c>
      <c r="S93" s="51" t="s">
        <v>50</v>
      </c>
      <c r="T93" s="51" t="s">
        <v>50</v>
      </c>
      <c r="U93" s="51" t="s">
        <v>50</v>
      </c>
      <c r="V93" s="51" t="s">
        <v>50</v>
      </c>
      <c r="W93" s="51" t="s">
        <v>50</v>
      </c>
      <c r="X93" s="51" t="s">
        <v>50</v>
      </c>
    </row>
    <row r="94" spans="1:25" s="51" customFormat="1" x14ac:dyDescent="0.25">
      <c r="A94" s="821">
        <v>44390</v>
      </c>
      <c r="B94" s="51" t="s">
        <v>70</v>
      </c>
      <c r="C94" s="51" t="s">
        <v>88</v>
      </c>
      <c r="D94" s="870">
        <v>38.068159999999999</v>
      </c>
      <c r="E94" s="870">
        <v>-121.83907000000001</v>
      </c>
      <c r="F94" s="51" t="s">
        <v>10107</v>
      </c>
      <c r="G94" s="51" t="s">
        <v>27</v>
      </c>
      <c r="H94" s="51" t="s">
        <v>25</v>
      </c>
      <c r="I94" s="66">
        <v>0.36319444444444443</v>
      </c>
      <c r="J94" s="51">
        <v>13840</v>
      </c>
      <c r="K94" s="51">
        <v>21.08</v>
      </c>
      <c r="L94" s="51">
        <v>14.07</v>
      </c>
      <c r="M94" s="51">
        <v>0.82</v>
      </c>
      <c r="N94" s="51">
        <v>6.72</v>
      </c>
      <c r="O94" s="51" t="s">
        <v>48</v>
      </c>
      <c r="P94" s="51">
        <v>4</v>
      </c>
      <c r="Q94" s="51">
        <v>10</v>
      </c>
      <c r="R94" s="51" t="s">
        <v>49</v>
      </c>
      <c r="S94" s="51" t="s">
        <v>50</v>
      </c>
      <c r="T94" s="51" t="s">
        <v>50</v>
      </c>
      <c r="U94" s="51" t="s">
        <v>50</v>
      </c>
      <c r="V94" s="51" t="s">
        <v>50</v>
      </c>
      <c r="W94" s="51" t="s">
        <v>50</v>
      </c>
      <c r="X94" s="51" t="s">
        <v>50</v>
      </c>
    </row>
    <row r="95" spans="1:25" s="51" customFormat="1" x14ac:dyDescent="0.25">
      <c r="A95" s="821">
        <v>44390</v>
      </c>
      <c r="B95" s="51" t="s">
        <v>70</v>
      </c>
      <c r="C95" s="51" t="s">
        <v>88</v>
      </c>
      <c r="D95" s="870">
        <v>38.069139999999997</v>
      </c>
      <c r="E95" s="870">
        <v>-121.77544</v>
      </c>
      <c r="F95" s="51" t="s">
        <v>10108</v>
      </c>
      <c r="G95" s="51" t="s">
        <v>27</v>
      </c>
      <c r="H95" s="51" t="s">
        <v>25</v>
      </c>
      <c r="I95" s="66">
        <v>0.42569444444444443</v>
      </c>
      <c r="J95" s="51">
        <v>7675.25</v>
      </c>
      <c r="K95" s="51">
        <v>21.35</v>
      </c>
      <c r="L95" s="51">
        <v>25.43</v>
      </c>
      <c r="M95" s="51">
        <v>0.75</v>
      </c>
      <c r="N95" s="51">
        <v>8.5299999999999994</v>
      </c>
      <c r="O95" s="51" t="s">
        <v>48</v>
      </c>
      <c r="P95" s="51">
        <v>4</v>
      </c>
      <c r="Q95" s="51">
        <v>10</v>
      </c>
      <c r="R95" s="51" t="s">
        <v>49</v>
      </c>
      <c r="S95" s="51" t="s">
        <v>50</v>
      </c>
      <c r="T95" s="51" t="s">
        <v>50</v>
      </c>
      <c r="U95" s="51" t="s">
        <v>50</v>
      </c>
      <c r="V95" s="51" t="s">
        <v>50</v>
      </c>
      <c r="W95" s="51" t="s">
        <v>50</v>
      </c>
      <c r="X95" s="51" t="s">
        <v>50</v>
      </c>
      <c r="Y95" s="52" t="s">
        <v>10150</v>
      </c>
    </row>
    <row r="96" spans="1:25" s="37" customFormat="1" x14ac:dyDescent="0.25">
      <c r="A96" s="833">
        <v>44390</v>
      </c>
      <c r="B96" s="37" t="s">
        <v>70</v>
      </c>
      <c r="C96" s="51" t="s">
        <v>106</v>
      </c>
      <c r="D96" s="788">
        <v>38.429220000000001</v>
      </c>
      <c r="E96" s="788">
        <v>-121.60338</v>
      </c>
      <c r="F96" s="37" t="s">
        <v>10114</v>
      </c>
      <c r="G96" s="37" t="s">
        <v>90</v>
      </c>
      <c r="H96" s="37" t="s">
        <v>519</v>
      </c>
      <c r="I96" s="712">
        <v>0.49722222222222223</v>
      </c>
      <c r="J96" s="37">
        <v>694.75</v>
      </c>
      <c r="K96" s="37">
        <v>23.05</v>
      </c>
      <c r="L96" s="37">
        <v>64.680000000000007</v>
      </c>
      <c r="M96" s="37">
        <v>0.23</v>
      </c>
      <c r="N96" s="37">
        <v>4.12</v>
      </c>
      <c r="O96" s="37" t="s">
        <v>48</v>
      </c>
      <c r="P96" s="37">
        <v>4</v>
      </c>
      <c r="Q96" s="37">
        <v>10</v>
      </c>
      <c r="R96" s="37" t="s">
        <v>49</v>
      </c>
      <c r="S96" s="37" t="s">
        <v>50</v>
      </c>
      <c r="T96" s="37" t="s">
        <v>50</v>
      </c>
      <c r="U96" s="37" t="s">
        <v>50</v>
      </c>
      <c r="V96" s="37" t="s">
        <v>50</v>
      </c>
      <c r="W96" s="37" t="s">
        <v>50</v>
      </c>
      <c r="X96" s="37" t="s">
        <v>50</v>
      </c>
      <c r="Y96" s="698" t="s">
        <v>10209</v>
      </c>
    </row>
    <row r="97" spans="1:25" s="51" customFormat="1" x14ac:dyDescent="0.25">
      <c r="A97" s="833">
        <v>44390</v>
      </c>
      <c r="B97" s="37" t="s">
        <v>70</v>
      </c>
      <c r="C97" s="51" t="s">
        <v>106</v>
      </c>
      <c r="D97" s="788">
        <v>38.205329999999996</v>
      </c>
      <c r="E97" s="788">
        <v>-121.65797999999999</v>
      </c>
      <c r="F97" s="37" t="s">
        <v>10113</v>
      </c>
      <c r="G97" s="37" t="s">
        <v>27</v>
      </c>
      <c r="H97" s="37" t="s">
        <v>519</v>
      </c>
      <c r="I97" s="712">
        <v>0.62152777777777779</v>
      </c>
      <c r="J97" s="37">
        <v>244.3</v>
      </c>
      <c r="K97" s="37">
        <v>22.6</v>
      </c>
      <c r="L97" s="37">
        <v>17.55</v>
      </c>
      <c r="M97" s="37">
        <v>0.88</v>
      </c>
      <c r="N97" s="37">
        <v>13.05</v>
      </c>
      <c r="O97" s="37" t="s">
        <v>48</v>
      </c>
      <c r="P97" s="37">
        <v>2</v>
      </c>
      <c r="Q97" s="37">
        <v>10</v>
      </c>
      <c r="R97" s="37" t="s">
        <v>49</v>
      </c>
      <c r="S97" s="37" t="s">
        <v>50</v>
      </c>
      <c r="T97" s="37" t="s">
        <v>50</v>
      </c>
      <c r="U97" s="37" t="s">
        <v>50</v>
      </c>
      <c r="V97" s="37" t="s">
        <v>50</v>
      </c>
      <c r="W97" s="37" t="s">
        <v>50</v>
      </c>
      <c r="X97" s="37" t="s">
        <v>50</v>
      </c>
      <c r="Y97" s="698" t="s">
        <v>10149</v>
      </c>
    </row>
    <row r="98" spans="1:25" s="51" customFormat="1" x14ac:dyDescent="0.25">
      <c r="A98" s="821">
        <v>44390</v>
      </c>
      <c r="B98" s="51" t="s">
        <v>70</v>
      </c>
      <c r="C98" s="51" t="s">
        <v>106</v>
      </c>
      <c r="D98" s="870">
        <v>38.46002</v>
      </c>
      <c r="E98" s="870">
        <v>-121.58902</v>
      </c>
      <c r="F98" s="51" t="s">
        <v>10109</v>
      </c>
      <c r="G98" s="51" t="s">
        <v>90</v>
      </c>
      <c r="H98" s="51" t="s">
        <v>519</v>
      </c>
      <c r="I98" s="66">
        <v>0.34861111111111115</v>
      </c>
      <c r="J98" s="428">
        <v>756.5</v>
      </c>
      <c r="K98" s="428">
        <v>22.85</v>
      </c>
      <c r="L98" s="428">
        <v>59.2</v>
      </c>
      <c r="M98" s="428">
        <v>0.25</v>
      </c>
      <c r="N98" s="428">
        <v>6.27</v>
      </c>
      <c r="O98" s="51" t="s">
        <v>48</v>
      </c>
      <c r="P98" s="51">
        <v>4</v>
      </c>
      <c r="Q98" s="51">
        <v>10</v>
      </c>
      <c r="R98" s="51" t="s">
        <v>49</v>
      </c>
      <c r="S98" s="51" t="s">
        <v>50</v>
      </c>
      <c r="T98" s="51" t="s">
        <v>50</v>
      </c>
      <c r="U98" s="51" t="s">
        <v>50</v>
      </c>
      <c r="V98" s="51" t="s">
        <v>50</v>
      </c>
      <c r="W98" s="51" t="s">
        <v>50</v>
      </c>
      <c r="X98" s="51" t="s">
        <v>228</v>
      </c>
      <c r="Y98" s="52" t="s">
        <v>10210</v>
      </c>
    </row>
    <row r="99" spans="1:25" s="450" customFormat="1" x14ac:dyDescent="0.25">
      <c r="A99" s="855">
        <v>44390</v>
      </c>
      <c r="B99" s="450" t="s">
        <v>70</v>
      </c>
      <c r="C99" s="450" t="s">
        <v>62</v>
      </c>
      <c r="D99" s="881">
        <v>38.105409999999999</v>
      </c>
      <c r="E99" s="881">
        <v>-122.05441999999999</v>
      </c>
      <c r="F99" s="450" t="s">
        <v>10110</v>
      </c>
      <c r="G99" s="450" t="s">
        <v>27</v>
      </c>
      <c r="H99" s="450" t="s">
        <v>173</v>
      </c>
      <c r="I99" s="451">
        <v>0.48055555555555557</v>
      </c>
      <c r="J99" s="452">
        <v>23094.75</v>
      </c>
      <c r="K99" s="452">
        <v>21.12</v>
      </c>
      <c r="L99" s="452">
        <v>68.5</v>
      </c>
      <c r="M99" s="452">
        <v>0.24</v>
      </c>
      <c r="N99" s="452">
        <v>3.08</v>
      </c>
      <c r="O99" s="450" t="s">
        <v>48</v>
      </c>
      <c r="P99" s="450">
        <v>4</v>
      </c>
      <c r="Q99" s="450">
        <v>10</v>
      </c>
      <c r="R99" s="450" t="s">
        <v>49</v>
      </c>
      <c r="S99" s="858" t="s">
        <v>31</v>
      </c>
      <c r="T99" s="450">
        <v>1</v>
      </c>
      <c r="U99" s="859">
        <v>57</v>
      </c>
      <c r="V99" s="450" t="s">
        <v>50</v>
      </c>
      <c r="W99" s="450" t="s">
        <v>50</v>
      </c>
      <c r="X99" s="450" t="s">
        <v>228</v>
      </c>
    </row>
    <row r="100" spans="1:25" s="51" customFormat="1" x14ac:dyDescent="0.25">
      <c r="A100" s="821">
        <v>44390</v>
      </c>
      <c r="B100" s="51" t="s">
        <v>70</v>
      </c>
      <c r="C100" s="51" t="s">
        <v>62</v>
      </c>
      <c r="D100" s="870">
        <v>38.175229999999999</v>
      </c>
      <c r="E100" s="870">
        <v>-121.94942</v>
      </c>
      <c r="F100" s="51" t="s">
        <v>10111</v>
      </c>
      <c r="G100" s="51" t="s">
        <v>27</v>
      </c>
      <c r="H100" s="51" t="s">
        <v>62</v>
      </c>
      <c r="I100" s="66">
        <v>0.35416666666666669</v>
      </c>
      <c r="J100" s="428">
        <v>16651.25</v>
      </c>
      <c r="K100" s="428">
        <v>20.7</v>
      </c>
      <c r="L100" s="428">
        <v>31.92</v>
      </c>
      <c r="M100" s="428">
        <v>0.46</v>
      </c>
      <c r="N100" s="428">
        <v>11.5</v>
      </c>
      <c r="O100" s="51" t="s">
        <v>48</v>
      </c>
      <c r="P100" s="51">
        <v>4</v>
      </c>
      <c r="Q100" s="51">
        <v>10</v>
      </c>
      <c r="R100" s="51" t="s">
        <v>49</v>
      </c>
      <c r="S100" s="51" t="s">
        <v>50</v>
      </c>
      <c r="T100" s="51" t="s">
        <v>50</v>
      </c>
      <c r="U100" s="51" t="s">
        <v>50</v>
      </c>
      <c r="V100" s="51" t="s">
        <v>50</v>
      </c>
      <c r="W100" s="51" t="s">
        <v>50</v>
      </c>
      <c r="X100" s="51" t="s">
        <v>50</v>
      </c>
      <c r="Y100" s="52"/>
    </row>
    <row r="101" spans="1:25" s="51" customFormat="1" x14ac:dyDescent="0.25">
      <c r="A101" s="821">
        <v>44390</v>
      </c>
      <c r="B101" s="51" t="s">
        <v>70</v>
      </c>
      <c r="C101" s="51" t="s">
        <v>62</v>
      </c>
      <c r="D101" s="870">
        <v>38.132019999999997</v>
      </c>
      <c r="E101" s="870">
        <v>-122.0599</v>
      </c>
      <c r="F101" s="51" t="s">
        <v>10112</v>
      </c>
      <c r="G101" s="51" t="s">
        <v>27</v>
      </c>
      <c r="H101" s="51" t="s">
        <v>62</v>
      </c>
      <c r="I101" s="66">
        <v>0.42430555555555555</v>
      </c>
      <c r="J101" s="428">
        <v>21965</v>
      </c>
      <c r="K101" s="428">
        <v>21.57</v>
      </c>
      <c r="L101" s="428">
        <v>71.27</v>
      </c>
      <c r="M101" s="428">
        <v>0.31</v>
      </c>
      <c r="N101" s="428">
        <v>5.24</v>
      </c>
      <c r="O101" s="51" t="s">
        <v>48</v>
      </c>
      <c r="P101" s="51">
        <v>4</v>
      </c>
      <c r="Q101" s="51">
        <v>10</v>
      </c>
      <c r="R101" s="51" t="s">
        <v>49</v>
      </c>
      <c r="S101" s="51" t="s">
        <v>50</v>
      </c>
      <c r="T101" s="51" t="s">
        <v>50</v>
      </c>
      <c r="U101" s="51" t="s">
        <v>50</v>
      </c>
      <c r="V101" s="51" t="s">
        <v>50</v>
      </c>
      <c r="W101" s="51" t="s">
        <v>50</v>
      </c>
      <c r="X101" s="51" t="s">
        <v>50</v>
      </c>
      <c r="Y101" s="52"/>
    </row>
    <row r="102" spans="1:25" s="51" customFormat="1" x14ac:dyDescent="0.25">
      <c r="A102" s="821">
        <v>44391</v>
      </c>
      <c r="B102" s="51" t="s">
        <v>87</v>
      </c>
      <c r="C102" s="51" t="s">
        <v>162</v>
      </c>
      <c r="D102" s="51">
        <v>38.258510000000001</v>
      </c>
      <c r="E102" s="51">
        <v>-121.72691</v>
      </c>
      <c r="F102" s="51" t="s">
        <v>10151</v>
      </c>
      <c r="G102" s="51" t="s">
        <v>90</v>
      </c>
      <c r="H102" s="51" t="s">
        <v>126</v>
      </c>
      <c r="I102" s="66">
        <v>0.33958333333333335</v>
      </c>
      <c r="J102" s="428">
        <v>229.55</v>
      </c>
      <c r="K102" s="428">
        <v>21.2</v>
      </c>
      <c r="L102" s="428">
        <v>13.65</v>
      </c>
      <c r="M102" s="428">
        <v>0.78</v>
      </c>
      <c r="N102" s="428">
        <v>5.08</v>
      </c>
      <c r="O102" s="51" t="s">
        <v>48</v>
      </c>
      <c r="P102" s="51">
        <v>4</v>
      </c>
      <c r="Q102" s="51">
        <v>10</v>
      </c>
      <c r="R102" s="51" t="s">
        <v>49</v>
      </c>
      <c r="S102" s="51" t="s">
        <v>50</v>
      </c>
      <c r="T102" s="51" t="s">
        <v>50</v>
      </c>
      <c r="U102" s="51" t="s">
        <v>50</v>
      </c>
      <c r="V102" s="51" t="s">
        <v>50</v>
      </c>
      <c r="W102" s="51" t="s">
        <v>50</v>
      </c>
      <c r="X102" s="51" t="s">
        <v>50</v>
      </c>
      <c r="Y102" s="52"/>
    </row>
    <row r="103" spans="1:25" s="51" customFormat="1" x14ac:dyDescent="0.25">
      <c r="A103" s="821">
        <v>44391</v>
      </c>
      <c r="B103" s="51" t="s">
        <v>87</v>
      </c>
      <c r="C103" s="51" t="s">
        <v>162</v>
      </c>
      <c r="D103" s="51">
        <v>38.25459</v>
      </c>
      <c r="E103" s="51">
        <v>-121.72466</v>
      </c>
      <c r="F103" s="51" t="s">
        <v>10152</v>
      </c>
      <c r="G103" s="51" t="s">
        <v>90</v>
      </c>
      <c r="H103" s="51" t="s">
        <v>126</v>
      </c>
      <c r="I103" s="66">
        <v>0.41041666666666665</v>
      </c>
      <c r="J103" s="428">
        <v>231.38</v>
      </c>
      <c r="K103" s="428">
        <v>21.23</v>
      </c>
      <c r="L103" s="428">
        <v>16.75</v>
      </c>
      <c r="M103" s="428">
        <v>0.54</v>
      </c>
      <c r="N103" s="428">
        <v>3.83</v>
      </c>
      <c r="O103" s="51" t="s">
        <v>48</v>
      </c>
      <c r="P103" s="51">
        <v>4</v>
      </c>
      <c r="Q103" s="51">
        <v>10</v>
      </c>
      <c r="R103" s="51" t="s">
        <v>49</v>
      </c>
      <c r="S103" s="51" t="s">
        <v>50</v>
      </c>
      <c r="T103" s="51" t="s">
        <v>50</v>
      </c>
      <c r="U103" s="51" t="s">
        <v>50</v>
      </c>
      <c r="V103" s="51" t="s">
        <v>50</v>
      </c>
      <c r="W103" s="51" t="s">
        <v>50</v>
      </c>
      <c r="X103" s="51" t="s">
        <v>50</v>
      </c>
      <c r="Y103" s="52" t="s">
        <v>10160</v>
      </c>
    </row>
    <row r="104" spans="1:25" s="51" customFormat="1" x14ac:dyDescent="0.25">
      <c r="A104" s="821">
        <v>44391</v>
      </c>
      <c r="B104" s="51" t="s">
        <v>87</v>
      </c>
      <c r="C104" s="51" t="s">
        <v>162</v>
      </c>
      <c r="D104" s="51">
        <v>38.234529999999999</v>
      </c>
      <c r="E104" s="51">
        <v>-121.67798000000001</v>
      </c>
      <c r="F104" s="51" t="s">
        <v>10153</v>
      </c>
      <c r="G104" s="51" t="s">
        <v>90</v>
      </c>
      <c r="H104" s="51" t="s">
        <v>126</v>
      </c>
      <c r="I104" s="66">
        <v>0.47916666666666669</v>
      </c>
      <c r="J104" s="428">
        <v>224.47</v>
      </c>
      <c r="K104" s="428">
        <v>22.08</v>
      </c>
      <c r="L104" s="428">
        <v>10.8</v>
      </c>
      <c r="M104" s="428">
        <v>1.03</v>
      </c>
      <c r="N104" s="428">
        <v>8.57</v>
      </c>
      <c r="O104" s="51" t="s">
        <v>48</v>
      </c>
      <c r="P104" s="51">
        <v>4</v>
      </c>
      <c r="Q104" s="51">
        <v>10</v>
      </c>
      <c r="R104" s="51" t="s">
        <v>49</v>
      </c>
      <c r="S104" s="51" t="s">
        <v>50</v>
      </c>
      <c r="T104" s="51" t="s">
        <v>50</v>
      </c>
      <c r="U104" s="51" t="s">
        <v>50</v>
      </c>
      <c r="V104" s="51" t="s">
        <v>50</v>
      </c>
      <c r="W104" s="51" t="s">
        <v>50</v>
      </c>
      <c r="X104" s="51" t="s">
        <v>50</v>
      </c>
      <c r="Y104" s="52" t="s">
        <v>10161</v>
      </c>
    </row>
    <row r="105" spans="1:25" s="51" customFormat="1" x14ac:dyDescent="0.25">
      <c r="A105" s="821">
        <v>44391</v>
      </c>
      <c r="B105" s="51" t="s">
        <v>87</v>
      </c>
      <c r="C105" s="51" t="s">
        <v>95</v>
      </c>
      <c r="D105" s="51">
        <v>38.02319</v>
      </c>
      <c r="E105" s="51">
        <v>-121.80343000000001</v>
      </c>
      <c r="F105" s="51" t="s">
        <v>10154</v>
      </c>
      <c r="G105" s="51" t="s">
        <v>27</v>
      </c>
      <c r="H105" s="51" t="s">
        <v>95</v>
      </c>
      <c r="I105" s="66">
        <v>0.35069444444444442</v>
      </c>
      <c r="J105" s="428">
        <v>8210.5</v>
      </c>
      <c r="K105" s="428">
        <v>21.35</v>
      </c>
      <c r="L105" s="428">
        <v>23.18</v>
      </c>
      <c r="M105" s="428">
        <v>0.93</v>
      </c>
      <c r="N105" s="428">
        <v>11.1</v>
      </c>
      <c r="O105" s="51" t="s">
        <v>48</v>
      </c>
      <c r="P105" s="51">
        <v>4</v>
      </c>
      <c r="Q105" s="51">
        <v>10</v>
      </c>
      <c r="R105" s="51" t="s">
        <v>49</v>
      </c>
      <c r="S105" s="51" t="s">
        <v>50</v>
      </c>
      <c r="T105" s="51" t="s">
        <v>50</v>
      </c>
      <c r="U105" s="51" t="s">
        <v>50</v>
      </c>
      <c r="V105" s="51" t="s">
        <v>50</v>
      </c>
      <c r="W105" s="51" t="s">
        <v>50</v>
      </c>
      <c r="X105" s="51" t="s">
        <v>50</v>
      </c>
      <c r="Y105" s="52"/>
    </row>
    <row r="106" spans="1:25" s="51" customFormat="1" x14ac:dyDescent="0.25">
      <c r="A106" s="821">
        <v>44391</v>
      </c>
      <c r="B106" s="51" t="s">
        <v>87</v>
      </c>
      <c r="C106" s="51" t="s">
        <v>95</v>
      </c>
      <c r="D106" s="51">
        <v>38.019390000000001</v>
      </c>
      <c r="E106" s="51">
        <v>-121.79236</v>
      </c>
      <c r="F106" s="51" t="s">
        <v>10155</v>
      </c>
      <c r="G106" s="51" t="s">
        <v>27</v>
      </c>
      <c r="H106" s="51" t="s">
        <v>95</v>
      </c>
      <c r="I106" s="66">
        <v>0.40347222222222223</v>
      </c>
      <c r="J106" s="428">
        <v>7680.25</v>
      </c>
      <c r="K106" s="428">
        <v>21.58</v>
      </c>
      <c r="L106" s="428">
        <v>36.68</v>
      </c>
      <c r="M106" s="428">
        <v>0.98</v>
      </c>
      <c r="N106" s="428">
        <v>5.85</v>
      </c>
      <c r="O106" s="51" t="s">
        <v>48</v>
      </c>
      <c r="P106" s="51">
        <v>4</v>
      </c>
      <c r="Q106" s="51">
        <v>10</v>
      </c>
      <c r="R106" s="51" t="s">
        <v>49</v>
      </c>
      <c r="S106" s="51" t="s">
        <v>50</v>
      </c>
      <c r="T106" s="51" t="s">
        <v>50</v>
      </c>
      <c r="U106" s="51" t="s">
        <v>50</v>
      </c>
      <c r="V106" s="51" t="s">
        <v>50</v>
      </c>
      <c r="W106" s="51" t="s">
        <v>50</v>
      </c>
      <c r="X106" s="51" t="s">
        <v>50</v>
      </c>
      <c r="Y106" s="52"/>
    </row>
    <row r="107" spans="1:25" s="51" customFormat="1" x14ac:dyDescent="0.25">
      <c r="A107" s="821">
        <v>44391</v>
      </c>
      <c r="B107" s="51" t="s">
        <v>87</v>
      </c>
      <c r="C107" s="51" t="s">
        <v>95</v>
      </c>
      <c r="D107" s="51">
        <v>38.023530000000001</v>
      </c>
      <c r="E107" s="51">
        <v>-121.74414</v>
      </c>
      <c r="F107" s="51" t="s">
        <v>10156</v>
      </c>
      <c r="G107" s="51" t="s">
        <v>27</v>
      </c>
      <c r="H107" s="51" t="s">
        <v>95</v>
      </c>
      <c r="I107" s="66">
        <v>0.45833333333333331</v>
      </c>
      <c r="J107" s="428">
        <v>3586</v>
      </c>
      <c r="K107" s="428">
        <v>22</v>
      </c>
      <c r="L107" s="428">
        <v>38.880000000000003</v>
      </c>
      <c r="M107" s="428">
        <v>1</v>
      </c>
      <c r="N107" s="428">
        <v>6.25</v>
      </c>
      <c r="O107" s="51" t="s">
        <v>48</v>
      </c>
      <c r="P107" s="51">
        <v>4</v>
      </c>
      <c r="Q107" s="51">
        <v>10</v>
      </c>
      <c r="R107" s="51" t="s">
        <v>49</v>
      </c>
      <c r="S107" s="51" t="s">
        <v>50</v>
      </c>
      <c r="T107" s="51" t="s">
        <v>50</v>
      </c>
      <c r="U107" s="51" t="s">
        <v>50</v>
      </c>
      <c r="V107" s="51" t="s">
        <v>50</v>
      </c>
      <c r="W107" s="51" t="s">
        <v>50</v>
      </c>
      <c r="X107" s="51" t="s">
        <v>50</v>
      </c>
      <c r="Y107" s="52"/>
    </row>
    <row r="108" spans="1:25" s="424" customFormat="1" x14ac:dyDescent="0.25">
      <c r="A108" s="446">
        <v>44391</v>
      </c>
      <c r="B108" s="424" t="s">
        <v>87</v>
      </c>
      <c r="C108" s="424" t="s">
        <v>78</v>
      </c>
      <c r="D108" s="424">
        <v>38.055259999999997</v>
      </c>
      <c r="E108" s="424">
        <v>-121.95755</v>
      </c>
      <c r="F108" s="424" t="s">
        <v>10157</v>
      </c>
      <c r="G108" s="424" t="s">
        <v>27</v>
      </c>
      <c r="H108" s="424" t="s">
        <v>170</v>
      </c>
      <c r="I108" s="425">
        <v>0.3298611111111111</v>
      </c>
      <c r="J108" s="427" t="s">
        <v>50</v>
      </c>
      <c r="K108" s="427" t="s">
        <v>50</v>
      </c>
      <c r="L108" s="427" t="s">
        <v>50</v>
      </c>
      <c r="M108" s="427" t="s">
        <v>50</v>
      </c>
      <c r="N108" s="427" t="s">
        <v>50</v>
      </c>
      <c r="O108" s="424" t="s">
        <v>48</v>
      </c>
      <c r="P108" s="424">
        <v>0</v>
      </c>
      <c r="Q108" s="424" t="s">
        <v>50</v>
      </c>
      <c r="R108" s="424" t="s">
        <v>50</v>
      </c>
      <c r="S108" s="424" t="s">
        <v>50</v>
      </c>
      <c r="T108" s="424" t="s">
        <v>50</v>
      </c>
      <c r="U108" s="424" t="s">
        <v>50</v>
      </c>
      <c r="V108" s="424" t="s">
        <v>50</v>
      </c>
      <c r="W108" s="424" t="s">
        <v>50</v>
      </c>
      <c r="X108" s="424" t="s">
        <v>50</v>
      </c>
      <c r="Y108" s="426" t="s">
        <v>10172</v>
      </c>
    </row>
    <row r="109" spans="1:25" s="51" customFormat="1" x14ac:dyDescent="0.25">
      <c r="A109" s="821">
        <v>44391</v>
      </c>
      <c r="B109" s="51" t="s">
        <v>87</v>
      </c>
      <c r="C109" s="51" t="s">
        <v>78</v>
      </c>
      <c r="D109" s="51">
        <v>38.097720000000002</v>
      </c>
      <c r="E109" s="51">
        <v>-122.03502</v>
      </c>
      <c r="F109" s="51" t="s">
        <v>10158</v>
      </c>
      <c r="G109" s="51" t="s">
        <v>27</v>
      </c>
      <c r="H109" s="51" t="s">
        <v>86</v>
      </c>
      <c r="I109" s="66">
        <v>0.33958333333333335</v>
      </c>
      <c r="J109" s="428">
        <v>21108</v>
      </c>
      <c r="K109" s="428">
        <v>18.95</v>
      </c>
      <c r="L109" s="428">
        <v>55.68</v>
      </c>
      <c r="M109" s="428">
        <v>0.23</v>
      </c>
      <c r="N109" s="428">
        <v>7.18</v>
      </c>
      <c r="O109" s="51" t="s">
        <v>48</v>
      </c>
      <c r="P109" s="51">
        <v>4</v>
      </c>
      <c r="Q109" s="51">
        <v>10</v>
      </c>
      <c r="R109" s="51" t="s">
        <v>49</v>
      </c>
      <c r="S109" s="51" t="s">
        <v>50</v>
      </c>
      <c r="T109" s="51" t="s">
        <v>50</v>
      </c>
      <c r="U109" s="51" t="s">
        <v>50</v>
      </c>
      <c r="V109" s="51" t="s">
        <v>50</v>
      </c>
      <c r="W109" s="51" t="s">
        <v>50</v>
      </c>
      <c r="X109" s="51" t="s">
        <v>50</v>
      </c>
      <c r="Y109" s="52"/>
    </row>
    <row r="110" spans="1:25" s="51" customFormat="1" x14ac:dyDescent="0.25">
      <c r="A110" s="821">
        <v>44391</v>
      </c>
      <c r="B110" s="51" t="s">
        <v>87</v>
      </c>
      <c r="C110" s="51" t="s">
        <v>78</v>
      </c>
      <c r="D110" s="51">
        <v>38.080069999999999</v>
      </c>
      <c r="E110" s="51">
        <v>-121.99303</v>
      </c>
      <c r="F110" s="51" t="s">
        <v>10159</v>
      </c>
      <c r="G110" s="51" t="s">
        <v>27</v>
      </c>
      <c r="H110" s="51" t="s">
        <v>86</v>
      </c>
      <c r="I110" s="66">
        <v>0.3972222222222222</v>
      </c>
      <c r="J110" s="428">
        <v>22624.25</v>
      </c>
      <c r="K110" s="428">
        <v>19.93</v>
      </c>
      <c r="L110" s="428">
        <v>56.83</v>
      </c>
      <c r="M110" s="428">
        <v>0.23</v>
      </c>
      <c r="N110" s="428">
        <v>5.35</v>
      </c>
      <c r="O110" s="51" t="s">
        <v>48</v>
      </c>
      <c r="P110" s="51">
        <v>4</v>
      </c>
      <c r="Q110" s="51">
        <v>10</v>
      </c>
      <c r="R110" s="51" t="s">
        <v>49</v>
      </c>
      <c r="S110" s="51" t="s">
        <v>50</v>
      </c>
      <c r="T110" s="51" t="s">
        <v>50</v>
      </c>
      <c r="U110" s="51" t="s">
        <v>50</v>
      </c>
      <c r="V110" s="51" t="s">
        <v>50</v>
      </c>
      <c r="W110" s="51" t="s">
        <v>50</v>
      </c>
      <c r="X110" s="51" t="s">
        <v>50</v>
      </c>
      <c r="Y110" s="52"/>
    </row>
    <row r="111" spans="1:25" s="97" customFormat="1" x14ac:dyDescent="0.25">
      <c r="A111" s="821">
        <v>44392</v>
      </c>
      <c r="B111" s="51" t="s">
        <v>105</v>
      </c>
      <c r="C111" s="51" t="s">
        <v>162</v>
      </c>
      <c r="D111" s="870">
        <v>38.242269999999998</v>
      </c>
      <c r="E111" s="870">
        <v>-121.68688</v>
      </c>
      <c r="F111" s="51" t="s">
        <v>10162</v>
      </c>
      <c r="G111" s="51" t="s">
        <v>90</v>
      </c>
      <c r="H111" s="51" t="s">
        <v>126</v>
      </c>
      <c r="I111" s="66">
        <v>0.49583333333333335</v>
      </c>
      <c r="J111" s="428">
        <v>219.03</v>
      </c>
      <c r="K111" s="428">
        <v>22.03</v>
      </c>
      <c r="L111" s="428">
        <v>10.7</v>
      </c>
      <c r="M111" s="428">
        <v>0.96</v>
      </c>
      <c r="N111" s="428">
        <v>11.62</v>
      </c>
      <c r="O111" s="51" t="s">
        <v>48</v>
      </c>
      <c r="P111" s="51">
        <v>4</v>
      </c>
      <c r="Q111" s="51">
        <v>10</v>
      </c>
      <c r="R111" s="51" t="s">
        <v>49</v>
      </c>
      <c r="S111" s="51" t="s">
        <v>50</v>
      </c>
      <c r="T111" s="51" t="s">
        <v>50</v>
      </c>
      <c r="U111" s="51" t="s">
        <v>50</v>
      </c>
      <c r="V111" s="51" t="s">
        <v>50</v>
      </c>
      <c r="W111" s="51" t="s">
        <v>50</v>
      </c>
      <c r="X111" s="51" t="s">
        <v>50</v>
      </c>
      <c r="Y111" s="102"/>
    </row>
    <row r="112" spans="1:25" s="97" customFormat="1" x14ac:dyDescent="0.25">
      <c r="A112" s="821">
        <v>44392</v>
      </c>
      <c r="B112" s="51" t="s">
        <v>105</v>
      </c>
      <c r="C112" s="51" t="s">
        <v>162</v>
      </c>
      <c r="D112" s="870">
        <v>38.266089999999998</v>
      </c>
      <c r="E112" s="870">
        <v>-121.69156</v>
      </c>
      <c r="F112" s="51" t="s">
        <v>10163</v>
      </c>
      <c r="G112" s="51" t="s">
        <v>90</v>
      </c>
      <c r="H112" s="51" t="s">
        <v>126</v>
      </c>
      <c r="I112" s="66">
        <v>0.44236111111111115</v>
      </c>
      <c r="J112" s="428">
        <v>217.73</v>
      </c>
      <c r="K112" s="428">
        <v>21.6</v>
      </c>
      <c r="L112" s="428">
        <v>8.73</v>
      </c>
      <c r="M112" s="428">
        <v>0.92</v>
      </c>
      <c r="N112" s="428">
        <v>6.05</v>
      </c>
      <c r="O112" s="51" t="s">
        <v>48</v>
      </c>
      <c r="P112" s="51">
        <v>4</v>
      </c>
      <c r="Q112" s="51">
        <v>10</v>
      </c>
      <c r="R112" s="51" t="s">
        <v>49</v>
      </c>
      <c r="S112" s="51" t="s">
        <v>50</v>
      </c>
      <c r="T112" s="51" t="s">
        <v>50</v>
      </c>
      <c r="U112" s="51" t="s">
        <v>50</v>
      </c>
      <c r="V112" s="51" t="s">
        <v>50</v>
      </c>
      <c r="W112" s="51" t="s">
        <v>50</v>
      </c>
      <c r="X112" s="51" t="s">
        <v>50</v>
      </c>
      <c r="Y112" s="102"/>
    </row>
    <row r="113" spans="1:25" s="97" customFormat="1" x14ac:dyDescent="0.25">
      <c r="A113" s="821">
        <v>44392</v>
      </c>
      <c r="B113" s="51" t="s">
        <v>105</v>
      </c>
      <c r="C113" s="51" t="s">
        <v>162</v>
      </c>
      <c r="D113" s="870">
        <v>38.280180000000001</v>
      </c>
      <c r="E113" s="870">
        <v>-121.71278</v>
      </c>
      <c r="F113" s="51" t="s">
        <v>10164</v>
      </c>
      <c r="G113" s="51" t="s">
        <v>90</v>
      </c>
      <c r="H113" s="51" t="s">
        <v>126</v>
      </c>
      <c r="I113" s="66">
        <v>0.33680555555555558</v>
      </c>
      <c r="J113" s="428">
        <v>224.44</v>
      </c>
      <c r="K113" s="428">
        <v>20.82</v>
      </c>
      <c r="L113" s="428">
        <v>5.03</v>
      </c>
      <c r="M113" s="428">
        <v>1.52</v>
      </c>
      <c r="N113" s="428">
        <v>3.04</v>
      </c>
      <c r="O113" s="51" t="s">
        <v>48</v>
      </c>
      <c r="P113" s="51">
        <v>4</v>
      </c>
      <c r="Q113" s="51">
        <v>10</v>
      </c>
      <c r="R113" s="51" t="s">
        <v>64</v>
      </c>
      <c r="S113" s="51" t="s">
        <v>50</v>
      </c>
      <c r="T113" s="51" t="s">
        <v>50</v>
      </c>
      <c r="U113" s="51" t="s">
        <v>50</v>
      </c>
      <c r="V113" s="51" t="s">
        <v>50</v>
      </c>
      <c r="W113" s="51" t="s">
        <v>50</v>
      </c>
      <c r="X113" s="51" t="s">
        <v>50</v>
      </c>
      <c r="Y113" s="102" t="s">
        <v>10173</v>
      </c>
    </row>
    <row r="114" spans="1:25" s="97" customFormat="1" x14ac:dyDescent="0.25">
      <c r="A114" s="821">
        <v>44392</v>
      </c>
      <c r="B114" s="51" t="s">
        <v>105</v>
      </c>
      <c r="C114" s="51" t="s">
        <v>95</v>
      </c>
      <c r="D114" s="870">
        <v>38.100009999999997</v>
      </c>
      <c r="E114" s="870">
        <v>-121.587</v>
      </c>
      <c r="F114" s="51" t="s">
        <v>10165</v>
      </c>
      <c r="G114" s="51" t="s">
        <v>46</v>
      </c>
      <c r="H114" s="51" t="s">
        <v>582</v>
      </c>
      <c r="I114" s="66">
        <v>0.35902777777777778</v>
      </c>
      <c r="J114" s="428">
        <v>895</v>
      </c>
      <c r="K114" s="428">
        <v>23.35</v>
      </c>
      <c r="L114" s="428">
        <v>35.83</v>
      </c>
      <c r="M114" s="428">
        <v>1.2</v>
      </c>
      <c r="N114" s="428">
        <v>10.199999999999999</v>
      </c>
      <c r="O114" s="51" t="s">
        <v>48</v>
      </c>
      <c r="P114" s="51">
        <v>4</v>
      </c>
      <c r="Q114" s="51">
        <v>10</v>
      </c>
      <c r="R114" s="51" t="s">
        <v>64</v>
      </c>
      <c r="S114" s="51" t="s">
        <v>50</v>
      </c>
      <c r="T114" s="51" t="s">
        <v>50</v>
      </c>
      <c r="U114" s="51" t="s">
        <v>50</v>
      </c>
      <c r="V114" s="51" t="s">
        <v>50</v>
      </c>
      <c r="W114" s="51" t="s">
        <v>50</v>
      </c>
      <c r="X114" s="51" t="s">
        <v>50</v>
      </c>
      <c r="Y114" s="102" t="s">
        <v>10174</v>
      </c>
    </row>
    <row r="115" spans="1:25" s="97" customFormat="1" x14ac:dyDescent="0.25">
      <c r="A115" s="821">
        <v>44392</v>
      </c>
      <c r="B115" s="51" t="s">
        <v>105</v>
      </c>
      <c r="C115" s="51" t="s">
        <v>95</v>
      </c>
      <c r="D115" s="870">
        <v>38.082050000000002</v>
      </c>
      <c r="E115" s="870">
        <v>-121.6806</v>
      </c>
      <c r="F115" s="51" t="s">
        <v>10166</v>
      </c>
      <c r="G115" s="51" t="s">
        <v>46</v>
      </c>
      <c r="H115" s="51" t="s">
        <v>97</v>
      </c>
      <c r="I115" s="66">
        <v>0.41944444444444445</v>
      </c>
      <c r="J115" s="428">
        <v>1922.5</v>
      </c>
      <c r="K115" s="428">
        <v>22.53</v>
      </c>
      <c r="L115" s="428">
        <v>38.1</v>
      </c>
      <c r="M115" s="428">
        <v>1.19</v>
      </c>
      <c r="N115" s="428">
        <v>11.82</v>
      </c>
      <c r="O115" s="51" t="s">
        <v>48</v>
      </c>
      <c r="P115" s="51">
        <v>4</v>
      </c>
      <c r="Q115" s="51">
        <v>10</v>
      </c>
      <c r="R115" s="51" t="s">
        <v>49</v>
      </c>
      <c r="S115" s="51" t="s">
        <v>50</v>
      </c>
      <c r="T115" s="51" t="s">
        <v>50</v>
      </c>
      <c r="U115" s="51" t="s">
        <v>50</v>
      </c>
      <c r="V115" s="51" t="s">
        <v>50</v>
      </c>
      <c r="W115" s="51" t="s">
        <v>50</v>
      </c>
      <c r="X115" s="51" t="s">
        <v>50</v>
      </c>
      <c r="Y115" s="102" t="s">
        <v>621</v>
      </c>
    </row>
    <row r="116" spans="1:25" x14ac:dyDescent="0.25">
      <c r="A116" s="821">
        <v>44392</v>
      </c>
      <c r="B116" s="51" t="s">
        <v>105</v>
      </c>
      <c r="C116" s="51" t="s">
        <v>95</v>
      </c>
      <c r="D116" s="870">
        <v>38.064889999999998</v>
      </c>
      <c r="E116" s="870">
        <v>-121.67708</v>
      </c>
      <c r="F116" s="51" t="s">
        <v>10167</v>
      </c>
      <c r="G116" s="51" t="s">
        <v>46</v>
      </c>
      <c r="H116" s="51" t="s">
        <v>97</v>
      </c>
      <c r="I116" s="66">
        <v>0.47222222222222227</v>
      </c>
      <c r="J116" s="428">
        <v>2001</v>
      </c>
      <c r="K116" s="428">
        <v>22.53</v>
      </c>
      <c r="L116" s="428">
        <v>39.630000000000003</v>
      </c>
      <c r="M116" s="428">
        <v>1.2</v>
      </c>
      <c r="N116" s="428">
        <v>10.38</v>
      </c>
      <c r="O116" s="51" t="s">
        <v>48</v>
      </c>
      <c r="P116" s="51">
        <v>4</v>
      </c>
      <c r="Q116" s="51">
        <v>10</v>
      </c>
      <c r="R116" s="51" t="s">
        <v>49</v>
      </c>
      <c r="S116" s="51" t="s">
        <v>50</v>
      </c>
      <c r="T116" s="51" t="s">
        <v>50</v>
      </c>
      <c r="U116" s="51" t="s">
        <v>50</v>
      </c>
      <c r="V116" s="51" t="s">
        <v>50</v>
      </c>
      <c r="W116" s="51" t="s">
        <v>50</v>
      </c>
      <c r="X116" s="51" t="s">
        <v>50</v>
      </c>
      <c r="Y116" s="98"/>
    </row>
    <row r="117" spans="1:25" x14ac:dyDescent="0.25">
      <c r="A117" s="821">
        <v>44392</v>
      </c>
      <c r="B117" s="51" t="s">
        <v>105</v>
      </c>
      <c r="C117" s="51" t="s">
        <v>78</v>
      </c>
      <c r="D117" s="870">
        <v>38.072180000000003</v>
      </c>
      <c r="E117" s="870">
        <v>-122.0804</v>
      </c>
      <c r="F117" s="51" t="s">
        <v>10168</v>
      </c>
      <c r="G117" s="51" t="s">
        <v>80</v>
      </c>
      <c r="H117" s="51" t="s">
        <v>81</v>
      </c>
      <c r="I117" s="66">
        <v>0.34513888888888888</v>
      </c>
      <c r="J117" s="428">
        <v>28149.75</v>
      </c>
      <c r="K117" s="428">
        <v>19.07</v>
      </c>
      <c r="L117" s="428">
        <v>20.58</v>
      </c>
      <c r="M117" s="428">
        <v>0.56999999999999995</v>
      </c>
      <c r="N117" s="428">
        <v>4.97</v>
      </c>
      <c r="O117" s="51" t="s">
        <v>48</v>
      </c>
      <c r="P117" s="51">
        <v>4</v>
      </c>
      <c r="Q117" s="51">
        <v>10</v>
      </c>
      <c r="R117" s="51" t="s">
        <v>49</v>
      </c>
      <c r="S117" s="51" t="s">
        <v>50</v>
      </c>
      <c r="T117" s="51" t="s">
        <v>50</v>
      </c>
      <c r="U117" s="51" t="s">
        <v>50</v>
      </c>
      <c r="V117" s="51" t="s">
        <v>50</v>
      </c>
      <c r="W117" s="51" t="s">
        <v>50</v>
      </c>
      <c r="X117" s="51" t="s">
        <v>50</v>
      </c>
      <c r="Y117" s="638"/>
    </row>
    <row r="118" spans="1:25" s="154" customFormat="1" x14ac:dyDescent="0.25">
      <c r="A118" s="446">
        <v>44392</v>
      </c>
      <c r="B118" s="424" t="s">
        <v>105</v>
      </c>
      <c r="C118" s="424" t="s">
        <v>78</v>
      </c>
      <c r="D118" s="871">
        <v>38.078789999999998</v>
      </c>
      <c r="E118" s="871">
        <v>-122.09274000000001</v>
      </c>
      <c r="F118" s="424" t="s">
        <v>10169</v>
      </c>
      <c r="G118" s="424" t="s">
        <v>80</v>
      </c>
      <c r="H118" s="424" t="s">
        <v>81</v>
      </c>
      <c r="I118" s="425">
        <v>0.37708333333333338</v>
      </c>
      <c r="J118" s="427" t="s">
        <v>50</v>
      </c>
      <c r="K118" s="427" t="s">
        <v>50</v>
      </c>
      <c r="L118" s="427" t="s">
        <v>50</v>
      </c>
      <c r="M118" s="427" t="s">
        <v>50</v>
      </c>
      <c r="N118" s="427" t="s">
        <v>50</v>
      </c>
      <c r="O118" s="424" t="s">
        <v>48</v>
      </c>
      <c r="P118" s="424">
        <v>0</v>
      </c>
      <c r="Q118" s="424" t="s">
        <v>50</v>
      </c>
      <c r="R118" s="424" t="s">
        <v>50</v>
      </c>
      <c r="S118" s="424" t="s">
        <v>50</v>
      </c>
      <c r="T118" s="424" t="s">
        <v>50</v>
      </c>
      <c r="U118" s="424" t="s">
        <v>50</v>
      </c>
      <c r="V118" s="424" t="s">
        <v>50</v>
      </c>
      <c r="W118" s="424" t="s">
        <v>50</v>
      </c>
      <c r="X118" s="424" t="s">
        <v>50</v>
      </c>
      <c r="Y118" s="1112" t="s">
        <v>10171</v>
      </c>
    </row>
    <row r="119" spans="1:25" x14ac:dyDescent="0.25">
      <c r="A119" s="821">
        <v>44392</v>
      </c>
      <c r="B119" s="51" t="s">
        <v>105</v>
      </c>
      <c r="C119" s="51" t="s">
        <v>78</v>
      </c>
      <c r="D119" s="870">
        <v>38.04448</v>
      </c>
      <c r="E119" s="870">
        <v>-121.89162</v>
      </c>
      <c r="F119" s="51" t="s">
        <v>10170</v>
      </c>
      <c r="G119" s="51" t="s">
        <v>27</v>
      </c>
      <c r="H119" s="51" t="s">
        <v>101</v>
      </c>
      <c r="I119" s="66">
        <v>0.46597222222222223</v>
      </c>
      <c r="J119" s="428">
        <v>11775.25</v>
      </c>
      <c r="K119" s="428">
        <v>20.85</v>
      </c>
      <c r="L119" s="428">
        <v>17.399999999999999</v>
      </c>
      <c r="M119" s="428">
        <v>0.71</v>
      </c>
      <c r="N119" s="428">
        <v>10.9</v>
      </c>
      <c r="O119" s="51" t="s">
        <v>48</v>
      </c>
      <c r="P119" s="51">
        <v>4</v>
      </c>
      <c r="Q119" s="51">
        <v>10</v>
      </c>
      <c r="R119" s="51" t="s">
        <v>49</v>
      </c>
      <c r="S119" s="51" t="s">
        <v>50</v>
      </c>
      <c r="T119" s="51" t="s">
        <v>50</v>
      </c>
      <c r="U119" s="51" t="s">
        <v>50</v>
      </c>
      <c r="V119" s="51" t="s">
        <v>50</v>
      </c>
      <c r="W119" s="51" t="s">
        <v>50</v>
      </c>
      <c r="X119" s="51" t="s">
        <v>50</v>
      </c>
      <c r="Y119" s="638"/>
    </row>
    <row r="120" spans="1:25" s="362" customFormat="1" x14ac:dyDescent="0.25">
      <c r="A120" s="853">
        <v>44392</v>
      </c>
      <c r="B120" s="74" t="s">
        <v>105</v>
      </c>
      <c r="C120" s="74" t="s">
        <v>78</v>
      </c>
      <c r="D120" s="882">
        <v>38.055309999999999</v>
      </c>
      <c r="E120" s="882">
        <v>-121.9585</v>
      </c>
      <c r="F120" s="74" t="s">
        <v>10157</v>
      </c>
      <c r="G120" s="74" t="s">
        <v>27</v>
      </c>
      <c r="H120" s="74" t="s">
        <v>170</v>
      </c>
      <c r="I120" s="73">
        <v>0.4069444444444445</v>
      </c>
      <c r="J120" s="445">
        <v>18540.25</v>
      </c>
      <c r="K120" s="445">
        <v>20.45</v>
      </c>
      <c r="L120" s="445">
        <v>16.05</v>
      </c>
      <c r="M120" s="445">
        <v>0.77</v>
      </c>
      <c r="N120" s="445">
        <v>14.8</v>
      </c>
      <c r="O120" s="74" t="s">
        <v>48</v>
      </c>
      <c r="P120" s="74">
        <v>4</v>
      </c>
      <c r="Q120" s="74">
        <v>10</v>
      </c>
      <c r="R120" s="74" t="s">
        <v>49</v>
      </c>
      <c r="S120" s="74" t="s">
        <v>50</v>
      </c>
      <c r="T120" s="74" t="s">
        <v>50</v>
      </c>
      <c r="U120" s="74" t="s">
        <v>50</v>
      </c>
      <c r="V120" s="74" t="s">
        <v>50</v>
      </c>
      <c r="W120" s="74" t="s">
        <v>50</v>
      </c>
      <c r="X120" s="74" t="s">
        <v>50</v>
      </c>
      <c r="Y120" s="599"/>
    </row>
    <row r="121" spans="1:25" x14ac:dyDescent="0.25">
      <c r="A121" s="821">
        <v>44396</v>
      </c>
      <c r="B121" s="51" t="s">
        <v>43</v>
      </c>
      <c r="C121" s="51" t="s">
        <v>162</v>
      </c>
      <c r="D121" s="870">
        <v>38.296149999999997</v>
      </c>
      <c r="E121" s="870">
        <v>-121.69279</v>
      </c>
      <c r="F121" s="51" t="s">
        <v>10181</v>
      </c>
      <c r="G121" s="51" t="s">
        <v>90</v>
      </c>
      <c r="H121" s="51" t="s">
        <v>126</v>
      </c>
      <c r="I121" s="66">
        <v>0.46527777777777773</v>
      </c>
      <c r="J121" s="51">
        <v>254.03</v>
      </c>
      <c r="K121" s="51">
        <v>22.8</v>
      </c>
      <c r="L121" s="51">
        <v>8.1300000000000008</v>
      </c>
      <c r="M121" s="51">
        <v>1.39</v>
      </c>
      <c r="N121" s="51">
        <v>7.18</v>
      </c>
      <c r="O121" s="51" t="s">
        <v>48</v>
      </c>
      <c r="P121" s="51">
        <v>4</v>
      </c>
      <c r="Q121" s="51">
        <v>10</v>
      </c>
      <c r="R121" s="51" t="s">
        <v>64</v>
      </c>
      <c r="S121" s="98" t="s">
        <v>50</v>
      </c>
      <c r="T121" s="98" t="s">
        <v>50</v>
      </c>
      <c r="U121" s="98" t="s">
        <v>50</v>
      </c>
      <c r="V121" s="98" t="s">
        <v>50</v>
      </c>
      <c r="W121" s="98" t="s">
        <v>50</v>
      </c>
      <c r="X121" s="98" t="s">
        <v>50</v>
      </c>
      <c r="Y121" s="638" t="s">
        <v>10185</v>
      </c>
    </row>
    <row r="122" spans="1:25" x14ac:dyDescent="0.25">
      <c r="A122" s="821">
        <v>44396</v>
      </c>
      <c r="B122" s="51" t="s">
        <v>43</v>
      </c>
      <c r="C122" s="51" t="s">
        <v>162</v>
      </c>
      <c r="D122" s="870">
        <v>38.266109999999998</v>
      </c>
      <c r="E122" s="870">
        <v>-121.69985</v>
      </c>
      <c r="F122" s="51" t="s">
        <v>10182</v>
      </c>
      <c r="G122" s="51" t="s">
        <v>90</v>
      </c>
      <c r="H122" s="51" t="s">
        <v>126</v>
      </c>
      <c r="I122" s="66">
        <v>0.52638888888888891</v>
      </c>
      <c r="J122" s="51">
        <v>211.95</v>
      </c>
      <c r="K122" s="51">
        <v>23.13</v>
      </c>
      <c r="L122" s="51">
        <v>9.3699999999999992</v>
      </c>
      <c r="M122" s="51">
        <v>0.92</v>
      </c>
      <c r="N122" s="51">
        <v>3.65</v>
      </c>
      <c r="O122" s="51" t="s">
        <v>48</v>
      </c>
      <c r="P122" s="51">
        <v>4</v>
      </c>
      <c r="Q122" s="51">
        <v>10</v>
      </c>
      <c r="R122" s="51" t="s">
        <v>64</v>
      </c>
      <c r="S122" s="98" t="s">
        <v>50</v>
      </c>
      <c r="T122" s="98" t="s">
        <v>50</v>
      </c>
      <c r="U122" s="98" t="s">
        <v>50</v>
      </c>
      <c r="V122" s="98" t="s">
        <v>50</v>
      </c>
      <c r="W122" s="98" t="s">
        <v>50</v>
      </c>
      <c r="X122" s="98" t="s">
        <v>50</v>
      </c>
      <c r="Y122" s="638" t="s">
        <v>10184</v>
      </c>
    </row>
    <row r="123" spans="1:25" x14ac:dyDescent="0.25">
      <c r="A123" s="821">
        <v>44396</v>
      </c>
      <c r="B123" s="51" t="s">
        <v>43</v>
      </c>
      <c r="C123" s="51" t="s">
        <v>162</v>
      </c>
      <c r="D123" s="870">
        <v>38.425150000000002</v>
      </c>
      <c r="E123" s="870">
        <v>-121.61247</v>
      </c>
      <c r="F123" s="51" t="s">
        <v>10183</v>
      </c>
      <c r="G123" s="51" t="s">
        <v>90</v>
      </c>
      <c r="H123" s="51" t="s">
        <v>126</v>
      </c>
      <c r="I123" s="66">
        <v>0.34513888888888888</v>
      </c>
      <c r="J123" s="51">
        <v>261.10000000000002</v>
      </c>
      <c r="K123" s="51">
        <v>23.42</v>
      </c>
      <c r="L123" s="51">
        <v>25.8</v>
      </c>
      <c r="M123" s="51">
        <v>0.37</v>
      </c>
      <c r="N123" s="51">
        <v>2.5</v>
      </c>
      <c r="O123" s="51" t="s">
        <v>48</v>
      </c>
      <c r="P123" s="51">
        <v>4</v>
      </c>
      <c r="Q123" s="51">
        <v>10</v>
      </c>
      <c r="R123" s="51" t="s">
        <v>49</v>
      </c>
      <c r="S123" s="98" t="s">
        <v>50</v>
      </c>
      <c r="T123" s="98" t="s">
        <v>50</v>
      </c>
      <c r="U123" s="98" t="s">
        <v>50</v>
      </c>
      <c r="V123" s="98" t="s">
        <v>50</v>
      </c>
      <c r="W123" s="98" t="s">
        <v>50</v>
      </c>
      <c r="X123" s="98" t="s">
        <v>50</v>
      </c>
      <c r="Y123" s="638" t="s">
        <v>10186</v>
      </c>
    </row>
    <row r="124" spans="1:25" s="154" customFormat="1" x14ac:dyDescent="0.25">
      <c r="A124" s="821">
        <v>44396</v>
      </c>
      <c r="B124" s="51" t="s">
        <v>43</v>
      </c>
      <c r="C124" s="51" t="s">
        <v>88</v>
      </c>
      <c r="D124" s="870">
        <v>38.168199999999999</v>
      </c>
      <c r="E124" s="870">
        <v>-121.67873</v>
      </c>
      <c r="F124" s="51" t="s">
        <v>10175</v>
      </c>
      <c r="G124" s="51" t="s">
        <v>90</v>
      </c>
      <c r="H124" s="51" t="s">
        <v>91</v>
      </c>
      <c r="I124" s="66">
        <v>0.36944444444444446</v>
      </c>
      <c r="J124" s="428">
        <v>203.15</v>
      </c>
      <c r="K124" s="428">
        <v>23.82</v>
      </c>
      <c r="L124" s="428">
        <v>27.38</v>
      </c>
      <c r="M124" s="428">
        <v>1.17</v>
      </c>
      <c r="N124" s="428">
        <v>8.9</v>
      </c>
      <c r="O124" s="51" t="s">
        <v>48</v>
      </c>
      <c r="P124" s="51">
        <v>4</v>
      </c>
      <c r="Q124" s="51">
        <v>10</v>
      </c>
      <c r="R124" s="51" t="s">
        <v>64</v>
      </c>
      <c r="S124" s="98" t="s">
        <v>50</v>
      </c>
      <c r="T124" s="98" t="s">
        <v>50</v>
      </c>
      <c r="U124" s="98" t="s">
        <v>50</v>
      </c>
      <c r="V124" s="98" t="s">
        <v>50</v>
      </c>
      <c r="W124" s="98" t="s">
        <v>50</v>
      </c>
      <c r="X124" s="98" t="s">
        <v>50</v>
      </c>
      <c r="Y124" s="159"/>
    </row>
    <row r="125" spans="1:25" x14ac:dyDescent="0.25">
      <c r="A125" s="821">
        <v>44396</v>
      </c>
      <c r="B125" s="51" t="s">
        <v>43</v>
      </c>
      <c r="C125" s="51" t="s">
        <v>88</v>
      </c>
      <c r="D125" s="870">
        <v>38.108400000000003</v>
      </c>
      <c r="E125" s="870">
        <v>-121.69285000000001</v>
      </c>
      <c r="F125" s="51" t="s">
        <v>10176</v>
      </c>
      <c r="G125" s="51" t="s">
        <v>90</v>
      </c>
      <c r="H125" s="51" t="s">
        <v>91</v>
      </c>
      <c r="I125" s="66">
        <v>0.43541666666666662</v>
      </c>
      <c r="J125" s="428">
        <v>1285.5</v>
      </c>
      <c r="K125" s="428">
        <v>23.62</v>
      </c>
      <c r="L125" s="428">
        <v>9.4499999999999993</v>
      </c>
      <c r="M125" s="428">
        <v>0.92</v>
      </c>
      <c r="N125" s="428">
        <v>5.69</v>
      </c>
      <c r="O125" s="51" t="s">
        <v>48</v>
      </c>
      <c r="P125" s="51">
        <v>4</v>
      </c>
      <c r="Q125" s="51">
        <v>10</v>
      </c>
      <c r="R125" s="51" t="s">
        <v>64</v>
      </c>
      <c r="S125" s="98" t="s">
        <v>50</v>
      </c>
      <c r="T125" s="98" t="s">
        <v>50</v>
      </c>
      <c r="U125" s="98" t="s">
        <v>50</v>
      </c>
      <c r="V125" s="98" t="s">
        <v>50</v>
      </c>
      <c r="W125" s="98" t="s">
        <v>50</v>
      </c>
      <c r="X125" s="98" t="s">
        <v>50</v>
      </c>
      <c r="Y125" s="638"/>
    </row>
    <row r="126" spans="1:25" x14ac:dyDescent="0.25">
      <c r="A126" s="821">
        <v>44396</v>
      </c>
      <c r="B126" s="51" t="s">
        <v>43</v>
      </c>
      <c r="C126" s="51" t="s">
        <v>88</v>
      </c>
      <c r="D126" s="870">
        <v>38.065199999999997</v>
      </c>
      <c r="E126" s="870">
        <v>-121.78218</v>
      </c>
      <c r="F126" s="51" t="s">
        <v>10177</v>
      </c>
      <c r="G126" s="51" t="s">
        <v>27</v>
      </c>
      <c r="H126" s="51" t="s">
        <v>25</v>
      </c>
      <c r="I126" s="66">
        <v>0.50277777777777777</v>
      </c>
      <c r="J126" s="428">
        <v>6204.75</v>
      </c>
      <c r="K126" s="428">
        <v>19.52</v>
      </c>
      <c r="L126" s="428">
        <v>12.12</v>
      </c>
      <c r="M126" s="428">
        <v>0.8</v>
      </c>
      <c r="N126" s="428">
        <v>9.1199999999999992</v>
      </c>
      <c r="O126" s="51" t="s">
        <v>48</v>
      </c>
      <c r="P126" s="51">
        <v>4</v>
      </c>
      <c r="Q126" s="51">
        <v>10</v>
      </c>
      <c r="R126" s="51" t="s">
        <v>64</v>
      </c>
      <c r="S126" s="98" t="s">
        <v>50</v>
      </c>
      <c r="T126" s="98" t="s">
        <v>50</v>
      </c>
      <c r="U126" s="98" t="s">
        <v>50</v>
      </c>
      <c r="V126" s="98" t="s">
        <v>50</v>
      </c>
      <c r="W126" s="98" t="s">
        <v>50</v>
      </c>
      <c r="X126" s="98" t="s">
        <v>50</v>
      </c>
      <c r="Y126" s="638"/>
    </row>
    <row r="127" spans="1:25" x14ac:dyDescent="0.25">
      <c r="A127" s="821">
        <v>44396</v>
      </c>
      <c r="B127" s="51" t="s">
        <v>43</v>
      </c>
      <c r="C127" s="51" t="s">
        <v>78</v>
      </c>
      <c r="D127" s="870">
        <v>38.051000000000002</v>
      </c>
      <c r="E127" s="870">
        <v>-122.10814999999999</v>
      </c>
      <c r="F127" s="51" t="s">
        <v>10178</v>
      </c>
      <c r="G127" s="51" t="s">
        <v>80</v>
      </c>
      <c r="H127" s="51" t="s">
        <v>81</v>
      </c>
      <c r="I127" s="66">
        <v>0.35555555555555557</v>
      </c>
      <c r="J127" s="428">
        <v>25181.75</v>
      </c>
      <c r="K127" s="428">
        <v>20.58</v>
      </c>
      <c r="L127" s="428">
        <v>18.88</v>
      </c>
      <c r="M127" s="428">
        <v>0.68</v>
      </c>
      <c r="N127" s="428">
        <v>5.85</v>
      </c>
      <c r="O127" s="51" t="s">
        <v>48</v>
      </c>
      <c r="P127" s="51">
        <v>4</v>
      </c>
      <c r="Q127" s="51">
        <v>10</v>
      </c>
      <c r="R127" s="51" t="s">
        <v>64</v>
      </c>
      <c r="S127" s="98" t="s">
        <v>50</v>
      </c>
      <c r="T127" s="98" t="s">
        <v>50</v>
      </c>
      <c r="U127" s="98" t="s">
        <v>50</v>
      </c>
      <c r="V127" s="98" t="s">
        <v>50</v>
      </c>
      <c r="W127" s="98" t="s">
        <v>50</v>
      </c>
      <c r="X127" s="98" t="s">
        <v>50</v>
      </c>
      <c r="Y127" s="35"/>
    </row>
    <row r="128" spans="1:25" x14ac:dyDescent="0.25">
      <c r="A128" s="821">
        <v>44396</v>
      </c>
      <c r="B128" s="51" t="s">
        <v>43</v>
      </c>
      <c r="C128" s="51" t="s">
        <v>78</v>
      </c>
      <c r="D128" s="870">
        <v>38.061219999999999</v>
      </c>
      <c r="E128" s="870">
        <v>-121.96293</v>
      </c>
      <c r="F128" s="51" t="s">
        <v>10179</v>
      </c>
      <c r="G128" s="51" t="s">
        <v>27</v>
      </c>
      <c r="H128" s="51" t="s">
        <v>170</v>
      </c>
      <c r="I128" s="66">
        <v>0.47500000000000003</v>
      </c>
      <c r="J128" s="428">
        <v>17299.75</v>
      </c>
      <c r="K128" s="428">
        <v>20.95</v>
      </c>
      <c r="L128" s="428">
        <v>19.899999999999999</v>
      </c>
      <c r="M128" s="428">
        <v>0.7</v>
      </c>
      <c r="N128" s="428">
        <v>10.57</v>
      </c>
      <c r="O128" s="51" t="s">
        <v>48</v>
      </c>
      <c r="P128" s="51">
        <v>4</v>
      </c>
      <c r="Q128" s="51">
        <v>10</v>
      </c>
      <c r="R128" s="51" t="s">
        <v>64</v>
      </c>
      <c r="S128" s="98" t="s">
        <v>50</v>
      </c>
      <c r="T128" s="98" t="s">
        <v>50</v>
      </c>
      <c r="U128" s="98" t="s">
        <v>50</v>
      </c>
      <c r="V128" s="98" t="s">
        <v>50</v>
      </c>
      <c r="W128" s="98" t="s">
        <v>50</v>
      </c>
      <c r="X128" s="98" t="s">
        <v>50</v>
      </c>
    </row>
    <row r="129" spans="1:25" x14ac:dyDescent="0.25">
      <c r="A129" s="821">
        <v>44396</v>
      </c>
      <c r="B129" s="51" t="s">
        <v>43</v>
      </c>
      <c r="C129" s="51" t="s">
        <v>78</v>
      </c>
      <c r="D129" s="870">
        <v>38.072679999999998</v>
      </c>
      <c r="E129" s="870">
        <v>-122.02370999999999</v>
      </c>
      <c r="F129" s="51" t="s">
        <v>10180</v>
      </c>
      <c r="G129" s="51" t="s">
        <v>27</v>
      </c>
      <c r="H129" s="51" t="s">
        <v>86</v>
      </c>
      <c r="I129" s="66">
        <v>0.41736111111111113</v>
      </c>
      <c r="J129" s="428">
        <v>20694.5</v>
      </c>
      <c r="K129" s="428">
        <v>20.45</v>
      </c>
      <c r="L129" s="428">
        <v>26.68</v>
      </c>
      <c r="M129" s="428">
        <v>0.61</v>
      </c>
      <c r="N129" s="428">
        <v>8.7200000000000006</v>
      </c>
      <c r="O129" s="51" t="s">
        <v>48</v>
      </c>
      <c r="P129" s="51">
        <v>4</v>
      </c>
      <c r="Q129" s="51">
        <v>10</v>
      </c>
      <c r="R129" s="51" t="s">
        <v>64</v>
      </c>
      <c r="S129" s="98" t="s">
        <v>50</v>
      </c>
      <c r="T129" s="98" t="s">
        <v>50</v>
      </c>
      <c r="U129" s="98" t="s">
        <v>50</v>
      </c>
      <c r="V129" s="98" t="s">
        <v>50</v>
      </c>
      <c r="W129" s="98" t="s">
        <v>50</v>
      </c>
      <c r="X129" s="98" t="s">
        <v>50</v>
      </c>
    </row>
    <row r="130" spans="1:25" x14ac:dyDescent="0.25">
      <c r="A130" s="821">
        <v>44397</v>
      </c>
      <c r="B130" s="51" t="s">
        <v>70</v>
      </c>
      <c r="C130" s="51" t="s">
        <v>162</v>
      </c>
      <c r="D130" s="870">
        <v>38.235149999999997</v>
      </c>
      <c r="E130" s="870">
        <v>-121.67934</v>
      </c>
      <c r="F130" s="51" t="s">
        <v>10187</v>
      </c>
      <c r="G130" s="51" t="s">
        <v>90</v>
      </c>
      <c r="H130" s="51" t="s">
        <v>126</v>
      </c>
      <c r="I130" s="66">
        <v>0.45555555555555555</v>
      </c>
      <c r="J130" s="428">
        <v>209.4</v>
      </c>
      <c r="K130" s="428">
        <v>23.07</v>
      </c>
      <c r="L130" s="428">
        <v>49.4</v>
      </c>
      <c r="M130" s="428">
        <v>0.9</v>
      </c>
      <c r="N130" s="428">
        <v>9.8800000000000008</v>
      </c>
      <c r="O130" s="51" t="s">
        <v>48</v>
      </c>
      <c r="P130" s="51">
        <v>4</v>
      </c>
      <c r="Q130" s="51">
        <v>10</v>
      </c>
      <c r="R130" s="51" t="s">
        <v>64</v>
      </c>
      <c r="S130" s="98" t="s">
        <v>50</v>
      </c>
      <c r="T130" s="98" t="s">
        <v>50</v>
      </c>
      <c r="U130" s="98" t="s">
        <v>50</v>
      </c>
      <c r="V130" s="98" t="s">
        <v>50</v>
      </c>
      <c r="W130" s="98" t="s">
        <v>50</v>
      </c>
      <c r="X130" s="98" t="s">
        <v>50</v>
      </c>
    </row>
    <row r="131" spans="1:25" x14ac:dyDescent="0.25">
      <c r="A131" s="821">
        <v>44397</v>
      </c>
      <c r="B131" s="51" t="s">
        <v>70</v>
      </c>
      <c r="C131" s="51" t="s">
        <v>162</v>
      </c>
      <c r="D131" s="870">
        <v>38.280070000000002</v>
      </c>
      <c r="E131" s="870">
        <v>-121.71295000000001</v>
      </c>
      <c r="F131" s="51" t="s">
        <v>10188</v>
      </c>
      <c r="G131" s="51" t="s">
        <v>90</v>
      </c>
      <c r="H131" s="51" t="s">
        <v>126</v>
      </c>
      <c r="I131" s="66">
        <v>0.33263888888888887</v>
      </c>
      <c r="J131" s="428">
        <v>227.35</v>
      </c>
      <c r="K131" s="428">
        <v>21.9</v>
      </c>
      <c r="L131" s="428">
        <v>23.2</v>
      </c>
      <c r="M131" s="428">
        <v>1.56</v>
      </c>
      <c r="N131" s="428">
        <v>2.85</v>
      </c>
      <c r="O131" s="51" t="s">
        <v>48</v>
      </c>
      <c r="P131" s="51">
        <v>2</v>
      </c>
      <c r="Q131" s="51">
        <v>10</v>
      </c>
      <c r="R131" s="51" t="s">
        <v>49</v>
      </c>
      <c r="S131" s="98" t="s">
        <v>50</v>
      </c>
      <c r="T131" s="98" t="s">
        <v>50</v>
      </c>
      <c r="U131" s="98" t="s">
        <v>50</v>
      </c>
      <c r="V131" s="98" t="s">
        <v>50</v>
      </c>
      <c r="W131" s="98" t="s">
        <v>50</v>
      </c>
      <c r="X131" s="98" t="s">
        <v>50</v>
      </c>
      <c r="Y131" s="622" t="s">
        <v>10196</v>
      </c>
    </row>
    <row r="132" spans="1:25" x14ac:dyDescent="0.25">
      <c r="A132" s="821">
        <v>44397</v>
      </c>
      <c r="B132" s="51" t="s">
        <v>70</v>
      </c>
      <c r="C132" s="51" t="s">
        <v>162</v>
      </c>
      <c r="D132" s="870">
        <v>38.255580000000002</v>
      </c>
      <c r="E132" s="870">
        <v>-121.73672000000001</v>
      </c>
      <c r="F132" s="51" t="s">
        <v>10189</v>
      </c>
      <c r="G132" s="51" t="s">
        <v>90</v>
      </c>
      <c r="H132" s="51" t="s">
        <v>126</v>
      </c>
      <c r="I132" s="66">
        <v>0.38055555555555554</v>
      </c>
      <c r="J132" s="428">
        <v>236.67</v>
      </c>
      <c r="K132" s="428">
        <v>21.92</v>
      </c>
      <c r="L132" s="428">
        <v>51.23</v>
      </c>
      <c r="M132" s="428">
        <v>0.73</v>
      </c>
      <c r="N132" s="428">
        <v>5.28</v>
      </c>
      <c r="O132" s="51" t="s">
        <v>48</v>
      </c>
      <c r="P132" s="51">
        <v>4</v>
      </c>
      <c r="Q132" s="51">
        <v>10</v>
      </c>
      <c r="R132" s="51" t="s">
        <v>49</v>
      </c>
      <c r="S132" s="98" t="s">
        <v>50</v>
      </c>
      <c r="T132" s="98" t="s">
        <v>50</v>
      </c>
      <c r="U132" s="98" t="s">
        <v>50</v>
      </c>
      <c r="V132" s="98" t="s">
        <v>50</v>
      </c>
      <c r="W132" s="98" t="s">
        <v>50</v>
      </c>
      <c r="X132" s="98" t="s">
        <v>50</v>
      </c>
    </row>
    <row r="133" spans="1:25" x14ac:dyDescent="0.25">
      <c r="A133" s="821">
        <v>44397</v>
      </c>
      <c r="B133" s="51" t="s">
        <v>70</v>
      </c>
      <c r="C133" s="51" t="s">
        <v>88</v>
      </c>
      <c r="D133" s="870">
        <v>38.158059999999999</v>
      </c>
      <c r="E133" s="870">
        <v>-121.68499</v>
      </c>
      <c r="F133" s="51" t="s">
        <v>10190</v>
      </c>
      <c r="G133" s="51" t="s">
        <v>90</v>
      </c>
      <c r="H133" s="51" t="s">
        <v>91</v>
      </c>
      <c r="I133" s="66">
        <v>0.35902777777777778</v>
      </c>
      <c r="J133" s="428">
        <v>235.12</v>
      </c>
      <c r="K133" s="428">
        <v>23.55</v>
      </c>
      <c r="L133" s="428">
        <v>9.6</v>
      </c>
      <c r="M133" s="428">
        <v>0.96</v>
      </c>
      <c r="N133" s="428">
        <v>9.6999999999999993</v>
      </c>
      <c r="O133" s="51" t="s">
        <v>48</v>
      </c>
      <c r="P133" s="51">
        <v>4</v>
      </c>
      <c r="Q133" s="51">
        <v>10</v>
      </c>
      <c r="R133" s="51" t="s">
        <v>49</v>
      </c>
      <c r="S133" s="98" t="s">
        <v>50</v>
      </c>
      <c r="T133" s="98" t="s">
        <v>50</v>
      </c>
      <c r="U133" s="98" t="s">
        <v>50</v>
      </c>
      <c r="V133" s="98" t="s">
        <v>50</v>
      </c>
      <c r="W133" s="98" t="s">
        <v>50</v>
      </c>
      <c r="X133" s="98" t="s">
        <v>50</v>
      </c>
    </row>
    <row r="134" spans="1:25" x14ac:dyDescent="0.25">
      <c r="A134" s="821">
        <v>44397</v>
      </c>
      <c r="B134" s="51" t="s">
        <v>70</v>
      </c>
      <c r="C134" s="51" t="s">
        <v>88</v>
      </c>
      <c r="D134" s="870">
        <v>38.127330000000001</v>
      </c>
      <c r="E134" s="870">
        <v>-121.69756</v>
      </c>
      <c r="F134" s="51" t="s">
        <v>10191</v>
      </c>
      <c r="G134" s="51" t="s">
        <v>90</v>
      </c>
      <c r="H134" s="51" t="s">
        <v>91</v>
      </c>
      <c r="I134" s="66">
        <v>0.4284722222222222</v>
      </c>
      <c r="J134" s="428">
        <v>292.02999999999997</v>
      </c>
      <c r="K134" s="428">
        <v>23.6</v>
      </c>
      <c r="L134" s="428">
        <v>11.44</v>
      </c>
      <c r="M134" s="428">
        <v>0.94</v>
      </c>
      <c r="N134" s="428">
        <v>9.5</v>
      </c>
      <c r="O134" s="51" t="s">
        <v>48</v>
      </c>
      <c r="P134" s="51">
        <v>4</v>
      </c>
      <c r="Q134" s="51">
        <v>10</v>
      </c>
      <c r="R134" s="51" t="s">
        <v>49</v>
      </c>
      <c r="S134" s="98" t="s">
        <v>50</v>
      </c>
      <c r="T134" s="98" t="s">
        <v>50</v>
      </c>
      <c r="U134" s="98" t="s">
        <v>50</v>
      </c>
      <c r="V134" s="98" t="s">
        <v>50</v>
      </c>
      <c r="W134" s="98" t="s">
        <v>50</v>
      </c>
      <c r="X134" s="98" t="s">
        <v>50</v>
      </c>
      <c r="Y134" s="622" t="s">
        <v>10197</v>
      </c>
    </row>
    <row r="135" spans="1:25" x14ac:dyDescent="0.25">
      <c r="A135" s="821">
        <v>44397</v>
      </c>
      <c r="B135" s="51" t="s">
        <v>70</v>
      </c>
      <c r="C135" s="51" t="s">
        <v>88</v>
      </c>
      <c r="D135" s="870">
        <v>38.065359999999998</v>
      </c>
      <c r="E135" s="870">
        <v>-121.82292</v>
      </c>
      <c r="F135" s="51" t="s">
        <v>10192</v>
      </c>
      <c r="G135" s="51" t="s">
        <v>27</v>
      </c>
      <c r="H135" s="51" t="s">
        <v>25</v>
      </c>
      <c r="I135" s="66">
        <v>0.50277777777777777</v>
      </c>
      <c r="J135" s="428">
        <v>7618.75</v>
      </c>
      <c r="K135" s="428">
        <v>21.7</v>
      </c>
      <c r="L135" s="428">
        <v>13.3</v>
      </c>
      <c r="M135" s="428">
        <v>0.89</v>
      </c>
      <c r="N135" s="428">
        <v>9</v>
      </c>
      <c r="O135" s="51" t="s">
        <v>48</v>
      </c>
      <c r="P135" s="51">
        <v>4</v>
      </c>
      <c r="Q135" s="51">
        <v>10</v>
      </c>
      <c r="R135" s="51" t="s">
        <v>64</v>
      </c>
      <c r="S135" s="98" t="s">
        <v>50</v>
      </c>
      <c r="T135" s="98" t="s">
        <v>50</v>
      </c>
      <c r="U135" s="98" t="s">
        <v>50</v>
      </c>
      <c r="V135" s="98" t="s">
        <v>50</v>
      </c>
      <c r="W135" s="98" t="s">
        <v>50</v>
      </c>
      <c r="X135" s="98" t="s">
        <v>50</v>
      </c>
    </row>
    <row r="136" spans="1:25" x14ac:dyDescent="0.25">
      <c r="A136" s="821">
        <v>44397</v>
      </c>
      <c r="B136" s="51" t="s">
        <v>70</v>
      </c>
      <c r="C136" s="51" t="s">
        <v>78</v>
      </c>
      <c r="D136" s="870">
        <v>38.06803</v>
      </c>
      <c r="E136" s="870">
        <v>-122.08054</v>
      </c>
      <c r="F136" s="51" t="s">
        <v>10193</v>
      </c>
      <c r="G136" s="51" t="s">
        <v>80</v>
      </c>
      <c r="H136" s="51" t="s">
        <v>81</v>
      </c>
      <c r="I136" s="66">
        <v>0.34513888888888888</v>
      </c>
      <c r="J136" s="428">
        <v>24635</v>
      </c>
      <c r="K136" s="428">
        <v>20.23</v>
      </c>
      <c r="L136" s="428">
        <v>25.78</v>
      </c>
      <c r="M136" s="428">
        <v>0.53</v>
      </c>
      <c r="N136" s="428">
        <v>5.98</v>
      </c>
      <c r="O136" s="51" t="s">
        <v>48</v>
      </c>
      <c r="P136" s="51">
        <v>4</v>
      </c>
      <c r="Q136" s="51">
        <v>10</v>
      </c>
      <c r="R136" s="51" t="s">
        <v>64</v>
      </c>
      <c r="S136" s="98" t="s">
        <v>50</v>
      </c>
      <c r="T136" s="98" t="s">
        <v>50</v>
      </c>
      <c r="U136" s="98" t="s">
        <v>50</v>
      </c>
      <c r="V136" s="98" t="s">
        <v>50</v>
      </c>
      <c r="W136" s="98" t="s">
        <v>50</v>
      </c>
      <c r="X136" s="98" t="s">
        <v>50</v>
      </c>
    </row>
    <row r="137" spans="1:25" x14ac:dyDescent="0.25">
      <c r="A137" s="821">
        <v>44397</v>
      </c>
      <c r="B137" s="51" t="s">
        <v>70</v>
      </c>
      <c r="C137" s="51" t="s">
        <v>78</v>
      </c>
      <c r="D137" s="870">
        <v>38.065640000000002</v>
      </c>
      <c r="E137" s="870">
        <v>-121.84685</v>
      </c>
      <c r="F137" s="51" t="s">
        <v>10194</v>
      </c>
      <c r="G137" s="51" t="s">
        <v>27</v>
      </c>
      <c r="H137" s="51" t="s">
        <v>101</v>
      </c>
      <c r="I137" s="66">
        <v>0.4694444444444445</v>
      </c>
      <c r="J137" s="428">
        <v>7613.75</v>
      </c>
      <c r="K137" s="428">
        <v>21.6</v>
      </c>
      <c r="L137" s="428">
        <v>12.55</v>
      </c>
      <c r="M137" s="428">
        <v>1</v>
      </c>
      <c r="N137" s="428">
        <v>10.93</v>
      </c>
      <c r="O137" s="51" t="s">
        <v>48</v>
      </c>
      <c r="P137" s="51">
        <v>4</v>
      </c>
      <c r="Q137" s="51">
        <v>10</v>
      </c>
      <c r="R137" s="51" t="s">
        <v>64</v>
      </c>
      <c r="S137" s="98" t="s">
        <v>50</v>
      </c>
      <c r="T137" s="98" t="s">
        <v>50</v>
      </c>
      <c r="U137" s="98" t="s">
        <v>50</v>
      </c>
      <c r="V137" s="98" t="s">
        <v>50</v>
      </c>
      <c r="W137" s="98" t="s">
        <v>50</v>
      </c>
      <c r="X137" s="98" t="s">
        <v>50</v>
      </c>
      <c r="Y137" s="622" t="s">
        <v>621</v>
      </c>
    </row>
    <row r="138" spans="1:25" x14ac:dyDescent="0.25">
      <c r="A138" s="821">
        <v>44397</v>
      </c>
      <c r="B138" s="51" t="s">
        <v>70</v>
      </c>
      <c r="C138" s="51" t="s">
        <v>78</v>
      </c>
      <c r="D138" s="870">
        <v>38.097619999999999</v>
      </c>
      <c r="E138" s="870">
        <v>-122.06343</v>
      </c>
      <c r="F138" s="51" t="s">
        <v>10195</v>
      </c>
      <c r="G138" s="51" t="s">
        <v>27</v>
      </c>
      <c r="H138" s="51" t="s">
        <v>86</v>
      </c>
      <c r="I138" s="66">
        <v>0.40138888888888885</v>
      </c>
      <c r="J138" s="428">
        <v>22886.25</v>
      </c>
      <c r="K138" s="428">
        <v>20.55</v>
      </c>
      <c r="L138" s="428">
        <v>35.65</v>
      </c>
      <c r="M138" s="428">
        <v>0.55000000000000004</v>
      </c>
      <c r="N138" s="428">
        <v>9.68</v>
      </c>
      <c r="O138" s="51" t="s">
        <v>48</v>
      </c>
      <c r="P138" s="51">
        <v>4</v>
      </c>
      <c r="Q138" s="51">
        <v>10</v>
      </c>
      <c r="R138" s="51" t="s">
        <v>64</v>
      </c>
      <c r="S138" s="98" t="s">
        <v>50</v>
      </c>
      <c r="T138" s="98" t="s">
        <v>50</v>
      </c>
      <c r="U138" s="98" t="s">
        <v>50</v>
      </c>
      <c r="V138" s="98" t="s">
        <v>50</v>
      </c>
      <c r="W138" s="98" t="s">
        <v>50</v>
      </c>
      <c r="X138" s="98" t="s">
        <v>50</v>
      </c>
    </row>
    <row r="139" spans="1:25" s="51" customFormat="1" x14ac:dyDescent="0.25">
      <c r="A139" s="821">
        <v>44398</v>
      </c>
      <c r="B139" s="51" t="s">
        <v>87</v>
      </c>
      <c r="C139" s="51" t="s">
        <v>95</v>
      </c>
      <c r="D139" s="870">
        <v>38.04128</v>
      </c>
      <c r="E139" s="870">
        <v>-121.49509</v>
      </c>
      <c r="F139" s="51" t="s">
        <v>10200</v>
      </c>
      <c r="G139" s="51" t="s">
        <v>46</v>
      </c>
      <c r="H139" s="51" t="s">
        <v>115</v>
      </c>
      <c r="I139" s="66">
        <v>0.39097222222222222</v>
      </c>
      <c r="J139" s="51">
        <v>500.78</v>
      </c>
      <c r="K139" s="51">
        <v>25.6</v>
      </c>
      <c r="L139" s="51">
        <v>4.18</v>
      </c>
      <c r="M139" s="51">
        <v>1.76</v>
      </c>
      <c r="N139" s="51">
        <v>9.4</v>
      </c>
      <c r="O139" s="51" t="s">
        <v>48</v>
      </c>
      <c r="P139" s="51">
        <v>4</v>
      </c>
      <c r="Q139" s="51">
        <v>10</v>
      </c>
      <c r="R139" s="51" t="s">
        <v>49</v>
      </c>
      <c r="S139" s="51" t="s">
        <v>50</v>
      </c>
      <c r="T139" s="51" t="s">
        <v>50</v>
      </c>
      <c r="U139" s="51" t="s">
        <v>50</v>
      </c>
      <c r="V139" s="51" t="s">
        <v>50</v>
      </c>
      <c r="W139" s="51" t="s">
        <v>50</v>
      </c>
      <c r="X139" s="51" t="s">
        <v>50</v>
      </c>
      <c r="Y139" s="52"/>
    </row>
    <row r="140" spans="1:25" s="51" customFormat="1" x14ac:dyDescent="0.25">
      <c r="A140" s="821">
        <v>44398</v>
      </c>
      <c r="B140" s="51" t="s">
        <v>87</v>
      </c>
      <c r="C140" s="51" t="s">
        <v>95</v>
      </c>
      <c r="D140" s="870">
        <v>38.055599999999998</v>
      </c>
      <c r="E140" s="870">
        <v>-121.53043</v>
      </c>
      <c r="F140" s="51" t="s">
        <v>10201</v>
      </c>
      <c r="G140" s="51" t="s">
        <v>46</v>
      </c>
      <c r="H140" s="51" t="s">
        <v>115</v>
      </c>
      <c r="I140" s="66">
        <v>0.45694444444444443</v>
      </c>
      <c r="J140" s="51">
        <v>507.25</v>
      </c>
      <c r="K140" s="51">
        <v>25.47</v>
      </c>
      <c r="L140" s="51">
        <v>4.5199999999999996</v>
      </c>
      <c r="M140" s="51">
        <v>1.53</v>
      </c>
      <c r="N140" s="51">
        <v>11.1</v>
      </c>
      <c r="O140" s="51" t="s">
        <v>48</v>
      </c>
      <c r="P140" s="51">
        <v>4</v>
      </c>
      <c r="Q140" s="51">
        <v>10</v>
      </c>
      <c r="R140" s="51" t="s">
        <v>49</v>
      </c>
      <c r="S140" s="51" t="s">
        <v>50</v>
      </c>
      <c r="T140" s="51" t="s">
        <v>50</v>
      </c>
      <c r="U140" s="51" t="s">
        <v>50</v>
      </c>
      <c r="V140" s="51" t="s">
        <v>50</v>
      </c>
      <c r="W140" s="51" t="s">
        <v>50</v>
      </c>
      <c r="X140" s="51" t="s">
        <v>50</v>
      </c>
      <c r="Y140" s="52"/>
    </row>
    <row r="141" spans="1:25" s="424" customFormat="1" x14ac:dyDescent="0.25">
      <c r="A141" s="446">
        <v>44398</v>
      </c>
      <c r="B141" s="424" t="s">
        <v>87</v>
      </c>
      <c r="C141" s="424" t="s">
        <v>95</v>
      </c>
      <c r="D141" s="871">
        <v>38.111660000000001</v>
      </c>
      <c r="E141" s="871">
        <v>121.61442</v>
      </c>
      <c r="F141" s="424" t="s">
        <v>10202</v>
      </c>
      <c r="G141" s="424" t="s">
        <v>46</v>
      </c>
      <c r="H141" s="424" t="s">
        <v>97</v>
      </c>
      <c r="I141" s="425">
        <v>0.52013888888888882</v>
      </c>
      <c r="J141" s="424" t="s">
        <v>50</v>
      </c>
      <c r="K141" s="424" t="s">
        <v>50</v>
      </c>
      <c r="L141" s="424" t="s">
        <v>50</v>
      </c>
      <c r="M141" s="424" t="s">
        <v>50</v>
      </c>
      <c r="N141" s="424" t="s">
        <v>50</v>
      </c>
      <c r="O141" s="424" t="s">
        <v>48</v>
      </c>
      <c r="P141" s="424">
        <v>0</v>
      </c>
      <c r="Q141" s="424" t="s">
        <v>50</v>
      </c>
      <c r="R141" s="424" t="s">
        <v>50</v>
      </c>
      <c r="S141" s="424" t="s">
        <v>50</v>
      </c>
      <c r="T141" s="424" t="s">
        <v>50</v>
      </c>
      <c r="U141" s="424" t="s">
        <v>50</v>
      </c>
      <c r="V141" s="424" t="s">
        <v>50</v>
      </c>
      <c r="W141" s="424" t="s">
        <v>50</v>
      </c>
      <c r="X141" s="424" t="s">
        <v>50</v>
      </c>
      <c r="Y141" s="426" t="s">
        <v>10208</v>
      </c>
    </row>
    <row r="142" spans="1:25" s="51" customFormat="1" x14ac:dyDescent="0.25">
      <c r="A142" s="821">
        <v>44398</v>
      </c>
      <c r="B142" s="51" t="s">
        <v>87</v>
      </c>
      <c r="C142" s="51" t="s">
        <v>95</v>
      </c>
      <c r="D142" s="870">
        <v>38.104120000000002</v>
      </c>
      <c r="E142" s="870">
        <v>-121.61138</v>
      </c>
      <c r="F142" s="51" t="s">
        <v>10203</v>
      </c>
      <c r="G142" s="51" t="s">
        <v>46</v>
      </c>
      <c r="H142" s="51" t="s">
        <v>97</v>
      </c>
      <c r="I142" s="66">
        <v>0.53055555555555556</v>
      </c>
      <c r="J142" s="428">
        <v>444.1</v>
      </c>
      <c r="K142" s="428">
        <v>24.8</v>
      </c>
      <c r="L142" s="428">
        <v>7.33</v>
      </c>
      <c r="M142" s="428">
        <v>1.43</v>
      </c>
      <c r="N142" s="428">
        <v>11.6</v>
      </c>
      <c r="O142" s="51" t="s">
        <v>48</v>
      </c>
      <c r="P142" s="51">
        <v>4</v>
      </c>
      <c r="Q142" s="51">
        <v>10</v>
      </c>
      <c r="R142" s="51" t="s">
        <v>64</v>
      </c>
      <c r="S142" s="51" t="s">
        <v>50</v>
      </c>
      <c r="T142" s="51" t="s">
        <v>50</v>
      </c>
      <c r="U142" s="51" t="s">
        <v>50</v>
      </c>
      <c r="V142" s="51" t="s">
        <v>50</v>
      </c>
      <c r="W142" s="51" t="s">
        <v>50</v>
      </c>
      <c r="X142" s="51" t="s">
        <v>50</v>
      </c>
      <c r="Y142" s="52"/>
    </row>
    <row r="143" spans="1:25" s="51" customFormat="1" x14ac:dyDescent="0.25">
      <c r="A143" s="821">
        <v>44398</v>
      </c>
      <c r="B143" s="51" t="s">
        <v>87</v>
      </c>
      <c r="C143" s="51" t="s">
        <v>106</v>
      </c>
      <c r="D143" s="51">
        <v>38.305570000000003</v>
      </c>
      <c r="E143" s="51">
        <v>-121.65394999999999</v>
      </c>
      <c r="F143" s="51" t="s">
        <v>10214</v>
      </c>
      <c r="G143" s="51" t="s">
        <v>90</v>
      </c>
      <c r="H143" s="51" t="s">
        <v>519</v>
      </c>
      <c r="I143" s="66">
        <v>0.50416666666666665</v>
      </c>
      <c r="J143" s="428">
        <v>353.28</v>
      </c>
      <c r="K143" s="428">
        <v>23.12</v>
      </c>
      <c r="L143" s="428">
        <v>67.88</v>
      </c>
      <c r="M143" s="428">
        <v>0.18</v>
      </c>
      <c r="N143" s="428">
        <v>10.9</v>
      </c>
      <c r="O143" s="51" t="s">
        <v>48</v>
      </c>
      <c r="P143" s="51">
        <v>4</v>
      </c>
      <c r="Q143" s="51">
        <v>10</v>
      </c>
      <c r="R143" s="51" t="s">
        <v>49</v>
      </c>
      <c r="S143" s="51" t="s">
        <v>50</v>
      </c>
      <c r="T143" s="51" t="s">
        <v>50</v>
      </c>
      <c r="U143" s="51" t="s">
        <v>50</v>
      </c>
      <c r="V143" s="51" t="s">
        <v>50</v>
      </c>
      <c r="W143" s="51" t="s">
        <v>50</v>
      </c>
      <c r="X143" s="51" t="s">
        <v>50</v>
      </c>
      <c r="Y143" s="52" t="s">
        <v>10216</v>
      </c>
    </row>
    <row r="144" spans="1:25" s="51" customFormat="1" x14ac:dyDescent="0.25">
      <c r="A144" s="821">
        <v>44398</v>
      </c>
      <c r="B144" s="51" t="s">
        <v>87</v>
      </c>
      <c r="C144" s="51" t="s">
        <v>106</v>
      </c>
      <c r="D144" s="51">
        <v>38.363149999999997</v>
      </c>
      <c r="E144" s="51">
        <v>-121.63446</v>
      </c>
      <c r="F144" s="51" t="s">
        <v>10199</v>
      </c>
      <c r="G144" s="51" t="s">
        <v>90</v>
      </c>
      <c r="H144" s="51" t="s">
        <v>519</v>
      </c>
      <c r="I144" s="66">
        <v>0.4368055555555555</v>
      </c>
      <c r="J144" s="428">
        <v>523</v>
      </c>
      <c r="K144" s="428">
        <v>22.37</v>
      </c>
      <c r="L144" s="428">
        <v>125</v>
      </c>
      <c r="M144" s="428">
        <v>0.12</v>
      </c>
      <c r="N144" s="428">
        <v>9.85</v>
      </c>
      <c r="O144" s="51" t="s">
        <v>48</v>
      </c>
      <c r="P144" s="51">
        <v>4</v>
      </c>
      <c r="Q144" s="51">
        <v>10</v>
      </c>
      <c r="R144" s="51" t="s">
        <v>49</v>
      </c>
      <c r="S144" s="51" t="s">
        <v>50</v>
      </c>
      <c r="T144" s="51" t="s">
        <v>50</v>
      </c>
      <c r="U144" s="51" t="s">
        <v>50</v>
      </c>
      <c r="V144" s="51" t="s">
        <v>50</v>
      </c>
      <c r="W144" s="51" t="s">
        <v>50</v>
      </c>
      <c r="X144" s="51" t="s">
        <v>50</v>
      </c>
      <c r="Y144" s="52" t="s">
        <v>10215</v>
      </c>
    </row>
    <row r="145" spans="1:25" s="51" customFormat="1" x14ac:dyDescent="0.25">
      <c r="A145" s="821">
        <v>44398</v>
      </c>
      <c r="B145" s="51" t="s">
        <v>87</v>
      </c>
      <c r="C145" s="51" t="s">
        <v>106</v>
      </c>
      <c r="D145" s="870">
        <v>38.478290000000001</v>
      </c>
      <c r="E145" s="870">
        <v>-121.58425</v>
      </c>
      <c r="F145" s="51" t="s">
        <v>10204</v>
      </c>
      <c r="G145" s="51" t="s">
        <v>90</v>
      </c>
      <c r="H145" s="51" t="s">
        <v>722</v>
      </c>
      <c r="I145" s="66">
        <v>0.34861111111111115</v>
      </c>
      <c r="J145" s="428">
        <v>886</v>
      </c>
      <c r="K145" s="428">
        <v>22.75</v>
      </c>
      <c r="L145" s="428">
        <v>67.849999999999994</v>
      </c>
      <c r="M145" s="428">
        <v>0.17</v>
      </c>
      <c r="N145" s="428">
        <v>9.5299999999999994</v>
      </c>
      <c r="O145" s="51" t="s">
        <v>48</v>
      </c>
      <c r="P145" s="51">
        <v>4</v>
      </c>
      <c r="Q145" s="51">
        <v>10</v>
      </c>
      <c r="R145" s="51" t="s">
        <v>49</v>
      </c>
      <c r="S145" s="51" t="s">
        <v>50</v>
      </c>
      <c r="T145" s="51" t="s">
        <v>50</v>
      </c>
      <c r="U145" s="51" t="s">
        <v>50</v>
      </c>
      <c r="V145" s="51" t="s">
        <v>50</v>
      </c>
      <c r="W145" s="51" t="s">
        <v>50</v>
      </c>
      <c r="X145" s="51" t="s">
        <v>50</v>
      </c>
      <c r="Y145" s="52" t="s">
        <v>10213</v>
      </c>
    </row>
    <row r="146" spans="1:25" s="51" customFormat="1" x14ac:dyDescent="0.25">
      <c r="A146" s="821">
        <v>44398</v>
      </c>
      <c r="B146" s="51" t="s">
        <v>87</v>
      </c>
      <c r="C146" s="51" t="s">
        <v>62</v>
      </c>
      <c r="D146" s="870">
        <v>38.107849999999999</v>
      </c>
      <c r="E146" s="870">
        <v>-122.05282</v>
      </c>
      <c r="F146" s="51" t="s">
        <v>10205</v>
      </c>
      <c r="G146" s="51" t="s">
        <v>27</v>
      </c>
      <c r="H146" s="51" t="s">
        <v>173</v>
      </c>
      <c r="I146" s="66">
        <v>0.48125000000000001</v>
      </c>
      <c r="J146" s="428">
        <v>23973</v>
      </c>
      <c r="K146" s="428">
        <v>20.5</v>
      </c>
      <c r="L146" s="428">
        <v>82.62</v>
      </c>
      <c r="M146" s="428">
        <v>0.44</v>
      </c>
      <c r="N146" s="428">
        <v>4.55</v>
      </c>
      <c r="O146" s="51" t="s">
        <v>48</v>
      </c>
      <c r="P146" s="51">
        <v>4</v>
      </c>
      <c r="Q146" s="51">
        <v>10</v>
      </c>
      <c r="R146" s="51" t="s">
        <v>64</v>
      </c>
      <c r="S146" s="51" t="s">
        <v>50</v>
      </c>
      <c r="T146" s="51" t="s">
        <v>50</v>
      </c>
      <c r="U146" s="51" t="s">
        <v>50</v>
      </c>
      <c r="V146" s="51" t="s">
        <v>50</v>
      </c>
      <c r="W146" s="51" t="s">
        <v>50</v>
      </c>
      <c r="X146" s="51" t="s">
        <v>50</v>
      </c>
      <c r="Y146" s="52"/>
    </row>
    <row r="147" spans="1:25" s="51" customFormat="1" x14ac:dyDescent="0.25">
      <c r="A147" s="821">
        <v>44398</v>
      </c>
      <c r="B147" s="51" t="s">
        <v>87</v>
      </c>
      <c r="C147" s="51" t="s">
        <v>62</v>
      </c>
      <c r="D147" s="870">
        <v>38.11909</v>
      </c>
      <c r="E147" s="870">
        <v>-121.90445</v>
      </c>
      <c r="F147" s="51" t="s">
        <v>10206</v>
      </c>
      <c r="G147" s="51" t="s">
        <v>27</v>
      </c>
      <c r="H147" s="51" t="s">
        <v>62</v>
      </c>
      <c r="I147" s="66">
        <v>0.34166666666666662</v>
      </c>
      <c r="J147" s="428">
        <v>14515.5</v>
      </c>
      <c r="K147" s="428">
        <v>20.55</v>
      </c>
      <c r="L147" s="428">
        <v>43.95</v>
      </c>
      <c r="M147" s="428">
        <v>0.45</v>
      </c>
      <c r="N147" s="428">
        <v>8.68</v>
      </c>
      <c r="O147" s="51" t="s">
        <v>48</v>
      </c>
      <c r="P147" s="51">
        <v>4</v>
      </c>
      <c r="Q147" s="51">
        <v>10</v>
      </c>
      <c r="R147" s="51" t="s">
        <v>64</v>
      </c>
      <c r="S147" s="51" t="s">
        <v>50</v>
      </c>
      <c r="T147" s="51" t="s">
        <v>50</v>
      </c>
      <c r="U147" s="51" t="s">
        <v>50</v>
      </c>
      <c r="V147" s="51" t="s">
        <v>50</v>
      </c>
      <c r="W147" s="51" t="s">
        <v>50</v>
      </c>
      <c r="X147" s="51" t="s">
        <v>50</v>
      </c>
      <c r="Y147" s="52" t="s">
        <v>10211</v>
      </c>
    </row>
    <row r="148" spans="1:25" s="51" customFormat="1" x14ac:dyDescent="0.25">
      <c r="A148" s="821">
        <v>44398</v>
      </c>
      <c r="B148" s="51" t="s">
        <v>87</v>
      </c>
      <c r="C148" s="51" t="s">
        <v>62</v>
      </c>
      <c r="D148" s="870">
        <v>38.173999999999999</v>
      </c>
      <c r="E148" s="870">
        <v>-121.95509</v>
      </c>
      <c r="F148" s="51" t="s">
        <v>10207</v>
      </c>
      <c r="G148" s="51" t="s">
        <v>27</v>
      </c>
      <c r="H148" s="51" t="s">
        <v>62</v>
      </c>
      <c r="I148" s="66">
        <v>0.40763888888888888</v>
      </c>
      <c r="J148" s="428">
        <v>16874.25</v>
      </c>
      <c r="K148" s="428">
        <v>21.4</v>
      </c>
      <c r="L148" s="428">
        <v>23.92</v>
      </c>
      <c r="M148" s="428">
        <v>0.55000000000000004</v>
      </c>
      <c r="N148" s="428">
        <v>8.35</v>
      </c>
      <c r="O148" s="51" t="s">
        <v>48</v>
      </c>
      <c r="P148" s="51">
        <v>4</v>
      </c>
      <c r="Q148" s="51">
        <v>10</v>
      </c>
      <c r="R148" s="51" t="s">
        <v>64</v>
      </c>
      <c r="S148" s="51" t="s">
        <v>50</v>
      </c>
      <c r="T148" s="51" t="s">
        <v>50</v>
      </c>
      <c r="U148" s="51" t="s">
        <v>50</v>
      </c>
      <c r="V148" s="51" t="s">
        <v>50</v>
      </c>
      <c r="W148" s="51" t="s">
        <v>50</v>
      </c>
      <c r="X148" s="51" t="s">
        <v>50</v>
      </c>
      <c r="Y148" s="52" t="s">
        <v>10212</v>
      </c>
    </row>
    <row r="149" spans="1:25" x14ac:dyDescent="0.25">
      <c r="A149" s="194"/>
      <c r="F149" s="97"/>
      <c r="G149" s="97"/>
      <c r="H149" s="97"/>
      <c r="M149" s="100"/>
    </row>
    <row r="150" spans="1:25" x14ac:dyDescent="0.25">
      <c r="A150" s="194"/>
      <c r="F150" s="97"/>
      <c r="G150" s="194"/>
      <c r="H150" s="34"/>
      <c r="M150" s="100"/>
    </row>
    <row r="151" spans="1:25" x14ac:dyDescent="0.25">
      <c r="A151" s="194"/>
      <c r="C151" s="97"/>
      <c r="F151" s="97"/>
      <c r="G151" s="97"/>
      <c r="H151" s="34"/>
      <c r="J151" s="100"/>
      <c r="K151" s="100"/>
      <c r="L151" s="100"/>
      <c r="M151" s="100"/>
      <c r="N151" s="100"/>
    </row>
    <row r="152" spans="1:25" x14ac:dyDescent="0.25">
      <c r="A152" s="194"/>
      <c r="C152" s="97"/>
      <c r="F152" s="97"/>
      <c r="G152" s="97"/>
      <c r="H152" s="97"/>
      <c r="J152" s="100"/>
      <c r="K152" s="100"/>
      <c r="L152" s="100"/>
      <c r="M152" s="100"/>
      <c r="N152" s="100"/>
    </row>
    <row r="153" spans="1:25" x14ac:dyDescent="0.25">
      <c r="A153" s="194"/>
      <c r="C153" s="97"/>
      <c r="F153" s="97"/>
      <c r="G153" s="97"/>
      <c r="H153" s="97"/>
      <c r="J153" s="100"/>
      <c r="K153" s="100"/>
      <c r="L153" s="100"/>
      <c r="M153" s="100"/>
      <c r="N153" s="100"/>
    </row>
    <row r="154" spans="1:25" x14ac:dyDescent="0.25">
      <c r="A154" s="194"/>
      <c r="G154" s="97"/>
      <c r="H154" s="97"/>
      <c r="J154" s="100"/>
      <c r="K154" s="100"/>
      <c r="L154" s="100"/>
      <c r="M154" s="100"/>
      <c r="N154" s="100"/>
    </row>
    <row r="155" spans="1:25" x14ac:dyDescent="0.25">
      <c r="A155" s="194"/>
      <c r="G155" s="97"/>
      <c r="H155" s="97"/>
      <c r="J155" s="100"/>
      <c r="K155" s="100"/>
      <c r="L155" s="100"/>
      <c r="M155" s="100"/>
      <c r="N155" s="100"/>
    </row>
    <row r="156" spans="1:25" x14ac:dyDescent="0.25">
      <c r="A156" s="194"/>
      <c r="G156" s="194"/>
      <c r="H156" s="34"/>
      <c r="J156" s="100"/>
      <c r="K156" s="100"/>
      <c r="L156" s="100"/>
      <c r="M156" s="100"/>
      <c r="N156" s="100"/>
    </row>
    <row r="157" spans="1:25" x14ac:dyDescent="0.25">
      <c r="A157" s="194"/>
      <c r="C157" s="97"/>
      <c r="G157" s="97"/>
      <c r="H157" s="97"/>
      <c r="J157" s="100"/>
      <c r="K157" s="100"/>
      <c r="L157" s="100"/>
      <c r="M157" s="100"/>
      <c r="N157" s="100"/>
      <c r="Y157" s="638"/>
    </row>
    <row r="158" spans="1:25" x14ac:dyDescent="0.25">
      <c r="A158" s="194"/>
      <c r="C158" s="97"/>
      <c r="G158" s="97"/>
      <c r="H158" s="97"/>
      <c r="J158" s="100"/>
      <c r="K158" s="100"/>
      <c r="L158" s="100"/>
      <c r="M158" s="100"/>
      <c r="N158" s="100"/>
    </row>
    <row r="159" spans="1:25" x14ac:dyDescent="0.25">
      <c r="A159" s="194"/>
      <c r="C159" s="97"/>
      <c r="G159" s="97"/>
      <c r="H159" s="97"/>
      <c r="J159" s="100"/>
      <c r="K159" s="100"/>
      <c r="L159" s="100"/>
      <c r="M159" s="100"/>
      <c r="N159" s="100"/>
    </row>
    <row r="160" spans="1:25" s="154" customFormat="1" x14ac:dyDescent="0.25">
      <c r="A160" s="194"/>
      <c r="B160" s="98"/>
      <c r="C160" s="97"/>
      <c r="D160" s="98"/>
      <c r="E160" s="98"/>
      <c r="F160" s="98"/>
      <c r="G160" s="97"/>
      <c r="H160" s="97"/>
      <c r="I160" s="621"/>
      <c r="J160" s="100"/>
      <c r="K160" s="100"/>
      <c r="L160" s="100"/>
      <c r="M160" s="100"/>
      <c r="N160" s="100"/>
      <c r="O160" s="98"/>
      <c r="P160" s="98"/>
      <c r="Q160" s="98"/>
      <c r="R160" s="98"/>
      <c r="S160" s="98"/>
      <c r="T160" s="98"/>
      <c r="U160" s="98"/>
      <c r="V160" s="98"/>
      <c r="W160" s="98"/>
      <c r="X160" s="98"/>
      <c r="Y160" s="627"/>
    </row>
    <row r="161" spans="1:25" s="154" customFormat="1" x14ac:dyDescent="0.25">
      <c r="A161" s="195"/>
      <c r="C161" s="153"/>
      <c r="G161" s="153"/>
      <c r="H161" s="153"/>
      <c r="I161" s="636"/>
      <c r="J161" s="156"/>
      <c r="K161" s="156"/>
      <c r="L161" s="156"/>
      <c r="M161" s="156"/>
      <c r="N161" s="156"/>
      <c r="P161" s="153"/>
      <c r="Q161" s="153"/>
      <c r="R161" s="153"/>
      <c r="Y161" s="627"/>
    </row>
    <row r="162" spans="1:25" x14ac:dyDescent="0.25">
      <c r="A162" s="195"/>
      <c r="B162" s="154"/>
      <c r="C162" s="153"/>
      <c r="D162" s="154"/>
      <c r="E162" s="154"/>
      <c r="F162" s="154"/>
      <c r="G162" s="153"/>
      <c r="H162" s="153"/>
      <c r="I162" s="636"/>
      <c r="J162" s="156"/>
      <c r="K162" s="156"/>
      <c r="L162" s="156"/>
      <c r="M162" s="156"/>
      <c r="N162" s="156"/>
      <c r="O162" s="154"/>
      <c r="P162" s="153"/>
      <c r="Q162" s="153"/>
      <c r="R162" s="153"/>
      <c r="S162" s="154"/>
      <c r="T162" s="154"/>
      <c r="U162" s="154"/>
      <c r="V162" s="154"/>
      <c r="W162" s="154"/>
      <c r="X162" s="154"/>
    </row>
    <row r="163" spans="1:25" x14ac:dyDescent="0.25">
      <c r="A163" s="194"/>
      <c r="C163" s="97"/>
      <c r="G163" s="97"/>
      <c r="H163" s="97"/>
      <c r="J163" s="100"/>
      <c r="K163" s="100"/>
      <c r="L163" s="100"/>
      <c r="M163" s="100"/>
      <c r="N163" s="100"/>
    </row>
    <row r="164" spans="1:25" x14ac:dyDescent="0.25">
      <c r="A164" s="194"/>
      <c r="C164" s="97"/>
      <c r="G164" s="97"/>
      <c r="H164" s="97"/>
      <c r="J164" s="100"/>
      <c r="K164" s="100"/>
      <c r="L164" s="100"/>
      <c r="M164" s="100"/>
      <c r="N164" s="100"/>
    </row>
    <row r="165" spans="1:25" x14ac:dyDescent="0.25">
      <c r="A165" s="194"/>
      <c r="G165" s="194"/>
      <c r="H165" s="34"/>
      <c r="J165" s="100"/>
      <c r="K165" s="100"/>
      <c r="L165" s="100"/>
      <c r="M165" s="100"/>
      <c r="N165" s="100"/>
    </row>
    <row r="166" spans="1:25" x14ac:dyDescent="0.25">
      <c r="A166" s="194"/>
      <c r="G166" s="194"/>
      <c r="H166" s="34"/>
      <c r="J166" s="100"/>
      <c r="K166" s="100"/>
      <c r="L166" s="100"/>
      <c r="M166" s="100"/>
      <c r="N166" s="100"/>
    </row>
    <row r="167" spans="1:25" x14ac:dyDescent="0.25">
      <c r="A167" s="194"/>
      <c r="G167" s="97"/>
      <c r="H167" s="97"/>
      <c r="J167" s="100"/>
      <c r="K167" s="100"/>
      <c r="L167" s="100"/>
      <c r="M167" s="100"/>
      <c r="N167" s="100"/>
    </row>
    <row r="168" spans="1:25" x14ac:dyDescent="0.25">
      <c r="A168" s="194"/>
      <c r="C168" s="97"/>
      <c r="G168" s="97"/>
      <c r="H168" s="97"/>
      <c r="J168" s="100"/>
      <c r="K168" s="100"/>
      <c r="L168" s="100"/>
      <c r="M168" s="100"/>
      <c r="N168" s="100"/>
    </row>
    <row r="169" spans="1:25" x14ac:dyDescent="0.25">
      <c r="A169" s="194"/>
      <c r="C169" s="97"/>
      <c r="G169" s="97"/>
      <c r="H169" s="97"/>
      <c r="J169" s="100"/>
      <c r="K169" s="100"/>
      <c r="L169" s="100"/>
      <c r="M169" s="100"/>
      <c r="N169" s="100"/>
    </row>
    <row r="170" spans="1:25" s="154" customFormat="1" x14ac:dyDescent="0.25">
      <c r="A170" s="194"/>
      <c r="B170" s="98"/>
      <c r="C170" s="97"/>
      <c r="D170" s="98"/>
      <c r="E170" s="98"/>
      <c r="F170" s="98"/>
      <c r="G170" s="97"/>
      <c r="H170" s="97"/>
      <c r="I170" s="621"/>
      <c r="J170" s="100"/>
      <c r="K170" s="100"/>
      <c r="L170" s="100"/>
      <c r="M170" s="100"/>
      <c r="N170" s="100"/>
      <c r="O170" s="98"/>
      <c r="P170" s="98"/>
      <c r="Q170" s="98"/>
      <c r="R170" s="98"/>
      <c r="S170" s="98"/>
      <c r="T170" s="98"/>
      <c r="U170" s="98"/>
      <c r="V170" s="98"/>
      <c r="W170" s="98"/>
      <c r="X170" s="98"/>
      <c r="Y170" s="627"/>
    </row>
    <row r="171" spans="1:25" x14ac:dyDescent="0.25">
      <c r="A171" s="195"/>
      <c r="B171" s="154"/>
      <c r="C171" s="153"/>
      <c r="D171" s="154"/>
      <c r="E171" s="154"/>
      <c r="F171" s="154"/>
      <c r="G171" s="153"/>
      <c r="H171" s="153"/>
      <c r="I171" s="636"/>
      <c r="J171" s="156"/>
      <c r="K171" s="156"/>
      <c r="L171" s="156"/>
      <c r="M171" s="156"/>
      <c r="N171" s="156"/>
      <c r="O171" s="154"/>
      <c r="P171" s="154"/>
      <c r="Q171" s="154"/>
      <c r="R171" s="154"/>
      <c r="S171" s="154"/>
      <c r="T171" s="154"/>
      <c r="U171" s="154"/>
      <c r="V171" s="154"/>
      <c r="W171" s="154"/>
      <c r="X171" s="154"/>
    </row>
    <row r="172" spans="1:25" x14ac:dyDescent="0.25">
      <c r="A172" s="194"/>
      <c r="C172" s="97"/>
      <c r="G172" s="97"/>
      <c r="H172" s="97"/>
      <c r="J172" s="100"/>
      <c r="K172" s="100"/>
      <c r="L172" s="100"/>
      <c r="M172" s="100"/>
      <c r="N172" s="100"/>
    </row>
    <row r="173" spans="1:25" s="154" customFormat="1" x14ac:dyDescent="0.25">
      <c r="A173" s="194"/>
      <c r="B173" s="98"/>
      <c r="C173" s="97"/>
      <c r="D173" s="98"/>
      <c r="E173" s="98"/>
      <c r="F173" s="98"/>
      <c r="G173" s="97"/>
      <c r="H173" s="97"/>
      <c r="I173" s="621"/>
      <c r="J173" s="100"/>
      <c r="K173" s="100"/>
      <c r="L173" s="100"/>
      <c r="M173" s="100"/>
      <c r="N173" s="100"/>
      <c r="O173" s="98"/>
      <c r="P173" s="98"/>
      <c r="Q173" s="98"/>
      <c r="R173" s="98"/>
      <c r="S173" s="98"/>
      <c r="T173" s="98"/>
      <c r="U173" s="98"/>
      <c r="V173" s="98"/>
      <c r="W173" s="98"/>
      <c r="X173" s="98"/>
      <c r="Y173" s="627"/>
    </row>
    <row r="174" spans="1:25" x14ac:dyDescent="0.25">
      <c r="A174" s="195"/>
      <c r="B174" s="154"/>
      <c r="C174" s="153"/>
      <c r="D174" s="154"/>
      <c r="E174" s="154"/>
      <c r="F174" s="154"/>
      <c r="G174" s="153"/>
      <c r="H174" s="153"/>
      <c r="I174" s="636"/>
      <c r="J174" s="156"/>
      <c r="K174" s="156"/>
      <c r="L174" s="156"/>
      <c r="M174" s="156"/>
      <c r="N174" s="156"/>
      <c r="O174" s="154"/>
      <c r="P174" s="154"/>
      <c r="Q174" s="154"/>
      <c r="R174" s="154"/>
      <c r="S174" s="154"/>
      <c r="T174" s="154"/>
      <c r="U174" s="154"/>
      <c r="V174" s="154"/>
      <c r="W174" s="154"/>
      <c r="X174" s="154"/>
    </row>
    <row r="175" spans="1:25" s="154" customFormat="1" x14ac:dyDescent="0.25">
      <c r="A175" s="194"/>
      <c r="B175" s="98"/>
      <c r="C175" s="97"/>
      <c r="D175" s="98"/>
      <c r="E175" s="98"/>
      <c r="F175" s="98"/>
      <c r="G175" s="97"/>
      <c r="H175" s="97"/>
      <c r="I175" s="621"/>
      <c r="J175" s="100"/>
      <c r="K175" s="100"/>
      <c r="L175" s="100"/>
      <c r="M175" s="100"/>
      <c r="N175" s="100"/>
      <c r="O175" s="98"/>
      <c r="P175" s="98"/>
      <c r="Q175" s="98"/>
      <c r="R175" s="98"/>
      <c r="S175" s="98"/>
      <c r="T175" s="98"/>
      <c r="U175" s="98"/>
      <c r="V175" s="98"/>
      <c r="W175" s="98"/>
      <c r="X175" s="98"/>
      <c r="Y175" s="627"/>
    </row>
    <row r="176" spans="1:25" x14ac:dyDescent="0.25">
      <c r="A176" s="195"/>
      <c r="B176" s="154"/>
      <c r="C176" s="154"/>
      <c r="D176" s="154"/>
      <c r="E176" s="154"/>
      <c r="F176" s="154"/>
      <c r="G176" s="157"/>
      <c r="H176" s="157"/>
      <c r="I176" s="636"/>
      <c r="J176" s="156"/>
      <c r="K176" s="156"/>
      <c r="L176" s="156"/>
      <c r="M176" s="156"/>
      <c r="N176" s="156"/>
      <c r="O176" s="154"/>
      <c r="P176" s="154"/>
      <c r="Q176" s="154"/>
      <c r="R176" s="154"/>
      <c r="S176" s="154"/>
      <c r="T176" s="154"/>
      <c r="U176" s="154"/>
      <c r="V176" s="154"/>
      <c r="W176" s="154"/>
      <c r="X176" s="154"/>
      <c r="Y176" s="98"/>
    </row>
    <row r="177" spans="1:25" x14ac:dyDescent="0.25">
      <c r="A177" s="194"/>
      <c r="G177" s="34"/>
      <c r="H177" s="34"/>
      <c r="J177" s="100"/>
      <c r="K177" s="100"/>
      <c r="L177" s="100"/>
      <c r="M177" s="100"/>
      <c r="N177" s="100"/>
    </row>
    <row r="178" spans="1:25" x14ac:dyDescent="0.25">
      <c r="A178" s="194"/>
      <c r="G178" s="34"/>
      <c r="H178" s="34"/>
      <c r="J178" s="100"/>
      <c r="K178" s="100"/>
      <c r="L178" s="100"/>
      <c r="M178" s="100"/>
      <c r="N178" s="100"/>
    </row>
    <row r="179" spans="1:25" x14ac:dyDescent="0.25">
      <c r="A179" s="194"/>
      <c r="G179" s="34"/>
      <c r="H179" s="34"/>
      <c r="J179" s="100"/>
      <c r="K179" s="100"/>
      <c r="L179" s="100"/>
      <c r="M179" s="100"/>
      <c r="N179" s="100"/>
    </row>
    <row r="180" spans="1:25" x14ac:dyDescent="0.25">
      <c r="A180" s="194"/>
      <c r="C180" s="97"/>
      <c r="G180" s="97"/>
      <c r="H180" s="97"/>
      <c r="J180" s="100"/>
      <c r="K180" s="100"/>
      <c r="L180" s="100"/>
      <c r="M180" s="100"/>
      <c r="N180" s="100"/>
    </row>
    <row r="181" spans="1:25" x14ac:dyDescent="0.25">
      <c r="A181" s="194"/>
      <c r="C181" s="97"/>
      <c r="G181" s="97"/>
      <c r="H181" s="97"/>
      <c r="J181" s="100"/>
      <c r="K181" s="100"/>
      <c r="L181" s="100"/>
      <c r="M181" s="100"/>
      <c r="N181" s="100"/>
    </row>
    <row r="182" spans="1:25" x14ac:dyDescent="0.25">
      <c r="A182" s="194"/>
      <c r="C182" s="97"/>
      <c r="G182" s="97"/>
      <c r="H182" s="97"/>
      <c r="J182" s="100"/>
      <c r="K182" s="100"/>
      <c r="L182" s="100"/>
      <c r="M182" s="100"/>
      <c r="N182" s="100"/>
    </row>
    <row r="183" spans="1:25" x14ac:dyDescent="0.25">
      <c r="A183" s="194"/>
      <c r="C183" s="97"/>
      <c r="G183" s="97"/>
      <c r="H183" s="97"/>
      <c r="J183" s="100"/>
      <c r="K183" s="100"/>
      <c r="L183" s="100"/>
      <c r="M183" s="100"/>
      <c r="N183" s="100"/>
    </row>
    <row r="184" spans="1:25" x14ac:dyDescent="0.25">
      <c r="A184" s="194"/>
      <c r="C184" s="97"/>
      <c r="G184" s="97"/>
      <c r="H184" s="97"/>
      <c r="J184" s="100"/>
      <c r="K184" s="100"/>
      <c r="L184" s="100"/>
      <c r="M184" s="100"/>
      <c r="N184" s="100"/>
      <c r="Y184" s="764"/>
    </row>
    <row r="185" spans="1:25" s="154" customFormat="1" x14ac:dyDescent="0.25">
      <c r="A185" s="194"/>
      <c r="B185" s="98"/>
      <c r="C185" s="97"/>
      <c r="D185" s="98"/>
      <c r="E185" s="98"/>
      <c r="F185" s="98"/>
      <c r="G185" s="97"/>
      <c r="H185" s="97"/>
      <c r="I185" s="621"/>
      <c r="J185" s="100"/>
      <c r="K185" s="100"/>
      <c r="L185" s="100"/>
      <c r="M185" s="100"/>
      <c r="N185" s="100"/>
      <c r="O185" s="98"/>
      <c r="P185" s="98"/>
      <c r="Q185" s="98"/>
      <c r="R185" s="98"/>
      <c r="S185" s="98"/>
      <c r="T185" s="98"/>
      <c r="U185" s="98"/>
      <c r="V185" s="98"/>
      <c r="W185" s="98"/>
      <c r="X185" s="98"/>
      <c r="Y185" s="159"/>
    </row>
    <row r="186" spans="1:25" s="154" customFormat="1" x14ac:dyDescent="0.25">
      <c r="A186" s="195"/>
      <c r="C186" s="153"/>
      <c r="I186" s="636"/>
      <c r="J186" s="156"/>
      <c r="K186" s="156"/>
      <c r="L186" s="156"/>
      <c r="M186" s="156"/>
      <c r="N186" s="156"/>
      <c r="O186" s="157"/>
      <c r="P186" s="153"/>
      <c r="Q186" s="153"/>
      <c r="R186" s="153"/>
      <c r="S186" s="158"/>
      <c r="T186" s="158"/>
      <c r="U186" s="157"/>
      <c r="V186" s="158"/>
      <c r="W186" s="158"/>
      <c r="X186" s="157"/>
      <c r="Y186" s="159"/>
    </row>
    <row r="187" spans="1:25" x14ac:dyDescent="0.25">
      <c r="A187" s="195"/>
      <c r="B187" s="154"/>
      <c r="C187" s="153"/>
      <c r="D187" s="154"/>
      <c r="E187" s="154"/>
      <c r="F187" s="154"/>
      <c r="G187" s="154"/>
      <c r="H187" s="154"/>
      <c r="I187" s="636"/>
      <c r="J187" s="156"/>
      <c r="K187" s="156"/>
      <c r="L187" s="156"/>
      <c r="M187" s="156"/>
      <c r="N187" s="156"/>
      <c r="O187" s="157"/>
      <c r="P187" s="153"/>
      <c r="Q187" s="153"/>
      <c r="R187" s="153"/>
      <c r="S187" s="158"/>
      <c r="T187" s="158"/>
      <c r="U187" s="157"/>
      <c r="V187" s="158"/>
      <c r="W187" s="158"/>
      <c r="X187" s="157"/>
    </row>
    <row r="188" spans="1:25" x14ac:dyDescent="0.25">
      <c r="A188" s="194"/>
      <c r="C188" s="97"/>
      <c r="J188" s="100"/>
      <c r="K188" s="100"/>
      <c r="L188" s="100"/>
      <c r="M188" s="100"/>
      <c r="N188" s="100"/>
    </row>
    <row r="189" spans="1:25" x14ac:dyDescent="0.25">
      <c r="A189" s="194"/>
      <c r="C189" s="97"/>
      <c r="J189" s="100"/>
      <c r="K189" s="100"/>
      <c r="L189" s="100"/>
      <c r="M189" s="100"/>
      <c r="N189" s="100"/>
      <c r="Y189" s="102"/>
    </row>
    <row r="190" spans="1:25" x14ac:dyDescent="0.25">
      <c r="A190" s="194"/>
      <c r="C190" s="97"/>
      <c r="J190" s="100"/>
      <c r="K190" s="100"/>
      <c r="L190" s="100"/>
      <c r="M190" s="100"/>
      <c r="N190" s="100"/>
    </row>
    <row r="191" spans="1:25" x14ac:dyDescent="0.25">
      <c r="A191" s="194"/>
      <c r="G191" s="34"/>
      <c r="H191" s="34"/>
      <c r="J191" s="100"/>
      <c r="K191" s="100"/>
      <c r="L191" s="100"/>
      <c r="M191" s="100"/>
      <c r="N191" s="100"/>
    </row>
    <row r="192" spans="1:25" s="154" customFormat="1" x14ac:dyDescent="0.25">
      <c r="A192" s="194"/>
      <c r="B192" s="98"/>
      <c r="C192" s="98"/>
      <c r="D192" s="98"/>
      <c r="E192" s="98"/>
      <c r="F192" s="98"/>
      <c r="G192" s="34"/>
      <c r="H192" s="34"/>
      <c r="I192" s="621"/>
      <c r="J192" s="100"/>
      <c r="K192" s="100"/>
      <c r="L192" s="100"/>
      <c r="M192" s="100"/>
      <c r="N192" s="100"/>
      <c r="O192" s="98"/>
      <c r="P192" s="98"/>
      <c r="Q192" s="98"/>
      <c r="R192" s="98"/>
      <c r="S192" s="98"/>
      <c r="T192" s="98"/>
      <c r="U192" s="98"/>
      <c r="V192" s="98"/>
      <c r="W192" s="98"/>
      <c r="X192" s="98"/>
      <c r="Y192" s="627"/>
    </row>
    <row r="193" spans="1:25" x14ac:dyDescent="0.25">
      <c r="A193" s="195"/>
      <c r="B193" s="154"/>
      <c r="C193" s="154"/>
      <c r="D193" s="154"/>
      <c r="E193" s="154"/>
      <c r="F193" s="154"/>
      <c r="G193" s="157"/>
      <c r="H193" s="157"/>
      <c r="I193" s="636"/>
      <c r="J193" s="156"/>
      <c r="K193" s="156"/>
      <c r="L193" s="156"/>
      <c r="M193" s="156"/>
      <c r="N193" s="156"/>
      <c r="O193" s="154"/>
      <c r="P193" s="154"/>
      <c r="Q193" s="154"/>
      <c r="R193" s="154"/>
      <c r="S193" s="154"/>
      <c r="T193" s="154"/>
      <c r="U193" s="154"/>
      <c r="V193" s="154"/>
      <c r="W193" s="154"/>
      <c r="X193" s="154"/>
    </row>
    <row r="194" spans="1:25" x14ac:dyDescent="0.25">
      <c r="A194" s="194"/>
      <c r="G194" s="34"/>
      <c r="H194" s="34"/>
      <c r="J194" s="100"/>
      <c r="K194" s="100"/>
      <c r="L194" s="100"/>
      <c r="M194" s="100"/>
      <c r="N194" s="100"/>
    </row>
    <row r="195" spans="1:25" x14ac:dyDescent="0.25">
      <c r="A195" s="194"/>
      <c r="C195" s="97"/>
      <c r="G195" s="97"/>
      <c r="H195" s="34"/>
      <c r="J195" s="100"/>
      <c r="K195" s="100"/>
      <c r="L195" s="100"/>
      <c r="M195" s="100"/>
      <c r="N195" s="100"/>
    </row>
    <row r="196" spans="1:25" s="362" customFormat="1" x14ac:dyDescent="0.25">
      <c r="A196" s="194"/>
      <c r="B196" s="98"/>
      <c r="C196" s="97"/>
      <c r="D196" s="98"/>
      <c r="E196" s="98"/>
      <c r="F196" s="98"/>
      <c r="G196" s="97"/>
      <c r="H196" s="34"/>
      <c r="I196" s="621"/>
      <c r="J196" s="100"/>
      <c r="K196" s="100"/>
      <c r="L196" s="100"/>
      <c r="M196" s="100"/>
      <c r="N196" s="100"/>
      <c r="O196" s="98"/>
      <c r="P196" s="98"/>
      <c r="Q196" s="98"/>
      <c r="R196" s="98"/>
      <c r="S196" s="98"/>
      <c r="T196" s="98"/>
      <c r="U196" s="98"/>
      <c r="V196" s="98"/>
      <c r="W196" s="98"/>
      <c r="X196" s="98"/>
      <c r="Y196" s="603"/>
    </row>
    <row r="197" spans="1:25" x14ac:dyDescent="0.25">
      <c r="A197" s="360"/>
      <c r="B197" s="362"/>
      <c r="C197" s="361"/>
      <c r="D197" s="362"/>
      <c r="E197" s="362"/>
      <c r="F197" s="362"/>
      <c r="G197" s="361"/>
      <c r="H197" s="361"/>
      <c r="I197" s="618"/>
      <c r="J197" s="364"/>
      <c r="K197" s="364"/>
      <c r="L197" s="364"/>
      <c r="M197" s="364"/>
      <c r="N197" s="364"/>
      <c r="O197" s="362"/>
      <c r="P197" s="362"/>
      <c r="Q197" s="362"/>
      <c r="R197" s="362"/>
      <c r="S197" s="362"/>
      <c r="T197" s="362"/>
      <c r="U197" s="362"/>
      <c r="V197" s="362"/>
      <c r="W197" s="362"/>
      <c r="X197" s="362"/>
    </row>
    <row r="198" spans="1:25" x14ac:dyDescent="0.25">
      <c r="A198" s="194"/>
      <c r="J198" s="100"/>
      <c r="K198" s="100"/>
      <c r="L198" s="100"/>
      <c r="M198" s="100"/>
      <c r="N198" s="100"/>
    </row>
    <row r="199" spans="1:25" s="154" customFormat="1" x14ac:dyDescent="0.25">
      <c r="A199" s="194"/>
      <c r="B199" s="98"/>
      <c r="C199" s="98"/>
      <c r="D199" s="98"/>
      <c r="E199" s="98"/>
      <c r="F199" s="98"/>
      <c r="G199" s="98"/>
      <c r="H199" s="98"/>
      <c r="I199" s="621"/>
      <c r="J199" s="100"/>
      <c r="K199" s="100"/>
      <c r="L199" s="100"/>
      <c r="M199" s="100"/>
      <c r="N199" s="100"/>
      <c r="O199" s="98"/>
      <c r="P199" s="98"/>
      <c r="Q199" s="98"/>
      <c r="R199" s="98"/>
      <c r="S199" s="98"/>
      <c r="T199" s="98"/>
      <c r="U199" s="98"/>
      <c r="V199" s="98"/>
      <c r="W199" s="98"/>
      <c r="X199" s="98"/>
      <c r="Y199" s="627"/>
    </row>
    <row r="200" spans="1:25" s="154" customFormat="1" x14ac:dyDescent="0.25">
      <c r="A200" s="195"/>
      <c r="I200" s="636"/>
      <c r="J200" s="156"/>
      <c r="K200" s="156"/>
      <c r="L200" s="156"/>
      <c r="M200" s="156"/>
      <c r="N200" s="156"/>
      <c r="Y200" s="627"/>
    </row>
    <row r="201" spans="1:25" x14ac:dyDescent="0.25">
      <c r="A201" s="195"/>
      <c r="B201" s="154"/>
      <c r="C201" s="154"/>
      <c r="D201" s="154"/>
      <c r="E201" s="154"/>
      <c r="F201" s="154"/>
      <c r="G201" s="154"/>
      <c r="H201" s="154"/>
      <c r="I201" s="636"/>
      <c r="J201" s="156"/>
      <c r="K201" s="156"/>
      <c r="L201" s="156"/>
      <c r="M201" s="156"/>
      <c r="N201" s="156"/>
      <c r="O201" s="154"/>
      <c r="P201" s="154"/>
      <c r="Q201" s="154"/>
      <c r="R201" s="154"/>
      <c r="S201" s="154"/>
      <c r="T201" s="154"/>
      <c r="U201" s="154"/>
      <c r="V201" s="154"/>
      <c r="W201" s="154"/>
      <c r="X201" s="154"/>
    </row>
    <row r="202" spans="1:25" s="154" customFormat="1" x14ac:dyDescent="0.25">
      <c r="A202" s="194"/>
      <c r="B202" s="98"/>
      <c r="C202" s="98"/>
      <c r="D202" s="98"/>
      <c r="E202" s="98"/>
      <c r="F202" s="98"/>
      <c r="G202" s="98"/>
      <c r="H202" s="98"/>
      <c r="I202" s="621"/>
      <c r="J202" s="100"/>
      <c r="K202" s="100"/>
      <c r="L202" s="100"/>
      <c r="M202" s="100"/>
      <c r="N202" s="100"/>
      <c r="O202" s="98"/>
      <c r="P202" s="98"/>
      <c r="Q202" s="98"/>
      <c r="R202" s="98"/>
      <c r="S202" s="98"/>
      <c r="T202" s="98"/>
      <c r="U202" s="98"/>
      <c r="V202" s="98"/>
      <c r="W202" s="98"/>
      <c r="X202" s="98"/>
      <c r="Y202" s="627"/>
    </row>
    <row r="203" spans="1:25" x14ac:dyDescent="0.25">
      <c r="A203" s="195"/>
      <c r="B203" s="154"/>
      <c r="C203" s="154"/>
      <c r="D203" s="154"/>
      <c r="E203" s="154"/>
      <c r="F203" s="154"/>
      <c r="G203" s="154"/>
      <c r="H203" s="154"/>
      <c r="I203" s="636"/>
      <c r="J203" s="156"/>
      <c r="K203" s="156"/>
      <c r="L203" s="156"/>
      <c r="M203" s="156"/>
      <c r="N203" s="156"/>
      <c r="O203" s="154"/>
      <c r="P203" s="154"/>
      <c r="Q203" s="154"/>
      <c r="R203" s="154"/>
      <c r="S203" s="154"/>
      <c r="T203" s="154"/>
      <c r="U203" s="154"/>
      <c r="V203" s="154"/>
      <c r="W203" s="154"/>
      <c r="X203" s="154"/>
    </row>
    <row r="204" spans="1:25" x14ac:dyDescent="0.25">
      <c r="A204" s="194"/>
      <c r="H204" s="34"/>
      <c r="J204" s="100"/>
      <c r="K204" s="100"/>
      <c r="L204" s="100"/>
      <c r="M204" s="100"/>
      <c r="N204" s="100"/>
    </row>
    <row r="205" spans="1:25" x14ac:dyDescent="0.25">
      <c r="A205" s="194"/>
      <c r="H205" s="34"/>
      <c r="J205" s="100"/>
      <c r="K205" s="100"/>
      <c r="L205" s="100"/>
      <c r="M205" s="100"/>
      <c r="N205" s="100"/>
    </row>
    <row r="206" spans="1:25" x14ac:dyDescent="0.25">
      <c r="A206" s="194"/>
      <c r="H206" s="34"/>
      <c r="J206" s="100"/>
      <c r="K206" s="100"/>
      <c r="L206" s="100"/>
      <c r="M206" s="100"/>
      <c r="N206" s="100"/>
      <c r="Y206" s="102"/>
    </row>
    <row r="207" spans="1:25" x14ac:dyDescent="0.25">
      <c r="A207" s="194"/>
      <c r="J207" s="100"/>
      <c r="K207" s="100"/>
      <c r="L207" s="100"/>
      <c r="M207" s="100"/>
      <c r="N207" s="100"/>
      <c r="O207" s="97"/>
      <c r="P207" s="97"/>
      <c r="Q207" s="97"/>
      <c r="R207" s="97"/>
      <c r="S207" s="97"/>
      <c r="T207" s="97"/>
      <c r="U207" s="97"/>
      <c r="V207" s="97"/>
      <c r="W207" s="97"/>
      <c r="X207" s="97"/>
    </row>
    <row r="208" spans="1:25" x14ac:dyDescent="0.25">
      <c r="A208" s="194"/>
      <c r="J208" s="100"/>
      <c r="K208" s="100"/>
      <c r="L208" s="100"/>
      <c r="M208" s="100"/>
      <c r="N208" s="100"/>
    </row>
    <row r="209" spans="1:25" x14ac:dyDescent="0.25">
      <c r="A209" s="194"/>
      <c r="J209" s="100"/>
      <c r="K209" s="100"/>
      <c r="L209" s="100"/>
      <c r="M209" s="100"/>
      <c r="N209" s="100"/>
    </row>
    <row r="210" spans="1:25" x14ac:dyDescent="0.25">
      <c r="A210" s="194"/>
      <c r="J210" s="100"/>
      <c r="K210" s="100"/>
      <c r="L210" s="100"/>
      <c r="M210" s="100"/>
      <c r="N210" s="100"/>
    </row>
    <row r="211" spans="1:25" x14ac:dyDescent="0.25">
      <c r="A211" s="194"/>
      <c r="J211" s="100"/>
      <c r="K211" s="100"/>
      <c r="L211" s="100"/>
      <c r="M211" s="100"/>
      <c r="N211" s="100"/>
    </row>
    <row r="212" spans="1:25" x14ac:dyDescent="0.25">
      <c r="A212" s="194"/>
      <c r="J212" s="100"/>
      <c r="K212" s="100"/>
      <c r="L212" s="100"/>
      <c r="M212" s="100"/>
      <c r="N212" s="100"/>
    </row>
    <row r="213" spans="1:25" x14ac:dyDescent="0.25">
      <c r="A213" s="194"/>
      <c r="G213" s="97"/>
      <c r="H213" s="97"/>
      <c r="J213" s="100"/>
      <c r="K213" s="100"/>
      <c r="L213" s="100"/>
      <c r="M213" s="100"/>
      <c r="N213" s="100"/>
    </row>
    <row r="214" spans="1:25" x14ac:dyDescent="0.25">
      <c r="A214" s="194"/>
      <c r="G214" s="97"/>
      <c r="H214" s="97"/>
      <c r="J214" s="100"/>
      <c r="K214" s="100"/>
      <c r="L214" s="100"/>
      <c r="M214" s="100"/>
      <c r="N214" s="100"/>
      <c r="Y214" s="102"/>
    </row>
    <row r="215" spans="1:25" x14ac:dyDescent="0.25">
      <c r="A215" s="194"/>
      <c r="G215" s="97"/>
      <c r="H215" s="97"/>
      <c r="J215" s="100"/>
      <c r="K215" s="100"/>
      <c r="L215" s="100"/>
      <c r="M215" s="100"/>
      <c r="N215" s="100"/>
    </row>
    <row r="216" spans="1:25" x14ac:dyDescent="0.25">
      <c r="A216" s="194"/>
      <c r="J216" s="100"/>
      <c r="K216" s="100"/>
      <c r="L216" s="100"/>
      <c r="M216" s="100"/>
      <c r="N216" s="100"/>
    </row>
    <row r="217" spans="1:25" x14ac:dyDescent="0.25">
      <c r="A217" s="194"/>
      <c r="J217" s="100"/>
      <c r="K217" s="100"/>
      <c r="L217" s="100"/>
      <c r="M217" s="100"/>
      <c r="N217" s="100"/>
    </row>
    <row r="218" spans="1:25" x14ac:dyDescent="0.25">
      <c r="A218" s="194"/>
      <c r="J218" s="100"/>
      <c r="K218" s="100"/>
      <c r="L218" s="100"/>
      <c r="M218" s="100"/>
      <c r="N218" s="100"/>
    </row>
    <row r="219" spans="1:25" x14ac:dyDescent="0.25">
      <c r="A219" s="194"/>
      <c r="C219" s="34"/>
      <c r="G219" s="34"/>
      <c r="H219" s="34"/>
      <c r="J219" s="100"/>
      <c r="K219" s="100"/>
      <c r="L219" s="100"/>
      <c r="M219" s="100"/>
      <c r="N219" s="100"/>
    </row>
    <row r="220" spans="1:25" x14ac:dyDescent="0.25">
      <c r="A220" s="194"/>
      <c r="C220" s="97"/>
      <c r="G220" s="97"/>
      <c r="H220" s="97"/>
      <c r="J220" s="100"/>
      <c r="K220" s="100"/>
      <c r="L220" s="100"/>
      <c r="M220" s="100"/>
      <c r="N220" s="100"/>
    </row>
    <row r="221" spans="1:25" x14ac:dyDescent="0.25">
      <c r="A221" s="194"/>
      <c r="C221" s="97"/>
      <c r="G221" s="97"/>
      <c r="H221" s="97"/>
      <c r="J221" s="100"/>
      <c r="K221" s="100"/>
      <c r="L221" s="100"/>
      <c r="M221" s="100"/>
      <c r="N221" s="100"/>
    </row>
    <row r="222" spans="1:25" x14ac:dyDescent="0.25">
      <c r="A222" s="194"/>
      <c r="G222" s="194"/>
      <c r="H222" s="34"/>
      <c r="J222" s="100"/>
      <c r="K222" s="100"/>
      <c r="L222" s="100"/>
      <c r="M222" s="100"/>
      <c r="N222" s="100"/>
    </row>
    <row r="223" spans="1:25" x14ac:dyDescent="0.25">
      <c r="A223" s="194"/>
      <c r="C223" s="97"/>
      <c r="G223" s="97"/>
      <c r="H223" s="97"/>
      <c r="J223" s="100"/>
      <c r="K223" s="100"/>
      <c r="L223" s="100"/>
      <c r="M223" s="100"/>
      <c r="N223" s="100"/>
    </row>
    <row r="224" spans="1:25" x14ac:dyDescent="0.25">
      <c r="A224" s="194"/>
      <c r="C224" s="97"/>
      <c r="G224" s="97"/>
      <c r="H224" s="97"/>
      <c r="J224" s="100"/>
      <c r="K224" s="100"/>
      <c r="L224" s="100"/>
      <c r="M224" s="100"/>
      <c r="N224" s="100"/>
    </row>
    <row r="225" spans="1:25" x14ac:dyDescent="0.25">
      <c r="A225" s="194"/>
      <c r="G225" s="194"/>
      <c r="H225" s="34"/>
      <c r="J225" s="100"/>
      <c r="K225" s="100"/>
      <c r="L225" s="100"/>
      <c r="M225" s="100"/>
      <c r="N225" s="100"/>
      <c r="Y225" s="35"/>
    </row>
    <row r="226" spans="1:25" x14ac:dyDescent="0.25">
      <c r="A226" s="194"/>
      <c r="C226" s="97"/>
      <c r="G226" s="97"/>
      <c r="H226" s="97"/>
      <c r="J226" s="100"/>
      <c r="K226" s="100"/>
      <c r="L226" s="100"/>
      <c r="M226" s="100"/>
      <c r="N226" s="100"/>
      <c r="R226" s="97"/>
      <c r="S226" s="97"/>
      <c r="T226" s="97"/>
      <c r="U226" s="97"/>
    </row>
    <row r="227" spans="1:25" x14ac:dyDescent="0.25">
      <c r="A227" s="194"/>
      <c r="C227" s="97"/>
      <c r="G227" s="97"/>
      <c r="H227" s="97"/>
      <c r="J227" s="100"/>
      <c r="K227" s="100"/>
      <c r="L227" s="100"/>
      <c r="M227" s="100"/>
      <c r="N227" s="100"/>
      <c r="R227" s="97"/>
    </row>
    <row r="228" spans="1:25" x14ac:dyDescent="0.25">
      <c r="A228" s="194"/>
      <c r="C228" s="97"/>
      <c r="G228" s="97"/>
      <c r="H228" s="97"/>
      <c r="J228" s="100"/>
      <c r="K228" s="100"/>
      <c r="L228" s="100"/>
      <c r="M228" s="100"/>
      <c r="N228" s="100"/>
      <c r="R228" s="97"/>
    </row>
    <row r="229" spans="1:25" x14ac:dyDescent="0.25">
      <c r="A229" s="194"/>
      <c r="C229" s="97"/>
      <c r="G229" s="97"/>
      <c r="H229" s="97"/>
      <c r="J229" s="100"/>
      <c r="K229" s="100"/>
      <c r="L229" s="100"/>
      <c r="M229" s="100"/>
      <c r="N229" s="100"/>
      <c r="R229" s="97"/>
    </row>
    <row r="230" spans="1:25" x14ac:dyDescent="0.25">
      <c r="A230" s="194"/>
      <c r="C230" s="97"/>
      <c r="G230" s="97"/>
      <c r="H230" s="97"/>
      <c r="J230" s="100"/>
      <c r="K230" s="100"/>
      <c r="L230" s="100"/>
      <c r="M230" s="100"/>
      <c r="N230" s="100"/>
      <c r="R230" s="97"/>
      <c r="Y230" s="102"/>
    </row>
    <row r="231" spans="1:25" x14ac:dyDescent="0.25">
      <c r="A231" s="194"/>
      <c r="C231" s="97"/>
      <c r="G231" s="97"/>
      <c r="H231" s="97"/>
      <c r="J231" s="100"/>
      <c r="K231" s="100"/>
      <c r="L231" s="100"/>
      <c r="M231" s="100"/>
      <c r="N231" s="100"/>
      <c r="R231" s="97"/>
      <c r="Y231" s="35"/>
    </row>
    <row r="232" spans="1:25" x14ac:dyDescent="0.25">
      <c r="A232" s="194"/>
      <c r="C232" s="97"/>
      <c r="G232" s="97"/>
      <c r="H232" s="97"/>
      <c r="J232" s="100"/>
      <c r="K232" s="100"/>
      <c r="L232" s="100"/>
      <c r="M232" s="100"/>
      <c r="N232" s="100"/>
      <c r="R232" s="97"/>
      <c r="S232" s="97"/>
      <c r="Y232" s="102"/>
    </row>
    <row r="233" spans="1:25" x14ac:dyDescent="0.25">
      <c r="A233" s="194"/>
      <c r="C233" s="97"/>
      <c r="G233" s="97"/>
      <c r="H233" s="97"/>
      <c r="J233" s="100"/>
      <c r="K233" s="100"/>
      <c r="L233" s="100"/>
      <c r="M233" s="100"/>
      <c r="N233" s="100"/>
      <c r="R233" s="97"/>
    </row>
    <row r="234" spans="1:25" x14ac:dyDescent="0.25">
      <c r="A234" s="194"/>
      <c r="C234" s="34"/>
      <c r="G234" s="34"/>
      <c r="H234" s="34"/>
      <c r="J234" s="100"/>
      <c r="K234" s="100"/>
      <c r="L234" s="100"/>
      <c r="M234" s="100"/>
      <c r="N234" s="100"/>
      <c r="R234" s="97"/>
    </row>
    <row r="235" spans="1:25" s="362" customFormat="1" x14ac:dyDescent="0.25">
      <c r="A235" s="194"/>
      <c r="B235" s="98"/>
      <c r="C235" s="34"/>
      <c r="D235" s="98"/>
      <c r="E235" s="98"/>
      <c r="F235" s="98"/>
      <c r="G235" s="194"/>
      <c r="H235" s="34"/>
      <c r="I235" s="621"/>
      <c r="J235" s="100"/>
      <c r="K235" s="100"/>
      <c r="L235" s="100"/>
      <c r="M235" s="100"/>
      <c r="N235" s="100"/>
      <c r="O235" s="98"/>
      <c r="P235" s="98"/>
      <c r="Q235" s="98"/>
      <c r="R235" s="97"/>
      <c r="S235" s="98"/>
      <c r="T235" s="98"/>
      <c r="U235" s="98"/>
      <c r="V235" s="98"/>
      <c r="W235" s="98"/>
      <c r="X235" s="98"/>
      <c r="Y235" s="603"/>
    </row>
    <row r="236" spans="1:25" s="154" customFormat="1" x14ac:dyDescent="0.25">
      <c r="A236" s="360"/>
      <c r="B236" s="362"/>
      <c r="C236" s="578"/>
      <c r="D236" s="362"/>
      <c r="E236" s="362"/>
      <c r="F236" s="362"/>
      <c r="G236" s="362"/>
      <c r="H236" s="362"/>
      <c r="I236" s="618"/>
      <c r="J236" s="364"/>
      <c r="K236" s="364"/>
      <c r="L236" s="364"/>
      <c r="M236" s="364"/>
      <c r="N236" s="364"/>
      <c r="O236" s="362"/>
      <c r="P236" s="362"/>
      <c r="Q236" s="362"/>
      <c r="R236" s="361"/>
      <c r="S236" s="362"/>
      <c r="T236" s="362"/>
      <c r="U236" s="362"/>
      <c r="V236" s="362"/>
      <c r="W236" s="362"/>
      <c r="X236" s="362"/>
      <c r="Y236" s="627"/>
    </row>
    <row r="237" spans="1:25" s="154" customFormat="1" x14ac:dyDescent="0.25">
      <c r="A237" s="195"/>
      <c r="I237" s="636"/>
      <c r="J237" s="156"/>
      <c r="K237" s="156"/>
      <c r="L237" s="156"/>
      <c r="M237" s="156"/>
      <c r="N237" s="156"/>
      <c r="Y237" s="627"/>
    </row>
    <row r="238" spans="1:25" x14ac:dyDescent="0.25">
      <c r="A238" s="195"/>
      <c r="B238" s="154"/>
      <c r="C238" s="154"/>
      <c r="D238" s="154"/>
      <c r="E238" s="154"/>
      <c r="F238" s="154"/>
      <c r="G238" s="154"/>
      <c r="H238" s="154"/>
      <c r="I238" s="636"/>
      <c r="J238" s="156"/>
      <c r="K238" s="156"/>
      <c r="L238" s="156"/>
      <c r="M238" s="156"/>
      <c r="N238" s="156"/>
      <c r="O238" s="154"/>
      <c r="P238" s="154"/>
      <c r="Q238" s="154"/>
      <c r="R238" s="154"/>
      <c r="S238" s="154"/>
      <c r="T238" s="154"/>
      <c r="U238" s="154"/>
      <c r="V238" s="154"/>
      <c r="W238" s="154"/>
      <c r="X238" s="154"/>
    </row>
    <row r="239" spans="1:25" x14ac:dyDescent="0.25">
      <c r="A239" s="194"/>
      <c r="J239" s="100"/>
      <c r="K239" s="100"/>
      <c r="L239" s="100"/>
      <c r="M239" s="100"/>
      <c r="N239" s="100"/>
    </row>
    <row r="240" spans="1:25" x14ac:dyDescent="0.25">
      <c r="A240" s="194"/>
      <c r="J240" s="100"/>
      <c r="K240" s="100"/>
      <c r="L240" s="100"/>
      <c r="M240" s="100"/>
      <c r="N240" s="100"/>
    </row>
    <row r="241" spans="1:25" x14ac:dyDescent="0.25">
      <c r="A241" s="194"/>
      <c r="J241" s="100"/>
      <c r="K241" s="100"/>
      <c r="L241" s="100"/>
      <c r="M241" s="100"/>
      <c r="N241" s="100"/>
    </row>
    <row r="242" spans="1:25" x14ac:dyDescent="0.25">
      <c r="A242" s="194"/>
      <c r="C242" s="97"/>
      <c r="G242" s="97"/>
      <c r="H242" s="97"/>
      <c r="J242" s="100"/>
      <c r="K242" s="100"/>
      <c r="L242" s="100"/>
      <c r="M242" s="100"/>
      <c r="N242" s="100"/>
    </row>
    <row r="243" spans="1:25" x14ac:dyDescent="0.25">
      <c r="A243" s="194"/>
      <c r="C243" s="97"/>
      <c r="G243" s="97"/>
      <c r="H243" s="97"/>
      <c r="J243" s="100"/>
      <c r="K243" s="100"/>
      <c r="L243" s="100"/>
      <c r="M243" s="100"/>
      <c r="N243" s="100"/>
    </row>
    <row r="244" spans="1:25" x14ac:dyDescent="0.25">
      <c r="A244" s="194"/>
      <c r="J244" s="100"/>
      <c r="K244" s="100"/>
      <c r="L244" s="100"/>
      <c r="M244" s="100"/>
      <c r="N244" s="100"/>
    </row>
    <row r="245" spans="1:25" x14ac:dyDescent="0.25">
      <c r="A245" s="194"/>
      <c r="J245" s="100"/>
      <c r="K245" s="100"/>
      <c r="L245" s="100"/>
      <c r="M245" s="100"/>
      <c r="N245" s="100"/>
    </row>
    <row r="246" spans="1:25" x14ac:dyDescent="0.25">
      <c r="A246" s="194"/>
      <c r="J246" s="100"/>
      <c r="K246" s="100"/>
      <c r="L246" s="100"/>
      <c r="M246" s="100"/>
      <c r="N246" s="100"/>
    </row>
    <row r="247" spans="1:25" x14ac:dyDescent="0.25">
      <c r="A247" s="194"/>
      <c r="C247" s="97"/>
      <c r="G247" s="97"/>
      <c r="H247" s="97"/>
      <c r="J247" s="100"/>
      <c r="K247" s="100"/>
      <c r="L247" s="100"/>
      <c r="M247" s="100"/>
      <c r="N247" s="100"/>
    </row>
    <row r="248" spans="1:25" x14ac:dyDescent="0.25">
      <c r="A248" s="194"/>
      <c r="J248" s="100"/>
      <c r="K248" s="100"/>
      <c r="L248" s="100"/>
      <c r="M248" s="100"/>
      <c r="N248" s="100"/>
    </row>
    <row r="249" spans="1:25" x14ac:dyDescent="0.25">
      <c r="A249" s="194"/>
      <c r="C249" s="97"/>
      <c r="G249" s="97"/>
      <c r="H249" s="97"/>
      <c r="J249" s="100"/>
      <c r="K249" s="100"/>
      <c r="L249" s="100"/>
      <c r="M249" s="100"/>
      <c r="N249" s="100"/>
    </row>
    <row r="250" spans="1:25" x14ac:dyDescent="0.25">
      <c r="A250" s="194"/>
      <c r="J250" s="100"/>
      <c r="K250" s="100"/>
      <c r="L250" s="100"/>
      <c r="M250" s="100"/>
      <c r="N250" s="100"/>
    </row>
    <row r="251" spans="1:25" x14ac:dyDescent="0.25">
      <c r="A251" s="194"/>
      <c r="J251" s="100"/>
      <c r="K251" s="100"/>
      <c r="L251" s="100"/>
      <c r="M251" s="100"/>
      <c r="N251" s="100"/>
    </row>
    <row r="252" spans="1:25" x14ac:dyDescent="0.25">
      <c r="A252" s="194"/>
      <c r="C252" s="97"/>
      <c r="G252" s="97"/>
      <c r="H252" s="97"/>
      <c r="J252" s="100"/>
      <c r="K252" s="100"/>
      <c r="L252" s="100"/>
      <c r="M252" s="100"/>
      <c r="N252" s="100"/>
    </row>
    <row r="253" spans="1:25" x14ac:dyDescent="0.25">
      <c r="A253" s="194"/>
      <c r="J253" s="100"/>
      <c r="K253" s="100"/>
      <c r="L253" s="100"/>
      <c r="M253" s="100"/>
      <c r="N253" s="100"/>
    </row>
    <row r="254" spans="1:25" x14ac:dyDescent="0.25">
      <c r="A254" s="194"/>
      <c r="J254" s="100"/>
      <c r="K254" s="100"/>
      <c r="L254" s="100"/>
      <c r="M254" s="100"/>
      <c r="N254" s="100"/>
    </row>
    <row r="255" spans="1:25" x14ac:dyDescent="0.25">
      <c r="A255" s="194"/>
      <c r="C255" s="97"/>
      <c r="G255" s="97"/>
      <c r="H255" s="97"/>
      <c r="J255" s="100"/>
      <c r="K255" s="100"/>
      <c r="L255" s="100"/>
      <c r="M255" s="100"/>
      <c r="N255" s="100"/>
      <c r="Y255" s="35"/>
    </row>
    <row r="256" spans="1:25" x14ac:dyDescent="0.25">
      <c r="A256" s="194"/>
      <c r="C256" s="97"/>
      <c r="G256" s="97"/>
      <c r="H256" s="97"/>
      <c r="J256" s="100"/>
      <c r="K256" s="100"/>
      <c r="L256" s="100"/>
      <c r="M256" s="100"/>
      <c r="N256" s="100"/>
      <c r="S256" s="97"/>
    </row>
    <row r="257" spans="1:25" x14ac:dyDescent="0.25">
      <c r="A257" s="194"/>
      <c r="G257" s="97"/>
      <c r="H257" s="97"/>
      <c r="J257" s="100"/>
      <c r="K257" s="100"/>
      <c r="L257" s="100"/>
      <c r="M257" s="100"/>
      <c r="N257" s="100"/>
    </row>
    <row r="258" spans="1:25" x14ac:dyDescent="0.25">
      <c r="A258" s="194"/>
      <c r="G258" s="97"/>
      <c r="H258" s="97"/>
      <c r="J258" s="100"/>
      <c r="K258" s="100"/>
      <c r="L258" s="100"/>
      <c r="M258" s="100"/>
      <c r="N258" s="100"/>
    </row>
    <row r="259" spans="1:25" x14ac:dyDescent="0.25">
      <c r="A259" s="194"/>
      <c r="G259" s="97"/>
      <c r="H259" s="97"/>
      <c r="J259" s="100"/>
      <c r="K259" s="100"/>
      <c r="L259" s="100"/>
      <c r="M259" s="100"/>
      <c r="N259" s="100"/>
    </row>
    <row r="260" spans="1:25" x14ac:dyDescent="0.25">
      <c r="A260" s="194"/>
      <c r="C260" s="34"/>
      <c r="G260" s="34"/>
      <c r="H260" s="34"/>
      <c r="J260" s="100"/>
      <c r="K260" s="100"/>
      <c r="L260" s="100"/>
      <c r="M260" s="100"/>
      <c r="N260" s="100"/>
    </row>
    <row r="261" spans="1:25" x14ac:dyDescent="0.25">
      <c r="A261" s="194"/>
      <c r="C261" s="34"/>
      <c r="G261" s="194"/>
      <c r="H261" s="34"/>
      <c r="J261" s="100"/>
      <c r="K261" s="100"/>
      <c r="L261" s="100"/>
      <c r="M261" s="100"/>
      <c r="N261" s="100"/>
    </row>
    <row r="262" spans="1:25" x14ac:dyDescent="0.25">
      <c r="A262" s="194"/>
      <c r="C262" s="34"/>
      <c r="G262" s="97"/>
      <c r="H262" s="97"/>
      <c r="J262" s="100"/>
      <c r="K262" s="100"/>
      <c r="L262" s="100"/>
      <c r="M262" s="100"/>
      <c r="N262" s="100"/>
    </row>
    <row r="263" spans="1:25" x14ac:dyDescent="0.25">
      <c r="A263" s="194"/>
      <c r="C263" s="97"/>
      <c r="J263" s="100"/>
      <c r="K263" s="100"/>
      <c r="L263" s="100"/>
      <c r="M263" s="100"/>
      <c r="N263" s="100"/>
      <c r="Y263" s="35"/>
    </row>
    <row r="264" spans="1:25" x14ac:dyDescent="0.25">
      <c r="A264" s="194"/>
      <c r="C264" s="97"/>
      <c r="G264" s="97"/>
      <c r="H264" s="97"/>
      <c r="J264" s="100"/>
      <c r="K264" s="100"/>
      <c r="L264" s="100"/>
      <c r="M264" s="100"/>
      <c r="N264" s="100"/>
      <c r="S264" s="97"/>
    </row>
    <row r="265" spans="1:25" x14ac:dyDescent="0.25">
      <c r="A265" s="194"/>
      <c r="C265" s="97"/>
      <c r="G265" s="97"/>
      <c r="H265" s="97"/>
      <c r="J265" s="100"/>
      <c r="K265" s="100"/>
      <c r="L265" s="100"/>
      <c r="M265" s="100"/>
      <c r="N265" s="100"/>
    </row>
    <row r="266" spans="1:25" x14ac:dyDescent="0.25">
      <c r="A266" s="194"/>
      <c r="G266" s="97"/>
      <c r="H266" s="97"/>
      <c r="J266" s="100"/>
      <c r="K266" s="100"/>
      <c r="L266" s="100"/>
      <c r="M266" s="100"/>
      <c r="N266" s="100"/>
    </row>
    <row r="267" spans="1:25" x14ac:dyDescent="0.25">
      <c r="A267" s="194"/>
      <c r="G267" s="97"/>
      <c r="H267" s="97"/>
      <c r="J267" s="100"/>
      <c r="K267" s="100"/>
      <c r="L267" s="100"/>
      <c r="M267" s="100"/>
      <c r="N267" s="100"/>
    </row>
    <row r="268" spans="1:25" x14ac:dyDescent="0.25">
      <c r="A268" s="194"/>
      <c r="J268" s="100"/>
      <c r="K268" s="100"/>
      <c r="L268" s="100"/>
      <c r="M268" s="100"/>
      <c r="N268" s="100"/>
    </row>
    <row r="269" spans="1:25" x14ac:dyDescent="0.25">
      <c r="A269" s="194"/>
      <c r="C269" s="34"/>
      <c r="G269" s="34"/>
      <c r="H269" s="34"/>
      <c r="J269" s="100"/>
      <c r="K269" s="100"/>
      <c r="L269" s="100"/>
      <c r="M269" s="100"/>
      <c r="N269" s="100"/>
    </row>
    <row r="270" spans="1:25" x14ac:dyDescent="0.25">
      <c r="A270" s="194"/>
      <c r="C270" s="34"/>
      <c r="G270" s="34"/>
      <c r="H270" s="34"/>
      <c r="J270" s="100"/>
      <c r="K270" s="100"/>
      <c r="L270" s="100"/>
      <c r="M270" s="100"/>
      <c r="N270" s="100"/>
    </row>
    <row r="271" spans="1:25" x14ac:dyDescent="0.25">
      <c r="A271" s="194"/>
      <c r="C271" s="34"/>
      <c r="G271" s="194"/>
      <c r="H271" s="34"/>
      <c r="J271" s="100"/>
      <c r="K271" s="100"/>
      <c r="L271" s="100"/>
      <c r="M271" s="100"/>
      <c r="N271" s="100"/>
    </row>
    <row r="272" spans="1:25" x14ac:dyDescent="0.25">
      <c r="A272" s="194"/>
      <c r="C272" s="97"/>
      <c r="G272" s="97"/>
      <c r="H272" s="97"/>
      <c r="J272" s="100"/>
      <c r="K272" s="100"/>
      <c r="L272" s="100"/>
      <c r="M272" s="100"/>
      <c r="N272" s="100"/>
    </row>
    <row r="273" spans="1:25" s="362" customFormat="1" x14ac:dyDescent="0.25">
      <c r="A273" s="194"/>
      <c r="B273" s="98"/>
      <c r="C273" s="97"/>
      <c r="D273" s="98"/>
      <c r="E273" s="98"/>
      <c r="F273" s="98"/>
      <c r="G273" s="97"/>
      <c r="H273" s="97"/>
      <c r="I273" s="621"/>
      <c r="J273" s="100"/>
      <c r="K273" s="100"/>
      <c r="L273" s="100"/>
      <c r="M273" s="100"/>
      <c r="N273" s="100"/>
      <c r="O273" s="98"/>
      <c r="P273" s="98"/>
      <c r="Q273" s="98"/>
      <c r="R273" s="98"/>
      <c r="S273" s="97"/>
      <c r="T273" s="98"/>
      <c r="U273" s="98"/>
      <c r="V273" s="98"/>
      <c r="W273" s="98"/>
      <c r="X273" s="98"/>
      <c r="Y273" s="603"/>
    </row>
    <row r="274" spans="1:25" x14ac:dyDescent="0.25">
      <c r="A274" s="360"/>
      <c r="B274" s="362"/>
      <c r="C274" s="361"/>
      <c r="D274" s="362"/>
      <c r="E274" s="362"/>
      <c r="F274" s="362"/>
      <c r="G274" s="361"/>
      <c r="H274" s="361"/>
      <c r="I274" s="618"/>
      <c r="J274" s="364"/>
      <c r="K274" s="364"/>
      <c r="L274" s="364"/>
      <c r="M274" s="364"/>
      <c r="N274" s="364"/>
      <c r="O274" s="362"/>
      <c r="P274" s="362"/>
      <c r="Q274" s="362"/>
      <c r="R274" s="362"/>
      <c r="S274" s="362"/>
      <c r="T274" s="362"/>
      <c r="U274" s="362"/>
      <c r="V274" s="362"/>
      <c r="W274" s="362"/>
      <c r="X274" s="362"/>
    </row>
    <row r="275" spans="1:25" x14ac:dyDescent="0.25">
      <c r="A275" s="194"/>
      <c r="J275" s="100"/>
      <c r="K275" s="100"/>
      <c r="L275" s="100"/>
      <c r="M275" s="100"/>
      <c r="N275" s="100"/>
    </row>
    <row r="276" spans="1:25" x14ac:dyDescent="0.25">
      <c r="A276" s="194"/>
      <c r="J276" s="100"/>
      <c r="K276" s="100"/>
      <c r="L276" s="100"/>
      <c r="M276" s="100"/>
      <c r="N276" s="100"/>
    </row>
    <row r="277" spans="1:25" x14ac:dyDescent="0.25">
      <c r="A277" s="194"/>
      <c r="J277" s="100"/>
      <c r="K277" s="100"/>
      <c r="L277" s="100"/>
      <c r="M277" s="100"/>
      <c r="N277" s="100"/>
    </row>
    <row r="278" spans="1:25" s="154" customFormat="1" x14ac:dyDescent="0.25">
      <c r="A278" s="194"/>
      <c r="B278" s="98"/>
      <c r="C278" s="98"/>
      <c r="D278" s="98"/>
      <c r="E278" s="98"/>
      <c r="F278" s="98"/>
      <c r="G278" s="98"/>
      <c r="H278" s="98"/>
      <c r="I278" s="621"/>
      <c r="J278" s="100"/>
      <c r="K278" s="100"/>
      <c r="L278" s="100"/>
      <c r="M278" s="100"/>
      <c r="N278" s="100"/>
      <c r="O278" s="98"/>
      <c r="P278" s="98"/>
      <c r="Q278" s="98"/>
      <c r="R278" s="98"/>
      <c r="S278" s="98"/>
      <c r="T278" s="98"/>
      <c r="U278" s="98"/>
      <c r="V278" s="98"/>
      <c r="W278" s="98"/>
      <c r="X278" s="98"/>
      <c r="Y278" s="627"/>
    </row>
    <row r="279" spans="1:25" x14ac:dyDescent="0.25">
      <c r="A279" s="195"/>
      <c r="B279" s="154"/>
      <c r="C279" s="154"/>
      <c r="D279" s="154"/>
      <c r="E279" s="154"/>
      <c r="F279" s="154"/>
      <c r="G279" s="154"/>
      <c r="H279" s="154"/>
      <c r="I279" s="636"/>
      <c r="J279" s="156"/>
      <c r="K279" s="156"/>
      <c r="L279" s="156"/>
      <c r="M279" s="156"/>
      <c r="N279" s="156"/>
      <c r="O279" s="154"/>
      <c r="P279" s="154"/>
      <c r="Q279" s="154"/>
      <c r="R279" s="154"/>
      <c r="S279" s="154"/>
      <c r="T279" s="154"/>
      <c r="U279" s="154"/>
      <c r="V279" s="154"/>
      <c r="W279" s="154"/>
      <c r="X279" s="154"/>
    </row>
    <row r="280" spans="1:25" x14ac:dyDescent="0.25">
      <c r="A280" s="194"/>
      <c r="J280" s="100"/>
      <c r="K280" s="100"/>
      <c r="L280" s="100"/>
      <c r="M280" s="100"/>
      <c r="N280" s="100"/>
    </row>
    <row r="281" spans="1:25" x14ac:dyDescent="0.25">
      <c r="A281" s="194"/>
      <c r="J281" s="100"/>
      <c r="K281" s="100"/>
      <c r="L281" s="100"/>
      <c r="M281" s="100"/>
      <c r="N281" s="100"/>
    </row>
    <row r="282" spans="1:25" x14ac:dyDescent="0.25">
      <c r="A282" s="194"/>
      <c r="C282" s="34"/>
      <c r="G282" s="194"/>
      <c r="H282" s="34"/>
      <c r="J282" s="100"/>
      <c r="K282" s="100"/>
      <c r="L282" s="100"/>
      <c r="M282" s="100"/>
      <c r="N282" s="100"/>
    </row>
    <row r="283" spans="1:25" s="154" customFormat="1" x14ac:dyDescent="0.25">
      <c r="A283" s="194"/>
      <c r="B283" s="98"/>
      <c r="C283" s="34"/>
      <c r="D283" s="98"/>
      <c r="E283" s="98"/>
      <c r="F283" s="98"/>
      <c r="G283" s="194"/>
      <c r="H283" s="34"/>
      <c r="I283" s="621"/>
      <c r="J283" s="100"/>
      <c r="K283" s="100"/>
      <c r="L283" s="100"/>
      <c r="M283" s="100"/>
      <c r="N283" s="100"/>
      <c r="O283" s="98"/>
      <c r="P283" s="98"/>
      <c r="Q283" s="98"/>
      <c r="R283" s="98"/>
      <c r="S283" s="98"/>
      <c r="T283" s="98"/>
      <c r="U283" s="98"/>
      <c r="V283" s="98"/>
      <c r="W283" s="98"/>
      <c r="X283" s="98"/>
      <c r="Y283" s="627"/>
    </row>
    <row r="284" spans="1:25" x14ac:dyDescent="0.25">
      <c r="A284" s="195"/>
      <c r="B284" s="154"/>
      <c r="C284" s="157"/>
      <c r="D284" s="154"/>
      <c r="E284" s="154"/>
      <c r="F284" s="154"/>
      <c r="G284" s="195"/>
      <c r="H284" s="157"/>
      <c r="I284" s="636"/>
      <c r="J284" s="156"/>
      <c r="K284" s="156"/>
      <c r="L284" s="156"/>
      <c r="M284" s="156"/>
      <c r="N284" s="156"/>
      <c r="O284" s="154"/>
      <c r="P284" s="154"/>
      <c r="Q284" s="154"/>
      <c r="R284" s="154"/>
      <c r="S284" s="154"/>
      <c r="T284" s="154"/>
      <c r="U284" s="154"/>
      <c r="V284" s="154"/>
      <c r="W284" s="154"/>
      <c r="X284" s="154"/>
    </row>
    <row r="285" spans="1:25" x14ac:dyDescent="0.25">
      <c r="A285" s="194"/>
      <c r="C285" s="34"/>
      <c r="G285" s="97"/>
      <c r="H285" s="97"/>
      <c r="J285" s="100"/>
      <c r="K285" s="100"/>
      <c r="L285" s="100"/>
      <c r="M285" s="100"/>
      <c r="N285" s="100"/>
    </row>
    <row r="286" spans="1:25" x14ac:dyDescent="0.25">
      <c r="A286" s="194"/>
      <c r="G286" s="97"/>
      <c r="H286" s="97"/>
      <c r="J286" s="100"/>
      <c r="K286" s="100"/>
      <c r="L286" s="100"/>
      <c r="M286" s="100"/>
      <c r="N286" s="100"/>
    </row>
    <row r="287" spans="1:25" x14ac:dyDescent="0.25">
      <c r="A287" s="194"/>
      <c r="G287" s="97"/>
      <c r="H287" s="97"/>
      <c r="J287" s="100"/>
      <c r="K287" s="100"/>
      <c r="L287" s="100"/>
      <c r="M287" s="100"/>
      <c r="N287" s="100"/>
    </row>
    <row r="288" spans="1:25" x14ac:dyDescent="0.25">
      <c r="A288" s="194"/>
      <c r="G288" s="97"/>
      <c r="H288" s="97"/>
      <c r="J288" s="100"/>
      <c r="K288" s="100"/>
      <c r="L288" s="100"/>
      <c r="M288" s="100"/>
      <c r="N288" s="100"/>
    </row>
    <row r="289" spans="1:25" x14ac:dyDescent="0.25">
      <c r="A289" s="194"/>
      <c r="J289" s="100"/>
      <c r="K289" s="100"/>
      <c r="L289" s="100"/>
      <c r="M289" s="100"/>
      <c r="N289" s="100"/>
    </row>
    <row r="290" spans="1:25" x14ac:dyDescent="0.25">
      <c r="A290" s="194"/>
      <c r="J290" s="100"/>
      <c r="K290" s="100"/>
      <c r="L290" s="100"/>
      <c r="M290" s="100"/>
      <c r="N290" s="100"/>
    </row>
    <row r="291" spans="1:25" x14ac:dyDescent="0.25">
      <c r="A291" s="194"/>
      <c r="J291" s="100"/>
      <c r="K291" s="100"/>
      <c r="L291" s="100"/>
      <c r="M291" s="100"/>
      <c r="N291" s="100"/>
    </row>
    <row r="292" spans="1:25" x14ac:dyDescent="0.25">
      <c r="A292" s="194"/>
      <c r="C292" s="34"/>
      <c r="G292" s="194"/>
      <c r="H292" s="34"/>
      <c r="J292" s="100"/>
      <c r="K292" s="100"/>
      <c r="L292" s="100"/>
      <c r="M292" s="100"/>
      <c r="N292" s="100"/>
    </row>
    <row r="293" spans="1:25" x14ac:dyDescent="0.25">
      <c r="A293" s="194"/>
      <c r="C293" s="34"/>
      <c r="G293" s="194"/>
      <c r="H293" s="34"/>
      <c r="J293" s="100"/>
      <c r="K293" s="100"/>
      <c r="L293" s="100"/>
      <c r="M293" s="100"/>
      <c r="N293" s="100"/>
    </row>
    <row r="294" spans="1:25" x14ac:dyDescent="0.25">
      <c r="A294" s="194"/>
      <c r="C294" s="34"/>
      <c r="G294" s="97"/>
      <c r="H294" s="97"/>
      <c r="J294" s="100"/>
      <c r="K294" s="100"/>
      <c r="L294" s="100"/>
      <c r="M294" s="100"/>
      <c r="N294" s="100"/>
    </row>
    <row r="295" spans="1:25" s="154" customFormat="1" x14ac:dyDescent="0.25">
      <c r="A295" s="194"/>
      <c r="B295" s="98"/>
      <c r="C295" s="97"/>
      <c r="D295" s="98"/>
      <c r="E295" s="98"/>
      <c r="F295" s="98"/>
      <c r="G295" s="97"/>
      <c r="H295" s="97"/>
      <c r="I295" s="621"/>
      <c r="J295" s="100"/>
      <c r="K295" s="100"/>
      <c r="L295" s="100"/>
      <c r="M295" s="100"/>
      <c r="N295" s="100"/>
      <c r="O295" s="98"/>
      <c r="P295" s="98"/>
      <c r="Q295" s="98"/>
      <c r="R295" s="98"/>
      <c r="S295" s="98"/>
      <c r="T295" s="98"/>
      <c r="U295" s="98"/>
      <c r="V295" s="98"/>
      <c r="W295" s="98"/>
      <c r="X295" s="98"/>
      <c r="Y295" s="627"/>
    </row>
    <row r="296" spans="1:25" s="351" customFormat="1" x14ac:dyDescent="0.25">
      <c r="A296" s="195"/>
      <c r="B296" s="154"/>
      <c r="C296" s="154"/>
      <c r="D296" s="154"/>
      <c r="E296" s="154"/>
      <c r="F296" s="154"/>
      <c r="G296" s="154"/>
      <c r="H296" s="154"/>
      <c r="I296" s="636"/>
      <c r="J296" s="156"/>
      <c r="K296" s="156"/>
      <c r="L296" s="156"/>
      <c r="M296" s="156"/>
      <c r="N296" s="156"/>
      <c r="O296" s="154"/>
      <c r="P296" s="154"/>
      <c r="Q296" s="154"/>
      <c r="R296" s="154"/>
      <c r="S296" s="154"/>
      <c r="T296" s="154"/>
      <c r="U296" s="154"/>
      <c r="V296" s="154"/>
      <c r="W296" s="154"/>
      <c r="X296" s="154"/>
      <c r="Y296" s="626"/>
    </row>
    <row r="297" spans="1:25" s="154" customFormat="1" x14ac:dyDescent="0.25">
      <c r="A297" s="350"/>
      <c r="B297" s="351"/>
      <c r="C297" s="351"/>
      <c r="D297" s="351"/>
      <c r="E297" s="351"/>
      <c r="F297" s="351"/>
      <c r="G297" s="351"/>
      <c r="H297" s="351"/>
      <c r="I297" s="616"/>
      <c r="J297" s="368"/>
      <c r="K297" s="368"/>
      <c r="L297" s="368"/>
      <c r="M297" s="368"/>
      <c r="N297" s="368"/>
      <c r="O297" s="351"/>
      <c r="P297" s="351"/>
      <c r="Q297" s="351"/>
      <c r="R297" s="351"/>
      <c r="S297" s="351"/>
      <c r="T297" s="351"/>
      <c r="U297" s="351"/>
      <c r="V297" s="351"/>
      <c r="W297" s="351"/>
      <c r="X297" s="351"/>
      <c r="Y297" s="627"/>
    </row>
    <row r="298" spans="1:25" s="154" customFormat="1" x14ac:dyDescent="0.25">
      <c r="A298" s="195"/>
      <c r="I298" s="636"/>
      <c r="J298" s="156"/>
      <c r="K298" s="156"/>
      <c r="L298" s="156"/>
      <c r="M298" s="156"/>
      <c r="N298" s="156"/>
      <c r="Y298" s="627"/>
    </row>
    <row r="299" spans="1:25" s="154" customFormat="1" x14ac:dyDescent="0.25">
      <c r="A299" s="195"/>
      <c r="I299" s="636"/>
      <c r="J299" s="156"/>
      <c r="K299" s="156"/>
      <c r="L299" s="156"/>
      <c r="M299" s="156"/>
      <c r="N299" s="156"/>
      <c r="Y299" s="627"/>
    </row>
    <row r="300" spans="1:25" x14ac:dyDescent="0.25">
      <c r="A300" s="195"/>
      <c r="B300" s="154"/>
      <c r="C300" s="154"/>
      <c r="D300" s="154"/>
      <c r="E300" s="154"/>
      <c r="F300" s="154"/>
      <c r="G300" s="154"/>
      <c r="H300" s="154"/>
      <c r="I300" s="636"/>
      <c r="J300" s="156"/>
      <c r="K300" s="156"/>
      <c r="L300" s="156"/>
      <c r="M300" s="156"/>
      <c r="N300" s="156"/>
      <c r="O300" s="154"/>
      <c r="P300" s="154"/>
      <c r="Q300" s="154"/>
      <c r="R300" s="154"/>
      <c r="S300" s="154"/>
      <c r="T300" s="154"/>
      <c r="U300" s="154"/>
      <c r="V300" s="154"/>
      <c r="W300" s="154"/>
      <c r="X300" s="154"/>
    </row>
    <row r="301" spans="1:25" x14ac:dyDescent="0.25">
      <c r="A301" s="194"/>
      <c r="C301" s="97"/>
      <c r="J301" s="100"/>
      <c r="K301" s="100"/>
      <c r="L301" s="100"/>
      <c r="M301" s="100"/>
      <c r="N301" s="100"/>
    </row>
    <row r="302" spans="1:25" x14ac:dyDescent="0.25">
      <c r="A302" s="194"/>
      <c r="C302" s="97"/>
      <c r="J302" s="100"/>
      <c r="K302" s="100"/>
      <c r="L302" s="100"/>
      <c r="M302" s="100"/>
      <c r="N302" s="100"/>
    </row>
    <row r="303" spans="1:25" x14ac:dyDescent="0.25">
      <c r="A303" s="194"/>
      <c r="C303" s="97"/>
      <c r="J303" s="100"/>
      <c r="K303" s="100"/>
      <c r="L303" s="100"/>
      <c r="M303" s="100"/>
      <c r="N303" s="100"/>
    </row>
    <row r="304" spans="1:25" x14ac:dyDescent="0.25">
      <c r="A304" s="194"/>
      <c r="J304" s="100"/>
      <c r="K304" s="100"/>
      <c r="L304" s="100"/>
      <c r="M304" s="100"/>
      <c r="N304" s="100"/>
    </row>
    <row r="305" spans="1:25" x14ac:dyDescent="0.25">
      <c r="A305" s="194"/>
      <c r="J305" s="100"/>
      <c r="K305" s="100"/>
      <c r="L305" s="100"/>
      <c r="M305" s="100"/>
      <c r="N305" s="100"/>
    </row>
    <row r="306" spans="1:25" x14ac:dyDescent="0.25">
      <c r="A306" s="194"/>
      <c r="J306" s="100"/>
      <c r="K306" s="100"/>
      <c r="L306" s="100"/>
      <c r="M306" s="100"/>
      <c r="N306" s="100"/>
    </row>
    <row r="307" spans="1:25" s="154" customFormat="1" x14ac:dyDescent="0.25">
      <c r="A307" s="194"/>
      <c r="B307" s="98"/>
      <c r="C307" s="98"/>
      <c r="D307" s="98"/>
      <c r="E307" s="98"/>
      <c r="F307" s="98"/>
      <c r="G307" s="98"/>
      <c r="H307" s="98"/>
      <c r="I307" s="621"/>
      <c r="J307" s="100"/>
      <c r="K307" s="100"/>
      <c r="L307" s="100"/>
      <c r="M307" s="100"/>
      <c r="N307" s="100"/>
      <c r="O307" s="98"/>
      <c r="P307" s="98"/>
      <c r="Q307" s="98"/>
      <c r="R307" s="98"/>
      <c r="S307" s="98"/>
      <c r="T307" s="98"/>
      <c r="U307" s="98"/>
      <c r="V307" s="98"/>
      <c r="W307" s="98"/>
      <c r="X307" s="98"/>
      <c r="Y307" s="627"/>
    </row>
    <row r="308" spans="1:25" x14ac:dyDescent="0.25">
      <c r="A308" s="195"/>
      <c r="B308" s="154"/>
      <c r="C308" s="154"/>
      <c r="D308" s="154"/>
      <c r="E308" s="154"/>
      <c r="F308" s="154"/>
      <c r="G308" s="154"/>
      <c r="H308" s="154"/>
      <c r="I308" s="636"/>
      <c r="J308" s="156"/>
      <c r="K308" s="156"/>
      <c r="L308" s="156"/>
      <c r="M308" s="156"/>
      <c r="N308" s="156"/>
      <c r="O308" s="154"/>
      <c r="P308" s="154"/>
      <c r="Q308" s="154"/>
      <c r="R308" s="154"/>
      <c r="S308" s="154"/>
      <c r="T308" s="154"/>
      <c r="U308" s="154"/>
      <c r="V308" s="154"/>
      <c r="W308" s="154"/>
      <c r="X308" s="154"/>
    </row>
    <row r="309" spans="1:25" x14ac:dyDescent="0.25">
      <c r="A309" s="194"/>
      <c r="J309" s="100"/>
      <c r="K309" s="100"/>
      <c r="L309" s="100"/>
      <c r="M309" s="100"/>
      <c r="N309" s="100"/>
    </row>
    <row r="310" spans="1:25" x14ac:dyDescent="0.25">
      <c r="A310" s="194"/>
      <c r="J310" s="100"/>
      <c r="K310" s="100"/>
      <c r="L310" s="100"/>
      <c r="M310" s="100"/>
      <c r="N310" s="100"/>
    </row>
    <row r="311" spans="1:25" x14ac:dyDescent="0.25">
      <c r="A311" s="194"/>
      <c r="G311" s="34"/>
      <c r="H311" s="34"/>
      <c r="J311" s="100"/>
      <c r="K311" s="100"/>
      <c r="L311" s="100"/>
      <c r="M311" s="100"/>
      <c r="N311" s="100"/>
    </row>
    <row r="312" spans="1:25" x14ac:dyDescent="0.25">
      <c r="A312" s="194"/>
      <c r="J312" s="100"/>
      <c r="K312" s="100"/>
      <c r="L312" s="100"/>
      <c r="M312" s="100"/>
      <c r="N312" s="100"/>
    </row>
    <row r="313" spans="1:25" s="154" customFormat="1" x14ac:dyDescent="0.25">
      <c r="A313" s="194"/>
      <c r="B313" s="98"/>
      <c r="C313" s="98"/>
      <c r="D313" s="98"/>
      <c r="E313" s="98"/>
      <c r="F313" s="98"/>
      <c r="G313" s="98"/>
      <c r="H313" s="98"/>
      <c r="I313" s="621"/>
      <c r="J313" s="100"/>
      <c r="K313" s="100"/>
      <c r="L313" s="100"/>
      <c r="M313" s="100"/>
      <c r="N313" s="100"/>
      <c r="O313" s="98"/>
      <c r="P313" s="98"/>
      <c r="Q313" s="98"/>
      <c r="R313" s="98"/>
      <c r="S313" s="98"/>
      <c r="T313" s="98"/>
      <c r="U313" s="98"/>
      <c r="V313" s="98"/>
      <c r="W313" s="98"/>
      <c r="X313" s="98"/>
      <c r="Y313" s="627"/>
    </row>
    <row r="314" spans="1:25" s="154" customFormat="1" x14ac:dyDescent="0.25">
      <c r="A314" s="195"/>
      <c r="G314" s="98"/>
      <c r="H314" s="98"/>
      <c r="I314" s="636"/>
      <c r="J314" s="156"/>
      <c r="K314" s="156"/>
      <c r="L314" s="156"/>
      <c r="M314" s="156"/>
      <c r="N314" s="156"/>
      <c r="Y314" s="627"/>
    </row>
    <row r="315" spans="1:25" s="362" customFormat="1" x14ac:dyDescent="0.25">
      <c r="A315" s="195"/>
      <c r="B315" s="154"/>
      <c r="C315" s="154"/>
      <c r="D315" s="154"/>
      <c r="E315" s="154"/>
      <c r="F315" s="154"/>
      <c r="G315" s="98"/>
      <c r="H315" s="98"/>
      <c r="I315" s="636"/>
      <c r="J315" s="156"/>
      <c r="K315" s="156"/>
      <c r="L315" s="156"/>
      <c r="M315" s="156"/>
      <c r="N315" s="156"/>
      <c r="O315" s="154"/>
      <c r="P315" s="154"/>
      <c r="Q315" s="154"/>
      <c r="R315" s="154"/>
      <c r="S315" s="154"/>
      <c r="T315" s="154"/>
      <c r="U315" s="154"/>
      <c r="V315" s="154"/>
      <c r="W315" s="154"/>
      <c r="X315" s="154"/>
      <c r="Y315" s="603"/>
    </row>
    <row r="316" spans="1:25" x14ac:dyDescent="0.25">
      <c r="A316" s="360"/>
      <c r="B316" s="362"/>
      <c r="C316" s="362"/>
      <c r="D316" s="362"/>
      <c r="E316" s="362"/>
      <c r="F316" s="362"/>
      <c r="G316" s="362"/>
      <c r="H316" s="362"/>
      <c r="I316" s="618"/>
      <c r="J316" s="364"/>
      <c r="K316" s="364"/>
      <c r="L316" s="364"/>
      <c r="M316" s="364"/>
      <c r="N316" s="364"/>
      <c r="O316" s="362"/>
      <c r="P316" s="362"/>
      <c r="Q316" s="362"/>
      <c r="R316" s="362"/>
      <c r="S316" s="362"/>
      <c r="T316" s="362"/>
      <c r="U316" s="362"/>
      <c r="V316" s="362"/>
      <c r="W316" s="362"/>
      <c r="X316" s="362"/>
    </row>
    <row r="317" spans="1:25" x14ac:dyDescent="0.25">
      <c r="A317" s="194"/>
      <c r="C317" s="34"/>
      <c r="G317" s="97"/>
      <c r="H317" s="97"/>
      <c r="J317" s="100"/>
      <c r="K317" s="100"/>
      <c r="L317" s="100"/>
      <c r="M317" s="100"/>
      <c r="N317" s="100"/>
    </row>
    <row r="318" spans="1:25" x14ac:dyDescent="0.25">
      <c r="A318" s="194"/>
      <c r="C318" s="34"/>
      <c r="G318" s="34"/>
      <c r="H318" s="34"/>
      <c r="J318" s="100"/>
      <c r="K318" s="100"/>
      <c r="L318" s="100"/>
      <c r="M318" s="100"/>
      <c r="N318" s="100"/>
    </row>
    <row r="319" spans="1:25" s="154" customFormat="1" x14ac:dyDescent="0.25">
      <c r="A319" s="194"/>
      <c r="B319" s="98"/>
      <c r="C319" s="98"/>
      <c r="D319" s="98"/>
      <c r="E319" s="98"/>
      <c r="F319" s="98"/>
      <c r="G319" s="98"/>
      <c r="H319" s="98"/>
      <c r="I319" s="621"/>
      <c r="J319" s="100"/>
      <c r="K319" s="100"/>
      <c r="L319" s="100"/>
      <c r="M319" s="100"/>
      <c r="N319" s="100"/>
      <c r="O319" s="98"/>
      <c r="P319" s="98"/>
      <c r="Q319" s="98"/>
      <c r="R319" s="98"/>
      <c r="S319" s="98"/>
      <c r="T319" s="98"/>
      <c r="U319" s="98"/>
      <c r="V319" s="98"/>
      <c r="W319" s="98"/>
      <c r="X319" s="98"/>
      <c r="Y319" s="627"/>
    </row>
    <row r="320" spans="1:25" x14ac:dyDescent="0.25">
      <c r="A320" s="195"/>
      <c r="B320" s="154"/>
      <c r="C320" s="154"/>
      <c r="D320" s="154"/>
      <c r="E320" s="154"/>
      <c r="F320" s="154"/>
      <c r="G320" s="154"/>
      <c r="H320" s="154"/>
      <c r="I320" s="636"/>
      <c r="J320" s="156"/>
      <c r="K320" s="156"/>
      <c r="L320" s="156"/>
      <c r="M320" s="156"/>
      <c r="N320" s="156"/>
      <c r="O320" s="154"/>
      <c r="P320" s="154"/>
      <c r="Q320" s="154"/>
      <c r="R320" s="154"/>
      <c r="S320" s="154"/>
      <c r="T320" s="154"/>
      <c r="U320" s="154"/>
      <c r="V320" s="154"/>
      <c r="W320" s="154"/>
      <c r="X320" s="154"/>
    </row>
    <row r="321" spans="1:25" x14ac:dyDescent="0.25">
      <c r="A321" s="194"/>
      <c r="J321" s="100"/>
      <c r="K321" s="100"/>
      <c r="L321" s="100"/>
      <c r="M321" s="100"/>
      <c r="N321" s="100"/>
    </row>
    <row r="322" spans="1:25" x14ac:dyDescent="0.25">
      <c r="A322" s="194"/>
      <c r="J322" s="100"/>
      <c r="K322" s="100"/>
      <c r="L322" s="100"/>
      <c r="M322" s="100"/>
      <c r="N322" s="100"/>
    </row>
    <row r="323" spans="1:25" x14ac:dyDescent="0.25">
      <c r="A323" s="194"/>
      <c r="C323" s="97"/>
      <c r="G323" s="97"/>
      <c r="H323" s="97"/>
      <c r="J323" s="100"/>
      <c r="K323" s="100"/>
      <c r="L323" s="100"/>
      <c r="M323" s="100"/>
      <c r="N323" s="100"/>
    </row>
    <row r="324" spans="1:25" x14ac:dyDescent="0.25">
      <c r="A324" s="194"/>
      <c r="C324" s="97"/>
      <c r="G324" s="97"/>
      <c r="H324" s="97"/>
      <c r="J324" s="100"/>
      <c r="K324" s="100"/>
      <c r="L324" s="100"/>
      <c r="M324" s="100"/>
      <c r="N324" s="100"/>
    </row>
    <row r="325" spans="1:25" x14ac:dyDescent="0.25">
      <c r="A325" s="194"/>
      <c r="C325" s="97"/>
      <c r="G325" s="97"/>
      <c r="H325" s="97"/>
      <c r="J325" s="100"/>
      <c r="K325" s="100"/>
      <c r="L325" s="100"/>
      <c r="M325" s="100"/>
      <c r="N325" s="100"/>
    </row>
    <row r="326" spans="1:25" x14ac:dyDescent="0.25">
      <c r="A326" s="194"/>
      <c r="C326" s="34"/>
      <c r="G326" s="34"/>
      <c r="H326" s="34"/>
      <c r="J326" s="100"/>
      <c r="K326" s="100"/>
      <c r="L326" s="100"/>
      <c r="M326" s="100"/>
      <c r="N326" s="100"/>
    </row>
    <row r="327" spans="1:25" x14ac:dyDescent="0.25">
      <c r="A327" s="194"/>
      <c r="C327" s="34"/>
      <c r="G327" s="34"/>
      <c r="H327" s="34"/>
      <c r="J327" s="100"/>
      <c r="K327" s="100"/>
      <c r="L327" s="100"/>
      <c r="M327" s="100"/>
      <c r="N327" s="100"/>
    </row>
    <row r="328" spans="1:25" x14ac:dyDescent="0.25">
      <c r="A328" s="194"/>
      <c r="C328" s="34"/>
      <c r="G328" s="194"/>
      <c r="H328" s="34"/>
      <c r="J328" s="100"/>
      <c r="K328" s="100"/>
      <c r="L328" s="100"/>
      <c r="M328" s="100"/>
      <c r="N328" s="100"/>
    </row>
    <row r="329" spans="1:25" x14ac:dyDescent="0.25">
      <c r="A329" s="194"/>
      <c r="J329" s="100"/>
      <c r="K329" s="100"/>
      <c r="L329" s="100"/>
      <c r="M329" s="100"/>
      <c r="N329" s="100"/>
    </row>
    <row r="330" spans="1:25" x14ac:dyDescent="0.25">
      <c r="A330" s="194"/>
      <c r="J330" s="100"/>
      <c r="K330" s="100"/>
      <c r="L330" s="100"/>
      <c r="M330" s="100"/>
      <c r="N330" s="100"/>
    </row>
    <row r="331" spans="1:25" x14ac:dyDescent="0.25">
      <c r="A331" s="194"/>
      <c r="J331" s="100"/>
      <c r="K331" s="100"/>
      <c r="L331" s="100"/>
      <c r="M331" s="100"/>
      <c r="N331" s="100"/>
    </row>
    <row r="332" spans="1:25" s="154" customFormat="1" x14ac:dyDescent="0.25">
      <c r="A332" s="194"/>
      <c r="B332" s="98"/>
      <c r="C332" s="97"/>
      <c r="D332" s="98"/>
      <c r="E332" s="98"/>
      <c r="F332" s="98"/>
      <c r="G332" s="97"/>
      <c r="H332" s="97"/>
      <c r="I332" s="621"/>
      <c r="J332" s="100"/>
      <c r="K332" s="100"/>
      <c r="L332" s="100"/>
      <c r="M332" s="100"/>
      <c r="N332" s="100"/>
      <c r="O332" s="98"/>
      <c r="P332" s="98"/>
      <c r="Q332" s="98"/>
      <c r="R332" s="98"/>
      <c r="S332" s="98"/>
      <c r="T332" s="98"/>
      <c r="U332" s="98"/>
      <c r="V332" s="98"/>
      <c r="W332" s="98"/>
      <c r="X332" s="98"/>
      <c r="Y332" s="627"/>
    </row>
    <row r="333" spans="1:25" s="154" customFormat="1" x14ac:dyDescent="0.25">
      <c r="A333" s="195"/>
      <c r="C333" s="153"/>
      <c r="G333" s="153"/>
      <c r="H333" s="153"/>
      <c r="I333" s="636"/>
      <c r="J333" s="156"/>
      <c r="K333" s="156"/>
      <c r="L333" s="156"/>
      <c r="M333" s="156"/>
      <c r="N333" s="156"/>
      <c r="Y333" s="627"/>
    </row>
    <row r="334" spans="1:25" s="154" customFormat="1" x14ac:dyDescent="0.25">
      <c r="A334" s="195"/>
      <c r="C334" s="153"/>
      <c r="G334" s="153"/>
      <c r="H334" s="153"/>
      <c r="I334" s="636"/>
      <c r="J334" s="156"/>
      <c r="K334" s="156"/>
      <c r="L334" s="156"/>
      <c r="M334" s="156"/>
      <c r="N334" s="156"/>
      <c r="Y334" s="627"/>
    </row>
    <row r="335" spans="1:25" s="154" customFormat="1" x14ac:dyDescent="0.25">
      <c r="A335" s="195"/>
      <c r="C335" s="153"/>
      <c r="G335" s="153"/>
      <c r="H335" s="153"/>
      <c r="I335" s="636"/>
      <c r="J335" s="156"/>
      <c r="K335" s="156"/>
      <c r="L335" s="156"/>
      <c r="M335" s="156"/>
      <c r="N335" s="156"/>
      <c r="Y335" s="627"/>
    </row>
    <row r="336" spans="1:25" s="154" customFormat="1" x14ac:dyDescent="0.25">
      <c r="A336" s="195"/>
      <c r="C336" s="153"/>
      <c r="G336" s="153"/>
      <c r="H336" s="153"/>
      <c r="I336" s="636"/>
      <c r="J336" s="156"/>
      <c r="K336" s="156"/>
      <c r="L336" s="156"/>
      <c r="M336" s="156"/>
      <c r="N336" s="156"/>
      <c r="Y336" s="627"/>
    </row>
    <row r="337" spans="1:24" x14ac:dyDescent="0.25">
      <c r="A337" s="195"/>
      <c r="B337" s="154"/>
      <c r="C337" s="153"/>
      <c r="D337" s="154"/>
      <c r="E337" s="154"/>
      <c r="F337" s="154"/>
      <c r="G337" s="153"/>
      <c r="H337" s="153"/>
      <c r="I337" s="636"/>
      <c r="J337" s="156"/>
      <c r="K337" s="156"/>
      <c r="L337" s="156"/>
      <c r="M337" s="156"/>
      <c r="N337" s="156"/>
      <c r="O337" s="154"/>
      <c r="P337" s="154"/>
      <c r="Q337" s="154"/>
      <c r="R337" s="154"/>
      <c r="S337" s="154"/>
      <c r="T337" s="154"/>
      <c r="U337" s="154"/>
      <c r="V337" s="154"/>
      <c r="W337" s="154"/>
      <c r="X337" s="154"/>
    </row>
    <row r="338" spans="1:24" x14ac:dyDescent="0.25">
      <c r="A338" s="194"/>
      <c r="C338" s="97"/>
      <c r="G338" s="97"/>
      <c r="H338" s="97"/>
      <c r="J338" s="100"/>
      <c r="K338" s="100"/>
      <c r="L338" s="100"/>
      <c r="M338" s="100"/>
      <c r="N338" s="100"/>
    </row>
    <row r="339" spans="1:24" x14ac:dyDescent="0.25">
      <c r="A339" s="194"/>
      <c r="J339" s="100"/>
      <c r="K339" s="100"/>
      <c r="L339" s="100"/>
      <c r="M339" s="100"/>
      <c r="N339" s="100"/>
    </row>
    <row r="340" spans="1:24" x14ac:dyDescent="0.25">
      <c r="A340" s="194"/>
      <c r="J340" s="100"/>
      <c r="K340" s="100"/>
      <c r="L340" s="100"/>
      <c r="M340" s="100"/>
      <c r="N340" s="100"/>
    </row>
    <row r="341" spans="1:24" x14ac:dyDescent="0.25">
      <c r="A341" s="194"/>
      <c r="J341" s="100"/>
      <c r="K341" s="100"/>
      <c r="L341" s="100"/>
      <c r="M341" s="100"/>
      <c r="N341" s="100"/>
    </row>
    <row r="342" spans="1:24" x14ac:dyDescent="0.25">
      <c r="A342" s="194"/>
      <c r="J342" s="100"/>
      <c r="K342" s="100"/>
      <c r="L342" s="100"/>
      <c r="M342" s="100"/>
      <c r="N342" s="100"/>
    </row>
    <row r="343" spans="1:24" x14ac:dyDescent="0.25">
      <c r="A343" s="194"/>
      <c r="C343" s="97"/>
      <c r="H343" s="97"/>
      <c r="J343" s="100"/>
      <c r="K343" s="100"/>
      <c r="L343" s="100"/>
      <c r="M343" s="100"/>
      <c r="N343" s="100"/>
    </row>
    <row r="344" spans="1:24" x14ac:dyDescent="0.25">
      <c r="A344" s="194"/>
      <c r="C344" s="97"/>
      <c r="J344" s="100"/>
      <c r="K344" s="100"/>
      <c r="L344" s="100"/>
      <c r="M344" s="100"/>
      <c r="N344" s="100"/>
    </row>
    <row r="345" spans="1:24" x14ac:dyDescent="0.25">
      <c r="A345" s="194"/>
      <c r="C345" s="97"/>
      <c r="J345" s="100"/>
      <c r="K345" s="100"/>
      <c r="L345" s="100"/>
      <c r="M345" s="100"/>
      <c r="N345" s="100"/>
    </row>
    <row r="346" spans="1:24" x14ac:dyDescent="0.25">
      <c r="A346" s="194"/>
      <c r="J346" s="100"/>
      <c r="K346" s="100"/>
      <c r="L346" s="100"/>
      <c r="M346" s="100"/>
      <c r="N346" s="100"/>
    </row>
    <row r="347" spans="1:24" x14ac:dyDescent="0.25">
      <c r="A347" s="194"/>
      <c r="J347" s="100"/>
      <c r="K347" s="100"/>
      <c r="L347" s="100"/>
      <c r="M347" s="100"/>
      <c r="N347" s="100"/>
    </row>
    <row r="348" spans="1:24" x14ac:dyDescent="0.25">
      <c r="A348" s="194"/>
      <c r="J348" s="100"/>
      <c r="K348" s="100"/>
      <c r="L348" s="100"/>
      <c r="M348" s="100"/>
      <c r="N348" s="100"/>
    </row>
    <row r="349" spans="1:24" x14ac:dyDescent="0.25">
      <c r="A349" s="194"/>
      <c r="J349" s="100"/>
      <c r="K349" s="100"/>
      <c r="L349" s="100"/>
      <c r="M349" s="100"/>
      <c r="N349" s="100"/>
    </row>
    <row r="350" spans="1:24" x14ac:dyDescent="0.25">
      <c r="A350" s="194"/>
      <c r="E350" s="623"/>
      <c r="J350" s="100"/>
      <c r="K350" s="100"/>
      <c r="L350" s="100"/>
      <c r="M350" s="100"/>
      <c r="N350" s="100"/>
    </row>
    <row r="351" spans="1:24" x14ac:dyDescent="0.25">
      <c r="A351" s="194"/>
      <c r="E351" s="623"/>
      <c r="J351" s="100"/>
      <c r="K351" s="100"/>
      <c r="L351" s="100"/>
      <c r="M351" s="100"/>
      <c r="N351" s="100"/>
    </row>
    <row r="352" spans="1:24" x14ac:dyDescent="0.25">
      <c r="A352" s="194"/>
      <c r="E352" s="623"/>
      <c r="J352" s="100"/>
      <c r="K352" s="100"/>
      <c r="L352" s="100"/>
      <c r="M352" s="100"/>
      <c r="N352" s="100"/>
    </row>
    <row r="353" spans="1:25" s="154" customFormat="1" x14ac:dyDescent="0.25">
      <c r="A353" s="194"/>
      <c r="B353" s="98"/>
      <c r="C353" s="98"/>
      <c r="D353" s="98"/>
      <c r="E353" s="623"/>
      <c r="F353" s="98"/>
      <c r="G353" s="98"/>
      <c r="H353" s="98"/>
      <c r="I353" s="621"/>
      <c r="J353" s="100"/>
      <c r="K353" s="100"/>
      <c r="L353" s="100"/>
      <c r="M353" s="100"/>
      <c r="N353" s="100"/>
      <c r="O353" s="98"/>
      <c r="P353" s="98"/>
      <c r="Q353" s="98"/>
      <c r="R353" s="98"/>
      <c r="S353" s="98"/>
      <c r="T353" s="98"/>
      <c r="U353" s="98"/>
      <c r="V353" s="98"/>
      <c r="W353" s="98"/>
      <c r="X353" s="98"/>
      <c r="Y353" s="627"/>
    </row>
    <row r="354" spans="1:25" x14ac:dyDescent="0.25">
      <c r="A354" s="195"/>
      <c r="B354" s="154"/>
      <c r="C354" s="154"/>
      <c r="D354" s="154"/>
      <c r="E354" s="674"/>
      <c r="F354" s="154"/>
      <c r="G354" s="154"/>
      <c r="H354" s="154"/>
      <c r="I354" s="636"/>
      <c r="J354" s="156"/>
      <c r="K354" s="156"/>
      <c r="L354" s="156"/>
      <c r="M354" s="156"/>
      <c r="N354" s="156"/>
      <c r="O354" s="154"/>
      <c r="P354" s="154"/>
      <c r="Q354" s="154"/>
      <c r="R354" s="154"/>
      <c r="S354" s="154"/>
      <c r="T354" s="154"/>
      <c r="U354" s="154"/>
      <c r="V354" s="154"/>
      <c r="W354" s="154"/>
      <c r="X354" s="154"/>
    </row>
    <row r="355" spans="1:25" x14ac:dyDescent="0.25">
      <c r="A355" s="194"/>
      <c r="E355" s="623"/>
      <c r="J355" s="100"/>
      <c r="K355" s="100"/>
      <c r="L355" s="100"/>
      <c r="M355" s="100"/>
      <c r="N355" s="100"/>
    </row>
    <row r="356" spans="1:25" x14ac:dyDescent="0.25">
      <c r="A356" s="194"/>
      <c r="E356" s="623"/>
      <c r="J356" s="624"/>
      <c r="K356" s="100"/>
      <c r="L356" s="100"/>
      <c r="M356" s="100"/>
      <c r="N356" s="100"/>
    </row>
    <row r="357" spans="1:25" x14ac:dyDescent="0.25">
      <c r="A357" s="194"/>
      <c r="E357" s="623"/>
      <c r="J357" s="624"/>
      <c r="K357" s="100"/>
      <c r="L357" s="100"/>
      <c r="M357" s="100"/>
      <c r="N357" s="100"/>
    </row>
    <row r="358" spans="1:25" s="362" customFormat="1" x14ac:dyDescent="0.25">
      <c r="A358" s="194"/>
      <c r="B358" s="98"/>
      <c r="C358" s="98"/>
      <c r="D358" s="98"/>
      <c r="E358" s="623"/>
      <c r="F358" s="98"/>
      <c r="G358" s="98"/>
      <c r="H358" s="98"/>
      <c r="I358" s="621"/>
      <c r="J358" s="624"/>
      <c r="K358" s="100"/>
      <c r="L358" s="100"/>
      <c r="M358" s="100"/>
      <c r="N358" s="100"/>
      <c r="O358" s="98"/>
      <c r="P358" s="98"/>
      <c r="Q358" s="98"/>
      <c r="R358" s="98"/>
      <c r="S358" s="98"/>
      <c r="T358" s="98"/>
      <c r="U358" s="98"/>
      <c r="V358" s="98"/>
      <c r="W358" s="98"/>
      <c r="X358" s="98"/>
      <c r="Y358" s="603"/>
    </row>
    <row r="359" spans="1:25" x14ac:dyDescent="0.25">
      <c r="A359" s="360"/>
      <c r="B359" s="362"/>
      <c r="C359" s="362"/>
      <c r="D359" s="362"/>
      <c r="E359" s="1090"/>
      <c r="F359" s="362"/>
      <c r="G359" s="362"/>
      <c r="H359" s="362"/>
      <c r="I359" s="618"/>
      <c r="J359" s="1091"/>
      <c r="K359" s="364"/>
      <c r="L359" s="364"/>
      <c r="M359" s="364"/>
      <c r="N359" s="364"/>
      <c r="O359" s="362"/>
      <c r="P359" s="362"/>
      <c r="Q359" s="362"/>
      <c r="R359" s="362"/>
      <c r="S359" s="1092"/>
      <c r="T359" s="362"/>
      <c r="U359" s="362"/>
      <c r="V359" s="362"/>
      <c r="W359" s="362"/>
      <c r="X359" s="362"/>
    </row>
    <row r="360" spans="1:25" s="154" customFormat="1" x14ac:dyDescent="0.25">
      <c r="A360" s="194"/>
      <c r="B360" s="98"/>
      <c r="C360" s="98"/>
      <c r="D360" s="98"/>
      <c r="E360" s="623"/>
      <c r="F360" s="98"/>
      <c r="G360" s="97"/>
      <c r="H360" s="97"/>
      <c r="I360" s="621"/>
      <c r="J360" s="100"/>
      <c r="K360" s="100"/>
      <c r="L360" s="100"/>
      <c r="M360" s="100"/>
      <c r="N360" s="100"/>
      <c r="O360" s="98"/>
      <c r="P360" s="98"/>
      <c r="Q360" s="98"/>
      <c r="R360" s="98"/>
      <c r="S360" s="98"/>
      <c r="T360" s="98"/>
      <c r="U360" s="98"/>
      <c r="V360" s="98"/>
      <c r="W360" s="98"/>
      <c r="X360" s="98"/>
      <c r="Y360" s="627"/>
    </row>
    <row r="361" spans="1:25" x14ac:dyDescent="0.25">
      <c r="A361" s="195"/>
      <c r="B361" s="154"/>
      <c r="C361" s="154"/>
      <c r="D361" s="154"/>
      <c r="E361" s="154"/>
      <c r="F361" s="154"/>
      <c r="G361" s="154"/>
      <c r="H361" s="154"/>
      <c r="I361" s="636"/>
      <c r="J361" s="156"/>
      <c r="K361" s="156"/>
      <c r="L361" s="156"/>
      <c r="M361" s="156"/>
      <c r="N361" s="156"/>
      <c r="O361" s="154"/>
      <c r="P361" s="154"/>
      <c r="Q361" s="154"/>
      <c r="R361" s="154"/>
      <c r="S361" s="154"/>
      <c r="T361" s="154"/>
      <c r="U361" s="154"/>
      <c r="V361" s="154"/>
      <c r="W361" s="154"/>
      <c r="X361" s="154"/>
    </row>
    <row r="362" spans="1:25" s="351" customFormat="1" x14ac:dyDescent="0.25">
      <c r="A362" s="194"/>
      <c r="B362" s="98"/>
      <c r="C362" s="98"/>
      <c r="D362" s="98"/>
      <c r="E362" s="623"/>
      <c r="F362" s="98"/>
      <c r="G362" s="98"/>
      <c r="H362" s="98"/>
      <c r="I362" s="621"/>
      <c r="J362" s="100"/>
      <c r="K362" s="100"/>
      <c r="L362" s="100"/>
      <c r="M362" s="100"/>
      <c r="N362" s="100"/>
      <c r="O362" s="98"/>
      <c r="P362" s="98"/>
      <c r="Q362" s="98"/>
      <c r="R362" s="98"/>
      <c r="S362" s="98"/>
      <c r="T362" s="98"/>
      <c r="U362" s="98"/>
      <c r="V362" s="98"/>
      <c r="W362" s="98"/>
      <c r="X362" s="98"/>
      <c r="Y362" s="626"/>
    </row>
    <row r="363" spans="1:25" s="154" customFormat="1" x14ac:dyDescent="0.25">
      <c r="A363" s="350"/>
      <c r="B363" s="351"/>
      <c r="C363" s="351"/>
      <c r="D363" s="351"/>
      <c r="E363" s="351"/>
      <c r="F363" s="351"/>
      <c r="G363" s="351"/>
      <c r="H363" s="351"/>
      <c r="I363" s="616"/>
      <c r="J363" s="368"/>
      <c r="K363" s="368"/>
      <c r="L363" s="368"/>
      <c r="M363" s="368"/>
      <c r="N363" s="368"/>
      <c r="O363" s="351"/>
      <c r="P363" s="351"/>
      <c r="Q363" s="351"/>
      <c r="R363" s="351"/>
      <c r="S363" s="351"/>
      <c r="T363" s="351"/>
      <c r="U363" s="351"/>
      <c r="V363" s="351"/>
      <c r="W363" s="351"/>
      <c r="X363" s="351"/>
      <c r="Y363" s="627"/>
    </row>
    <row r="364" spans="1:25" s="154" customFormat="1" x14ac:dyDescent="0.25">
      <c r="A364" s="195"/>
      <c r="I364" s="636"/>
      <c r="J364" s="156"/>
      <c r="K364" s="156"/>
      <c r="L364" s="156"/>
      <c r="M364" s="156"/>
      <c r="N364" s="156"/>
      <c r="Y364" s="627"/>
    </row>
    <row r="365" spans="1:25" x14ac:dyDescent="0.25">
      <c r="A365" s="195"/>
      <c r="B365" s="154"/>
      <c r="C365" s="154"/>
      <c r="D365" s="154"/>
      <c r="E365" s="154"/>
      <c r="F365" s="154"/>
      <c r="G365" s="154"/>
      <c r="H365" s="154"/>
      <c r="I365" s="636"/>
      <c r="J365" s="156"/>
      <c r="K365" s="156"/>
      <c r="L365" s="156"/>
      <c r="M365" s="156"/>
      <c r="N365" s="156"/>
      <c r="O365" s="154"/>
      <c r="P365" s="154"/>
      <c r="Q365" s="154"/>
      <c r="R365" s="154"/>
      <c r="S365" s="154"/>
      <c r="T365" s="154"/>
      <c r="U365" s="154"/>
      <c r="V365" s="154"/>
      <c r="W365" s="154"/>
      <c r="X365" s="154"/>
    </row>
    <row r="366" spans="1:25" x14ac:dyDescent="0.25">
      <c r="A366" s="194"/>
      <c r="E366" s="623"/>
      <c r="J366" s="100"/>
      <c r="K366" s="100"/>
      <c r="L366" s="100"/>
      <c r="M366" s="100"/>
      <c r="N366" s="100"/>
    </row>
    <row r="367" spans="1:25" x14ac:dyDescent="0.25">
      <c r="A367" s="194"/>
      <c r="E367" s="623"/>
      <c r="J367" s="100"/>
      <c r="K367" s="100"/>
      <c r="L367" s="100"/>
      <c r="M367" s="100"/>
      <c r="N367" s="100"/>
    </row>
    <row r="368" spans="1:25" x14ac:dyDescent="0.25">
      <c r="A368" s="194"/>
      <c r="E368" s="623"/>
      <c r="J368" s="100"/>
      <c r="K368" s="100"/>
      <c r="L368" s="100"/>
      <c r="M368" s="100"/>
      <c r="N368" s="100"/>
    </row>
    <row r="369" spans="1:25" x14ac:dyDescent="0.25">
      <c r="A369" s="194"/>
      <c r="E369" s="623"/>
      <c r="J369" s="100"/>
      <c r="K369" s="100"/>
      <c r="L369" s="100"/>
      <c r="M369" s="100"/>
      <c r="N369" s="100"/>
    </row>
    <row r="370" spans="1:25" s="154" customFormat="1" x14ac:dyDescent="0.25">
      <c r="A370" s="194"/>
      <c r="B370" s="98"/>
      <c r="C370" s="98"/>
      <c r="D370" s="98"/>
      <c r="E370" s="623"/>
      <c r="F370" s="98"/>
      <c r="G370" s="98"/>
      <c r="H370" s="98"/>
      <c r="I370" s="621"/>
      <c r="J370" s="100"/>
      <c r="K370" s="100"/>
      <c r="L370" s="100"/>
      <c r="M370" s="100"/>
      <c r="N370" s="100"/>
      <c r="O370" s="98"/>
      <c r="P370" s="98"/>
      <c r="Q370" s="98"/>
      <c r="R370" s="98"/>
      <c r="S370" s="98"/>
      <c r="T370" s="98"/>
      <c r="U370" s="98"/>
      <c r="V370" s="98"/>
      <c r="W370" s="98"/>
      <c r="X370" s="98"/>
      <c r="Y370" s="627"/>
    </row>
    <row r="371" spans="1:25" x14ac:dyDescent="0.25">
      <c r="A371" s="195"/>
      <c r="B371" s="154"/>
      <c r="C371" s="154"/>
      <c r="D371" s="154"/>
      <c r="E371" s="674"/>
      <c r="F371" s="154"/>
      <c r="G371" s="154"/>
      <c r="H371" s="154"/>
      <c r="I371" s="636"/>
      <c r="J371" s="156"/>
      <c r="K371" s="156"/>
      <c r="L371" s="156"/>
      <c r="M371" s="156"/>
      <c r="N371" s="156"/>
      <c r="O371" s="154"/>
      <c r="P371" s="154"/>
      <c r="Q371" s="154"/>
      <c r="R371" s="154"/>
      <c r="S371" s="154"/>
      <c r="T371" s="154"/>
      <c r="U371" s="154"/>
      <c r="V371" s="154"/>
      <c r="W371" s="154"/>
      <c r="X371" s="154"/>
    </row>
    <row r="372" spans="1:25" x14ac:dyDescent="0.25">
      <c r="A372" s="194"/>
      <c r="E372" s="623"/>
      <c r="J372" s="100"/>
      <c r="K372" s="100"/>
      <c r="L372" s="100"/>
      <c r="M372" s="100"/>
      <c r="N372" s="100"/>
    </row>
    <row r="373" spans="1:25" x14ac:dyDescent="0.25">
      <c r="A373" s="194"/>
      <c r="J373" s="100"/>
      <c r="K373" s="100"/>
      <c r="L373" s="100"/>
      <c r="M373" s="100"/>
      <c r="N373" s="100"/>
    </row>
    <row r="374" spans="1:25" x14ac:dyDescent="0.25">
      <c r="A374" s="194"/>
      <c r="J374" s="100"/>
      <c r="K374" s="100"/>
      <c r="L374" s="100"/>
      <c r="M374" s="100"/>
      <c r="N374" s="100"/>
    </row>
    <row r="375" spans="1:25" x14ac:dyDescent="0.25">
      <c r="A375" s="194"/>
      <c r="J375" s="100"/>
      <c r="K375" s="100"/>
      <c r="L375" s="100"/>
      <c r="M375" s="100"/>
      <c r="N375" s="100"/>
    </row>
    <row r="376" spans="1:25" x14ac:dyDescent="0.25">
      <c r="A376" s="194"/>
      <c r="J376" s="100"/>
      <c r="K376" s="100"/>
      <c r="L376" s="100"/>
      <c r="M376" s="100"/>
      <c r="N376" s="100"/>
    </row>
    <row r="377" spans="1:25" x14ac:dyDescent="0.25">
      <c r="A377" s="194"/>
      <c r="G377" s="97"/>
      <c r="H377" s="97"/>
      <c r="J377" s="100"/>
      <c r="K377" s="100"/>
      <c r="L377" s="100"/>
      <c r="M377" s="100"/>
      <c r="N377" s="100"/>
    </row>
    <row r="378" spans="1:25" x14ac:dyDescent="0.25">
      <c r="A378" s="194"/>
      <c r="G378" s="97"/>
      <c r="H378" s="97"/>
      <c r="J378" s="100"/>
      <c r="K378" s="100"/>
      <c r="L378" s="100"/>
      <c r="M378" s="100"/>
      <c r="N378" s="100"/>
    </row>
    <row r="379" spans="1:25" x14ac:dyDescent="0.25">
      <c r="A379" s="194"/>
      <c r="J379" s="100"/>
      <c r="K379" s="100"/>
      <c r="L379" s="100"/>
      <c r="M379" s="100"/>
      <c r="N379" s="100"/>
    </row>
    <row r="380" spans="1:25" x14ac:dyDescent="0.25">
      <c r="A380" s="194"/>
      <c r="J380" s="100"/>
      <c r="K380" s="100"/>
      <c r="L380" s="100"/>
      <c r="M380" s="100"/>
      <c r="N380" s="100"/>
    </row>
    <row r="381" spans="1:25" x14ac:dyDescent="0.25">
      <c r="A381" s="194"/>
      <c r="J381" s="100"/>
      <c r="K381" s="100"/>
      <c r="L381" s="100"/>
      <c r="M381" s="100"/>
      <c r="N381" s="100"/>
    </row>
    <row r="382" spans="1:25" x14ac:dyDescent="0.25">
      <c r="A382" s="194"/>
      <c r="J382" s="100"/>
      <c r="K382" s="100"/>
      <c r="L382" s="100"/>
      <c r="M382" s="100"/>
      <c r="N382" s="100"/>
    </row>
    <row r="383" spans="1:25" x14ac:dyDescent="0.25">
      <c r="A383" s="194"/>
      <c r="J383" s="100"/>
      <c r="K383" s="100"/>
      <c r="L383" s="100"/>
      <c r="M383" s="100"/>
      <c r="N383" s="100"/>
    </row>
    <row r="384" spans="1:25" x14ac:dyDescent="0.25">
      <c r="A384" s="194"/>
      <c r="J384" s="100"/>
      <c r="K384" s="100"/>
      <c r="L384" s="100"/>
      <c r="M384" s="100"/>
      <c r="N384" s="100"/>
    </row>
    <row r="385" spans="1:25" x14ac:dyDescent="0.25">
      <c r="A385" s="194"/>
      <c r="J385" s="100"/>
      <c r="K385" s="100"/>
      <c r="L385" s="100"/>
      <c r="M385" s="100"/>
      <c r="N385" s="100"/>
    </row>
    <row r="386" spans="1:25" x14ac:dyDescent="0.25">
      <c r="A386" s="194"/>
      <c r="J386" s="100"/>
      <c r="K386" s="100"/>
      <c r="L386" s="100"/>
      <c r="M386" s="100"/>
      <c r="N386" s="100"/>
    </row>
    <row r="387" spans="1:25" x14ac:dyDescent="0.25">
      <c r="A387" s="194"/>
      <c r="J387" s="100"/>
      <c r="K387" s="100"/>
      <c r="L387" s="100"/>
      <c r="M387" s="100"/>
      <c r="N387" s="100"/>
    </row>
    <row r="388" spans="1:25" x14ac:dyDescent="0.25">
      <c r="A388" s="194"/>
      <c r="J388" s="100"/>
      <c r="K388" s="100"/>
      <c r="L388" s="100"/>
      <c r="M388" s="100"/>
      <c r="N388" s="100"/>
    </row>
    <row r="389" spans="1:25" x14ac:dyDescent="0.25">
      <c r="A389" s="194"/>
      <c r="J389" s="100"/>
      <c r="K389" s="100"/>
      <c r="L389" s="100"/>
      <c r="M389" s="100"/>
      <c r="N389" s="100"/>
    </row>
    <row r="390" spans="1:25" x14ac:dyDescent="0.25">
      <c r="A390" s="194"/>
      <c r="J390" s="100"/>
      <c r="K390" s="100"/>
      <c r="L390" s="100"/>
      <c r="M390" s="100"/>
      <c r="N390" s="100"/>
    </row>
    <row r="391" spans="1:25" x14ac:dyDescent="0.25">
      <c r="A391" s="194"/>
      <c r="J391" s="100"/>
      <c r="K391" s="100"/>
      <c r="L391" s="100"/>
      <c r="M391" s="100"/>
      <c r="N391" s="100"/>
    </row>
    <row r="392" spans="1:25" s="154" customFormat="1" x14ac:dyDescent="0.25">
      <c r="A392" s="194"/>
      <c r="B392" s="98"/>
      <c r="C392" s="98"/>
      <c r="D392" s="98"/>
      <c r="E392" s="98"/>
      <c r="F392" s="98"/>
      <c r="G392" s="98"/>
      <c r="H392" s="98"/>
      <c r="I392" s="621"/>
      <c r="J392" s="100"/>
      <c r="K392" s="100"/>
      <c r="L392" s="100"/>
      <c r="M392" s="100"/>
      <c r="N392" s="100"/>
      <c r="O392" s="98"/>
      <c r="P392" s="98"/>
      <c r="Q392" s="98"/>
      <c r="R392" s="98"/>
      <c r="S392" s="98"/>
      <c r="T392" s="98"/>
      <c r="U392" s="98"/>
      <c r="V392" s="98"/>
      <c r="W392" s="98"/>
      <c r="X392" s="98"/>
      <c r="Y392" s="627"/>
    </row>
    <row r="393" spans="1:25" x14ac:dyDescent="0.25">
      <c r="A393" s="195"/>
      <c r="B393" s="154"/>
      <c r="C393" s="154"/>
      <c r="D393" s="154"/>
      <c r="E393" s="154"/>
      <c r="F393" s="154"/>
      <c r="G393" s="154"/>
      <c r="H393" s="154"/>
      <c r="I393" s="636"/>
      <c r="J393" s="156"/>
      <c r="K393" s="156"/>
      <c r="L393" s="156"/>
      <c r="M393" s="156"/>
      <c r="N393" s="156"/>
      <c r="O393" s="154"/>
      <c r="P393" s="154"/>
      <c r="Q393" s="154"/>
      <c r="R393" s="154"/>
      <c r="S393" s="154"/>
      <c r="T393" s="154"/>
      <c r="U393" s="154"/>
      <c r="V393" s="154"/>
      <c r="W393" s="154"/>
      <c r="X393" s="154"/>
    </row>
    <row r="394" spans="1:25" s="362" customFormat="1" x14ac:dyDescent="0.25">
      <c r="A394" s="194"/>
      <c r="B394" s="98"/>
      <c r="C394" s="98"/>
      <c r="D394" s="98"/>
      <c r="E394" s="98"/>
      <c r="F394" s="98"/>
      <c r="G394" s="98"/>
      <c r="H394" s="98"/>
      <c r="I394" s="621"/>
      <c r="J394" s="100"/>
      <c r="K394" s="100"/>
      <c r="L394" s="100"/>
      <c r="M394" s="100"/>
      <c r="N394" s="100"/>
      <c r="O394" s="98"/>
      <c r="P394" s="98"/>
      <c r="Q394" s="98"/>
      <c r="R394" s="98"/>
      <c r="S394" s="98"/>
      <c r="T394" s="98"/>
      <c r="U394" s="98"/>
      <c r="V394" s="98"/>
      <c r="W394" s="98"/>
      <c r="X394" s="98"/>
      <c r="Y394" s="603"/>
    </row>
    <row r="395" spans="1:25" x14ac:dyDescent="0.25">
      <c r="A395" s="360"/>
      <c r="B395" s="362"/>
      <c r="C395" s="362"/>
      <c r="D395" s="362"/>
      <c r="E395" s="362"/>
      <c r="F395" s="362"/>
      <c r="G395" s="362"/>
      <c r="H395" s="362"/>
      <c r="I395" s="618"/>
      <c r="J395" s="364"/>
      <c r="K395" s="364"/>
      <c r="L395" s="364"/>
      <c r="M395" s="364"/>
      <c r="N395" s="364"/>
      <c r="O395" s="362"/>
      <c r="P395" s="362"/>
      <c r="Q395" s="362"/>
      <c r="R395" s="362"/>
      <c r="S395" s="362"/>
      <c r="T395" s="362"/>
      <c r="U395" s="362"/>
      <c r="V395" s="362"/>
      <c r="W395" s="362"/>
      <c r="X395" s="362"/>
    </row>
    <row r="396" spans="1:25" x14ac:dyDescent="0.25">
      <c r="A396" s="194"/>
      <c r="J396" s="100"/>
      <c r="K396" s="100"/>
      <c r="L396" s="100"/>
      <c r="M396" s="100"/>
      <c r="N396" s="100"/>
    </row>
    <row r="397" spans="1:25" x14ac:dyDescent="0.25">
      <c r="A397" s="194"/>
      <c r="J397" s="100"/>
      <c r="K397" s="100"/>
      <c r="L397" s="100"/>
      <c r="M397" s="100"/>
      <c r="N397" s="100"/>
    </row>
    <row r="398" spans="1:25" x14ac:dyDescent="0.25">
      <c r="A398" s="194"/>
      <c r="J398" s="100"/>
      <c r="K398" s="100"/>
      <c r="L398" s="100"/>
      <c r="M398" s="100"/>
      <c r="N398" s="100"/>
    </row>
    <row r="399" spans="1:25" x14ac:dyDescent="0.25">
      <c r="A399" s="194"/>
      <c r="J399" s="100"/>
      <c r="K399" s="100"/>
      <c r="L399" s="100"/>
      <c r="M399" s="100"/>
      <c r="N399" s="100"/>
    </row>
    <row r="400" spans="1:25" x14ac:dyDescent="0.25">
      <c r="A400" s="194"/>
      <c r="J400" s="100"/>
      <c r="K400" s="100"/>
      <c r="L400" s="100"/>
      <c r="M400" s="100"/>
      <c r="N400" s="100"/>
    </row>
    <row r="401" spans="1:25" x14ac:dyDescent="0.25">
      <c r="A401" s="194"/>
      <c r="J401" s="100"/>
      <c r="K401" s="100"/>
      <c r="L401" s="100"/>
      <c r="M401" s="100"/>
      <c r="N401" s="100"/>
    </row>
    <row r="402" spans="1:25" x14ac:dyDescent="0.25">
      <c r="A402" s="194"/>
      <c r="J402" s="100"/>
      <c r="K402" s="100"/>
      <c r="L402" s="100"/>
      <c r="M402" s="100"/>
      <c r="N402" s="100"/>
    </row>
    <row r="403" spans="1:25" x14ac:dyDescent="0.25">
      <c r="A403" s="194"/>
      <c r="J403" s="100"/>
      <c r="K403" s="100"/>
      <c r="L403" s="100"/>
      <c r="M403" s="100"/>
      <c r="N403" s="100"/>
    </row>
    <row r="404" spans="1:25" x14ac:dyDescent="0.25">
      <c r="A404" s="194"/>
      <c r="J404" s="100"/>
      <c r="K404" s="100"/>
      <c r="L404" s="100"/>
      <c r="M404" s="100"/>
      <c r="N404" s="100"/>
    </row>
    <row r="405" spans="1:25" x14ac:dyDescent="0.25">
      <c r="A405" s="194"/>
      <c r="J405" s="100"/>
      <c r="K405" s="100"/>
      <c r="L405" s="100"/>
      <c r="M405" s="100"/>
      <c r="N405" s="100"/>
    </row>
    <row r="406" spans="1:25" x14ac:dyDescent="0.25">
      <c r="A406" s="194"/>
      <c r="J406" s="100"/>
      <c r="K406" s="100"/>
      <c r="L406" s="100"/>
      <c r="M406" s="100"/>
      <c r="N406" s="100"/>
    </row>
    <row r="407" spans="1:25" x14ac:dyDescent="0.25">
      <c r="A407" s="194"/>
      <c r="J407" s="100"/>
      <c r="K407" s="100"/>
      <c r="L407" s="100"/>
      <c r="M407" s="100"/>
      <c r="N407" s="100"/>
    </row>
    <row r="408" spans="1:25" x14ac:dyDescent="0.25">
      <c r="A408" s="194"/>
      <c r="J408" s="100"/>
      <c r="K408" s="100"/>
      <c r="L408" s="100"/>
      <c r="M408" s="100"/>
      <c r="N408" s="100"/>
    </row>
    <row r="409" spans="1:25" x14ac:dyDescent="0.25">
      <c r="A409" s="194"/>
      <c r="J409" s="100"/>
      <c r="K409" s="100"/>
      <c r="L409" s="100"/>
      <c r="M409" s="100"/>
      <c r="N409" s="100"/>
    </row>
    <row r="410" spans="1:25" x14ac:dyDescent="0.25">
      <c r="A410" s="194"/>
      <c r="J410" s="100"/>
      <c r="K410" s="100"/>
      <c r="L410" s="100"/>
      <c r="M410" s="100"/>
      <c r="N410" s="100"/>
    </row>
    <row r="411" spans="1:25" x14ac:dyDescent="0.25">
      <c r="A411" s="194"/>
      <c r="J411" s="100"/>
      <c r="K411" s="100"/>
      <c r="L411" s="100"/>
      <c r="M411" s="100"/>
      <c r="N411" s="100"/>
    </row>
    <row r="412" spans="1:25" x14ac:dyDescent="0.25">
      <c r="A412" s="194"/>
      <c r="J412" s="100"/>
      <c r="K412" s="100"/>
      <c r="L412" s="100"/>
      <c r="M412" s="100"/>
      <c r="N412" s="100"/>
    </row>
    <row r="413" spans="1:25" x14ac:dyDescent="0.25">
      <c r="A413" s="194"/>
      <c r="J413" s="100"/>
      <c r="K413" s="100"/>
      <c r="L413" s="100"/>
      <c r="M413" s="100"/>
      <c r="N413" s="100"/>
    </row>
    <row r="414" spans="1:25" x14ac:dyDescent="0.25">
      <c r="A414" s="194"/>
      <c r="J414" s="100"/>
      <c r="K414" s="100"/>
      <c r="L414" s="100"/>
      <c r="M414" s="100"/>
      <c r="N414" s="100"/>
    </row>
    <row r="415" spans="1:25" x14ac:dyDescent="0.25">
      <c r="A415" s="194"/>
      <c r="J415" s="100"/>
      <c r="K415" s="100"/>
      <c r="L415" s="100"/>
      <c r="M415" s="100"/>
      <c r="N415" s="100"/>
    </row>
    <row r="416" spans="1:25" s="154" customFormat="1" x14ac:dyDescent="0.25">
      <c r="A416" s="194"/>
      <c r="B416" s="98"/>
      <c r="C416" s="98"/>
      <c r="D416" s="98"/>
      <c r="E416" s="98"/>
      <c r="F416" s="98"/>
      <c r="G416" s="98"/>
      <c r="H416" s="98"/>
      <c r="I416" s="621"/>
      <c r="J416" s="100"/>
      <c r="K416" s="100"/>
      <c r="L416" s="100"/>
      <c r="M416" s="100"/>
      <c r="N416" s="100"/>
      <c r="O416" s="98"/>
      <c r="P416" s="98"/>
      <c r="Q416" s="98"/>
      <c r="R416" s="98"/>
      <c r="S416" s="98"/>
      <c r="T416" s="98"/>
      <c r="U416" s="98"/>
      <c r="V416" s="98"/>
      <c r="W416" s="98"/>
      <c r="X416" s="98"/>
      <c r="Y416" s="627"/>
    </row>
    <row r="417" spans="1:25" x14ac:dyDescent="0.25">
      <c r="A417" s="195"/>
      <c r="B417" s="154"/>
      <c r="C417" s="154"/>
      <c r="D417" s="154"/>
      <c r="E417" s="154"/>
      <c r="F417" s="154"/>
      <c r="G417" s="154"/>
      <c r="H417" s="154"/>
      <c r="I417" s="636"/>
      <c r="J417" s="156"/>
      <c r="K417" s="156"/>
      <c r="L417" s="156"/>
      <c r="M417" s="156"/>
      <c r="N417" s="156"/>
      <c r="O417" s="154"/>
      <c r="P417" s="154"/>
      <c r="Q417" s="154"/>
      <c r="R417" s="154"/>
      <c r="S417" s="154"/>
      <c r="T417" s="154"/>
      <c r="U417" s="154"/>
      <c r="V417" s="154"/>
      <c r="W417" s="154"/>
      <c r="X417" s="154"/>
    </row>
    <row r="418" spans="1:25" x14ac:dyDescent="0.25">
      <c r="A418" s="194"/>
      <c r="J418" s="100"/>
      <c r="K418" s="100"/>
      <c r="L418" s="100"/>
      <c r="M418" s="100"/>
      <c r="N418" s="100"/>
    </row>
    <row r="419" spans="1:25" x14ac:dyDescent="0.25">
      <c r="A419" s="194"/>
      <c r="J419" s="765"/>
      <c r="K419" s="765"/>
      <c r="L419" s="765"/>
      <c r="M419" s="765"/>
      <c r="N419" s="765"/>
    </row>
    <row r="420" spans="1:25" x14ac:dyDescent="0.25">
      <c r="A420" s="194"/>
      <c r="J420" s="100"/>
      <c r="K420" s="100"/>
      <c r="L420" s="100"/>
      <c r="M420" s="100"/>
      <c r="N420" s="100"/>
    </row>
    <row r="421" spans="1:25" s="154" customFormat="1" x14ac:dyDescent="0.25">
      <c r="A421" s="194"/>
      <c r="B421" s="98"/>
      <c r="C421" s="98"/>
      <c r="D421" s="98"/>
      <c r="E421" s="98"/>
      <c r="F421" s="98"/>
      <c r="G421" s="98"/>
      <c r="H421" s="98"/>
      <c r="I421" s="621"/>
      <c r="J421" s="100"/>
      <c r="K421" s="100"/>
      <c r="L421" s="100"/>
      <c r="M421" s="100"/>
      <c r="N421" s="100"/>
      <c r="O421" s="98"/>
      <c r="P421" s="98"/>
      <c r="Q421" s="98"/>
      <c r="R421" s="98"/>
      <c r="S421" s="98"/>
      <c r="T421" s="98"/>
      <c r="U421" s="98"/>
      <c r="V421" s="98"/>
      <c r="W421" s="98"/>
      <c r="X421" s="98"/>
      <c r="Y421" s="627"/>
    </row>
    <row r="422" spans="1:25" x14ac:dyDescent="0.25">
      <c r="A422" s="195"/>
      <c r="B422" s="154"/>
      <c r="C422" s="154"/>
      <c r="D422" s="154"/>
      <c r="E422" s="154"/>
      <c r="F422" s="154"/>
      <c r="G422" s="154"/>
      <c r="H422" s="154"/>
      <c r="I422" s="636"/>
      <c r="J422" s="156"/>
      <c r="K422" s="156"/>
      <c r="L422" s="156"/>
      <c r="M422" s="156"/>
      <c r="N422" s="156"/>
      <c r="O422" s="154"/>
      <c r="P422" s="154"/>
      <c r="Q422" s="154"/>
      <c r="R422" s="154"/>
      <c r="S422" s="154"/>
      <c r="T422" s="154"/>
      <c r="U422" s="154"/>
      <c r="V422" s="154"/>
      <c r="W422" s="154"/>
      <c r="X422" s="154"/>
    </row>
    <row r="423" spans="1:25" x14ac:dyDescent="0.25">
      <c r="A423" s="194"/>
      <c r="J423" s="100"/>
      <c r="K423" s="100"/>
      <c r="L423" s="100"/>
      <c r="M423" s="100"/>
      <c r="N423" s="100"/>
    </row>
    <row r="424" spans="1:25" x14ac:dyDescent="0.25">
      <c r="A424" s="194"/>
      <c r="J424" s="100"/>
      <c r="K424" s="100"/>
      <c r="L424" s="100"/>
      <c r="M424" s="100"/>
      <c r="N424" s="100"/>
    </row>
    <row r="425" spans="1:25" x14ac:dyDescent="0.25">
      <c r="A425" s="194"/>
      <c r="J425" s="100"/>
      <c r="K425" s="100"/>
      <c r="L425" s="100"/>
      <c r="M425" s="100"/>
      <c r="N425" s="100"/>
    </row>
    <row r="426" spans="1:25" s="154" customFormat="1" x14ac:dyDescent="0.25">
      <c r="A426" s="194"/>
      <c r="B426" s="98"/>
      <c r="C426" s="98"/>
      <c r="D426" s="98"/>
      <c r="E426" s="98"/>
      <c r="F426" s="98"/>
      <c r="G426" s="98"/>
      <c r="H426" s="98"/>
      <c r="I426" s="621"/>
      <c r="J426" s="100"/>
      <c r="K426" s="100"/>
      <c r="L426" s="100"/>
      <c r="M426" s="100"/>
      <c r="N426" s="100"/>
      <c r="O426" s="98"/>
      <c r="P426" s="98"/>
      <c r="Q426" s="98"/>
      <c r="R426" s="98"/>
      <c r="S426" s="98"/>
      <c r="T426" s="98"/>
      <c r="U426" s="98"/>
      <c r="V426" s="98"/>
      <c r="W426" s="98"/>
      <c r="X426" s="98"/>
      <c r="Y426" s="627"/>
    </row>
    <row r="427" spans="1:25" x14ac:dyDescent="0.25">
      <c r="A427" s="195"/>
      <c r="B427" s="154"/>
      <c r="C427" s="154"/>
      <c r="D427" s="154"/>
      <c r="E427" s="154"/>
      <c r="F427" s="154"/>
      <c r="G427" s="154"/>
      <c r="H427" s="154"/>
      <c r="I427" s="636"/>
      <c r="J427" s="156"/>
      <c r="K427" s="156"/>
      <c r="L427" s="156"/>
      <c r="M427" s="156"/>
      <c r="N427" s="156"/>
      <c r="O427" s="154"/>
      <c r="P427" s="154"/>
      <c r="Q427" s="154"/>
      <c r="R427" s="154"/>
      <c r="S427" s="154"/>
      <c r="T427" s="154"/>
      <c r="U427" s="154"/>
      <c r="V427" s="154"/>
      <c r="W427" s="154"/>
      <c r="X427" s="154"/>
    </row>
    <row r="428" spans="1:25" x14ac:dyDescent="0.25">
      <c r="A428" s="194"/>
      <c r="J428" s="100"/>
      <c r="K428" s="100"/>
      <c r="L428" s="100"/>
      <c r="M428" s="100"/>
      <c r="N428" s="100"/>
    </row>
    <row r="429" spans="1:25" x14ac:dyDescent="0.25">
      <c r="A429" s="194"/>
      <c r="J429" s="100"/>
      <c r="K429" s="100"/>
      <c r="L429" s="100"/>
      <c r="M429" s="100"/>
      <c r="N429" s="100"/>
    </row>
    <row r="430" spans="1:25" x14ac:dyDescent="0.25">
      <c r="A430" s="194"/>
      <c r="J430" s="100"/>
      <c r="K430" s="100"/>
      <c r="L430" s="100"/>
      <c r="M430" s="100"/>
      <c r="N430" s="100"/>
    </row>
    <row r="431" spans="1:25" x14ac:dyDescent="0.25">
      <c r="A431" s="194"/>
      <c r="J431" s="100"/>
      <c r="K431" s="100"/>
      <c r="L431" s="100"/>
      <c r="M431" s="100"/>
      <c r="N431" s="100"/>
    </row>
    <row r="432" spans="1:25" x14ac:dyDescent="0.25">
      <c r="A432" s="194"/>
      <c r="J432" s="100"/>
      <c r="K432" s="100"/>
      <c r="L432" s="100"/>
      <c r="M432" s="100"/>
      <c r="N432" s="100"/>
    </row>
    <row r="433" spans="1:25" s="362" customFormat="1" x14ac:dyDescent="0.25">
      <c r="A433" s="194"/>
      <c r="B433" s="98"/>
      <c r="C433" s="98"/>
      <c r="D433" s="98"/>
      <c r="E433" s="98"/>
      <c r="F433" s="98"/>
      <c r="G433" s="98"/>
      <c r="H433" s="98"/>
      <c r="I433" s="621"/>
      <c r="J433" s="100"/>
      <c r="K433" s="100"/>
      <c r="L433" s="100"/>
      <c r="M433" s="100"/>
      <c r="N433" s="100"/>
      <c r="O433" s="98"/>
      <c r="P433" s="98"/>
      <c r="Q433" s="98"/>
      <c r="R433" s="98"/>
      <c r="S433" s="98"/>
      <c r="T433" s="98"/>
      <c r="U433" s="98"/>
      <c r="V433" s="98"/>
      <c r="W433" s="98"/>
      <c r="X433" s="98"/>
      <c r="Y433" s="603"/>
    </row>
    <row r="434" spans="1:25" x14ac:dyDescent="0.25">
      <c r="A434" s="360"/>
      <c r="B434" s="362"/>
      <c r="C434" s="362"/>
      <c r="D434" s="362"/>
      <c r="E434" s="362"/>
      <c r="F434" s="362"/>
      <c r="G434" s="362"/>
      <c r="H434" s="362"/>
      <c r="I434" s="618"/>
      <c r="J434" s="364"/>
      <c r="K434" s="364"/>
      <c r="L434" s="364"/>
      <c r="M434" s="364"/>
      <c r="N434" s="364"/>
      <c r="O434" s="362"/>
      <c r="P434" s="362"/>
      <c r="Q434" s="362"/>
      <c r="R434" s="362"/>
      <c r="S434" s="362"/>
      <c r="T434" s="362"/>
      <c r="U434" s="362"/>
      <c r="V434" s="362"/>
      <c r="W434" s="362"/>
      <c r="X434" s="362"/>
    </row>
    <row r="435" spans="1:25" x14ac:dyDescent="0.25">
      <c r="A435" s="194"/>
      <c r="J435" s="100"/>
      <c r="K435" s="100"/>
      <c r="L435" s="100"/>
      <c r="M435" s="100"/>
      <c r="N435" s="100"/>
    </row>
    <row r="436" spans="1:25" x14ac:dyDescent="0.25">
      <c r="A436" s="194"/>
      <c r="J436" s="100"/>
      <c r="K436" s="100"/>
      <c r="L436" s="100"/>
      <c r="M436" s="100"/>
      <c r="N436" s="100"/>
    </row>
    <row r="437" spans="1:25" x14ac:dyDescent="0.25">
      <c r="A437" s="194"/>
      <c r="J437" s="100"/>
      <c r="K437" s="100"/>
      <c r="L437" s="100"/>
      <c r="M437" s="100"/>
      <c r="N437" s="100"/>
    </row>
    <row r="438" spans="1:25" x14ac:dyDescent="0.25">
      <c r="A438" s="194"/>
      <c r="J438" s="100"/>
      <c r="K438" s="100"/>
      <c r="L438" s="100"/>
      <c r="M438" s="100"/>
      <c r="N438" s="100"/>
    </row>
    <row r="439" spans="1:25" x14ac:dyDescent="0.25">
      <c r="A439" s="194"/>
      <c r="J439" s="100"/>
      <c r="K439" s="100"/>
      <c r="L439" s="100"/>
      <c r="M439" s="100"/>
      <c r="N439" s="100"/>
    </row>
    <row r="440" spans="1:25" x14ac:dyDescent="0.25">
      <c r="A440" s="194"/>
      <c r="J440" s="100"/>
      <c r="K440" s="100"/>
      <c r="L440" s="100"/>
      <c r="M440" s="100"/>
      <c r="N440" s="100"/>
    </row>
    <row r="441" spans="1:25" x14ac:dyDescent="0.25">
      <c r="A441" s="194"/>
      <c r="J441" s="100"/>
      <c r="K441" s="100"/>
      <c r="L441" s="100"/>
      <c r="M441" s="100"/>
      <c r="N441" s="100"/>
    </row>
    <row r="442" spans="1:25" x14ac:dyDescent="0.25">
      <c r="A442" s="194"/>
      <c r="J442" s="100"/>
      <c r="K442" s="100"/>
      <c r="L442" s="100"/>
      <c r="M442" s="100"/>
      <c r="N442" s="100"/>
    </row>
    <row r="443" spans="1:25" x14ac:dyDescent="0.25">
      <c r="A443" s="194"/>
      <c r="J443" s="100"/>
      <c r="K443" s="100"/>
      <c r="L443" s="100"/>
      <c r="M443" s="100"/>
      <c r="N443" s="100"/>
    </row>
    <row r="444" spans="1:25" x14ac:dyDescent="0.25">
      <c r="A444" s="194"/>
      <c r="J444" s="100"/>
      <c r="K444" s="100"/>
      <c r="L444" s="100"/>
      <c r="M444" s="100"/>
      <c r="N444" s="100"/>
    </row>
    <row r="445" spans="1:25" x14ac:dyDescent="0.25">
      <c r="A445" s="194"/>
      <c r="J445" s="100"/>
      <c r="K445" s="100"/>
      <c r="L445" s="100"/>
      <c r="M445" s="100"/>
      <c r="N445" s="100"/>
    </row>
    <row r="446" spans="1:25" x14ac:dyDescent="0.25">
      <c r="A446" s="194"/>
      <c r="J446" s="100"/>
      <c r="K446" s="100"/>
      <c r="L446" s="100"/>
      <c r="M446" s="100"/>
      <c r="N446" s="100"/>
    </row>
    <row r="447" spans="1:25" s="154" customFormat="1" x14ac:dyDescent="0.25">
      <c r="A447" s="194"/>
      <c r="B447" s="98"/>
      <c r="C447" s="98"/>
      <c r="D447" s="98"/>
      <c r="E447" s="98"/>
      <c r="F447" s="98"/>
      <c r="G447" s="98"/>
      <c r="H447" s="98"/>
      <c r="I447" s="621"/>
      <c r="J447" s="100"/>
      <c r="K447" s="100"/>
      <c r="L447" s="100"/>
      <c r="M447" s="100"/>
      <c r="N447" s="100"/>
      <c r="O447" s="98"/>
      <c r="P447" s="98"/>
      <c r="Q447" s="98"/>
      <c r="R447" s="98"/>
      <c r="S447" s="98"/>
      <c r="T447" s="98"/>
      <c r="U447" s="98"/>
      <c r="V447" s="98"/>
      <c r="W447" s="98"/>
      <c r="X447" s="98"/>
      <c r="Y447" s="627"/>
    </row>
    <row r="448" spans="1:25" s="154" customFormat="1" x14ac:dyDescent="0.25">
      <c r="A448" s="194"/>
      <c r="B448" s="98"/>
      <c r="C448" s="98"/>
      <c r="D448" s="98"/>
      <c r="E448" s="98"/>
      <c r="F448" s="98"/>
      <c r="G448" s="98"/>
      <c r="H448" s="98"/>
      <c r="I448" s="621"/>
      <c r="J448" s="100"/>
      <c r="K448" s="100"/>
      <c r="L448" s="100"/>
      <c r="M448" s="100"/>
      <c r="N448" s="100"/>
      <c r="O448" s="98"/>
      <c r="P448" s="98"/>
      <c r="Q448" s="98"/>
      <c r="R448" s="98"/>
      <c r="S448" s="98"/>
      <c r="T448" s="98"/>
      <c r="U448" s="98"/>
      <c r="V448" s="98"/>
      <c r="W448" s="98"/>
      <c r="X448" s="98"/>
      <c r="Y448" s="627"/>
    </row>
    <row r="449" spans="1:25" x14ac:dyDescent="0.25">
      <c r="A449" s="194"/>
      <c r="J449" s="100"/>
      <c r="K449" s="100"/>
      <c r="L449" s="100"/>
      <c r="M449" s="100"/>
      <c r="N449" s="100"/>
    </row>
    <row r="450" spans="1:25" x14ac:dyDescent="0.25">
      <c r="A450" s="194"/>
      <c r="J450" s="100"/>
      <c r="K450" s="100"/>
      <c r="L450" s="100"/>
      <c r="M450" s="100"/>
      <c r="N450" s="100"/>
    </row>
    <row r="451" spans="1:25" s="362" customFormat="1" x14ac:dyDescent="0.25">
      <c r="A451" s="194"/>
      <c r="B451" s="98"/>
      <c r="C451" s="98"/>
      <c r="D451" s="98"/>
      <c r="E451" s="98"/>
      <c r="F451" s="98"/>
      <c r="G451" s="98"/>
      <c r="H451" s="98"/>
      <c r="I451" s="621"/>
      <c r="J451" s="100"/>
      <c r="K451" s="100"/>
      <c r="L451" s="100"/>
      <c r="M451" s="100"/>
      <c r="N451" s="100"/>
      <c r="O451" s="98"/>
      <c r="P451" s="98"/>
      <c r="Q451" s="98"/>
      <c r="R451" s="98"/>
      <c r="S451" s="98"/>
      <c r="T451" s="98"/>
      <c r="U451" s="98"/>
      <c r="V451" s="98"/>
      <c r="W451" s="98"/>
      <c r="X451" s="98"/>
      <c r="Y451" s="603"/>
    </row>
    <row r="452" spans="1:25" x14ac:dyDescent="0.25">
      <c r="A452" s="360"/>
      <c r="B452" s="362"/>
      <c r="C452" s="362"/>
      <c r="D452" s="362"/>
      <c r="E452" s="362"/>
      <c r="F452" s="362"/>
      <c r="G452" s="362"/>
      <c r="H452" s="362"/>
      <c r="I452" s="618"/>
      <c r="J452" s="364"/>
      <c r="K452" s="364"/>
      <c r="L452" s="364"/>
      <c r="M452" s="364"/>
      <c r="N452" s="364"/>
      <c r="O452" s="362"/>
      <c r="P452" s="362"/>
      <c r="Q452" s="362"/>
      <c r="R452" s="362"/>
      <c r="S452" s="362"/>
      <c r="T452" s="362"/>
      <c r="U452" s="362"/>
      <c r="V452" s="362"/>
      <c r="W452" s="362"/>
      <c r="X452" s="362"/>
    </row>
    <row r="453" spans="1:25" x14ac:dyDescent="0.25">
      <c r="A453" s="194"/>
      <c r="J453" s="100"/>
      <c r="K453" s="100"/>
      <c r="L453" s="100"/>
      <c r="M453" s="100"/>
      <c r="N453" s="100"/>
    </row>
    <row r="454" spans="1:25" x14ac:dyDescent="0.25">
      <c r="A454" s="194"/>
      <c r="J454" s="100"/>
      <c r="K454" s="100"/>
      <c r="L454" s="100"/>
      <c r="M454" s="100"/>
      <c r="N454" s="100"/>
    </row>
    <row r="455" spans="1:25" x14ac:dyDescent="0.25">
      <c r="A455" s="194"/>
      <c r="J455" s="100"/>
      <c r="K455" s="100"/>
      <c r="L455" s="100"/>
      <c r="M455" s="100"/>
      <c r="N455" s="100"/>
    </row>
    <row r="456" spans="1:25" x14ac:dyDescent="0.25">
      <c r="A456" s="194"/>
      <c r="J456" s="100"/>
      <c r="K456" s="100"/>
      <c r="L456" s="100"/>
      <c r="M456" s="100"/>
      <c r="N456" s="100"/>
    </row>
    <row r="457" spans="1:25" x14ac:dyDescent="0.25">
      <c r="A457" s="194"/>
      <c r="J457" s="100"/>
      <c r="K457" s="100"/>
      <c r="L457" s="100"/>
      <c r="M457" s="100"/>
      <c r="N457" s="100"/>
    </row>
    <row r="458" spans="1:25" x14ac:dyDescent="0.25">
      <c r="A458" s="194"/>
      <c r="J458" s="100"/>
      <c r="K458" s="100"/>
      <c r="L458" s="100"/>
      <c r="M458" s="100"/>
      <c r="N458" s="100"/>
    </row>
    <row r="459" spans="1:25" x14ac:dyDescent="0.25">
      <c r="A459" s="194"/>
      <c r="J459" s="100"/>
      <c r="K459" s="100"/>
      <c r="L459" s="100"/>
      <c r="M459" s="100"/>
      <c r="N459" s="100"/>
    </row>
    <row r="460" spans="1:25" x14ac:dyDescent="0.25">
      <c r="A460" s="194"/>
      <c r="J460" s="100"/>
      <c r="K460" s="100"/>
      <c r="L460" s="100"/>
      <c r="M460" s="100"/>
      <c r="N460" s="100"/>
    </row>
    <row r="461" spans="1:25" x14ac:dyDescent="0.25">
      <c r="A461" s="194"/>
      <c r="J461" s="100"/>
      <c r="K461" s="100"/>
      <c r="L461" s="100"/>
      <c r="M461" s="100"/>
      <c r="N461" s="100"/>
    </row>
    <row r="462" spans="1:25" x14ac:dyDescent="0.25">
      <c r="A462" s="194"/>
      <c r="J462" s="100"/>
      <c r="K462" s="100"/>
      <c r="L462" s="100"/>
      <c r="M462" s="100"/>
      <c r="N462" s="100"/>
    </row>
    <row r="463" spans="1:25" x14ac:dyDescent="0.25">
      <c r="A463" s="194"/>
      <c r="J463" s="100"/>
      <c r="K463" s="100"/>
      <c r="L463" s="100"/>
      <c r="M463" s="100"/>
      <c r="N463" s="100"/>
    </row>
    <row r="464" spans="1:25" x14ac:dyDescent="0.25">
      <c r="A464" s="194"/>
      <c r="J464" s="100"/>
      <c r="K464" s="100"/>
      <c r="L464" s="100"/>
      <c r="M464" s="100"/>
      <c r="N464" s="100"/>
    </row>
    <row r="465" spans="1:25" x14ac:dyDescent="0.25">
      <c r="A465" s="194"/>
      <c r="J465" s="100"/>
      <c r="K465" s="100"/>
      <c r="L465" s="100"/>
      <c r="M465" s="100"/>
      <c r="N465" s="100"/>
    </row>
    <row r="466" spans="1:25" x14ac:dyDescent="0.25">
      <c r="A466" s="194"/>
      <c r="J466" s="100"/>
      <c r="K466" s="100"/>
      <c r="L466" s="100"/>
      <c r="M466" s="100"/>
      <c r="N466" s="100"/>
    </row>
    <row r="467" spans="1:25" x14ac:dyDescent="0.25">
      <c r="A467" s="194"/>
      <c r="J467" s="100"/>
      <c r="K467" s="100"/>
      <c r="L467" s="100"/>
      <c r="M467" s="100"/>
      <c r="N467" s="100"/>
    </row>
    <row r="468" spans="1:25" x14ac:dyDescent="0.25">
      <c r="A468" s="194"/>
      <c r="J468" s="100"/>
      <c r="K468" s="100"/>
      <c r="L468" s="100"/>
      <c r="M468" s="100"/>
      <c r="N468" s="100"/>
    </row>
    <row r="469" spans="1:25" x14ac:dyDescent="0.25">
      <c r="A469" s="194"/>
      <c r="J469" s="100"/>
      <c r="K469" s="100"/>
      <c r="L469" s="100"/>
      <c r="M469" s="100"/>
      <c r="N469" s="100"/>
    </row>
    <row r="470" spans="1:25" s="154" customFormat="1" x14ac:dyDescent="0.25">
      <c r="A470" s="194"/>
      <c r="B470" s="98"/>
      <c r="C470" s="98"/>
      <c r="D470" s="98"/>
      <c r="E470" s="98"/>
      <c r="F470" s="98"/>
      <c r="G470" s="98"/>
      <c r="H470" s="98"/>
      <c r="I470" s="621"/>
      <c r="J470" s="100"/>
      <c r="K470" s="100"/>
      <c r="L470" s="100"/>
      <c r="M470" s="100"/>
      <c r="N470" s="100"/>
      <c r="O470" s="98"/>
      <c r="P470" s="98"/>
      <c r="Q470" s="98"/>
      <c r="R470" s="98"/>
      <c r="S470" s="98"/>
      <c r="T470" s="98"/>
      <c r="U470" s="98"/>
      <c r="V470" s="98"/>
      <c r="W470" s="98"/>
      <c r="X470" s="98"/>
      <c r="Y470" s="627"/>
    </row>
    <row r="471" spans="1:25" x14ac:dyDescent="0.25">
      <c r="A471" s="195"/>
      <c r="B471" s="154"/>
      <c r="C471" s="154"/>
      <c r="D471" s="154"/>
      <c r="E471" s="154"/>
      <c r="F471" s="154"/>
      <c r="G471" s="154"/>
      <c r="H471" s="154"/>
      <c r="I471" s="636"/>
      <c r="J471" s="156"/>
      <c r="K471" s="156"/>
      <c r="L471" s="156"/>
      <c r="M471" s="156"/>
      <c r="N471" s="156"/>
      <c r="O471" s="154"/>
      <c r="P471" s="154"/>
      <c r="Q471" s="154"/>
      <c r="R471" s="154"/>
      <c r="S471" s="154"/>
      <c r="T471" s="154"/>
      <c r="U471" s="154"/>
      <c r="V471" s="154"/>
      <c r="W471" s="154"/>
      <c r="X471" s="154"/>
    </row>
    <row r="472" spans="1:25" x14ac:dyDescent="0.25">
      <c r="A472" s="194"/>
      <c r="J472" s="100"/>
      <c r="K472" s="100"/>
      <c r="L472" s="100"/>
      <c r="M472" s="100"/>
      <c r="N472" s="100"/>
    </row>
    <row r="473" spans="1:25" x14ac:dyDescent="0.25">
      <c r="A473" s="194"/>
      <c r="J473" s="100"/>
      <c r="K473" s="100"/>
      <c r="L473" s="100"/>
      <c r="M473" s="100"/>
      <c r="N473" s="100"/>
    </row>
    <row r="474" spans="1:25" x14ac:dyDescent="0.25">
      <c r="A474" s="194"/>
      <c r="J474" s="100"/>
      <c r="K474" s="100"/>
      <c r="L474" s="100"/>
      <c r="M474" s="100"/>
      <c r="N474" s="100"/>
    </row>
    <row r="475" spans="1:25" x14ac:dyDescent="0.25">
      <c r="A475" s="194"/>
      <c r="J475" s="100"/>
      <c r="K475" s="100"/>
      <c r="L475" s="100"/>
      <c r="M475" s="100"/>
      <c r="N475" s="100"/>
    </row>
    <row r="476" spans="1:25" x14ac:dyDescent="0.25">
      <c r="A476" s="194"/>
      <c r="J476" s="100"/>
      <c r="K476" s="100"/>
      <c r="L476" s="100"/>
      <c r="M476" s="100"/>
      <c r="N476" s="100"/>
    </row>
    <row r="477" spans="1:25" x14ac:dyDescent="0.25">
      <c r="A477" s="194"/>
      <c r="J477" s="100"/>
      <c r="K477" s="100"/>
      <c r="L477" s="100"/>
      <c r="M477" s="100"/>
      <c r="N477" s="100"/>
    </row>
    <row r="478" spans="1:25" x14ac:dyDescent="0.25">
      <c r="A478" s="194"/>
      <c r="J478" s="100"/>
      <c r="K478" s="100"/>
      <c r="L478" s="100"/>
      <c r="M478" s="100"/>
      <c r="N478" s="100"/>
    </row>
    <row r="479" spans="1:25" x14ac:dyDescent="0.25">
      <c r="A479" s="194"/>
      <c r="J479" s="100"/>
      <c r="K479" s="100"/>
      <c r="L479" s="100"/>
      <c r="M479" s="100"/>
      <c r="N479" s="100"/>
    </row>
    <row r="480" spans="1:25" x14ac:dyDescent="0.25">
      <c r="A480" s="194"/>
      <c r="J480" s="100"/>
      <c r="K480" s="100"/>
      <c r="L480" s="100"/>
      <c r="M480" s="100"/>
      <c r="N480" s="100"/>
    </row>
    <row r="481" spans="1:25" x14ac:dyDescent="0.25">
      <c r="A481" s="194"/>
      <c r="J481" s="100"/>
      <c r="K481" s="100"/>
      <c r="L481" s="100"/>
      <c r="M481" s="100"/>
      <c r="N481" s="100"/>
    </row>
    <row r="482" spans="1:25" x14ac:dyDescent="0.25">
      <c r="A482" s="194"/>
      <c r="J482" s="100"/>
      <c r="K482" s="100"/>
      <c r="L482" s="100"/>
      <c r="M482" s="100"/>
      <c r="N482" s="100"/>
    </row>
    <row r="483" spans="1:25" x14ac:dyDescent="0.25">
      <c r="A483" s="194"/>
      <c r="J483" s="100"/>
      <c r="K483" s="100"/>
      <c r="L483" s="100"/>
      <c r="M483" s="100"/>
      <c r="N483" s="100"/>
      <c r="S483" s="1093"/>
    </row>
    <row r="484" spans="1:25" s="154" customFormat="1" x14ac:dyDescent="0.25">
      <c r="A484" s="194"/>
      <c r="B484" s="98"/>
      <c r="C484" s="98"/>
      <c r="D484" s="98"/>
      <c r="E484" s="98"/>
      <c r="F484" s="98"/>
      <c r="G484" s="98"/>
      <c r="H484" s="98"/>
      <c r="I484" s="621"/>
      <c r="J484" s="100"/>
      <c r="K484" s="100"/>
      <c r="L484" s="100"/>
      <c r="M484" s="100"/>
      <c r="N484" s="100"/>
      <c r="O484" s="98"/>
      <c r="P484" s="98"/>
      <c r="Q484" s="98"/>
      <c r="R484" s="98"/>
      <c r="S484" s="98"/>
      <c r="T484" s="98"/>
      <c r="U484" s="98"/>
      <c r="V484" s="98"/>
      <c r="W484" s="98"/>
      <c r="X484" s="98"/>
      <c r="Y484" s="627"/>
    </row>
    <row r="485" spans="1:25" x14ac:dyDescent="0.25">
      <c r="A485" s="195"/>
      <c r="B485" s="154"/>
      <c r="C485" s="154"/>
      <c r="D485" s="154"/>
      <c r="E485" s="154"/>
      <c r="F485" s="154"/>
      <c r="G485" s="154"/>
      <c r="H485" s="154"/>
      <c r="I485" s="636"/>
      <c r="J485" s="156"/>
      <c r="K485" s="156"/>
      <c r="L485" s="156"/>
      <c r="M485" s="156"/>
      <c r="N485" s="156"/>
      <c r="O485" s="154"/>
      <c r="P485" s="154"/>
      <c r="Q485" s="154"/>
      <c r="R485" s="154"/>
      <c r="S485" s="154"/>
      <c r="T485" s="154"/>
      <c r="U485" s="154"/>
      <c r="V485" s="154"/>
      <c r="W485" s="154"/>
      <c r="X485" s="154"/>
    </row>
    <row r="486" spans="1:25" x14ac:dyDescent="0.25">
      <c r="A486" s="194"/>
      <c r="J486" s="100"/>
      <c r="K486" s="100"/>
      <c r="L486" s="100"/>
      <c r="M486" s="100"/>
      <c r="N486" s="100"/>
    </row>
    <row r="487" spans="1:25" x14ac:dyDescent="0.25">
      <c r="A487" s="194"/>
      <c r="K487" s="100"/>
      <c r="L487" s="100"/>
      <c r="M487" s="100"/>
      <c r="N487" s="100"/>
    </row>
    <row r="488" spans="1:25" s="154" customFormat="1" x14ac:dyDescent="0.25">
      <c r="A488" s="194"/>
      <c r="B488" s="98"/>
      <c r="C488" s="98"/>
      <c r="D488" s="98"/>
      <c r="E488" s="98"/>
      <c r="F488" s="98"/>
      <c r="G488" s="98"/>
      <c r="H488" s="98"/>
      <c r="I488" s="621"/>
      <c r="J488" s="98"/>
      <c r="K488" s="100"/>
      <c r="L488" s="100"/>
      <c r="M488" s="100"/>
      <c r="N488" s="100"/>
      <c r="O488" s="98"/>
      <c r="P488" s="98"/>
      <c r="Q488" s="98"/>
      <c r="R488" s="98"/>
      <c r="S488" s="98"/>
      <c r="T488" s="98"/>
      <c r="U488" s="98"/>
      <c r="V488" s="98"/>
      <c r="W488" s="98"/>
      <c r="X488" s="98"/>
      <c r="Y488" s="627"/>
    </row>
    <row r="489" spans="1:25" s="154" customFormat="1" x14ac:dyDescent="0.25">
      <c r="A489" s="195"/>
      <c r="I489" s="636"/>
      <c r="J489" s="156"/>
      <c r="K489" s="156"/>
      <c r="L489" s="156"/>
      <c r="M489" s="156"/>
      <c r="N489" s="156"/>
      <c r="Y489" s="627"/>
    </row>
    <row r="490" spans="1:25" s="154" customFormat="1" x14ac:dyDescent="0.25">
      <c r="A490" s="195"/>
      <c r="I490" s="636"/>
      <c r="J490" s="156"/>
      <c r="K490" s="156"/>
      <c r="L490" s="156"/>
      <c r="M490" s="156"/>
      <c r="N490" s="156"/>
      <c r="Y490" s="627"/>
    </row>
    <row r="491" spans="1:25" x14ac:dyDescent="0.25">
      <c r="A491" s="195"/>
      <c r="B491" s="154"/>
      <c r="C491" s="154"/>
      <c r="D491" s="154"/>
      <c r="E491" s="154"/>
      <c r="F491" s="154"/>
      <c r="G491" s="154"/>
      <c r="H491" s="154"/>
      <c r="I491" s="636"/>
      <c r="J491" s="156"/>
      <c r="K491" s="156"/>
      <c r="L491" s="156"/>
      <c r="M491" s="156"/>
      <c r="N491" s="156"/>
      <c r="O491" s="154"/>
      <c r="P491" s="154"/>
      <c r="Q491" s="154"/>
      <c r="R491" s="154"/>
      <c r="S491" s="154"/>
      <c r="T491" s="154"/>
      <c r="U491" s="154"/>
      <c r="V491" s="154"/>
      <c r="W491" s="154"/>
      <c r="X491" s="154"/>
    </row>
    <row r="492" spans="1:25" s="154" customFormat="1" x14ac:dyDescent="0.25">
      <c r="A492" s="194"/>
      <c r="B492" s="98"/>
      <c r="C492" s="98"/>
      <c r="D492" s="98"/>
      <c r="E492" s="98"/>
      <c r="F492" s="98"/>
      <c r="G492" s="98"/>
      <c r="H492" s="98"/>
      <c r="I492" s="621"/>
      <c r="J492" s="98"/>
      <c r="K492" s="100"/>
      <c r="L492" s="100"/>
      <c r="M492" s="100"/>
      <c r="N492" s="100"/>
      <c r="O492" s="98"/>
      <c r="P492" s="98"/>
      <c r="Q492" s="98"/>
      <c r="R492" s="98"/>
      <c r="S492" s="98"/>
      <c r="T492" s="98"/>
      <c r="U492" s="98"/>
      <c r="V492" s="98"/>
      <c r="W492" s="98"/>
      <c r="X492" s="98"/>
      <c r="Y492" s="627"/>
    </row>
    <row r="493" spans="1:25" s="154" customFormat="1" x14ac:dyDescent="0.25">
      <c r="A493" s="195"/>
      <c r="I493" s="636"/>
      <c r="J493" s="156"/>
      <c r="K493" s="156"/>
      <c r="L493" s="156"/>
      <c r="M493" s="156"/>
      <c r="N493" s="156"/>
      <c r="Y493" s="627"/>
    </row>
    <row r="494" spans="1:25" x14ac:dyDescent="0.25">
      <c r="A494" s="195"/>
      <c r="B494" s="154"/>
      <c r="C494" s="154"/>
      <c r="D494" s="154"/>
      <c r="E494" s="154"/>
      <c r="F494" s="154"/>
      <c r="G494" s="154"/>
      <c r="H494" s="154"/>
      <c r="I494" s="636"/>
      <c r="J494" s="156"/>
      <c r="K494" s="156"/>
      <c r="L494" s="156"/>
      <c r="M494" s="156"/>
      <c r="N494" s="156"/>
      <c r="O494" s="154"/>
      <c r="P494" s="154"/>
      <c r="Q494" s="154"/>
      <c r="R494" s="154"/>
      <c r="S494" s="154"/>
      <c r="T494" s="154"/>
      <c r="U494" s="154"/>
      <c r="V494" s="154"/>
      <c r="W494" s="154"/>
      <c r="X494" s="154"/>
    </row>
    <row r="495" spans="1:25" x14ac:dyDescent="0.25">
      <c r="A495" s="194"/>
      <c r="K495" s="100"/>
      <c r="L495" s="100"/>
      <c r="M495" s="100"/>
      <c r="N495" s="100"/>
    </row>
    <row r="496" spans="1:25" s="362" customFormat="1" x14ac:dyDescent="0.25">
      <c r="A496" s="194"/>
      <c r="B496" s="98"/>
      <c r="C496" s="98"/>
      <c r="D496" s="98"/>
      <c r="E496" s="98"/>
      <c r="F496" s="98"/>
      <c r="G496" s="98"/>
      <c r="H496" s="98"/>
      <c r="I496" s="621"/>
      <c r="J496" s="98"/>
      <c r="K496" s="100"/>
      <c r="L496" s="100"/>
      <c r="M496" s="100"/>
      <c r="N496" s="100"/>
      <c r="O496" s="98"/>
      <c r="P496" s="98"/>
      <c r="Q496" s="98"/>
      <c r="R496" s="98"/>
      <c r="S496" s="98"/>
      <c r="T496" s="98"/>
      <c r="U496" s="98"/>
      <c r="V496" s="98"/>
      <c r="W496" s="98"/>
      <c r="X496" s="98"/>
      <c r="Y496" s="603"/>
    </row>
    <row r="497" spans="1:25" x14ac:dyDescent="0.25">
      <c r="A497" s="360"/>
      <c r="B497" s="362"/>
      <c r="C497" s="362"/>
      <c r="D497" s="362"/>
      <c r="E497" s="362"/>
      <c r="F497" s="362"/>
      <c r="G497" s="362"/>
      <c r="H497" s="362"/>
      <c r="I497" s="618"/>
      <c r="J497" s="364"/>
      <c r="K497" s="364"/>
      <c r="L497" s="364"/>
      <c r="M497" s="364"/>
      <c r="N497" s="364"/>
      <c r="O497" s="362"/>
      <c r="P497" s="362"/>
      <c r="Q497" s="362"/>
      <c r="R497" s="362"/>
      <c r="S497" s="362"/>
      <c r="T497" s="362"/>
      <c r="U497" s="362"/>
      <c r="V497" s="362"/>
      <c r="W497" s="362"/>
      <c r="X497" s="362"/>
    </row>
    <row r="498" spans="1:25" x14ac:dyDescent="0.25">
      <c r="A498" s="194"/>
      <c r="J498" s="100"/>
      <c r="K498" s="100"/>
      <c r="L498" s="100"/>
      <c r="M498" s="100"/>
      <c r="N498" s="100"/>
    </row>
    <row r="499" spans="1:25" x14ac:dyDescent="0.25">
      <c r="A499" s="194"/>
      <c r="J499" s="100"/>
      <c r="K499" s="100"/>
      <c r="L499" s="100"/>
      <c r="M499" s="100"/>
      <c r="N499" s="100"/>
    </row>
    <row r="500" spans="1:25" x14ac:dyDescent="0.25">
      <c r="A500" s="194"/>
      <c r="J500" s="100"/>
      <c r="K500" s="100"/>
      <c r="L500" s="100"/>
      <c r="M500" s="100"/>
      <c r="N500" s="100"/>
    </row>
    <row r="501" spans="1:25" x14ac:dyDescent="0.25">
      <c r="A501" s="194"/>
      <c r="J501" s="100"/>
      <c r="K501" s="100"/>
      <c r="L501" s="100"/>
      <c r="M501" s="100"/>
      <c r="N501" s="100"/>
    </row>
    <row r="502" spans="1:25" x14ac:dyDescent="0.25">
      <c r="A502" s="194"/>
      <c r="J502" s="100"/>
      <c r="K502" s="100"/>
      <c r="L502" s="100"/>
      <c r="M502" s="100"/>
      <c r="N502" s="100"/>
    </row>
    <row r="503" spans="1:25" x14ac:dyDescent="0.25">
      <c r="A503" s="194"/>
      <c r="J503" s="100"/>
      <c r="K503" s="100"/>
      <c r="L503" s="100"/>
      <c r="M503" s="100"/>
      <c r="N503" s="100"/>
    </row>
    <row r="504" spans="1:25" x14ac:dyDescent="0.25">
      <c r="A504" s="194"/>
      <c r="J504" s="100"/>
      <c r="K504" s="100"/>
      <c r="L504" s="100"/>
      <c r="M504" s="100"/>
      <c r="N504" s="100"/>
    </row>
    <row r="505" spans="1:25" x14ac:dyDescent="0.25">
      <c r="A505" s="194"/>
      <c r="J505" s="100"/>
      <c r="K505" s="100"/>
      <c r="L505" s="100"/>
      <c r="M505" s="100"/>
      <c r="N505" s="100"/>
    </row>
    <row r="506" spans="1:25" x14ac:dyDescent="0.25">
      <c r="A506" s="194"/>
      <c r="J506" s="100"/>
      <c r="K506" s="100"/>
      <c r="L506" s="100"/>
      <c r="M506" s="100"/>
      <c r="N506" s="100"/>
    </row>
    <row r="507" spans="1:25" x14ac:dyDescent="0.25">
      <c r="A507" s="194"/>
      <c r="J507" s="100"/>
      <c r="K507" s="100"/>
      <c r="L507" s="100"/>
      <c r="M507" s="100"/>
      <c r="N507" s="100"/>
    </row>
    <row r="508" spans="1:25" s="154" customFormat="1" x14ac:dyDescent="0.25">
      <c r="A508" s="194"/>
      <c r="B508" s="98"/>
      <c r="C508" s="98"/>
      <c r="D508" s="98"/>
      <c r="E508" s="98"/>
      <c r="F508" s="98"/>
      <c r="G508" s="98"/>
      <c r="H508" s="98"/>
      <c r="I508" s="621"/>
      <c r="J508" s="100"/>
      <c r="K508" s="100"/>
      <c r="L508" s="100"/>
      <c r="M508" s="100"/>
      <c r="N508" s="100"/>
      <c r="O508" s="98"/>
      <c r="P508" s="98"/>
      <c r="Q508" s="98"/>
      <c r="R508" s="98"/>
      <c r="S508" s="98"/>
      <c r="T508" s="98"/>
      <c r="U508" s="98"/>
      <c r="V508" s="98"/>
      <c r="W508" s="98"/>
      <c r="X508" s="98"/>
      <c r="Y508" s="627"/>
    </row>
    <row r="509" spans="1:25" x14ac:dyDescent="0.25">
      <c r="A509" s="195"/>
      <c r="B509" s="154"/>
      <c r="C509" s="154"/>
      <c r="D509" s="154"/>
      <c r="E509" s="154"/>
      <c r="F509" s="154"/>
      <c r="G509" s="154"/>
      <c r="H509" s="154"/>
      <c r="I509" s="636"/>
      <c r="J509" s="156"/>
      <c r="K509" s="156"/>
      <c r="L509" s="156"/>
      <c r="M509" s="156"/>
      <c r="N509" s="156"/>
      <c r="O509" s="154"/>
      <c r="P509" s="154"/>
      <c r="Q509" s="154"/>
      <c r="R509" s="154"/>
      <c r="S509" s="154"/>
      <c r="T509" s="154"/>
      <c r="U509" s="154"/>
      <c r="V509" s="154"/>
      <c r="W509" s="154"/>
      <c r="X509" s="154"/>
    </row>
    <row r="510" spans="1:25" x14ac:dyDescent="0.25">
      <c r="A510" s="194"/>
      <c r="J510" s="100"/>
      <c r="K510" s="100"/>
      <c r="L510" s="100"/>
      <c r="M510" s="100"/>
      <c r="N510" s="100"/>
    </row>
    <row r="511" spans="1:25" x14ac:dyDescent="0.25">
      <c r="A511" s="194"/>
      <c r="J511" s="100"/>
      <c r="K511" s="100"/>
      <c r="L511" s="100"/>
      <c r="M511" s="100"/>
      <c r="N511" s="100"/>
    </row>
    <row r="512" spans="1:25" x14ac:dyDescent="0.25">
      <c r="A512" s="194"/>
      <c r="J512" s="100"/>
      <c r="K512" s="100"/>
      <c r="L512" s="100"/>
      <c r="M512" s="100"/>
      <c r="N512" s="100"/>
    </row>
    <row r="513" spans="1:25" x14ac:dyDescent="0.25">
      <c r="A513" s="194"/>
      <c r="J513" s="100"/>
      <c r="K513" s="100"/>
      <c r="L513" s="100"/>
      <c r="M513" s="100"/>
      <c r="N513" s="100"/>
    </row>
    <row r="514" spans="1:25" x14ac:dyDescent="0.25">
      <c r="A514" s="194"/>
      <c r="J514" s="100"/>
      <c r="K514" s="100"/>
      <c r="L514" s="100"/>
      <c r="M514" s="100"/>
      <c r="N514" s="100"/>
    </row>
    <row r="515" spans="1:25" x14ac:dyDescent="0.25">
      <c r="A515" s="194"/>
      <c r="J515" s="100"/>
      <c r="K515" s="100"/>
      <c r="L515" s="100"/>
      <c r="M515" s="100"/>
      <c r="N515" s="100"/>
      <c r="S515" s="1093"/>
    </row>
    <row r="516" spans="1:25" x14ac:dyDescent="0.25">
      <c r="A516" s="194"/>
      <c r="J516" s="100"/>
      <c r="K516" s="100"/>
      <c r="L516" s="100"/>
      <c r="M516" s="100"/>
      <c r="N516" s="100"/>
    </row>
    <row r="517" spans="1:25" x14ac:dyDescent="0.25">
      <c r="A517" s="194"/>
      <c r="J517" s="100"/>
      <c r="K517" s="100"/>
      <c r="L517" s="100"/>
      <c r="M517" s="100"/>
      <c r="N517" s="100"/>
    </row>
    <row r="518" spans="1:25" x14ac:dyDescent="0.25">
      <c r="A518" s="194"/>
      <c r="J518" s="100"/>
      <c r="K518" s="100"/>
      <c r="L518" s="100"/>
      <c r="M518" s="100"/>
      <c r="N518" s="100"/>
    </row>
    <row r="519" spans="1:25" x14ac:dyDescent="0.25">
      <c r="A519" s="194"/>
      <c r="J519" s="100"/>
      <c r="K519" s="100"/>
      <c r="L519" s="100"/>
      <c r="M519" s="100"/>
      <c r="N519" s="100"/>
    </row>
    <row r="520" spans="1:25" x14ac:dyDescent="0.25">
      <c r="A520" s="194"/>
      <c r="J520" s="100"/>
      <c r="K520" s="100"/>
      <c r="L520" s="100"/>
      <c r="M520" s="100"/>
      <c r="N520" s="100"/>
    </row>
    <row r="521" spans="1:25" x14ac:dyDescent="0.25">
      <c r="A521" s="194"/>
      <c r="J521" s="100"/>
      <c r="K521" s="100"/>
      <c r="L521" s="100"/>
      <c r="M521" s="100"/>
      <c r="N521" s="100"/>
    </row>
    <row r="522" spans="1:25" x14ac:dyDescent="0.25">
      <c r="A522" s="194"/>
      <c r="J522" s="100"/>
      <c r="K522" s="100"/>
      <c r="L522" s="100"/>
      <c r="M522" s="100"/>
      <c r="N522" s="100"/>
      <c r="S522" s="1093"/>
    </row>
    <row r="523" spans="1:25" x14ac:dyDescent="0.25">
      <c r="A523" s="194"/>
      <c r="J523" s="100"/>
      <c r="K523" s="100"/>
      <c r="L523" s="100"/>
      <c r="M523" s="100"/>
      <c r="N523" s="100"/>
    </row>
    <row r="524" spans="1:25" s="362" customFormat="1" x14ac:dyDescent="0.25">
      <c r="A524" s="194"/>
      <c r="B524" s="98"/>
      <c r="C524" s="98"/>
      <c r="D524" s="98"/>
      <c r="E524" s="98"/>
      <c r="F524" s="98"/>
      <c r="G524" s="98"/>
      <c r="H524" s="98"/>
      <c r="I524" s="621"/>
      <c r="J524" s="100"/>
      <c r="K524" s="100"/>
      <c r="L524" s="100"/>
      <c r="M524" s="100"/>
      <c r="N524" s="100"/>
      <c r="O524" s="98"/>
      <c r="P524" s="98"/>
      <c r="Q524" s="98"/>
      <c r="R524" s="98"/>
      <c r="S524" s="98"/>
      <c r="T524" s="98"/>
      <c r="U524" s="98"/>
      <c r="V524" s="98"/>
      <c r="W524" s="98"/>
      <c r="X524" s="98"/>
      <c r="Y524" s="603"/>
    </row>
    <row r="525" spans="1:25" x14ac:dyDescent="0.25">
      <c r="A525" s="360"/>
      <c r="B525" s="362"/>
      <c r="C525" s="362"/>
      <c r="D525" s="362"/>
      <c r="E525" s="362"/>
      <c r="F525" s="362"/>
      <c r="G525" s="362"/>
      <c r="H525" s="362"/>
      <c r="I525" s="618"/>
      <c r="J525" s="364"/>
      <c r="K525" s="364"/>
      <c r="L525" s="364"/>
      <c r="M525" s="364"/>
      <c r="N525" s="364"/>
      <c r="O525" s="362"/>
      <c r="P525" s="362"/>
      <c r="Q525" s="362"/>
      <c r="R525" s="362"/>
      <c r="S525" s="362"/>
      <c r="T525" s="362"/>
      <c r="U525" s="362"/>
      <c r="V525" s="362"/>
      <c r="W525" s="362"/>
      <c r="X525" s="362"/>
    </row>
    <row r="526" spans="1:25" x14ac:dyDescent="0.25">
      <c r="A526" s="194"/>
      <c r="J526" s="100"/>
      <c r="K526" s="100"/>
      <c r="L526" s="100"/>
      <c r="M526" s="100"/>
      <c r="N526" s="100"/>
    </row>
    <row r="527" spans="1:25" x14ac:dyDescent="0.25">
      <c r="A527" s="194"/>
      <c r="J527" s="100"/>
      <c r="K527" s="100"/>
      <c r="L527" s="100"/>
      <c r="M527" s="100"/>
      <c r="N527" s="100"/>
    </row>
    <row r="528" spans="1:25" x14ac:dyDescent="0.25">
      <c r="A528" s="194"/>
      <c r="J528" s="100"/>
      <c r="K528" s="100"/>
      <c r="L528" s="100"/>
      <c r="M528" s="100"/>
      <c r="N528" s="100"/>
    </row>
    <row r="529" spans="1:25" x14ac:dyDescent="0.25">
      <c r="A529" s="194"/>
      <c r="J529" s="100"/>
      <c r="K529" s="100"/>
      <c r="L529" s="100"/>
      <c r="M529" s="100"/>
      <c r="N529" s="100"/>
    </row>
    <row r="530" spans="1:25" x14ac:dyDescent="0.25">
      <c r="A530" s="194"/>
      <c r="J530" s="100"/>
      <c r="K530" s="100"/>
      <c r="L530" s="100"/>
      <c r="M530" s="100"/>
      <c r="N530" s="100"/>
    </row>
    <row r="531" spans="1:25" x14ac:dyDescent="0.25">
      <c r="A531" s="194"/>
      <c r="J531" s="100"/>
      <c r="K531" s="100"/>
      <c r="L531" s="100"/>
      <c r="M531" s="100"/>
      <c r="N531" s="100"/>
    </row>
    <row r="532" spans="1:25" x14ac:dyDescent="0.25">
      <c r="A532" s="194"/>
      <c r="J532" s="100"/>
      <c r="K532" s="100"/>
      <c r="L532" s="100"/>
      <c r="M532" s="100"/>
      <c r="N532" s="100"/>
    </row>
    <row r="533" spans="1:25" x14ac:dyDescent="0.25">
      <c r="A533" s="194"/>
      <c r="J533" s="100"/>
      <c r="K533" s="100"/>
      <c r="L533" s="100"/>
      <c r="M533" s="100"/>
      <c r="N533" s="100"/>
    </row>
    <row r="534" spans="1:25" x14ac:dyDescent="0.25">
      <c r="A534" s="194"/>
      <c r="J534" s="100"/>
      <c r="K534" s="100"/>
      <c r="L534" s="100"/>
      <c r="M534" s="100"/>
      <c r="N534" s="100"/>
    </row>
    <row r="535" spans="1:25" s="154" customFormat="1" x14ac:dyDescent="0.25">
      <c r="A535" s="194"/>
      <c r="B535" s="98"/>
      <c r="C535" s="98"/>
      <c r="D535" s="98"/>
      <c r="E535" s="98"/>
      <c r="F535" s="98"/>
      <c r="G535" s="98"/>
      <c r="H535" s="98"/>
      <c r="I535" s="621"/>
      <c r="J535" s="100"/>
      <c r="K535" s="100"/>
      <c r="L535" s="100"/>
      <c r="M535" s="100"/>
      <c r="N535" s="100"/>
      <c r="O535" s="98"/>
      <c r="P535" s="98"/>
      <c r="Q535" s="98"/>
      <c r="R535" s="98"/>
      <c r="S535" s="98"/>
      <c r="T535" s="98"/>
      <c r="U535" s="98"/>
      <c r="V535" s="98"/>
      <c r="W535" s="98"/>
      <c r="X535" s="98"/>
      <c r="Y535" s="627"/>
    </row>
    <row r="536" spans="1:25" s="154" customFormat="1" x14ac:dyDescent="0.25">
      <c r="A536" s="195"/>
      <c r="I536" s="636"/>
      <c r="J536" s="156"/>
      <c r="K536" s="156"/>
      <c r="L536" s="156"/>
      <c r="M536" s="156"/>
      <c r="N536" s="156"/>
      <c r="Y536" s="627"/>
    </row>
    <row r="537" spans="1:25" x14ac:dyDescent="0.25">
      <c r="A537" s="195"/>
      <c r="B537" s="154"/>
      <c r="C537" s="154"/>
      <c r="D537" s="154"/>
      <c r="E537" s="154"/>
      <c r="F537" s="154"/>
      <c r="G537" s="154"/>
      <c r="H537" s="154"/>
      <c r="I537" s="636"/>
      <c r="J537" s="156"/>
      <c r="K537" s="156"/>
      <c r="L537" s="156"/>
      <c r="M537" s="156"/>
      <c r="N537" s="156"/>
      <c r="O537" s="154"/>
      <c r="P537" s="154"/>
      <c r="Q537" s="154"/>
      <c r="R537" s="154"/>
      <c r="S537" s="154"/>
      <c r="T537" s="154"/>
      <c r="U537" s="154"/>
      <c r="V537" s="154"/>
      <c r="W537" s="154"/>
      <c r="X537" s="154"/>
    </row>
    <row r="538" spans="1:25" x14ac:dyDescent="0.25">
      <c r="A538" s="194"/>
      <c r="J538" s="100"/>
      <c r="K538" s="100"/>
      <c r="L538" s="100"/>
      <c r="M538" s="100"/>
      <c r="N538" s="100"/>
    </row>
    <row r="539" spans="1:25" x14ac:dyDescent="0.25">
      <c r="A539" s="194"/>
      <c r="J539" s="100"/>
      <c r="K539" s="100"/>
      <c r="L539" s="100"/>
      <c r="M539" s="100"/>
      <c r="N539" s="100"/>
    </row>
    <row r="540" spans="1:25" x14ac:dyDescent="0.25">
      <c r="A540" s="194"/>
      <c r="J540" s="100"/>
      <c r="K540" s="100"/>
      <c r="L540" s="100"/>
      <c r="M540" s="100"/>
      <c r="N540" s="100"/>
    </row>
    <row r="541" spans="1:25" x14ac:dyDescent="0.25">
      <c r="A541" s="194"/>
      <c r="J541" s="100"/>
      <c r="K541" s="100"/>
      <c r="L541" s="100"/>
      <c r="M541" s="100"/>
      <c r="N541" s="100"/>
    </row>
    <row r="542" spans="1:25" x14ac:dyDescent="0.25">
      <c r="A542" s="194"/>
      <c r="J542" s="100"/>
      <c r="K542" s="100"/>
      <c r="L542" s="100"/>
      <c r="M542" s="100"/>
      <c r="N542" s="100"/>
    </row>
    <row r="543" spans="1:25" x14ac:dyDescent="0.25">
      <c r="A543" s="194"/>
      <c r="J543" s="100"/>
      <c r="K543" s="100"/>
      <c r="L543" s="100"/>
      <c r="M543" s="100"/>
      <c r="N543" s="100"/>
    </row>
    <row r="544" spans="1:25" x14ac:dyDescent="0.25">
      <c r="A544" s="194"/>
      <c r="J544" s="100"/>
      <c r="K544" s="100"/>
      <c r="L544" s="100"/>
      <c r="M544" s="100"/>
      <c r="N544" s="100"/>
    </row>
    <row r="545" spans="1:14" x14ac:dyDescent="0.25">
      <c r="A545" s="194"/>
      <c r="J545" s="100"/>
      <c r="K545" s="100"/>
      <c r="L545" s="100"/>
      <c r="M545" s="100"/>
      <c r="N545" s="100"/>
    </row>
    <row r="546" spans="1:14" x14ac:dyDescent="0.25">
      <c r="A546" s="194"/>
      <c r="J546" s="100"/>
      <c r="K546" s="100"/>
      <c r="L546" s="100"/>
      <c r="M546" s="100"/>
      <c r="N546" s="100"/>
    </row>
    <row r="547" spans="1:14" x14ac:dyDescent="0.25">
      <c r="A547" s="194"/>
      <c r="J547" s="100"/>
      <c r="K547" s="100"/>
      <c r="L547" s="100"/>
      <c r="M547" s="100"/>
      <c r="N547" s="100"/>
    </row>
    <row r="548" spans="1:14" x14ac:dyDescent="0.25">
      <c r="A548" s="194"/>
      <c r="J548" s="100"/>
      <c r="K548" s="100"/>
      <c r="L548" s="100"/>
      <c r="M548" s="100"/>
      <c r="N548" s="100"/>
    </row>
    <row r="549" spans="1:14" x14ac:dyDescent="0.25">
      <c r="A549" s="194"/>
      <c r="J549" s="100"/>
      <c r="K549" s="100"/>
      <c r="L549" s="100"/>
      <c r="M549" s="100"/>
      <c r="N549" s="100"/>
    </row>
    <row r="550" spans="1:14" x14ac:dyDescent="0.25">
      <c r="A550" s="194"/>
      <c r="J550" s="100"/>
      <c r="K550" s="100"/>
      <c r="L550" s="100"/>
      <c r="M550" s="100"/>
      <c r="N550" s="100"/>
    </row>
    <row r="551" spans="1:14" x14ac:dyDescent="0.25">
      <c r="A551" s="194"/>
      <c r="J551" s="100"/>
      <c r="K551" s="100"/>
      <c r="L551" s="100"/>
      <c r="M551" s="100"/>
      <c r="N551" s="100"/>
    </row>
    <row r="552" spans="1:14" x14ac:dyDescent="0.25">
      <c r="A552" s="194"/>
      <c r="J552" s="100"/>
      <c r="K552" s="100"/>
      <c r="L552" s="100"/>
      <c r="M552" s="100"/>
      <c r="N552" s="100"/>
    </row>
    <row r="553" spans="1:14" x14ac:dyDescent="0.25">
      <c r="A553" s="194"/>
      <c r="J553" s="100"/>
      <c r="K553" s="100"/>
      <c r="L553" s="100"/>
      <c r="M553" s="100"/>
      <c r="N553" s="100"/>
    </row>
    <row r="554" spans="1:14" x14ac:dyDescent="0.25">
      <c r="A554" s="194"/>
      <c r="J554" s="100"/>
      <c r="K554" s="100"/>
      <c r="L554" s="100"/>
      <c r="M554" s="100"/>
      <c r="N554" s="100"/>
    </row>
    <row r="555" spans="1:14" x14ac:dyDescent="0.25">
      <c r="A555" s="194"/>
      <c r="J555" s="100"/>
      <c r="K555" s="100"/>
      <c r="L555" s="100"/>
      <c r="M555" s="100"/>
      <c r="N555" s="100"/>
    </row>
    <row r="556" spans="1:14" x14ac:dyDescent="0.25">
      <c r="A556" s="194"/>
      <c r="J556" s="100"/>
      <c r="K556" s="100"/>
      <c r="L556" s="100"/>
      <c r="M556" s="100"/>
      <c r="N556" s="100"/>
    </row>
    <row r="557" spans="1:14" x14ac:dyDescent="0.25">
      <c r="A557" s="194"/>
      <c r="J557" s="100"/>
      <c r="K557" s="100"/>
      <c r="L557" s="100"/>
      <c r="M557" s="100"/>
      <c r="N557" s="100"/>
    </row>
    <row r="558" spans="1:14" x14ac:dyDescent="0.25">
      <c r="A558" s="194"/>
      <c r="J558" s="100"/>
      <c r="K558" s="100"/>
      <c r="L558" s="100"/>
      <c r="M558" s="100"/>
      <c r="N558" s="100"/>
    </row>
    <row r="559" spans="1:14" x14ac:dyDescent="0.25">
      <c r="A559" s="194"/>
      <c r="J559" s="100"/>
      <c r="K559" s="100"/>
      <c r="L559" s="100"/>
      <c r="M559" s="100"/>
      <c r="N559" s="100"/>
    </row>
    <row r="560" spans="1:14" x14ac:dyDescent="0.25">
      <c r="A560" s="194"/>
      <c r="J560" s="100"/>
      <c r="K560" s="100"/>
      <c r="L560" s="100"/>
      <c r="M560" s="100"/>
      <c r="N560" s="100"/>
    </row>
    <row r="561" spans="1:25" x14ac:dyDescent="0.25">
      <c r="A561" s="194"/>
      <c r="J561" s="100"/>
      <c r="K561" s="100"/>
      <c r="L561" s="100"/>
      <c r="M561" s="100"/>
      <c r="N561" s="100"/>
    </row>
    <row r="562" spans="1:25" x14ac:dyDescent="0.25">
      <c r="A562" s="194"/>
      <c r="J562" s="100"/>
      <c r="K562" s="100"/>
      <c r="L562" s="100"/>
      <c r="M562" s="100"/>
      <c r="N562" s="100"/>
    </row>
    <row r="563" spans="1:25" s="362" customFormat="1" x14ac:dyDescent="0.25">
      <c r="A563" s="194"/>
      <c r="B563" s="98"/>
      <c r="C563" s="98"/>
      <c r="D563" s="98"/>
      <c r="E563" s="98"/>
      <c r="F563" s="98"/>
      <c r="G563" s="98"/>
      <c r="H563" s="98"/>
      <c r="I563" s="621"/>
      <c r="J563" s="100"/>
      <c r="K563" s="100"/>
      <c r="L563" s="100"/>
      <c r="M563" s="100"/>
      <c r="N563" s="100"/>
      <c r="O563" s="98"/>
      <c r="P563" s="98"/>
      <c r="Q563" s="98"/>
      <c r="R563" s="98"/>
      <c r="S563" s="98"/>
      <c r="T563" s="98"/>
      <c r="U563" s="98"/>
      <c r="V563" s="98"/>
      <c r="W563" s="98"/>
      <c r="X563" s="98"/>
      <c r="Y563" s="603"/>
    </row>
    <row r="564" spans="1:25" s="154" customFormat="1" x14ac:dyDescent="0.25">
      <c r="A564" s="360"/>
      <c r="B564" s="362"/>
      <c r="C564" s="362"/>
      <c r="D564" s="362"/>
      <c r="E564" s="362"/>
      <c r="F564" s="362"/>
      <c r="G564" s="362"/>
      <c r="H564" s="362"/>
      <c r="I564" s="618"/>
      <c r="J564" s="364"/>
      <c r="K564" s="364"/>
      <c r="L564" s="364"/>
      <c r="M564" s="364"/>
      <c r="N564" s="364"/>
      <c r="O564" s="362"/>
      <c r="P564" s="362"/>
      <c r="Q564" s="362"/>
      <c r="R564" s="362"/>
      <c r="S564" s="362"/>
      <c r="T564" s="362"/>
      <c r="U564" s="362"/>
      <c r="V564" s="362"/>
      <c r="W564" s="362"/>
      <c r="X564" s="362"/>
      <c r="Y564" s="627"/>
    </row>
    <row r="565" spans="1:25" x14ac:dyDescent="0.25">
      <c r="A565" s="195"/>
      <c r="B565" s="154"/>
      <c r="C565" s="154"/>
      <c r="D565" s="154"/>
      <c r="E565" s="154"/>
      <c r="F565" s="154"/>
      <c r="G565" s="154"/>
      <c r="H565" s="154"/>
      <c r="I565" s="636"/>
      <c r="J565" s="156"/>
      <c r="K565" s="156"/>
      <c r="L565" s="156"/>
      <c r="M565" s="156"/>
      <c r="N565" s="156"/>
      <c r="O565" s="154"/>
      <c r="P565" s="154"/>
      <c r="Q565" s="154"/>
      <c r="R565" s="154"/>
      <c r="S565" s="154"/>
      <c r="T565" s="154"/>
      <c r="U565" s="154"/>
      <c r="V565" s="154"/>
      <c r="W565" s="154"/>
      <c r="X565" s="154"/>
    </row>
    <row r="566" spans="1:25" x14ac:dyDescent="0.25">
      <c r="A566" s="194"/>
      <c r="J566" s="100"/>
      <c r="K566" s="100"/>
      <c r="L566" s="100"/>
      <c r="M566" s="100"/>
      <c r="N566" s="100"/>
    </row>
    <row r="567" spans="1:25" x14ac:dyDescent="0.25">
      <c r="A567" s="194"/>
      <c r="J567" s="100"/>
      <c r="K567" s="100"/>
      <c r="L567" s="100"/>
      <c r="M567" s="100"/>
      <c r="N567" s="100"/>
    </row>
    <row r="568" spans="1:25" x14ac:dyDescent="0.25">
      <c r="A568" s="194"/>
      <c r="J568" s="100"/>
      <c r="K568" s="100"/>
      <c r="L568" s="100"/>
      <c r="M568" s="100"/>
      <c r="N568" s="100"/>
    </row>
    <row r="569" spans="1:25" x14ac:dyDescent="0.25">
      <c r="A569" s="194"/>
      <c r="J569" s="100"/>
      <c r="K569" s="100"/>
      <c r="L569" s="100"/>
      <c r="M569" s="100"/>
      <c r="N569" s="100"/>
    </row>
    <row r="570" spans="1:25" x14ac:dyDescent="0.25">
      <c r="A570" s="194"/>
      <c r="J570" s="100"/>
      <c r="K570" s="100"/>
      <c r="L570" s="100"/>
      <c r="M570" s="100"/>
      <c r="N570" s="100"/>
    </row>
    <row r="571" spans="1:25" x14ac:dyDescent="0.25">
      <c r="A571" s="194"/>
      <c r="J571" s="100"/>
      <c r="K571" s="100"/>
      <c r="L571" s="100"/>
      <c r="M571" s="100"/>
      <c r="N571" s="100"/>
    </row>
    <row r="572" spans="1:25" x14ac:dyDescent="0.25">
      <c r="A572" s="194"/>
      <c r="J572" s="100"/>
      <c r="K572" s="100"/>
      <c r="L572" s="100"/>
      <c r="M572" s="100"/>
      <c r="N572" s="100"/>
    </row>
    <row r="573" spans="1:25" x14ac:dyDescent="0.25">
      <c r="A573" s="194"/>
      <c r="J573" s="100"/>
      <c r="K573" s="100"/>
      <c r="L573" s="100"/>
      <c r="M573" s="100"/>
      <c r="N573" s="100"/>
    </row>
    <row r="574" spans="1:25" x14ac:dyDescent="0.25">
      <c r="A574" s="194"/>
      <c r="J574" s="100"/>
      <c r="K574" s="100"/>
      <c r="L574" s="100"/>
      <c r="M574" s="100"/>
      <c r="N574" s="100"/>
    </row>
    <row r="575" spans="1:25" x14ac:dyDescent="0.25">
      <c r="A575" s="194"/>
      <c r="J575" s="100"/>
      <c r="K575" s="100"/>
      <c r="L575" s="100"/>
      <c r="M575" s="100"/>
      <c r="N575" s="100"/>
    </row>
    <row r="576" spans="1:25" s="154" customFormat="1" x14ac:dyDescent="0.25">
      <c r="A576" s="194"/>
      <c r="B576" s="98"/>
      <c r="C576" s="98"/>
      <c r="D576" s="98"/>
      <c r="E576" s="98"/>
      <c r="F576" s="98"/>
      <c r="G576" s="98"/>
      <c r="H576" s="98"/>
      <c r="I576" s="621"/>
      <c r="J576" s="100"/>
      <c r="K576" s="100"/>
      <c r="L576" s="100"/>
      <c r="M576" s="100"/>
      <c r="N576" s="100"/>
      <c r="O576" s="98"/>
      <c r="P576" s="98"/>
      <c r="Q576" s="98"/>
      <c r="R576" s="98"/>
      <c r="S576" s="98"/>
      <c r="T576" s="98"/>
      <c r="U576" s="98"/>
      <c r="V576" s="98"/>
      <c r="W576" s="98"/>
      <c r="X576" s="98"/>
      <c r="Y576" s="627"/>
    </row>
    <row r="577" spans="1:25" x14ac:dyDescent="0.25">
      <c r="A577" s="195"/>
      <c r="B577" s="154"/>
      <c r="C577" s="154"/>
      <c r="D577" s="154"/>
      <c r="E577" s="154"/>
      <c r="F577" s="154"/>
      <c r="G577" s="154"/>
      <c r="H577" s="154"/>
      <c r="I577" s="636"/>
      <c r="J577" s="156"/>
      <c r="K577" s="156"/>
      <c r="L577" s="156"/>
      <c r="M577" s="156"/>
      <c r="N577" s="156"/>
      <c r="O577" s="154"/>
      <c r="P577" s="154"/>
      <c r="Q577" s="154"/>
      <c r="R577" s="154"/>
      <c r="S577" s="154"/>
      <c r="T577" s="154"/>
      <c r="U577" s="154"/>
      <c r="V577" s="154"/>
      <c r="W577" s="154"/>
      <c r="X577" s="154"/>
    </row>
    <row r="578" spans="1:25" x14ac:dyDescent="0.25">
      <c r="A578" s="194"/>
      <c r="J578" s="100"/>
      <c r="K578" s="100"/>
      <c r="L578" s="100"/>
      <c r="M578" s="100"/>
      <c r="N578" s="100"/>
    </row>
    <row r="579" spans="1:25" x14ac:dyDescent="0.25">
      <c r="A579" s="194"/>
      <c r="J579" s="100"/>
      <c r="K579" s="100"/>
      <c r="L579" s="100"/>
      <c r="M579" s="100"/>
      <c r="N579" s="100"/>
    </row>
    <row r="580" spans="1:25" x14ac:dyDescent="0.25">
      <c r="A580" s="194"/>
      <c r="J580" s="100"/>
      <c r="K580" s="100"/>
      <c r="L580" s="100"/>
      <c r="M580" s="100"/>
      <c r="N580" s="100"/>
    </row>
    <row r="581" spans="1:25" x14ac:dyDescent="0.25">
      <c r="A581" s="194"/>
      <c r="J581" s="100"/>
      <c r="K581" s="100"/>
      <c r="L581" s="100"/>
      <c r="M581" s="100"/>
      <c r="N581" s="100"/>
    </row>
    <row r="582" spans="1:25" x14ac:dyDescent="0.25">
      <c r="A582" s="194"/>
      <c r="J582" s="100"/>
      <c r="K582" s="100"/>
      <c r="L582" s="100"/>
      <c r="M582" s="100"/>
      <c r="N582" s="100"/>
    </row>
    <row r="583" spans="1:25" x14ac:dyDescent="0.25">
      <c r="A583" s="194"/>
      <c r="J583" s="100"/>
      <c r="K583" s="100"/>
      <c r="L583" s="100"/>
      <c r="M583" s="100"/>
      <c r="N583" s="100"/>
    </row>
    <row r="584" spans="1:25" x14ac:dyDescent="0.25">
      <c r="A584" s="194"/>
      <c r="J584" s="100"/>
      <c r="K584" s="100"/>
      <c r="L584" s="100"/>
      <c r="M584" s="100"/>
      <c r="N584" s="100"/>
    </row>
    <row r="585" spans="1:25" x14ac:dyDescent="0.25">
      <c r="A585" s="194"/>
      <c r="J585" s="100"/>
      <c r="K585" s="100"/>
      <c r="L585" s="100"/>
      <c r="M585" s="100"/>
      <c r="N585" s="100"/>
    </row>
    <row r="586" spans="1:25" x14ac:dyDescent="0.25">
      <c r="A586" s="194"/>
      <c r="J586" s="100"/>
      <c r="K586" s="100"/>
      <c r="L586" s="100"/>
      <c r="M586" s="100"/>
      <c r="N586" s="100"/>
    </row>
    <row r="587" spans="1:25" x14ac:dyDescent="0.25">
      <c r="A587" s="194"/>
      <c r="J587" s="100"/>
      <c r="K587" s="100"/>
      <c r="L587" s="100"/>
      <c r="M587" s="100"/>
      <c r="N587" s="100"/>
    </row>
    <row r="588" spans="1:25" x14ac:dyDescent="0.25">
      <c r="A588" s="194"/>
      <c r="J588" s="100"/>
      <c r="K588" s="100"/>
      <c r="L588" s="100"/>
      <c r="M588" s="100"/>
      <c r="N588" s="100"/>
    </row>
    <row r="589" spans="1:25" x14ac:dyDescent="0.25">
      <c r="A589" s="194"/>
      <c r="J589" s="100"/>
      <c r="K589" s="100"/>
      <c r="L589" s="100"/>
      <c r="M589" s="100"/>
      <c r="N589" s="100"/>
      <c r="Y589" s="98"/>
    </row>
    <row r="590" spans="1:25" x14ac:dyDescent="0.25">
      <c r="A590" s="194"/>
      <c r="J590" s="100"/>
      <c r="K590" s="100"/>
      <c r="L590" s="100"/>
      <c r="M590" s="100"/>
      <c r="N590" s="100"/>
    </row>
    <row r="591" spans="1:25" x14ac:dyDescent="0.25">
      <c r="A591" s="194"/>
      <c r="J591" s="100"/>
      <c r="K591" s="100"/>
      <c r="L591" s="100"/>
      <c r="M591" s="100"/>
      <c r="N591" s="100"/>
    </row>
    <row r="592" spans="1:25" x14ac:dyDescent="0.25">
      <c r="A592" s="194"/>
      <c r="J592" s="100"/>
      <c r="K592" s="100"/>
      <c r="L592" s="100"/>
      <c r="M592" s="100"/>
      <c r="N592" s="100"/>
    </row>
    <row r="593" spans="1:25" x14ac:dyDescent="0.25">
      <c r="A593" s="194"/>
      <c r="J593" s="100"/>
      <c r="K593" s="100"/>
      <c r="L593" s="100"/>
      <c r="M593" s="100"/>
      <c r="N593" s="100"/>
    </row>
    <row r="594" spans="1:25" x14ac:dyDescent="0.25">
      <c r="A594" s="194"/>
      <c r="J594" s="100"/>
      <c r="K594" s="100"/>
      <c r="L594" s="100"/>
      <c r="M594" s="100"/>
      <c r="N594" s="100"/>
    </row>
    <row r="595" spans="1:25" x14ac:dyDescent="0.25">
      <c r="A595" s="194"/>
      <c r="J595" s="100"/>
      <c r="K595" s="100"/>
      <c r="L595" s="100"/>
      <c r="M595" s="100"/>
      <c r="N595" s="100"/>
    </row>
    <row r="596" spans="1:25" x14ac:dyDescent="0.25">
      <c r="A596" s="194"/>
      <c r="J596" s="100"/>
      <c r="K596" s="100"/>
      <c r="L596" s="100"/>
      <c r="M596" s="100"/>
      <c r="N596" s="100"/>
    </row>
    <row r="597" spans="1:25" x14ac:dyDescent="0.25">
      <c r="A597" s="194"/>
      <c r="J597" s="100"/>
      <c r="K597" s="100"/>
      <c r="L597" s="100"/>
      <c r="M597" s="100"/>
      <c r="N597" s="100"/>
    </row>
    <row r="598" spans="1:25" s="154" customFormat="1" x14ac:dyDescent="0.25">
      <c r="A598" s="194"/>
      <c r="B598" s="98"/>
      <c r="C598" s="98"/>
      <c r="D598" s="98"/>
      <c r="E598" s="98"/>
      <c r="F598" s="98"/>
      <c r="G598" s="98"/>
      <c r="H598" s="98"/>
      <c r="I598" s="621"/>
      <c r="J598" s="100"/>
      <c r="K598" s="100"/>
      <c r="L598" s="100"/>
      <c r="M598" s="100"/>
      <c r="N598" s="100"/>
      <c r="O598" s="98"/>
      <c r="P598" s="98"/>
      <c r="Q598" s="98"/>
      <c r="R598" s="98"/>
      <c r="S598" s="98"/>
      <c r="T598" s="98"/>
      <c r="U598" s="98"/>
      <c r="V598" s="98"/>
      <c r="W598" s="98"/>
      <c r="X598" s="98"/>
      <c r="Y598" s="627"/>
    </row>
    <row r="599" spans="1:25" x14ac:dyDescent="0.25">
      <c r="A599" s="195"/>
      <c r="B599" s="154"/>
      <c r="C599" s="154"/>
      <c r="D599" s="154"/>
      <c r="E599" s="154"/>
      <c r="F599" s="154"/>
      <c r="G599" s="154"/>
      <c r="H599" s="154"/>
      <c r="I599" s="636"/>
      <c r="J599" s="156"/>
      <c r="K599" s="156"/>
      <c r="L599" s="156"/>
      <c r="M599" s="156"/>
      <c r="N599" s="156"/>
      <c r="O599" s="154"/>
      <c r="P599" s="154"/>
      <c r="Q599" s="154"/>
      <c r="R599" s="154"/>
      <c r="S599" s="154"/>
      <c r="T599" s="154"/>
      <c r="U599" s="154"/>
      <c r="V599" s="154"/>
      <c r="W599" s="154"/>
      <c r="X599" s="154"/>
    </row>
    <row r="600" spans="1:25" x14ac:dyDescent="0.25">
      <c r="A600" s="194"/>
      <c r="J600" s="100"/>
      <c r="K600" s="100"/>
      <c r="L600" s="100"/>
      <c r="M600" s="100"/>
      <c r="N600" s="100"/>
    </row>
    <row r="601" spans="1:25" s="362" customFormat="1" x14ac:dyDescent="0.25">
      <c r="A601" s="194"/>
      <c r="B601" s="98"/>
      <c r="C601" s="98"/>
      <c r="D601" s="98"/>
      <c r="E601" s="98"/>
      <c r="F601" s="98"/>
      <c r="G601" s="98"/>
      <c r="H601" s="98"/>
      <c r="I601" s="621"/>
      <c r="J601" s="100"/>
      <c r="K601" s="100"/>
      <c r="L601" s="100"/>
      <c r="M601" s="100"/>
      <c r="N601" s="100"/>
      <c r="O601" s="98"/>
      <c r="P601" s="98"/>
      <c r="Q601" s="98"/>
      <c r="R601" s="98"/>
      <c r="S601" s="98"/>
      <c r="T601" s="98"/>
      <c r="U601" s="98"/>
      <c r="V601" s="98"/>
      <c r="W601" s="98"/>
      <c r="X601" s="98"/>
      <c r="Y601" s="603"/>
    </row>
    <row r="602" spans="1:25" x14ac:dyDescent="0.25">
      <c r="A602" s="360"/>
      <c r="B602" s="362"/>
      <c r="C602" s="362"/>
      <c r="D602" s="362"/>
      <c r="E602" s="362"/>
      <c r="F602" s="362"/>
      <c r="G602" s="362"/>
      <c r="H602" s="362"/>
      <c r="I602" s="618"/>
      <c r="J602" s="364"/>
      <c r="K602" s="364"/>
      <c r="L602" s="364"/>
      <c r="M602" s="364"/>
      <c r="N602" s="364"/>
      <c r="O602" s="362"/>
      <c r="P602" s="362"/>
      <c r="Q602" s="362"/>
      <c r="R602" s="362"/>
      <c r="S602" s="362"/>
      <c r="T602" s="362"/>
      <c r="U602" s="362"/>
      <c r="V602" s="362"/>
      <c r="W602" s="362"/>
      <c r="X602" s="362"/>
    </row>
    <row r="603" spans="1:25" s="154" customFormat="1" x14ac:dyDescent="0.25">
      <c r="A603" s="194"/>
      <c r="B603" s="98"/>
      <c r="C603" s="98"/>
      <c r="D603" s="98"/>
      <c r="E603" s="98"/>
      <c r="F603" s="98"/>
      <c r="G603" s="98"/>
      <c r="H603" s="98"/>
      <c r="I603" s="621"/>
      <c r="J603" s="100"/>
      <c r="K603" s="100"/>
      <c r="L603" s="100"/>
      <c r="M603" s="100"/>
      <c r="N603" s="100"/>
      <c r="O603" s="98"/>
      <c r="P603" s="98"/>
      <c r="Q603" s="98"/>
      <c r="R603" s="98"/>
      <c r="S603" s="98"/>
      <c r="T603" s="98"/>
      <c r="U603" s="98"/>
      <c r="V603" s="98"/>
      <c r="W603" s="98"/>
      <c r="X603" s="98"/>
      <c r="Y603" s="627"/>
    </row>
    <row r="604" spans="1:25" x14ac:dyDescent="0.25">
      <c r="A604" s="195"/>
      <c r="B604" s="154"/>
      <c r="C604" s="154"/>
      <c r="D604" s="154"/>
      <c r="E604" s="154"/>
      <c r="F604" s="154"/>
      <c r="G604" s="154"/>
      <c r="H604" s="154"/>
      <c r="I604" s="636"/>
      <c r="J604" s="156"/>
      <c r="K604" s="156"/>
      <c r="L604" s="156"/>
      <c r="M604" s="156"/>
      <c r="N604" s="156"/>
      <c r="O604" s="154"/>
      <c r="P604" s="154"/>
      <c r="Q604" s="154"/>
      <c r="R604" s="154"/>
      <c r="S604" s="154"/>
      <c r="T604" s="154"/>
      <c r="U604" s="154"/>
      <c r="V604" s="154"/>
      <c r="W604" s="154"/>
      <c r="X604" s="154"/>
    </row>
    <row r="605" spans="1:25" x14ac:dyDescent="0.25">
      <c r="A605" s="194"/>
      <c r="J605" s="100"/>
      <c r="K605" s="100"/>
      <c r="L605" s="100"/>
      <c r="M605" s="100"/>
      <c r="N605" s="100"/>
    </row>
    <row r="606" spans="1:25" x14ac:dyDescent="0.25">
      <c r="A606" s="194"/>
      <c r="J606" s="100"/>
      <c r="K606" s="100"/>
      <c r="L606" s="100"/>
      <c r="M606" s="100"/>
      <c r="N606" s="100"/>
    </row>
    <row r="607" spans="1:25" x14ac:dyDescent="0.25">
      <c r="A607" s="194"/>
      <c r="J607" s="100"/>
      <c r="K607" s="100"/>
      <c r="L607" s="100"/>
      <c r="M607" s="100"/>
      <c r="N607" s="100"/>
    </row>
    <row r="608" spans="1:25" x14ac:dyDescent="0.25">
      <c r="A608" s="194"/>
      <c r="J608" s="100"/>
      <c r="K608" s="100"/>
      <c r="L608" s="100"/>
      <c r="M608" s="100"/>
      <c r="N608" s="100"/>
    </row>
    <row r="609" spans="1:25" s="154" customFormat="1" x14ac:dyDescent="0.25">
      <c r="A609" s="194"/>
      <c r="B609" s="98"/>
      <c r="C609" s="98"/>
      <c r="D609" s="98"/>
      <c r="E609" s="98"/>
      <c r="F609" s="98"/>
      <c r="G609" s="98"/>
      <c r="H609" s="98"/>
      <c r="I609" s="621"/>
      <c r="J609" s="100"/>
      <c r="K609" s="100"/>
      <c r="L609" s="100"/>
      <c r="M609" s="100"/>
      <c r="N609" s="100"/>
      <c r="O609" s="98"/>
      <c r="P609" s="98"/>
      <c r="Q609" s="98"/>
      <c r="R609" s="98"/>
      <c r="S609" s="98"/>
      <c r="T609" s="98"/>
      <c r="U609" s="98"/>
      <c r="V609" s="98"/>
      <c r="W609" s="98"/>
      <c r="X609" s="98"/>
      <c r="Y609" s="627"/>
    </row>
    <row r="610" spans="1:25" x14ac:dyDescent="0.25">
      <c r="A610" s="194"/>
      <c r="J610" s="100"/>
      <c r="K610" s="100"/>
      <c r="L610" s="100"/>
      <c r="M610" s="100"/>
      <c r="N610" s="100"/>
    </row>
    <row r="611" spans="1:25" x14ac:dyDescent="0.25">
      <c r="A611" s="194"/>
      <c r="J611" s="100"/>
      <c r="K611" s="100"/>
      <c r="L611" s="100"/>
      <c r="M611" s="100"/>
      <c r="N611" s="100"/>
    </row>
    <row r="612" spans="1:25" x14ac:dyDescent="0.25">
      <c r="A612" s="194"/>
      <c r="J612" s="100"/>
      <c r="K612" s="100"/>
      <c r="L612" s="100"/>
      <c r="M612" s="100"/>
      <c r="N612" s="100"/>
    </row>
    <row r="613" spans="1:25" x14ac:dyDescent="0.25">
      <c r="A613" s="194"/>
      <c r="J613" s="100"/>
      <c r="K613" s="100"/>
      <c r="L613" s="100"/>
      <c r="M613" s="100"/>
      <c r="N613" s="100"/>
    </row>
    <row r="614" spans="1:25" x14ac:dyDescent="0.25">
      <c r="A614" s="194"/>
      <c r="J614" s="100"/>
      <c r="K614" s="100"/>
      <c r="L614" s="100"/>
      <c r="M614" s="100"/>
      <c r="N614" s="100"/>
    </row>
    <row r="615" spans="1:25" x14ac:dyDescent="0.25">
      <c r="A615" s="194"/>
      <c r="J615" s="100"/>
      <c r="K615" s="100"/>
      <c r="L615" s="100"/>
      <c r="M615" s="100"/>
      <c r="N615" s="100"/>
    </row>
    <row r="616" spans="1:25" x14ac:dyDescent="0.25">
      <c r="A616" s="194"/>
      <c r="J616" s="100"/>
      <c r="K616" s="100"/>
      <c r="L616" s="100"/>
      <c r="M616" s="100"/>
      <c r="N616" s="100"/>
    </row>
    <row r="617" spans="1:25" x14ac:dyDescent="0.25">
      <c r="A617" s="194"/>
      <c r="J617" s="100"/>
      <c r="K617" s="100"/>
      <c r="L617" s="100"/>
      <c r="M617" s="100"/>
      <c r="N617" s="100"/>
    </row>
    <row r="618" spans="1:25" x14ac:dyDescent="0.25">
      <c r="A618" s="194"/>
      <c r="J618" s="100"/>
      <c r="K618" s="100"/>
      <c r="L618" s="100"/>
      <c r="M618" s="100"/>
      <c r="N618" s="100"/>
    </row>
    <row r="619" spans="1:25" x14ac:dyDescent="0.25">
      <c r="A619" s="194"/>
      <c r="J619" s="100"/>
      <c r="K619" s="100"/>
      <c r="L619" s="100"/>
      <c r="M619" s="100"/>
      <c r="N619" s="100"/>
    </row>
    <row r="620" spans="1:25" x14ac:dyDescent="0.25">
      <c r="A620" s="194"/>
      <c r="J620" s="100"/>
      <c r="K620" s="100"/>
      <c r="L620" s="100"/>
      <c r="M620" s="100"/>
      <c r="N620" s="100"/>
    </row>
    <row r="621" spans="1:25" x14ac:dyDescent="0.25">
      <c r="A621" s="194"/>
      <c r="J621" s="100"/>
      <c r="K621" s="100"/>
      <c r="L621" s="100"/>
      <c r="M621" s="100"/>
      <c r="N621" s="100"/>
    </row>
    <row r="622" spans="1:25" x14ac:dyDescent="0.25">
      <c r="A622" s="194"/>
      <c r="J622" s="100"/>
      <c r="K622" s="100"/>
      <c r="L622" s="100"/>
      <c r="M622" s="100"/>
      <c r="N622" s="100"/>
    </row>
    <row r="623" spans="1:25" x14ac:dyDescent="0.25">
      <c r="A623" s="194"/>
      <c r="J623" s="100"/>
      <c r="K623" s="100"/>
      <c r="L623" s="100"/>
      <c r="M623" s="100"/>
      <c r="N623" s="100"/>
    </row>
    <row r="624" spans="1:25" x14ac:dyDescent="0.25">
      <c r="A624" s="194"/>
      <c r="J624" s="100"/>
      <c r="K624" s="100"/>
      <c r="L624" s="100"/>
      <c r="M624" s="100"/>
      <c r="N624" s="100"/>
    </row>
    <row r="625" spans="1:25" x14ac:dyDescent="0.25">
      <c r="A625" s="194"/>
      <c r="J625" s="100"/>
      <c r="K625" s="100"/>
      <c r="L625" s="100"/>
      <c r="M625" s="100"/>
      <c r="N625" s="100"/>
    </row>
    <row r="626" spans="1:25" x14ac:dyDescent="0.25">
      <c r="A626" s="194"/>
      <c r="J626" s="100"/>
      <c r="K626" s="100"/>
      <c r="L626" s="100"/>
      <c r="M626" s="100"/>
      <c r="N626" s="100"/>
    </row>
    <row r="627" spans="1:25" x14ac:dyDescent="0.25">
      <c r="A627" s="194"/>
      <c r="J627" s="100"/>
      <c r="K627" s="100"/>
      <c r="L627" s="100"/>
      <c r="M627" s="100"/>
      <c r="N627" s="100"/>
    </row>
    <row r="628" spans="1:25" x14ac:dyDescent="0.25">
      <c r="A628" s="194"/>
      <c r="J628" s="100"/>
      <c r="K628" s="100"/>
      <c r="L628" s="100"/>
      <c r="M628" s="100"/>
      <c r="N628" s="100"/>
    </row>
    <row r="629" spans="1:25" x14ac:dyDescent="0.25">
      <c r="A629" s="194"/>
      <c r="J629" s="100"/>
      <c r="K629" s="100"/>
      <c r="L629" s="100"/>
      <c r="M629" s="100"/>
      <c r="N629" s="100"/>
    </row>
    <row r="630" spans="1:25" x14ac:dyDescent="0.25">
      <c r="A630" s="194"/>
      <c r="J630" s="100"/>
      <c r="K630" s="100"/>
      <c r="L630" s="100"/>
      <c r="M630" s="100"/>
      <c r="N630" s="100"/>
    </row>
    <row r="631" spans="1:25" x14ac:dyDescent="0.25">
      <c r="A631" s="194"/>
      <c r="J631" s="100"/>
      <c r="K631" s="100"/>
      <c r="L631" s="100"/>
      <c r="M631" s="100"/>
      <c r="N631" s="100"/>
    </row>
    <row r="632" spans="1:25" x14ac:dyDescent="0.25">
      <c r="A632" s="194"/>
      <c r="J632" s="100"/>
      <c r="K632" s="100"/>
      <c r="L632" s="100"/>
      <c r="M632" s="100"/>
      <c r="N632" s="100"/>
    </row>
    <row r="633" spans="1:25" x14ac:dyDescent="0.25">
      <c r="A633" s="194"/>
      <c r="J633" s="100"/>
      <c r="K633" s="100"/>
      <c r="L633" s="100"/>
      <c r="M633" s="100"/>
      <c r="N633" s="100"/>
    </row>
    <row r="634" spans="1:25" x14ac:dyDescent="0.25">
      <c r="A634" s="194"/>
      <c r="J634" s="100"/>
      <c r="K634" s="100"/>
      <c r="L634" s="100"/>
      <c r="M634" s="100"/>
      <c r="N634" s="100"/>
    </row>
    <row r="635" spans="1:25" x14ac:dyDescent="0.25">
      <c r="A635" s="194"/>
      <c r="J635" s="100"/>
      <c r="K635" s="100"/>
      <c r="L635" s="100"/>
      <c r="M635" s="100"/>
      <c r="N635" s="100"/>
    </row>
    <row r="636" spans="1:25" x14ac:dyDescent="0.25">
      <c r="A636" s="194"/>
      <c r="J636" s="100"/>
      <c r="K636" s="100"/>
      <c r="L636" s="100"/>
      <c r="M636" s="100"/>
      <c r="N636" s="100"/>
    </row>
    <row r="637" spans="1:25" x14ac:dyDescent="0.25">
      <c r="A637" s="194"/>
      <c r="J637" s="100"/>
      <c r="K637" s="100"/>
      <c r="L637" s="100"/>
      <c r="M637" s="100"/>
      <c r="N637" s="100"/>
    </row>
    <row r="638" spans="1:25" s="362" customFormat="1" x14ac:dyDescent="0.25">
      <c r="A638" s="194"/>
      <c r="B638" s="98"/>
      <c r="C638" s="98"/>
      <c r="D638" s="98"/>
      <c r="E638" s="98"/>
      <c r="F638" s="98"/>
      <c r="G638" s="98"/>
      <c r="H638" s="98"/>
      <c r="I638" s="621"/>
      <c r="J638" s="100"/>
      <c r="K638" s="100"/>
      <c r="L638" s="100"/>
      <c r="M638" s="100"/>
      <c r="N638" s="100"/>
      <c r="O638" s="98"/>
      <c r="P638" s="98"/>
      <c r="Q638" s="98"/>
      <c r="R638" s="98"/>
      <c r="S638" s="98"/>
      <c r="T638" s="98"/>
      <c r="U638" s="98"/>
      <c r="V638" s="98"/>
      <c r="W638" s="98"/>
      <c r="X638" s="98"/>
      <c r="Y638" s="603"/>
    </row>
    <row r="639" spans="1:25" x14ac:dyDescent="0.25">
      <c r="A639" s="360"/>
      <c r="B639" s="362"/>
      <c r="C639" s="362"/>
      <c r="D639" s="362"/>
      <c r="E639" s="362"/>
      <c r="F639" s="362"/>
      <c r="G639" s="362"/>
      <c r="H639" s="362"/>
      <c r="I639" s="618"/>
      <c r="J639" s="364"/>
      <c r="K639" s="364"/>
      <c r="L639" s="364"/>
      <c r="M639" s="364"/>
      <c r="N639" s="364"/>
      <c r="O639" s="362"/>
      <c r="P639" s="362"/>
      <c r="Q639" s="362"/>
      <c r="R639" s="362"/>
      <c r="S639" s="362"/>
      <c r="T639" s="362"/>
      <c r="U639" s="362"/>
      <c r="V639" s="362"/>
      <c r="W639" s="362"/>
      <c r="X639" s="362"/>
    </row>
    <row r="640" spans="1:25" x14ac:dyDescent="0.25">
      <c r="A640" s="194"/>
      <c r="J640" s="100"/>
      <c r="K640" s="100"/>
      <c r="L640" s="100"/>
      <c r="M640" s="100"/>
      <c r="N640" s="100"/>
    </row>
    <row r="641" spans="1:25" x14ac:dyDescent="0.25">
      <c r="A641" s="194"/>
      <c r="J641" s="100"/>
      <c r="K641" s="100"/>
      <c r="L641" s="100"/>
      <c r="M641" s="100"/>
      <c r="N641" s="100"/>
    </row>
    <row r="642" spans="1:25" x14ac:dyDescent="0.25">
      <c r="A642" s="194"/>
      <c r="J642" s="100"/>
      <c r="K642" s="100"/>
      <c r="L642" s="100"/>
      <c r="M642" s="100"/>
      <c r="N642" s="100"/>
    </row>
    <row r="643" spans="1:25" x14ac:dyDescent="0.25">
      <c r="A643" s="194"/>
      <c r="J643" s="100"/>
      <c r="K643" s="100"/>
      <c r="L643" s="100"/>
      <c r="M643" s="100"/>
      <c r="N643" s="100"/>
    </row>
    <row r="644" spans="1:25" x14ac:dyDescent="0.25">
      <c r="A644" s="194"/>
      <c r="J644" s="100"/>
      <c r="K644" s="100"/>
      <c r="L644" s="100"/>
      <c r="M644" s="100"/>
      <c r="N644" s="100"/>
    </row>
    <row r="645" spans="1:25" x14ac:dyDescent="0.25">
      <c r="A645" s="194"/>
      <c r="J645" s="100"/>
      <c r="K645" s="100"/>
      <c r="L645" s="100"/>
      <c r="M645" s="100"/>
      <c r="N645" s="100"/>
      <c r="S645" s="1093"/>
    </row>
    <row r="646" spans="1:25" x14ac:dyDescent="0.25">
      <c r="A646" s="194"/>
      <c r="J646" s="100"/>
      <c r="K646" s="100"/>
      <c r="L646" s="100"/>
      <c r="M646" s="100"/>
      <c r="N646" s="100"/>
    </row>
    <row r="647" spans="1:25" x14ac:dyDescent="0.25">
      <c r="A647" s="194"/>
      <c r="J647" s="100"/>
      <c r="K647" s="100"/>
      <c r="L647" s="100"/>
      <c r="M647" s="100"/>
      <c r="N647" s="100"/>
    </row>
    <row r="648" spans="1:25" x14ac:dyDescent="0.25">
      <c r="A648" s="194"/>
      <c r="J648" s="100"/>
      <c r="K648" s="100"/>
      <c r="L648" s="100"/>
      <c r="M648" s="100"/>
      <c r="N648" s="100"/>
    </row>
    <row r="649" spans="1:25" x14ac:dyDescent="0.25">
      <c r="A649" s="194"/>
      <c r="J649" s="100"/>
      <c r="K649" s="100"/>
      <c r="L649" s="100"/>
      <c r="M649" s="100"/>
      <c r="N649" s="100"/>
    </row>
    <row r="650" spans="1:25" x14ac:dyDescent="0.25">
      <c r="A650" s="194"/>
      <c r="J650" s="100"/>
      <c r="K650" s="100"/>
      <c r="L650" s="100"/>
      <c r="M650" s="100"/>
      <c r="N650" s="100"/>
    </row>
    <row r="651" spans="1:25" x14ac:dyDescent="0.25">
      <c r="A651" s="194"/>
      <c r="J651" s="100"/>
      <c r="K651" s="100"/>
      <c r="L651" s="100"/>
      <c r="M651" s="100"/>
      <c r="N651" s="100"/>
    </row>
    <row r="652" spans="1:25" x14ac:dyDescent="0.25">
      <c r="A652" s="194"/>
      <c r="J652" s="100"/>
      <c r="K652" s="100"/>
      <c r="L652" s="100"/>
      <c r="M652" s="100"/>
      <c r="N652" s="100"/>
    </row>
    <row r="653" spans="1:25" x14ac:dyDescent="0.25">
      <c r="A653" s="194"/>
      <c r="J653" s="100"/>
      <c r="K653" s="100"/>
      <c r="L653" s="100"/>
      <c r="M653" s="100"/>
      <c r="N653" s="100"/>
    </row>
    <row r="654" spans="1:25" s="154" customFormat="1" x14ac:dyDescent="0.25">
      <c r="A654" s="194"/>
      <c r="B654" s="98"/>
      <c r="C654" s="98"/>
      <c r="D654" s="98"/>
      <c r="E654" s="98"/>
      <c r="F654" s="98"/>
      <c r="G654" s="98"/>
      <c r="H654" s="98"/>
      <c r="I654" s="621"/>
      <c r="J654" s="100"/>
      <c r="K654" s="100"/>
      <c r="L654" s="100"/>
      <c r="M654" s="100"/>
      <c r="N654" s="100"/>
      <c r="O654" s="98"/>
      <c r="P654" s="98"/>
      <c r="Q654" s="98"/>
      <c r="R654" s="98"/>
      <c r="S654" s="98"/>
      <c r="T654" s="98"/>
      <c r="U654" s="98"/>
      <c r="V654" s="98"/>
      <c r="W654" s="98"/>
      <c r="X654" s="98"/>
      <c r="Y654" s="627"/>
    </row>
    <row r="655" spans="1:25" x14ac:dyDescent="0.25">
      <c r="A655" s="195"/>
      <c r="B655" s="154"/>
      <c r="C655" s="154"/>
      <c r="D655" s="154"/>
      <c r="E655" s="154"/>
      <c r="F655" s="154"/>
      <c r="G655" s="154"/>
      <c r="H655" s="154"/>
      <c r="I655" s="636"/>
      <c r="J655" s="156"/>
      <c r="K655" s="156"/>
      <c r="L655" s="156"/>
      <c r="M655" s="156"/>
      <c r="N655" s="156"/>
      <c r="O655" s="154"/>
      <c r="P655" s="154"/>
      <c r="Q655" s="154"/>
      <c r="R655" s="154"/>
      <c r="S655" s="154"/>
      <c r="T655" s="154"/>
      <c r="U655" s="154"/>
      <c r="V655" s="154"/>
      <c r="W655" s="154"/>
      <c r="X655" s="154"/>
    </row>
    <row r="656" spans="1:25" x14ac:dyDescent="0.25">
      <c r="A656" s="194"/>
      <c r="J656" s="100"/>
      <c r="K656" s="100"/>
      <c r="L656" s="100"/>
      <c r="M656" s="100"/>
      <c r="N656" s="100"/>
    </row>
    <row r="657" spans="1:25" x14ac:dyDescent="0.25">
      <c r="A657" s="194"/>
      <c r="J657" s="100"/>
      <c r="K657" s="100"/>
      <c r="L657" s="100"/>
      <c r="M657" s="100"/>
      <c r="N657" s="100"/>
    </row>
    <row r="658" spans="1:25" x14ac:dyDescent="0.25">
      <c r="A658" s="194"/>
      <c r="J658" s="100"/>
      <c r="K658" s="100"/>
      <c r="L658" s="100"/>
      <c r="M658" s="100"/>
      <c r="N658" s="100"/>
    </row>
    <row r="659" spans="1:25" x14ac:dyDescent="0.25">
      <c r="A659" s="194"/>
      <c r="J659" s="100"/>
      <c r="K659" s="100"/>
      <c r="L659" s="100"/>
      <c r="M659" s="100"/>
      <c r="N659" s="100"/>
    </row>
    <row r="660" spans="1:25" x14ac:dyDescent="0.25">
      <c r="A660" s="194"/>
      <c r="J660" s="100"/>
      <c r="K660" s="100"/>
      <c r="L660" s="100"/>
      <c r="M660" s="100"/>
      <c r="N660" s="100"/>
    </row>
    <row r="661" spans="1:25" x14ac:dyDescent="0.25">
      <c r="A661" s="194"/>
      <c r="J661" s="100"/>
      <c r="K661" s="100"/>
      <c r="L661" s="100"/>
      <c r="M661" s="100"/>
      <c r="N661" s="100"/>
    </row>
    <row r="662" spans="1:25" x14ac:dyDescent="0.25">
      <c r="A662" s="194"/>
      <c r="J662" s="100"/>
      <c r="K662" s="100"/>
      <c r="L662" s="100"/>
      <c r="M662" s="100"/>
      <c r="N662" s="100"/>
    </row>
    <row r="663" spans="1:25" x14ac:dyDescent="0.25">
      <c r="A663" s="194"/>
      <c r="J663" s="100"/>
      <c r="K663" s="100"/>
      <c r="L663" s="100"/>
      <c r="M663" s="100"/>
      <c r="N663" s="100"/>
    </row>
    <row r="664" spans="1:25" x14ac:dyDescent="0.25">
      <c r="A664" s="194"/>
      <c r="J664" s="100"/>
      <c r="K664" s="100"/>
      <c r="L664" s="100"/>
      <c r="M664" s="100"/>
      <c r="N664" s="100"/>
    </row>
    <row r="665" spans="1:25" x14ac:dyDescent="0.25">
      <c r="A665" s="194"/>
      <c r="J665" s="100"/>
      <c r="K665" s="100"/>
      <c r="L665" s="100"/>
      <c r="M665" s="100"/>
      <c r="N665" s="100"/>
    </row>
    <row r="666" spans="1:25" x14ac:dyDescent="0.25">
      <c r="A666" s="194"/>
      <c r="J666" s="100"/>
      <c r="K666" s="100"/>
      <c r="L666" s="100"/>
      <c r="M666" s="100"/>
      <c r="N666" s="100"/>
    </row>
    <row r="667" spans="1:25" s="154" customFormat="1" x14ac:dyDescent="0.25">
      <c r="A667" s="194"/>
      <c r="B667" s="98"/>
      <c r="C667" s="98"/>
      <c r="D667" s="98"/>
      <c r="E667" s="98"/>
      <c r="F667" s="98"/>
      <c r="G667" s="98"/>
      <c r="H667" s="98"/>
      <c r="I667" s="621"/>
      <c r="J667" s="100"/>
      <c r="K667" s="100"/>
      <c r="L667" s="100"/>
      <c r="M667" s="100"/>
      <c r="N667" s="100"/>
      <c r="O667" s="98"/>
      <c r="P667" s="98"/>
      <c r="Q667" s="98"/>
      <c r="R667" s="98"/>
      <c r="S667" s="98"/>
      <c r="T667" s="98"/>
      <c r="U667" s="98"/>
      <c r="V667" s="98"/>
      <c r="W667" s="98"/>
      <c r="X667" s="98"/>
      <c r="Y667" s="627"/>
    </row>
    <row r="668" spans="1:25" x14ac:dyDescent="0.25">
      <c r="A668" s="195"/>
      <c r="B668" s="154"/>
      <c r="C668" s="154"/>
      <c r="D668" s="154"/>
      <c r="E668" s="154"/>
      <c r="F668" s="154"/>
      <c r="G668" s="154"/>
      <c r="H668" s="154"/>
      <c r="I668" s="636"/>
      <c r="J668" s="156"/>
      <c r="K668" s="156"/>
      <c r="L668" s="156"/>
      <c r="M668" s="156"/>
      <c r="N668" s="156"/>
      <c r="O668" s="154"/>
      <c r="P668" s="154"/>
      <c r="Q668" s="154"/>
      <c r="R668" s="154"/>
      <c r="S668" s="154"/>
      <c r="T668" s="154"/>
      <c r="U668" s="154"/>
      <c r="V668" s="154"/>
      <c r="W668" s="154"/>
      <c r="X668" s="154"/>
    </row>
    <row r="669" spans="1:25" x14ac:dyDescent="0.25">
      <c r="A669" s="194"/>
      <c r="J669" s="100"/>
      <c r="K669" s="100"/>
      <c r="L669" s="100"/>
      <c r="M669" s="100"/>
      <c r="N669" s="100"/>
    </row>
    <row r="670" spans="1:25" x14ac:dyDescent="0.25">
      <c r="A670" s="194"/>
      <c r="J670" s="100"/>
      <c r="K670" s="100"/>
      <c r="L670" s="100"/>
      <c r="M670" s="100"/>
      <c r="N670" s="100"/>
    </row>
    <row r="671" spans="1:25" x14ac:dyDescent="0.25">
      <c r="A671" s="194"/>
      <c r="J671" s="100"/>
      <c r="K671" s="100"/>
      <c r="L671" s="100"/>
      <c r="M671" s="100"/>
      <c r="N671" s="100"/>
    </row>
    <row r="672" spans="1:25" x14ac:dyDescent="0.25">
      <c r="A672" s="194"/>
      <c r="J672" s="100"/>
      <c r="K672" s="100"/>
      <c r="L672" s="100"/>
      <c r="M672" s="100"/>
      <c r="N672" s="100"/>
    </row>
    <row r="673" spans="1:25" x14ac:dyDescent="0.25">
      <c r="A673" s="194"/>
      <c r="J673" s="100"/>
      <c r="K673" s="100"/>
      <c r="L673" s="100"/>
      <c r="M673" s="100"/>
      <c r="N673" s="100"/>
    </row>
    <row r="674" spans="1:25" x14ac:dyDescent="0.25">
      <c r="A674" s="194"/>
      <c r="J674" s="100"/>
      <c r="K674" s="100"/>
      <c r="L674" s="100"/>
      <c r="M674" s="100"/>
      <c r="N674" s="100"/>
    </row>
    <row r="675" spans="1:25" x14ac:dyDescent="0.25">
      <c r="A675" s="194"/>
      <c r="J675" s="100"/>
      <c r="K675" s="100"/>
      <c r="L675" s="100"/>
      <c r="M675" s="100"/>
      <c r="N675" s="100"/>
    </row>
    <row r="676" spans="1:25" s="362" customFormat="1" x14ac:dyDescent="0.25">
      <c r="A676" s="194"/>
      <c r="B676" s="98"/>
      <c r="C676" s="98"/>
      <c r="D676" s="98"/>
      <c r="E676" s="98"/>
      <c r="F676" s="98"/>
      <c r="G676" s="98"/>
      <c r="H676" s="98"/>
      <c r="I676" s="621"/>
      <c r="J676" s="100"/>
      <c r="K676" s="100"/>
      <c r="L676" s="100"/>
      <c r="M676" s="100"/>
      <c r="N676" s="100"/>
      <c r="O676" s="98"/>
      <c r="P676" s="98"/>
      <c r="Q676" s="98"/>
      <c r="R676" s="98"/>
      <c r="S676" s="98"/>
      <c r="T676" s="98"/>
      <c r="U676" s="98"/>
      <c r="V676" s="98"/>
      <c r="W676" s="98"/>
      <c r="X676" s="98"/>
      <c r="Y676" s="603"/>
    </row>
    <row r="677" spans="1:25" x14ac:dyDescent="0.25">
      <c r="A677" s="360"/>
      <c r="B677" s="362"/>
      <c r="C677" s="362"/>
      <c r="D677" s="362"/>
      <c r="E677" s="362"/>
      <c r="F677" s="362"/>
      <c r="G677" s="362"/>
      <c r="H677" s="362"/>
      <c r="I677" s="618"/>
      <c r="J677" s="364"/>
      <c r="K677" s="364"/>
      <c r="L677" s="364"/>
      <c r="M677" s="364"/>
      <c r="N677" s="364"/>
      <c r="O677" s="362"/>
      <c r="P677" s="362"/>
      <c r="Q677" s="362"/>
      <c r="R677" s="362"/>
      <c r="S677" s="362"/>
      <c r="T677" s="362"/>
      <c r="U677" s="362"/>
      <c r="V677" s="362"/>
      <c r="W677" s="362"/>
      <c r="X677" s="362"/>
    </row>
    <row r="678" spans="1:25" x14ac:dyDescent="0.25">
      <c r="A678" s="194"/>
      <c r="J678" s="100"/>
      <c r="K678" s="100"/>
      <c r="L678" s="100"/>
      <c r="M678" s="100"/>
      <c r="N678" s="100"/>
    </row>
    <row r="679" spans="1:25" x14ac:dyDescent="0.25">
      <c r="A679" s="194"/>
      <c r="J679" s="100"/>
      <c r="K679" s="100"/>
      <c r="L679" s="100"/>
      <c r="M679" s="100"/>
      <c r="N679" s="100"/>
    </row>
    <row r="680" spans="1:25" x14ac:dyDescent="0.25">
      <c r="A680" s="194"/>
      <c r="J680" s="100"/>
      <c r="K680" s="100"/>
      <c r="L680" s="100"/>
      <c r="M680" s="100"/>
      <c r="N680" s="100"/>
    </row>
    <row r="681" spans="1:25" x14ac:dyDescent="0.25">
      <c r="A681" s="194"/>
      <c r="J681" s="100"/>
      <c r="K681" s="100"/>
      <c r="L681" s="100"/>
      <c r="M681" s="100"/>
      <c r="N681" s="100"/>
    </row>
    <row r="682" spans="1:25" x14ac:dyDescent="0.25">
      <c r="A682" s="194"/>
      <c r="J682" s="100"/>
      <c r="K682" s="100"/>
      <c r="L682" s="100"/>
      <c r="M682" s="100"/>
      <c r="N682" s="100"/>
    </row>
    <row r="683" spans="1:25" x14ac:dyDescent="0.25">
      <c r="A683" s="194"/>
      <c r="J683" s="100"/>
      <c r="K683" s="100"/>
      <c r="L683" s="100"/>
      <c r="M683" s="100"/>
      <c r="N683" s="100"/>
    </row>
    <row r="684" spans="1:25" x14ac:dyDescent="0.25">
      <c r="A684" s="194"/>
      <c r="J684" s="100"/>
      <c r="K684" s="100"/>
      <c r="L684" s="100"/>
      <c r="M684" s="100"/>
      <c r="N684" s="100"/>
    </row>
    <row r="685" spans="1:25" x14ac:dyDescent="0.25">
      <c r="A685" s="194"/>
      <c r="J685" s="100"/>
      <c r="K685" s="100"/>
      <c r="L685" s="100"/>
      <c r="M685" s="100"/>
      <c r="N685" s="100"/>
    </row>
    <row r="686" spans="1:25" x14ac:dyDescent="0.25">
      <c r="A686" s="194"/>
      <c r="J686" s="100"/>
      <c r="K686" s="100"/>
      <c r="L686" s="100"/>
      <c r="M686" s="100"/>
      <c r="N686" s="100"/>
    </row>
    <row r="687" spans="1:25" x14ac:dyDescent="0.25">
      <c r="A687" s="194"/>
      <c r="J687" s="100"/>
      <c r="K687" s="100"/>
      <c r="L687" s="100"/>
      <c r="M687" s="100"/>
      <c r="N687" s="100"/>
    </row>
    <row r="688" spans="1:25" x14ac:dyDescent="0.25">
      <c r="A688" s="194"/>
      <c r="J688" s="100"/>
      <c r="K688" s="100"/>
      <c r="L688" s="100"/>
      <c r="M688" s="100"/>
      <c r="N688" s="100"/>
    </row>
    <row r="689" spans="1:31" x14ac:dyDescent="0.25">
      <c r="A689" s="194"/>
      <c r="J689" s="100"/>
      <c r="K689" s="100"/>
      <c r="L689" s="100"/>
      <c r="M689" s="100"/>
      <c r="N689" s="100"/>
    </row>
    <row r="690" spans="1:31" x14ac:dyDescent="0.25">
      <c r="A690" s="194"/>
      <c r="J690" s="100"/>
      <c r="K690" s="100"/>
      <c r="L690" s="100"/>
      <c r="M690" s="100"/>
      <c r="N690" s="100"/>
    </row>
    <row r="691" spans="1:31" x14ac:dyDescent="0.25">
      <c r="A691" s="194"/>
      <c r="J691" s="100"/>
      <c r="K691" s="100"/>
      <c r="L691" s="100"/>
      <c r="M691" s="100"/>
      <c r="N691" s="100"/>
    </row>
    <row r="692" spans="1:31" s="154" customFormat="1" x14ac:dyDescent="0.25">
      <c r="A692" s="194"/>
      <c r="B692" s="98"/>
      <c r="C692" s="98"/>
      <c r="D692" s="98"/>
      <c r="E692" s="98"/>
      <c r="F692" s="98"/>
      <c r="G692" s="98"/>
      <c r="H692" s="98"/>
      <c r="I692" s="621"/>
      <c r="J692" s="100"/>
      <c r="K692" s="100"/>
      <c r="L692" s="100"/>
      <c r="M692" s="100"/>
      <c r="N692" s="100"/>
      <c r="O692" s="98"/>
      <c r="P692" s="98"/>
      <c r="Q692" s="98"/>
      <c r="R692" s="98"/>
      <c r="S692" s="98"/>
      <c r="T692" s="98"/>
      <c r="U692" s="98"/>
      <c r="V692" s="98"/>
      <c r="W692" s="98"/>
      <c r="X692" s="98"/>
      <c r="Y692" s="627"/>
      <c r="AE692" s="627"/>
    </row>
    <row r="693" spans="1:31" x14ac:dyDescent="0.25">
      <c r="A693" s="195"/>
      <c r="B693" s="154"/>
      <c r="C693" s="154"/>
      <c r="D693" s="154"/>
      <c r="E693" s="154"/>
      <c r="F693" s="154"/>
      <c r="G693" s="154"/>
      <c r="H693" s="154"/>
      <c r="I693" s="636"/>
      <c r="J693" s="156"/>
      <c r="K693" s="156"/>
      <c r="L693" s="156"/>
      <c r="M693" s="156"/>
      <c r="N693" s="156"/>
      <c r="O693" s="154"/>
      <c r="P693" s="154"/>
      <c r="Q693" s="154"/>
      <c r="R693" s="154"/>
      <c r="S693" s="154"/>
      <c r="T693" s="154"/>
      <c r="U693" s="154"/>
      <c r="V693" s="154"/>
      <c r="W693" s="154"/>
      <c r="X693" s="154"/>
    </row>
    <row r="694" spans="1:31" x14ac:dyDescent="0.25">
      <c r="A694" s="194"/>
      <c r="J694" s="100"/>
      <c r="K694" s="100"/>
      <c r="L694" s="100"/>
      <c r="M694" s="100"/>
      <c r="N694" s="100"/>
    </row>
    <row r="695" spans="1:31" x14ac:dyDescent="0.25">
      <c r="A695" s="194"/>
      <c r="J695" s="100"/>
      <c r="K695" s="100"/>
      <c r="L695" s="100"/>
      <c r="M695" s="100"/>
      <c r="N695" s="100"/>
    </row>
    <row r="696" spans="1:31" x14ac:dyDescent="0.25">
      <c r="A696" s="194"/>
      <c r="J696" s="100"/>
      <c r="K696" s="100"/>
      <c r="L696" s="100"/>
      <c r="M696" s="100"/>
      <c r="N696" s="100"/>
      <c r="S696" s="1093"/>
    </row>
    <row r="697" spans="1:31" x14ac:dyDescent="0.25">
      <c r="A697" s="194"/>
      <c r="J697" s="100"/>
      <c r="K697" s="100"/>
      <c r="L697" s="100"/>
      <c r="M697" s="100"/>
      <c r="N697" s="100"/>
    </row>
    <row r="698" spans="1:31" x14ac:dyDescent="0.25">
      <c r="A698" s="194"/>
      <c r="J698" s="100"/>
      <c r="K698" s="100"/>
      <c r="L698" s="100"/>
      <c r="M698" s="100"/>
      <c r="N698" s="100"/>
    </row>
    <row r="699" spans="1:31" x14ac:dyDescent="0.25">
      <c r="A699" s="194"/>
      <c r="J699" s="100"/>
      <c r="K699" s="100"/>
      <c r="L699" s="100"/>
      <c r="M699" s="100"/>
      <c r="N699" s="100"/>
    </row>
    <row r="700" spans="1:31" x14ac:dyDescent="0.25">
      <c r="A700" s="194"/>
      <c r="J700" s="100"/>
      <c r="K700" s="100"/>
      <c r="L700" s="100"/>
      <c r="M700" s="100"/>
      <c r="N700" s="100"/>
    </row>
    <row r="701" spans="1:31" x14ac:dyDescent="0.25">
      <c r="A701" s="194"/>
      <c r="J701" s="100"/>
      <c r="K701" s="100"/>
      <c r="L701" s="100"/>
      <c r="M701" s="100"/>
      <c r="N701" s="100"/>
    </row>
    <row r="702" spans="1:31" x14ac:dyDescent="0.25">
      <c r="A702" s="194"/>
      <c r="J702" s="100"/>
      <c r="K702" s="100"/>
      <c r="L702" s="100"/>
      <c r="M702" s="100"/>
      <c r="N702" s="100"/>
    </row>
    <row r="703" spans="1:31" x14ac:dyDescent="0.25">
      <c r="A703" s="194"/>
      <c r="J703" s="100"/>
      <c r="K703" s="100"/>
      <c r="L703" s="100"/>
      <c r="M703" s="100"/>
      <c r="N703" s="100"/>
    </row>
    <row r="704" spans="1:31" x14ac:dyDescent="0.25">
      <c r="A704" s="194"/>
      <c r="J704" s="100"/>
      <c r="K704" s="100"/>
      <c r="L704" s="100"/>
      <c r="M704" s="100"/>
      <c r="N704" s="100"/>
    </row>
    <row r="705" spans="1:25" x14ac:dyDescent="0.25">
      <c r="A705" s="194"/>
      <c r="J705" s="100"/>
      <c r="K705" s="100"/>
      <c r="L705" s="100"/>
      <c r="M705" s="100"/>
      <c r="N705" s="100"/>
    </row>
    <row r="706" spans="1:25" x14ac:dyDescent="0.25">
      <c r="A706" s="194"/>
      <c r="J706" s="100"/>
      <c r="K706" s="100"/>
      <c r="L706" s="100"/>
      <c r="M706" s="100"/>
      <c r="N706" s="100"/>
    </row>
    <row r="707" spans="1:25" x14ac:dyDescent="0.25">
      <c r="A707" s="194"/>
      <c r="J707" s="100"/>
      <c r="K707" s="100"/>
      <c r="L707" s="100"/>
      <c r="M707" s="100"/>
      <c r="N707" s="100"/>
    </row>
    <row r="708" spans="1:25" x14ac:dyDescent="0.25">
      <c r="A708" s="194"/>
      <c r="J708" s="100"/>
      <c r="K708" s="100"/>
      <c r="L708" s="100"/>
      <c r="M708" s="100"/>
      <c r="N708" s="100"/>
    </row>
    <row r="709" spans="1:25" x14ac:dyDescent="0.25">
      <c r="A709" s="194"/>
      <c r="J709" s="100"/>
      <c r="K709" s="100"/>
      <c r="L709" s="100"/>
      <c r="M709" s="100"/>
      <c r="N709" s="100"/>
    </row>
    <row r="710" spans="1:25" x14ac:dyDescent="0.25">
      <c r="A710" s="194"/>
      <c r="J710" s="100"/>
      <c r="K710" s="100"/>
      <c r="L710" s="100"/>
      <c r="M710" s="100"/>
      <c r="N710" s="100"/>
    </row>
    <row r="711" spans="1:25" x14ac:dyDescent="0.25">
      <c r="A711" s="194"/>
      <c r="J711" s="100"/>
      <c r="K711" s="100"/>
      <c r="L711" s="100"/>
      <c r="M711" s="100"/>
      <c r="N711" s="100"/>
    </row>
    <row r="712" spans="1:25" x14ac:dyDescent="0.25">
      <c r="A712" s="194"/>
      <c r="J712" s="100"/>
      <c r="K712" s="100"/>
      <c r="L712" s="100"/>
      <c r="M712" s="100"/>
      <c r="N712" s="100"/>
    </row>
    <row r="713" spans="1:25" x14ac:dyDescent="0.25">
      <c r="A713" s="194"/>
      <c r="J713" s="100"/>
      <c r="K713" s="100"/>
      <c r="L713" s="100"/>
      <c r="M713" s="100"/>
      <c r="N713" s="100"/>
    </row>
    <row r="714" spans="1:25" s="362" customFormat="1" x14ac:dyDescent="0.25">
      <c r="A714" s="194"/>
      <c r="B714" s="98"/>
      <c r="C714" s="98"/>
      <c r="D714" s="98"/>
      <c r="E714" s="98"/>
      <c r="F714" s="98"/>
      <c r="G714" s="98"/>
      <c r="H714" s="98"/>
      <c r="I714" s="621"/>
      <c r="J714" s="100"/>
      <c r="K714" s="100"/>
      <c r="L714" s="100"/>
      <c r="M714" s="100"/>
      <c r="N714" s="100"/>
      <c r="O714" s="98"/>
      <c r="P714" s="98"/>
      <c r="Q714" s="98"/>
      <c r="R714" s="98"/>
      <c r="S714" s="98"/>
      <c r="T714" s="98"/>
      <c r="U714" s="98"/>
      <c r="V714" s="98"/>
      <c r="W714" s="98"/>
      <c r="X714" s="98"/>
      <c r="Y714" s="603"/>
    </row>
    <row r="715" spans="1:25" x14ac:dyDescent="0.25">
      <c r="A715" s="360"/>
      <c r="B715" s="362"/>
      <c r="C715" s="362"/>
      <c r="D715" s="362"/>
      <c r="E715" s="362"/>
      <c r="F715" s="362"/>
      <c r="G715" s="362"/>
      <c r="H715" s="362"/>
      <c r="I715" s="618"/>
      <c r="J715" s="364"/>
      <c r="K715" s="364"/>
      <c r="L715" s="364"/>
      <c r="M715" s="364"/>
      <c r="N715" s="364"/>
      <c r="O715" s="362"/>
      <c r="P715" s="362"/>
      <c r="Q715" s="362"/>
      <c r="R715" s="362"/>
      <c r="S715" s="362"/>
      <c r="T715" s="362"/>
      <c r="U715" s="362"/>
      <c r="V715" s="362"/>
      <c r="W715" s="362"/>
      <c r="X715" s="362"/>
    </row>
    <row r="716" spans="1:25" s="154" customFormat="1" x14ac:dyDescent="0.25">
      <c r="A716" s="1094"/>
      <c r="B716" s="54"/>
      <c r="C716" s="54"/>
      <c r="D716" s="54"/>
      <c r="E716" s="54"/>
      <c r="F716" s="54"/>
      <c r="G716" s="54"/>
      <c r="H716" s="54"/>
      <c r="I716" s="1095"/>
      <c r="J716" s="54"/>
      <c r="K716" s="54"/>
      <c r="L716" s="54"/>
      <c r="M716" s="54"/>
      <c r="N716" s="54"/>
      <c r="O716" s="54"/>
      <c r="P716" s="54"/>
      <c r="Q716" s="54"/>
      <c r="R716" s="54"/>
      <c r="S716" s="98"/>
      <c r="T716" s="98"/>
      <c r="U716" s="98"/>
      <c r="V716" s="98"/>
      <c r="W716" s="98"/>
      <c r="X716" s="98"/>
      <c r="Y716" s="627"/>
    </row>
    <row r="717" spans="1:25" s="154" customFormat="1" x14ac:dyDescent="0.25">
      <c r="A717" s="1094"/>
      <c r="B717" s="54"/>
      <c r="C717" s="54"/>
      <c r="D717" s="54"/>
      <c r="E717" s="54"/>
      <c r="F717" s="54"/>
      <c r="G717" s="54"/>
      <c r="H717" s="54"/>
      <c r="I717" s="1095"/>
      <c r="J717" s="54"/>
      <c r="K717" s="54"/>
      <c r="L717" s="54"/>
      <c r="M717" s="54"/>
      <c r="N717" s="54"/>
      <c r="O717" s="54"/>
      <c r="P717" s="54"/>
      <c r="Q717" s="54"/>
      <c r="R717" s="54"/>
      <c r="S717" s="98"/>
      <c r="T717" s="98"/>
      <c r="U717" s="98"/>
      <c r="V717" s="98"/>
      <c r="W717" s="98"/>
      <c r="X717" s="98"/>
      <c r="Y717" s="627"/>
    </row>
    <row r="718" spans="1:25" x14ac:dyDescent="0.25">
      <c r="A718" s="458"/>
      <c r="B718" s="459"/>
      <c r="C718" s="459"/>
      <c r="D718" s="459"/>
      <c r="E718" s="459"/>
      <c r="F718" s="459"/>
      <c r="G718" s="459"/>
      <c r="H718" s="459"/>
      <c r="I718" s="1096"/>
      <c r="J718" s="459"/>
      <c r="K718" s="459"/>
      <c r="L718" s="459"/>
      <c r="M718" s="459"/>
      <c r="N718" s="459"/>
      <c r="O718" s="459"/>
      <c r="P718" s="459"/>
      <c r="Q718" s="459"/>
      <c r="R718" s="154"/>
      <c r="S718" s="154"/>
      <c r="T718" s="154"/>
      <c r="U718" s="154"/>
      <c r="V718" s="154"/>
      <c r="W718" s="154"/>
      <c r="X718" s="154"/>
    </row>
    <row r="719" spans="1:25" s="154" customFormat="1" x14ac:dyDescent="0.25">
      <c r="A719" s="1094"/>
      <c r="B719" s="54"/>
      <c r="C719" s="54"/>
      <c r="D719" s="54"/>
      <c r="E719" s="54"/>
      <c r="F719" s="54"/>
      <c r="G719" s="54"/>
      <c r="H719" s="54"/>
      <c r="I719" s="1095"/>
      <c r="J719" s="54"/>
      <c r="K719" s="54"/>
      <c r="L719" s="54"/>
      <c r="M719" s="54"/>
      <c r="N719" s="54"/>
      <c r="O719" s="54"/>
      <c r="P719" s="54"/>
      <c r="Q719" s="54"/>
      <c r="R719" s="54"/>
      <c r="S719" s="98"/>
      <c r="T719" s="98"/>
      <c r="U719" s="98"/>
      <c r="V719" s="98"/>
      <c r="W719" s="98"/>
      <c r="X719" s="98"/>
      <c r="Y719" s="627"/>
    </row>
    <row r="720" spans="1:25" x14ac:dyDescent="0.25">
      <c r="A720" s="458"/>
      <c r="B720" s="459"/>
      <c r="C720" s="459"/>
      <c r="D720" s="459"/>
      <c r="E720" s="459"/>
      <c r="F720" s="459"/>
      <c r="G720" s="459"/>
      <c r="H720" s="459"/>
      <c r="I720" s="1096"/>
      <c r="J720" s="459"/>
      <c r="K720" s="459"/>
      <c r="L720" s="459"/>
      <c r="M720" s="459"/>
      <c r="N720" s="459"/>
      <c r="O720" s="459"/>
      <c r="P720" s="459"/>
      <c r="Q720" s="459"/>
      <c r="R720" s="459"/>
      <c r="S720" s="459"/>
      <c r="T720" s="459"/>
      <c r="U720" s="459"/>
      <c r="V720" s="459"/>
      <c r="W720" s="459"/>
      <c r="X720" s="459"/>
    </row>
    <row r="721" spans="1:25" x14ac:dyDescent="0.25">
      <c r="A721" s="1094"/>
      <c r="B721" s="54"/>
      <c r="C721" s="54"/>
      <c r="D721" s="54"/>
      <c r="E721" s="54"/>
      <c r="F721" s="54"/>
      <c r="G721" s="54"/>
      <c r="H721" s="54"/>
      <c r="I721" s="1095"/>
      <c r="J721" s="54"/>
      <c r="K721" s="54"/>
      <c r="L721" s="54"/>
      <c r="M721" s="54"/>
      <c r="N721" s="54"/>
      <c r="O721" s="54"/>
      <c r="P721" s="54"/>
      <c r="Q721" s="54"/>
      <c r="R721" s="54"/>
      <c r="S721" s="54"/>
      <c r="T721" s="54"/>
      <c r="U721" s="54"/>
      <c r="V721" s="54"/>
      <c r="W721" s="54"/>
      <c r="X721" s="54"/>
    </row>
    <row r="722" spans="1:25" x14ac:dyDescent="0.25">
      <c r="A722" s="1094"/>
      <c r="B722" s="54"/>
      <c r="C722" s="54"/>
      <c r="D722" s="54"/>
      <c r="E722" s="54"/>
      <c r="F722" s="54"/>
      <c r="G722" s="54"/>
      <c r="H722" s="54"/>
      <c r="I722" s="1095"/>
      <c r="J722" s="54"/>
      <c r="K722" s="54"/>
      <c r="L722" s="54"/>
      <c r="M722" s="54"/>
      <c r="N722" s="54"/>
      <c r="O722" s="54"/>
      <c r="P722" s="54"/>
      <c r="Q722" s="54"/>
      <c r="R722" s="54"/>
      <c r="S722" s="54"/>
      <c r="T722" s="54"/>
      <c r="U722" s="54"/>
      <c r="V722" s="54"/>
      <c r="W722" s="54"/>
      <c r="X722" s="54"/>
    </row>
    <row r="723" spans="1:25" x14ac:dyDescent="0.25">
      <c r="A723" s="1094"/>
      <c r="B723" s="54"/>
      <c r="C723" s="54"/>
      <c r="D723" s="54"/>
      <c r="E723" s="54"/>
      <c r="F723" s="54"/>
      <c r="G723" s="54"/>
      <c r="H723" s="54"/>
      <c r="I723" s="1095"/>
      <c r="J723" s="54"/>
      <c r="K723" s="54"/>
      <c r="L723" s="54"/>
      <c r="M723" s="54"/>
      <c r="N723" s="54"/>
      <c r="O723" s="54"/>
      <c r="P723" s="54"/>
      <c r="Q723" s="54"/>
      <c r="R723" s="54"/>
      <c r="S723" s="54"/>
      <c r="T723" s="54"/>
      <c r="U723" s="54"/>
      <c r="V723" s="54"/>
      <c r="W723" s="54"/>
      <c r="X723" s="54"/>
    </row>
    <row r="724" spans="1:25" x14ac:dyDescent="0.25">
      <c r="A724" s="1094"/>
      <c r="B724" s="54"/>
      <c r="C724" s="54"/>
      <c r="D724" s="54"/>
      <c r="E724" s="54"/>
      <c r="F724" s="54"/>
      <c r="G724" s="54"/>
      <c r="H724" s="54"/>
      <c r="I724" s="1095"/>
      <c r="J724" s="54"/>
      <c r="K724" s="54"/>
      <c r="L724" s="54"/>
      <c r="M724" s="54"/>
      <c r="N724" s="54"/>
      <c r="O724" s="54"/>
      <c r="P724" s="54"/>
      <c r="Q724" s="54"/>
      <c r="R724" s="54"/>
      <c r="S724" s="54"/>
      <c r="T724" s="54"/>
      <c r="U724" s="54"/>
      <c r="V724" s="54"/>
      <c r="W724" s="54"/>
      <c r="X724" s="54"/>
    </row>
    <row r="725" spans="1:25" x14ac:dyDescent="0.25">
      <c r="A725" s="1097"/>
      <c r="B725" s="71"/>
      <c r="C725" s="71"/>
      <c r="D725" s="71"/>
      <c r="E725" s="71"/>
      <c r="F725" s="71"/>
      <c r="G725" s="71"/>
      <c r="H725" s="71"/>
      <c r="I725" s="1098"/>
      <c r="J725" s="71"/>
      <c r="K725" s="71"/>
      <c r="L725" s="71"/>
      <c r="M725" s="71"/>
      <c r="N725" s="71"/>
      <c r="O725" s="71"/>
      <c r="P725" s="71"/>
      <c r="Q725" s="71"/>
      <c r="R725" s="71"/>
      <c r="S725" s="71"/>
      <c r="T725" s="71"/>
      <c r="U725" s="71"/>
      <c r="V725" s="71"/>
      <c r="W725" s="71"/>
      <c r="X725" s="71"/>
    </row>
    <row r="726" spans="1:25" x14ac:dyDescent="0.25">
      <c r="A726" s="1097"/>
      <c r="B726" s="71"/>
      <c r="C726" s="71"/>
      <c r="D726" s="71"/>
      <c r="E726" s="71"/>
      <c r="F726" s="71"/>
      <c r="G726" s="71"/>
      <c r="H726" s="71"/>
      <c r="I726" s="1098"/>
      <c r="J726" s="71"/>
      <c r="K726" s="71"/>
      <c r="L726" s="71"/>
      <c r="M726" s="71"/>
      <c r="N726" s="71"/>
      <c r="O726" s="71"/>
      <c r="P726" s="71"/>
      <c r="Q726" s="71"/>
      <c r="R726" s="71"/>
      <c r="S726" s="71"/>
      <c r="T726" s="71"/>
      <c r="U726" s="71"/>
      <c r="V726" s="71"/>
      <c r="W726" s="71"/>
      <c r="X726" s="71"/>
    </row>
    <row r="727" spans="1:25" x14ac:dyDescent="0.25">
      <c r="A727" s="1097"/>
      <c r="B727" s="71"/>
      <c r="D727" s="71"/>
      <c r="E727" s="71"/>
      <c r="F727" s="71"/>
      <c r="G727" s="71"/>
      <c r="H727" s="71"/>
      <c r="I727" s="1099"/>
      <c r="J727" s="71"/>
      <c r="K727" s="71"/>
      <c r="L727" s="71"/>
      <c r="M727" s="71"/>
      <c r="N727" s="71"/>
      <c r="O727" s="71"/>
      <c r="P727" s="71"/>
      <c r="Q727" s="71"/>
      <c r="R727" s="71"/>
      <c r="S727" s="71"/>
      <c r="T727" s="71"/>
      <c r="U727" s="71"/>
      <c r="V727" s="71"/>
      <c r="W727" s="71"/>
      <c r="X727" s="71"/>
    </row>
    <row r="728" spans="1:25" x14ac:dyDescent="0.25">
      <c r="A728" s="1097"/>
      <c r="B728" s="71"/>
      <c r="D728" s="71"/>
      <c r="E728" s="71"/>
      <c r="F728" s="71"/>
      <c r="G728" s="71"/>
      <c r="H728" s="71"/>
      <c r="I728" s="1099"/>
      <c r="J728" s="71"/>
      <c r="K728" s="71"/>
      <c r="L728" s="71"/>
      <c r="M728" s="71"/>
      <c r="N728" s="71"/>
      <c r="O728" s="71"/>
      <c r="P728" s="71"/>
      <c r="Q728" s="71"/>
      <c r="R728" s="71"/>
      <c r="S728" s="71"/>
      <c r="T728" s="71"/>
      <c r="U728" s="71"/>
      <c r="V728" s="71"/>
      <c r="W728" s="71"/>
      <c r="X728" s="71"/>
    </row>
    <row r="729" spans="1:25" x14ac:dyDescent="0.25">
      <c r="A729" s="1097"/>
      <c r="B729" s="71"/>
      <c r="D729" s="71"/>
      <c r="E729" s="71"/>
      <c r="F729" s="71"/>
      <c r="G729" s="71"/>
      <c r="H729" s="71"/>
      <c r="I729" s="1099"/>
      <c r="J729" s="71"/>
      <c r="K729" s="71"/>
      <c r="L729" s="71"/>
      <c r="M729" s="71"/>
      <c r="N729" s="71"/>
      <c r="O729" s="71"/>
      <c r="P729" s="71"/>
      <c r="Q729" s="71"/>
      <c r="R729" s="71"/>
      <c r="S729" s="71"/>
      <c r="T729" s="71"/>
      <c r="U729" s="71"/>
      <c r="V729" s="71"/>
      <c r="W729" s="71"/>
      <c r="X729" s="71"/>
    </row>
    <row r="730" spans="1:25" x14ac:dyDescent="0.25">
      <c r="A730" s="1097"/>
      <c r="B730" s="71"/>
      <c r="C730" s="71"/>
      <c r="D730" s="71"/>
      <c r="E730" s="71"/>
      <c r="F730" s="71"/>
      <c r="G730" s="71"/>
      <c r="H730" s="71"/>
      <c r="I730" s="1099"/>
      <c r="J730" s="71"/>
      <c r="K730" s="71"/>
      <c r="L730" s="71"/>
      <c r="M730" s="71"/>
      <c r="N730" s="71"/>
      <c r="O730" s="71"/>
      <c r="P730" s="71"/>
      <c r="Q730" s="71"/>
      <c r="R730" s="71"/>
      <c r="S730" s="71"/>
      <c r="T730" s="71"/>
      <c r="U730" s="71"/>
      <c r="V730" s="71"/>
      <c r="W730" s="71"/>
      <c r="X730" s="71"/>
    </row>
    <row r="731" spans="1:25" x14ac:dyDescent="0.25">
      <c r="A731" s="1097"/>
      <c r="B731" s="71"/>
      <c r="C731" s="71"/>
      <c r="D731" s="71"/>
      <c r="E731" s="71"/>
      <c r="F731" s="71"/>
      <c r="G731" s="71"/>
      <c r="H731" s="71"/>
      <c r="I731" s="1099"/>
      <c r="J731" s="71"/>
      <c r="K731" s="71"/>
      <c r="L731" s="71"/>
      <c r="M731" s="71"/>
      <c r="N731" s="71"/>
      <c r="O731" s="71"/>
      <c r="P731" s="71"/>
      <c r="Q731" s="71"/>
      <c r="R731" s="71"/>
      <c r="S731" s="71"/>
      <c r="T731" s="71"/>
      <c r="U731" s="71"/>
      <c r="V731" s="71"/>
      <c r="W731" s="71"/>
      <c r="X731" s="71"/>
    </row>
    <row r="732" spans="1:25" x14ac:dyDescent="0.25">
      <c r="A732" s="1097"/>
      <c r="B732" s="71"/>
      <c r="C732" s="71"/>
      <c r="D732" s="71"/>
      <c r="E732" s="71"/>
      <c r="F732" s="71"/>
      <c r="G732" s="71"/>
      <c r="H732" s="71"/>
      <c r="I732" s="1099"/>
      <c r="J732" s="71"/>
      <c r="K732" s="71"/>
      <c r="L732" s="71"/>
      <c r="M732" s="71"/>
      <c r="N732" s="71"/>
      <c r="O732" s="71"/>
      <c r="P732" s="71"/>
      <c r="Q732" s="71"/>
      <c r="R732" s="71"/>
      <c r="S732" s="71"/>
      <c r="T732" s="71"/>
      <c r="U732" s="71"/>
      <c r="V732" s="71"/>
      <c r="W732" s="71"/>
      <c r="X732" s="71"/>
    </row>
    <row r="733" spans="1:25" s="154" customFormat="1" x14ac:dyDescent="0.25">
      <c r="A733" s="1097"/>
      <c r="B733" s="71"/>
      <c r="C733" s="71"/>
      <c r="D733" s="71"/>
      <c r="E733" s="71"/>
      <c r="F733" s="71"/>
      <c r="G733" s="71"/>
      <c r="H733" s="71"/>
      <c r="I733" s="1099"/>
      <c r="J733" s="71"/>
      <c r="K733" s="71"/>
      <c r="L733" s="71"/>
      <c r="M733" s="71"/>
      <c r="N733" s="71"/>
      <c r="O733" s="71"/>
      <c r="P733" s="71"/>
      <c r="Q733" s="71"/>
      <c r="R733" s="71"/>
      <c r="S733" s="1100"/>
      <c r="T733" s="71"/>
      <c r="U733" s="71"/>
      <c r="V733" s="71"/>
      <c r="W733" s="71"/>
      <c r="X733" s="71"/>
      <c r="Y733" s="622"/>
    </row>
    <row r="734" spans="1:25" s="154" customFormat="1" x14ac:dyDescent="0.25">
      <c r="A734" s="1097"/>
      <c r="B734" s="71"/>
      <c r="C734" s="71"/>
      <c r="D734" s="71"/>
      <c r="E734" s="71"/>
      <c r="F734" s="71"/>
      <c r="G734" s="71"/>
      <c r="H734" s="71"/>
      <c r="I734" s="1099"/>
      <c r="J734" s="71"/>
      <c r="K734" s="71"/>
      <c r="L734" s="71"/>
      <c r="M734" s="71"/>
      <c r="N734" s="71"/>
      <c r="O734" s="71"/>
      <c r="P734" s="71"/>
      <c r="Q734" s="71"/>
      <c r="R734" s="71"/>
      <c r="S734" s="71"/>
      <c r="T734" s="71"/>
      <c r="U734" s="71"/>
      <c r="V734" s="71"/>
      <c r="W734" s="71"/>
      <c r="X734" s="71"/>
      <c r="Y734" s="627"/>
    </row>
    <row r="735" spans="1:25" x14ac:dyDescent="0.25">
      <c r="A735" s="1097"/>
      <c r="B735" s="71"/>
      <c r="C735" s="71"/>
      <c r="D735" s="71"/>
      <c r="E735" s="71"/>
      <c r="F735" s="71"/>
      <c r="G735" s="71"/>
      <c r="H735" s="71"/>
      <c r="I735" s="1099"/>
      <c r="J735" s="71"/>
      <c r="K735" s="71"/>
      <c r="L735" s="71"/>
      <c r="M735" s="71"/>
      <c r="N735" s="71"/>
      <c r="O735" s="71"/>
      <c r="P735" s="71"/>
      <c r="Q735" s="71"/>
      <c r="R735" s="71"/>
      <c r="S735" s="71"/>
      <c r="T735" s="71"/>
      <c r="U735" s="71"/>
      <c r="V735" s="71"/>
      <c r="W735" s="71"/>
      <c r="X735" s="71"/>
    </row>
    <row r="736" spans="1:25" x14ac:dyDescent="0.25">
      <c r="A736" s="194"/>
      <c r="J736" s="100"/>
      <c r="K736" s="100"/>
      <c r="L736" s="100"/>
      <c r="M736" s="100"/>
      <c r="N736" s="100"/>
      <c r="S736" s="71"/>
      <c r="T736" s="71"/>
      <c r="U736" s="71"/>
      <c r="V736" s="71"/>
      <c r="W736" s="71"/>
      <c r="X736" s="71"/>
    </row>
    <row r="737" spans="1:25" x14ac:dyDescent="0.25">
      <c r="A737" s="194"/>
      <c r="J737" s="100"/>
      <c r="K737" s="100"/>
      <c r="L737" s="100"/>
      <c r="M737" s="100"/>
      <c r="N737" s="100"/>
      <c r="S737" s="71"/>
      <c r="T737" s="71"/>
      <c r="U737" s="71"/>
      <c r="V737" s="71"/>
      <c r="W737" s="71"/>
      <c r="X737" s="71"/>
    </row>
    <row r="738" spans="1:25" x14ac:dyDescent="0.25">
      <c r="A738" s="194"/>
      <c r="J738" s="100"/>
      <c r="K738" s="100"/>
      <c r="L738" s="100"/>
      <c r="M738" s="100"/>
      <c r="N738" s="100"/>
      <c r="S738" s="71"/>
      <c r="T738" s="71"/>
      <c r="U738" s="71"/>
      <c r="V738" s="71"/>
      <c r="W738" s="71"/>
      <c r="X738" s="71"/>
    </row>
    <row r="739" spans="1:25" x14ac:dyDescent="0.25">
      <c r="A739" s="194"/>
      <c r="J739" s="100"/>
      <c r="K739" s="100"/>
      <c r="L739" s="100"/>
      <c r="M739" s="100"/>
      <c r="N739" s="100"/>
      <c r="S739" s="71"/>
      <c r="T739" s="71"/>
      <c r="U739" s="71"/>
      <c r="V739" s="71"/>
      <c r="W739" s="71"/>
      <c r="X739" s="71"/>
    </row>
    <row r="740" spans="1:25" x14ac:dyDescent="0.25">
      <c r="A740" s="194"/>
      <c r="J740" s="100"/>
      <c r="K740" s="100"/>
      <c r="L740" s="100"/>
      <c r="M740" s="100"/>
      <c r="N740" s="100"/>
      <c r="S740" s="71"/>
      <c r="T740" s="71"/>
      <c r="U740" s="71"/>
      <c r="V740" s="71"/>
      <c r="W740" s="71"/>
      <c r="X740" s="71"/>
    </row>
    <row r="741" spans="1:25" s="154" customFormat="1" x14ac:dyDescent="0.25">
      <c r="A741" s="194"/>
      <c r="B741" s="98"/>
      <c r="C741" s="98"/>
      <c r="D741" s="98"/>
      <c r="E741" s="98"/>
      <c r="F741" s="98"/>
      <c r="G741" s="98"/>
      <c r="H741" s="98"/>
      <c r="I741" s="621"/>
      <c r="J741" s="100"/>
      <c r="K741" s="100"/>
      <c r="L741" s="100"/>
      <c r="M741" s="100"/>
      <c r="N741" s="100"/>
      <c r="O741" s="98"/>
      <c r="P741" s="98"/>
      <c r="Q741" s="98"/>
      <c r="R741" s="98"/>
      <c r="S741" s="71"/>
      <c r="T741" s="71"/>
      <c r="U741" s="71"/>
      <c r="V741" s="71"/>
      <c r="W741" s="71"/>
      <c r="X741" s="71"/>
      <c r="Y741" s="627"/>
    </row>
    <row r="742" spans="1:25" x14ac:dyDescent="0.25">
      <c r="A742" s="195"/>
      <c r="B742" s="154"/>
      <c r="C742" s="154"/>
      <c r="D742" s="154"/>
      <c r="E742" s="154"/>
      <c r="F742" s="154"/>
      <c r="G742" s="154"/>
      <c r="H742" s="154"/>
      <c r="I742" s="636"/>
      <c r="J742" s="459"/>
      <c r="K742" s="459"/>
      <c r="L742" s="459"/>
      <c r="M742" s="459"/>
      <c r="N742" s="459"/>
      <c r="O742" s="459"/>
      <c r="P742" s="459"/>
      <c r="Q742" s="459"/>
      <c r="R742" s="154"/>
      <c r="S742" s="154"/>
      <c r="T742" s="154"/>
      <c r="U742" s="154"/>
      <c r="V742" s="154"/>
      <c r="W742" s="154"/>
      <c r="X742" s="154"/>
    </row>
    <row r="743" spans="1:25" x14ac:dyDescent="0.25">
      <c r="A743" s="194"/>
      <c r="J743" s="100"/>
      <c r="K743" s="100"/>
      <c r="L743" s="100"/>
      <c r="M743" s="100"/>
      <c r="N743" s="100"/>
      <c r="S743" s="71"/>
      <c r="T743" s="71"/>
      <c r="U743" s="71"/>
      <c r="V743" s="71"/>
      <c r="W743" s="71"/>
      <c r="X743" s="71"/>
    </row>
    <row r="744" spans="1:25" x14ac:dyDescent="0.25">
      <c r="A744" s="194"/>
      <c r="J744" s="100"/>
      <c r="K744" s="100"/>
      <c r="L744" s="100"/>
      <c r="M744" s="100"/>
      <c r="N744" s="100"/>
      <c r="S744" s="71"/>
      <c r="T744" s="71"/>
      <c r="U744" s="71"/>
      <c r="V744" s="71"/>
      <c r="W744" s="71"/>
      <c r="X744" s="71"/>
    </row>
    <row r="745" spans="1:25" x14ac:dyDescent="0.25">
      <c r="A745" s="194"/>
      <c r="J745" s="100"/>
      <c r="K745" s="100"/>
      <c r="L745" s="100"/>
      <c r="M745" s="100"/>
      <c r="N745" s="100"/>
      <c r="S745" s="71"/>
      <c r="T745" s="71"/>
      <c r="U745" s="71"/>
      <c r="V745" s="71"/>
      <c r="W745" s="71"/>
      <c r="X745" s="71"/>
    </row>
    <row r="746" spans="1:25" x14ac:dyDescent="0.25">
      <c r="A746" s="194"/>
      <c r="J746" s="100"/>
      <c r="K746" s="100"/>
      <c r="L746" s="100"/>
      <c r="M746" s="100"/>
      <c r="N746" s="100"/>
      <c r="S746" s="71"/>
      <c r="T746" s="71"/>
      <c r="U746" s="71"/>
      <c r="V746" s="71"/>
      <c r="W746" s="71"/>
      <c r="X746" s="71"/>
    </row>
    <row r="747" spans="1:25" x14ac:dyDescent="0.25">
      <c r="A747" s="194"/>
      <c r="J747" s="100"/>
      <c r="K747" s="100"/>
      <c r="L747" s="100"/>
      <c r="M747" s="100"/>
      <c r="N747" s="100"/>
      <c r="S747" s="71"/>
      <c r="T747" s="71"/>
      <c r="U747" s="71"/>
      <c r="V747" s="71"/>
      <c r="W747" s="71"/>
      <c r="X747" s="71"/>
    </row>
    <row r="748" spans="1:25" x14ac:dyDescent="0.25">
      <c r="A748" s="194"/>
      <c r="J748" s="100"/>
      <c r="K748" s="100"/>
      <c r="L748" s="100"/>
      <c r="M748" s="100"/>
      <c r="N748" s="100"/>
      <c r="S748" s="71"/>
      <c r="T748" s="71"/>
      <c r="U748" s="71"/>
      <c r="V748" s="71"/>
      <c r="W748" s="71"/>
      <c r="X748" s="71"/>
    </row>
    <row r="749" spans="1:25" x14ac:dyDescent="0.25">
      <c r="A749" s="194"/>
      <c r="J749" s="100"/>
      <c r="K749" s="100"/>
      <c r="L749" s="100"/>
      <c r="M749" s="100"/>
      <c r="N749" s="100"/>
      <c r="S749" s="71"/>
      <c r="T749" s="71"/>
      <c r="U749" s="71"/>
      <c r="V749" s="71"/>
      <c r="W749" s="71"/>
      <c r="X749" s="71"/>
    </row>
    <row r="750" spans="1:25" x14ac:dyDescent="0.25">
      <c r="A750" s="194"/>
      <c r="J750" s="100"/>
      <c r="K750" s="100"/>
      <c r="L750" s="100"/>
      <c r="M750" s="100"/>
      <c r="N750" s="100"/>
      <c r="S750" s="71"/>
      <c r="T750" s="71"/>
      <c r="U750" s="71"/>
      <c r="V750" s="71"/>
      <c r="W750" s="71"/>
      <c r="X750" s="71"/>
    </row>
    <row r="751" spans="1:25" x14ac:dyDescent="0.25">
      <c r="A751" s="194"/>
      <c r="J751" s="100"/>
      <c r="K751" s="100"/>
      <c r="L751" s="100"/>
      <c r="M751" s="100"/>
      <c r="N751" s="100"/>
      <c r="S751" s="71"/>
      <c r="T751" s="71"/>
      <c r="U751" s="71"/>
      <c r="V751" s="71"/>
      <c r="W751" s="71"/>
      <c r="X751" s="71"/>
    </row>
    <row r="752" spans="1:25" x14ac:dyDescent="0.25">
      <c r="A752" s="194"/>
      <c r="J752" s="100"/>
      <c r="K752" s="100"/>
      <c r="L752" s="100"/>
      <c r="M752" s="100"/>
      <c r="N752" s="100"/>
      <c r="S752" s="1093"/>
    </row>
    <row r="753" spans="1:19" x14ac:dyDescent="0.25">
      <c r="A753" s="194"/>
      <c r="J753" s="100"/>
      <c r="K753" s="100"/>
      <c r="L753" s="100"/>
      <c r="M753" s="100"/>
      <c r="N753" s="100"/>
      <c r="S753" s="1093"/>
    </row>
    <row r="754" spans="1:19" x14ac:dyDescent="0.25">
      <c r="A754" s="194"/>
      <c r="J754" s="100"/>
      <c r="K754" s="100"/>
      <c r="L754" s="100"/>
      <c r="M754" s="100"/>
      <c r="N754" s="100"/>
    </row>
    <row r="755" spans="1:19" x14ac:dyDescent="0.25">
      <c r="A755" s="194"/>
      <c r="J755" s="100"/>
      <c r="K755" s="100"/>
      <c r="L755" s="100"/>
      <c r="M755" s="100"/>
      <c r="N755" s="100"/>
    </row>
    <row r="756" spans="1:19" x14ac:dyDescent="0.25">
      <c r="A756" s="194"/>
      <c r="J756" s="100"/>
      <c r="K756" s="100"/>
      <c r="L756" s="100"/>
      <c r="M756" s="100"/>
      <c r="N756" s="100"/>
    </row>
    <row r="757" spans="1:19" x14ac:dyDescent="0.25">
      <c r="A757" s="194"/>
      <c r="J757" s="100"/>
      <c r="K757" s="100"/>
      <c r="L757" s="100"/>
      <c r="M757" s="100"/>
      <c r="N757" s="100"/>
    </row>
    <row r="758" spans="1:19" x14ac:dyDescent="0.25">
      <c r="A758" s="194"/>
      <c r="J758" s="100"/>
      <c r="K758" s="100"/>
      <c r="L758" s="100"/>
      <c r="M758" s="100"/>
      <c r="N758" s="100"/>
    </row>
    <row r="759" spans="1:19" x14ac:dyDescent="0.25">
      <c r="A759" s="194"/>
      <c r="J759" s="100"/>
      <c r="K759" s="100"/>
      <c r="L759" s="100"/>
      <c r="M759" s="100"/>
      <c r="N759" s="100"/>
    </row>
    <row r="760" spans="1:19" x14ac:dyDescent="0.25">
      <c r="A760" s="194"/>
      <c r="J760" s="100"/>
      <c r="K760" s="100"/>
      <c r="L760" s="100"/>
      <c r="M760" s="100"/>
      <c r="N760" s="100"/>
    </row>
    <row r="761" spans="1:19" x14ac:dyDescent="0.25">
      <c r="A761" s="194"/>
      <c r="J761" s="100"/>
      <c r="K761" s="100"/>
      <c r="L761" s="100"/>
      <c r="M761" s="100"/>
      <c r="N761" s="100"/>
    </row>
    <row r="762" spans="1:19" x14ac:dyDescent="0.25">
      <c r="A762" s="194"/>
      <c r="J762" s="100"/>
      <c r="K762" s="100"/>
      <c r="L762" s="100"/>
      <c r="M762" s="100"/>
      <c r="N762" s="100"/>
    </row>
    <row r="763" spans="1:19" x14ac:dyDescent="0.25">
      <c r="A763" s="194"/>
      <c r="J763" s="100"/>
      <c r="K763" s="100"/>
      <c r="L763" s="100"/>
      <c r="M763" s="100"/>
      <c r="N763" s="100"/>
    </row>
    <row r="764" spans="1:19" x14ac:dyDescent="0.25">
      <c r="A764" s="194"/>
      <c r="J764" s="100"/>
      <c r="K764" s="100"/>
      <c r="L764" s="100"/>
      <c r="M764" s="100"/>
      <c r="N764" s="100"/>
    </row>
    <row r="765" spans="1:19" x14ac:dyDescent="0.25">
      <c r="A765" s="194"/>
      <c r="J765" s="100"/>
      <c r="K765" s="100"/>
      <c r="L765" s="100"/>
      <c r="M765" s="100"/>
      <c r="N765" s="100"/>
    </row>
    <row r="766" spans="1:19" x14ac:dyDescent="0.25">
      <c r="A766" s="194"/>
      <c r="J766" s="100"/>
      <c r="K766" s="100"/>
      <c r="L766" s="100"/>
      <c r="M766" s="100"/>
      <c r="N766" s="100"/>
    </row>
    <row r="767" spans="1:19" x14ac:dyDescent="0.25">
      <c r="A767" s="194"/>
      <c r="J767" s="100"/>
      <c r="K767" s="100"/>
      <c r="L767" s="100"/>
      <c r="M767" s="100"/>
      <c r="N767" s="100"/>
    </row>
    <row r="768" spans="1:19" x14ac:dyDescent="0.25">
      <c r="A768" s="194"/>
      <c r="J768" s="100"/>
      <c r="K768" s="100"/>
      <c r="L768" s="100"/>
      <c r="M768" s="100"/>
      <c r="N768" s="100"/>
    </row>
    <row r="769" spans="1:14" x14ac:dyDescent="0.25">
      <c r="A769" s="194"/>
      <c r="J769" s="100"/>
      <c r="K769" s="100"/>
      <c r="L769" s="100"/>
      <c r="M769" s="100"/>
      <c r="N769" s="100"/>
    </row>
    <row r="770" spans="1:14" x14ac:dyDescent="0.25">
      <c r="A770" s="194"/>
      <c r="J770" s="100"/>
      <c r="K770" s="100"/>
      <c r="L770" s="100"/>
      <c r="M770" s="100"/>
      <c r="N770" s="100"/>
    </row>
    <row r="771" spans="1:14" x14ac:dyDescent="0.25">
      <c r="A771" s="194"/>
      <c r="J771" s="100"/>
      <c r="K771" s="100"/>
      <c r="L771" s="100"/>
      <c r="M771" s="100"/>
      <c r="N771" s="100"/>
    </row>
    <row r="772" spans="1:14" x14ac:dyDescent="0.25">
      <c r="A772" s="194"/>
      <c r="J772" s="100"/>
      <c r="K772" s="100"/>
      <c r="L772" s="100"/>
      <c r="M772" s="100"/>
      <c r="N772" s="100"/>
    </row>
    <row r="773" spans="1:14" x14ac:dyDescent="0.25">
      <c r="A773" s="194"/>
      <c r="J773" s="100"/>
      <c r="K773" s="100"/>
      <c r="L773" s="100"/>
      <c r="M773" s="100"/>
      <c r="N773" s="100"/>
    </row>
    <row r="774" spans="1:14" x14ac:dyDescent="0.25">
      <c r="A774" s="194"/>
      <c r="J774" s="100"/>
      <c r="K774" s="100"/>
      <c r="L774" s="100"/>
      <c r="M774" s="100"/>
      <c r="N774" s="100"/>
    </row>
    <row r="775" spans="1:14" x14ac:dyDescent="0.25">
      <c r="A775" s="194"/>
      <c r="K775" s="100"/>
      <c r="L775" s="100"/>
      <c r="M775" s="100"/>
      <c r="N775" s="100"/>
    </row>
    <row r="776" spans="1:14" x14ac:dyDescent="0.25">
      <c r="A776" s="194"/>
      <c r="K776" s="100"/>
      <c r="L776" s="100"/>
      <c r="M776" s="100"/>
      <c r="N776" s="100"/>
    </row>
    <row r="777" spans="1:14" x14ac:dyDescent="0.25">
      <c r="A777" s="194"/>
      <c r="E777" s="223"/>
      <c r="K777" s="100"/>
      <c r="L777" s="100"/>
      <c r="M777" s="100"/>
      <c r="N777" s="100"/>
    </row>
    <row r="778" spans="1:14" x14ac:dyDescent="0.25">
      <c r="A778" s="194"/>
      <c r="K778" s="100"/>
      <c r="L778" s="100"/>
      <c r="M778" s="100"/>
      <c r="N778" s="100"/>
    </row>
    <row r="779" spans="1:14" x14ac:dyDescent="0.25">
      <c r="A779" s="194"/>
      <c r="K779" s="100"/>
      <c r="L779" s="100"/>
      <c r="M779" s="100"/>
      <c r="N779" s="100"/>
    </row>
    <row r="780" spans="1:14" x14ac:dyDescent="0.25">
      <c r="A780" s="194"/>
      <c r="K780" s="100"/>
      <c r="L780" s="100"/>
      <c r="M780" s="100"/>
      <c r="N780" s="100"/>
    </row>
    <row r="781" spans="1:14" x14ac:dyDescent="0.25">
      <c r="A781" s="194"/>
      <c r="K781" s="100"/>
      <c r="L781" s="100"/>
      <c r="M781" s="100"/>
      <c r="N781" s="100"/>
    </row>
    <row r="782" spans="1:14" x14ac:dyDescent="0.25">
      <c r="A782" s="194"/>
      <c r="K782" s="100"/>
      <c r="L782" s="100"/>
      <c r="M782" s="100"/>
      <c r="N782" s="100"/>
    </row>
    <row r="783" spans="1:14" x14ac:dyDescent="0.25">
      <c r="A783" s="194"/>
      <c r="K783" s="100"/>
      <c r="L783" s="100"/>
      <c r="M783" s="100"/>
      <c r="N783" s="100"/>
    </row>
    <row r="784" spans="1:14" x14ac:dyDescent="0.25">
      <c r="A784" s="194"/>
      <c r="K784" s="100"/>
      <c r="L784" s="100"/>
      <c r="M784" s="100"/>
      <c r="N784" s="100"/>
    </row>
    <row r="785" spans="1:14" x14ac:dyDescent="0.25">
      <c r="A785" s="194"/>
      <c r="K785" s="100"/>
      <c r="L785" s="100"/>
      <c r="M785" s="100"/>
      <c r="N785" s="100"/>
    </row>
    <row r="786" spans="1:14" x14ac:dyDescent="0.25">
      <c r="A786" s="194"/>
      <c r="K786" s="100"/>
      <c r="L786" s="100"/>
      <c r="M786" s="100"/>
      <c r="N786" s="100"/>
    </row>
    <row r="787" spans="1:14" x14ac:dyDescent="0.25">
      <c r="A787" s="194"/>
      <c r="K787" s="100"/>
      <c r="L787" s="100"/>
      <c r="M787" s="100"/>
      <c r="N787" s="100"/>
    </row>
    <row r="788" spans="1:14" x14ac:dyDescent="0.25">
      <c r="A788" s="194"/>
      <c r="K788" s="100"/>
      <c r="L788" s="100"/>
      <c r="M788" s="100"/>
      <c r="N788" s="100"/>
    </row>
    <row r="789" spans="1:14" x14ac:dyDescent="0.25">
      <c r="A789" s="194"/>
      <c r="K789" s="100"/>
      <c r="L789" s="100"/>
      <c r="M789" s="100"/>
      <c r="N789" s="100"/>
    </row>
    <row r="790" spans="1:14" x14ac:dyDescent="0.25">
      <c r="A790" s="194"/>
      <c r="K790" s="100"/>
      <c r="L790" s="100"/>
      <c r="M790" s="100"/>
      <c r="N790" s="100"/>
    </row>
    <row r="791" spans="1:14" x14ac:dyDescent="0.25">
      <c r="A791" s="194"/>
    </row>
    <row r="792" spans="1:14" x14ac:dyDescent="0.25">
      <c r="A792" s="194"/>
    </row>
    <row r="793" spans="1:14" x14ac:dyDescent="0.25">
      <c r="A793" s="194"/>
      <c r="J793" s="100"/>
      <c r="K793" s="100"/>
      <c r="L793" s="100"/>
      <c r="M793" s="100"/>
      <c r="N793" s="100"/>
    </row>
    <row r="794" spans="1:14" x14ac:dyDescent="0.25">
      <c r="A794" s="194"/>
      <c r="J794" s="100"/>
      <c r="K794" s="100"/>
      <c r="L794" s="100"/>
      <c r="M794" s="100"/>
      <c r="N794" s="100"/>
    </row>
    <row r="795" spans="1:14" x14ac:dyDescent="0.25">
      <c r="A795" s="194"/>
      <c r="J795" s="100"/>
      <c r="K795" s="100"/>
      <c r="L795" s="100"/>
      <c r="M795" s="100"/>
      <c r="N795" s="100"/>
    </row>
    <row r="796" spans="1:14" x14ac:dyDescent="0.25">
      <c r="A796" s="194"/>
      <c r="J796" s="100"/>
      <c r="K796" s="100"/>
      <c r="L796" s="100"/>
      <c r="M796" s="100"/>
      <c r="N796" s="100"/>
    </row>
    <row r="797" spans="1:14" x14ac:dyDescent="0.25">
      <c r="A797" s="194"/>
      <c r="J797" s="100"/>
      <c r="K797" s="100"/>
      <c r="L797" s="100"/>
      <c r="M797" s="100"/>
      <c r="N797" s="100"/>
    </row>
    <row r="798" spans="1:14" x14ac:dyDescent="0.25">
      <c r="A798" s="194"/>
      <c r="J798" s="100"/>
      <c r="K798" s="100"/>
      <c r="L798" s="100"/>
      <c r="M798" s="100"/>
      <c r="N798" s="100"/>
    </row>
    <row r="799" spans="1:14" x14ac:dyDescent="0.25">
      <c r="A799" s="194"/>
      <c r="J799" s="100"/>
      <c r="K799" s="100"/>
      <c r="L799" s="100"/>
      <c r="M799" s="100"/>
      <c r="N799" s="100"/>
    </row>
    <row r="800" spans="1:14" x14ac:dyDescent="0.25">
      <c r="A800" s="194"/>
      <c r="J800" s="100"/>
      <c r="K800" s="100"/>
      <c r="L800" s="100"/>
      <c r="M800" s="100"/>
      <c r="N800" s="100"/>
    </row>
    <row r="801" spans="1:25" x14ac:dyDescent="0.25">
      <c r="A801" s="194"/>
      <c r="J801" s="100"/>
      <c r="K801" s="100"/>
      <c r="L801" s="100"/>
      <c r="M801" s="100"/>
      <c r="N801" s="100"/>
    </row>
    <row r="802" spans="1:25" x14ac:dyDescent="0.25">
      <c r="A802" s="194"/>
      <c r="J802" s="100"/>
      <c r="K802" s="100"/>
      <c r="L802" s="100"/>
      <c r="M802" s="100"/>
      <c r="N802" s="100"/>
    </row>
    <row r="803" spans="1:25" x14ac:dyDescent="0.25">
      <c r="A803" s="194"/>
      <c r="J803" s="100"/>
      <c r="K803" s="100"/>
      <c r="L803" s="100"/>
      <c r="M803" s="100"/>
      <c r="N803" s="100"/>
    </row>
    <row r="804" spans="1:25" x14ac:dyDescent="0.25">
      <c r="A804" s="194"/>
      <c r="J804" s="100"/>
      <c r="K804" s="100"/>
      <c r="L804" s="100"/>
      <c r="M804" s="100"/>
      <c r="N804" s="100"/>
    </row>
    <row r="805" spans="1:25" x14ac:dyDescent="0.25">
      <c r="A805" s="194"/>
      <c r="J805" s="100"/>
      <c r="K805" s="100"/>
      <c r="L805" s="100"/>
      <c r="M805" s="100"/>
      <c r="N805" s="100"/>
    </row>
    <row r="806" spans="1:25" x14ac:dyDescent="0.25">
      <c r="A806" s="194"/>
      <c r="J806" s="100"/>
      <c r="K806" s="100"/>
      <c r="L806" s="100"/>
      <c r="M806" s="100"/>
      <c r="N806" s="100"/>
    </row>
    <row r="807" spans="1:25" x14ac:dyDescent="0.25">
      <c r="A807" s="194"/>
      <c r="J807" s="100"/>
      <c r="K807" s="100"/>
      <c r="L807" s="100"/>
      <c r="M807" s="100"/>
      <c r="N807" s="100"/>
    </row>
    <row r="808" spans="1:25" x14ac:dyDescent="0.25">
      <c r="A808" s="194"/>
      <c r="J808" s="100"/>
      <c r="K808" s="100"/>
      <c r="L808" s="100"/>
      <c r="M808" s="100"/>
      <c r="N808" s="100"/>
    </row>
    <row r="809" spans="1:25" x14ac:dyDescent="0.25">
      <c r="A809" s="194"/>
      <c r="J809" s="100"/>
      <c r="K809" s="100"/>
      <c r="L809" s="100"/>
      <c r="M809" s="100"/>
      <c r="N809" s="100"/>
    </row>
    <row r="810" spans="1:25" x14ac:dyDescent="0.25">
      <c r="A810" s="194"/>
      <c r="J810" s="100"/>
      <c r="K810" s="100"/>
      <c r="L810" s="100"/>
      <c r="M810" s="100"/>
      <c r="N810" s="100"/>
    </row>
    <row r="811" spans="1:25" x14ac:dyDescent="0.25">
      <c r="A811" s="194"/>
      <c r="J811" s="100"/>
      <c r="K811" s="100"/>
      <c r="L811" s="100"/>
      <c r="M811" s="100"/>
      <c r="N811" s="100"/>
    </row>
    <row r="812" spans="1:25" x14ac:dyDescent="0.25">
      <c r="A812" s="194"/>
      <c r="J812" s="100"/>
      <c r="K812" s="100"/>
      <c r="L812" s="100"/>
      <c r="M812" s="100"/>
      <c r="N812" s="100"/>
    </row>
    <row r="813" spans="1:25" s="154" customFormat="1" x14ac:dyDescent="0.25">
      <c r="A813" s="194"/>
      <c r="B813" s="98"/>
      <c r="C813" s="98"/>
      <c r="D813" s="98"/>
      <c r="E813" s="98"/>
      <c r="F813" s="98"/>
      <c r="G813" s="98"/>
      <c r="H813" s="98"/>
      <c r="I813" s="621"/>
      <c r="J813" s="100"/>
      <c r="K813" s="100"/>
      <c r="L813" s="100"/>
      <c r="M813" s="100"/>
      <c r="N813" s="100"/>
      <c r="O813" s="98"/>
      <c r="P813" s="98"/>
      <c r="Q813" s="98"/>
      <c r="R813" s="98"/>
      <c r="S813" s="98"/>
      <c r="T813" s="98"/>
      <c r="U813" s="98"/>
      <c r="V813" s="98"/>
      <c r="W813" s="98"/>
      <c r="X813" s="98"/>
      <c r="Y813" s="627"/>
    </row>
    <row r="814" spans="1:25" x14ac:dyDescent="0.25">
      <c r="A814" s="195"/>
      <c r="B814" s="154"/>
      <c r="C814" s="154"/>
      <c r="D814" s="154"/>
      <c r="E814" s="154"/>
      <c r="F814" s="154"/>
      <c r="G814" s="154"/>
      <c r="H814" s="154"/>
      <c r="I814" s="636"/>
      <c r="J814" s="156"/>
      <c r="K814" s="156"/>
      <c r="L814" s="156"/>
      <c r="M814" s="156"/>
      <c r="N814" s="156"/>
      <c r="O814" s="154"/>
      <c r="P814" s="154"/>
      <c r="Q814" s="154"/>
      <c r="R814" s="154"/>
      <c r="S814" s="154"/>
      <c r="T814" s="154"/>
      <c r="U814" s="154"/>
      <c r="V814" s="154"/>
      <c r="W814" s="154"/>
      <c r="X814" s="154"/>
    </row>
    <row r="815" spans="1:25" x14ac:dyDescent="0.25">
      <c r="A815" s="194"/>
      <c r="J815" s="100"/>
      <c r="K815" s="100"/>
      <c r="L815" s="100"/>
      <c r="M815" s="100"/>
      <c r="N815" s="100"/>
    </row>
    <row r="816" spans="1:25" x14ac:dyDescent="0.25">
      <c r="A816" s="194"/>
      <c r="J816" s="100"/>
      <c r="K816" s="100"/>
      <c r="L816" s="100"/>
      <c r="M816" s="100"/>
      <c r="N816" s="100"/>
    </row>
    <row r="817" spans="1:25" x14ac:dyDescent="0.25">
      <c r="A817" s="194"/>
      <c r="J817" s="100"/>
      <c r="K817" s="100"/>
      <c r="L817" s="100"/>
      <c r="M817" s="100"/>
      <c r="N817" s="100"/>
    </row>
    <row r="818" spans="1:25" x14ac:dyDescent="0.25">
      <c r="A818" s="194"/>
      <c r="J818" s="100"/>
      <c r="K818" s="100"/>
      <c r="L818" s="100"/>
      <c r="M818" s="100"/>
      <c r="N818" s="100"/>
    </row>
    <row r="819" spans="1:25" x14ac:dyDescent="0.25">
      <c r="A819" s="194"/>
      <c r="J819" s="100"/>
      <c r="K819" s="100"/>
      <c r="L819" s="100"/>
      <c r="M819" s="100"/>
      <c r="N819" s="100"/>
    </row>
    <row r="820" spans="1:25" x14ac:dyDescent="0.25">
      <c r="A820" s="194"/>
      <c r="J820" s="100"/>
      <c r="K820" s="100"/>
      <c r="L820" s="100"/>
      <c r="M820" s="100"/>
      <c r="N820" s="100"/>
    </row>
    <row r="821" spans="1:25" x14ac:dyDescent="0.25">
      <c r="A821" s="194"/>
      <c r="J821" s="100"/>
      <c r="K821" s="100"/>
      <c r="L821" s="100"/>
      <c r="M821" s="100"/>
      <c r="N821" s="100"/>
    </row>
    <row r="822" spans="1:25" x14ac:dyDescent="0.25">
      <c r="A822" s="194"/>
      <c r="J822" s="100"/>
      <c r="K822" s="100"/>
      <c r="L822" s="100"/>
      <c r="M822" s="100"/>
      <c r="N822" s="100"/>
    </row>
    <row r="823" spans="1:25" x14ac:dyDescent="0.25">
      <c r="A823" s="194"/>
      <c r="J823" s="100"/>
      <c r="K823" s="100"/>
      <c r="L823" s="100"/>
      <c r="M823" s="100"/>
      <c r="N823" s="100"/>
    </row>
    <row r="824" spans="1:25" x14ac:dyDescent="0.25">
      <c r="A824" s="194"/>
      <c r="J824" s="100"/>
      <c r="K824" s="100"/>
      <c r="L824" s="100"/>
      <c r="M824" s="100"/>
      <c r="N824" s="100"/>
    </row>
    <row r="825" spans="1:25" x14ac:dyDescent="0.25">
      <c r="A825" s="194"/>
      <c r="J825" s="100"/>
      <c r="K825" s="100"/>
      <c r="L825" s="100"/>
      <c r="M825" s="100"/>
      <c r="N825" s="100"/>
    </row>
    <row r="826" spans="1:25" x14ac:dyDescent="0.25">
      <c r="A826" s="194"/>
      <c r="J826" s="100"/>
      <c r="K826" s="100"/>
      <c r="L826" s="100"/>
      <c r="M826" s="100"/>
      <c r="N826" s="100"/>
    </row>
    <row r="827" spans="1:25" x14ac:dyDescent="0.25">
      <c r="A827" s="194"/>
      <c r="J827" s="100"/>
      <c r="K827" s="100"/>
      <c r="L827" s="100"/>
      <c r="M827" s="100"/>
      <c r="N827" s="100"/>
    </row>
    <row r="828" spans="1:25" x14ac:dyDescent="0.25">
      <c r="A828" s="194"/>
      <c r="J828" s="100"/>
      <c r="K828" s="100"/>
      <c r="L828" s="100"/>
      <c r="M828" s="100"/>
      <c r="N828" s="100"/>
    </row>
    <row r="829" spans="1:25" s="154" customFormat="1" x14ac:dyDescent="0.25">
      <c r="A829" s="194"/>
      <c r="B829" s="98"/>
      <c r="C829" s="98"/>
      <c r="D829" s="98"/>
      <c r="E829" s="98"/>
      <c r="F829" s="98"/>
      <c r="G829" s="98"/>
      <c r="H829" s="98"/>
      <c r="I829" s="621"/>
      <c r="J829" s="100"/>
      <c r="K829" s="100"/>
      <c r="L829" s="100"/>
      <c r="M829" s="100"/>
      <c r="N829" s="100"/>
      <c r="O829" s="98"/>
      <c r="P829" s="98"/>
      <c r="Q829" s="98"/>
      <c r="R829" s="98"/>
      <c r="S829" s="98"/>
      <c r="T829" s="98"/>
      <c r="U829" s="98"/>
      <c r="V829" s="98"/>
      <c r="W829" s="98"/>
      <c r="X829" s="98"/>
      <c r="Y829" s="627"/>
    </row>
    <row r="830" spans="1:25" x14ac:dyDescent="0.25">
      <c r="A830" s="195"/>
      <c r="B830" s="154"/>
      <c r="C830" s="154"/>
      <c r="D830" s="154"/>
      <c r="E830" s="154"/>
      <c r="F830" s="154"/>
      <c r="G830" s="154"/>
      <c r="H830" s="154"/>
      <c r="I830" s="636"/>
      <c r="J830" s="156"/>
      <c r="K830" s="156"/>
      <c r="L830" s="156"/>
      <c r="M830" s="156"/>
      <c r="N830" s="156"/>
      <c r="O830" s="154"/>
      <c r="P830" s="154"/>
      <c r="Q830" s="154"/>
      <c r="R830" s="154"/>
      <c r="S830" s="154"/>
      <c r="T830" s="154"/>
      <c r="U830" s="154"/>
      <c r="V830" s="154"/>
      <c r="W830" s="154"/>
      <c r="X830" s="154"/>
    </row>
    <row r="831" spans="1:25" x14ac:dyDescent="0.25">
      <c r="A831" s="194"/>
      <c r="J831" s="100"/>
      <c r="K831" s="100"/>
      <c r="L831" s="100"/>
      <c r="M831" s="100"/>
      <c r="N831" s="100"/>
    </row>
    <row r="832" spans="1:25" x14ac:dyDescent="0.25">
      <c r="A832" s="194"/>
      <c r="J832" s="100"/>
      <c r="K832" s="100"/>
      <c r="L832" s="100"/>
      <c r="M832" s="100"/>
      <c r="N832" s="100"/>
    </row>
    <row r="833" spans="1:25" x14ac:dyDescent="0.25">
      <c r="A833" s="194"/>
    </row>
    <row r="834" spans="1:25" x14ac:dyDescent="0.25">
      <c r="A834" s="194"/>
    </row>
    <row r="835" spans="1:25" x14ac:dyDescent="0.25">
      <c r="A835" s="194"/>
    </row>
    <row r="836" spans="1:25" x14ac:dyDescent="0.25">
      <c r="A836" s="194"/>
    </row>
    <row r="837" spans="1:25" x14ac:dyDescent="0.25">
      <c r="A837" s="194"/>
    </row>
    <row r="838" spans="1:25" x14ac:dyDescent="0.25">
      <c r="A838" s="194"/>
      <c r="J838" s="100"/>
      <c r="K838" s="100"/>
      <c r="L838" s="100"/>
      <c r="M838" s="100"/>
      <c r="N838" s="100"/>
    </row>
    <row r="839" spans="1:25" x14ac:dyDescent="0.25">
      <c r="A839" s="194"/>
      <c r="J839" s="100"/>
      <c r="K839" s="100"/>
      <c r="L839" s="100"/>
      <c r="M839" s="100"/>
      <c r="N839" s="100"/>
    </row>
    <row r="840" spans="1:25" x14ac:dyDescent="0.25">
      <c r="A840" s="194"/>
      <c r="J840" s="100"/>
      <c r="K840" s="100"/>
      <c r="L840" s="100"/>
      <c r="M840" s="100"/>
      <c r="N840" s="100"/>
    </row>
    <row r="841" spans="1:25" x14ac:dyDescent="0.25">
      <c r="A841" s="194"/>
      <c r="J841" s="100"/>
      <c r="K841" s="100"/>
      <c r="L841" s="100"/>
      <c r="M841" s="100"/>
      <c r="N841" s="100"/>
    </row>
    <row r="842" spans="1:25" x14ac:dyDescent="0.25">
      <c r="A842" s="194"/>
      <c r="J842" s="100"/>
      <c r="K842" s="100"/>
      <c r="L842" s="100"/>
      <c r="M842" s="100"/>
      <c r="N842" s="100"/>
    </row>
    <row r="843" spans="1:25" x14ac:dyDescent="0.25">
      <c r="A843" s="194"/>
      <c r="J843" s="100"/>
      <c r="K843" s="100"/>
      <c r="L843" s="100"/>
      <c r="M843" s="100"/>
      <c r="N843" s="100"/>
    </row>
    <row r="844" spans="1:25" x14ac:dyDescent="0.25">
      <c r="A844" s="194"/>
      <c r="J844" s="100"/>
      <c r="K844" s="100"/>
      <c r="L844" s="100"/>
      <c r="M844" s="100"/>
      <c r="N844" s="100"/>
    </row>
    <row r="845" spans="1:25" s="154" customFormat="1" x14ac:dyDescent="0.25">
      <c r="A845" s="194"/>
      <c r="B845" s="98"/>
      <c r="C845" s="98"/>
      <c r="D845" s="98"/>
      <c r="E845" s="98"/>
      <c r="F845" s="98"/>
      <c r="G845" s="98"/>
      <c r="H845" s="98"/>
      <c r="I845" s="621"/>
      <c r="J845" s="100"/>
      <c r="K845" s="100"/>
      <c r="L845" s="100"/>
      <c r="M845" s="100"/>
      <c r="N845" s="100"/>
      <c r="O845" s="98"/>
      <c r="P845" s="98"/>
      <c r="Q845" s="98"/>
      <c r="R845" s="98"/>
      <c r="S845" s="98"/>
      <c r="T845" s="98"/>
      <c r="U845" s="98"/>
      <c r="V845" s="98"/>
      <c r="W845" s="98"/>
      <c r="X845" s="98"/>
      <c r="Y845" s="627"/>
    </row>
    <row r="846" spans="1:25" x14ac:dyDescent="0.25">
      <c r="A846" s="195"/>
      <c r="B846" s="154"/>
      <c r="C846" s="154"/>
      <c r="D846" s="154"/>
      <c r="E846" s="154"/>
      <c r="F846" s="154"/>
      <c r="G846" s="154"/>
      <c r="H846" s="154"/>
      <c r="I846" s="636"/>
      <c r="J846" s="156"/>
      <c r="K846" s="156"/>
      <c r="L846" s="156"/>
      <c r="M846" s="156"/>
      <c r="N846" s="156"/>
      <c r="O846" s="154"/>
      <c r="P846" s="154"/>
      <c r="Q846" s="154"/>
      <c r="R846" s="154"/>
      <c r="S846" s="154"/>
      <c r="T846" s="154"/>
      <c r="U846" s="154"/>
      <c r="V846" s="154"/>
      <c r="W846" s="154"/>
      <c r="X846" s="154"/>
    </row>
    <row r="847" spans="1:25" x14ac:dyDescent="0.25">
      <c r="A847" s="194"/>
      <c r="J847" s="100"/>
      <c r="K847" s="100"/>
      <c r="L847" s="100"/>
      <c r="M847" s="100"/>
      <c r="N847" s="100"/>
    </row>
    <row r="848" spans="1:25" x14ac:dyDescent="0.25">
      <c r="A848" s="194"/>
      <c r="J848" s="100"/>
      <c r="K848" s="100"/>
      <c r="L848" s="100"/>
      <c r="M848" s="100"/>
      <c r="N848" s="100"/>
    </row>
    <row r="849" spans="1:25" x14ac:dyDescent="0.25">
      <c r="A849" s="194"/>
      <c r="J849" s="100"/>
      <c r="K849" s="100"/>
      <c r="L849" s="100"/>
      <c r="M849" s="100"/>
      <c r="N849" s="100"/>
    </row>
    <row r="850" spans="1:25" x14ac:dyDescent="0.25">
      <c r="A850" s="194"/>
      <c r="J850" s="100"/>
      <c r="K850" s="100"/>
      <c r="L850" s="100"/>
      <c r="M850" s="100"/>
      <c r="N850" s="100"/>
    </row>
    <row r="851" spans="1:25" x14ac:dyDescent="0.25">
      <c r="A851" s="194"/>
      <c r="J851" s="100"/>
      <c r="K851" s="100"/>
      <c r="L851" s="100"/>
      <c r="M851" s="100"/>
      <c r="N851" s="100"/>
    </row>
    <row r="852" spans="1:25" x14ac:dyDescent="0.25">
      <c r="A852" s="194"/>
      <c r="J852" s="100"/>
      <c r="K852" s="100"/>
      <c r="L852" s="100"/>
      <c r="M852" s="100"/>
      <c r="N852" s="100"/>
    </row>
    <row r="853" spans="1:25" x14ac:dyDescent="0.25">
      <c r="A853" s="194"/>
      <c r="J853" s="100"/>
      <c r="K853" s="100"/>
      <c r="L853" s="100"/>
      <c r="M853" s="100"/>
      <c r="N853" s="100"/>
    </row>
    <row r="854" spans="1:25" x14ac:dyDescent="0.25">
      <c r="A854" s="194"/>
      <c r="J854" s="100"/>
      <c r="K854" s="100"/>
      <c r="L854" s="100"/>
      <c r="M854" s="100"/>
      <c r="N854" s="100"/>
    </row>
    <row r="855" spans="1:25" s="154" customFormat="1" x14ac:dyDescent="0.25">
      <c r="A855" s="194"/>
      <c r="B855" s="98"/>
      <c r="C855" s="98"/>
      <c r="D855" s="98"/>
      <c r="E855" s="98"/>
      <c r="F855" s="98"/>
      <c r="G855" s="98"/>
      <c r="H855" s="98"/>
      <c r="I855" s="621"/>
      <c r="J855" s="100"/>
      <c r="K855" s="100"/>
      <c r="L855" s="100"/>
      <c r="M855" s="100"/>
      <c r="N855" s="100"/>
      <c r="O855" s="98"/>
      <c r="P855" s="98"/>
      <c r="Q855" s="98"/>
      <c r="R855" s="98"/>
      <c r="S855" s="98"/>
      <c r="T855" s="98"/>
      <c r="U855" s="98"/>
      <c r="V855" s="98"/>
      <c r="W855" s="98"/>
      <c r="X855" s="98"/>
      <c r="Y855" s="627"/>
    </row>
    <row r="856" spans="1:25" x14ac:dyDescent="0.25">
      <c r="A856" s="195"/>
      <c r="B856" s="154"/>
      <c r="C856" s="154"/>
      <c r="D856" s="154"/>
      <c r="E856" s="154"/>
      <c r="F856" s="154"/>
      <c r="G856" s="154"/>
      <c r="H856" s="154"/>
      <c r="I856" s="636"/>
      <c r="J856" s="156"/>
      <c r="K856" s="156"/>
      <c r="L856" s="156"/>
      <c r="M856" s="156"/>
      <c r="N856" s="156"/>
      <c r="O856" s="154"/>
      <c r="P856" s="154"/>
      <c r="Q856" s="154"/>
      <c r="R856" s="154"/>
      <c r="S856" s="154"/>
      <c r="T856" s="154"/>
      <c r="U856" s="154"/>
      <c r="V856" s="154"/>
      <c r="W856" s="154"/>
      <c r="X856" s="154"/>
    </row>
    <row r="857" spans="1:25" x14ac:dyDescent="0.25">
      <c r="A857" s="194"/>
      <c r="J857" s="100"/>
      <c r="K857" s="100"/>
      <c r="L857" s="100"/>
      <c r="M857" s="100"/>
      <c r="N857" s="100"/>
    </row>
    <row r="858" spans="1:25" x14ac:dyDescent="0.25">
      <c r="A858" s="194"/>
      <c r="J858" s="100"/>
      <c r="K858" s="100"/>
      <c r="L858" s="100"/>
      <c r="M858" s="100"/>
      <c r="N858" s="100"/>
    </row>
    <row r="859" spans="1:25" x14ac:dyDescent="0.25">
      <c r="A859" s="194"/>
      <c r="J859" s="100"/>
      <c r="K859" s="100"/>
      <c r="L859" s="100"/>
      <c r="M859" s="100"/>
      <c r="N859" s="100"/>
    </row>
    <row r="860" spans="1:25" x14ac:dyDescent="0.25">
      <c r="A860" s="194"/>
      <c r="J860" s="100"/>
      <c r="K860" s="100"/>
      <c r="L860" s="100"/>
      <c r="M860" s="100"/>
      <c r="N860" s="100"/>
    </row>
    <row r="861" spans="1:25" x14ac:dyDescent="0.25">
      <c r="A861" s="194"/>
      <c r="J861" s="100"/>
      <c r="K861" s="100"/>
      <c r="L861" s="100"/>
      <c r="M861" s="100"/>
      <c r="N861" s="100"/>
    </row>
    <row r="862" spans="1:25" s="154" customFormat="1" x14ac:dyDescent="0.25">
      <c r="A862" s="194"/>
      <c r="B862" s="98"/>
      <c r="C862" s="98"/>
      <c r="D862" s="98"/>
      <c r="E862" s="98"/>
      <c r="F862" s="98"/>
      <c r="G862" s="98"/>
      <c r="H862" s="98"/>
      <c r="I862" s="621"/>
      <c r="J862" s="100"/>
      <c r="K862" s="100"/>
      <c r="L862" s="100"/>
      <c r="M862" s="100"/>
      <c r="N862" s="100"/>
      <c r="O862" s="98"/>
      <c r="P862" s="98"/>
      <c r="Q862" s="98"/>
      <c r="R862" s="98"/>
      <c r="S862" s="98"/>
      <c r="T862" s="98"/>
      <c r="U862" s="98"/>
      <c r="V862" s="98"/>
      <c r="W862" s="98"/>
      <c r="X862" s="98"/>
      <c r="Y862" s="627"/>
    </row>
    <row r="863" spans="1:25" x14ac:dyDescent="0.25">
      <c r="A863" s="195"/>
      <c r="B863" s="154"/>
      <c r="C863" s="154"/>
      <c r="D863" s="154"/>
      <c r="E863" s="154"/>
      <c r="F863" s="154"/>
      <c r="G863" s="154"/>
      <c r="H863" s="154"/>
      <c r="I863" s="636"/>
      <c r="J863" s="156"/>
      <c r="K863" s="156"/>
      <c r="L863" s="156"/>
      <c r="M863" s="156"/>
      <c r="N863" s="156"/>
      <c r="O863" s="154"/>
      <c r="P863" s="154"/>
      <c r="Q863" s="154"/>
      <c r="R863" s="154"/>
      <c r="S863" s="154"/>
      <c r="T863" s="154"/>
      <c r="U863" s="154"/>
      <c r="V863" s="154"/>
      <c r="W863" s="154"/>
      <c r="X863" s="154"/>
    </row>
    <row r="864" spans="1:25" x14ac:dyDescent="0.25">
      <c r="A864" s="194"/>
      <c r="J864" s="100"/>
      <c r="K864" s="100"/>
      <c r="L864" s="100"/>
      <c r="M864" s="100"/>
      <c r="N864" s="100"/>
    </row>
    <row r="865" spans="1:14" x14ac:dyDescent="0.25">
      <c r="A865" s="194"/>
      <c r="J865" s="100"/>
      <c r="K865" s="100"/>
      <c r="L865" s="100"/>
      <c r="M865" s="100"/>
      <c r="N865" s="100"/>
    </row>
    <row r="866" spans="1:14" x14ac:dyDescent="0.25">
      <c r="A866" s="194"/>
      <c r="J866" s="100"/>
      <c r="K866" s="100"/>
      <c r="L866" s="100"/>
      <c r="M866" s="100"/>
      <c r="N866" s="100"/>
    </row>
    <row r="867" spans="1:14" x14ac:dyDescent="0.25">
      <c r="A867" s="194"/>
      <c r="J867" s="100"/>
      <c r="K867" s="100"/>
      <c r="L867" s="100"/>
      <c r="M867" s="100"/>
      <c r="N867" s="100"/>
    </row>
    <row r="868" spans="1:14" x14ac:dyDescent="0.25">
      <c r="A868" s="194"/>
      <c r="J868" s="100"/>
      <c r="K868" s="100"/>
      <c r="L868" s="100"/>
      <c r="M868" s="100"/>
      <c r="N868" s="100"/>
    </row>
    <row r="869" spans="1:14" x14ac:dyDescent="0.25">
      <c r="A869" s="194"/>
      <c r="J869" s="100"/>
      <c r="K869" s="100"/>
      <c r="L869" s="100"/>
      <c r="M869" s="100"/>
      <c r="N869" s="100"/>
    </row>
    <row r="870" spans="1:14" x14ac:dyDescent="0.25">
      <c r="A870" s="194"/>
      <c r="J870" s="100"/>
      <c r="K870" s="100"/>
      <c r="L870" s="100"/>
      <c r="M870" s="100"/>
      <c r="N870" s="100"/>
    </row>
    <row r="871" spans="1:14" x14ac:dyDescent="0.25">
      <c r="A871" s="194"/>
      <c r="J871" s="100"/>
      <c r="K871" s="100"/>
      <c r="L871" s="100"/>
      <c r="M871" s="100"/>
      <c r="N871" s="100"/>
    </row>
    <row r="872" spans="1:14" x14ac:dyDescent="0.25">
      <c r="A872" s="194"/>
      <c r="J872" s="100"/>
      <c r="K872" s="100"/>
      <c r="L872" s="100"/>
      <c r="M872" s="100"/>
      <c r="N872" s="100"/>
    </row>
    <row r="873" spans="1:14" x14ac:dyDescent="0.25">
      <c r="A873" s="194"/>
      <c r="J873" s="100"/>
      <c r="K873" s="100"/>
      <c r="L873" s="100"/>
      <c r="M873" s="100"/>
      <c r="N873" s="100"/>
    </row>
    <row r="874" spans="1:14" x14ac:dyDescent="0.25">
      <c r="A874" s="194"/>
      <c r="J874" s="100"/>
      <c r="K874" s="100"/>
      <c r="L874" s="100"/>
      <c r="M874" s="100"/>
      <c r="N874" s="100"/>
    </row>
    <row r="875" spans="1:14" x14ac:dyDescent="0.25">
      <c r="A875" s="194"/>
      <c r="J875" s="100"/>
      <c r="K875" s="100"/>
      <c r="L875" s="100"/>
      <c r="M875" s="100"/>
      <c r="N875" s="100"/>
    </row>
    <row r="876" spans="1:14" x14ac:dyDescent="0.25">
      <c r="A876" s="194"/>
      <c r="J876" s="100"/>
      <c r="K876" s="100"/>
      <c r="L876" s="100"/>
      <c r="M876" s="100"/>
      <c r="N876" s="100"/>
    </row>
    <row r="877" spans="1:14" x14ac:dyDescent="0.25">
      <c r="A877" s="194"/>
      <c r="J877" s="100"/>
      <c r="K877" s="100"/>
      <c r="L877" s="100"/>
      <c r="M877" s="100"/>
      <c r="N877" s="100"/>
    </row>
    <row r="878" spans="1:14" x14ac:dyDescent="0.25">
      <c r="A878" s="194"/>
      <c r="J878" s="100"/>
      <c r="K878" s="100"/>
      <c r="L878" s="100"/>
      <c r="M878" s="100"/>
      <c r="N878" s="100"/>
    </row>
    <row r="879" spans="1:14" x14ac:dyDescent="0.25">
      <c r="A879" s="194"/>
      <c r="J879" s="100"/>
      <c r="K879" s="100"/>
      <c r="L879" s="100"/>
      <c r="M879" s="100"/>
      <c r="N879" s="100"/>
    </row>
    <row r="880" spans="1:14" x14ac:dyDescent="0.25">
      <c r="A880" s="194"/>
      <c r="J880" s="100"/>
      <c r="K880" s="100"/>
      <c r="L880" s="100"/>
      <c r="M880" s="100"/>
      <c r="N880" s="100"/>
    </row>
  </sheetData>
  <conditionalFormatting sqref="S208:S209 S768 S829 S483 S806 S831:S837 S844 S855 S872 S881:S1048576 S876 S878:S879 S498:S502 S504:S508 S510:S514 S522 S538:S564 S566:S576 S578:S598 S605:S624 S656:S667 S669:S684 S686:S692 S697:S719 S727:S732 S734:S741 S743:S751 S3:X23">
    <cfRule type="cellIs" dxfId="4982" priority="949" operator="equal">
      <formula>"DSM"</formula>
    </cfRule>
  </conditionalFormatting>
  <conditionalFormatting sqref="J51:N51 S96:X97">
    <cfRule type="expression" dxfId="4981" priority="944">
      <formula>$T51="DSM"</formula>
    </cfRule>
    <cfRule type="expression" dxfId="4980" priority="945">
      <formula>SEARCH("RBT",#REF!)&gt;0</formula>
    </cfRule>
    <cfRule type="expression" dxfId="4979" priority="946">
      <formula>SEARCH("GST",#REF!)&gt;0</formula>
    </cfRule>
    <cfRule type="expression" dxfId="4978" priority="947">
      <formula>SEARCH("CHN",$T51)&gt;0</formula>
    </cfRule>
    <cfRule type="expression" dxfId="4977" priority="948">
      <formula>$T51="LFS"</formula>
    </cfRule>
  </conditionalFormatting>
  <conditionalFormatting sqref="J91:N91 R91 S98:X98 G97:H102 C96:C104 S100:X120 G146:H148">
    <cfRule type="expression" dxfId="4976" priority="924">
      <formula>$T91="DSM"</formula>
    </cfRule>
    <cfRule type="expression" dxfId="4975" priority="925">
      <formula>SEARCH("RBT",$T61)&gt;0</formula>
    </cfRule>
    <cfRule type="expression" dxfId="4974" priority="926">
      <formula>SEARCH("GST",$T61)&gt;0</formula>
    </cfRule>
    <cfRule type="expression" dxfId="4973" priority="927">
      <formula>SEARCH("CHN",$T91)&gt;0</formula>
    </cfRule>
    <cfRule type="expression" dxfId="4972" priority="928">
      <formula>$T91="LFS"</formula>
    </cfRule>
  </conditionalFormatting>
  <conditionalFormatting sqref="S159">
    <cfRule type="cellIs" dxfId="4971" priority="923" operator="equal">
      <formula>"DSM"</formula>
    </cfRule>
  </conditionalFormatting>
  <conditionalFormatting sqref="S172:S173">
    <cfRule type="cellIs" dxfId="4970" priority="922" operator="equal">
      <formula>"DSM"</formula>
    </cfRule>
  </conditionalFormatting>
  <conditionalFormatting sqref="S179 S181">
    <cfRule type="cellIs" dxfId="4969" priority="921" operator="equal">
      <formula>"DSM"</formula>
    </cfRule>
  </conditionalFormatting>
  <conditionalFormatting sqref="S377:S382">
    <cfRule type="cellIs" dxfId="4968" priority="920" operator="equal">
      <formula>"DSM"</formula>
    </cfRule>
  </conditionalFormatting>
  <conditionalFormatting sqref="S780">
    <cfRule type="cellIs" dxfId="4967" priority="916" operator="equal">
      <formula>"DSM"</formula>
    </cfRule>
  </conditionalFormatting>
  <conditionalFormatting sqref="S753:S755">
    <cfRule type="cellIs" dxfId="4966" priority="919" operator="equal">
      <formula>"DSM"</formula>
    </cfRule>
  </conditionalFormatting>
  <conditionalFormatting sqref="S763">
    <cfRule type="cellIs" dxfId="4965" priority="918" operator="equal">
      <formula>"DSM"</formula>
    </cfRule>
  </conditionalFormatting>
  <conditionalFormatting sqref="S766">
    <cfRule type="cellIs" dxfId="4964" priority="917" operator="equal">
      <formula>"DSM"</formula>
    </cfRule>
  </conditionalFormatting>
  <conditionalFormatting sqref="S787">
    <cfRule type="cellIs" dxfId="4963" priority="915" operator="equal">
      <formula>"DSM"</formula>
    </cfRule>
  </conditionalFormatting>
  <conditionalFormatting sqref="S828">
    <cfRule type="cellIs" dxfId="4962" priority="913" operator="equal">
      <formula>"DSM"</formula>
    </cfRule>
  </conditionalFormatting>
  <conditionalFormatting sqref="S810 S820:S821">
    <cfRule type="cellIs" dxfId="4961" priority="914" operator="equal">
      <formula>"DSM"</formula>
    </cfRule>
  </conditionalFormatting>
  <conditionalFormatting sqref="J78:N80 D78:E80 O81:Q96 S99:X99">
    <cfRule type="expression" dxfId="4960" priority="950">
      <formula>$T78="DSM"</formula>
    </cfRule>
    <cfRule type="expression" dxfId="4959" priority="951">
      <formula>SEARCH("RBT",$T50)&gt;0</formula>
    </cfRule>
    <cfRule type="expression" dxfId="4958" priority="952">
      <formula>SEARCH("GST",$T50)&gt;0</formula>
    </cfRule>
    <cfRule type="expression" dxfId="4957" priority="953">
      <formula>SEARCH("CHN",$T78)&gt;0</formula>
    </cfRule>
    <cfRule type="expression" dxfId="4956" priority="954">
      <formula>$T78="LFS"</formula>
    </cfRule>
  </conditionalFormatting>
  <conditionalFormatting sqref="J60:N61">
    <cfRule type="expression" dxfId="4955" priority="960">
      <formula>$T60="DSM"</formula>
    </cfRule>
    <cfRule type="expression" dxfId="4954" priority="961">
      <formula>SEARCH("RBT",#REF!)&gt;0</formula>
    </cfRule>
    <cfRule type="expression" dxfId="4953" priority="962">
      <formula>SEARCH("GST",#REF!)&gt;0</formula>
    </cfRule>
    <cfRule type="expression" dxfId="4952" priority="963">
      <formula>SEARCH("CHN",$T60)&gt;0</formula>
    </cfRule>
    <cfRule type="expression" dxfId="4951" priority="964">
      <formula>$T60="LFS"</formula>
    </cfRule>
  </conditionalFormatting>
  <conditionalFormatting sqref="J62:N62 J52:N52">
    <cfRule type="expression" dxfId="4950" priority="965">
      <formula>$T52="DSM"</formula>
    </cfRule>
    <cfRule type="expression" dxfId="4949" priority="966">
      <formula>SEARCH("RBT",$T25)&gt;0</formula>
    </cfRule>
    <cfRule type="expression" dxfId="4948" priority="967">
      <formula>SEARCH("GST",$T25)&gt;0</formula>
    </cfRule>
    <cfRule type="expression" dxfId="4947" priority="968">
      <formula>SEARCH("CHN",$T52)&gt;0</formula>
    </cfRule>
    <cfRule type="expression" dxfId="4946" priority="969">
      <formula>$T52="LFS"</formula>
    </cfRule>
  </conditionalFormatting>
  <conditionalFormatting sqref="J81:N81 C81:H81 R81:X81">
    <cfRule type="expression" dxfId="4945" priority="975">
      <formula>$T81="DSM"</formula>
    </cfRule>
    <cfRule type="expression" dxfId="4944" priority="976">
      <formula>SEARCH("RBT",#REF!)&gt;0</formula>
    </cfRule>
    <cfRule type="expression" dxfId="4943" priority="977">
      <formula>SEARCH("GST",#REF!)&gt;0</formula>
    </cfRule>
    <cfRule type="expression" dxfId="4942" priority="978">
      <formula>SEARCH("CHN",$T81)&gt;0</formula>
    </cfRule>
    <cfRule type="expression" dxfId="4941" priority="979">
      <formula>$T81="LFS"</formula>
    </cfRule>
  </conditionalFormatting>
  <conditionalFormatting sqref="J93:N93 R93">
    <cfRule type="expression" dxfId="4940" priority="908">
      <formula>$T93="DSM"</formula>
    </cfRule>
    <cfRule type="expression" dxfId="4939" priority="909">
      <formula>SEARCH("RBT",#REF!)&gt;0</formula>
    </cfRule>
    <cfRule type="expression" dxfId="4938" priority="910">
      <formula>SEARCH("GST",#REF!)&gt;0</formula>
    </cfRule>
    <cfRule type="expression" dxfId="4937" priority="911">
      <formula>SEARCH("CHN",$T93)&gt;0</formula>
    </cfRule>
    <cfRule type="expression" dxfId="4936" priority="912">
      <formula>$T93="LFS"</formula>
    </cfRule>
  </conditionalFormatting>
  <conditionalFormatting sqref="S180">
    <cfRule type="cellIs" dxfId="4935" priority="897" operator="equal">
      <formula>"DSM"</formula>
    </cfRule>
  </conditionalFormatting>
  <conditionalFormatting sqref="S207">
    <cfRule type="cellIs" dxfId="4934" priority="896" operator="equal">
      <formula>"DSM"</formula>
    </cfRule>
  </conditionalFormatting>
  <conditionalFormatting sqref="S226">
    <cfRule type="cellIs" dxfId="4933" priority="895" operator="equal">
      <formula>"DSM"</formula>
    </cfRule>
  </conditionalFormatting>
  <conditionalFormatting sqref="S239:S240">
    <cfRule type="cellIs" dxfId="4932" priority="894" operator="equal">
      <formula>"DSM"</formula>
    </cfRule>
  </conditionalFormatting>
  <conditionalFormatting sqref="S242">
    <cfRule type="cellIs" dxfId="4931" priority="893" operator="equal">
      <formula>"DSM"</formula>
    </cfRule>
  </conditionalFormatting>
  <conditionalFormatting sqref="S243">
    <cfRule type="cellIs" dxfId="4930" priority="892" operator="equal">
      <formula>"DSM"</formula>
    </cfRule>
  </conditionalFormatting>
  <conditionalFormatting sqref="S244">
    <cfRule type="cellIs" dxfId="4929" priority="891" operator="equal">
      <formula>"DSM"</formula>
    </cfRule>
  </conditionalFormatting>
  <conditionalFormatting sqref="S245">
    <cfRule type="cellIs" dxfId="4928" priority="890" operator="equal">
      <formula>"DSM"</formula>
    </cfRule>
  </conditionalFormatting>
  <conditionalFormatting sqref="S246">
    <cfRule type="cellIs" dxfId="4927" priority="889" operator="equal">
      <formula>"DSM"</formula>
    </cfRule>
  </conditionalFormatting>
  <conditionalFormatting sqref="S247">
    <cfRule type="cellIs" dxfId="4926" priority="888" operator="equal">
      <formula>"DSM"</formula>
    </cfRule>
  </conditionalFormatting>
  <conditionalFormatting sqref="S241">
    <cfRule type="cellIs" dxfId="4925" priority="887" operator="equal">
      <formula>"DSM"</formula>
    </cfRule>
  </conditionalFormatting>
  <conditionalFormatting sqref="S296">
    <cfRule type="cellIs" dxfId="4924" priority="886" operator="equal">
      <formula>"DSM"</formula>
    </cfRule>
  </conditionalFormatting>
  <conditionalFormatting sqref="S297">
    <cfRule type="cellIs" dxfId="4923" priority="885" operator="equal">
      <formula>"DSM"</formula>
    </cfRule>
  </conditionalFormatting>
  <conditionalFormatting sqref="S354">
    <cfRule type="cellIs" dxfId="4922" priority="884" operator="equal">
      <formula>"DSM"</formula>
    </cfRule>
  </conditionalFormatting>
  <conditionalFormatting sqref="S359">
    <cfRule type="cellIs" dxfId="4921" priority="883" operator="equal">
      <formula>"DSM"</formula>
    </cfRule>
  </conditionalFormatting>
  <conditionalFormatting sqref="S355:S358">
    <cfRule type="cellIs" dxfId="4920" priority="882" operator="equal">
      <formula>"DSM"</formula>
    </cfRule>
  </conditionalFormatting>
  <conditionalFormatting sqref="S424">
    <cfRule type="cellIs" dxfId="4919" priority="881" operator="equal">
      <formula>"DSM"</formula>
    </cfRule>
  </conditionalFormatting>
  <conditionalFormatting sqref="S515">
    <cfRule type="cellIs" dxfId="4918" priority="880" operator="equal">
      <formula>"DSM"</formula>
    </cfRule>
  </conditionalFormatting>
  <conditionalFormatting sqref="S628:S631">
    <cfRule type="cellIs" dxfId="4917" priority="879" operator="equal">
      <formula>"DSM"</formula>
    </cfRule>
  </conditionalFormatting>
  <conditionalFormatting sqref="S632">
    <cfRule type="cellIs" dxfId="4916" priority="878" operator="equal">
      <formula>"DSM"</formula>
    </cfRule>
  </conditionalFormatting>
  <conditionalFormatting sqref="S633:S638">
    <cfRule type="cellIs" dxfId="4915" priority="877" operator="equal">
      <formula>"DSM"</formula>
    </cfRule>
  </conditionalFormatting>
  <conditionalFormatting sqref="S645">
    <cfRule type="cellIs" dxfId="4914" priority="876" operator="equal">
      <formula>"DSM"</formula>
    </cfRule>
  </conditionalFormatting>
  <conditionalFormatting sqref="S696">
    <cfRule type="cellIs" dxfId="4913" priority="875" operator="equal">
      <formula>"DSM"</formula>
    </cfRule>
  </conditionalFormatting>
  <conditionalFormatting sqref="S733">
    <cfRule type="cellIs" dxfId="4912" priority="874" operator="equal">
      <formula>"DSM"</formula>
    </cfRule>
  </conditionalFormatting>
  <conditionalFormatting sqref="S752">
    <cfRule type="cellIs" dxfId="4911" priority="873" operator="equal">
      <formula>"DSM"</formula>
    </cfRule>
  </conditionalFormatting>
  <conditionalFormatting sqref="S756">
    <cfRule type="cellIs" dxfId="4910" priority="872" operator="equal">
      <formula>"DSM"</formula>
    </cfRule>
  </conditionalFormatting>
  <conditionalFormatting sqref="S757">
    <cfRule type="cellIs" dxfId="4909" priority="871" operator="equal">
      <formula>"DSM"</formula>
    </cfRule>
  </conditionalFormatting>
  <conditionalFormatting sqref="S761">
    <cfRule type="cellIs" dxfId="4908" priority="870" operator="equal">
      <formula>"DSM"</formula>
    </cfRule>
  </conditionalFormatting>
  <conditionalFormatting sqref="S759">
    <cfRule type="cellIs" dxfId="4907" priority="869" operator="equal">
      <formula>"DSM"</formula>
    </cfRule>
  </conditionalFormatting>
  <conditionalFormatting sqref="S760">
    <cfRule type="cellIs" dxfId="4906" priority="868" operator="equal">
      <formula>"DSM"</formula>
    </cfRule>
  </conditionalFormatting>
  <conditionalFormatting sqref="S758">
    <cfRule type="cellIs" dxfId="4905" priority="867" operator="equal">
      <formula>"DSM"</formula>
    </cfRule>
  </conditionalFormatting>
  <conditionalFormatting sqref="S762">
    <cfRule type="cellIs" dxfId="4904" priority="866" operator="equal">
      <formula>"DSM"</formula>
    </cfRule>
  </conditionalFormatting>
  <conditionalFormatting sqref="S764">
    <cfRule type="cellIs" dxfId="4903" priority="865" operator="equal">
      <formula>"DSM"</formula>
    </cfRule>
  </conditionalFormatting>
  <conditionalFormatting sqref="S765">
    <cfRule type="cellIs" dxfId="4902" priority="864" operator="equal">
      <formula>"DSM"</formula>
    </cfRule>
  </conditionalFormatting>
  <conditionalFormatting sqref="S767">
    <cfRule type="cellIs" dxfId="4901" priority="863" operator="equal">
      <formula>"DSM"</formula>
    </cfRule>
  </conditionalFormatting>
  <conditionalFormatting sqref="S769">
    <cfRule type="cellIs" dxfId="4900" priority="862" operator="equal">
      <formula>"DSM"</formula>
    </cfRule>
  </conditionalFormatting>
  <conditionalFormatting sqref="S770">
    <cfRule type="cellIs" dxfId="4899" priority="861" operator="equal">
      <formula>"DSM"</formula>
    </cfRule>
  </conditionalFormatting>
  <conditionalFormatting sqref="S771">
    <cfRule type="cellIs" dxfId="4898" priority="860" operator="equal">
      <formula>"DSM"</formula>
    </cfRule>
  </conditionalFormatting>
  <conditionalFormatting sqref="S772">
    <cfRule type="cellIs" dxfId="4897" priority="859" operator="equal">
      <formula>"DSM"</formula>
    </cfRule>
  </conditionalFormatting>
  <conditionalFormatting sqref="S773">
    <cfRule type="cellIs" dxfId="4896" priority="858" operator="equal">
      <formula>"DSM"</formula>
    </cfRule>
  </conditionalFormatting>
  <conditionalFormatting sqref="S775">
    <cfRule type="cellIs" dxfId="4895" priority="857" operator="equal">
      <formula>"DSM"</formula>
    </cfRule>
  </conditionalFormatting>
  <conditionalFormatting sqref="S776">
    <cfRule type="cellIs" dxfId="4894" priority="856" operator="equal">
      <formula>"DSM"</formula>
    </cfRule>
  </conditionalFormatting>
  <conditionalFormatting sqref="S774">
    <cfRule type="cellIs" dxfId="4893" priority="855" operator="equal">
      <formula>"DSM"</formula>
    </cfRule>
  </conditionalFormatting>
  <conditionalFormatting sqref="S778">
    <cfRule type="cellIs" dxfId="4892" priority="854" operator="equal">
      <formula>"DSM"</formula>
    </cfRule>
  </conditionalFormatting>
  <conditionalFormatting sqref="S779">
    <cfRule type="cellIs" dxfId="4891" priority="853" operator="equal">
      <formula>"DSM"</formula>
    </cfRule>
  </conditionalFormatting>
  <conditionalFormatting sqref="S777">
    <cfRule type="cellIs" dxfId="4890" priority="852" operator="equal">
      <formula>"DSM"</formula>
    </cfRule>
  </conditionalFormatting>
  <conditionalFormatting sqref="S781">
    <cfRule type="cellIs" dxfId="4889" priority="851" operator="equal">
      <formula>"DSM"</formula>
    </cfRule>
  </conditionalFormatting>
  <conditionalFormatting sqref="S782">
    <cfRule type="cellIs" dxfId="4888" priority="850" operator="equal">
      <formula>"DSM"</formula>
    </cfRule>
  </conditionalFormatting>
  <conditionalFormatting sqref="S783">
    <cfRule type="cellIs" dxfId="4887" priority="849" operator="equal">
      <formula>"DSM"</formula>
    </cfRule>
  </conditionalFormatting>
  <conditionalFormatting sqref="S784">
    <cfRule type="cellIs" dxfId="4886" priority="848" operator="equal">
      <formula>"DSM"</formula>
    </cfRule>
  </conditionalFormatting>
  <conditionalFormatting sqref="S785">
    <cfRule type="cellIs" dxfId="4885" priority="847" operator="equal">
      <formula>"DSM"</formula>
    </cfRule>
  </conditionalFormatting>
  <conditionalFormatting sqref="S786">
    <cfRule type="cellIs" dxfId="4884" priority="846" operator="equal">
      <formula>"DSM"</formula>
    </cfRule>
  </conditionalFormatting>
  <conditionalFormatting sqref="S788:S789">
    <cfRule type="cellIs" dxfId="4883" priority="845" operator="equal">
      <formula>"DSM"</formula>
    </cfRule>
  </conditionalFormatting>
  <conditionalFormatting sqref="S790">
    <cfRule type="cellIs" dxfId="4882" priority="844" operator="equal">
      <formula>"DSM"</formula>
    </cfRule>
  </conditionalFormatting>
  <conditionalFormatting sqref="S791">
    <cfRule type="cellIs" dxfId="4881" priority="843" operator="equal">
      <formula>"DSM"</formula>
    </cfRule>
  </conditionalFormatting>
  <conditionalFormatting sqref="S792">
    <cfRule type="cellIs" dxfId="4880" priority="842" operator="equal">
      <formula>"DSM"</formula>
    </cfRule>
  </conditionalFormatting>
  <conditionalFormatting sqref="S793">
    <cfRule type="cellIs" dxfId="4879" priority="841" operator="equal">
      <formula>"DSM"</formula>
    </cfRule>
  </conditionalFormatting>
  <conditionalFormatting sqref="S794">
    <cfRule type="cellIs" dxfId="4878" priority="840" operator="equal">
      <formula>"DSM"</formula>
    </cfRule>
  </conditionalFormatting>
  <conditionalFormatting sqref="S795">
    <cfRule type="cellIs" dxfId="4877" priority="839" operator="equal">
      <formula>"DSM"</formula>
    </cfRule>
  </conditionalFormatting>
  <conditionalFormatting sqref="S796">
    <cfRule type="cellIs" dxfId="4876" priority="838" operator="equal">
      <formula>"DSM"</formula>
    </cfRule>
  </conditionalFormatting>
  <conditionalFormatting sqref="S797">
    <cfRule type="cellIs" dxfId="4875" priority="837" operator="equal">
      <formula>"DSM"</formula>
    </cfRule>
  </conditionalFormatting>
  <conditionalFormatting sqref="S798">
    <cfRule type="cellIs" dxfId="4874" priority="836" operator="equal">
      <formula>"DSM"</formula>
    </cfRule>
  </conditionalFormatting>
  <conditionalFormatting sqref="S799">
    <cfRule type="cellIs" dxfId="4873" priority="835" operator="equal">
      <formula>"DSM"</formula>
    </cfRule>
  </conditionalFormatting>
  <conditionalFormatting sqref="S800">
    <cfRule type="cellIs" dxfId="4872" priority="834" operator="equal">
      <formula>"DSM"</formula>
    </cfRule>
  </conditionalFormatting>
  <conditionalFormatting sqref="S801">
    <cfRule type="cellIs" dxfId="4871" priority="833" operator="equal">
      <formula>"DSM"</formula>
    </cfRule>
  </conditionalFormatting>
  <conditionalFormatting sqref="S802">
    <cfRule type="cellIs" dxfId="4870" priority="832" operator="equal">
      <formula>"DSM"</formula>
    </cfRule>
  </conditionalFormatting>
  <conditionalFormatting sqref="S803">
    <cfRule type="cellIs" dxfId="4869" priority="831" operator="equal">
      <formula>"DSM"</formula>
    </cfRule>
  </conditionalFormatting>
  <conditionalFormatting sqref="S804">
    <cfRule type="cellIs" dxfId="4868" priority="830" operator="equal">
      <formula>"DSM"</formula>
    </cfRule>
  </conditionalFormatting>
  <conditionalFormatting sqref="S805">
    <cfRule type="cellIs" dxfId="4867" priority="829" operator="equal">
      <formula>"DSM"</formula>
    </cfRule>
  </conditionalFormatting>
  <conditionalFormatting sqref="S807">
    <cfRule type="cellIs" dxfId="4866" priority="828" operator="equal">
      <formula>"DSM"</formula>
    </cfRule>
  </conditionalFormatting>
  <conditionalFormatting sqref="S808">
    <cfRule type="cellIs" dxfId="4865" priority="827" operator="equal">
      <formula>"DSM"</formula>
    </cfRule>
  </conditionalFormatting>
  <conditionalFormatting sqref="S809">
    <cfRule type="cellIs" dxfId="4864" priority="826" operator="equal">
      <formula>"DSM"</formula>
    </cfRule>
  </conditionalFormatting>
  <conditionalFormatting sqref="S811">
    <cfRule type="cellIs" dxfId="4863" priority="825" operator="equal">
      <formula>"DSM"</formula>
    </cfRule>
  </conditionalFormatting>
  <conditionalFormatting sqref="S812">
    <cfRule type="cellIs" dxfId="4862" priority="824" operator="equal">
      <formula>"DSM"</formula>
    </cfRule>
  </conditionalFormatting>
  <conditionalFormatting sqref="S814">
    <cfRule type="cellIs" dxfId="4861" priority="823" operator="equal">
      <formula>"DSM"</formula>
    </cfRule>
  </conditionalFormatting>
  <conditionalFormatting sqref="S816">
    <cfRule type="cellIs" dxfId="4860" priority="822" operator="equal">
      <formula>"DSM"</formula>
    </cfRule>
  </conditionalFormatting>
  <conditionalFormatting sqref="S817">
    <cfRule type="cellIs" dxfId="4859" priority="821" operator="equal">
      <formula>"DSM"</formula>
    </cfRule>
  </conditionalFormatting>
  <conditionalFormatting sqref="S818">
    <cfRule type="cellIs" dxfId="4858" priority="820" operator="equal">
      <formula>"DSM"</formula>
    </cfRule>
  </conditionalFormatting>
  <conditionalFormatting sqref="S813">
    <cfRule type="cellIs" dxfId="4857" priority="819" operator="equal">
      <formula>"DSM"</formula>
    </cfRule>
  </conditionalFormatting>
  <conditionalFormatting sqref="S815">
    <cfRule type="cellIs" dxfId="4856" priority="818" operator="equal">
      <formula>"DSM"</formula>
    </cfRule>
  </conditionalFormatting>
  <conditionalFormatting sqref="S819">
    <cfRule type="cellIs" dxfId="4855" priority="817" operator="equal">
      <formula>"DSM"</formula>
    </cfRule>
  </conditionalFormatting>
  <conditionalFormatting sqref="S822">
    <cfRule type="cellIs" dxfId="4854" priority="816" operator="equal">
      <formula>"DSM"</formula>
    </cfRule>
  </conditionalFormatting>
  <conditionalFormatting sqref="S823">
    <cfRule type="cellIs" dxfId="4853" priority="815" operator="equal">
      <formula>"DSM"</formula>
    </cfRule>
  </conditionalFormatting>
  <conditionalFormatting sqref="S824">
    <cfRule type="cellIs" dxfId="4852" priority="814" operator="equal">
      <formula>"DSM"</formula>
    </cfRule>
  </conditionalFormatting>
  <conditionalFormatting sqref="S825">
    <cfRule type="cellIs" dxfId="4851" priority="813" operator="equal">
      <formula>"DSM"</formula>
    </cfRule>
  </conditionalFormatting>
  <conditionalFormatting sqref="S826">
    <cfRule type="cellIs" dxfId="4850" priority="812" operator="equal">
      <formula>"DSM"</formula>
    </cfRule>
  </conditionalFormatting>
  <conditionalFormatting sqref="S827">
    <cfRule type="cellIs" dxfId="4849" priority="811" operator="equal">
      <formula>"DSM"</formula>
    </cfRule>
  </conditionalFormatting>
  <conditionalFormatting sqref="S830">
    <cfRule type="cellIs" dxfId="4848" priority="810" operator="equal">
      <formula>"DSM"</formula>
    </cfRule>
  </conditionalFormatting>
  <conditionalFormatting sqref="S838">
    <cfRule type="cellIs" dxfId="4847" priority="809" operator="equal">
      <formula>"DSM"</formula>
    </cfRule>
  </conditionalFormatting>
  <conditionalFormatting sqref="S839">
    <cfRule type="cellIs" dxfId="4846" priority="808" operator="equal">
      <formula>"DSM"</formula>
    </cfRule>
  </conditionalFormatting>
  <conditionalFormatting sqref="S840">
    <cfRule type="cellIs" dxfId="4845" priority="807" operator="equal">
      <formula>"DSM"</formula>
    </cfRule>
  </conditionalFormatting>
  <conditionalFormatting sqref="S841">
    <cfRule type="cellIs" dxfId="4844" priority="806" operator="equal">
      <formula>"DSM"</formula>
    </cfRule>
  </conditionalFormatting>
  <conditionalFormatting sqref="S842">
    <cfRule type="cellIs" dxfId="4843" priority="805" operator="equal">
      <formula>"DSM"</formula>
    </cfRule>
  </conditionalFormatting>
  <conditionalFormatting sqref="S843">
    <cfRule type="cellIs" dxfId="4842" priority="804" operator="equal">
      <formula>"DSM"</formula>
    </cfRule>
  </conditionalFormatting>
  <conditionalFormatting sqref="S845">
    <cfRule type="cellIs" dxfId="4841" priority="803" operator="equal">
      <formula>"DSM"</formula>
    </cfRule>
  </conditionalFormatting>
  <conditionalFormatting sqref="S846">
    <cfRule type="cellIs" dxfId="4840" priority="802" operator="equal">
      <formula>"DSM"</formula>
    </cfRule>
  </conditionalFormatting>
  <conditionalFormatting sqref="S847">
    <cfRule type="cellIs" dxfId="4839" priority="801" operator="equal">
      <formula>"DSM"</formula>
    </cfRule>
  </conditionalFormatting>
  <conditionalFormatting sqref="S848">
    <cfRule type="cellIs" dxfId="4838" priority="800" operator="equal">
      <formula>"DSM"</formula>
    </cfRule>
  </conditionalFormatting>
  <conditionalFormatting sqref="S849">
    <cfRule type="cellIs" dxfId="4837" priority="799" operator="equal">
      <formula>"DSM"</formula>
    </cfRule>
  </conditionalFormatting>
  <conditionalFormatting sqref="S850">
    <cfRule type="cellIs" dxfId="4836" priority="798" operator="equal">
      <formula>"DSM"</formula>
    </cfRule>
  </conditionalFormatting>
  <conditionalFormatting sqref="S851">
    <cfRule type="cellIs" dxfId="4835" priority="797" operator="equal">
      <formula>"DSM"</formula>
    </cfRule>
  </conditionalFormatting>
  <conditionalFormatting sqref="S852">
    <cfRule type="cellIs" dxfId="4834" priority="796" operator="equal">
      <formula>"DSM"</formula>
    </cfRule>
  </conditionalFormatting>
  <conditionalFormatting sqref="S853">
    <cfRule type="cellIs" dxfId="4833" priority="795" operator="equal">
      <formula>"DSM"</formula>
    </cfRule>
  </conditionalFormatting>
  <conditionalFormatting sqref="S856">
    <cfRule type="cellIs" dxfId="4832" priority="794" operator="equal">
      <formula>"DSM"</formula>
    </cfRule>
  </conditionalFormatting>
  <conditionalFormatting sqref="S857">
    <cfRule type="cellIs" dxfId="4831" priority="793" operator="equal">
      <formula>"DSM"</formula>
    </cfRule>
  </conditionalFormatting>
  <conditionalFormatting sqref="S858">
    <cfRule type="cellIs" dxfId="4830" priority="792" operator="equal">
      <formula>"DSM"</formula>
    </cfRule>
  </conditionalFormatting>
  <conditionalFormatting sqref="S854">
    <cfRule type="cellIs" dxfId="4829" priority="791" operator="equal">
      <formula>"DSM"</formula>
    </cfRule>
  </conditionalFormatting>
  <conditionalFormatting sqref="S859">
    <cfRule type="cellIs" dxfId="4828" priority="790" operator="equal">
      <formula>"DSM"</formula>
    </cfRule>
  </conditionalFormatting>
  <conditionalFormatting sqref="S860">
    <cfRule type="cellIs" dxfId="4827" priority="789" operator="equal">
      <formula>"DSM"</formula>
    </cfRule>
  </conditionalFormatting>
  <conditionalFormatting sqref="S861">
    <cfRule type="cellIs" dxfId="4826" priority="788" operator="equal">
      <formula>"DSM"</formula>
    </cfRule>
  </conditionalFormatting>
  <conditionalFormatting sqref="S862">
    <cfRule type="cellIs" dxfId="4825" priority="787" operator="equal">
      <formula>"DSM"</formula>
    </cfRule>
  </conditionalFormatting>
  <conditionalFormatting sqref="S863">
    <cfRule type="cellIs" dxfId="4824" priority="786" operator="equal">
      <formula>"DSM"</formula>
    </cfRule>
  </conditionalFormatting>
  <conditionalFormatting sqref="S864">
    <cfRule type="cellIs" dxfId="4823" priority="785" operator="equal">
      <formula>"DSM"</formula>
    </cfRule>
  </conditionalFormatting>
  <conditionalFormatting sqref="S866">
    <cfRule type="cellIs" dxfId="4822" priority="784" operator="equal">
      <formula>"DSM"</formula>
    </cfRule>
  </conditionalFormatting>
  <conditionalFormatting sqref="S867">
    <cfRule type="cellIs" dxfId="4821" priority="783" operator="equal">
      <formula>"DSM"</formula>
    </cfRule>
  </conditionalFormatting>
  <conditionalFormatting sqref="S868">
    <cfRule type="cellIs" dxfId="4820" priority="782" operator="equal">
      <formula>"DSM"</formula>
    </cfRule>
  </conditionalFormatting>
  <conditionalFormatting sqref="S869">
    <cfRule type="cellIs" dxfId="4819" priority="781" operator="equal">
      <formula>"DSM"</formula>
    </cfRule>
  </conditionalFormatting>
  <conditionalFormatting sqref="S870">
    <cfRule type="cellIs" dxfId="4818" priority="780" operator="equal">
      <formula>"DSM"</formula>
    </cfRule>
  </conditionalFormatting>
  <conditionalFormatting sqref="S865">
    <cfRule type="cellIs" dxfId="4817" priority="779" operator="equal">
      <formula>"DSM"</formula>
    </cfRule>
  </conditionalFormatting>
  <conditionalFormatting sqref="S880">
    <cfRule type="cellIs" dxfId="4816" priority="778" operator="equal">
      <formula>"DSM"</formula>
    </cfRule>
  </conditionalFormatting>
  <conditionalFormatting sqref="S871">
    <cfRule type="cellIs" dxfId="4815" priority="777" operator="equal">
      <formula>"DSM"</formula>
    </cfRule>
  </conditionalFormatting>
  <conditionalFormatting sqref="S873">
    <cfRule type="cellIs" dxfId="4814" priority="776" operator="equal">
      <formula>"DSM"</formula>
    </cfRule>
  </conditionalFormatting>
  <conditionalFormatting sqref="S874">
    <cfRule type="cellIs" dxfId="4813" priority="775" operator="equal">
      <formula>"DSM"</formula>
    </cfRule>
  </conditionalFormatting>
  <conditionalFormatting sqref="S875">
    <cfRule type="cellIs" dxfId="4812" priority="774" operator="equal">
      <formula>"DSM"</formula>
    </cfRule>
  </conditionalFormatting>
  <conditionalFormatting sqref="S877">
    <cfRule type="cellIs" dxfId="4811" priority="773" operator="equal">
      <formula>"DSM"</formula>
    </cfRule>
  </conditionalFormatting>
  <conditionalFormatting sqref="S1:S2">
    <cfRule type="cellIs" dxfId="4810" priority="772" operator="equal">
      <formula>"DSM"</formula>
    </cfRule>
  </conditionalFormatting>
  <conditionalFormatting sqref="O78:Q80 S78:X80 S51:X60 R38:R39 R41:R43">
    <cfRule type="expression" dxfId="4809" priority="767">
      <formula>$T38="DSM"</formula>
    </cfRule>
    <cfRule type="expression" dxfId="4808" priority="768">
      <formula>SEARCH("RBT",$T1)&gt;0</formula>
    </cfRule>
    <cfRule type="expression" dxfId="4807" priority="769">
      <formula>SEARCH("GST",$T1)&gt;0</formula>
    </cfRule>
    <cfRule type="expression" dxfId="4806" priority="770">
      <formula>SEARCH("CHN",$T38)&gt;0</formula>
    </cfRule>
    <cfRule type="expression" dxfId="4805" priority="771">
      <formula>$T38="LFS"</formula>
    </cfRule>
  </conditionalFormatting>
  <conditionalFormatting sqref="R46 O41:Q43 S43:X50 O39:Q39">
    <cfRule type="expression" dxfId="4804" priority="692">
      <formula>$T39="DSM"</formula>
    </cfRule>
    <cfRule type="expression" dxfId="4803" priority="693">
      <formula>SEARCH("RBT",$T1)&gt;0</formula>
    </cfRule>
    <cfRule type="expression" dxfId="4802" priority="694">
      <formula>SEARCH("GST",$T1)&gt;0</formula>
    </cfRule>
    <cfRule type="expression" dxfId="4801" priority="695">
      <formula>SEARCH("CHN",$T39)&gt;0</formula>
    </cfRule>
    <cfRule type="expression" dxfId="4800" priority="696">
      <formula>$T39="LFS"</formula>
    </cfRule>
  </conditionalFormatting>
  <conditionalFormatting sqref="O46:Q46">
    <cfRule type="expression" dxfId="4799" priority="687">
      <formula>$T46="DSM"</formula>
    </cfRule>
    <cfRule type="expression" dxfId="4798" priority="688">
      <formula>SEARCH("RBT",$T7)&gt;0</formula>
    </cfRule>
    <cfRule type="expression" dxfId="4797" priority="689">
      <formula>SEARCH("GST",$T7)&gt;0</formula>
    </cfRule>
    <cfRule type="expression" dxfId="4796" priority="690">
      <formula>SEARCH("CHN",$T46)&gt;0</formula>
    </cfRule>
    <cfRule type="expression" dxfId="4795" priority="691">
      <formula>$T46="LFS"</formula>
    </cfRule>
  </conditionalFormatting>
  <conditionalFormatting sqref="O55:R55">
    <cfRule type="expression" dxfId="4794" priority="667">
      <formula>$T55="DSM"</formula>
    </cfRule>
    <cfRule type="expression" dxfId="4793" priority="668">
      <formula>SEARCH("RBT",$T17)&gt;0</formula>
    </cfRule>
    <cfRule type="expression" dxfId="4792" priority="669">
      <formula>SEARCH("GST",$T17)&gt;0</formula>
    </cfRule>
    <cfRule type="expression" dxfId="4791" priority="670">
      <formula>SEARCH("CHN",$T55)&gt;0</formula>
    </cfRule>
    <cfRule type="expression" dxfId="4790" priority="671">
      <formula>$T55="LFS"</formula>
    </cfRule>
  </conditionalFormatting>
  <conditionalFormatting sqref="R56">
    <cfRule type="expression" dxfId="4789" priority="662">
      <formula>$T56="DSM"</formula>
    </cfRule>
    <cfRule type="expression" dxfId="4788" priority="663">
      <formula>SEARCH("RBT",$T19)&gt;0</formula>
    </cfRule>
    <cfRule type="expression" dxfId="4787" priority="664">
      <formula>SEARCH("GST",$T19)&gt;0</formula>
    </cfRule>
    <cfRule type="expression" dxfId="4786" priority="665">
      <formula>SEARCH("CHN",$T56)&gt;0</formula>
    </cfRule>
    <cfRule type="expression" dxfId="4785" priority="666">
      <formula>$T56="LFS"</formula>
    </cfRule>
  </conditionalFormatting>
  <conditionalFormatting sqref="O56:Q56">
    <cfRule type="expression" dxfId="4784" priority="657">
      <formula>$T56="DSM"</formula>
    </cfRule>
    <cfRule type="expression" dxfId="4783" priority="658">
      <formula>SEARCH("RBT",$T18)&gt;0</formula>
    </cfRule>
    <cfRule type="expression" dxfId="4782" priority="659">
      <formula>SEARCH("GST",$T18)&gt;0</formula>
    </cfRule>
    <cfRule type="expression" dxfId="4781" priority="660">
      <formula>SEARCH("CHN",$T56)&gt;0</formula>
    </cfRule>
    <cfRule type="expression" dxfId="4780" priority="661">
      <formula>$T56="LFS"</formula>
    </cfRule>
  </conditionalFormatting>
  <conditionalFormatting sqref="R57">
    <cfRule type="expression" dxfId="4779" priority="647">
      <formula>$T57="DSM"</formula>
    </cfRule>
    <cfRule type="expression" dxfId="4778" priority="648">
      <formula>SEARCH("RBT",$T20)&gt;0</formula>
    </cfRule>
    <cfRule type="expression" dxfId="4777" priority="649">
      <formula>SEARCH("GST",$T20)&gt;0</formula>
    </cfRule>
    <cfRule type="expression" dxfId="4776" priority="650">
      <formula>SEARCH("CHN",$T57)&gt;0</formula>
    </cfRule>
    <cfRule type="expression" dxfId="4775" priority="651">
      <formula>$T57="LFS"</formula>
    </cfRule>
  </conditionalFormatting>
  <conditionalFormatting sqref="O57:Q57">
    <cfRule type="expression" dxfId="4774" priority="642">
      <formula>$T57="DSM"</formula>
    </cfRule>
    <cfRule type="expression" dxfId="4773" priority="643">
      <formula>SEARCH("RBT",$T19)&gt;0</formula>
    </cfRule>
    <cfRule type="expression" dxfId="4772" priority="644">
      <formula>SEARCH("GST",$T19)&gt;0</formula>
    </cfRule>
    <cfRule type="expression" dxfId="4771" priority="645">
      <formula>SEARCH("CHN",$T57)&gt;0</formula>
    </cfRule>
    <cfRule type="expression" dxfId="4770" priority="646">
      <formula>$T57="LFS"</formula>
    </cfRule>
  </conditionalFormatting>
  <conditionalFormatting sqref="R49">
    <cfRule type="expression" dxfId="4769" priority="632">
      <formula>$T49="DSM"</formula>
    </cfRule>
    <cfRule type="expression" dxfId="4768" priority="633">
      <formula>SEARCH("RBT",$T11)&gt;0</formula>
    </cfRule>
    <cfRule type="expression" dxfId="4767" priority="634">
      <formula>SEARCH("GST",$T11)&gt;0</formula>
    </cfRule>
    <cfRule type="expression" dxfId="4766" priority="635">
      <formula>SEARCH("CHN",$T49)&gt;0</formula>
    </cfRule>
    <cfRule type="expression" dxfId="4765" priority="636">
      <formula>$T49="LFS"</formula>
    </cfRule>
  </conditionalFormatting>
  <conditionalFormatting sqref="O49:Q49">
    <cfRule type="expression" dxfId="4764" priority="627">
      <formula>$T49="DSM"</formula>
    </cfRule>
    <cfRule type="expression" dxfId="4763" priority="628">
      <formula>SEARCH("RBT",$T10)&gt;0</formula>
    </cfRule>
    <cfRule type="expression" dxfId="4762" priority="629">
      <formula>SEARCH("GST",$T10)&gt;0</formula>
    </cfRule>
    <cfRule type="expression" dxfId="4761" priority="630">
      <formula>SEARCH("CHN",$T49)&gt;0</formula>
    </cfRule>
    <cfRule type="expression" dxfId="4760" priority="631">
      <formula>$T49="LFS"</formula>
    </cfRule>
  </conditionalFormatting>
  <conditionalFormatting sqref="R52">
    <cfRule type="expression" dxfId="4759" priority="612">
      <formula>$T52="DSM"</formula>
    </cfRule>
    <cfRule type="expression" dxfId="4758" priority="613">
      <formula>SEARCH("RBT",$T15)&gt;0</formula>
    </cfRule>
    <cfRule type="expression" dxfId="4757" priority="614">
      <formula>SEARCH("GST",$T15)&gt;0</formula>
    </cfRule>
    <cfRule type="expression" dxfId="4756" priority="615">
      <formula>SEARCH("CHN",$T52)&gt;0</formula>
    </cfRule>
    <cfRule type="expression" dxfId="4755" priority="616">
      <formula>$T52="LFS"</formula>
    </cfRule>
  </conditionalFormatting>
  <conditionalFormatting sqref="O52:Q52">
    <cfRule type="expression" dxfId="4754" priority="607">
      <formula>$T52="DSM"</formula>
    </cfRule>
    <cfRule type="expression" dxfId="4753" priority="608">
      <formula>SEARCH("RBT",$T14)&gt;0</formula>
    </cfRule>
    <cfRule type="expression" dxfId="4752" priority="609">
      <formula>SEARCH("GST",$T14)&gt;0</formula>
    </cfRule>
    <cfRule type="expression" dxfId="4751" priority="610">
      <formula>SEARCH("CHN",$T52)&gt;0</formula>
    </cfRule>
    <cfRule type="expression" dxfId="4750" priority="611">
      <formula>$T52="LFS"</formula>
    </cfRule>
  </conditionalFormatting>
  <conditionalFormatting sqref="R53">
    <cfRule type="expression" dxfId="4749" priority="597">
      <formula>$T53="DSM"</formula>
    </cfRule>
    <cfRule type="expression" dxfId="4748" priority="598">
      <formula>SEARCH("RBT",$T16)&gt;0</formula>
    </cfRule>
    <cfRule type="expression" dxfId="4747" priority="599">
      <formula>SEARCH("GST",$T16)&gt;0</formula>
    </cfRule>
    <cfRule type="expression" dxfId="4746" priority="600">
      <formula>SEARCH("CHN",$T53)&gt;0</formula>
    </cfRule>
    <cfRule type="expression" dxfId="4745" priority="601">
      <formula>$T53="LFS"</formula>
    </cfRule>
  </conditionalFormatting>
  <conditionalFormatting sqref="O53:Q53">
    <cfRule type="expression" dxfId="4744" priority="592">
      <formula>$T53="DSM"</formula>
    </cfRule>
    <cfRule type="expression" dxfId="4743" priority="593">
      <formula>SEARCH("RBT",$T15)&gt;0</formula>
    </cfRule>
    <cfRule type="expression" dxfId="4742" priority="594">
      <formula>SEARCH("GST",$T15)&gt;0</formula>
    </cfRule>
    <cfRule type="expression" dxfId="4741" priority="595">
      <formula>SEARCH("CHN",$T53)&gt;0</formula>
    </cfRule>
    <cfRule type="expression" dxfId="4740" priority="596">
      <formula>$T53="LFS"</formula>
    </cfRule>
  </conditionalFormatting>
  <conditionalFormatting sqref="R54">
    <cfRule type="expression" dxfId="4739" priority="582">
      <formula>$T54="DSM"</formula>
    </cfRule>
    <cfRule type="expression" dxfId="4738" priority="583">
      <formula>SEARCH("RBT",$T17)&gt;0</formula>
    </cfRule>
    <cfRule type="expression" dxfId="4737" priority="584">
      <formula>SEARCH("GST",$T17)&gt;0</formula>
    </cfRule>
    <cfRule type="expression" dxfId="4736" priority="585">
      <formula>SEARCH("CHN",$T54)&gt;0</formula>
    </cfRule>
    <cfRule type="expression" dxfId="4735" priority="586">
      <formula>$T54="LFS"</formula>
    </cfRule>
  </conditionalFormatting>
  <conditionalFormatting sqref="O54:Q54">
    <cfRule type="expression" dxfId="4734" priority="577">
      <formula>$T54="DSM"</formula>
    </cfRule>
    <cfRule type="expression" dxfId="4733" priority="578">
      <formula>SEARCH("RBT",$T16)&gt;0</formula>
    </cfRule>
    <cfRule type="expression" dxfId="4732" priority="579">
      <formula>SEARCH("GST",$T16)&gt;0</formula>
    </cfRule>
    <cfRule type="expression" dxfId="4731" priority="580">
      <formula>SEARCH("CHN",$T54)&gt;0</formula>
    </cfRule>
    <cfRule type="expression" dxfId="4730" priority="581">
      <formula>$T54="LFS"</formula>
    </cfRule>
  </conditionalFormatting>
  <conditionalFormatting sqref="R51">
    <cfRule type="expression" dxfId="4729" priority="567">
      <formula>$T51="DSM"</formula>
    </cfRule>
    <cfRule type="expression" dxfId="4728" priority="568">
      <formula>SEARCH("RBT",$T14)&gt;0</formula>
    </cfRule>
    <cfRule type="expression" dxfId="4727" priority="569">
      <formula>SEARCH("GST",$T14)&gt;0</formula>
    </cfRule>
    <cfRule type="expression" dxfId="4726" priority="570">
      <formula>SEARCH("CHN",$T51)&gt;0</formula>
    </cfRule>
    <cfRule type="expression" dxfId="4725" priority="571">
      <formula>$T51="LFS"</formula>
    </cfRule>
  </conditionalFormatting>
  <conditionalFormatting sqref="O51:Q51">
    <cfRule type="expression" dxfId="4724" priority="562">
      <formula>$T51="DSM"</formula>
    </cfRule>
    <cfRule type="expression" dxfId="4723" priority="563">
      <formula>SEARCH("RBT",$T12)&gt;0</formula>
    </cfRule>
    <cfRule type="expression" dxfId="4722" priority="564">
      <formula>SEARCH("GST",$T12)&gt;0</formula>
    </cfRule>
    <cfRule type="expression" dxfId="4721" priority="565">
      <formula>SEARCH("CHN",$T51)&gt;0</formula>
    </cfRule>
    <cfRule type="expression" dxfId="4720" priority="566">
      <formula>$T51="LFS"</formula>
    </cfRule>
  </conditionalFormatting>
  <conditionalFormatting sqref="R58">
    <cfRule type="expression" dxfId="4719" priority="552">
      <formula>$T58="DSM"</formula>
    </cfRule>
    <cfRule type="expression" dxfId="4718" priority="553">
      <formula>SEARCH("RBT",$T21)&gt;0</formula>
    </cfRule>
    <cfRule type="expression" dxfId="4717" priority="554">
      <formula>SEARCH("GST",$T21)&gt;0</formula>
    </cfRule>
    <cfRule type="expression" dxfId="4716" priority="555">
      <formula>SEARCH("CHN",$T58)&gt;0</formula>
    </cfRule>
    <cfRule type="expression" dxfId="4715" priority="556">
      <formula>$T58="LFS"</formula>
    </cfRule>
  </conditionalFormatting>
  <conditionalFormatting sqref="O58:Q58">
    <cfRule type="expression" dxfId="4714" priority="547">
      <formula>$T58="DSM"</formula>
    </cfRule>
    <cfRule type="expression" dxfId="4713" priority="548">
      <formula>SEARCH("RBT",$T20)&gt;0</formula>
    </cfRule>
    <cfRule type="expression" dxfId="4712" priority="549">
      <formula>SEARCH("GST",$T20)&gt;0</formula>
    </cfRule>
    <cfRule type="expression" dxfId="4711" priority="550">
      <formula>SEARCH("CHN",$T58)&gt;0</formula>
    </cfRule>
    <cfRule type="expression" dxfId="4710" priority="551">
      <formula>$T58="LFS"</formula>
    </cfRule>
  </conditionalFormatting>
  <conditionalFormatting sqref="R59:R60">
    <cfRule type="expression" dxfId="4709" priority="537">
      <formula>$T59="DSM"</formula>
    </cfRule>
    <cfRule type="expression" dxfId="4708" priority="538">
      <formula>SEARCH("RBT",$T22)&gt;0</formula>
    </cfRule>
    <cfRule type="expression" dxfId="4707" priority="539">
      <formula>SEARCH("GST",$T22)&gt;0</formula>
    </cfRule>
    <cfRule type="expression" dxfId="4706" priority="540">
      <formula>SEARCH("CHN",$T59)&gt;0</formula>
    </cfRule>
    <cfRule type="expression" dxfId="4705" priority="541">
      <formula>$T59="LFS"</formula>
    </cfRule>
  </conditionalFormatting>
  <conditionalFormatting sqref="O59:Q60">
    <cfRule type="expression" dxfId="4704" priority="532">
      <formula>$T59="DSM"</formula>
    </cfRule>
    <cfRule type="expression" dxfId="4703" priority="533">
      <formula>SEARCH("RBT",$T21)&gt;0</formula>
    </cfRule>
    <cfRule type="expression" dxfId="4702" priority="534">
      <formula>SEARCH("GST",$T21)&gt;0</formula>
    </cfRule>
    <cfRule type="expression" dxfId="4701" priority="535">
      <formula>SEARCH("CHN",$T59)&gt;0</formula>
    </cfRule>
    <cfRule type="expression" dxfId="4700" priority="536">
      <formula>$T59="LFS"</formula>
    </cfRule>
  </conditionalFormatting>
  <conditionalFormatting sqref="R61:R62 T61 V61 X61">
    <cfRule type="expression" dxfId="4699" priority="522">
      <formula>$T61="DSM"</formula>
    </cfRule>
    <cfRule type="expression" dxfId="4698" priority="523">
      <formula>SEARCH("RBT",$T24)&gt;0</formula>
    </cfRule>
    <cfRule type="expression" dxfId="4697" priority="524">
      <formula>SEARCH("GST",$T24)&gt;0</formula>
    </cfRule>
    <cfRule type="expression" dxfId="4696" priority="525">
      <formula>SEARCH("CHN",$T61)&gt;0</formula>
    </cfRule>
    <cfRule type="expression" dxfId="4695" priority="526">
      <formula>$T61="LFS"</formula>
    </cfRule>
  </conditionalFormatting>
  <conditionalFormatting sqref="O61:Q62 S61 U61 W61">
    <cfRule type="expression" dxfId="4694" priority="517">
      <formula>$T61="DSM"</formula>
    </cfRule>
    <cfRule type="expression" dxfId="4693" priority="518">
      <formula>SEARCH("RBT",$T23)&gt;0</formula>
    </cfRule>
    <cfRule type="expression" dxfId="4692" priority="519">
      <formula>SEARCH("GST",$T23)&gt;0</formula>
    </cfRule>
    <cfRule type="expression" dxfId="4691" priority="520">
      <formula>SEARCH("CHN",$T61)&gt;0</formula>
    </cfRule>
    <cfRule type="expression" dxfId="4690" priority="521">
      <formula>$T61="LFS"</formula>
    </cfRule>
  </conditionalFormatting>
  <conditionalFormatting sqref="S62:X66">
    <cfRule type="expression" dxfId="4689" priority="512">
      <formula>$T62="DSM"</formula>
    </cfRule>
    <cfRule type="expression" dxfId="4688" priority="513">
      <formula>SEARCH("RBT",$T24)&gt;0</formula>
    </cfRule>
    <cfRule type="expression" dxfId="4687" priority="514">
      <formula>SEARCH("GST",$T24)&gt;0</formula>
    </cfRule>
    <cfRule type="expression" dxfId="4686" priority="515">
      <formula>SEARCH("CHN",$T62)&gt;0</formula>
    </cfRule>
    <cfRule type="expression" dxfId="4685" priority="516">
      <formula>$T62="LFS"</formula>
    </cfRule>
  </conditionalFormatting>
  <conditionalFormatting sqref="R63">
    <cfRule type="expression" dxfId="4684" priority="507">
      <formula>$T63="DSM"</formula>
    </cfRule>
    <cfRule type="expression" dxfId="4683" priority="508">
      <formula>SEARCH("RBT",$T26)&gt;0</formula>
    </cfRule>
    <cfRule type="expression" dxfId="4682" priority="509">
      <formula>SEARCH("GST",$T26)&gt;0</formula>
    </cfRule>
    <cfRule type="expression" dxfId="4681" priority="510">
      <formula>SEARCH("CHN",$T63)&gt;0</formula>
    </cfRule>
    <cfRule type="expression" dxfId="4680" priority="511">
      <formula>$T63="LFS"</formula>
    </cfRule>
  </conditionalFormatting>
  <conditionalFormatting sqref="O63:Q63">
    <cfRule type="expression" dxfId="4679" priority="502">
      <formula>$T63="DSM"</formula>
    </cfRule>
    <cfRule type="expression" dxfId="4678" priority="503">
      <formula>SEARCH("RBT",$T25)&gt;0</formula>
    </cfRule>
    <cfRule type="expression" dxfId="4677" priority="504">
      <formula>SEARCH("GST",$T25)&gt;0</formula>
    </cfRule>
    <cfRule type="expression" dxfId="4676" priority="505">
      <formula>SEARCH("CHN",$T63)&gt;0</formula>
    </cfRule>
    <cfRule type="expression" dxfId="4675" priority="506">
      <formula>$T63="LFS"</formula>
    </cfRule>
  </conditionalFormatting>
  <conditionalFormatting sqref="R64">
    <cfRule type="expression" dxfId="4674" priority="492">
      <formula>$T64="DSM"</formula>
    </cfRule>
    <cfRule type="expression" dxfId="4673" priority="493">
      <formula>SEARCH("RBT",$T27)&gt;0</formula>
    </cfRule>
    <cfRule type="expression" dxfId="4672" priority="494">
      <formula>SEARCH("GST",$T27)&gt;0</formula>
    </cfRule>
    <cfRule type="expression" dxfId="4671" priority="495">
      <formula>SEARCH("CHN",$T64)&gt;0</formula>
    </cfRule>
    <cfRule type="expression" dxfId="4670" priority="496">
      <formula>$T64="LFS"</formula>
    </cfRule>
  </conditionalFormatting>
  <conditionalFormatting sqref="O64:Q64">
    <cfRule type="expression" dxfId="4669" priority="487">
      <formula>$T64="DSM"</formula>
    </cfRule>
    <cfRule type="expression" dxfId="4668" priority="488">
      <formula>SEARCH("RBT",$T26)&gt;0</formula>
    </cfRule>
    <cfRule type="expression" dxfId="4667" priority="489">
      <formula>SEARCH("GST",$T26)&gt;0</formula>
    </cfRule>
    <cfRule type="expression" dxfId="4666" priority="490">
      <formula>SEARCH("CHN",$T64)&gt;0</formula>
    </cfRule>
    <cfRule type="expression" dxfId="4665" priority="491">
      <formula>$T64="LFS"</formula>
    </cfRule>
  </conditionalFormatting>
  <conditionalFormatting sqref="J73:N77 D75:E77 K75:R75 C82:H84 J87:N87 J82:N84 R87 C93:C94 G93:H94 R82:X84 O97:O102 P97:Q97 P100:Q100 P102:Q102 S85:X95 J37:N38">
    <cfRule type="expression" dxfId="4664" priority="995">
      <formula>$T37="DSM"</formula>
    </cfRule>
    <cfRule type="expression" dxfId="4663" priority="996">
      <formula>SEARCH("RBT",$T8)&gt;0</formula>
    </cfRule>
    <cfRule type="expression" dxfId="4662" priority="997">
      <formula>SEARCH("GST",$T8)&gt;0</formula>
    </cfRule>
    <cfRule type="expression" dxfId="4661" priority="998">
      <formula>SEARCH("CHN",$T37)&gt;0</formula>
    </cfRule>
    <cfRule type="expression" dxfId="4660" priority="999">
      <formula>$T37="LFS"</formula>
    </cfRule>
  </conditionalFormatting>
  <conditionalFormatting sqref="J112:N114">
    <cfRule type="expression" dxfId="4659" priority="1000">
      <formula>$T112="DSM"</formula>
    </cfRule>
    <cfRule type="expression" dxfId="4658" priority="1001">
      <formula>SEARCH("RBT",$T81)&gt;0</formula>
    </cfRule>
    <cfRule type="expression" dxfId="4657" priority="1002">
      <formula>SEARCH("GST",$T81)&gt;0</formula>
    </cfRule>
    <cfRule type="expression" dxfId="4656" priority="1003">
      <formula>SEARCH("CHN",$T112)&gt;0</formula>
    </cfRule>
    <cfRule type="expression" dxfId="4655" priority="1004">
      <formula>$T112="LFS"</formula>
    </cfRule>
  </conditionalFormatting>
  <conditionalFormatting sqref="O38:Q38">
    <cfRule type="expression" dxfId="4654" priority="1005">
      <formula>$T38="DSM"</formula>
    </cfRule>
    <cfRule type="expression" dxfId="4653" priority="1006">
      <formula>SEARCH("RBT",#REF!)&gt;0</formula>
    </cfRule>
    <cfRule type="expression" dxfId="4652" priority="1007">
      <formula>SEARCH("GST",#REF!)&gt;0</formula>
    </cfRule>
    <cfRule type="expression" dxfId="4651" priority="1008">
      <formula>SEARCH("CHN",$T38)&gt;0</formula>
    </cfRule>
    <cfRule type="expression" dxfId="4650" priority="1009">
      <formula>$T38="LFS"</formula>
    </cfRule>
  </conditionalFormatting>
  <conditionalFormatting sqref="R67:R70">
    <cfRule type="expression" dxfId="4649" priority="462">
      <formula>$T67="DSM"</formula>
    </cfRule>
    <cfRule type="expression" dxfId="4648" priority="463">
      <formula>SEARCH("RBT",$T30)&gt;0</formula>
    </cfRule>
    <cfRule type="expression" dxfId="4647" priority="464">
      <formula>SEARCH("GST",$T30)&gt;0</formula>
    </cfRule>
    <cfRule type="expression" dxfId="4646" priority="465">
      <formula>SEARCH("CHN",$T67)&gt;0</formula>
    </cfRule>
    <cfRule type="expression" dxfId="4645" priority="466">
      <formula>$T67="LFS"</formula>
    </cfRule>
  </conditionalFormatting>
  <conditionalFormatting sqref="O67:Q70">
    <cfRule type="expression" dxfId="4644" priority="457">
      <formula>$T67="DSM"</formula>
    </cfRule>
    <cfRule type="expression" dxfId="4643" priority="458">
      <formula>SEARCH("RBT",$T29)&gt;0</formula>
    </cfRule>
    <cfRule type="expression" dxfId="4642" priority="459">
      <formula>SEARCH("GST",$T29)&gt;0</formula>
    </cfRule>
    <cfRule type="expression" dxfId="4641" priority="460">
      <formula>SEARCH("CHN",$T67)&gt;0</formula>
    </cfRule>
    <cfRule type="expression" dxfId="4640" priority="461">
      <formula>$T67="LFS"</formula>
    </cfRule>
  </conditionalFormatting>
  <conditionalFormatting sqref="S67:X76">
    <cfRule type="expression" dxfId="4639" priority="452">
      <formula>$T67="DSM"</formula>
    </cfRule>
    <cfRule type="expression" dxfId="4638" priority="453">
      <formula>SEARCH("RBT",$T29)&gt;0</formula>
    </cfRule>
    <cfRule type="expression" dxfId="4637" priority="454">
      <formula>SEARCH("GST",$T29)&gt;0</formula>
    </cfRule>
    <cfRule type="expression" dxfId="4636" priority="455">
      <formula>SEARCH("CHN",$T67)&gt;0</formula>
    </cfRule>
    <cfRule type="expression" dxfId="4635" priority="456">
      <formula>$T67="LFS"</formula>
    </cfRule>
  </conditionalFormatting>
  <conditionalFormatting sqref="R72:R74">
    <cfRule type="expression" dxfId="4634" priority="442">
      <formula>$T72="DSM"</formula>
    </cfRule>
    <cfRule type="expression" dxfId="4633" priority="443">
      <formula>SEARCH("RBT",$T35)&gt;0</formula>
    </cfRule>
    <cfRule type="expression" dxfId="4632" priority="444">
      <formula>SEARCH("GST",$T35)&gt;0</formula>
    </cfRule>
    <cfRule type="expression" dxfId="4631" priority="445">
      <formula>SEARCH("CHN",$T72)&gt;0</formula>
    </cfRule>
    <cfRule type="expression" dxfId="4630" priority="446">
      <formula>$T72="LFS"</formula>
    </cfRule>
  </conditionalFormatting>
  <conditionalFormatting sqref="O72:Q74">
    <cfRule type="expression" dxfId="4629" priority="437">
      <formula>$T72="DSM"</formula>
    </cfRule>
    <cfRule type="expression" dxfId="4628" priority="438">
      <formula>SEARCH("RBT",$T34)&gt;0</formula>
    </cfRule>
    <cfRule type="expression" dxfId="4627" priority="439">
      <formula>SEARCH("GST",$T34)&gt;0</formula>
    </cfRule>
    <cfRule type="expression" dxfId="4626" priority="440">
      <formula>SEARCH("CHN",$T72)&gt;0</formula>
    </cfRule>
    <cfRule type="expression" dxfId="4625" priority="441">
      <formula>$T72="LFS"</formula>
    </cfRule>
  </conditionalFormatting>
  <conditionalFormatting sqref="R76:R77">
    <cfRule type="expression" dxfId="4624" priority="422">
      <formula>$T76="DSM"</formula>
    </cfRule>
    <cfRule type="expression" dxfId="4623" priority="423">
      <formula>SEARCH("RBT",$T39)&gt;0</formula>
    </cfRule>
    <cfRule type="expression" dxfId="4622" priority="424">
      <formula>SEARCH("GST",$T39)&gt;0</formula>
    </cfRule>
    <cfRule type="expression" dxfId="4621" priority="425">
      <formula>SEARCH("CHN",$T76)&gt;0</formula>
    </cfRule>
    <cfRule type="expression" dxfId="4620" priority="426">
      <formula>$T76="LFS"</formula>
    </cfRule>
  </conditionalFormatting>
  <conditionalFormatting sqref="O76:Q77">
    <cfRule type="expression" dxfId="4619" priority="417">
      <formula>$T76="DSM"</formula>
    </cfRule>
    <cfRule type="expression" dxfId="4618" priority="418">
      <formula>SEARCH("RBT",$T38)&gt;0</formula>
    </cfRule>
    <cfRule type="expression" dxfId="4617" priority="419">
      <formula>SEARCH("GST",$T38)&gt;0</formula>
    </cfRule>
    <cfRule type="expression" dxfId="4616" priority="420">
      <formula>SEARCH("CHN",$T76)&gt;0</formula>
    </cfRule>
    <cfRule type="expression" dxfId="4615" priority="421">
      <formula>$T76="LFS"</formula>
    </cfRule>
  </conditionalFormatting>
  <conditionalFormatting sqref="S77:X77">
    <cfRule type="expression" dxfId="4614" priority="412">
      <formula>$T77="DSM"</formula>
    </cfRule>
    <cfRule type="expression" dxfId="4613" priority="413">
      <formula>SEARCH("RBT",$T39)&gt;0</formula>
    </cfRule>
    <cfRule type="expression" dxfId="4612" priority="414">
      <formula>SEARCH("GST",$T39)&gt;0</formula>
    </cfRule>
    <cfRule type="expression" dxfId="4611" priority="415">
      <formula>SEARCH("CHN",$T77)&gt;0</formula>
    </cfRule>
    <cfRule type="expression" dxfId="4610" priority="416">
      <formula>$T77="LFS"</formula>
    </cfRule>
  </conditionalFormatting>
  <conditionalFormatting sqref="S121:X138">
    <cfRule type="cellIs" dxfId="4609" priority="300" operator="equal">
      <formula>"DSM"</formula>
    </cfRule>
  </conditionalFormatting>
  <conditionalFormatting sqref="G136:H136">
    <cfRule type="expression" dxfId="4608" priority="288">
      <formula>$T136="DSM"</formula>
    </cfRule>
    <cfRule type="expression" dxfId="4607" priority="289">
      <formula>SEARCH("RBT",$T106)&gt;0</formula>
    </cfRule>
    <cfRule type="expression" dxfId="4606" priority="290">
      <formula>SEARCH("GST",$T106)&gt;0</formula>
    </cfRule>
    <cfRule type="expression" dxfId="4605" priority="291">
      <formula>SEARCH("CHN",$T136)&gt;0</formula>
    </cfRule>
    <cfRule type="expression" dxfId="4604" priority="292">
      <formula>$T136="LFS"</formula>
    </cfRule>
  </conditionalFormatting>
  <conditionalFormatting sqref="G137:H137">
    <cfRule type="expression" dxfId="4603" priority="283">
      <formula>$T137="DSM"</formula>
    </cfRule>
    <cfRule type="expression" dxfId="4602" priority="284">
      <formula>SEARCH("RBT",$T107)&gt;0</formula>
    </cfRule>
    <cfRule type="expression" dxfId="4601" priority="285">
      <formula>SEARCH("GST",$T107)&gt;0</formula>
    </cfRule>
    <cfRule type="expression" dxfId="4600" priority="286">
      <formula>SEARCH("CHN",$T137)&gt;0</formula>
    </cfRule>
    <cfRule type="expression" dxfId="4599" priority="287">
      <formula>$T137="LFS"</formula>
    </cfRule>
  </conditionalFormatting>
  <conditionalFormatting sqref="G138:H138">
    <cfRule type="expression" dxfId="4598" priority="278">
      <formula>$T138="DSM"</formula>
    </cfRule>
    <cfRule type="expression" dxfId="4597" priority="279">
      <formula>SEARCH("RBT",$T108)&gt;0</formula>
    </cfRule>
    <cfRule type="expression" dxfId="4596" priority="280">
      <formula>SEARCH("GST",$T108)&gt;0</formula>
    </cfRule>
    <cfRule type="expression" dxfId="4595" priority="281">
      <formula>SEARCH("CHN",$T138)&gt;0</formula>
    </cfRule>
    <cfRule type="expression" dxfId="4594" priority="282">
      <formula>$T138="LFS"</formula>
    </cfRule>
  </conditionalFormatting>
  <conditionalFormatting sqref="G176:H178">
    <cfRule type="expression" dxfId="4593" priority="253">
      <formula>$T176="DSM"</formula>
    </cfRule>
    <cfRule type="expression" dxfId="4592" priority="254">
      <formula>SEARCH("RBT",$T146)&gt;0</formula>
    </cfRule>
    <cfRule type="expression" dxfId="4591" priority="255">
      <formula>SEARCH("GST",$T146)&gt;0</formula>
    </cfRule>
    <cfRule type="expression" dxfId="4590" priority="256">
      <formula>SEARCH("CHN",$T176)&gt;0</formula>
    </cfRule>
    <cfRule type="expression" dxfId="4589" priority="257">
      <formula>$T176="LFS"</formula>
    </cfRule>
  </conditionalFormatting>
  <conditionalFormatting sqref="G179:H179">
    <cfRule type="expression" dxfId="4588" priority="248">
      <formula>$T179="DSM"</formula>
    </cfRule>
    <cfRule type="expression" dxfId="4587" priority="249">
      <formula>SEARCH("RBT",$T149)&gt;0</formula>
    </cfRule>
    <cfRule type="expression" dxfId="4586" priority="250">
      <formula>SEARCH("GST",$T149)&gt;0</formula>
    </cfRule>
    <cfRule type="expression" dxfId="4585" priority="251">
      <formula>SEARCH("CHN",$T179)&gt;0</formula>
    </cfRule>
    <cfRule type="expression" dxfId="4584" priority="252">
      <formula>$T179="LFS"</formula>
    </cfRule>
  </conditionalFormatting>
  <conditionalFormatting sqref="S186:X186">
    <cfRule type="expression" dxfId="4583" priority="238">
      <formula>$T186="DSM"</formula>
    </cfRule>
    <cfRule type="expression" dxfId="4582" priority="239">
      <formula>SEARCH("RBT",$T156)&gt;0</formula>
    </cfRule>
    <cfRule type="expression" dxfId="4581" priority="240">
      <formula>SEARCH("GST",$T156)&gt;0</formula>
    </cfRule>
    <cfRule type="expression" dxfId="4580" priority="241">
      <formula>SEARCH("CHN",$T186)&gt;0</formula>
    </cfRule>
    <cfRule type="expression" dxfId="4579" priority="242">
      <formula>$T186="LFS"</formula>
    </cfRule>
  </conditionalFormatting>
  <conditionalFormatting sqref="O186">
    <cfRule type="expression" dxfId="4578" priority="243">
      <formula>$T186="DSM"</formula>
    </cfRule>
    <cfRule type="expression" dxfId="4577" priority="244">
      <formula>SEARCH("RBT",$T157)&gt;0</formula>
    </cfRule>
    <cfRule type="expression" dxfId="4576" priority="245">
      <formula>SEARCH("GST",$T157)&gt;0</formula>
    </cfRule>
    <cfRule type="expression" dxfId="4575" priority="246">
      <formula>SEARCH("CHN",$T186)&gt;0</formula>
    </cfRule>
    <cfRule type="expression" dxfId="4574" priority="247">
      <formula>$T186="LFS"</formula>
    </cfRule>
  </conditionalFormatting>
  <conditionalFormatting sqref="S187:X187">
    <cfRule type="expression" dxfId="4573" priority="228">
      <formula>$T187="DSM"</formula>
    </cfRule>
    <cfRule type="expression" dxfId="4572" priority="229">
      <formula>SEARCH("RBT",$T157)&gt;0</formula>
    </cfRule>
    <cfRule type="expression" dxfId="4571" priority="230">
      <formula>SEARCH("GST",$T157)&gt;0</formula>
    </cfRule>
    <cfRule type="expression" dxfId="4570" priority="231">
      <formula>SEARCH("CHN",$T187)&gt;0</formula>
    </cfRule>
    <cfRule type="expression" dxfId="4569" priority="232">
      <formula>$T187="LFS"</formula>
    </cfRule>
  </conditionalFormatting>
  <conditionalFormatting sqref="O187">
    <cfRule type="expression" dxfId="4568" priority="233">
      <formula>$T187="DSM"</formula>
    </cfRule>
    <cfRule type="expression" dxfId="4567" priority="234">
      <formula>SEARCH("RBT",$T158)&gt;0</formula>
    </cfRule>
    <cfRule type="expression" dxfId="4566" priority="235">
      <formula>SEARCH("GST",$T158)&gt;0</formula>
    </cfRule>
    <cfRule type="expression" dxfId="4565" priority="236">
      <formula>SEARCH("CHN",$T187)&gt;0</formula>
    </cfRule>
    <cfRule type="expression" dxfId="4564" priority="237">
      <formula>$T187="LFS"</formula>
    </cfRule>
  </conditionalFormatting>
  <conditionalFormatting sqref="G191:H194">
    <cfRule type="expression" dxfId="4563" priority="223">
      <formula>$T191="DSM"</formula>
    </cfRule>
    <cfRule type="expression" dxfId="4562" priority="224">
      <formula>SEARCH("RBT",$T161)&gt;0</formula>
    </cfRule>
    <cfRule type="expression" dxfId="4561" priority="225">
      <formula>SEARCH("GST",$T161)&gt;0</formula>
    </cfRule>
    <cfRule type="expression" dxfId="4560" priority="226">
      <formula>SEARCH("CHN",$T191)&gt;0</formula>
    </cfRule>
    <cfRule type="expression" dxfId="4559" priority="227">
      <formula>$T191="LFS"</formula>
    </cfRule>
  </conditionalFormatting>
  <conditionalFormatting sqref="S212:S218">
    <cfRule type="cellIs" dxfId="4558" priority="222" operator="equal">
      <formula>"DSM"</formula>
    </cfRule>
  </conditionalFormatting>
  <conditionalFormatting sqref="S210">
    <cfRule type="cellIs" dxfId="4557" priority="221" operator="equal">
      <formula>"DSM"</formula>
    </cfRule>
  </conditionalFormatting>
  <conditionalFormatting sqref="S211">
    <cfRule type="cellIs" dxfId="4556" priority="220" operator="equal">
      <formula>"DSM"</formula>
    </cfRule>
  </conditionalFormatting>
  <conditionalFormatting sqref="G219:H219">
    <cfRule type="expression" dxfId="4555" priority="215">
      <formula>$T219="DSM"</formula>
    </cfRule>
    <cfRule type="expression" dxfId="4554" priority="216">
      <formula>SEARCH("RBT",$T189)&gt;0</formula>
    </cfRule>
    <cfRule type="expression" dxfId="4553" priority="217">
      <formula>SEARCH("GST",$T189)&gt;0</formula>
    </cfRule>
    <cfRule type="expression" dxfId="4552" priority="218">
      <formula>SEARCH("CHN",$T219)&gt;0</formula>
    </cfRule>
    <cfRule type="expression" dxfId="4551" priority="219">
      <formula>$T219="LFS"</formula>
    </cfRule>
  </conditionalFormatting>
  <conditionalFormatting sqref="C219">
    <cfRule type="expression" dxfId="4550" priority="210">
      <formula>$T219="DSM"</formula>
    </cfRule>
    <cfRule type="expression" dxfId="4549" priority="211">
      <formula>SEARCH("RBT",$T189)&gt;0</formula>
    </cfRule>
    <cfRule type="expression" dxfId="4548" priority="212">
      <formula>SEARCH("GST",$T189)&gt;0</formula>
    </cfRule>
    <cfRule type="expression" dxfId="4547" priority="213">
      <formula>SEARCH("CHN",$T219)&gt;0</formula>
    </cfRule>
    <cfRule type="expression" dxfId="4546" priority="214">
      <formula>$T219="LFS"</formula>
    </cfRule>
  </conditionalFormatting>
  <conditionalFormatting sqref="S219:S225">
    <cfRule type="cellIs" dxfId="4545" priority="209" operator="equal">
      <formula>"DSM"</formula>
    </cfRule>
  </conditionalFormatting>
  <conditionalFormatting sqref="S227:S231 S233:S234">
    <cfRule type="cellIs" dxfId="4544" priority="208" operator="equal">
      <formula>"DSM"</formula>
    </cfRule>
  </conditionalFormatting>
  <conditionalFormatting sqref="S232">
    <cfRule type="cellIs" dxfId="4543" priority="207" operator="equal">
      <formula>"DSM"</formula>
    </cfRule>
  </conditionalFormatting>
  <conditionalFormatting sqref="C234">
    <cfRule type="expression" dxfId="4542" priority="202">
      <formula>$T234="DSM"</formula>
    </cfRule>
    <cfRule type="expression" dxfId="4541" priority="203">
      <formula>SEARCH("RBT",$T204)&gt;0</formula>
    </cfRule>
    <cfRule type="expression" dxfId="4540" priority="204">
      <formula>SEARCH("GST",$T204)&gt;0</formula>
    </cfRule>
    <cfRule type="expression" dxfId="4539" priority="205">
      <formula>SEARCH("CHN",$T234)&gt;0</formula>
    </cfRule>
    <cfRule type="expression" dxfId="4538" priority="206">
      <formula>$T234="LFS"</formula>
    </cfRule>
  </conditionalFormatting>
  <conditionalFormatting sqref="C235">
    <cfRule type="expression" dxfId="4537" priority="197">
      <formula>$T235="DSM"</formula>
    </cfRule>
    <cfRule type="expression" dxfId="4536" priority="198">
      <formula>SEARCH("RBT",$T205)&gt;0</formula>
    </cfRule>
    <cfRule type="expression" dxfId="4535" priority="199">
      <formula>SEARCH("GST",$T205)&gt;0</formula>
    </cfRule>
    <cfRule type="expression" dxfId="4534" priority="200">
      <formula>SEARCH("CHN",$T235)&gt;0</formula>
    </cfRule>
    <cfRule type="expression" dxfId="4533" priority="201">
      <formula>$T235="LFS"</formula>
    </cfRule>
  </conditionalFormatting>
  <conditionalFormatting sqref="C236">
    <cfRule type="expression" dxfId="4532" priority="192">
      <formula>$T236="DSM"</formula>
    </cfRule>
    <cfRule type="expression" dxfId="4531" priority="193">
      <formula>SEARCH("RBT",$T206)&gt;0</formula>
    </cfRule>
    <cfRule type="expression" dxfId="4530" priority="194">
      <formula>SEARCH("GST",$T206)&gt;0</formula>
    </cfRule>
    <cfRule type="expression" dxfId="4529" priority="195">
      <formula>SEARCH("CHN",$T236)&gt;0</formula>
    </cfRule>
    <cfRule type="expression" dxfId="4528" priority="196">
      <formula>$T236="LFS"</formula>
    </cfRule>
  </conditionalFormatting>
  <conditionalFormatting sqref="G234:H234">
    <cfRule type="expression" dxfId="4527" priority="187">
      <formula>$T234="DSM"</formula>
    </cfRule>
    <cfRule type="expression" dxfId="4526" priority="188">
      <formula>SEARCH("RBT",$T204)&gt;0</formula>
    </cfRule>
    <cfRule type="expression" dxfId="4525" priority="189">
      <formula>SEARCH("GST",$T204)&gt;0</formula>
    </cfRule>
    <cfRule type="expression" dxfId="4524" priority="190">
      <formula>SEARCH("CHN",$T234)&gt;0</formula>
    </cfRule>
    <cfRule type="expression" dxfId="4523" priority="191">
      <formula>$T234="LFS"</formula>
    </cfRule>
  </conditionalFormatting>
  <conditionalFormatting sqref="S235">
    <cfRule type="cellIs" dxfId="4522" priority="186" operator="equal">
      <formula>"DSM"</formula>
    </cfRule>
  </conditionalFormatting>
  <conditionalFormatting sqref="S236">
    <cfRule type="cellIs" dxfId="4521" priority="185" operator="equal">
      <formula>"DSM"</formula>
    </cfRule>
  </conditionalFormatting>
  <conditionalFormatting sqref="S256">
    <cfRule type="cellIs" dxfId="4520" priority="184" operator="equal">
      <formula>"DSM"</formula>
    </cfRule>
  </conditionalFormatting>
  <conditionalFormatting sqref="S248:S255">
    <cfRule type="cellIs" dxfId="4519" priority="183" operator="equal">
      <formula>"DSM"</formula>
    </cfRule>
  </conditionalFormatting>
  <conditionalFormatting sqref="C260">
    <cfRule type="expression" dxfId="4518" priority="178">
      <formula>$T260="DSM"</formula>
    </cfRule>
    <cfRule type="expression" dxfId="4517" priority="179">
      <formula>SEARCH("RBT",$T230)&gt;0</formula>
    </cfRule>
    <cfRule type="expression" dxfId="4516" priority="180">
      <formula>SEARCH("GST",$T230)&gt;0</formula>
    </cfRule>
    <cfRule type="expression" dxfId="4515" priority="181">
      <formula>SEARCH("CHN",$T260)&gt;0</formula>
    </cfRule>
    <cfRule type="expression" dxfId="4514" priority="182">
      <formula>$T260="LFS"</formula>
    </cfRule>
  </conditionalFormatting>
  <conditionalFormatting sqref="C261">
    <cfRule type="expression" dxfId="4513" priority="173">
      <formula>$T261="DSM"</formula>
    </cfRule>
    <cfRule type="expression" dxfId="4512" priority="174">
      <formula>SEARCH("RBT",$T231)&gt;0</formula>
    </cfRule>
    <cfRule type="expression" dxfId="4511" priority="175">
      <formula>SEARCH("GST",$T231)&gt;0</formula>
    </cfRule>
    <cfRule type="expression" dxfId="4510" priority="176">
      <formula>SEARCH("CHN",$T261)&gt;0</formula>
    </cfRule>
    <cfRule type="expression" dxfId="4509" priority="177">
      <formula>$T261="LFS"</formula>
    </cfRule>
  </conditionalFormatting>
  <conditionalFormatting sqref="C262">
    <cfRule type="expression" dxfId="4508" priority="168">
      <formula>$T262="DSM"</formula>
    </cfRule>
    <cfRule type="expression" dxfId="4507" priority="169">
      <formula>SEARCH("RBT",$T232)&gt;0</formula>
    </cfRule>
    <cfRule type="expression" dxfId="4506" priority="170">
      <formula>SEARCH("GST",$T232)&gt;0</formula>
    </cfRule>
    <cfRule type="expression" dxfId="4505" priority="171">
      <formula>SEARCH("CHN",$T262)&gt;0</formula>
    </cfRule>
    <cfRule type="expression" dxfId="4504" priority="172">
      <formula>$T262="LFS"</formula>
    </cfRule>
  </conditionalFormatting>
  <conditionalFormatting sqref="G260:H260">
    <cfRule type="expression" dxfId="4503" priority="163">
      <formula>$T260="DSM"</formula>
    </cfRule>
    <cfRule type="expression" dxfId="4502" priority="164">
      <formula>SEARCH("RBT",$T230)&gt;0</formula>
    </cfRule>
    <cfRule type="expression" dxfId="4501" priority="165">
      <formula>SEARCH("GST",$T230)&gt;0</formula>
    </cfRule>
    <cfRule type="expression" dxfId="4500" priority="166">
      <formula>SEARCH("CHN",$T260)&gt;0</formula>
    </cfRule>
    <cfRule type="expression" dxfId="4499" priority="167">
      <formula>$T260="LFS"</formula>
    </cfRule>
  </conditionalFormatting>
  <conditionalFormatting sqref="S257:S263 S265">
    <cfRule type="cellIs" dxfId="4498" priority="162" operator="equal">
      <formula>"DSM"</formula>
    </cfRule>
  </conditionalFormatting>
  <conditionalFormatting sqref="S264">
    <cfRule type="cellIs" dxfId="4497" priority="161" operator="equal">
      <formula>"DSM"</formula>
    </cfRule>
  </conditionalFormatting>
  <conditionalFormatting sqref="C269:C271">
    <cfRule type="expression" dxfId="4496" priority="156">
      <formula>$T269="DSM"</formula>
    </cfRule>
    <cfRule type="expression" dxfId="4495" priority="157">
      <formula>SEARCH("RBT",$T239)&gt;0</formula>
    </cfRule>
    <cfRule type="expression" dxfId="4494" priority="158">
      <formula>SEARCH("GST",$T239)&gt;0</formula>
    </cfRule>
    <cfRule type="expression" dxfId="4493" priority="159">
      <formula>SEARCH("CHN",$T269)&gt;0</formula>
    </cfRule>
    <cfRule type="expression" dxfId="4492" priority="160">
      <formula>$T269="LFS"</formula>
    </cfRule>
  </conditionalFormatting>
  <conditionalFormatting sqref="G269:H269">
    <cfRule type="expression" dxfId="4491" priority="151">
      <formula>$T269="DSM"</formula>
    </cfRule>
    <cfRule type="expression" dxfId="4490" priority="152">
      <formula>SEARCH("RBT",$T239)&gt;0</formula>
    </cfRule>
    <cfRule type="expression" dxfId="4489" priority="153">
      <formula>SEARCH("GST",$T239)&gt;0</formula>
    </cfRule>
    <cfRule type="expression" dxfId="4488" priority="154">
      <formula>SEARCH("CHN",$T269)&gt;0</formula>
    </cfRule>
    <cfRule type="expression" dxfId="4487" priority="155">
      <formula>$T269="LFS"</formula>
    </cfRule>
  </conditionalFormatting>
  <conditionalFormatting sqref="G270:H270">
    <cfRule type="expression" dxfId="4486" priority="146">
      <formula>$T270="DSM"</formula>
    </cfRule>
    <cfRule type="expression" dxfId="4485" priority="147">
      <formula>SEARCH("RBT",$T240)&gt;0</formula>
    </cfRule>
    <cfRule type="expression" dxfId="4484" priority="148">
      <formula>SEARCH("GST",$T240)&gt;0</formula>
    </cfRule>
    <cfRule type="expression" dxfId="4483" priority="149">
      <formula>SEARCH("CHN",$T270)&gt;0</formula>
    </cfRule>
    <cfRule type="expression" dxfId="4482" priority="150">
      <formula>$T270="LFS"</formula>
    </cfRule>
  </conditionalFormatting>
  <conditionalFormatting sqref="S266:S272 S274">
    <cfRule type="cellIs" dxfId="4481" priority="145" operator="equal">
      <formula>"DSM"</formula>
    </cfRule>
  </conditionalFormatting>
  <conditionalFormatting sqref="S273">
    <cfRule type="cellIs" dxfId="4480" priority="144" operator="equal">
      <formula>"DSM"</formula>
    </cfRule>
  </conditionalFormatting>
  <conditionalFormatting sqref="S275:S278">
    <cfRule type="cellIs" dxfId="4479" priority="143" operator="equal">
      <formula>"DSM"</formula>
    </cfRule>
  </conditionalFormatting>
  <conditionalFormatting sqref="S280:S283 S285">
    <cfRule type="cellIs" dxfId="4478" priority="142" operator="equal">
      <formula>"DSM"</formula>
    </cfRule>
  </conditionalFormatting>
  <conditionalFormatting sqref="C282:C285">
    <cfRule type="expression" dxfId="4477" priority="137">
      <formula>$T282="DSM"</formula>
    </cfRule>
    <cfRule type="expression" dxfId="4476" priority="138">
      <formula>SEARCH("RBT",$T252)&gt;0</formula>
    </cfRule>
    <cfRule type="expression" dxfId="4475" priority="139">
      <formula>SEARCH("GST",$T252)&gt;0</formula>
    </cfRule>
    <cfRule type="expression" dxfId="4474" priority="140">
      <formula>SEARCH("CHN",$T282)&gt;0</formula>
    </cfRule>
    <cfRule type="expression" dxfId="4473" priority="141">
      <formula>$T282="LFS"</formula>
    </cfRule>
  </conditionalFormatting>
  <conditionalFormatting sqref="C292:C294">
    <cfRule type="expression" dxfId="4472" priority="132">
      <formula>$T292="DSM"</formula>
    </cfRule>
    <cfRule type="expression" dxfId="4471" priority="133">
      <formula>SEARCH("RBT",$T262)&gt;0</formula>
    </cfRule>
    <cfRule type="expression" dxfId="4470" priority="134">
      <formula>SEARCH("GST",$T262)&gt;0</formula>
    </cfRule>
    <cfRule type="expression" dxfId="4469" priority="135">
      <formula>SEARCH("CHN",$T292)&gt;0</formula>
    </cfRule>
    <cfRule type="expression" dxfId="4468" priority="136">
      <formula>$T292="LFS"</formula>
    </cfRule>
  </conditionalFormatting>
  <conditionalFormatting sqref="S286:S288">
    <cfRule type="cellIs" dxfId="4467" priority="131" operator="equal">
      <formula>"DSM"</formula>
    </cfRule>
  </conditionalFormatting>
  <conditionalFormatting sqref="S289:S294">
    <cfRule type="cellIs" dxfId="4466" priority="130" operator="equal">
      <formula>"DSM"</formula>
    </cfRule>
  </conditionalFormatting>
  <conditionalFormatting sqref="S295">
    <cfRule type="cellIs" dxfId="4465" priority="129" operator="equal">
      <formula>"DSM"</formula>
    </cfRule>
  </conditionalFormatting>
  <conditionalFormatting sqref="S298">
    <cfRule type="cellIs" dxfId="4464" priority="128" operator="equal">
      <formula>"DSM"</formula>
    </cfRule>
  </conditionalFormatting>
  <conditionalFormatting sqref="S299">
    <cfRule type="cellIs" dxfId="4463" priority="127" operator="equal">
      <formula>"DSM"</formula>
    </cfRule>
  </conditionalFormatting>
  <conditionalFormatting sqref="S300">
    <cfRule type="cellIs" dxfId="4462" priority="126" operator="equal">
      <formula>"DSM"</formula>
    </cfRule>
  </conditionalFormatting>
  <conditionalFormatting sqref="S301">
    <cfRule type="cellIs" dxfId="4461" priority="125" operator="equal">
      <formula>"DSM"</formula>
    </cfRule>
  </conditionalFormatting>
  <conditionalFormatting sqref="S302">
    <cfRule type="cellIs" dxfId="4460" priority="124" operator="equal">
      <formula>"DSM"</formula>
    </cfRule>
  </conditionalFormatting>
  <conditionalFormatting sqref="S303">
    <cfRule type="cellIs" dxfId="4459" priority="123" operator="equal">
      <formula>"DSM"</formula>
    </cfRule>
  </conditionalFormatting>
  <conditionalFormatting sqref="S304">
    <cfRule type="cellIs" dxfId="4458" priority="122" operator="equal">
      <formula>"DSM"</formula>
    </cfRule>
  </conditionalFormatting>
  <conditionalFormatting sqref="S305">
    <cfRule type="cellIs" dxfId="4457" priority="121" operator="equal">
      <formula>"DSM"</formula>
    </cfRule>
  </conditionalFormatting>
  <conditionalFormatting sqref="S306">
    <cfRule type="cellIs" dxfId="4456" priority="120" operator="equal">
      <formula>"DSM"</formula>
    </cfRule>
  </conditionalFormatting>
  <conditionalFormatting sqref="S307">
    <cfRule type="cellIs" dxfId="4455" priority="119" operator="equal">
      <formula>"DSM"</formula>
    </cfRule>
  </conditionalFormatting>
  <conditionalFormatting sqref="S309">
    <cfRule type="cellIs" dxfId="4454" priority="118" operator="equal">
      <formula>"DSM"</formula>
    </cfRule>
  </conditionalFormatting>
  <conditionalFormatting sqref="S310">
    <cfRule type="cellIs" dxfId="4453" priority="117" operator="equal">
      <formula>"DSM"</formula>
    </cfRule>
  </conditionalFormatting>
  <conditionalFormatting sqref="G311:H311">
    <cfRule type="expression" dxfId="4452" priority="112">
      <formula>$T311="DSM"</formula>
    </cfRule>
    <cfRule type="expression" dxfId="4451" priority="113">
      <formula>SEARCH("RBT",$T281)&gt;0</formula>
    </cfRule>
    <cfRule type="expression" dxfId="4450" priority="114">
      <formula>SEARCH("GST",$T281)&gt;0</formula>
    </cfRule>
    <cfRule type="expression" dxfId="4449" priority="115">
      <formula>SEARCH("CHN",$T311)&gt;0</formula>
    </cfRule>
    <cfRule type="expression" dxfId="4448" priority="116">
      <formula>$T311="LFS"</formula>
    </cfRule>
  </conditionalFormatting>
  <conditionalFormatting sqref="S311">
    <cfRule type="cellIs" dxfId="4447" priority="111" operator="equal">
      <formula>"DSM"</formula>
    </cfRule>
  </conditionalFormatting>
  <conditionalFormatting sqref="S312:S313">
    <cfRule type="cellIs" dxfId="4446" priority="110" operator="equal">
      <formula>"DSM"</formula>
    </cfRule>
  </conditionalFormatting>
  <conditionalFormatting sqref="S316">
    <cfRule type="cellIs" dxfId="4445" priority="109" operator="equal">
      <formula>"DSM"</formula>
    </cfRule>
  </conditionalFormatting>
  <conditionalFormatting sqref="C317">
    <cfRule type="expression" dxfId="4444" priority="104">
      <formula>$T317="DSM"</formula>
    </cfRule>
    <cfRule type="expression" dxfId="4443" priority="105">
      <formula>SEARCH("RBT",$T287)&gt;0</formula>
    </cfRule>
    <cfRule type="expression" dxfId="4442" priority="106">
      <formula>SEARCH("GST",$T287)&gt;0</formula>
    </cfRule>
    <cfRule type="expression" dxfId="4441" priority="107">
      <formula>SEARCH("CHN",$T317)&gt;0</formula>
    </cfRule>
    <cfRule type="expression" dxfId="4440" priority="108">
      <formula>$T317="LFS"</formula>
    </cfRule>
  </conditionalFormatting>
  <conditionalFormatting sqref="C318">
    <cfRule type="expression" dxfId="4439" priority="99">
      <formula>$T318="DSM"</formula>
    </cfRule>
    <cfRule type="expression" dxfId="4438" priority="100">
      <formula>SEARCH("RBT",$T288)&gt;0</formula>
    </cfRule>
    <cfRule type="expression" dxfId="4437" priority="101">
      <formula>SEARCH("GST",$T288)&gt;0</formula>
    </cfRule>
    <cfRule type="expression" dxfId="4436" priority="102">
      <formula>SEARCH("CHN",$T318)&gt;0</formula>
    </cfRule>
    <cfRule type="expression" dxfId="4435" priority="103">
      <formula>$T318="LFS"</formula>
    </cfRule>
  </conditionalFormatting>
  <conditionalFormatting sqref="G318:H318">
    <cfRule type="expression" dxfId="4434" priority="94">
      <formula>$T318="DSM"</formula>
    </cfRule>
    <cfRule type="expression" dxfId="4433" priority="95">
      <formula>SEARCH("RBT",$T288)&gt;0</formula>
    </cfRule>
    <cfRule type="expression" dxfId="4432" priority="96">
      <formula>SEARCH("GST",$T288)&gt;0</formula>
    </cfRule>
    <cfRule type="expression" dxfId="4431" priority="97">
      <formula>SEARCH("CHN",$T318)&gt;0</formula>
    </cfRule>
    <cfRule type="expression" dxfId="4430" priority="98">
      <formula>$T318="LFS"</formula>
    </cfRule>
  </conditionalFormatting>
  <conditionalFormatting sqref="S317">
    <cfRule type="cellIs" dxfId="4429" priority="93" operator="equal">
      <formula>"DSM"</formula>
    </cfRule>
  </conditionalFormatting>
  <conditionalFormatting sqref="S318">
    <cfRule type="cellIs" dxfId="4428" priority="92" operator="equal">
      <formula>"DSM"</formula>
    </cfRule>
  </conditionalFormatting>
  <conditionalFormatting sqref="S319">
    <cfRule type="cellIs" dxfId="4427" priority="91" operator="equal">
      <formula>"DSM"</formula>
    </cfRule>
  </conditionalFormatting>
  <conditionalFormatting sqref="S321:S331">
    <cfRule type="cellIs" dxfId="4426" priority="90" operator="equal">
      <formula>"DSM"</formula>
    </cfRule>
  </conditionalFormatting>
  <conditionalFormatting sqref="G326:H326">
    <cfRule type="expression" dxfId="4425" priority="85">
      <formula>$T326="DSM"</formula>
    </cfRule>
    <cfRule type="expression" dxfId="4424" priority="86">
      <formula>SEARCH("RBT",$T296)&gt;0</formula>
    </cfRule>
    <cfRule type="expression" dxfId="4423" priority="87">
      <formula>SEARCH("GST",$T296)&gt;0</formula>
    </cfRule>
    <cfRule type="expression" dxfId="4422" priority="88">
      <formula>SEARCH("CHN",$T326)&gt;0</formula>
    </cfRule>
    <cfRule type="expression" dxfId="4421" priority="89">
      <formula>$T326="LFS"</formula>
    </cfRule>
  </conditionalFormatting>
  <conditionalFormatting sqref="G327:H327">
    <cfRule type="expression" dxfId="4420" priority="80">
      <formula>$T327="DSM"</formula>
    </cfRule>
    <cfRule type="expression" dxfId="4419" priority="81">
      <formula>SEARCH("RBT",$T297)&gt;0</formula>
    </cfRule>
    <cfRule type="expression" dxfId="4418" priority="82">
      <formula>SEARCH("GST",$T297)&gt;0</formula>
    </cfRule>
    <cfRule type="expression" dxfId="4417" priority="83">
      <formula>SEARCH("CHN",$T327)&gt;0</formula>
    </cfRule>
    <cfRule type="expression" dxfId="4416" priority="84">
      <formula>$T327="LFS"</formula>
    </cfRule>
  </conditionalFormatting>
  <conditionalFormatting sqref="C326">
    <cfRule type="expression" dxfId="4415" priority="75">
      <formula>$T326="DSM"</formula>
    </cfRule>
    <cfRule type="expression" dxfId="4414" priority="76">
      <formula>SEARCH("RBT",$T296)&gt;0</formula>
    </cfRule>
    <cfRule type="expression" dxfId="4413" priority="77">
      <formula>SEARCH("GST",$T296)&gt;0</formula>
    </cfRule>
    <cfRule type="expression" dxfId="4412" priority="78">
      <formula>SEARCH("CHN",$T326)&gt;0</formula>
    </cfRule>
    <cfRule type="expression" dxfId="4411" priority="79">
      <formula>$T326="LFS"</formula>
    </cfRule>
  </conditionalFormatting>
  <conditionalFormatting sqref="C327">
    <cfRule type="expression" dxfId="4410" priority="70">
      <formula>$T327="DSM"</formula>
    </cfRule>
    <cfRule type="expression" dxfId="4409" priority="71">
      <formula>SEARCH("RBT",$T297)&gt;0</formula>
    </cfRule>
    <cfRule type="expression" dxfId="4408" priority="72">
      <formula>SEARCH("GST",$T297)&gt;0</formula>
    </cfRule>
    <cfRule type="expression" dxfId="4407" priority="73">
      <formula>SEARCH("CHN",$T327)&gt;0</formula>
    </cfRule>
    <cfRule type="expression" dxfId="4406" priority="74">
      <formula>$T327="LFS"</formula>
    </cfRule>
  </conditionalFormatting>
  <conditionalFormatting sqref="C328">
    <cfRule type="expression" dxfId="4405" priority="65">
      <formula>$T328="DSM"</formula>
    </cfRule>
    <cfRule type="expression" dxfId="4404" priority="66">
      <formula>SEARCH("RBT",$T298)&gt;0</formula>
    </cfRule>
    <cfRule type="expression" dxfId="4403" priority="67">
      <formula>SEARCH("GST",$T298)&gt;0</formula>
    </cfRule>
    <cfRule type="expression" dxfId="4402" priority="68">
      <formula>SEARCH("CHN",$T328)&gt;0</formula>
    </cfRule>
    <cfRule type="expression" dxfId="4401" priority="69">
      <formula>$T328="LFS"</formula>
    </cfRule>
  </conditionalFormatting>
  <conditionalFormatting sqref="S332">
    <cfRule type="cellIs" dxfId="4400" priority="64" operator="equal">
      <formula>"DSM"</formula>
    </cfRule>
  </conditionalFormatting>
  <conditionalFormatting sqref="S338:S341 S343:S353">
    <cfRule type="cellIs" dxfId="4399" priority="63" operator="equal">
      <formula>"DSM"</formula>
    </cfRule>
  </conditionalFormatting>
  <conditionalFormatting sqref="R36">
    <cfRule type="expression" dxfId="4398" priority="1010">
      <formula>$T36="DSM"</formula>
    </cfRule>
    <cfRule type="expression" dxfId="4397" priority="1011">
      <formula>SEARCH("RBT",#REF!)&gt;0</formula>
    </cfRule>
    <cfRule type="expression" dxfId="4396" priority="1012">
      <formula>SEARCH("GST",#REF!)&gt;0</formula>
    </cfRule>
    <cfRule type="expression" dxfId="4395" priority="1013">
      <formula>SEARCH("CHN",$T36)&gt;0</formula>
    </cfRule>
    <cfRule type="expression" dxfId="4394" priority="1014">
      <formula>$T36="LFS"</formula>
    </cfRule>
  </conditionalFormatting>
  <conditionalFormatting sqref="O37:Q37">
    <cfRule type="expression" dxfId="4393" priority="1015">
      <formula>$T37="DSM"</formula>
    </cfRule>
    <cfRule type="expression" dxfId="4392" priority="1016">
      <formula>SEARCH("RBT",#REF!)&gt;0</formula>
    </cfRule>
    <cfRule type="expression" dxfId="4391" priority="1017">
      <formula>SEARCH("GST",#REF!)&gt;0</formula>
    </cfRule>
    <cfRule type="expression" dxfId="4390" priority="1018">
      <formula>SEARCH("CHN",$T37)&gt;0</formula>
    </cfRule>
    <cfRule type="expression" dxfId="4389" priority="1019">
      <formula>$T37="LFS"</formula>
    </cfRule>
  </conditionalFormatting>
  <conditionalFormatting sqref="S342">
    <cfRule type="cellIs" dxfId="4388" priority="62" operator="equal">
      <formula>"DSM"</formula>
    </cfRule>
  </conditionalFormatting>
  <conditionalFormatting sqref="S360">
    <cfRule type="cellIs" dxfId="4387" priority="61" operator="equal">
      <formula>"DSM"</formula>
    </cfRule>
  </conditionalFormatting>
  <conditionalFormatting sqref="S361">
    <cfRule type="cellIs" dxfId="4386" priority="60" operator="equal">
      <formula>"DSM"</formula>
    </cfRule>
  </conditionalFormatting>
  <conditionalFormatting sqref="S362">
    <cfRule type="cellIs" dxfId="4385" priority="59" operator="equal">
      <formula>"DSM"</formula>
    </cfRule>
  </conditionalFormatting>
  <conditionalFormatting sqref="S363">
    <cfRule type="cellIs" dxfId="4384" priority="58" operator="equal">
      <formula>"DSM"</formula>
    </cfRule>
  </conditionalFormatting>
  <conditionalFormatting sqref="S364">
    <cfRule type="cellIs" dxfId="4383" priority="57" operator="equal">
      <formula>"DSM"</formula>
    </cfRule>
  </conditionalFormatting>
  <conditionalFormatting sqref="S365">
    <cfRule type="cellIs" dxfId="4382" priority="56" operator="equal">
      <formula>"DSM"</formula>
    </cfRule>
  </conditionalFormatting>
  <conditionalFormatting sqref="S366:S370 S372:S376">
    <cfRule type="cellIs" dxfId="4381" priority="55" operator="equal">
      <formula>"DSM"</formula>
    </cfRule>
  </conditionalFormatting>
  <conditionalFormatting sqref="S383:S391">
    <cfRule type="cellIs" dxfId="4380" priority="54" operator="equal">
      <formula>"DSM"</formula>
    </cfRule>
  </conditionalFormatting>
  <conditionalFormatting sqref="S392 S394:S395">
    <cfRule type="cellIs" dxfId="4379" priority="53" operator="equal">
      <formula>"DSM"</formula>
    </cfRule>
  </conditionalFormatting>
  <conditionalFormatting sqref="S396:S416">
    <cfRule type="cellIs" dxfId="4378" priority="52" operator="equal">
      <formula>"DSM"</formula>
    </cfRule>
  </conditionalFormatting>
  <conditionalFormatting sqref="S418">
    <cfRule type="cellIs" dxfId="4377" priority="51" operator="equal">
      <formula>"DSM"</formula>
    </cfRule>
  </conditionalFormatting>
  <conditionalFormatting sqref="S419">
    <cfRule type="cellIs" dxfId="4376" priority="50" operator="equal">
      <formula>"DSM"</formula>
    </cfRule>
  </conditionalFormatting>
  <conditionalFormatting sqref="S420">
    <cfRule type="cellIs" dxfId="4375" priority="49" operator="equal">
      <formula>"DSM"</formula>
    </cfRule>
  </conditionalFormatting>
  <conditionalFormatting sqref="S421">
    <cfRule type="cellIs" dxfId="4374" priority="48" operator="equal">
      <formula>"DSM"</formula>
    </cfRule>
  </conditionalFormatting>
  <conditionalFormatting sqref="S423">
    <cfRule type="cellIs" dxfId="4373" priority="47" operator="equal">
      <formula>"DSM"</formula>
    </cfRule>
  </conditionalFormatting>
  <conditionalFormatting sqref="S428:S431">
    <cfRule type="cellIs" dxfId="4372" priority="46" operator="equal">
      <formula>"DSM"</formula>
    </cfRule>
  </conditionalFormatting>
  <conditionalFormatting sqref="S425">
    <cfRule type="cellIs" dxfId="4371" priority="45" operator="equal">
      <formula>"DSM"</formula>
    </cfRule>
  </conditionalFormatting>
  <conditionalFormatting sqref="S426">
    <cfRule type="cellIs" dxfId="4370" priority="44" operator="equal">
      <formula>"DSM"</formula>
    </cfRule>
  </conditionalFormatting>
  <conditionalFormatting sqref="S433:S434">
    <cfRule type="cellIs" dxfId="4369" priority="43" operator="equal">
      <formula>"DSM"</formula>
    </cfRule>
  </conditionalFormatting>
  <conditionalFormatting sqref="S432">
    <cfRule type="cellIs" dxfId="4368" priority="42" operator="equal">
      <formula>"DSM"</formula>
    </cfRule>
  </conditionalFormatting>
  <conditionalFormatting sqref="S435:S446">
    <cfRule type="cellIs" dxfId="4367" priority="41" operator="equal">
      <formula>"DSM"</formula>
    </cfRule>
  </conditionalFormatting>
  <conditionalFormatting sqref="S447:S452">
    <cfRule type="cellIs" dxfId="4366" priority="40" operator="equal">
      <formula>"DSM"</formula>
    </cfRule>
  </conditionalFormatting>
  <conditionalFormatting sqref="S453:S481">
    <cfRule type="cellIs" dxfId="4365" priority="39" operator="equal">
      <formula>"DSM"</formula>
    </cfRule>
  </conditionalFormatting>
  <conditionalFormatting sqref="S482">
    <cfRule type="cellIs" dxfId="4364" priority="38" operator="equal">
      <formula>"DSM"</formula>
    </cfRule>
  </conditionalFormatting>
  <conditionalFormatting sqref="S484 S486:S488">
    <cfRule type="cellIs" dxfId="4363" priority="37" operator="equal">
      <formula>"DSM"</formula>
    </cfRule>
  </conditionalFormatting>
  <conditionalFormatting sqref="S485">
    <cfRule type="cellIs" dxfId="4362" priority="36" operator="equal">
      <formula>"DSM"</formula>
    </cfRule>
  </conditionalFormatting>
  <conditionalFormatting sqref="S489">
    <cfRule type="cellIs" dxfId="4361" priority="35" operator="equal">
      <formula>"DSM"</formula>
    </cfRule>
  </conditionalFormatting>
  <conditionalFormatting sqref="S490">
    <cfRule type="cellIs" dxfId="4360" priority="34" operator="equal">
      <formula>"DSM"</formula>
    </cfRule>
  </conditionalFormatting>
  <conditionalFormatting sqref="S491">
    <cfRule type="cellIs" dxfId="4359" priority="33" operator="equal">
      <formula>"DSM"</formula>
    </cfRule>
  </conditionalFormatting>
  <conditionalFormatting sqref="S492 S495:S497">
    <cfRule type="cellIs" dxfId="4358" priority="32" operator="equal">
      <formula>"DSM"</formula>
    </cfRule>
  </conditionalFormatting>
  <conditionalFormatting sqref="S493">
    <cfRule type="cellIs" dxfId="4357" priority="31" operator="equal">
      <formula>"DSM"</formula>
    </cfRule>
  </conditionalFormatting>
  <conditionalFormatting sqref="S494">
    <cfRule type="cellIs" dxfId="4356" priority="30" operator="equal">
      <formula>"DSM"</formula>
    </cfRule>
  </conditionalFormatting>
  <conditionalFormatting sqref="S503:S504">
    <cfRule type="cellIs" dxfId="4355" priority="29" operator="equal">
      <formula>"DSM"</formula>
    </cfRule>
  </conditionalFormatting>
  <conditionalFormatting sqref="S509">
    <cfRule type="cellIs" dxfId="4354" priority="28" operator="equal">
      <formula>"DSM"</formula>
    </cfRule>
  </conditionalFormatting>
  <conditionalFormatting sqref="S516:S521">
    <cfRule type="cellIs" dxfId="4353" priority="27" operator="equal">
      <formula>"DSM"</formula>
    </cfRule>
  </conditionalFormatting>
  <conditionalFormatting sqref="S514">
    <cfRule type="cellIs" dxfId="4352" priority="26" operator="equal">
      <formula>"DSM"</formula>
    </cfRule>
  </conditionalFormatting>
  <conditionalFormatting sqref="S523">
    <cfRule type="cellIs" dxfId="4351" priority="25" operator="equal">
      <formula>"DSM"</formula>
    </cfRule>
  </conditionalFormatting>
  <conditionalFormatting sqref="S524">
    <cfRule type="cellIs" dxfId="4350" priority="24" operator="equal">
      <formula>"DSM"</formula>
    </cfRule>
  </conditionalFormatting>
  <conditionalFormatting sqref="S525">
    <cfRule type="cellIs" dxfId="4349" priority="23" operator="equal">
      <formula>"DSM"</formula>
    </cfRule>
  </conditionalFormatting>
  <conditionalFormatting sqref="S526:S535">
    <cfRule type="cellIs" dxfId="4348" priority="22" operator="equal">
      <formula>"DSM"</formula>
    </cfRule>
  </conditionalFormatting>
  <conditionalFormatting sqref="S536">
    <cfRule type="cellIs" dxfId="4347" priority="21" operator="equal">
      <formula>"DSM"</formula>
    </cfRule>
  </conditionalFormatting>
  <conditionalFormatting sqref="S537">
    <cfRule type="cellIs" dxfId="4346" priority="20" operator="equal">
      <formula>"DSM"</formula>
    </cfRule>
  </conditionalFormatting>
  <conditionalFormatting sqref="S565">
    <cfRule type="cellIs" dxfId="4345" priority="19" operator="equal">
      <formula>"DSM"</formula>
    </cfRule>
  </conditionalFormatting>
  <conditionalFormatting sqref="S577">
    <cfRule type="cellIs" dxfId="4344" priority="18" operator="equal">
      <formula>"DSM"</formula>
    </cfRule>
  </conditionalFormatting>
  <conditionalFormatting sqref="S599">
    <cfRule type="cellIs" dxfId="4343" priority="17" operator="equal">
      <formula>"DSM"</formula>
    </cfRule>
  </conditionalFormatting>
  <conditionalFormatting sqref="S600:S602">
    <cfRule type="cellIs" dxfId="4342" priority="16" operator="equal">
      <formula>"DSM"</formula>
    </cfRule>
  </conditionalFormatting>
  <conditionalFormatting sqref="S604">
    <cfRule type="cellIs" dxfId="4341" priority="15" operator="equal">
      <formula>"DSM"</formula>
    </cfRule>
  </conditionalFormatting>
  <conditionalFormatting sqref="S603">
    <cfRule type="cellIs" dxfId="4340" priority="14" operator="equal">
      <formula>"DSM"</formula>
    </cfRule>
  </conditionalFormatting>
  <conditionalFormatting sqref="S625:S627">
    <cfRule type="cellIs" dxfId="4339" priority="13" operator="equal">
      <formula>"DSM"</formula>
    </cfRule>
  </conditionalFormatting>
  <conditionalFormatting sqref="S639">
    <cfRule type="cellIs" dxfId="4338" priority="12" operator="equal">
      <formula>"DSM"</formula>
    </cfRule>
  </conditionalFormatting>
  <conditionalFormatting sqref="S640">
    <cfRule type="cellIs" dxfId="4337" priority="11" operator="equal">
      <formula>"DSM"</formula>
    </cfRule>
  </conditionalFormatting>
  <conditionalFormatting sqref="S641">
    <cfRule type="cellIs" dxfId="4336" priority="10" operator="equal">
      <formula>"DSM"</formula>
    </cfRule>
  </conditionalFormatting>
  <conditionalFormatting sqref="S642">
    <cfRule type="cellIs" dxfId="4335" priority="9" operator="equal">
      <formula>"DSM"</formula>
    </cfRule>
  </conditionalFormatting>
  <conditionalFormatting sqref="S643:S644">
    <cfRule type="cellIs" dxfId="4334" priority="8" operator="equal">
      <formula>"DSM"</formula>
    </cfRule>
  </conditionalFormatting>
  <conditionalFormatting sqref="S646:S654">
    <cfRule type="cellIs" dxfId="4333" priority="7" operator="equal">
      <formula>"DSM"</formula>
    </cfRule>
  </conditionalFormatting>
  <conditionalFormatting sqref="S655">
    <cfRule type="cellIs" dxfId="4332" priority="6" operator="equal">
      <formula>"DSM"</formula>
    </cfRule>
  </conditionalFormatting>
  <conditionalFormatting sqref="S668">
    <cfRule type="cellIs" dxfId="4331" priority="5" operator="equal">
      <formula>"DSM"</formula>
    </cfRule>
  </conditionalFormatting>
  <conditionalFormatting sqref="S685">
    <cfRule type="cellIs" dxfId="4330" priority="4" operator="equal">
      <formula>"DSM"</formula>
    </cfRule>
  </conditionalFormatting>
  <conditionalFormatting sqref="S693">
    <cfRule type="cellIs" dxfId="4329" priority="3" operator="equal">
      <formula>"DSM"</formula>
    </cfRule>
  </conditionalFormatting>
  <conditionalFormatting sqref="S694:S695">
    <cfRule type="cellIs" dxfId="4328" priority="2" operator="equal">
      <formula>"DSM"</formula>
    </cfRule>
  </conditionalFormatting>
  <conditionalFormatting sqref="S742">
    <cfRule type="cellIs" dxfId="4327" priority="1" operator="equal">
      <formula>"DSM"</formula>
    </cfRule>
  </conditionalFormatting>
  <conditionalFormatting sqref="J43:N43">
    <cfRule type="expression" dxfId="4326" priority="5350">
      <formula>$T43="DSM"</formula>
    </cfRule>
    <cfRule type="expression" dxfId="4325" priority="5351">
      <formula>SEARCH("RBT",$T2)&gt;0</formula>
    </cfRule>
    <cfRule type="expression" dxfId="4324" priority="5352">
      <formula>SEARCH("GST",$T2)&gt;0</formula>
    </cfRule>
    <cfRule type="expression" dxfId="4323" priority="5353">
      <formula>SEARCH("CHN",$T43)&gt;0</formula>
    </cfRule>
    <cfRule type="expression" dxfId="4322" priority="5354">
      <formula>$T43="LFS"</formula>
    </cfRule>
  </conditionalFormatting>
  <conditionalFormatting sqref="R78:R80">
    <cfRule type="expression" dxfId="4321" priority="5355">
      <formula>$T78="DSM"</formula>
    </cfRule>
    <cfRule type="expression" dxfId="4320" priority="5356">
      <formula>SEARCH("RBT",$T42)&gt;0</formula>
    </cfRule>
    <cfRule type="expression" dxfId="4319" priority="5357">
      <formula>SEARCH("GST",$T42)&gt;0</formula>
    </cfRule>
    <cfRule type="expression" dxfId="4318" priority="5358">
      <formula>SEARCH("CHN",$T78)&gt;0</formula>
    </cfRule>
    <cfRule type="expression" dxfId="4317" priority="5359">
      <formula>$T78="LFS"</formula>
    </cfRule>
  </conditionalFormatting>
  <conditionalFormatting sqref="J22:N22 R32:R33 R22 R35 J12:R13 J7:N7 R7">
    <cfRule type="expression" dxfId="4316" priority="5715">
      <formula>$T7="DSM"</formula>
    </cfRule>
    <cfRule type="expression" dxfId="4315" priority="5716">
      <formula>SEARCH("RBT",$T1048533)&gt;0</formula>
    </cfRule>
    <cfRule type="expression" dxfId="4314" priority="5717">
      <formula>SEARCH("GST",$T1048533)&gt;0</formula>
    </cfRule>
    <cfRule type="expression" dxfId="4313" priority="5718">
      <formula>SEARCH("CHN",$T7)&gt;0</formula>
    </cfRule>
    <cfRule type="expression" dxfId="4312" priority="5719">
      <formula>$T7="LFS"</formula>
    </cfRule>
  </conditionalFormatting>
  <conditionalFormatting sqref="O25 J15:N16 R15:R16 O15:Q18 O20:Q24 O26:Q36 S24:X42 J14:R14">
    <cfRule type="expression" dxfId="4" priority="5760">
      <formula>$T14="DSM"</formula>
    </cfRule>
    <cfRule type="expression" dxfId="3" priority="5761">
      <formula>SEARCH("RBT",$T1048539)&gt;0</formula>
    </cfRule>
    <cfRule type="expression" dxfId="2" priority="5762">
      <formula>SEARCH("GST",$T1048539)&gt;0</formula>
    </cfRule>
    <cfRule type="expression" dxfId="1" priority="5763">
      <formula>SEARCH("CHN",$T14)&gt;0</formula>
    </cfRule>
    <cfRule type="expression" dxfId="0" priority="5764">
      <formula>$T14="LFS"</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sheetPr>
  <dimension ref="A1:X414"/>
  <sheetViews>
    <sheetView zoomScaleNormal="100" workbookViewId="0">
      <pane xSplit="6" ySplit="2" topLeftCell="P51" activePane="bottomRight" state="frozen"/>
      <selection pane="topRight" activeCell="G1" sqref="G1"/>
      <selection pane="bottomLeft" activeCell="A3" sqref="A3"/>
      <selection pane="bottomRight" activeCell="A145" sqref="A145:XFD145"/>
    </sheetView>
  </sheetViews>
  <sheetFormatPr defaultColWidth="10.5703125" defaultRowHeight="15" x14ac:dyDescent="0.25"/>
  <cols>
    <col min="1" max="1" width="16.7109375" style="1" customWidth="1"/>
    <col min="2" max="2" width="16.7109375" customWidth="1"/>
    <col min="3" max="3" width="30.85546875" bestFit="1" customWidth="1"/>
    <col min="4" max="4" width="12.42578125" bestFit="1" customWidth="1"/>
    <col min="5" max="5" width="15.42578125" bestFit="1" customWidth="1"/>
    <col min="6" max="6" width="13.85546875" bestFit="1" customWidth="1"/>
    <col min="7" max="7" width="12.42578125" customWidth="1"/>
    <col min="8" max="8" width="38.28515625" bestFit="1" customWidth="1"/>
    <col min="9" max="9" width="9.85546875" style="51" customWidth="1"/>
    <col min="10" max="10" width="7.42578125" customWidth="1"/>
    <col min="11" max="11" width="9.7109375" customWidth="1"/>
    <col min="12" max="12" width="13.42578125" customWidth="1"/>
    <col min="13" max="13" width="15.5703125" customWidth="1"/>
    <col min="14" max="14" width="12.140625" hidden="1" customWidth="1"/>
    <col min="15" max="15" width="31.7109375" customWidth="1"/>
    <col min="16" max="16" width="20.42578125" style="924" customWidth="1"/>
    <col min="17" max="17" width="18.28515625" customWidth="1"/>
    <col min="18" max="18" width="27.140625" customWidth="1"/>
    <col min="19" max="19" width="7.42578125" customWidth="1"/>
    <col min="20" max="20" width="6" customWidth="1"/>
    <col min="21" max="21" width="14.7109375" customWidth="1"/>
    <col min="22" max="22" width="38.85546875" style="875" customWidth="1"/>
    <col min="23" max="23" width="9.85546875" bestFit="1" customWidth="1"/>
  </cols>
  <sheetData>
    <row r="1" spans="1:23" s="772" customFormat="1" ht="14.25" x14ac:dyDescent="0.25">
      <c r="A1" s="770" t="s">
        <v>0</v>
      </c>
      <c r="B1" s="916"/>
      <c r="C1" s="916"/>
      <c r="D1" s="916"/>
      <c r="E1" s="916"/>
      <c r="F1" s="916"/>
      <c r="G1" s="916"/>
      <c r="H1" s="916"/>
      <c r="I1" s="916"/>
      <c r="J1" s="916"/>
      <c r="K1" s="916"/>
      <c r="L1" s="916"/>
      <c r="M1" s="916"/>
      <c r="N1" s="916"/>
      <c r="O1" s="916"/>
      <c r="P1" s="773"/>
      <c r="Q1" s="773"/>
      <c r="R1" s="773"/>
      <c r="V1" s="916"/>
      <c r="W1" s="766"/>
    </row>
    <row r="2" spans="1:23" s="776" customFormat="1" ht="15.75" thickBot="1" x14ac:dyDescent="0.3">
      <c r="A2" s="774" t="s">
        <v>1</v>
      </c>
      <c r="B2" s="774" t="s">
        <v>2</v>
      </c>
      <c r="C2" s="775" t="s">
        <v>3</v>
      </c>
      <c r="D2" s="776" t="s">
        <v>4</v>
      </c>
      <c r="E2" s="776" t="s">
        <v>5</v>
      </c>
      <c r="F2" s="776" t="s">
        <v>6</v>
      </c>
      <c r="G2" s="776" t="s">
        <v>7</v>
      </c>
      <c r="H2" s="776" t="s">
        <v>8</v>
      </c>
      <c r="I2" s="774" t="s">
        <v>9</v>
      </c>
      <c r="J2" s="774" t="s">
        <v>10</v>
      </c>
      <c r="K2" s="774" t="s">
        <v>11</v>
      </c>
      <c r="L2" s="774" t="s">
        <v>12</v>
      </c>
      <c r="M2" s="774" t="s">
        <v>13</v>
      </c>
      <c r="N2" s="774" t="s">
        <v>14</v>
      </c>
      <c r="O2" s="777" t="s">
        <v>15</v>
      </c>
      <c r="P2" s="777" t="s">
        <v>16</v>
      </c>
      <c r="Q2" s="778" t="s">
        <v>17</v>
      </c>
      <c r="R2" s="778" t="s">
        <v>18</v>
      </c>
      <c r="S2" s="774" t="s">
        <v>19</v>
      </c>
      <c r="T2" s="774" t="s">
        <v>20</v>
      </c>
      <c r="U2" s="774" t="s">
        <v>21</v>
      </c>
      <c r="V2" s="917" t="s">
        <v>22</v>
      </c>
      <c r="W2" s="767" t="s">
        <v>23</v>
      </c>
    </row>
    <row r="3" spans="1:23" s="437" customFormat="1" x14ac:dyDescent="0.25">
      <c r="A3" s="476">
        <v>44284</v>
      </c>
      <c r="B3" s="437" t="s">
        <v>24</v>
      </c>
      <c r="C3" s="437" t="s">
        <v>88</v>
      </c>
      <c r="D3" s="897">
        <v>38.085129999999999</v>
      </c>
      <c r="E3" s="897">
        <v>-121.74182999999999</v>
      </c>
      <c r="F3" s="437" t="s">
        <v>26</v>
      </c>
      <c r="G3" s="437" t="s">
        <v>27</v>
      </c>
      <c r="H3" s="437" t="s">
        <v>25</v>
      </c>
      <c r="I3" s="438">
        <v>0.48958333333333331</v>
      </c>
      <c r="J3" s="437" t="s">
        <v>28</v>
      </c>
      <c r="K3" s="437" t="s">
        <v>29</v>
      </c>
      <c r="L3" s="437" t="s">
        <v>30</v>
      </c>
      <c r="M3" s="437">
        <v>2</v>
      </c>
      <c r="N3" s="437">
        <v>10</v>
      </c>
      <c r="O3" s="437" t="s">
        <v>50</v>
      </c>
      <c r="P3" s="439">
        <v>265.95</v>
      </c>
      <c r="Q3" s="439">
        <v>1.25</v>
      </c>
      <c r="R3" s="439">
        <v>7.79</v>
      </c>
      <c r="S3" s="877" t="s">
        <v>31</v>
      </c>
      <c r="T3" s="437">
        <v>1</v>
      </c>
      <c r="U3" s="437">
        <v>10.8</v>
      </c>
      <c r="V3" s="919" t="s">
        <v>9266</v>
      </c>
      <c r="W3" s="437" t="s">
        <v>32</v>
      </c>
    </row>
    <row r="4" spans="1:23" s="437" customFormat="1" x14ac:dyDescent="0.25">
      <c r="A4" s="476">
        <v>44284</v>
      </c>
      <c r="B4" s="437" t="s">
        <v>24</v>
      </c>
      <c r="C4" s="437" t="s">
        <v>88</v>
      </c>
      <c r="D4" s="897">
        <v>38.053060000000002</v>
      </c>
      <c r="E4" s="897">
        <v>-121.79704</v>
      </c>
      <c r="F4" s="437" t="s">
        <v>9268</v>
      </c>
      <c r="G4" s="437" t="s">
        <v>27</v>
      </c>
      <c r="H4" s="437" t="s">
        <v>25</v>
      </c>
      <c r="I4" s="438">
        <v>0.45624999999999999</v>
      </c>
      <c r="J4" s="437" t="s">
        <v>28</v>
      </c>
      <c r="K4" s="437" t="s">
        <v>29</v>
      </c>
      <c r="L4" s="437" t="s">
        <v>30</v>
      </c>
      <c r="M4" s="437">
        <v>2</v>
      </c>
      <c r="N4" s="437">
        <v>10</v>
      </c>
      <c r="O4" s="439" t="s">
        <v>50</v>
      </c>
      <c r="P4" s="439">
        <v>1000</v>
      </c>
      <c r="Q4" s="439">
        <v>0.38</v>
      </c>
      <c r="R4" s="439">
        <v>31.95</v>
      </c>
      <c r="S4" s="877" t="s">
        <v>31</v>
      </c>
      <c r="T4" s="437">
        <v>5</v>
      </c>
      <c r="U4" s="437" t="s">
        <v>9269</v>
      </c>
      <c r="V4" s="440" t="s">
        <v>9266</v>
      </c>
      <c r="W4" s="437" t="s">
        <v>32</v>
      </c>
    </row>
    <row r="5" spans="1:23" s="878" customFormat="1" x14ac:dyDescent="0.25">
      <c r="A5" s="476">
        <v>44284</v>
      </c>
      <c r="B5" s="437" t="s">
        <v>24</v>
      </c>
      <c r="C5" s="920" t="s">
        <v>88</v>
      </c>
      <c r="D5" s="923">
        <v>38.063070000000003</v>
      </c>
      <c r="E5" s="897">
        <v>-121.79115</v>
      </c>
      <c r="F5" s="437" t="s">
        <v>9276</v>
      </c>
      <c r="G5" s="437" t="s">
        <v>27</v>
      </c>
      <c r="H5" s="437" t="s">
        <v>25</v>
      </c>
      <c r="I5" s="438">
        <v>0.42569444444444443</v>
      </c>
      <c r="J5" s="437" t="s">
        <v>28</v>
      </c>
      <c r="K5" s="437" t="s">
        <v>29</v>
      </c>
      <c r="L5" s="437" t="s">
        <v>30</v>
      </c>
      <c r="M5" s="437">
        <v>2</v>
      </c>
      <c r="N5" s="437">
        <v>10</v>
      </c>
      <c r="O5" s="439" t="s">
        <v>50</v>
      </c>
      <c r="P5" s="439">
        <v>612</v>
      </c>
      <c r="Q5" s="439">
        <v>0.42</v>
      </c>
      <c r="R5" s="439">
        <v>27.6</v>
      </c>
      <c r="S5" s="877" t="s">
        <v>31</v>
      </c>
      <c r="T5" s="437">
        <v>2</v>
      </c>
      <c r="U5" s="437" t="s">
        <v>9277</v>
      </c>
      <c r="V5" s="919" t="s">
        <v>9266</v>
      </c>
      <c r="W5" s="437" t="s">
        <v>32</v>
      </c>
    </row>
    <row r="6" spans="1:23" x14ac:dyDescent="0.25">
      <c r="A6" s="443">
        <v>44284</v>
      </c>
      <c r="B6" s="51" t="s">
        <v>24</v>
      </c>
      <c r="C6" s="71" t="s">
        <v>88</v>
      </c>
      <c r="D6" s="922">
        <v>38.11009</v>
      </c>
      <c r="E6" s="870">
        <v>-121.69083999999999</v>
      </c>
      <c r="F6" s="51" t="s">
        <v>9273</v>
      </c>
      <c r="G6" s="51" t="s">
        <v>90</v>
      </c>
      <c r="H6" s="51" t="s">
        <v>9274</v>
      </c>
      <c r="I6" s="66">
        <v>0.3430555555555555</v>
      </c>
      <c r="J6" s="51" t="s">
        <v>28</v>
      </c>
      <c r="K6" s="51" t="s">
        <v>29</v>
      </c>
      <c r="L6" s="51" t="s">
        <v>30</v>
      </c>
      <c r="M6" s="51">
        <v>2</v>
      </c>
      <c r="N6" s="51">
        <v>10</v>
      </c>
      <c r="O6" s="428" t="s">
        <v>50</v>
      </c>
      <c r="P6" s="428">
        <v>271.35000000000002</v>
      </c>
      <c r="Q6" s="428">
        <v>0.96</v>
      </c>
      <c r="R6" s="428">
        <v>8.32</v>
      </c>
      <c r="S6" s="51" t="s">
        <v>50</v>
      </c>
      <c r="T6" s="51" t="s">
        <v>50</v>
      </c>
      <c r="U6" s="51" t="s">
        <v>50</v>
      </c>
      <c r="V6" s="918" t="s">
        <v>9266</v>
      </c>
      <c r="W6" s="54" t="s">
        <v>32</v>
      </c>
    </row>
    <row r="7" spans="1:23" x14ac:dyDescent="0.25">
      <c r="A7" s="443">
        <v>44284</v>
      </c>
      <c r="B7" s="51" t="s">
        <v>24</v>
      </c>
      <c r="C7" s="71" t="s">
        <v>88</v>
      </c>
      <c r="D7" s="922">
        <v>38.104089999999999</v>
      </c>
      <c r="E7" s="870">
        <v>-121.72172</v>
      </c>
      <c r="F7" s="51" t="s">
        <v>9275</v>
      </c>
      <c r="G7" s="51" t="s">
        <v>90</v>
      </c>
      <c r="H7" s="51" t="s">
        <v>9274</v>
      </c>
      <c r="I7" s="66">
        <v>0.3756944444444445</v>
      </c>
      <c r="J7" s="51" t="s">
        <v>28</v>
      </c>
      <c r="K7" s="51" t="s">
        <v>29</v>
      </c>
      <c r="L7" s="51" t="s">
        <v>30</v>
      </c>
      <c r="M7" s="51">
        <v>2</v>
      </c>
      <c r="N7" s="51">
        <v>10</v>
      </c>
      <c r="O7" s="428" t="s">
        <v>50</v>
      </c>
      <c r="P7" s="428">
        <v>221.4</v>
      </c>
      <c r="Q7" s="428">
        <v>0.7</v>
      </c>
      <c r="R7" s="428">
        <v>12.9</v>
      </c>
      <c r="S7" s="51" t="s">
        <v>50</v>
      </c>
      <c r="T7" s="51" t="s">
        <v>50</v>
      </c>
      <c r="U7" s="51" t="s">
        <v>50</v>
      </c>
      <c r="V7" s="698" t="s">
        <v>9278</v>
      </c>
      <c r="W7" s="54" t="s">
        <v>32</v>
      </c>
    </row>
    <row r="8" spans="1:23" s="51" customFormat="1" x14ac:dyDescent="0.25">
      <c r="A8" s="443">
        <v>44284</v>
      </c>
      <c r="B8" s="51" t="s">
        <v>24</v>
      </c>
      <c r="C8" s="51" t="s">
        <v>95</v>
      </c>
      <c r="D8" s="870">
        <v>38.053489999999996</v>
      </c>
      <c r="E8" s="870">
        <v>-121.516741</v>
      </c>
      <c r="F8" s="51" t="s">
        <v>9264</v>
      </c>
      <c r="G8" s="51" t="s">
        <v>46</v>
      </c>
      <c r="H8" s="51" t="s">
        <v>9265</v>
      </c>
      <c r="I8" s="66">
        <v>0.38680555555555557</v>
      </c>
      <c r="J8" s="51" t="s">
        <v>28</v>
      </c>
      <c r="K8" s="51" t="s">
        <v>29</v>
      </c>
      <c r="L8" s="51" t="s">
        <v>30</v>
      </c>
      <c r="M8" s="51">
        <v>2</v>
      </c>
      <c r="N8" s="51">
        <v>10</v>
      </c>
      <c r="O8" s="428">
        <v>31.95</v>
      </c>
      <c r="P8" s="428">
        <v>358.35</v>
      </c>
      <c r="Q8" s="428">
        <v>1.65</v>
      </c>
      <c r="R8" s="428">
        <v>4.875</v>
      </c>
      <c r="S8" s="51" t="s">
        <v>50</v>
      </c>
      <c r="T8" s="51" t="s">
        <v>50</v>
      </c>
      <c r="U8" s="51" t="s">
        <v>50</v>
      </c>
      <c r="V8" s="918"/>
      <c r="W8" s="51" t="s">
        <v>32</v>
      </c>
    </row>
    <row r="9" spans="1:23" s="437" customFormat="1" x14ac:dyDescent="0.25">
      <c r="A9" s="476">
        <v>44284</v>
      </c>
      <c r="B9" s="437" t="s">
        <v>24</v>
      </c>
      <c r="C9" s="437" t="s">
        <v>95</v>
      </c>
      <c r="D9" s="897">
        <v>38.08764</v>
      </c>
      <c r="E9" s="897">
        <v>-121.65118</v>
      </c>
      <c r="F9" s="437" t="s">
        <v>9267</v>
      </c>
      <c r="G9" s="437" t="s">
        <v>46</v>
      </c>
      <c r="H9" s="437" t="s">
        <v>5962</v>
      </c>
      <c r="I9" s="438">
        <v>0.4291666666666667</v>
      </c>
      <c r="J9" s="437" t="s">
        <v>28</v>
      </c>
      <c r="K9" s="437" t="s">
        <v>29</v>
      </c>
      <c r="L9" s="437" t="s">
        <v>30</v>
      </c>
      <c r="M9" s="437">
        <v>2</v>
      </c>
      <c r="N9" s="437">
        <v>10</v>
      </c>
      <c r="O9" s="439">
        <v>34.299999999999997</v>
      </c>
      <c r="P9" s="439">
        <v>288.35000000000002</v>
      </c>
      <c r="Q9" s="439">
        <v>1.5</v>
      </c>
      <c r="R9" s="439">
        <v>7.26</v>
      </c>
      <c r="S9" s="877" t="s">
        <v>31</v>
      </c>
      <c r="T9" s="437">
        <v>1</v>
      </c>
      <c r="U9" s="437">
        <v>22</v>
      </c>
      <c r="V9" s="919"/>
      <c r="W9" s="437" t="s">
        <v>32</v>
      </c>
    </row>
    <row r="10" spans="1:23" x14ac:dyDescent="0.25">
      <c r="A10" s="443">
        <v>44284</v>
      </c>
      <c r="B10" s="51" t="s">
        <v>24</v>
      </c>
      <c r="C10" s="71" t="s">
        <v>95</v>
      </c>
      <c r="D10" s="922">
        <v>38.057989999999997</v>
      </c>
      <c r="E10" s="870">
        <v>-121.68152000000001</v>
      </c>
      <c r="F10" s="51" t="s">
        <v>9270</v>
      </c>
      <c r="G10" s="51" t="s">
        <v>46</v>
      </c>
      <c r="H10" s="51" t="s">
        <v>5962</v>
      </c>
      <c r="I10" s="66">
        <v>0.46111111111111108</v>
      </c>
      <c r="J10" s="51" t="s">
        <v>28</v>
      </c>
      <c r="K10" s="51" t="s">
        <v>29</v>
      </c>
      <c r="L10" s="51" t="s">
        <v>30</v>
      </c>
      <c r="M10" s="51">
        <v>2</v>
      </c>
      <c r="N10" s="51">
        <v>10</v>
      </c>
      <c r="O10" s="428">
        <v>45.6</v>
      </c>
      <c r="P10" s="428">
        <v>311.7</v>
      </c>
      <c r="Q10" s="428">
        <v>1.35</v>
      </c>
      <c r="R10" s="428">
        <v>8.48</v>
      </c>
      <c r="S10" s="51" t="s">
        <v>50</v>
      </c>
      <c r="T10" s="51" t="s">
        <v>50</v>
      </c>
      <c r="U10" s="51" t="s">
        <v>50</v>
      </c>
      <c r="V10" s="918"/>
      <c r="W10" s="54" t="s">
        <v>32</v>
      </c>
    </row>
    <row r="11" spans="1:23" s="878" customFormat="1" x14ac:dyDescent="0.25">
      <c r="A11" s="476">
        <v>44284</v>
      </c>
      <c r="B11" s="437" t="s">
        <v>24</v>
      </c>
      <c r="C11" s="920" t="s">
        <v>95</v>
      </c>
      <c r="D11" s="923">
        <v>38.022649999999999</v>
      </c>
      <c r="E11" s="897">
        <v>-121.8082</v>
      </c>
      <c r="F11" s="437" t="s">
        <v>9271</v>
      </c>
      <c r="G11" s="437" t="s">
        <v>27</v>
      </c>
      <c r="H11" s="437" t="s">
        <v>863</v>
      </c>
      <c r="I11" s="438">
        <v>0.52013888888888882</v>
      </c>
      <c r="J11" s="437" t="s">
        <v>28</v>
      </c>
      <c r="K11" s="437" t="s">
        <v>29</v>
      </c>
      <c r="L11" s="437" t="s">
        <v>30</v>
      </c>
      <c r="M11" s="437">
        <v>2</v>
      </c>
      <c r="N11" s="437">
        <v>10</v>
      </c>
      <c r="O11" s="439">
        <v>32.9</v>
      </c>
      <c r="P11" s="439">
        <v>480.5</v>
      </c>
      <c r="Q11" s="439">
        <v>0.59499999999999997</v>
      </c>
      <c r="R11" s="439">
        <v>14.05</v>
      </c>
      <c r="S11" s="877" t="s">
        <v>31</v>
      </c>
      <c r="T11" s="437">
        <v>1</v>
      </c>
      <c r="U11" s="437">
        <v>13.4</v>
      </c>
      <c r="V11" s="921"/>
      <c r="W11" s="437" t="s">
        <v>32</v>
      </c>
    </row>
    <row r="12" spans="1:23" x14ac:dyDescent="0.25">
      <c r="A12" s="443">
        <v>44284</v>
      </c>
      <c r="B12" s="51" t="s">
        <v>24</v>
      </c>
      <c r="C12" s="71" t="s">
        <v>95</v>
      </c>
      <c r="D12" s="922">
        <v>38.020519999999998</v>
      </c>
      <c r="E12" s="870">
        <v>-121.76651</v>
      </c>
      <c r="F12" s="51" t="s">
        <v>9272</v>
      </c>
      <c r="G12" s="51" t="s">
        <v>27</v>
      </c>
      <c r="H12" s="51" t="s">
        <v>863</v>
      </c>
      <c r="I12" s="66">
        <v>0.49236111111111108</v>
      </c>
      <c r="J12" s="51" t="s">
        <v>28</v>
      </c>
      <c r="K12" s="51" t="s">
        <v>29</v>
      </c>
      <c r="L12" s="51" t="s">
        <v>30</v>
      </c>
      <c r="M12" s="51">
        <v>2</v>
      </c>
      <c r="N12" s="51">
        <v>10</v>
      </c>
      <c r="O12" s="428">
        <v>31.3</v>
      </c>
      <c r="P12" s="428">
        <v>372.2</v>
      </c>
      <c r="Q12" s="428">
        <v>0.995</v>
      </c>
      <c r="R12" s="428">
        <v>10.6</v>
      </c>
      <c r="S12" s="51" t="s">
        <v>50</v>
      </c>
      <c r="T12" s="51" t="s">
        <v>50</v>
      </c>
      <c r="U12" s="51" t="s">
        <v>50</v>
      </c>
      <c r="W12" s="54" t="s">
        <v>32</v>
      </c>
    </row>
    <row r="13" spans="1:23" s="927" customFormat="1" x14ac:dyDescent="0.25">
      <c r="A13" s="457">
        <v>44285</v>
      </c>
      <c r="B13" s="54" t="s">
        <v>9279</v>
      </c>
      <c r="C13" s="71" t="s">
        <v>106</v>
      </c>
      <c r="D13" s="922">
        <v>38.461799999999997</v>
      </c>
      <c r="E13" s="925">
        <v>-121.58779</v>
      </c>
      <c r="F13" s="54" t="s">
        <v>9280</v>
      </c>
      <c r="G13" s="54" t="s">
        <v>90</v>
      </c>
      <c r="H13" s="54" t="s">
        <v>108</v>
      </c>
      <c r="I13" s="55">
        <v>0.45624999999999999</v>
      </c>
      <c r="J13" s="54" t="s">
        <v>28</v>
      </c>
      <c r="K13" s="54" t="s">
        <v>29</v>
      </c>
      <c r="L13" s="54" t="s">
        <v>30</v>
      </c>
      <c r="M13" s="54">
        <v>2</v>
      </c>
      <c r="N13" s="54">
        <v>10</v>
      </c>
      <c r="O13" s="456">
        <v>31.25</v>
      </c>
      <c r="P13" s="456">
        <v>819.5</v>
      </c>
      <c r="Q13" s="456">
        <v>0.28000000000000003</v>
      </c>
      <c r="R13" s="456">
        <v>52.15</v>
      </c>
      <c r="S13" s="54" t="s">
        <v>50</v>
      </c>
      <c r="T13" s="54" t="s">
        <v>50</v>
      </c>
      <c r="U13" s="54" t="s">
        <v>50</v>
      </c>
      <c r="V13" s="926" t="s">
        <v>10122</v>
      </c>
      <c r="W13" s="927" t="s">
        <v>32</v>
      </c>
    </row>
    <row r="14" spans="1:23" s="51" customFormat="1" x14ac:dyDescent="0.25">
      <c r="A14" s="443">
        <v>44285</v>
      </c>
      <c r="B14" s="51" t="s">
        <v>9279</v>
      </c>
      <c r="C14" s="51" t="s">
        <v>106</v>
      </c>
      <c r="D14" s="870">
        <v>38.404870000000003</v>
      </c>
      <c r="E14" s="870">
        <v>-121.61462</v>
      </c>
      <c r="F14" s="51" t="s">
        <v>9281</v>
      </c>
      <c r="G14" s="51" t="s">
        <v>90</v>
      </c>
      <c r="H14" s="51" t="s">
        <v>108</v>
      </c>
      <c r="I14" s="66">
        <v>0.48819444444444443</v>
      </c>
      <c r="J14" s="51" t="s">
        <v>28</v>
      </c>
      <c r="K14" s="51" t="s">
        <v>29</v>
      </c>
      <c r="L14" s="51" t="s">
        <v>30</v>
      </c>
      <c r="M14" s="51">
        <v>2</v>
      </c>
      <c r="N14" s="51">
        <v>10</v>
      </c>
      <c r="O14" s="428">
        <v>32.1</v>
      </c>
      <c r="P14" s="428">
        <v>605.5</v>
      </c>
      <c r="Q14" s="428">
        <v>0.2</v>
      </c>
      <c r="R14" s="428">
        <v>100</v>
      </c>
      <c r="S14" s="51" t="s">
        <v>50</v>
      </c>
      <c r="T14" s="51" t="s">
        <v>50</v>
      </c>
      <c r="U14" s="51" t="s">
        <v>50</v>
      </c>
      <c r="W14" s="51" t="s">
        <v>32</v>
      </c>
    </row>
    <row r="15" spans="1:23" s="51" customFormat="1" x14ac:dyDescent="0.25">
      <c r="A15" s="443">
        <v>44285</v>
      </c>
      <c r="B15" s="51" t="s">
        <v>9279</v>
      </c>
      <c r="C15" s="51" t="s">
        <v>106</v>
      </c>
      <c r="D15" s="922">
        <v>38.315689999999996</v>
      </c>
      <c r="E15" s="925">
        <v>-121.65074</v>
      </c>
      <c r="F15" s="51" t="s">
        <v>9282</v>
      </c>
      <c r="G15" s="51" t="s">
        <v>90</v>
      </c>
      <c r="H15" s="51" t="s">
        <v>108</v>
      </c>
      <c r="I15" s="66">
        <v>0.34166666666666662</v>
      </c>
      <c r="J15" s="51" t="s">
        <v>28</v>
      </c>
      <c r="K15" s="51" t="s">
        <v>29</v>
      </c>
      <c r="L15" s="51" t="s">
        <v>30</v>
      </c>
      <c r="M15" s="51">
        <v>2</v>
      </c>
      <c r="N15" s="51">
        <v>10</v>
      </c>
      <c r="O15" s="428">
        <v>35.950000000000003</v>
      </c>
      <c r="P15" s="428">
        <v>294.3</v>
      </c>
      <c r="Q15" s="428">
        <v>0.55500000000000005</v>
      </c>
      <c r="R15" s="456">
        <v>17.100000000000001</v>
      </c>
      <c r="S15" s="51" t="s">
        <v>50</v>
      </c>
      <c r="T15" s="51" t="s">
        <v>50</v>
      </c>
      <c r="U15" s="51" t="s">
        <v>50</v>
      </c>
      <c r="V15" s="52" t="s">
        <v>9287</v>
      </c>
      <c r="W15" s="51" t="s">
        <v>32</v>
      </c>
    </row>
    <row r="16" spans="1:23" s="51" customFormat="1" x14ac:dyDescent="0.25">
      <c r="A16" s="443">
        <v>44285</v>
      </c>
      <c r="B16" s="51" t="s">
        <v>9279</v>
      </c>
      <c r="C16" s="51" t="s">
        <v>106</v>
      </c>
      <c r="D16" s="922">
        <v>38.433340000000001</v>
      </c>
      <c r="E16" s="925">
        <v>-121.60102000000001</v>
      </c>
      <c r="F16" s="51" t="s">
        <v>9284</v>
      </c>
      <c r="G16" s="51" t="s">
        <v>90</v>
      </c>
      <c r="H16" s="51" t="s">
        <v>108</v>
      </c>
      <c r="I16" s="66">
        <v>0.39097222222222222</v>
      </c>
      <c r="J16" s="51" t="s">
        <v>28</v>
      </c>
      <c r="K16" s="51" t="s">
        <v>29</v>
      </c>
      <c r="L16" s="51" t="s">
        <v>30</v>
      </c>
      <c r="M16" s="51">
        <v>2</v>
      </c>
      <c r="N16" s="51">
        <v>10</v>
      </c>
      <c r="O16" s="428">
        <v>33.4</v>
      </c>
      <c r="P16" s="428">
        <v>639.5</v>
      </c>
      <c r="Q16" s="428">
        <v>0.20499999999999999</v>
      </c>
      <c r="R16" s="456">
        <v>91.4</v>
      </c>
      <c r="S16" s="51" t="s">
        <v>50</v>
      </c>
      <c r="T16" s="51" t="s">
        <v>50</v>
      </c>
      <c r="U16" s="51" t="s">
        <v>50</v>
      </c>
      <c r="W16" s="51" t="s">
        <v>32</v>
      </c>
    </row>
    <row r="17" spans="1:24" s="51" customFormat="1" x14ac:dyDescent="0.25">
      <c r="A17" s="443">
        <v>44285</v>
      </c>
      <c r="B17" s="51" t="s">
        <v>9279</v>
      </c>
      <c r="C17" s="51" t="s">
        <v>106</v>
      </c>
      <c r="D17" s="922">
        <v>38.48386</v>
      </c>
      <c r="E17" s="925">
        <v>-121.58322</v>
      </c>
      <c r="F17" s="51" t="s">
        <v>9283</v>
      </c>
      <c r="G17" s="51" t="s">
        <v>90</v>
      </c>
      <c r="H17" s="51" t="s">
        <v>158</v>
      </c>
      <c r="I17" s="66">
        <v>0.42499999999999999</v>
      </c>
      <c r="J17" s="51" t="s">
        <v>28</v>
      </c>
      <c r="K17" s="51" t="s">
        <v>29</v>
      </c>
      <c r="L17" s="51" t="s">
        <v>30</v>
      </c>
      <c r="M17" s="51">
        <v>2</v>
      </c>
      <c r="N17" s="51">
        <v>10</v>
      </c>
      <c r="O17" s="428">
        <v>32.200000000000003</v>
      </c>
      <c r="P17" s="428">
        <v>911.5</v>
      </c>
      <c r="Q17" s="428">
        <v>0.4</v>
      </c>
      <c r="R17" s="456">
        <v>46.7</v>
      </c>
      <c r="S17" s="51" t="s">
        <v>50</v>
      </c>
      <c r="T17" s="51" t="s">
        <v>50</v>
      </c>
      <c r="U17" s="51" t="s">
        <v>50</v>
      </c>
      <c r="V17" s="52" t="s">
        <v>10123</v>
      </c>
      <c r="W17" s="51" t="s">
        <v>32</v>
      </c>
    </row>
    <row r="18" spans="1:24" s="437" customFormat="1" x14ac:dyDescent="0.25">
      <c r="A18" s="476">
        <v>44285</v>
      </c>
      <c r="B18" s="437" t="s">
        <v>9279</v>
      </c>
      <c r="C18" s="437" t="s">
        <v>62</v>
      </c>
      <c r="D18" s="923">
        <v>38.187289999999997</v>
      </c>
      <c r="E18" s="897">
        <v>-121.97599</v>
      </c>
      <c r="F18" s="437" t="s">
        <v>9285</v>
      </c>
      <c r="G18" s="437" t="s">
        <v>27</v>
      </c>
      <c r="H18" s="437" t="s">
        <v>62</v>
      </c>
      <c r="I18" s="438">
        <v>0.43402777777777773</v>
      </c>
      <c r="J18" s="437" t="s">
        <v>28</v>
      </c>
      <c r="K18" s="437" t="s">
        <v>29</v>
      </c>
      <c r="L18" s="437" t="s">
        <v>30</v>
      </c>
      <c r="M18" s="437">
        <v>2</v>
      </c>
      <c r="N18" s="437">
        <v>10</v>
      </c>
      <c r="O18" s="439">
        <v>19.850000000000001</v>
      </c>
      <c r="P18" s="439">
        <v>2155</v>
      </c>
      <c r="Q18" s="439">
        <v>0.28000000000000003</v>
      </c>
      <c r="R18" s="439">
        <v>55.6</v>
      </c>
      <c r="S18" s="877" t="s">
        <v>31</v>
      </c>
      <c r="T18" s="437">
        <v>7</v>
      </c>
      <c r="U18" s="437" t="s">
        <v>9286</v>
      </c>
      <c r="W18" s="437" t="s">
        <v>32</v>
      </c>
    </row>
    <row r="19" spans="1:24" s="437" customFormat="1" x14ac:dyDescent="0.25">
      <c r="A19" s="476">
        <v>44285</v>
      </c>
      <c r="B19" s="437" t="s">
        <v>9279</v>
      </c>
      <c r="C19" s="437" t="s">
        <v>62</v>
      </c>
      <c r="D19" s="923">
        <v>38.169440000000002</v>
      </c>
      <c r="E19" s="897">
        <v>-121.94632</v>
      </c>
      <c r="F19" s="437" t="s">
        <v>9288</v>
      </c>
      <c r="G19" s="437" t="s">
        <v>27</v>
      </c>
      <c r="H19" s="437" t="s">
        <v>62</v>
      </c>
      <c r="I19" s="438">
        <v>0.4604166666666667</v>
      </c>
      <c r="J19" s="437" t="s">
        <v>28</v>
      </c>
      <c r="K19" s="437" t="s">
        <v>29</v>
      </c>
      <c r="L19" s="437" t="s">
        <v>30</v>
      </c>
      <c r="M19" s="437">
        <v>2</v>
      </c>
      <c r="N19" s="437">
        <v>10</v>
      </c>
      <c r="O19" s="439">
        <v>25.35</v>
      </c>
      <c r="P19" s="439">
        <v>2167.5</v>
      </c>
      <c r="Q19" s="439">
        <v>0.22</v>
      </c>
      <c r="R19" s="439">
        <v>59.45</v>
      </c>
      <c r="S19" s="877" t="s">
        <v>31</v>
      </c>
      <c r="T19" s="928">
        <v>6</v>
      </c>
      <c r="U19" s="437" t="s">
        <v>9289</v>
      </c>
      <c r="W19" s="437" t="s">
        <v>32</v>
      </c>
    </row>
    <row r="20" spans="1:24" s="437" customFormat="1" x14ac:dyDescent="0.25">
      <c r="A20" s="476">
        <v>44285</v>
      </c>
      <c r="B20" s="437" t="s">
        <v>9279</v>
      </c>
      <c r="C20" s="437" t="s">
        <v>62</v>
      </c>
      <c r="D20" s="923">
        <v>38.159089999999999</v>
      </c>
      <c r="E20" s="897">
        <v>-121.92795</v>
      </c>
      <c r="F20" s="437" t="s">
        <v>9290</v>
      </c>
      <c r="G20" s="437" t="s">
        <v>27</v>
      </c>
      <c r="H20" s="437" t="s">
        <v>62</v>
      </c>
      <c r="I20" s="438">
        <v>0.48472222222222222</v>
      </c>
      <c r="J20" s="437" t="s">
        <v>28</v>
      </c>
      <c r="K20" s="437" t="s">
        <v>29</v>
      </c>
      <c r="L20" s="437" t="s">
        <v>30</v>
      </c>
      <c r="M20" s="437">
        <v>2</v>
      </c>
      <c r="N20" s="437">
        <v>10</v>
      </c>
      <c r="O20" s="439">
        <v>12.05</v>
      </c>
      <c r="P20" s="439">
        <v>2579.5</v>
      </c>
      <c r="Q20" s="439">
        <v>0.26</v>
      </c>
      <c r="R20" s="439">
        <v>64.2</v>
      </c>
      <c r="S20" s="877" t="s">
        <v>31</v>
      </c>
      <c r="T20" s="928">
        <v>14</v>
      </c>
      <c r="U20" s="437" t="s">
        <v>9291</v>
      </c>
      <c r="W20" s="437" t="s">
        <v>32</v>
      </c>
    </row>
    <row r="21" spans="1:24" s="878" customFormat="1" x14ac:dyDescent="0.25">
      <c r="A21" s="476">
        <v>44285</v>
      </c>
      <c r="B21" s="437" t="s">
        <v>9279</v>
      </c>
      <c r="C21" s="437" t="s">
        <v>62</v>
      </c>
      <c r="D21" s="923">
        <v>38.180869999999999</v>
      </c>
      <c r="E21" s="897">
        <v>-121.99679</v>
      </c>
      <c r="F21" s="437" t="s">
        <v>9292</v>
      </c>
      <c r="G21" s="437" t="s">
        <v>27</v>
      </c>
      <c r="H21" s="437" t="s">
        <v>62</v>
      </c>
      <c r="I21" s="438">
        <v>0.39930555555555558</v>
      </c>
      <c r="J21" s="437" t="s">
        <v>28</v>
      </c>
      <c r="K21" s="437" t="s">
        <v>29</v>
      </c>
      <c r="L21" s="437" t="s">
        <v>30</v>
      </c>
      <c r="M21" s="437">
        <v>2</v>
      </c>
      <c r="N21" s="437">
        <v>10</v>
      </c>
      <c r="O21" s="439">
        <v>21.2</v>
      </c>
      <c r="P21" s="439">
        <v>2277</v>
      </c>
      <c r="Q21" s="439">
        <v>0.26500000000000001</v>
      </c>
      <c r="R21" s="439">
        <v>78.95</v>
      </c>
      <c r="S21" s="877" t="s">
        <v>31</v>
      </c>
      <c r="T21" s="437">
        <v>12</v>
      </c>
      <c r="U21" s="437" t="s">
        <v>9293</v>
      </c>
      <c r="V21" s="921"/>
      <c r="W21" s="437" t="s">
        <v>32</v>
      </c>
    </row>
    <row r="22" spans="1:24" s="878" customFormat="1" x14ac:dyDescent="0.25">
      <c r="A22" s="476">
        <v>44285</v>
      </c>
      <c r="B22" s="437" t="s">
        <v>9279</v>
      </c>
      <c r="C22" s="437" t="s">
        <v>62</v>
      </c>
      <c r="D22" s="437">
        <v>38.136780000000002</v>
      </c>
      <c r="E22" s="437">
        <v>-122.0615</v>
      </c>
      <c r="F22" s="437" t="s">
        <v>9294</v>
      </c>
      <c r="G22" s="437" t="s">
        <v>27</v>
      </c>
      <c r="H22" s="437" t="s">
        <v>62</v>
      </c>
      <c r="I22" s="438">
        <v>0.36736111111111108</v>
      </c>
      <c r="J22" s="437" t="s">
        <v>28</v>
      </c>
      <c r="K22" s="437" t="s">
        <v>29</v>
      </c>
      <c r="L22" s="437" t="s">
        <v>30</v>
      </c>
      <c r="M22" s="437">
        <v>2</v>
      </c>
      <c r="N22" s="437">
        <v>10</v>
      </c>
      <c r="O22" s="437">
        <v>41.25</v>
      </c>
      <c r="P22" s="439">
        <v>5319.5</v>
      </c>
      <c r="Q22" s="439">
        <v>0.20499999999999999</v>
      </c>
      <c r="R22" s="437">
        <v>118.5</v>
      </c>
      <c r="S22" s="877" t="s">
        <v>31</v>
      </c>
      <c r="T22" s="437">
        <v>88</v>
      </c>
      <c r="U22" s="437" t="s">
        <v>9295</v>
      </c>
      <c r="V22" s="921"/>
      <c r="W22" s="437" t="s">
        <v>32</v>
      </c>
    </row>
    <row r="23" spans="1:24" s="933" customFormat="1" x14ac:dyDescent="0.25">
      <c r="A23" s="458">
        <v>44286</v>
      </c>
      <c r="B23" s="459" t="s">
        <v>9296</v>
      </c>
      <c r="C23" s="459" t="s">
        <v>62</v>
      </c>
      <c r="D23" s="929">
        <v>38.10821</v>
      </c>
      <c r="E23" s="930">
        <v>-122.04827</v>
      </c>
      <c r="F23" s="459" t="s">
        <v>9297</v>
      </c>
      <c r="G23" s="459" t="s">
        <v>27</v>
      </c>
      <c r="H23" s="459" t="s">
        <v>173</v>
      </c>
      <c r="I23" s="931">
        <v>0.33680555555555558</v>
      </c>
      <c r="J23" s="459" t="s">
        <v>28</v>
      </c>
      <c r="K23" s="459" t="s">
        <v>29</v>
      </c>
      <c r="L23" s="459" t="s">
        <v>30</v>
      </c>
      <c r="M23" s="459">
        <v>0</v>
      </c>
      <c r="N23" s="459" t="s">
        <v>50</v>
      </c>
      <c r="O23" s="459" t="s">
        <v>50</v>
      </c>
      <c r="P23" s="459" t="s">
        <v>50</v>
      </c>
      <c r="Q23" s="459" t="s">
        <v>50</v>
      </c>
      <c r="R23" s="459" t="s">
        <v>50</v>
      </c>
      <c r="S23" s="459" t="s">
        <v>50</v>
      </c>
      <c r="T23" s="459" t="s">
        <v>50</v>
      </c>
      <c r="U23" s="459" t="s">
        <v>50</v>
      </c>
      <c r="V23" s="932" t="s">
        <v>858</v>
      </c>
      <c r="W23" s="459" t="s">
        <v>32</v>
      </c>
    </row>
    <row r="24" spans="1:24" s="933" customFormat="1" x14ac:dyDescent="0.25">
      <c r="A24" s="458">
        <v>44286</v>
      </c>
      <c r="B24" s="459" t="s">
        <v>9296</v>
      </c>
      <c r="C24" s="459" t="s">
        <v>62</v>
      </c>
      <c r="D24" s="929">
        <v>38.106189999999998</v>
      </c>
      <c r="E24" s="930">
        <v>-122.03433</v>
      </c>
      <c r="F24" s="459" t="s">
        <v>9298</v>
      </c>
      <c r="G24" s="459" t="s">
        <v>27</v>
      </c>
      <c r="H24" s="459" t="s">
        <v>173</v>
      </c>
      <c r="I24" s="931">
        <v>0.33402777777777781</v>
      </c>
      <c r="J24" s="459" t="s">
        <v>28</v>
      </c>
      <c r="K24" s="459" t="s">
        <v>29</v>
      </c>
      <c r="L24" s="459" t="s">
        <v>30</v>
      </c>
      <c r="M24" s="459">
        <v>0</v>
      </c>
      <c r="N24" s="459" t="s">
        <v>50</v>
      </c>
      <c r="O24" s="459" t="s">
        <v>50</v>
      </c>
      <c r="P24" s="459" t="s">
        <v>50</v>
      </c>
      <c r="Q24" s="459" t="s">
        <v>50</v>
      </c>
      <c r="R24" s="459" t="s">
        <v>50</v>
      </c>
      <c r="S24" s="459" t="s">
        <v>50</v>
      </c>
      <c r="T24" s="459" t="s">
        <v>50</v>
      </c>
      <c r="U24" s="459" t="s">
        <v>50</v>
      </c>
      <c r="V24" s="932" t="s">
        <v>858</v>
      </c>
      <c r="W24" s="459" t="s">
        <v>32</v>
      </c>
    </row>
    <row r="25" spans="1:24" s="933" customFormat="1" x14ac:dyDescent="0.25">
      <c r="A25" s="458">
        <v>44286</v>
      </c>
      <c r="B25" s="459" t="s">
        <v>9296</v>
      </c>
      <c r="C25" s="459" t="s">
        <v>62</v>
      </c>
      <c r="D25" s="459">
        <v>38.108840000000001</v>
      </c>
      <c r="E25" s="459">
        <v>-122.05840999999999</v>
      </c>
      <c r="F25" s="459" t="s">
        <v>9299</v>
      </c>
      <c r="G25" s="459" t="s">
        <v>27</v>
      </c>
      <c r="H25" s="459" t="s">
        <v>173</v>
      </c>
      <c r="I25" s="931">
        <v>0.36527777777777781</v>
      </c>
      <c r="J25" s="459" t="s">
        <v>28</v>
      </c>
      <c r="K25" s="459" t="s">
        <v>29</v>
      </c>
      <c r="L25" s="459" t="s">
        <v>30</v>
      </c>
      <c r="M25" s="459">
        <v>0</v>
      </c>
      <c r="N25" s="459" t="s">
        <v>50</v>
      </c>
      <c r="O25" s="459" t="s">
        <v>50</v>
      </c>
      <c r="P25" s="935" t="s">
        <v>50</v>
      </c>
      <c r="Q25" s="459" t="s">
        <v>50</v>
      </c>
      <c r="R25" s="459" t="s">
        <v>50</v>
      </c>
      <c r="S25" s="934" t="s">
        <v>50</v>
      </c>
      <c r="T25" s="459" t="s">
        <v>50</v>
      </c>
      <c r="U25" s="459" t="s">
        <v>50</v>
      </c>
      <c r="V25" s="932" t="s">
        <v>858</v>
      </c>
      <c r="W25" s="459" t="s">
        <v>32</v>
      </c>
    </row>
    <row r="26" spans="1:24" s="437" customFormat="1" x14ac:dyDescent="0.25">
      <c r="A26" s="476">
        <v>44286</v>
      </c>
      <c r="B26" s="437" t="s">
        <v>9296</v>
      </c>
      <c r="C26" s="437" t="s">
        <v>62</v>
      </c>
      <c r="D26" s="437">
        <v>38.159979999999997</v>
      </c>
      <c r="E26" s="437">
        <v>-122.05822999999999</v>
      </c>
      <c r="F26" s="437" t="s">
        <v>9300</v>
      </c>
      <c r="G26" s="437" t="s">
        <v>27</v>
      </c>
      <c r="H26" s="437" t="s">
        <v>62</v>
      </c>
      <c r="I26" s="438">
        <v>0.40208333333333335</v>
      </c>
      <c r="J26" s="437" t="s">
        <v>28</v>
      </c>
      <c r="K26" s="437" t="s">
        <v>29</v>
      </c>
      <c r="L26" s="437" t="s">
        <v>30</v>
      </c>
      <c r="M26" s="936">
        <v>2</v>
      </c>
      <c r="N26" s="437">
        <v>10</v>
      </c>
      <c r="O26" s="439">
        <v>20.399999999999999</v>
      </c>
      <c r="P26" s="439">
        <v>4488</v>
      </c>
      <c r="Q26" s="439">
        <v>0.2</v>
      </c>
      <c r="R26" s="439">
        <v>180.5</v>
      </c>
      <c r="S26" s="877" t="s">
        <v>31</v>
      </c>
      <c r="T26" s="486">
        <v>92</v>
      </c>
      <c r="U26" s="437" t="s">
        <v>9311</v>
      </c>
      <c r="V26" s="937"/>
      <c r="W26" s="486" t="s">
        <v>32</v>
      </c>
      <c r="X26" s="919"/>
    </row>
    <row r="27" spans="1:24" s="437" customFormat="1" ht="15.75" x14ac:dyDescent="0.25">
      <c r="A27" s="476">
        <v>44286</v>
      </c>
      <c r="B27" s="437" t="s">
        <v>9296</v>
      </c>
      <c r="C27" s="437" t="s">
        <v>62</v>
      </c>
      <c r="D27" s="437">
        <v>38.159979999999997</v>
      </c>
      <c r="E27" s="437">
        <v>-122.05822999999999</v>
      </c>
      <c r="F27" s="437" t="s">
        <v>9300</v>
      </c>
      <c r="G27" s="437" t="s">
        <v>27</v>
      </c>
      <c r="H27" s="437" t="s">
        <v>62</v>
      </c>
      <c r="I27" s="438">
        <v>0.40208333333333335</v>
      </c>
      <c r="J27" s="437" t="s">
        <v>28</v>
      </c>
      <c r="K27" s="437" t="s">
        <v>29</v>
      </c>
      <c r="L27" s="437" t="s">
        <v>30</v>
      </c>
      <c r="M27" s="936">
        <v>2</v>
      </c>
      <c r="N27" s="437">
        <v>10</v>
      </c>
      <c r="O27" s="439">
        <v>20.399999999999999</v>
      </c>
      <c r="P27" s="439">
        <v>4488</v>
      </c>
      <c r="Q27" s="439">
        <v>0.2</v>
      </c>
      <c r="R27" s="439">
        <v>180.5</v>
      </c>
      <c r="S27" s="877" t="s">
        <v>926</v>
      </c>
      <c r="T27" s="437">
        <v>1</v>
      </c>
      <c r="U27" s="437">
        <v>12.8</v>
      </c>
      <c r="V27" s="977" t="s">
        <v>9344</v>
      </c>
      <c r="W27" s="486" t="s">
        <v>32</v>
      </c>
    </row>
    <row r="28" spans="1:24" s="437" customFormat="1" x14ac:dyDescent="0.25">
      <c r="A28" s="476">
        <v>44286</v>
      </c>
      <c r="B28" s="437" t="s">
        <v>9296</v>
      </c>
      <c r="C28" s="437" t="s">
        <v>62</v>
      </c>
      <c r="D28" s="437">
        <v>38.164479999999998</v>
      </c>
      <c r="E28" s="437">
        <v>-122.04382</v>
      </c>
      <c r="F28" s="437" t="s">
        <v>9301</v>
      </c>
      <c r="G28" s="437" t="s">
        <v>27</v>
      </c>
      <c r="H28" s="437" t="s">
        <v>62</v>
      </c>
      <c r="I28" s="438">
        <v>0.3659722222222222</v>
      </c>
      <c r="J28" s="437" t="s">
        <v>28</v>
      </c>
      <c r="K28" s="437" t="s">
        <v>29</v>
      </c>
      <c r="L28" s="437" t="s">
        <v>30</v>
      </c>
      <c r="M28" s="437">
        <v>2</v>
      </c>
      <c r="N28" s="437">
        <v>10</v>
      </c>
      <c r="O28" s="439">
        <v>12.5</v>
      </c>
      <c r="P28" s="439">
        <v>2403.5</v>
      </c>
      <c r="Q28" s="439">
        <v>0.19</v>
      </c>
      <c r="R28" s="439">
        <v>94.25</v>
      </c>
      <c r="S28" s="877" t="s">
        <v>31</v>
      </c>
      <c r="T28" s="437">
        <v>34</v>
      </c>
      <c r="U28" s="437" t="s">
        <v>9310</v>
      </c>
      <c r="V28" s="440"/>
      <c r="W28" s="486" t="s">
        <v>32</v>
      </c>
    </row>
    <row r="29" spans="1:24" s="437" customFormat="1" x14ac:dyDescent="0.25">
      <c r="A29" s="476">
        <v>44286</v>
      </c>
      <c r="B29" s="437" t="s">
        <v>9296</v>
      </c>
      <c r="C29" s="437" t="s">
        <v>62</v>
      </c>
      <c r="D29" s="437">
        <v>38.115670000000001</v>
      </c>
      <c r="E29" s="437">
        <v>-122.05519</v>
      </c>
      <c r="F29" s="437" t="s">
        <v>9307</v>
      </c>
      <c r="G29" s="437" t="s">
        <v>27</v>
      </c>
      <c r="H29" s="437" t="s">
        <v>173</v>
      </c>
      <c r="I29" s="438">
        <v>0.38194444444444442</v>
      </c>
      <c r="J29" s="437" t="s">
        <v>28</v>
      </c>
      <c r="K29" s="437" t="s">
        <v>29</v>
      </c>
      <c r="L29" s="437" t="s">
        <v>30</v>
      </c>
      <c r="M29" s="437">
        <v>2</v>
      </c>
      <c r="N29" s="437">
        <v>10</v>
      </c>
      <c r="O29" s="439">
        <v>7.85</v>
      </c>
      <c r="P29" s="439">
        <v>9055</v>
      </c>
      <c r="Q29" s="439">
        <v>0.17</v>
      </c>
      <c r="R29" s="439">
        <v>208.5</v>
      </c>
      <c r="S29" s="877" t="s">
        <v>31</v>
      </c>
      <c r="T29" s="437">
        <v>36</v>
      </c>
      <c r="U29" s="437" t="s">
        <v>9309</v>
      </c>
      <c r="V29" s="440"/>
      <c r="W29" s="486" t="s">
        <v>32</v>
      </c>
    </row>
    <row r="30" spans="1:24" s="437" customFormat="1" x14ac:dyDescent="0.25">
      <c r="A30" s="476">
        <v>44286</v>
      </c>
      <c r="B30" s="437" t="s">
        <v>9296</v>
      </c>
      <c r="C30" s="437" t="s">
        <v>62</v>
      </c>
      <c r="D30" s="437">
        <v>38.107849999999999</v>
      </c>
      <c r="E30" s="437">
        <v>-122.05349</v>
      </c>
      <c r="F30" s="437" t="s">
        <v>9326</v>
      </c>
      <c r="G30" s="437" t="s">
        <v>27</v>
      </c>
      <c r="H30" s="437" t="s">
        <v>173</v>
      </c>
      <c r="I30" s="438">
        <v>0.34166666666666662</v>
      </c>
      <c r="J30" s="437" t="s">
        <v>28</v>
      </c>
      <c r="K30" s="437" t="s">
        <v>29</v>
      </c>
      <c r="L30" s="437" t="s">
        <v>30</v>
      </c>
      <c r="M30" s="437">
        <v>2</v>
      </c>
      <c r="N30" s="437">
        <v>10</v>
      </c>
      <c r="O30" s="439">
        <v>6.25</v>
      </c>
      <c r="P30" s="439">
        <v>11447.5</v>
      </c>
      <c r="Q30" s="439">
        <v>0.16</v>
      </c>
      <c r="R30" s="439">
        <v>182</v>
      </c>
      <c r="S30" s="877" t="s">
        <v>31</v>
      </c>
      <c r="T30" s="437">
        <v>28</v>
      </c>
      <c r="U30" s="437" t="s">
        <v>9327</v>
      </c>
      <c r="V30" s="440"/>
      <c r="W30" s="486" t="s">
        <v>32</v>
      </c>
    </row>
    <row r="31" spans="1:24" s="437" customFormat="1" x14ac:dyDescent="0.25">
      <c r="A31" s="476">
        <v>44286</v>
      </c>
      <c r="B31" s="437" t="s">
        <v>9296</v>
      </c>
      <c r="C31" s="437" t="s">
        <v>62</v>
      </c>
      <c r="D31" s="437">
        <v>38.178379999999997</v>
      </c>
      <c r="E31" s="437">
        <v>-122.0506</v>
      </c>
      <c r="F31" s="437" t="s">
        <v>9308</v>
      </c>
      <c r="G31" s="437" t="s">
        <v>27</v>
      </c>
      <c r="H31" s="437" t="s">
        <v>62</v>
      </c>
      <c r="I31" s="438">
        <v>0.4291666666666667</v>
      </c>
      <c r="J31" s="437" t="s">
        <v>28</v>
      </c>
      <c r="K31" s="437" t="s">
        <v>29</v>
      </c>
      <c r="L31" s="437" t="s">
        <v>30</v>
      </c>
      <c r="M31" s="437">
        <v>2</v>
      </c>
      <c r="N31" s="437">
        <v>10</v>
      </c>
      <c r="O31" s="439">
        <v>8.75</v>
      </c>
      <c r="P31" s="439">
        <v>4811.5</v>
      </c>
      <c r="Q31" s="439">
        <v>0.185</v>
      </c>
      <c r="R31" s="439">
        <v>119</v>
      </c>
      <c r="S31" s="877" t="s">
        <v>31</v>
      </c>
      <c r="T31" s="486">
        <v>16</v>
      </c>
      <c r="U31" s="437" t="s">
        <v>9331</v>
      </c>
      <c r="V31" s="440"/>
      <c r="W31" s="486" t="s">
        <v>32</v>
      </c>
    </row>
    <row r="32" spans="1:24" s="437" customFormat="1" ht="15.75" x14ac:dyDescent="0.25">
      <c r="A32" s="476">
        <v>44286</v>
      </c>
      <c r="B32" s="437" t="s">
        <v>9296</v>
      </c>
      <c r="C32" s="437" t="s">
        <v>62</v>
      </c>
      <c r="D32" s="437">
        <v>38.178379999999997</v>
      </c>
      <c r="E32" s="437">
        <v>-122.0506</v>
      </c>
      <c r="F32" s="437" t="s">
        <v>9308</v>
      </c>
      <c r="G32" s="437" t="s">
        <v>27</v>
      </c>
      <c r="H32" s="437" t="s">
        <v>62</v>
      </c>
      <c r="I32" s="438">
        <v>0.4291666666666667</v>
      </c>
      <c r="J32" s="437" t="s">
        <v>28</v>
      </c>
      <c r="K32" s="437" t="s">
        <v>29</v>
      </c>
      <c r="L32" s="437" t="s">
        <v>30</v>
      </c>
      <c r="M32" s="437">
        <v>2</v>
      </c>
      <c r="N32" s="437">
        <v>10</v>
      </c>
      <c r="O32" s="439">
        <v>8.75</v>
      </c>
      <c r="P32" s="439">
        <v>4811.5</v>
      </c>
      <c r="Q32" s="439">
        <v>0.185</v>
      </c>
      <c r="R32" s="439">
        <v>119</v>
      </c>
      <c r="S32" s="877" t="s">
        <v>926</v>
      </c>
      <c r="T32" s="486">
        <v>2</v>
      </c>
      <c r="U32" s="437" t="s">
        <v>9330</v>
      </c>
      <c r="V32" s="977" t="s">
        <v>9344</v>
      </c>
      <c r="W32" s="486" t="s">
        <v>32</v>
      </c>
    </row>
    <row r="33" spans="1:24" s="437" customFormat="1" x14ac:dyDescent="0.25">
      <c r="A33" s="476">
        <v>44286</v>
      </c>
      <c r="B33" s="437" t="s">
        <v>9296</v>
      </c>
      <c r="C33" s="437" t="s">
        <v>106</v>
      </c>
      <c r="D33" s="437">
        <v>38.359290000000001</v>
      </c>
      <c r="E33" s="437">
        <v>-121.63594000000001</v>
      </c>
      <c r="F33" s="437" t="s">
        <v>9302</v>
      </c>
      <c r="G33" s="437" t="s">
        <v>90</v>
      </c>
      <c r="H33" s="437" t="s">
        <v>108</v>
      </c>
      <c r="I33" s="438">
        <v>0.45833333333333331</v>
      </c>
      <c r="J33" s="437" t="s">
        <v>28</v>
      </c>
      <c r="K33" s="437" t="s">
        <v>29</v>
      </c>
      <c r="L33" s="437" t="s">
        <v>30</v>
      </c>
      <c r="M33" s="437">
        <v>2</v>
      </c>
      <c r="N33" s="437">
        <v>10</v>
      </c>
      <c r="O33" s="439">
        <v>30.25</v>
      </c>
      <c r="P33" s="439">
        <v>456.55</v>
      </c>
      <c r="Q33" s="439">
        <v>0.28499999999999998</v>
      </c>
      <c r="R33" s="439">
        <v>50.65</v>
      </c>
      <c r="S33" s="877" t="s">
        <v>31</v>
      </c>
      <c r="T33" s="437">
        <v>1</v>
      </c>
      <c r="U33" s="437">
        <v>14.9</v>
      </c>
      <c r="V33" s="440" t="s">
        <v>10124</v>
      </c>
      <c r="W33" s="486" t="s">
        <v>32</v>
      </c>
    </row>
    <row r="34" spans="1:24" s="51" customFormat="1" x14ac:dyDescent="0.25">
      <c r="A34" s="443">
        <v>44286</v>
      </c>
      <c r="B34" s="54" t="s">
        <v>9296</v>
      </c>
      <c r="C34" s="54" t="s">
        <v>106</v>
      </c>
      <c r="D34" s="51">
        <v>38.270440000000001</v>
      </c>
      <c r="E34" s="51">
        <v>-121.66168</v>
      </c>
      <c r="F34" s="54" t="s">
        <v>9303</v>
      </c>
      <c r="G34" s="54" t="s">
        <v>90</v>
      </c>
      <c r="H34" s="54" t="s">
        <v>108</v>
      </c>
      <c r="I34" s="66">
        <v>0.42222222222222222</v>
      </c>
      <c r="J34" s="54" t="s">
        <v>28</v>
      </c>
      <c r="K34" s="54" t="s">
        <v>29</v>
      </c>
      <c r="L34" s="54" t="s">
        <v>30</v>
      </c>
      <c r="M34" s="51">
        <v>2</v>
      </c>
      <c r="N34" s="51">
        <v>10</v>
      </c>
      <c r="O34" s="428">
        <v>36.200000000000003</v>
      </c>
      <c r="P34" s="428">
        <v>249.9</v>
      </c>
      <c r="Q34" s="428">
        <v>0.64</v>
      </c>
      <c r="R34" s="428">
        <v>13.45</v>
      </c>
      <c r="S34" s="51" t="s">
        <v>50</v>
      </c>
      <c r="T34" s="51" t="s">
        <v>50</v>
      </c>
      <c r="U34" s="51" t="s">
        <v>50</v>
      </c>
      <c r="V34" s="52" t="s">
        <v>10125</v>
      </c>
      <c r="W34" s="442" t="s">
        <v>32</v>
      </c>
    </row>
    <row r="35" spans="1:24" s="51" customFormat="1" x14ac:dyDescent="0.25">
      <c r="A35" s="443">
        <v>44286</v>
      </c>
      <c r="B35" s="54" t="s">
        <v>9296</v>
      </c>
      <c r="C35" s="54" t="s">
        <v>106</v>
      </c>
      <c r="D35" s="51">
        <v>38.240650000000002</v>
      </c>
      <c r="E35" s="51">
        <v>-121.67031</v>
      </c>
      <c r="F35" s="54" t="s">
        <v>9304</v>
      </c>
      <c r="G35" s="54" t="s">
        <v>90</v>
      </c>
      <c r="H35" s="54" t="s">
        <v>108</v>
      </c>
      <c r="I35" s="66">
        <v>0.39374999999999999</v>
      </c>
      <c r="J35" s="54" t="s">
        <v>28</v>
      </c>
      <c r="K35" s="54" t="s">
        <v>29</v>
      </c>
      <c r="L35" s="54" t="s">
        <v>30</v>
      </c>
      <c r="M35" s="51">
        <v>2</v>
      </c>
      <c r="N35" s="51">
        <v>10</v>
      </c>
      <c r="O35" s="428">
        <v>21.85</v>
      </c>
      <c r="P35" s="428">
        <v>218.75</v>
      </c>
      <c r="Q35" s="428">
        <v>0.93</v>
      </c>
      <c r="R35" s="428">
        <v>10.675000000000001</v>
      </c>
      <c r="S35" s="51" t="s">
        <v>50</v>
      </c>
      <c r="T35" s="51" t="s">
        <v>50</v>
      </c>
      <c r="U35" s="51" t="s">
        <v>50</v>
      </c>
      <c r="V35" s="52"/>
      <c r="W35" s="442" t="s">
        <v>32</v>
      </c>
    </row>
    <row r="36" spans="1:24" s="51" customFormat="1" x14ac:dyDescent="0.25">
      <c r="A36" s="443">
        <v>44286</v>
      </c>
      <c r="B36" s="54" t="s">
        <v>9296</v>
      </c>
      <c r="C36" s="54" t="s">
        <v>106</v>
      </c>
      <c r="D36" s="51">
        <v>38.164479999999998</v>
      </c>
      <c r="E36" s="51">
        <v>-122.04382</v>
      </c>
      <c r="F36" s="54" t="s">
        <v>9305</v>
      </c>
      <c r="G36" s="54" t="s">
        <v>90</v>
      </c>
      <c r="H36" s="54" t="s">
        <v>108</v>
      </c>
      <c r="I36" s="66">
        <v>0.46597222222222223</v>
      </c>
      <c r="J36" s="54" t="s">
        <v>28</v>
      </c>
      <c r="K36" s="54" t="s">
        <v>29</v>
      </c>
      <c r="L36" s="54" t="s">
        <v>30</v>
      </c>
      <c r="M36" s="51">
        <v>2</v>
      </c>
      <c r="N36" s="51">
        <v>10</v>
      </c>
      <c r="O36" s="428">
        <v>29.15</v>
      </c>
      <c r="P36" s="428">
        <v>227</v>
      </c>
      <c r="Q36" s="428">
        <v>0.71</v>
      </c>
      <c r="R36" s="428">
        <v>9.0500000000000007</v>
      </c>
      <c r="S36" s="51" t="s">
        <v>50</v>
      </c>
      <c r="T36" s="51" t="s">
        <v>50</v>
      </c>
      <c r="U36" s="51" t="s">
        <v>50</v>
      </c>
      <c r="V36" s="52"/>
      <c r="W36" s="442" t="s">
        <v>32</v>
      </c>
    </row>
    <row r="37" spans="1:24" s="51" customFormat="1" x14ac:dyDescent="0.25">
      <c r="A37" s="443">
        <v>44286</v>
      </c>
      <c r="B37" s="54" t="s">
        <v>9296</v>
      </c>
      <c r="C37" s="54" t="s">
        <v>106</v>
      </c>
      <c r="D37" s="51">
        <v>38.193060000000003</v>
      </c>
      <c r="E37" s="51">
        <v>-121.65595</v>
      </c>
      <c r="F37" s="54" t="s">
        <v>9306</v>
      </c>
      <c r="G37" s="54" t="s">
        <v>90</v>
      </c>
      <c r="H37" s="54" t="s">
        <v>108</v>
      </c>
      <c r="I37" s="66">
        <v>0.33194444444444443</v>
      </c>
      <c r="J37" s="54" t="s">
        <v>28</v>
      </c>
      <c r="K37" s="54" t="s">
        <v>29</v>
      </c>
      <c r="L37" s="54" t="s">
        <v>30</v>
      </c>
      <c r="M37" s="51">
        <v>2</v>
      </c>
      <c r="N37" s="51">
        <v>10</v>
      </c>
      <c r="O37" s="428">
        <v>52.95</v>
      </c>
      <c r="P37" s="428">
        <v>209.45</v>
      </c>
      <c r="Q37" s="428">
        <v>1.335</v>
      </c>
      <c r="R37" s="428">
        <v>6.27</v>
      </c>
      <c r="S37" s="51" t="s">
        <v>50</v>
      </c>
      <c r="T37" s="51" t="s">
        <v>50</v>
      </c>
      <c r="U37" s="51" t="s">
        <v>50</v>
      </c>
      <c r="V37" s="52" t="s">
        <v>9312</v>
      </c>
      <c r="W37" s="442" t="s">
        <v>32</v>
      </c>
    </row>
    <row r="38" spans="1:24" s="437" customFormat="1" x14ac:dyDescent="0.25">
      <c r="A38" s="476">
        <v>44287</v>
      </c>
      <c r="B38" s="437" t="s">
        <v>9313</v>
      </c>
      <c r="C38" s="437" t="s">
        <v>78</v>
      </c>
      <c r="D38" s="897">
        <v>38.071219999999997</v>
      </c>
      <c r="E38" s="897">
        <v>-121.996</v>
      </c>
      <c r="F38" s="437" t="s">
        <v>9314</v>
      </c>
      <c r="G38" s="437" t="s">
        <v>27</v>
      </c>
      <c r="H38" s="437" t="s">
        <v>9315</v>
      </c>
      <c r="I38" s="438">
        <v>0.36736111111111108</v>
      </c>
      <c r="J38" s="437" t="s">
        <v>28</v>
      </c>
      <c r="K38" s="437" t="s">
        <v>29</v>
      </c>
      <c r="L38" s="437" t="s">
        <v>30</v>
      </c>
      <c r="M38" s="437">
        <v>2</v>
      </c>
      <c r="N38" s="437">
        <v>10</v>
      </c>
      <c r="O38" s="439">
        <v>8.5500000000000007</v>
      </c>
      <c r="P38" s="439">
        <v>12054</v>
      </c>
      <c r="Q38" s="437">
        <v>7.59</v>
      </c>
      <c r="R38" s="437">
        <v>50.25</v>
      </c>
      <c r="S38" s="877" t="s">
        <v>31</v>
      </c>
      <c r="T38" s="437">
        <v>3</v>
      </c>
      <c r="U38" s="437" t="s">
        <v>9328</v>
      </c>
      <c r="V38" s="440"/>
      <c r="W38" s="486" t="s">
        <v>32</v>
      </c>
    </row>
    <row r="39" spans="1:24" s="51" customFormat="1" x14ac:dyDescent="0.25">
      <c r="A39" s="443">
        <v>44287</v>
      </c>
      <c r="B39" s="54" t="s">
        <v>9313</v>
      </c>
      <c r="C39" s="54" t="s">
        <v>78</v>
      </c>
      <c r="D39" s="870">
        <v>38.039169999999999</v>
      </c>
      <c r="E39" s="870">
        <v>-122.12706</v>
      </c>
      <c r="F39" s="54" t="s">
        <v>9316</v>
      </c>
      <c r="G39" s="54" t="s">
        <v>80</v>
      </c>
      <c r="H39" s="54" t="s">
        <v>81</v>
      </c>
      <c r="I39" s="66">
        <v>0.41319444444444442</v>
      </c>
      <c r="J39" s="54" t="s">
        <v>28</v>
      </c>
      <c r="K39" s="54" t="s">
        <v>29</v>
      </c>
      <c r="L39" s="54" t="s">
        <v>30</v>
      </c>
      <c r="M39" s="51">
        <v>2</v>
      </c>
      <c r="N39" s="51">
        <v>10</v>
      </c>
      <c r="O39" s="428">
        <v>42.75</v>
      </c>
      <c r="P39" s="428">
        <v>20169</v>
      </c>
      <c r="Q39" s="428">
        <v>0.48499999999999999</v>
      </c>
      <c r="R39" s="428">
        <v>32.450000000000003</v>
      </c>
      <c r="S39" s="51" t="s">
        <v>50</v>
      </c>
      <c r="T39" s="51" t="s">
        <v>50</v>
      </c>
      <c r="U39" s="51" t="s">
        <v>50</v>
      </c>
      <c r="V39" s="52"/>
      <c r="W39" s="976" t="s">
        <v>32</v>
      </c>
      <c r="X39" s="54"/>
    </row>
    <row r="40" spans="1:24" s="437" customFormat="1" x14ac:dyDescent="0.25">
      <c r="A40" s="476">
        <v>44287</v>
      </c>
      <c r="B40" s="437" t="s">
        <v>9313</v>
      </c>
      <c r="C40" s="437" t="s">
        <v>78</v>
      </c>
      <c r="D40" s="897">
        <v>38.083570000000002</v>
      </c>
      <c r="E40" s="897">
        <v>-122.08211</v>
      </c>
      <c r="F40" s="437" t="s">
        <v>9317</v>
      </c>
      <c r="G40" s="437" t="s">
        <v>80</v>
      </c>
      <c r="H40" s="437" t="s">
        <v>81</v>
      </c>
      <c r="I40" s="438">
        <v>0.44236111111111115</v>
      </c>
      <c r="J40" s="437" t="s">
        <v>28</v>
      </c>
      <c r="K40" s="437" t="s">
        <v>29</v>
      </c>
      <c r="L40" s="437" t="s">
        <v>30</v>
      </c>
      <c r="M40" s="437">
        <v>2</v>
      </c>
      <c r="N40" s="437">
        <v>10</v>
      </c>
      <c r="O40" s="439">
        <v>29.55</v>
      </c>
      <c r="P40" s="439">
        <v>9433</v>
      </c>
      <c r="Q40" s="439">
        <v>0.23499999999999999</v>
      </c>
      <c r="R40" s="439">
        <v>65.650000000000006</v>
      </c>
      <c r="S40" s="877" t="s">
        <v>31</v>
      </c>
      <c r="T40" s="437">
        <v>5</v>
      </c>
      <c r="U40" s="437" t="s">
        <v>9329</v>
      </c>
      <c r="V40" s="440"/>
      <c r="W40" s="486" t="s">
        <v>32</v>
      </c>
    </row>
    <row r="41" spans="1:24" s="437" customFormat="1" x14ac:dyDescent="0.25">
      <c r="A41" s="476">
        <v>44287</v>
      </c>
      <c r="B41" s="437" t="s">
        <v>9313</v>
      </c>
      <c r="C41" s="437" t="s">
        <v>78</v>
      </c>
      <c r="D41" s="897">
        <v>38.050690000000003</v>
      </c>
      <c r="E41" s="897">
        <v>-121.93810000000001</v>
      </c>
      <c r="F41" s="437" t="s">
        <v>9324</v>
      </c>
      <c r="G41" s="437" t="s">
        <v>27</v>
      </c>
      <c r="H41" s="437" t="s">
        <v>170</v>
      </c>
      <c r="I41" s="438">
        <v>0.32777777777777778</v>
      </c>
      <c r="J41" s="437" t="s">
        <v>28</v>
      </c>
      <c r="K41" s="437" t="s">
        <v>29</v>
      </c>
      <c r="L41" s="437" t="s">
        <v>30</v>
      </c>
      <c r="M41" s="437">
        <v>2</v>
      </c>
      <c r="N41" s="437">
        <v>10</v>
      </c>
      <c r="O41" s="437">
        <v>53.75</v>
      </c>
      <c r="P41" s="439">
        <v>8673</v>
      </c>
      <c r="Q41" s="437">
        <v>0.34</v>
      </c>
      <c r="R41" s="437">
        <v>32.950000000000003</v>
      </c>
      <c r="S41" s="877" t="s">
        <v>31</v>
      </c>
      <c r="T41" s="437">
        <v>2</v>
      </c>
      <c r="U41" s="437" t="s">
        <v>9332</v>
      </c>
      <c r="V41" s="440"/>
      <c r="W41" s="486" t="s">
        <v>32</v>
      </c>
    </row>
    <row r="42" spans="1:24" s="437" customFormat="1" x14ac:dyDescent="0.25">
      <c r="A42" s="476">
        <v>44287</v>
      </c>
      <c r="B42" s="437" t="s">
        <v>9313</v>
      </c>
      <c r="C42" s="437" t="s">
        <v>78</v>
      </c>
      <c r="D42" s="897">
        <v>38.052770000000002</v>
      </c>
      <c r="E42" s="897">
        <v>-121.84748999999999</v>
      </c>
      <c r="F42" s="437" t="s">
        <v>9325</v>
      </c>
      <c r="G42" s="437" t="s">
        <v>27</v>
      </c>
      <c r="H42" s="437" t="s">
        <v>101</v>
      </c>
      <c r="I42" s="438">
        <v>0.48958333333333331</v>
      </c>
      <c r="J42" s="437" t="s">
        <v>28</v>
      </c>
      <c r="K42" s="437" t="s">
        <v>29</v>
      </c>
      <c r="L42" s="437" t="s">
        <v>30</v>
      </c>
      <c r="M42" s="437">
        <v>2</v>
      </c>
      <c r="N42" s="437">
        <v>10</v>
      </c>
      <c r="O42" s="437">
        <v>22</v>
      </c>
      <c r="P42" s="439">
        <v>2779.5</v>
      </c>
      <c r="Q42" s="437">
        <v>0.34</v>
      </c>
      <c r="R42" s="437">
        <v>51.6</v>
      </c>
      <c r="S42" s="877" t="s">
        <v>31</v>
      </c>
      <c r="T42" s="486">
        <v>8</v>
      </c>
      <c r="U42" s="896" t="s">
        <v>9334</v>
      </c>
      <c r="V42" s="489" t="s">
        <v>9348</v>
      </c>
      <c r="W42" s="486" t="s">
        <v>32</v>
      </c>
    </row>
    <row r="43" spans="1:24" s="51" customFormat="1" x14ac:dyDescent="0.25">
      <c r="A43" s="443">
        <v>44287</v>
      </c>
      <c r="B43" s="54" t="s">
        <v>9313</v>
      </c>
      <c r="C43" s="54" t="s">
        <v>845</v>
      </c>
      <c r="D43" s="870">
        <v>38.333979999999997</v>
      </c>
      <c r="E43" s="870">
        <v>-121.64973000000001</v>
      </c>
      <c r="F43" s="54" t="s">
        <v>9318</v>
      </c>
      <c r="G43" s="54" t="s">
        <v>90</v>
      </c>
      <c r="H43" s="54" t="s">
        <v>126</v>
      </c>
      <c r="I43" s="66">
        <v>0.33333333333333331</v>
      </c>
      <c r="J43" s="54" t="s">
        <v>28</v>
      </c>
      <c r="K43" s="54" t="s">
        <v>29</v>
      </c>
      <c r="L43" s="54" t="s">
        <v>30</v>
      </c>
      <c r="M43" s="51">
        <v>2</v>
      </c>
      <c r="N43" s="51">
        <v>10</v>
      </c>
      <c r="O43" s="428">
        <v>18.2</v>
      </c>
      <c r="P43" s="428">
        <v>368.7</v>
      </c>
      <c r="Q43" s="428">
        <v>0.90500000000000003</v>
      </c>
      <c r="R43" s="428">
        <v>10.18</v>
      </c>
      <c r="S43" s="51" t="s">
        <v>50</v>
      </c>
      <c r="T43" s="51" t="s">
        <v>50</v>
      </c>
      <c r="U43" s="51" t="s">
        <v>50</v>
      </c>
      <c r="V43" s="52" t="s">
        <v>9319</v>
      </c>
      <c r="W43" s="976" t="s">
        <v>32</v>
      </c>
      <c r="X43" s="54"/>
    </row>
    <row r="44" spans="1:24" s="51" customFormat="1" x14ac:dyDescent="0.25">
      <c r="A44" s="443">
        <v>44287</v>
      </c>
      <c r="B44" s="54" t="s">
        <v>9313</v>
      </c>
      <c r="C44" s="54" t="s">
        <v>845</v>
      </c>
      <c r="D44" s="870">
        <v>38.278829999999999</v>
      </c>
      <c r="E44" s="870">
        <v>-121.69347</v>
      </c>
      <c r="F44" s="54" t="s">
        <v>9320</v>
      </c>
      <c r="G44" s="54" t="s">
        <v>90</v>
      </c>
      <c r="H44" s="54" t="s">
        <v>126</v>
      </c>
      <c r="I44" s="66">
        <v>0.39652777777777781</v>
      </c>
      <c r="J44" s="54" t="s">
        <v>28</v>
      </c>
      <c r="K44" s="54" t="s">
        <v>29</v>
      </c>
      <c r="L44" s="54" t="s">
        <v>30</v>
      </c>
      <c r="M44" s="51">
        <v>2</v>
      </c>
      <c r="N44" s="51">
        <v>10</v>
      </c>
      <c r="O44" s="428">
        <v>23.3</v>
      </c>
      <c r="P44" s="428">
        <v>237.05</v>
      </c>
      <c r="Q44" s="428">
        <v>1.1000000000000001</v>
      </c>
      <c r="R44" s="428">
        <v>8.2050000000000001</v>
      </c>
      <c r="S44" s="51" t="s">
        <v>50</v>
      </c>
      <c r="T44" s="51" t="s">
        <v>50</v>
      </c>
      <c r="U44" s="51" t="s">
        <v>50</v>
      </c>
      <c r="V44" s="52"/>
      <c r="W44" s="976" t="s">
        <v>32</v>
      </c>
      <c r="X44" s="54"/>
    </row>
    <row r="45" spans="1:24" s="51" customFormat="1" x14ac:dyDescent="0.25">
      <c r="A45" s="443">
        <v>44287</v>
      </c>
      <c r="B45" s="54" t="s">
        <v>9313</v>
      </c>
      <c r="C45" s="54" t="s">
        <v>845</v>
      </c>
      <c r="D45" s="870">
        <v>38.252009999999999</v>
      </c>
      <c r="E45" s="870">
        <v>-121.72369</v>
      </c>
      <c r="F45" s="54" t="s">
        <v>9321</v>
      </c>
      <c r="G45" s="54" t="s">
        <v>90</v>
      </c>
      <c r="H45" s="54" t="s">
        <v>126</v>
      </c>
      <c r="I45" s="66">
        <v>0.4291666666666667</v>
      </c>
      <c r="J45" s="54" t="s">
        <v>28</v>
      </c>
      <c r="K45" s="54" t="s">
        <v>29</v>
      </c>
      <c r="L45" s="54" t="s">
        <v>30</v>
      </c>
      <c r="M45" s="51">
        <v>2</v>
      </c>
      <c r="N45" s="51">
        <v>10</v>
      </c>
      <c r="O45" s="428">
        <v>11.65</v>
      </c>
      <c r="P45" s="428">
        <v>252.25</v>
      </c>
      <c r="Q45" s="428">
        <v>0.97499999999999998</v>
      </c>
      <c r="R45" s="428">
        <v>16.68</v>
      </c>
      <c r="S45" s="51" t="s">
        <v>50</v>
      </c>
      <c r="T45" s="51" t="s">
        <v>50</v>
      </c>
      <c r="U45" s="51" t="s">
        <v>50</v>
      </c>
      <c r="V45" s="52"/>
      <c r="W45" s="976" t="s">
        <v>32</v>
      </c>
      <c r="X45" s="54"/>
    </row>
    <row r="46" spans="1:24" s="51" customFormat="1" x14ac:dyDescent="0.25">
      <c r="A46" s="443">
        <v>44287</v>
      </c>
      <c r="B46" s="54" t="s">
        <v>9313</v>
      </c>
      <c r="C46" s="54" t="s">
        <v>845</v>
      </c>
      <c r="D46" s="870">
        <v>38.260039999999996</v>
      </c>
      <c r="E46" s="870">
        <v>-121.75627</v>
      </c>
      <c r="F46" s="54" t="s">
        <v>9322</v>
      </c>
      <c r="G46" s="54" t="s">
        <v>90</v>
      </c>
      <c r="H46" s="54" t="s">
        <v>126</v>
      </c>
      <c r="I46" s="66">
        <v>0.45833333333333331</v>
      </c>
      <c r="J46" s="54" t="s">
        <v>28</v>
      </c>
      <c r="K46" s="54" t="s">
        <v>29</v>
      </c>
      <c r="L46" s="54" t="s">
        <v>30</v>
      </c>
      <c r="M46" s="51">
        <v>2</v>
      </c>
      <c r="N46" s="51">
        <v>10</v>
      </c>
      <c r="O46" s="428">
        <v>11.35</v>
      </c>
      <c r="P46" s="428">
        <v>303.39999999999998</v>
      </c>
      <c r="Q46" s="428">
        <v>1.31</v>
      </c>
      <c r="R46" s="428">
        <v>5.2949999999999999</v>
      </c>
      <c r="S46" s="51" t="s">
        <v>50</v>
      </c>
      <c r="T46" s="51" t="s">
        <v>50</v>
      </c>
      <c r="U46" s="51" t="s">
        <v>50</v>
      </c>
      <c r="V46" s="52"/>
      <c r="W46" s="976" t="s">
        <v>32</v>
      </c>
      <c r="X46" s="54"/>
    </row>
    <row r="47" spans="1:24" s="74" customFormat="1" x14ac:dyDescent="0.25">
      <c r="A47" s="444">
        <v>44287</v>
      </c>
      <c r="B47" s="63" t="s">
        <v>9313</v>
      </c>
      <c r="C47" s="63" t="s">
        <v>845</v>
      </c>
      <c r="D47" s="882">
        <v>38.27758</v>
      </c>
      <c r="E47" s="882">
        <v>-121.66428999999999</v>
      </c>
      <c r="F47" s="63" t="s">
        <v>9323</v>
      </c>
      <c r="G47" s="63" t="s">
        <v>90</v>
      </c>
      <c r="H47" s="63" t="s">
        <v>126</v>
      </c>
      <c r="I47" s="73">
        <v>0.5</v>
      </c>
      <c r="J47" s="63" t="s">
        <v>28</v>
      </c>
      <c r="K47" s="63" t="s">
        <v>29</v>
      </c>
      <c r="L47" s="63" t="s">
        <v>30</v>
      </c>
      <c r="M47" s="74">
        <v>2</v>
      </c>
      <c r="N47" s="74">
        <v>10</v>
      </c>
      <c r="O47" s="445">
        <v>23.7</v>
      </c>
      <c r="P47" s="445">
        <v>299.05</v>
      </c>
      <c r="Q47" s="445">
        <v>1.19</v>
      </c>
      <c r="R47" s="445">
        <v>6.62</v>
      </c>
      <c r="S47" s="74" t="s">
        <v>50</v>
      </c>
      <c r="T47" s="74" t="s">
        <v>50</v>
      </c>
      <c r="U47" s="74" t="s">
        <v>50</v>
      </c>
      <c r="V47" s="77" t="s">
        <v>9333</v>
      </c>
      <c r="W47" s="478" t="s">
        <v>32</v>
      </c>
    </row>
    <row r="48" spans="1:24" x14ac:dyDescent="0.25">
      <c r="A48" s="443">
        <v>44298</v>
      </c>
      <c r="B48" s="71" t="s">
        <v>24</v>
      </c>
      <c r="C48" s="71" t="s">
        <v>106</v>
      </c>
      <c r="D48" s="922">
        <v>38.521279999999997</v>
      </c>
      <c r="E48" s="922">
        <v>-121.5834</v>
      </c>
      <c r="F48" s="71" t="s">
        <v>9335</v>
      </c>
      <c r="G48" s="71" t="s">
        <v>90</v>
      </c>
      <c r="H48" s="71" t="s">
        <v>158</v>
      </c>
      <c r="I48" s="66">
        <v>0.45833333333333331</v>
      </c>
      <c r="J48" s="71" t="s">
        <v>28</v>
      </c>
      <c r="K48" s="71" t="s">
        <v>29</v>
      </c>
      <c r="L48" s="71" t="s">
        <v>30</v>
      </c>
      <c r="M48" s="71">
        <v>2</v>
      </c>
      <c r="N48" s="71">
        <v>10</v>
      </c>
      <c r="O48" s="765">
        <v>35.65</v>
      </c>
      <c r="P48" s="428">
        <v>1072.5</v>
      </c>
      <c r="Q48" s="765">
        <v>0.81</v>
      </c>
      <c r="R48" s="765">
        <v>9.23</v>
      </c>
      <c r="S48" s="71" t="s">
        <v>50</v>
      </c>
      <c r="T48" s="71" t="s">
        <v>50</v>
      </c>
      <c r="U48" s="71" t="s">
        <v>50</v>
      </c>
      <c r="V48" s="938" t="s">
        <v>9336</v>
      </c>
      <c r="W48" s="71" t="s">
        <v>32</v>
      </c>
    </row>
    <row r="49" spans="1:23" x14ac:dyDescent="0.25">
      <c r="A49" s="443">
        <v>44298</v>
      </c>
      <c r="B49" s="71" t="s">
        <v>24</v>
      </c>
      <c r="C49" s="71" t="s">
        <v>106</v>
      </c>
      <c r="D49" s="922">
        <v>38.539740000000002</v>
      </c>
      <c r="E49" s="922">
        <v>-121.5834</v>
      </c>
      <c r="F49" s="71" t="s">
        <v>9337</v>
      </c>
      <c r="G49" s="71" t="s">
        <v>90</v>
      </c>
      <c r="H49" s="71" t="s">
        <v>158</v>
      </c>
      <c r="I49" s="66">
        <v>0.48125000000000001</v>
      </c>
      <c r="J49" s="71" t="s">
        <v>28</v>
      </c>
      <c r="K49" s="71" t="s">
        <v>29</v>
      </c>
      <c r="L49" s="71" t="s">
        <v>30</v>
      </c>
      <c r="M49" s="71">
        <v>2</v>
      </c>
      <c r="N49" s="71">
        <v>10</v>
      </c>
      <c r="O49" s="765">
        <v>34.65</v>
      </c>
      <c r="P49" s="428">
        <v>1130.5</v>
      </c>
      <c r="Q49" s="765">
        <v>1.18</v>
      </c>
      <c r="R49" s="765">
        <v>6.64</v>
      </c>
      <c r="S49" s="71" t="s">
        <v>50</v>
      </c>
      <c r="T49" s="71" t="s">
        <v>50</v>
      </c>
      <c r="U49" s="71" t="s">
        <v>50</v>
      </c>
      <c r="W49" s="71" t="s">
        <v>32</v>
      </c>
    </row>
    <row r="50" spans="1:23" s="441" customFormat="1" x14ac:dyDescent="0.25">
      <c r="A50" s="443">
        <v>44298</v>
      </c>
      <c r="B50" s="71" t="s">
        <v>24</v>
      </c>
      <c r="C50" s="71" t="s">
        <v>106</v>
      </c>
      <c r="D50" s="922">
        <v>38.254190000000001</v>
      </c>
      <c r="E50" s="922">
        <v>-121.66673</v>
      </c>
      <c r="F50" s="71" t="s">
        <v>9341</v>
      </c>
      <c r="G50" s="71" t="s">
        <v>90</v>
      </c>
      <c r="H50" s="71" t="s">
        <v>108</v>
      </c>
      <c r="I50" s="66">
        <v>0.37777777777777777</v>
      </c>
      <c r="J50" s="71" t="s">
        <v>28</v>
      </c>
      <c r="K50" s="71" t="s">
        <v>29</v>
      </c>
      <c r="L50" s="71" t="s">
        <v>30</v>
      </c>
      <c r="M50" s="71">
        <v>2</v>
      </c>
      <c r="N50" s="71">
        <v>10</v>
      </c>
      <c r="O50" s="765">
        <v>35</v>
      </c>
      <c r="P50" s="428">
        <v>213.5</v>
      </c>
      <c r="Q50" s="765">
        <v>1.425</v>
      </c>
      <c r="R50" s="765">
        <v>7.5949999999999998</v>
      </c>
      <c r="S50" s="71" t="s">
        <v>50</v>
      </c>
      <c r="T50" s="71" t="s">
        <v>50</v>
      </c>
      <c r="U50" s="71" t="s">
        <v>50</v>
      </c>
      <c r="V50" s="918"/>
      <c r="W50" s="71" t="s">
        <v>32</v>
      </c>
    </row>
    <row r="51" spans="1:23" s="944" customFormat="1" x14ac:dyDescent="0.25">
      <c r="A51" s="447">
        <v>44298</v>
      </c>
      <c r="B51" s="810" t="s">
        <v>24</v>
      </c>
      <c r="C51" s="810" t="s">
        <v>106</v>
      </c>
      <c r="D51" s="940">
        <v>38.449489999999997</v>
      </c>
      <c r="E51" s="940">
        <v>-121.59381</v>
      </c>
      <c r="F51" s="810" t="s">
        <v>9342</v>
      </c>
      <c r="G51" s="810" t="s">
        <v>90</v>
      </c>
      <c r="H51" s="810" t="s">
        <v>108</v>
      </c>
      <c r="I51" s="432">
        <v>0.42222222222222222</v>
      </c>
      <c r="J51" s="810" t="s">
        <v>28</v>
      </c>
      <c r="K51" s="810" t="s">
        <v>29</v>
      </c>
      <c r="L51" s="810" t="s">
        <v>30</v>
      </c>
      <c r="M51" s="810">
        <v>2</v>
      </c>
      <c r="N51" s="810">
        <v>10</v>
      </c>
      <c r="O51" s="941">
        <v>33.9</v>
      </c>
      <c r="P51" s="433">
        <v>761.5</v>
      </c>
      <c r="Q51" s="941">
        <v>0.31</v>
      </c>
      <c r="R51" s="941">
        <v>31.95</v>
      </c>
      <c r="S51" s="942" t="s">
        <v>323</v>
      </c>
      <c r="T51" s="943">
        <v>1</v>
      </c>
      <c r="U51" s="475">
        <v>13.3</v>
      </c>
      <c r="V51" s="947" t="s">
        <v>9347</v>
      </c>
      <c r="W51" s="810" t="s">
        <v>32</v>
      </c>
    </row>
    <row r="52" spans="1:23" x14ac:dyDescent="0.25">
      <c r="A52" s="443">
        <v>44298</v>
      </c>
      <c r="B52" s="71" t="s">
        <v>24</v>
      </c>
      <c r="C52" s="71" t="s">
        <v>106</v>
      </c>
      <c r="D52" s="922">
        <v>38.19529</v>
      </c>
      <c r="E52" s="922">
        <v>-121.65588</v>
      </c>
      <c r="F52" s="71" t="s">
        <v>9346</v>
      </c>
      <c r="G52" s="71" t="s">
        <v>90</v>
      </c>
      <c r="H52" s="71" t="s">
        <v>108</v>
      </c>
      <c r="I52" s="66">
        <v>0.34652777777777777</v>
      </c>
      <c r="J52" s="71" t="s">
        <v>28</v>
      </c>
      <c r="K52" s="71" t="s">
        <v>29</v>
      </c>
      <c r="L52" s="71" t="s">
        <v>30</v>
      </c>
      <c r="M52" s="71">
        <v>2</v>
      </c>
      <c r="N52" s="71">
        <v>10</v>
      </c>
      <c r="O52" s="765">
        <v>40.9</v>
      </c>
      <c r="P52" s="428">
        <v>190.65</v>
      </c>
      <c r="Q52" s="765">
        <v>1.7</v>
      </c>
      <c r="R52" s="765">
        <v>6.4749999999999996</v>
      </c>
      <c r="S52" s="71" t="s">
        <v>50</v>
      </c>
      <c r="T52" s="71" t="s">
        <v>50</v>
      </c>
      <c r="U52" s="51" t="s">
        <v>50</v>
      </c>
      <c r="W52" s="71" t="s">
        <v>32</v>
      </c>
    </row>
    <row r="53" spans="1:23" x14ac:dyDescent="0.25">
      <c r="A53" s="443">
        <v>44298</v>
      </c>
      <c r="B53" s="71" t="s">
        <v>24</v>
      </c>
      <c r="C53" s="71" t="s">
        <v>95</v>
      </c>
      <c r="D53" s="922">
        <v>38.075690000000002</v>
      </c>
      <c r="E53" s="922">
        <v>-121.56697</v>
      </c>
      <c r="F53" s="71" t="s">
        <v>9338</v>
      </c>
      <c r="G53" s="71" t="s">
        <v>46</v>
      </c>
      <c r="H53" s="71" t="s">
        <v>9265</v>
      </c>
      <c r="I53" s="66">
        <v>0.37777777777777777</v>
      </c>
      <c r="J53" s="71" t="s">
        <v>28</v>
      </c>
      <c r="K53" s="71" t="s">
        <v>29</v>
      </c>
      <c r="L53" s="71" t="s">
        <v>30</v>
      </c>
      <c r="M53" s="71">
        <v>2</v>
      </c>
      <c r="N53" s="71">
        <v>10</v>
      </c>
      <c r="O53" s="765">
        <v>37.75</v>
      </c>
      <c r="P53" s="428">
        <v>303.8</v>
      </c>
      <c r="Q53" s="765">
        <v>1.8</v>
      </c>
      <c r="R53" s="765">
        <v>4.45</v>
      </c>
      <c r="S53" s="71" t="s">
        <v>50</v>
      </c>
      <c r="T53" s="71" t="s">
        <v>50</v>
      </c>
      <c r="U53" s="71" t="s">
        <v>50</v>
      </c>
      <c r="W53" s="71" t="s">
        <v>32</v>
      </c>
    </row>
    <row r="54" spans="1:23" x14ac:dyDescent="0.25">
      <c r="A54" s="443">
        <v>44298</v>
      </c>
      <c r="B54" s="71" t="s">
        <v>24</v>
      </c>
      <c r="C54" s="71" t="s">
        <v>95</v>
      </c>
      <c r="D54" s="922">
        <v>38.049810000000001</v>
      </c>
      <c r="E54" s="922">
        <v>-121.69441999999999</v>
      </c>
      <c r="F54" s="71" t="s">
        <v>9339</v>
      </c>
      <c r="G54" s="71" t="s">
        <v>46</v>
      </c>
      <c r="H54" s="71" t="s">
        <v>5962</v>
      </c>
      <c r="I54" s="66">
        <v>0.43958333333333338</v>
      </c>
      <c r="J54" s="71" t="s">
        <v>28</v>
      </c>
      <c r="K54" s="71" t="s">
        <v>29</v>
      </c>
      <c r="L54" s="71" t="s">
        <v>30</v>
      </c>
      <c r="M54" s="71">
        <v>2</v>
      </c>
      <c r="N54" s="71">
        <v>10</v>
      </c>
      <c r="O54" s="765">
        <v>40.299999999999997</v>
      </c>
      <c r="P54" s="428">
        <v>393</v>
      </c>
      <c r="Q54" s="765">
        <v>1.075</v>
      </c>
      <c r="R54" s="765">
        <v>9</v>
      </c>
      <c r="S54" s="71" t="s">
        <v>50</v>
      </c>
      <c r="T54" s="71" t="s">
        <v>50</v>
      </c>
      <c r="U54" s="71" t="s">
        <v>50</v>
      </c>
      <c r="W54" s="71" t="s">
        <v>32</v>
      </c>
    </row>
    <row r="55" spans="1:23" x14ac:dyDescent="0.25">
      <c r="A55" s="443">
        <v>44298</v>
      </c>
      <c r="B55" s="71" t="s">
        <v>24</v>
      </c>
      <c r="C55" s="71" t="s">
        <v>95</v>
      </c>
      <c r="D55" s="922">
        <v>38.05959</v>
      </c>
      <c r="E55" s="922">
        <v>-121.68228999999999</v>
      </c>
      <c r="F55" s="71" t="s">
        <v>9345</v>
      </c>
      <c r="G55" s="71" t="s">
        <v>46</v>
      </c>
      <c r="H55" s="71" t="s">
        <v>5962</v>
      </c>
      <c r="I55" s="66">
        <v>0.4152777777777778</v>
      </c>
      <c r="J55" s="71" t="s">
        <v>28</v>
      </c>
      <c r="K55" s="71" t="s">
        <v>29</v>
      </c>
      <c r="L55" s="71" t="s">
        <v>30</v>
      </c>
      <c r="M55" s="71">
        <v>2</v>
      </c>
      <c r="N55" s="71">
        <v>10</v>
      </c>
      <c r="O55" s="765">
        <v>34.299999999999997</v>
      </c>
      <c r="P55" s="428">
        <v>393.7</v>
      </c>
      <c r="Q55" s="765">
        <v>1.08</v>
      </c>
      <c r="R55" s="765">
        <v>9.48</v>
      </c>
      <c r="S55" s="71" t="s">
        <v>50</v>
      </c>
      <c r="T55" s="71" t="s">
        <v>50</v>
      </c>
      <c r="U55" s="71" t="s">
        <v>50</v>
      </c>
      <c r="W55" s="71" t="s">
        <v>32</v>
      </c>
    </row>
    <row r="56" spans="1:23" x14ac:dyDescent="0.25">
      <c r="A56" s="443">
        <v>44298</v>
      </c>
      <c r="B56" s="71" t="s">
        <v>24</v>
      </c>
      <c r="C56" s="71" t="s">
        <v>95</v>
      </c>
      <c r="D56" s="922">
        <v>38.023809999999997</v>
      </c>
      <c r="E56" s="922">
        <v>-121.74764</v>
      </c>
      <c r="F56" s="71" t="s">
        <v>9340</v>
      </c>
      <c r="G56" s="71" t="s">
        <v>27</v>
      </c>
      <c r="H56" s="71" t="s">
        <v>863</v>
      </c>
      <c r="I56" s="66">
        <v>0.46736111111111112</v>
      </c>
      <c r="J56" s="71" t="s">
        <v>28</v>
      </c>
      <c r="K56" s="71" t="s">
        <v>29</v>
      </c>
      <c r="L56" s="71" t="s">
        <v>30</v>
      </c>
      <c r="M56" s="71">
        <v>2</v>
      </c>
      <c r="N56" s="71">
        <v>10</v>
      </c>
      <c r="O56" s="765">
        <v>10.5</v>
      </c>
      <c r="P56" s="428">
        <v>446.65</v>
      </c>
      <c r="Q56" s="765">
        <v>1.05</v>
      </c>
      <c r="R56" s="765">
        <v>9.5649999999999995</v>
      </c>
      <c r="S56" s="71" t="s">
        <v>50</v>
      </c>
      <c r="T56" s="71" t="s">
        <v>50</v>
      </c>
      <c r="U56" s="71" t="s">
        <v>50</v>
      </c>
      <c r="W56" s="71" t="s">
        <v>32</v>
      </c>
    </row>
    <row r="57" spans="1:23" s="437" customFormat="1" ht="15.75" x14ac:dyDescent="0.25">
      <c r="A57" s="476">
        <v>44298</v>
      </c>
      <c r="B57" s="920" t="s">
        <v>24</v>
      </c>
      <c r="C57" s="920" t="s">
        <v>95</v>
      </c>
      <c r="D57" s="923">
        <v>38.024329999999999</v>
      </c>
      <c r="E57" s="923">
        <v>-121.79676000000001</v>
      </c>
      <c r="F57" s="920" t="s">
        <v>9343</v>
      </c>
      <c r="G57" s="920" t="s">
        <v>27</v>
      </c>
      <c r="H57" s="920" t="s">
        <v>863</v>
      </c>
      <c r="I57" s="438">
        <v>0.49583333333333335</v>
      </c>
      <c r="J57" s="920" t="s">
        <v>28</v>
      </c>
      <c r="K57" s="920" t="s">
        <v>29</v>
      </c>
      <c r="L57" s="920" t="s">
        <v>30</v>
      </c>
      <c r="M57" s="920">
        <v>2</v>
      </c>
      <c r="N57" s="920">
        <v>10</v>
      </c>
      <c r="O57" s="939">
        <v>33</v>
      </c>
      <c r="P57" s="439">
        <v>681</v>
      </c>
      <c r="Q57" s="939">
        <v>0.7</v>
      </c>
      <c r="R57" s="939">
        <v>21.65</v>
      </c>
      <c r="S57" s="1002" t="s">
        <v>926</v>
      </c>
      <c r="T57" s="437">
        <v>1</v>
      </c>
      <c r="U57" s="437">
        <v>8.5</v>
      </c>
      <c r="V57" s="977" t="s">
        <v>9344</v>
      </c>
      <c r="W57" s="437" t="s">
        <v>32</v>
      </c>
    </row>
    <row r="58" spans="1:23" x14ac:dyDescent="0.25">
      <c r="A58" s="949" t="s">
        <v>9350</v>
      </c>
      <c r="B58" s="949" t="s">
        <v>9279</v>
      </c>
      <c r="C58" s="949" t="s">
        <v>106</v>
      </c>
      <c r="D58" s="950">
        <v>38.208379999999998</v>
      </c>
      <c r="E58" s="950">
        <v>-121.65779000000001</v>
      </c>
      <c r="F58" s="949" t="s">
        <v>9351</v>
      </c>
      <c r="G58" s="949" t="s">
        <v>90</v>
      </c>
      <c r="H58" s="949" t="s">
        <v>108</v>
      </c>
      <c r="I58" s="949" t="s">
        <v>9352</v>
      </c>
      <c r="J58" s="949" t="s">
        <v>28</v>
      </c>
      <c r="K58" s="949" t="s">
        <v>29</v>
      </c>
      <c r="L58" s="949" t="s">
        <v>30</v>
      </c>
      <c r="M58" s="949">
        <v>2</v>
      </c>
      <c r="N58" s="956">
        <v>10</v>
      </c>
      <c r="O58" s="955">
        <v>30</v>
      </c>
      <c r="P58" s="956">
        <v>171.05</v>
      </c>
      <c r="Q58" s="956">
        <v>1.67</v>
      </c>
      <c r="R58" s="956">
        <v>4.1399999999999997</v>
      </c>
      <c r="S58" s="949" t="s">
        <v>50</v>
      </c>
      <c r="T58" s="949" t="s">
        <v>50</v>
      </c>
      <c r="U58" s="949" t="s">
        <v>50</v>
      </c>
      <c r="V58" s="946" t="s">
        <v>9349</v>
      </c>
      <c r="W58" s="945" t="s">
        <v>32</v>
      </c>
    </row>
    <row r="59" spans="1:23" s="868" customFormat="1" x14ac:dyDescent="0.25">
      <c r="A59" s="951" t="s">
        <v>9350</v>
      </c>
      <c r="B59" s="951" t="s">
        <v>9279</v>
      </c>
      <c r="C59" s="951" t="s">
        <v>106</v>
      </c>
      <c r="D59" s="952">
        <v>38.417639999999999</v>
      </c>
      <c r="E59" s="952">
        <v>-121.60845</v>
      </c>
      <c r="F59" s="951" t="s">
        <v>9353</v>
      </c>
      <c r="G59" s="951" t="s">
        <v>90</v>
      </c>
      <c r="H59" s="951" t="s">
        <v>108</v>
      </c>
      <c r="I59" s="951" t="s">
        <v>9354</v>
      </c>
      <c r="J59" s="951" t="s">
        <v>28</v>
      </c>
      <c r="K59" s="951" t="s">
        <v>29</v>
      </c>
      <c r="L59" s="951" t="s">
        <v>30</v>
      </c>
      <c r="M59" s="951">
        <v>2</v>
      </c>
      <c r="N59" s="957">
        <v>10</v>
      </c>
      <c r="O59" s="954">
        <v>33.1</v>
      </c>
      <c r="P59" s="954">
        <v>596</v>
      </c>
      <c r="Q59" s="957">
        <v>0.26</v>
      </c>
      <c r="R59" s="954">
        <v>75.5</v>
      </c>
      <c r="S59" s="953" t="s">
        <v>323</v>
      </c>
      <c r="T59" s="957">
        <v>1</v>
      </c>
      <c r="U59" s="957">
        <v>12.7</v>
      </c>
      <c r="V59" s="455" t="s">
        <v>10132</v>
      </c>
      <c r="W59" s="948" t="s">
        <v>32</v>
      </c>
    </row>
    <row r="60" spans="1:23" x14ac:dyDescent="0.25">
      <c r="A60" s="949" t="s">
        <v>9350</v>
      </c>
      <c r="B60" s="949" t="s">
        <v>9279</v>
      </c>
      <c r="C60" s="949" t="s">
        <v>106</v>
      </c>
      <c r="D60" s="950">
        <v>38.269260000000003</v>
      </c>
      <c r="E60" s="950">
        <v>-121.66273</v>
      </c>
      <c r="F60" s="949" t="s">
        <v>9355</v>
      </c>
      <c r="G60" s="949" t="s">
        <v>90</v>
      </c>
      <c r="H60" s="949" t="s">
        <v>108</v>
      </c>
      <c r="I60" s="949" t="s">
        <v>9356</v>
      </c>
      <c r="J60" s="949" t="s">
        <v>28</v>
      </c>
      <c r="K60" s="949" t="s">
        <v>29</v>
      </c>
      <c r="L60" s="949" t="s">
        <v>30</v>
      </c>
      <c r="M60" s="949">
        <v>2</v>
      </c>
      <c r="N60" s="956">
        <v>10</v>
      </c>
      <c r="O60" s="956">
        <v>19.75</v>
      </c>
      <c r="P60" s="956">
        <v>208.55</v>
      </c>
      <c r="Q60" s="955">
        <v>1</v>
      </c>
      <c r="R60" s="955">
        <v>10.81</v>
      </c>
      <c r="S60" s="949" t="s">
        <v>50</v>
      </c>
      <c r="T60" s="949" t="s">
        <v>50</v>
      </c>
      <c r="U60" s="949" t="s">
        <v>50</v>
      </c>
      <c r="V60" s="946" t="s">
        <v>9349</v>
      </c>
      <c r="W60" s="945" t="s">
        <v>32</v>
      </c>
    </row>
    <row r="61" spans="1:23" x14ac:dyDescent="0.25">
      <c r="A61" s="949" t="s">
        <v>9350</v>
      </c>
      <c r="B61" s="949" t="s">
        <v>9279</v>
      </c>
      <c r="C61" s="949" t="s">
        <v>106</v>
      </c>
      <c r="D61" s="950">
        <v>38.225700000000003</v>
      </c>
      <c r="E61" s="950">
        <v>-121.67383</v>
      </c>
      <c r="F61" s="949" t="s">
        <v>9357</v>
      </c>
      <c r="G61" s="949" t="s">
        <v>90</v>
      </c>
      <c r="H61" s="949" t="s">
        <v>108</v>
      </c>
      <c r="I61" s="949" t="s">
        <v>9358</v>
      </c>
      <c r="J61" s="949" t="s">
        <v>28</v>
      </c>
      <c r="K61" s="949" t="s">
        <v>29</v>
      </c>
      <c r="L61" s="949" t="s">
        <v>30</v>
      </c>
      <c r="M61" s="949">
        <v>2</v>
      </c>
      <c r="N61" s="956">
        <v>10</v>
      </c>
      <c r="O61" s="955">
        <v>38.5</v>
      </c>
      <c r="P61" s="955">
        <v>223.1</v>
      </c>
      <c r="Q61" s="955">
        <v>1.45</v>
      </c>
      <c r="R61" s="955">
        <v>11.77</v>
      </c>
      <c r="S61" s="949" t="s">
        <v>50</v>
      </c>
      <c r="T61" s="949" t="s">
        <v>50</v>
      </c>
      <c r="U61" s="949" t="s">
        <v>50</v>
      </c>
      <c r="V61" s="946" t="s">
        <v>9349</v>
      </c>
      <c r="W61" s="945" t="s">
        <v>32</v>
      </c>
    </row>
    <row r="62" spans="1:23" x14ac:dyDescent="0.25">
      <c r="A62" s="949" t="s">
        <v>9350</v>
      </c>
      <c r="B62" s="949" t="s">
        <v>9279</v>
      </c>
      <c r="C62" s="949" t="s">
        <v>106</v>
      </c>
      <c r="D62" s="950">
        <v>38.37482</v>
      </c>
      <c r="E62" s="950">
        <v>-121.62851999999999</v>
      </c>
      <c r="F62" s="949" t="s">
        <v>9359</v>
      </c>
      <c r="G62" s="949" t="s">
        <v>90</v>
      </c>
      <c r="H62" s="949" t="s">
        <v>108</v>
      </c>
      <c r="I62" s="949" t="s">
        <v>9360</v>
      </c>
      <c r="J62" s="949" t="s">
        <v>28</v>
      </c>
      <c r="K62" s="949" t="s">
        <v>29</v>
      </c>
      <c r="L62" s="949" t="s">
        <v>30</v>
      </c>
      <c r="M62" s="949">
        <v>2</v>
      </c>
      <c r="N62" s="956">
        <v>10</v>
      </c>
      <c r="O62" s="955">
        <v>30.6</v>
      </c>
      <c r="P62" s="955">
        <v>2726.5</v>
      </c>
      <c r="Q62" s="955">
        <v>0.31</v>
      </c>
      <c r="R62" s="955">
        <v>67.55</v>
      </c>
      <c r="S62" s="949" t="s">
        <v>50</v>
      </c>
      <c r="T62" s="949" t="s">
        <v>50</v>
      </c>
      <c r="U62" s="949" t="s">
        <v>50</v>
      </c>
      <c r="V62" s="946" t="s">
        <v>9361</v>
      </c>
      <c r="W62" s="945" t="s">
        <v>32</v>
      </c>
    </row>
    <row r="63" spans="1:23" x14ac:dyDescent="0.25">
      <c r="A63" s="958" t="s">
        <v>9362</v>
      </c>
      <c r="B63" s="958" t="s">
        <v>9296</v>
      </c>
      <c r="C63" s="958" t="s">
        <v>88</v>
      </c>
      <c r="D63" s="967">
        <v>38.060540000000003</v>
      </c>
      <c r="E63" s="967">
        <v>-121.79822</v>
      </c>
      <c r="F63" s="958" t="s">
        <v>9363</v>
      </c>
      <c r="G63" s="958" t="s">
        <v>27</v>
      </c>
      <c r="H63" s="958" t="s">
        <v>9364</v>
      </c>
      <c r="I63" s="958" t="s">
        <v>9365</v>
      </c>
      <c r="J63" s="958" t="s">
        <v>28</v>
      </c>
      <c r="K63" s="958" t="s">
        <v>29</v>
      </c>
      <c r="L63" s="958" t="s">
        <v>30</v>
      </c>
      <c r="M63" s="958">
        <v>2</v>
      </c>
      <c r="N63" s="958">
        <v>10</v>
      </c>
      <c r="O63" s="964">
        <v>38</v>
      </c>
      <c r="P63" s="964">
        <v>1772</v>
      </c>
      <c r="Q63" s="964">
        <v>0.32</v>
      </c>
      <c r="R63" s="964">
        <v>39.200000000000003</v>
      </c>
      <c r="S63" s="959" t="s">
        <v>31</v>
      </c>
      <c r="T63" s="958">
        <v>29</v>
      </c>
      <c r="U63" s="958" t="s">
        <v>9366</v>
      </c>
      <c r="V63" s="960"/>
      <c r="W63" s="958" t="s">
        <v>32</v>
      </c>
    </row>
    <row r="64" spans="1:23" x14ac:dyDescent="0.25">
      <c r="A64" s="958" t="s">
        <v>9362</v>
      </c>
      <c r="B64" s="958" t="s">
        <v>9296</v>
      </c>
      <c r="C64" s="958" t="s">
        <v>88</v>
      </c>
      <c r="D64" s="967">
        <v>38.083080000000002</v>
      </c>
      <c r="E64" s="967">
        <v>-121.73416</v>
      </c>
      <c r="F64" s="958" t="s">
        <v>9367</v>
      </c>
      <c r="G64" s="958" t="s">
        <v>90</v>
      </c>
      <c r="H64" s="958" t="s">
        <v>9368</v>
      </c>
      <c r="I64" s="958" t="s">
        <v>9369</v>
      </c>
      <c r="J64" s="958" t="s">
        <v>28</v>
      </c>
      <c r="K64" s="958" t="s">
        <v>29</v>
      </c>
      <c r="L64" s="958" t="s">
        <v>30</v>
      </c>
      <c r="M64" s="958">
        <v>2</v>
      </c>
      <c r="N64" s="958">
        <v>10</v>
      </c>
      <c r="O64" s="964">
        <v>21.7</v>
      </c>
      <c r="P64" s="964">
        <v>947.5</v>
      </c>
      <c r="Q64" s="964">
        <v>0.505</v>
      </c>
      <c r="R64" s="964">
        <v>18.55</v>
      </c>
      <c r="S64" s="959" t="s">
        <v>31</v>
      </c>
      <c r="T64" s="958">
        <v>1</v>
      </c>
      <c r="U64" s="958">
        <v>8.5</v>
      </c>
      <c r="V64" s="960"/>
      <c r="W64" s="958" t="s">
        <v>32</v>
      </c>
    </row>
    <row r="65" spans="1:23" x14ac:dyDescent="0.25">
      <c r="A65" s="958" t="s">
        <v>9362</v>
      </c>
      <c r="B65" s="958" t="s">
        <v>9296</v>
      </c>
      <c r="C65" s="958" t="s">
        <v>88</v>
      </c>
      <c r="D65" s="967">
        <v>38.086930000000002</v>
      </c>
      <c r="E65" s="967">
        <v>-121.73482</v>
      </c>
      <c r="F65" s="958" t="s">
        <v>9370</v>
      </c>
      <c r="G65" s="958" t="s">
        <v>90</v>
      </c>
      <c r="H65" s="958" t="s">
        <v>9368</v>
      </c>
      <c r="I65" s="958" t="s">
        <v>9371</v>
      </c>
      <c r="J65" s="958" t="s">
        <v>28</v>
      </c>
      <c r="K65" s="958" t="s">
        <v>29</v>
      </c>
      <c r="L65" s="958" t="s">
        <v>30</v>
      </c>
      <c r="M65" s="958">
        <v>2</v>
      </c>
      <c r="N65" s="958">
        <v>10</v>
      </c>
      <c r="O65" s="964">
        <v>19.5</v>
      </c>
      <c r="P65" s="964">
        <v>958.5</v>
      </c>
      <c r="Q65" s="964">
        <v>0.43</v>
      </c>
      <c r="R65" s="964">
        <v>27.95</v>
      </c>
      <c r="S65" s="959" t="s">
        <v>31</v>
      </c>
      <c r="T65" s="958">
        <v>4</v>
      </c>
      <c r="U65" s="958" t="s">
        <v>9372</v>
      </c>
      <c r="V65" s="960"/>
      <c r="W65" s="958" t="s">
        <v>32</v>
      </c>
    </row>
    <row r="66" spans="1:23" x14ac:dyDescent="0.25">
      <c r="A66" s="958" t="s">
        <v>9362</v>
      </c>
      <c r="B66" s="958" t="s">
        <v>9296</v>
      </c>
      <c r="C66" s="958" t="s">
        <v>88</v>
      </c>
      <c r="D66" s="967">
        <v>38.095199999999998</v>
      </c>
      <c r="E66" s="967">
        <v>-121.73227</v>
      </c>
      <c r="F66" s="958" t="s">
        <v>9373</v>
      </c>
      <c r="G66" s="958" t="s">
        <v>90</v>
      </c>
      <c r="H66" s="958" t="s">
        <v>9368</v>
      </c>
      <c r="I66" s="958" t="s">
        <v>9374</v>
      </c>
      <c r="J66" s="958" t="s">
        <v>28</v>
      </c>
      <c r="K66" s="958" t="s">
        <v>29</v>
      </c>
      <c r="L66" s="958" t="s">
        <v>30</v>
      </c>
      <c r="M66" s="958">
        <v>2</v>
      </c>
      <c r="N66" s="958">
        <v>10</v>
      </c>
      <c r="O66" s="964">
        <v>25.2</v>
      </c>
      <c r="P66" s="964">
        <v>335.65</v>
      </c>
      <c r="Q66" s="964">
        <v>0.52</v>
      </c>
      <c r="R66" s="964">
        <v>23.4</v>
      </c>
      <c r="S66" s="959" t="s">
        <v>31</v>
      </c>
      <c r="T66" s="958">
        <v>1</v>
      </c>
      <c r="U66" s="958">
        <v>16.3</v>
      </c>
      <c r="V66" s="960"/>
      <c r="W66" s="958" t="s">
        <v>32</v>
      </c>
    </row>
    <row r="67" spans="1:23" x14ac:dyDescent="0.25">
      <c r="A67" s="945" t="s">
        <v>9362</v>
      </c>
      <c r="B67" s="945" t="s">
        <v>9296</v>
      </c>
      <c r="C67" s="945" t="s">
        <v>88</v>
      </c>
      <c r="D67" s="968">
        <v>38.145499999999998</v>
      </c>
      <c r="E67" s="968">
        <v>-121.68486</v>
      </c>
      <c r="F67" s="945" t="s">
        <v>9375</v>
      </c>
      <c r="G67" s="945" t="s">
        <v>90</v>
      </c>
      <c r="H67" s="945" t="s">
        <v>9368</v>
      </c>
      <c r="I67" s="945" t="s">
        <v>9376</v>
      </c>
      <c r="J67" s="945" t="s">
        <v>28</v>
      </c>
      <c r="K67" s="945" t="s">
        <v>29</v>
      </c>
      <c r="L67" s="963" t="s">
        <v>30</v>
      </c>
      <c r="M67" s="945">
        <v>2</v>
      </c>
      <c r="N67" s="945">
        <v>10</v>
      </c>
      <c r="O67" s="965">
        <v>11.2</v>
      </c>
      <c r="P67" s="965">
        <v>189.65</v>
      </c>
      <c r="Q67" s="965">
        <v>1.8</v>
      </c>
      <c r="R67" s="965">
        <v>8.73</v>
      </c>
      <c r="S67" s="945" t="s">
        <v>50</v>
      </c>
      <c r="T67" s="945" t="s">
        <v>50</v>
      </c>
      <c r="U67" s="945" t="s">
        <v>50</v>
      </c>
      <c r="V67" s="946"/>
      <c r="W67" s="945" t="s">
        <v>32</v>
      </c>
    </row>
    <row r="68" spans="1:23" x14ac:dyDescent="0.25">
      <c r="A68" s="958" t="s">
        <v>9362</v>
      </c>
      <c r="B68" s="958" t="s">
        <v>9296</v>
      </c>
      <c r="C68" s="958" t="s">
        <v>78</v>
      </c>
      <c r="D68" s="967">
        <v>38.052999999999997</v>
      </c>
      <c r="E68" s="967">
        <v>-121.93675</v>
      </c>
      <c r="F68" s="958" t="s">
        <v>9377</v>
      </c>
      <c r="G68" s="958" t="s">
        <v>27</v>
      </c>
      <c r="H68" s="958" t="s">
        <v>101</v>
      </c>
      <c r="I68" s="958" t="s">
        <v>9378</v>
      </c>
      <c r="J68" s="958" t="s">
        <v>28</v>
      </c>
      <c r="K68" s="958" t="s">
        <v>29</v>
      </c>
      <c r="L68" s="958" t="s">
        <v>30</v>
      </c>
      <c r="M68" s="958">
        <v>2</v>
      </c>
      <c r="N68" s="958">
        <v>10</v>
      </c>
      <c r="O68" s="964">
        <v>14.6</v>
      </c>
      <c r="P68" s="964">
        <v>2635.5</v>
      </c>
      <c r="Q68" s="964">
        <v>0.4</v>
      </c>
      <c r="R68" s="964">
        <v>37.5</v>
      </c>
      <c r="S68" s="959" t="s">
        <v>31</v>
      </c>
      <c r="T68" s="958">
        <v>7</v>
      </c>
      <c r="U68" s="958" t="s">
        <v>9379</v>
      </c>
      <c r="V68" s="960" t="s">
        <v>9349</v>
      </c>
      <c r="W68" s="958" t="s">
        <v>32</v>
      </c>
    </row>
    <row r="69" spans="1:23" x14ac:dyDescent="0.25">
      <c r="A69" s="945" t="s">
        <v>9362</v>
      </c>
      <c r="B69" s="945" t="s">
        <v>9296</v>
      </c>
      <c r="C69" s="945" t="s">
        <v>78</v>
      </c>
      <c r="D69" s="968">
        <v>38.046469999999999</v>
      </c>
      <c r="E69" s="968">
        <v>-121.87933</v>
      </c>
      <c r="F69" s="945" t="s">
        <v>9380</v>
      </c>
      <c r="G69" s="945" t="s">
        <v>27</v>
      </c>
      <c r="H69" s="945" t="s">
        <v>101</v>
      </c>
      <c r="I69" s="945" t="s">
        <v>9381</v>
      </c>
      <c r="J69" s="945" t="s">
        <v>28</v>
      </c>
      <c r="K69" s="945" t="s">
        <v>29</v>
      </c>
      <c r="L69" s="963" t="s">
        <v>30</v>
      </c>
      <c r="M69" s="945">
        <v>2</v>
      </c>
      <c r="N69" s="945">
        <v>10</v>
      </c>
      <c r="O69" s="965">
        <v>17.45</v>
      </c>
      <c r="P69" s="965">
        <v>5252.5</v>
      </c>
      <c r="Q69" s="965">
        <v>0.4</v>
      </c>
      <c r="R69" s="965">
        <v>45.1</v>
      </c>
      <c r="S69" s="945" t="s">
        <v>50</v>
      </c>
      <c r="T69" s="945" t="s">
        <v>50</v>
      </c>
      <c r="U69" s="945" t="s">
        <v>50</v>
      </c>
      <c r="V69" s="946" t="s">
        <v>9349</v>
      </c>
      <c r="W69" s="945" t="s">
        <v>32</v>
      </c>
    </row>
    <row r="70" spans="1:23" x14ac:dyDescent="0.25">
      <c r="A70" s="945" t="s">
        <v>9362</v>
      </c>
      <c r="B70" s="945" t="s">
        <v>9296</v>
      </c>
      <c r="C70" s="945" t="s">
        <v>78</v>
      </c>
      <c r="D70" s="968">
        <v>38.09346</v>
      </c>
      <c r="E70" s="968">
        <v>-122.02537</v>
      </c>
      <c r="F70" s="945" t="s">
        <v>9382</v>
      </c>
      <c r="G70" s="945" t="s">
        <v>27</v>
      </c>
      <c r="H70" s="945" t="s">
        <v>3841</v>
      </c>
      <c r="I70" s="945" t="s">
        <v>9383</v>
      </c>
      <c r="J70" s="945" t="s">
        <v>28</v>
      </c>
      <c r="K70" s="945" t="s">
        <v>29</v>
      </c>
      <c r="L70" s="963" t="s">
        <v>30</v>
      </c>
      <c r="M70" s="945">
        <v>2</v>
      </c>
      <c r="N70" s="945">
        <v>10</v>
      </c>
      <c r="O70" s="965">
        <v>13.9</v>
      </c>
      <c r="P70" s="965">
        <v>13004</v>
      </c>
      <c r="Q70" s="965">
        <v>0.34</v>
      </c>
      <c r="R70" s="965">
        <v>80.8</v>
      </c>
      <c r="S70" s="945" t="s">
        <v>50</v>
      </c>
      <c r="T70" s="945" t="s">
        <v>50</v>
      </c>
      <c r="U70" s="945" t="s">
        <v>50</v>
      </c>
      <c r="V70" s="946" t="s">
        <v>9349</v>
      </c>
      <c r="W70" s="945" t="s">
        <v>32</v>
      </c>
    </row>
    <row r="71" spans="1:23" x14ac:dyDescent="0.25">
      <c r="A71" s="945" t="s">
        <v>9362</v>
      </c>
      <c r="B71" s="945" t="s">
        <v>9296</v>
      </c>
      <c r="C71" s="945" t="s">
        <v>78</v>
      </c>
      <c r="D71" s="968">
        <v>38.060839999999999</v>
      </c>
      <c r="E71" s="968">
        <v>-122.00478</v>
      </c>
      <c r="F71" s="945" t="s">
        <v>9384</v>
      </c>
      <c r="G71" s="945" t="s">
        <v>90</v>
      </c>
      <c r="H71" s="945" t="s">
        <v>3841</v>
      </c>
      <c r="I71" s="945" t="s">
        <v>9385</v>
      </c>
      <c r="J71" s="945" t="s">
        <v>28</v>
      </c>
      <c r="K71" s="945" t="s">
        <v>29</v>
      </c>
      <c r="L71" s="963" t="s">
        <v>30</v>
      </c>
      <c r="M71" s="945">
        <v>2</v>
      </c>
      <c r="N71" s="945">
        <v>10</v>
      </c>
      <c r="O71" s="965">
        <v>39</v>
      </c>
      <c r="P71" s="965">
        <v>6733</v>
      </c>
      <c r="Q71" s="965">
        <v>0.55500000000000005</v>
      </c>
      <c r="R71" s="965">
        <v>33.65</v>
      </c>
      <c r="S71" s="945" t="s">
        <v>50</v>
      </c>
      <c r="T71" s="945" t="s">
        <v>50</v>
      </c>
      <c r="U71" s="945" t="s">
        <v>50</v>
      </c>
      <c r="V71" s="946" t="s">
        <v>9349</v>
      </c>
      <c r="W71" s="945" t="s">
        <v>32</v>
      </c>
    </row>
    <row r="72" spans="1:23" x14ac:dyDescent="0.25">
      <c r="A72" s="958" t="s">
        <v>9362</v>
      </c>
      <c r="B72" s="958" t="s">
        <v>9296</v>
      </c>
      <c r="C72" s="958" t="s">
        <v>78</v>
      </c>
      <c r="D72" s="967">
        <v>38.095080000000003</v>
      </c>
      <c r="E72" s="967">
        <v>-122.06798999999999</v>
      </c>
      <c r="F72" s="958" t="s">
        <v>9386</v>
      </c>
      <c r="G72" s="958" t="s">
        <v>27</v>
      </c>
      <c r="H72" s="958" t="s">
        <v>3841</v>
      </c>
      <c r="I72" s="958" t="s">
        <v>9387</v>
      </c>
      <c r="J72" s="958" t="s">
        <v>28</v>
      </c>
      <c r="K72" s="958" t="s">
        <v>29</v>
      </c>
      <c r="L72" s="958" t="s">
        <v>30</v>
      </c>
      <c r="M72" s="958">
        <v>2</v>
      </c>
      <c r="N72" s="958">
        <v>10</v>
      </c>
      <c r="O72" s="964">
        <v>31.9</v>
      </c>
      <c r="P72" s="964">
        <v>10991.5</v>
      </c>
      <c r="Q72" s="964">
        <v>0.29499999999999998</v>
      </c>
      <c r="R72" s="964">
        <v>137</v>
      </c>
      <c r="S72" s="959" t="s">
        <v>31</v>
      </c>
      <c r="T72" s="958">
        <v>8</v>
      </c>
      <c r="U72" s="958" t="s">
        <v>9388</v>
      </c>
      <c r="V72" s="960" t="s">
        <v>9349</v>
      </c>
      <c r="W72" s="958" t="s">
        <v>32</v>
      </c>
    </row>
    <row r="73" spans="1:23" x14ac:dyDescent="0.25">
      <c r="A73" s="961" t="s">
        <v>9362</v>
      </c>
      <c r="B73" s="961" t="s">
        <v>9296</v>
      </c>
      <c r="C73" s="961" t="s">
        <v>78</v>
      </c>
      <c r="D73" s="969">
        <v>38.071350000000002</v>
      </c>
      <c r="E73" s="969">
        <v>-121.08561</v>
      </c>
      <c r="F73" s="961" t="s">
        <v>9389</v>
      </c>
      <c r="G73" s="961" t="s">
        <v>80</v>
      </c>
      <c r="H73" s="961" t="s">
        <v>9390</v>
      </c>
      <c r="I73" s="961" t="s">
        <v>9391</v>
      </c>
      <c r="J73" s="961" t="s">
        <v>28</v>
      </c>
      <c r="K73" s="961" t="s">
        <v>29</v>
      </c>
      <c r="L73" s="149" t="s">
        <v>30</v>
      </c>
      <c r="M73" s="961">
        <v>0</v>
      </c>
      <c r="N73" s="961" t="s">
        <v>50</v>
      </c>
      <c r="O73" s="966" t="s">
        <v>50</v>
      </c>
      <c r="P73" s="966" t="s">
        <v>50</v>
      </c>
      <c r="Q73" s="966" t="s">
        <v>50</v>
      </c>
      <c r="R73" s="966" t="s">
        <v>50</v>
      </c>
      <c r="S73" s="961" t="s">
        <v>50</v>
      </c>
      <c r="T73" s="961" t="s">
        <v>50</v>
      </c>
      <c r="U73" s="961" t="s">
        <v>50</v>
      </c>
      <c r="V73" s="962" t="s">
        <v>1822</v>
      </c>
      <c r="W73" s="961" t="s">
        <v>32</v>
      </c>
    </row>
    <row r="74" spans="1:23" x14ac:dyDescent="0.25">
      <c r="A74" s="961" t="s">
        <v>9392</v>
      </c>
      <c r="B74" s="961" t="s">
        <v>9313</v>
      </c>
      <c r="C74" s="961" t="s">
        <v>845</v>
      </c>
      <c r="D74" s="969">
        <v>38.259990000000002</v>
      </c>
      <c r="E74" s="969">
        <v>-121.68595000000001</v>
      </c>
      <c r="F74" s="961" t="s">
        <v>9393</v>
      </c>
      <c r="G74" s="961" t="s">
        <v>90</v>
      </c>
      <c r="H74" s="961" t="s">
        <v>9394</v>
      </c>
      <c r="I74" s="961" t="s">
        <v>9395</v>
      </c>
      <c r="J74" s="961" t="s">
        <v>28</v>
      </c>
      <c r="K74" s="961" t="s">
        <v>29</v>
      </c>
      <c r="L74" s="961" t="s">
        <v>30</v>
      </c>
      <c r="M74" s="961">
        <v>0</v>
      </c>
      <c r="N74" s="961" t="s">
        <v>50</v>
      </c>
      <c r="O74" s="961" t="s">
        <v>50</v>
      </c>
      <c r="P74" s="961" t="s">
        <v>50</v>
      </c>
      <c r="Q74" s="961" t="s">
        <v>50</v>
      </c>
      <c r="R74" s="961" t="s">
        <v>50</v>
      </c>
      <c r="S74" s="961" t="s">
        <v>50</v>
      </c>
      <c r="T74" s="961" t="s">
        <v>50</v>
      </c>
      <c r="U74" s="961" t="s">
        <v>50</v>
      </c>
      <c r="V74" s="962" t="s">
        <v>1822</v>
      </c>
      <c r="W74" s="961" t="s">
        <v>32</v>
      </c>
    </row>
    <row r="75" spans="1:23" x14ac:dyDescent="0.25">
      <c r="A75" s="949" t="s">
        <v>9392</v>
      </c>
      <c r="B75" s="949" t="s">
        <v>9313</v>
      </c>
      <c r="C75" s="949" t="s">
        <v>845</v>
      </c>
      <c r="D75" s="950">
        <v>38.234340000000003</v>
      </c>
      <c r="E75" s="950">
        <v>-121.67725</v>
      </c>
      <c r="F75" s="949" t="s">
        <v>9396</v>
      </c>
      <c r="G75" s="949" t="s">
        <v>90</v>
      </c>
      <c r="H75" s="949" t="s">
        <v>9394</v>
      </c>
      <c r="I75" s="949" t="s">
        <v>9397</v>
      </c>
      <c r="J75" s="949" t="s">
        <v>28</v>
      </c>
      <c r="K75" s="949" t="s">
        <v>29</v>
      </c>
      <c r="L75" s="949" t="s">
        <v>30</v>
      </c>
      <c r="M75" s="949">
        <v>2</v>
      </c>
      <c r="N75" s="956">
        <v>10</v>
      </c>
      <c r="O75" s="955">
        <v>40.6</v>
      </c>
      <c r="P75" s="955">
        <v>187.95</v>
      </c>
      <c r="Q75" s="955">
        <v>1.8</v>
      </c>
      <c r="R75" s="955">
        <v>3.93</v>
      </c>
      <c r="S75" s="949" t="s">
        <v>50</v>
      </c>
      <c r="T75" s="949" t="s">
        <v>50</v>
      </c>
      <c r="U75" s="949" t="s">
        <v>50</v>
      </c>
      <c r="V75" s="970" t="s">
        <v>9349</v>
      </c>
      <c r="W75" s="949" t="s">
        <v>32</v>
      </c>
    </row>
    <row r="76" spans="1:23" x14ac:dyDescent="0.25">
      <c r="A76" s="949" t="s">
        <v>9392</v>
      </c>
      <c r="B76" s="949" t="s">
        <v>9313</v>
      </c>
      <c r="C76" s="949" t="s">
        <v>845</v>
      </c>
      <c r="D76" s="950">
        <v>38.260199999999998</v>
      </c>
      <c r="E76" s="950">
        <v>-121.75597999999999</v>
      </c>
      <c r="F76" s="949" t="s">
        <v>9398</v>
      </c>
      <c r="G76" s="949" t="s">
        <v>90</v>
      </c>
      <c r="H76" s="949" t="s">
        <v>9394</v>
      </c>
      <c r="I76" s="949" t="s">
        <v>9399</v>
      </c>
      <c r="J76" s="949" t="s">
        <v>28</v>
      </c>
      <c r="K76" s="949" t="s">
        <v>29</v>
      </c>
      <c r="L76" s="949" t="s">
        <v>30</v>
      </c>
      <c r="M76" s="949">
        <v>2</v>
      </c>
      <c r="N76" s="956">
        <v>10</v>
      </c>
      <c r="O76" s="955">
        <v>13.4</v>
      </c>
      <c r="P76" s="955">
        <v>270</v>
      </c>
      <c r="Q76" s="955">
        <v>1.2649999999999999</v>
      </c>
      <c r="R76" s="955">
        <v>29.33</v>
      </c>
      <c r="S76" s="949" t="s">
        <v>50</v>
      </c>
      <c r="T76" s="949" t="s">
        <v>50</v>
      </c>
      <c r="U76" s="949" t="s">
        <v>50</v>
      </c>
      <c r="V76" s="970" t="s">
        <v>9349</v>
      </c>
      <c r="W76" s="949" t="s">
        <v>32</v>
      </c>
    </row>
    <row r="77" spans="1:23" x14ac:dyDescent="0.25">
      <c r="A77" s="949" t="s">
        <v>9392</v>
      </c>
      <c r="B77" s="949" t="s">
        <v>9313</v>
      </c>
      <c r="C77" s="949" t="s">
        <v>845</v>
      </c>
      <c r="D77" s="950">
        <v>38.271619999999999</v>
      </c>
      <c r="E77" s="950">
        <v>-121.70534000000001</v>
      </c>
      <c r="F77" s="949" t="s">
        <v>9400</v>
      </c>
      <c r="G77" s="949" t="s">
        <v>90</v>
      </c>
      <c r="H77" s="949" t="s">
        <v>9394</v>
      </c>
      <c r="I77" s="949" t="s">
        <v>9401</v>
      </c>
      <c r="J77" s="949" t="s">
        <v>28</v>
      </c>
      <c r="K77" s="949" t="s">
        <v>29</v>
      </c>
      <c r="L77" s="949" t="s">
        <v>30</v>
      </c>
      <c r="M77" s="949">
        <v>2</v>
      </c>
      <c r="N77" s="956">
        <v>6</v>
      </c>
      <c r="O77" s="955">
        <v>12.45</v>
      </c>
      <c r="P77" s="955">
        <v>225.05</v>
      </c>
      <c r="Q77" s="955">
        <v>1.8</v>
      </c>
      <c r="R77" s="955">
        <v>3.62</v>
      </c>
      <c r="S77" s="949" t="s">
        <v>50</v>
      </c>
      <c r="T77" s="949" t="s">
        <v>50</v>
      </c>
      <c r="U77" s="949" t="s">
        <v>50</v>
      </c>
      <c r="V77" s="970"/>
      <c r="W77" s="949" t="s">
        <v>32</v>
      </c>
    </row>
    <row r="78" spans="1:23" x14ac:dyDescent="0.25">
      <c r="A78" s="949" t="s">
        <v>9392</v>
      </c>
      <c r="B78" s="949" t="s">
        <v>9313</v>
      </c>
      <c r="C78" s="949" t="s">
        <v>845</v>
      </c>
      <c r="D78" s="950">
        <v>38.248559999999998</v>
      </c>
      <c r="E78" s="950">
        <v>-121.67415</v>
      </c>
      <c r="F78" s="949" t="s">
        <v>9402</v>
      </c>
      <c r="G78" s="949" t="s">
        <v>90</v>
      </c>
      <c r="H78" s="949" t="s">
        <v>9394</v>
      </c>
      <c r="I78" s="949" t="s">
        <v>9403</v>
      </c>
      <c r="J78" s="949" t="s">
        <v>28</v>
      </c>
      <c r="K78" s="949" t="s">
        <v>29</v>
      </c>
      <c r="L78" s="949" t="s">
        <v>30</v>
      </c>
      <c r="M78" s="949">
        <v>2</v>
      </c>
      <c r="N78" s="956">
        <v>10</v>
      </c>
      <c r="O78" s="955">
        <v>30.2</v>
      </c>
      <c r="P78" s="955">
        <v>235.35</v>
      </c>
      <c r="Q78" s="955">
        <v>1.4750000000000001</v>
      </c>
      <c r="R78" s="955">
        <v>7.1050000000000004</v>
      </c>
      <c r="S78" s="949" t="s">
        <v>50</v>
      </c>
      <c r="T78" s="949" t="s">
        <v>50</v>
      </c>
      <c r="U78" s="949" t="s">
        <v>50</v>
      </c>
      <c r="V78" s="970" t="s">
        <v>9349</v>
      </c>
      <c r="W78" s="949" t="s">
        <v>32</v>
      </c>
    </row>
    <row r="79" spans="1:23" x14ac:dyDescent="0.25">
      <c r="A79" s="949" t="s">
        <v>9392</v>
      </c>
      <c r="B79" s="949" t="s">
        <v>9313</v>
      </c>
      <c r="C79" s="949" t="s">
        <v>845</v>
      </c>
      <c r="D79" s="950">
        <v>38.257469999999998</v>
      </c>
      <c r="E79" s="950">
        <v>-121.72699</v>
      </c>
      <c r="F79" s="949" t="s">
        <v>9404</v>
      </c>
      <c r="G79" s="949" t="s">
        <v>90</v>
      </c>
      <c r="H79" s="949" t="s">
        <v>9394</v>
      </c>
      <c r="I79" s="949" t="s">
        <v>9405</v>
      </c>
      <c r="J79" s="949" t="s">
        <v>28</v>
      </c>
      <c r="K79" s="949" t="s">
        <v>29</v>
      </c>
      <c r="L79" s="949" t="s">
        <v>30</v>
      </c>
      <c r="M79" s="949">
        <v>2</v>
      </c>
      <c r="N79" s="956">
        <v>10</v>
      </c>
      <c r="O79" s="955">
        <v>16.2</v>
      </c>
      <c r="P79" s="955">
        <v>256.3</v>
      </c>
      <c r="Q79" s="955">
        <v>0.95</v>
      </c>
      <c r="R79" s="955">
        <v>8.89</v>
      </c>
      <c r="S79" s="949" t="s">
        <v>50</v>
      </c>
      <c r="T79" s="949" t="s">
        <v>50</v>
      </c>
      <c r="U79" s="949" t="s">
        <v>50</v>
      </c>
      <c r="V79" s="970" t="s">
        <v>9349</v>
      </c>
      <c r="W79" s="949" t="s">
        <v>32</v>
      </c>
    </row>
    <row r="80" spans="1:23" x14ac:dyDescent="0.25">
      <c r="A80" s="961" t="s">
        <v>9392</v>
      </c>
      <c r="B80" s="961" t="s">
        <v>9313</v>
      </c>
      <c r="C80" s="961" t="s">
        <v>62</v>
      </c>
      <c r="D80" s="969">
        <v>38.113160000000001</v>
      </c>
      <c r="E80" s="969">
        <v>-122.05913</v>
      </c>
      <c r="F80" s="961" t="s">
        <v>9406</v>
      </c>
      <c r="G80" s="961" t="s">
        <v>27</v>
      </c>
      <c r="H80" s="961" t="s">
        <v>173</v>
      </c>
      <c r="I80" s="961" t="s">
        <v>9407</v>
      </c>
      <c r="J80" s="961" t="s">
        <v>28</v>
      </c>
      <c r="K80" s="961" t="s">
        <v>29</v>
      </c>
      <c r="L80" s="949" t="s">
        <v>30</v>
      </c>
      <c r="M80" s="961">
        <v>0</v>
      </c>
      <c r="N80" s="961" t="s">
        <v>50</v>
      </c>
      <c r="O80" s="966" t="s">
        <v>50</v>
      </c>
      <c r="P80" s="966" t="s">
        <v>50</v>
      </c>
      <c r="Q80" s="966" t="s">
        <v>50</v>
      </c>
      <c r="R80" s="966" t="s">
        <v>50</v>
      </c>
      <c r="S80" s="961" t="s">
        <v>50</v>
      </c>
      <c r="T80" s="961" t="s">
        <v>50</v>
      </c>
      <c r="U80" s="961" t="s">
        <v>50</v>
      </c>
      <c r="V80" s="962" t="s">
        <v>1822</v>
      </c>
      <c r="W80" s="961" t="s">
        <v>32</v>
      </c>
    </row>
    <row r="81" spans="1:23" x14ac:dyDescent="0.25">
      <c r="A81" s="949" t="s">
        <v>9392</v>
      </c>
      <c r="B81" s="949" t="s">
        <v>9313</v>
      </c>
      <c r="C81" s="949" t="s">
        <v>62</v>
      </c>
      <c r="D81" s="950">
        <v>38.122799999999998</v>
      </c>
      <c r="E81" s="950">
        <v>-121.88889</v>
      </c>
      <c r="F81" s="949" t="s">
        <v>9408</v>
      </c>
      <c r="G81" s="949" t="s">
        <v>27</v>
      </c>
      <c r="H81" s="949" t="s">
        <v>9409</v>
      </c>
      <c r="I81" s="949" t="s">
        <v>9410</v>
      </c>
      <c r="J81" s="949" t="s">
        <v>28</v>
      </c>
      <c r="K81" s="949" t="s">
        <v>29</v>
      </c>
      <c r="L81" s="949" t="s">
        <v>30</v>
      </c>
      <c r="M81" s="949">
        <v>2</v>
      </c>
      <c r="N81" s="956">
        <v>10</v>
      </c>
      <c r="O81" s="955">
        <v>15.75</v>
      </c>
      <c r="P81" s="955">
        <v>3375</v>
      </c>
      <c r="Q81" s="955">
        <v>0.37</v>
      </c>
      <c r="R81" s="955">
        <v>31.65</v>
      </c>
      <c r="S81" s="949" t="s">
        <v>50</v>
      </c>
      <c r="T81" s="949" t="s">
        <v>50</v>
      </c>
      <c r="U81" s="949" t="s">
        <v>50</v>
      </c>
      <c r="V81" s="970" t="s">
        <v>9349</v>
      </c>
      <c r="W81" s="949" t="s">
        <v>32</v>
      </c>
    </row>
    <row r="82" spans="1:23" x14ac:dyDescent="0.25">
      <c r="A82" s="971" t="s">
        <v>9392</v>
      </c>
      <c r="B82" s="971" t="s">
        <v>9313</v>
      </c>
      <c r="C82" s="971" t="s">
        <v>62</v>
      </c>
      <c r="D82" s="978">
        <v>38.180239999999998</v>
      </c>
      <c r="E82" s="978">
        <v>-121.99775</v>
      </c>
      <c r="F82" s="971" t="s">
        <v>9411</v>
      </c>
      <c r="G82" s="971" t="s">
        <v>27</v>
      </c>
      <c r="H82" s="971" t="s">
        <v>9409</v>
      </c>
      <c r="I82" s="971" t="s">
        <v>9399</v>
      </c>
      <c r="J82" s="971" t="s">
        <v>28</v>
      </c>
      <c r="K82" s="971" t="s">
        <v>29</v>
      </c>
      <c r="L82" s="971" t="s">
        <v>30</v>
      </c>
      <c r="M82" s="971">
        <v>2</v>
      </c>
      <c r="N82" s="972">
        <v>10</v>
      </c>
      <c r="O82" s="975">
        <v>23.15</v>
      </c>
      <c r="P82" s="975">
        <v>3631.5</v>
      </c>
      <c r="Q82" s="975">
        <v>0.28499999999999998</v>
      </c>
      <c r="R82" s="975">
        <v>66.05</v>
      </c>
      <c r="S82" s="973" t="s">
        <v>31</v>
      </c>
      <c r="T82" s="972">
        <v>10</v>
      </c>
      <c r="U82" s="971" t="s">
        <v>9412</v>
      </c>
      <c r="V82" s="974" t="s">
        <v>9349</v>
      </c>
      <c r="W82" s="971" t="s">
        <v>32</v>
      </c>
    </row>
    <row r="83" spans="1:23" x14ac:dyDescent="0.25">
      <c r="A83" s="971" t="s">
        <v>9392</v>
      </c>
      <c r="B83" s="971" t="s">
        <v>9313</v>
      </c>
      <c r="C83" s="971" t="s">
        <v>62</v>
      </c>
      <c r="D83" s="978">
        <v>38.161729999999999</v>
      </c>
      <c r="E83" s="978">
        <v>-122.04642</v>
      </c>
      <c r="F83" s="971" t="s">
        <v>9413</v>
      </c>
      <c r="G83" s="971" t="s">
        <v>27</v>
      </c>
      <c r="H83" s="971" t="s">
        <v>9409</v>
      </c>
      <c r="I83" s="971" t="s">
        <v>9414</v>
      </c>
      <c r="J83" s="971" t="s">
        <v>28</v>
      </c>
      <c r="K83" s="971" t="s">
        <v>29</v>
      </c>
      <c r="L83" s="971" t="s">
        <v>30</v>
      </c>
      <c r="M83" s="971">
        <v>2</v>
      </c>
      <c r="N83" s="972">
        <v>10</v>
      </c>
      <c r="O83" s="975">
        <v>16.850000000000001</v>
      </c>
      <c r="P83" s="975">
        <v>3536.5</v>
      </c>
      <c r="Q83" s="975">
        <v>0.24</v>
      </c>
      <c r="R83" s="975">
        <v>72.7</v>
      </c>
      <c r="S83" s="973" t="s">
        <v>31</v>
      </c>
      <c r="T83" s="972">
        <v>23</v>
      </c>
      <c r="U83" s="971" t="s">
        <v>9415</v>
      </c>
      <c r="V83" s="974" t="s">
        <v>9349</v>
      </c>
      <c r="W83" s="971" t="s">
        <v>32</v>
      </c>
    </row>
    <row r="84" spans="1:23" x14ac:dyDescent="0.25">
      <c r="A84" s="961" t="s">
        <v>9392</v>
      </c>
      <c r="B84" s="961" t="s">
        <v>9313</v>
      </c>
      <c r="C84" s="961" t="s">
        <v>62</v>
      </c>
      <c r="D84" s="969">
        <v>38.120429999999999</v>
      </c>
      <c r="E84" s="969">
        <v>-122.06514</v>
      </c>
      <c r="F84" s="961" t="s">
        <v>9416</v>
      </c>
      <c r="G84" s="961" t="s">
        <v>27</v>
      </c>
      <c r="H84" s="961" t="s">
        <v>9409</v>
      </c>
      <c r="I84" s="961" t="s">
        <v>9417</v>
      </c>
      <c r="J84" s="961" t="s">
        <v>28</v>
      </c>
      <c r="K84" s="961" t="s">
        <v>29</v>
      </c>
      <c r="L84" s="961" t="s">
        <v>30</v>
      </c>
      <c r="M84" s="961">
        <v>0</v>
      </c>
      <c r="N84" s="961" t="s">
        <v>50</v>
      </c>
      <c r="O84" s="966" t="s">
        <v>50</v>
      </c>
      <c r="P84" s="966" t="s">
        <v>50</v>
      </c>
      <c r="Q84" s="966" t="s">
        <v>50</v>
      </c>
      <c r="R84" s="966" t="s">
        <v>50</v>
      </c>
      <c r="S84" s="961" t="s">
        <v>50</v>
      </c>
      <c r="T84" s="961" t="s">
        <v>50</v>
      </c>
      <c r="U84" s="961" t="s">
        <v>50</v>
      </c>
      <c r="V84" s="962" t="s">
        <v>1822</v>
      </c>
      <c r="W84" s="961" t="s">
        <v>32</v>
      </c>
    </row>
    <row r="85" spans="1:23" x14ac:dyDescent="0.25">
      <c r="A85" s="971" t="s">
        <v>9392</v>
      </c>
      <c r="B85" s="971" t="s">
        <v>9313</v>
      </c>
      <c r="C85" s="971" t="s">
        <v>62</v>
      </c>
      <c r="D85" s="978">
        <v>38.15457</v>
      </c>
      <c r="E85" s="978">
        <v>-122.05217</v>
      </c>
      <c r="F85" s="971" t="s">
        <v>9418</v>
      </c>
      <c r="G85" s="971" t="s">
        <v>27</v>
      </c>
      <c r="H85" s="971" t="s">
        <v>9409</v>
      </c>
      <c r="I85" s="971" t="s">
        <v>9419</v>
      </c>
      <c r="J85" s="971" t="s">
        <v>28</v>
      </c>
      <c r="K85" s="971" t="s">
        <v>29</v>
      </c>
      <c r="L85" s="971" t="s">
        <v>30</v>
      </c>
      <c r="M85" s="971">
        <v>2</v>
      </c>
      <c r="N85" s="972">
        <v>10</v>
      </c>
      <c r="O85" s="975">
        <v>28.1</v>
      </c>
      <c r="P85" s="975">
        <v>3505.5</v>
      </c>
      <c r="Q85" s="975">
        <v>0.23</v>
      </c>
      <c r="R85" s="975">
        <v>69.05</v>
      </c>
      <c r="S85" s="973" t="s">
        <v>31</v>
      </c>
      <c r="T85" s="972">
        <v>8</v>
      </c>
      <c r="U85" s="971" t="s">
        <v>9420</v>
      </c>
      <c r="V85" s="974"/>
      <c r="W85" s="971" t="s">
        <v>32</v>
      </c>
    </row>
    <row r="86" spans="1:23" x14ac:dyDescent="0.25">
      <c r="A86" s="971" t="s">
        <v>9392</v>
      </c>
      <c r="B86" s="971" t="s">
        <v>9313</v>
      </c>
      <c r="C86" s="971" t="s">
        <v>62</v>
      </c>
      <c r="D86" s="978">
        <v>38.174149999999997</v>
      </c>
      <c r="E86" s="978">
        <v>-121.96248</v>
      </c>
      <c r="F86" s="971" t="s">
        <v>9421</v>
      </c>
      <c r="G86" s="971" t="s">
        <v>27</v>
      </c>
      <c r="H86" s="971" t="s">
        <v>9409</v>
      </c>
      <c r="I86" s="971" t="s">
        <v>9422</v>
      </c>
      <c r="J86" s="971" t="s">
        <v>28</v>
      </c>
      <c r="K86" s="971" t="s">
        <v>29</v>
      </c>
      <c r="L86" s="971" t="s">
        <v>30</v>
      </c>
      <c r="M86" s="971">
        <v>2</v>
      </c>
      <c r="N86" s="972">
        <v>10</v>
      </c>
      <c r="O86" s="975">
        <v>16.350000000000001</v>
      </c>
      <c r="P86" s="975">
        <v>3974.5</v>
      </c>
      <c r="Q86" s="975">
        <v>0.21</v>
      </c>
      <c r="R86" s="975">
        <v>60.7</v>
      </c>
      <c r="S86" s="973" t="s">
        <v>31</v>
      </c>
      <c r="T86" s="972">
        <v>4</v>
      </c>
      <c r="U86" s="971" t="s">
        <v>9423</v>
      </c>
      <c r="V86" s="974" t="s">
        <v>9349</v>
      </c>
      <c r="W86" s="971" t="s">
        <v>32</v>
      </c>
    </row>
    <row r="87" spans="1:23" x14ac:dyDescent="0.25">
      <c r="A87" s="979" t="s">
        <v>9424</v>
      </c>
      <c r="B87" s="979" t="s">
        <v>940</v>
      </c>
      <c r="C87" s="979" t="s">
        <v>78</v>
      </c>
      <c r="D87" s="988">
        <v>38.049869999999999</v>
      </c>
      <c r="E87" s="988">
        <v>-121.92733</v>
      </c>
      <c r="F87" s="979" t="s">
        <v>9425</v>
      </c>
      <c r="G87" s="979" t="s">
        <v>27</v>
      </c>
      <c r="H87" s="979" t="s">
        <v>101</v>
      </c>
      <c r="I87" s="979" t="s">
        <v>9426</v>
      </c>
      <c r="J87" s="979" t="s">
        <v>28</v>
      </c>
      <c r="K87" s="979" t="s">
        <v>29</v>
      </c>
      <c r="L87" s="971" t="s">
        <v>30</v>
      </c>
      <c r="M87" s="979">
        <v>2</v>
      </c>
      <c r="N87" s="984">
        <v>10</v>
      </c>
      <c r="O87" s="986">
        <v>33</v>
      </c>
      <c r="P87" s="986">
        <v>8022.5</v>
      </c>
      <c r="Q87" s="986">
        <v>0.245</v>
      </c>
      <c r="R87" s="986">
        <v>131</v>
      </c>
      <c r="S87" s="980" t="s">
        <v>31</v>
      </c>
      <c r="T87" s="984">
        <v>18</v>
      </c>
      <c r="U87" s="979" t="s">
        <v>9427</v>
      </c>
      <c r="V87" s="981" t="s">
        <v>9349</v>
      </c>
      <c r="W87" s="979" t="s">
        <v>32</v>
      </c>
    </row>
    <row r="88" spans="1:23" x14ac:dyDescent="0.25">
      <c r="A88" s="982" t="s">
        <v>9424</v>
      </c>
      <c r="B88" s="982" t="s">
        <v>940</v>
      </c>
      <c r="C88" s="982" t="s">
        <v>78</v>
      </c>
      <c r="D88" s="989">
        <v>38.07358</v>
      </c>
      <c r="E88" s="989">
        <v>-122.026</v>
      </c>
      <c r="F88" s="982" t="s">
        <v>9428</v>
      </c>
      <c r="G88" s="982" t="s">
        <v>27</v>
      </c>
      <c r="H88" s="982" t="s">
        <v>3841</v>
      </c>
      <c r="I88" s="982" t="s">
        <v>9429</v>
      </c>
      <c r="J88" s="982" t="s">
        <v>28</v>
      </c>
      <c r="K88" s="982" t="s">
        <v>29</v>
      </c>
      <c r="L88" s="982" t="s">
        <v>30</v>
      </c>
      <c r="M88" s="982">
        <v>2</v>
      </c>
      <c r="N88" s="985">
        <v>10</v>
      </c>
      <c r="O88" s="987">
        <v>19.2</v>
      </c>
      <c r="P88" s="987">
        <v>13622.5</v>
      </c>
      <c r="Q88" s="987">
        <v>0.46</v>
      </c>
      <c r="R88" s="987">
        <v>61.7</v>
      </c>
      <c r="S88" s="982" t="s">
        <v>50</v>
      </c>
      <c r="T88" s="982" t="s">
        <v>50</v>
      </c>
      <c r="U88" s="982" t="s">
        <v>50</v>
      </c>
      <c r="V88" s="983" t="s">
        <v>9349</v>
      </c>
      <c r="W88" s="982" t="s">
        <v>32</v>
      </c>
    </row>
    <row r="89" spans="1:23" x14ac:dyDescent="0.25">
      <c r="A89" s="982" t="s">
        <v>9424</v>
      </c>
      <c r="B89" s="982" t="s">
        <v>940</v>
      </c>
      <c r="C89" s="982" t="s">
        <v>78</v>
      </c>
      <c r="D89" s="989">
        <v>38.067529999999998</v>
      </c>
      <c r="E89" s="989">
        <v>-122.04505</v>
      </c>
      <c r="F89" s="982" t="s">
        <v>9430</v>
      </c>
      <c r="G89" s="982" t="s">
        <v>27</v>
      </c>
      <c r="H89" s="982" t="s">
        <v>3841</v>
      </c>
      <c r="I89" s="982" t="s">
        <v>9431</v>
      </c>
      <c r="J89" s="982" t="s">
        <v>28</v>
      </c>
      <c r="K89" s="982" t="s">
        <v>29</v>
      </c>
      <c r="L89" s="982" t="s">
        <v>30</v>
      </c>
      <c r="M89" s="982">
        <v>2</v>
      </c>
      <c r="N89" s="985">
        <v>10</v>
      </c>
      <c r="O89" s="987">
        <v>13.45</v>
      </c>
      <c r="P89" s="987">
        <v>15085.5</v>
      </c>
      <c r="Q89" s="987">
        <v>0.46500000000000002</v>
      </c>
      <c r="R89" s="987">
        <v>41.65</v>
      </c>
      <c r="S89" s="982" t="s">
        <v>50</v>
      </c>
      <c r="T89" s="982" t="s">
        <v>50</v>
      </c>
      <c r="U89" s="982" t="s">
        <v>50</v>
      </c>
      <c r="V89" s="983" t="s">
        <v>9349</v>
      </c>
      <c r="W89" s="982" t="s">
        <v>32</v>
      </c>
    </row>
    <row r="90" spans="1:23" x14ac:dyDescent="0.25">
      <c r="A90" s="982" t="s">
        <v>9424</v>
      </c>
      <c r="B90" s="982" t="s">
        <v>940</v>
      </c>
      <c r="C90" s="982" t="s">
        <v>78</v>
      </c>
      <c r="D90" s="989">
        <v>38.040770000000002</v>
      </c>
      <c r="E90" s="989">
        <v>-122.126</v>
      </c>
      <c r="F90" s="982" t="s">
        <v>9432</v>
      </c>
      <c r="G90" s="982" t="s">
        <v>80</v>
      </c>
      <c r="H90" s="982" t="s">
        <v>9390</v>
      </c>
      <c r="I90" s="982" t="s">
        <v>9433</v>
      </c>
      <c r="J90" s="982" t="s">
        <v>28</v>
      </c>
      <c r="K90" s="982" t="s">
        <v>29</v>
      </c>
      <c r="L90" s="982" t="s">
        <v>30</v>
      </c>
      <c r="M90" s="982">
        <v>2</v>
      </c>
      <c r="N90" s="985">
        <v>10</v>
      </c>
      <c r="O90" s="987">
        <v>58.1</v>
      </c>
      <c r="P90" s="987">
        <v>25327</v>
      </c>
      <c r="Q90" s="987">
        <v>0.63500000000000001</v>
      </c>
      <c r="R90" s="987">
        <v>17.45</v>
      </c>
      <c r="S90" s="982" t="s">
        <v>50</v>
      </c>
      <c r="T90" s="982" t="s">
        <v>50</v>
      </c>
      <c r="U90" s="982" t="s">
        <v>50</v>
      </c>
      <c r="V90" s="983"/>
      <c r="W90" s="982" t="s">
        <v>32</v>
      </c>
    </row>
    <row r="91" spans="1:23" s="854" customFormat="1" x14ac:dyDescent="0.25">
      <c r="A91" s="990" t="s">
        <v>9424</v>
      </c>
      <c r="B91" s="990" t="s">
        <v>940</v>
      </c>
      <c r="C91" s="990" t="s">
        <v>78</v>
      </c>
      <c r="D91" s="991">
        <v>38.046050000000001</v>
      </c>
      <c r="E91" s="991">
        <v>-122.09889</v>
      </c>
      <c r="F91" s="990" t="s">
        <v>9434</v>
      </c>
      <c r="G91" s="990" t="s">
        <v>80</v>
      </c>
      <c r="H91" s="990" t="s">
        <v>9390</v>
      </c>
      <c r="I91" s="990" t="s">
        <v>9435</v>
      </c>
      <c r="J91" s="990" t="s">
        <v>28</v>
      </c>
      <c r="K91" s="990" t="s">
        <v>29</v>
      </c>
      <c r="L91" s="990" t="s">
        <v>30</v>
      </c>
      <c r="M91" s="990">
        <v>2</v>
      </c>
      <c r="N91" s="992">
        <v>10</v>
      </c>
      <c r="O91" s="993">
        <v>20.05</v>
      </c>
      <c r="P91" s="993">
        <v>22490</v>
      </c>
      <c r="Q91" s="993">
        <v>0.57999999999999996</v>
      </c>
      <c r="R91" s="993">
        <v>33.75</v>
      </c>
      <c r="S91" s="990" t="s">
        <v>50</v>
      </c>
      <c r="T91" s="990" t="s">
        <v>50</v>
      </c>
      <c r="U91" s="990" t="s">
        <v>50</v>
      </c>
      <c r="V91" s="994"/>
      <c r="W91" s="990" t="s">
        <v>32</v>
      </c>
    </row>
    <row r="92" spans="1:23" x14ac:dyDescent="0.25">
      <c r="A92" s="982" t="s">
        <v>9436</v>
      </c>
      <c r="B92" s="982" t="s">
        <v>24</v>
      </c>
      <c r="C92" s="982" t="s">
        <v>95</v>
      </c>
      <c r="D92" s="989">
        <v>38.091940000000001</v>
      </c>
      <c r="E92" s="989">
        <v>-121.57401</v>
      </c>
      <c r="F92" s="982" t="s">
        <v>9437</v>
      </c>
      <c r="G92" s="982" t="s">
        <v>46</v>
      </c>
      <c r="H92" s="982" t="s">
        <v>9438</v>
      </c>
      <c r="I92" s="982" t="s">
        <v>9439</v>
      </c>
      <c r="J92" s="982" t="s">
        <v>28</v>
      </c>
      <c r="K92" s="982" t="s">
        <v>29</v>
      </c>
      <c r="L92" s="982" t="s">
        <v>30</v>
      </c>
      <c r="M92" s="982">
        <v>2</v>
      </c>
      <c r="N92" s="985">
        <v>10</v>
      </c>
      <c r="O92" s="987">
        <v>35.6</v>
      </c>
      <c r="P92" s="987">
        <v>301.3</v>
      </c>
      <c r="Q92" s="987">
        <v>1.8</v>
      </c>
      <c r="R92" s="987">
        <v>3.55</v>
      </c>
      <c r="S92" s="982" t="s">
        <v>50</v>
      </c>
      <c r="T92" s="982" t="s">
        <v>50</v>
      </c>
      <c r="U92" s="982" t="s">
        <v>50</v>
      </c>
      <c r="V92" s="983" t="s">
        <v>9349</v>
      </c>
      <c r="W92" s="982" t="s">
        <v>32</v>
      </c>
    </row>
    <row r="93" spans="1:23" x14ac:dyDescent="0.25">
      <c r="A93" s="982" t="s">
        <v>9436</v>
      </c>
      <c r="B93" s="982" t="s">
        <v>24</v>
      </c>
      <c r="C93" s="982" t="s">
        <v>95</v>
      </c>
      <c r="D93" s="989">
        <v>38.064459999999997</v>
      </c>
      <c r="E93" s="989">
        <v>-121.55986</v>
      </c>
      <c r="F93" s="982" t="s">
        <v>9440</v>
      </c>
      <c r="G93" s="982" t="s">
        <v>46</v>
      </c>
      <c r="H93" s="982" t="s">
        <v>9438</v>
      </c>
      <c r="I93" s="982" t="s">
        <v>9441</v>
      </c>
      <c r="J93" s="982" t="s">
        <v>28</v>
      </c>
      <c r="K93" s="982" t="s">
        <v>29</v>
      </c>
      <c r="L93" s="982" t="s">
        <v>30</v>
      </c>
      <c r="M93" s="982">
        <v>2</v>
      </c>
      <c r="N93" s="985">
        <v>10</v>
      </c>
      <c r="O93" s="987">
        <v>56.4</v>
      </c>
      <c r="P93" s="987">
        <v>297.39999999999998</v>
      </c>
      <c r="Q93" s="987">
        <v>1.8</v>
      </c>
      <c r="R93" s="987">
        <v>3.56</v>
      </c>
      <c r="S93" s="982" t="s">
        <v>50</v>
      </c>
      <c r="T93" s="982" t="s">
        <v>50</v>
      </c>
      <c r="U93" s="982" t="s">
        <v>50</v>
      </c>
      <c r="V93" s="983" t="s">
        <v>9349</v>
      </c>
      <c r="W93" s="982" t="s">
        <v>32</v>
      </c>
    </row>
    <row r="94" spans="1:23" x14ac:dyDescent="0.25">
      <c r="A94" s="982" t="s">
        <v>9436</v>
      </c>
      <c r="B94" s="982" t="s">
        <v>24</v>
      </c>
      <c r="C94" s="982" t="s">
        <v>95</v>
      </c>
      <c r="D94" s="989">
        <v>38.063609999999997</v>
      </c>
      <c r="E94" s="989">
        <v>-121.54543</v>
      </c>
      <c r="F94" s="982" t="s">
        <v>9442</v>
      </c>
      <c r="G94" s="982" t="s">
        <v>46</v>
      </c>
      <c r="H94" s="982" t="s">
        <v>9438</v>
      </c>
      <c r="I94" s="982" t="s">
        <v>9443</v>
      </c>
      <c r="J94" s="982" t="s">
        <v>28</v>
      </c>
      <c r="K94" s="982" t="s">
        <v>29</v>
      </c>
      <c r="L94" s="982" t="s">
        <v>30</v>
      </c>
      <c r="M94" s="982">
        <v>2</v>
      </c>
      <c r="N94" s="985">
        <v>10</v>
      </c>
      <c r="O94" s="987">
        <v>30.5</v>
      </c>
      <c r="P94" s="987">
        <v>295</v>
      </c>
      <c r="Q94" s="987">
        <v>1.8</v>
      </c>
      <c r="R94" s="987">
        <v>3.5649999999999999</v>
      </c>
      <c r="S94" s="982" t="s">
        <v>50</v>
      </c>
      <c r="T94" s="982" t="s">
        <v>50</v>
      </c>
      <c r="U94" s="982" t="s">
        <v>50</v>
      </c>
      <c r="V94" s="983" t="s">
        <v>9349</v>
      </c>
      <c r="W94" s="982" t="s">
        <v>32</v>
      </c>
    </row>
    <row r="95" spans="1:23" x14ac:dyDescent="0.25">
      <c r="A95" s="982" t="s">
        <v>9436</v>
      </c>
      <c r="B95" s="982" t="s">
        <v>24</v>
      </c>
      <c r="C95" s="982" t="s">
        <v>95</v>
      </c>
      <c r="D95" s="989">
        <v>38.086889999999997</v>
      </c>
      <c r="E95" s="989">
        <v>-121.64216</v>
      </c>
      <c r="F95" s="982" t="s">
        <v>9444</v>
      </c>
      <c r="G95" s="982" t="s">
        <v>46</v>
      </c>
      <c r="H95" s="982" t="s">
        <v>9445</v>
      </c>
      <c r="I95" s="982" t="s">
        <v>9446</v>
      </c>
      <c r="J95" s="982" t="s">
        <v>28</v>
      </c>
      <c r="K95" s="982" t="s">
        <v>29</v>
      </c>
      <c r="L95" s="982" t="s">
        <v>30</v>
      </c>
      <c r="M95" s="982">
        <v>2</v>
      </c>
      <c r="N95" s="985">
        <v>10</v>
      </c>
      <c r="O95" s="987">
        <v>56.85</v>
      </c>
      <c r="P95" s="987">
        <v>352.1</v>
      </c>
      <c r="Q95" s="987">
        <v>1.5349999999999999</v>
      </c>
      <c r="R95" s="987">
        <v>5.9450000000000003</v>
      </c>
      <c r="S95" s="982" t="s">
        <v>50</v>
      </c>
      <c r="T95" s="982" t="s">
        <v>50</v>
      </c>
      <c r="U95" s="982" t="s">
        <v>50</v>
      </c>
      <c r="V95" s="983" t="s">
        <v>9349</v>
      </c>
      <c r="W95" s="982" t="s">
        <v>32</v>
      </c>
    </row>
    <row r="96" spans="1:23" x14ac:dyDescent="0.25">
      <c r="A96" s="982" t="s">
        <v>9436</v>
      </c>
      <c r="B96" s="982" t="s">
        <v>24</v>
      </c>
      <c r="C96" s="982" t="s">
        <v>95</v>
      </c>
      <c r="D96" s="989">
        <v>38.096249999999998</v>
      </c>
      <c r="E96" s="989">
        <v>-121.66534</v>
      </c>
      <c r="F96" s="982" t="s">
        <v>9447</v>
      </c>
      <c r="G96" s="982" t="s">
        <v>46</v>
      </c>
      <c r="H96" s="982" t="s">
        <v>9445</v>
      </c>
      <c r="I96" s="982" t="s">
        <v>9448</v>
      </c>
      <c r="J96" s="982" t="s">
        <v>28</v>
      </c>
      <c r="K96" s="982" t="s">
        <v>29</v>
      </c>
      <c r="L96" s="982" t="s">
        <v>30</v>
      </c>
      <c r="M96" s="982">
        <v>2</v>
      </c>
      <c r="N96" s="985">
        <v>10</v>
      </c>
      <c r="O96" s="987">
        <v>45.8</v>
      </c>
      <c r="P96" s="987">
        <v>359.65</v>
      </c>
      <c r="Q96" s="987">
        <v>1.23</v>
      </c>
      <c r="R96" s="987">
        <v>6.22</v>
      </c>
      <c r="S96" s="982" t="s">
        <v>50</v>
      </c>
      <c r="T96" s="982" t="s">
        <v>50</v>
      </c>
      <c r="U96" s="982" t="s">
        <v>50</v>
      </c>
      <c r="V96" s="983"/>
      <c r="W96" s="982" t="s">
        <v>32</v>
      </c>
    </row>
    <row r="97" spans="1:23" x14ac:dyDescent="0.25">
      <c r="A97" s="982" t="s">
        <v>9436</v>
      </c>
      <c r="B97" s="982" t="s">
        <v>24</v>
      </c>
      <c r="C97" s="982" t="s">
        <v>106</v>
      </c>
      <c r="D97" s="989">
        <v>38.229970000000002</v>
      </c>
      <c r="E97" s="989">
        <v>-121.67328999999999</v>
      </c>
      <c r="F97" s="982" t="s">
        <v>9449</v>
      </c>
      <c r="G97" s="982" t="s">
        <v>90</v>
      </c>
      <c r="H97" s="982" t="s">
        <v>108</v>
      </c>
      <c r="I97" s="982" t="s">
        <v>9450</v>
      </c>
      <c r="J97" s="982" t="s">
        <v>28</v>
      </c>
      <c r="K97" s="982" t="s">
        <v>29</v>
      </c>
      <c r="L97" s="982" t="s">
        <v>30</v>
      </c>
      <c r="M97" s="982">
        <v>2</v>
      </c>
      <c r="N97" s="985">
        <v>10</v>
      </c>
      <c r="O97" s="987">
        <v>40.049999999999997</v>
      </c>
      <c r="P97" s="987">
        <v>183.2</v>
      </c>
      <c r="Q97" s="987">
        <v>1.8</v>
      </c>
      <c r="R97" s="987">
        <v>3.395</v>
      </c>
      <c r="S97" s="982" t="s">
        <v>50</v>
      </c>
      <c r="T97" s="982" t="s">
        <v>50</v>
      </c>
      <c r="U97" s="982" t="s">
        <v>50</v>
      </c>
      <c r="V97" s="983" t="s">
        <v>9349</v>
      </c>
      <c r="W97" s="982" t="s">
        <v>32</v>
      </c>
    </row>
    <row r="98" spans="1:23" x14ac:dyDescent="0.25">
      <c r="A98" s="982" t="s">
        <v>9436</v>
      </c>
      <c r="B98" s="982" t="s">
        <v>24</v>
      </c>
      <c r="C98" s="982" t="s">
        <v>106</v>
      </c>
      <c r="D98" s="989">
        <v>38.331090000000003</v>
      </c>
      <c r="E98" s="989">
        <v>-121.64713</v>
      </c>
      <c r="F98" s="982" t="s">
        <v>9451</v>
      </c>
      <c r="G98" s="982" t="s">
        <v>90</v>
      </c>
      <c r="H98" s="982" t="s">
        <v>108</v>
      </c>
      <c r="I98" s="982" t="s">
        <v>9452</v>
      </c>
      <c r="J98" s="982" t="s">
        <v>28</v>
      </c>
      <c r="K98" s="982" t="s">
        <v>29</v>
      </c>
      <c r="L98" s="982" t="s">
        <v>30</v>
      </c>
      <c r="M98" s="982">
        <v>2</v>
      </c>
      <c r="N98" s="985">
        <v>10</v>
      </c>
      <c r="O98" s="987">
        <v>36.049999999999997</v>
      </c>
      <c r="P98" s="987">
        <v>291.8</v>
      </c>
      <c r="Q98" s="987">
        <v>1.1850000000000001</v>
      </c>
      <c r="R98" s="987">
        <v>7.07</v>
      </c>
      <c r="S98" s="982" t="s">
        <v>50</v>
      </c>
      <c r="T98" s="982" t="s">
        <v>50</v>
      </c>
      <c r="U98" s="982" t="s">
        <v>50</v>
      </c>
      <c r="V98" s="983" t="s">
        <v>9349</v>
      </c>
      <c r="W98" s="982" t="s">
        <v>32</v>
      </c>
    </row>
    <row r="99" spans="1:23" s="999" customFormat="1" x14ac:dyDescent="0.25">
      <c r="A99" s="995" t="s">
        <v>9436</v>
      </c>
      <c r="B99" s="995" t="s">
        <v>24</v>
      </c>
      <c r="C99" s="995" t="s">
        <v>106</v>
      </c>
      <c r="D99" s="1001">
        <v>38.395519999999998</v>
      </c>
      <c r="E99" s="1001">
        <v>-121.6186</v>
      </c>
      <c r="F99" s="995" t="s">
        <v>9453</v>
      </c>
      <c r="G99" s="995" t="s">
        <v>90</v>
      </c>
      <c r="H99" s="995" t="s">
        <v>108</v>
      </c>
      <c r="I99" s="995" t="s">
        <v>9399</v>
      </c>
      <c r="J99" s="995" t="s">
        <v>28</v>
      </c>
      <c r="K99" s="995" t="s">
        <v>29</v>
      </c>
      <c r="L99" s="995" t="s">
        <v>30</v>
      </c>
      <c r="M99" s="995">
        <v>2</v>
      </c>
      <c r="N99" s="996">
        <v>10</v>
      </c>
      <c r="O99" s="997">
        <v>35.25</v>
      </c>
      <c r="P99" s="997">
        <v>471.5</v>
      </c>
      <c r="Q99" s="997">
        <v>0.5</v>
      </c>
      <c r="R99" s="997">
        <v>20.65</v>
      </c>
      <c r="S99" s="998" t="s">
        <v>50</v>
      </c>
      <c r="T99" s="1000" t="s">
        <v>50</v>
      </c>
      <c r="U99" s="998" t="s">
        <v>50</v>
      </c>
      <c r="V99" s="1017" t="s">
        <v>10133</v>
      </c>
      <c r="W99" s="995" t="s">
        <v>32</v>
      </c>
    </row>
    <row r="100" spans="1:23" s="999" customFormat="1" x14ac:dyDescent="0.25">
      <c r="A100" s="995" t="s">
        <v>9436</v>
      </c>
      <c r="B100" s="995" t="s">
        <v>24</v>
      </c>
      <c r="C100" s="995" t="s">
        <v>106</v>
      </c>
      <c r="D100" s="1001">
        <v>38.456609999999998</v>
      </c>
      <c r="E100" s="1001">
        <v>-121.5907</v>
      </c>
      <c r="F100" s="995" t="s">
        <v>9454</v>
      </c>
      <c r="G100" s="995" t="s">
        <v>90</v>
      </c>
      <c r="H100" s="995" t="s">
        <v>25</v>
      </c>
      <c r="I100" s="995" t="s">
        <v>9455</v>
      </c>
      <c r="J100" s="995" t="s">
        <v>28</v>
      </c>
      <c r="K100" s="995" t="s">
        <v>29</v>
      </c>
      <c r="L100" s="995" t="s">
        <v>30</v>
      </c>
      <c r="M100" s="995">
        <v>2</v>
      </c>
      <c r="N100" s="996">
        <v>10</v>
      </c>
      <c r="O100" s="997">
        <v>33.049999999999997</v>
      </c>
      <c r="P100" s="997">
        <v>718.5</v>
      </c>
      <c r="Q100" s="997">
        <v>0.41</v>
      </c>
      <c r="R100" s="997">
        <v>21.9</v>
      </c>
      <c r="S100" s="998" t="s">
        <v>50</v>
      </c>
      <c r="T100" s="1000" t="s">
        <v>50</v>
      </c>
      <c r="U100" s="998" t="s">
        <v>50</v>
      </c>
      <c r="V100" s="1017" t="s">
        <v>10134</v>
      </c>
      <c r="W100" s="995" t="s">
        <v>32</v>
      </c>
    </row>
    <row r="101" spans="1:23" x14ac:dyDescent="0.25">
      <c r="A101" s="982" t="s">
        <v>9436</v>
      </c>
      <c r="B101" s="982" t="s">
        <v>24</v>
      </c>
      <c r="C101" s="982" t="s">
        <v>106</v>
      </c>
      <c r="D101" s="989">
        <v>38.536200000000001</v>
      </c>
      <c r="E101" s="989">
        <v>-121.58367</v>
      </c>
      <c r="F101" s="982" t="s">
        <v>9456</v>
      </c>
      <c r="G101" s="982" t="s">
        <v>90</v>
      </c>
      <c r="H101" s="982" t="s">
        <v>158</v>
      </c>
      <c r="I101" s="982" t="s">
        <v>9457</v>
      </c>
      <c r="J101" s="982" t="s">
        <v>28</v>
      </c>
      <c r="K101" s="982" t="s">
        <v>29</v>
      </c>
      <c r="L101" s="982" t="s">
        <v>30</v>
      </c>
      <c r="M101" s="982">
        <v>2</v>
      </c>
      <c r="N101" s="985">
        <v>10</v>
      </c>
      <c r="O101" s="987">
        <v>37.9</v>
      </c>
      <c r="P101" s="987">
        <v>1067.5</v>
      </c>
      <c r="Q101" s="987">
        <v>0.96499999999999997</v>
      </c>
      <c r="R101" s="987">
        <v>9.4450000000000003</v>
      </c>
      <c r="S101" s="982" t="s">
        <v>50</v>
      </c>
      <c r="T101" s="982" t="s">
        <v>50</v>
      </c>
      <c r="U101" s="982" t="s">
        <v>50</v>
      </c>
      <c r="V101" s="983" t="s">
        <v>9349</v>
      </c>
      <c r="W101" s="982" t="s">
        <v>32</v>
      </c>
    </row>
    <row r="102" spans="1:23" x14ac:dyDescent="0.25">
      <c r="A102" s="982" t="s">
        <v>9458</v>
      </c>
      <c r="B102" s="982" t="s">
        <v>9279</v>
      </c>
      <c r="C102" s="982" t="s">
        <v>95</v>
      </c>
      <c r="D102" s="989">
        <v>38.041609999999999</v>
      </c>
      <c r="E102" s="989">
        <v>-121.69874</v>
      </c>
      <c r="F102" s="982" t="s">
        <v>9459</v>
      </c>
      <c r="G102" s="982" t="s">
        <v>27</v>
      </c>
      <c r="H102" s="982" t="s">
        <v>9460</v>
      </c>
      <c r="I102" s="982" t="s">
        <v>9461</v>
      </c>
      <c r="J102" s="982" t="s">
        <v>28</v>
      </c>
      <c r="K102" s="982" t="s">
        <v>29</v>
      </c>
      <c r="L102" s="982" t="s">
        <v>30</v>
      </c>
      <c r="M102" s="982">
        <v>2</v>
      </c>
      <c r="N102" s="985">
        <v>10</v>
      </c>
      <c r="O102" s="987">
        <v>38.75</v>
      </c>
      <c r="P102" s="987">
        <v>712</v>
      </c>
      <c r="Q102" s="987">
        <v>1.05</v>
      </c>
      <c r="R102" s="987">
        <v>11.65</v>
      </c>
      <c r="S102" s="982" t="s">
        <v>50</v>
      </c>
      <c r="T102" s="982" t="s">
        <v>50</v>
      </c>
      <c r="U102" s="982" t="s">
        <v>50</v>
      </c>
      <c r="V102" s="983" t="s">
        <v>9349</v>
      </c>
      <c r="W102" s="982" t="s">
        <v>32</v>
      </c>
    </row>
    <row r="103" spans="1:23" x14ac:dyDescent="0.25">
      <c r="A103" s="982" t="s">
        <v>9458</v>
      </c>
      <c r="B103" s="982" t="s">
        <v>9279</v>
      </c>
      <c r="C103" s="982" t="s">
        <v>95</v>
      </c>
      <c r="D103" s="989">
        <v>38.017600000000002</v>
      </c>
      <c r="E103" s="989">
        <v>-121.79647</v>
      </c>
      <c r="F103" s="982" t="s">
        <v>9462</v>
      </c>
      <c r="G103" s="982" t="s">
        <v>27</v>
      </c>
      <c r="H103" s="982" t="s">
        <v>9460</v>
      </c>
      <c r="I103" s="982" t="s">
        <v>9463</v>
      </c>
      <c r="J103" s="982" t="s">
        <v>28</v>
      </c>
      <c r="K103" s="982" t="s">
        <v>29</v>
      </c>
      <c r="L103" s="982" t="s">
        <v>30</v>
      </c>
      <c r="M103" s="982">
        <v>2</v>
      </c>
      <c r="N103" s="985">
        <v>10</v>
      </c>
      <c r="O103" s="987">
        <v>36.75</v>
      </c>
      <c r="P103" s="987">
        <v>2586</v>
      </c>
      <c r="Q103" s="987">
        <v>0.67500000000000004</v>
      </c>
      <c r="R103" s="987">
        <v>20.05</v>
      </c>
      <c r="S103" s="982" t="s">
        <v>50</v>
      </c>
      <c r="T103" s="982" t="s">
        <v>50</v>
      </c>
      <c r="U103" s="982" t="s">
        <v>50</v>
      </c>
      <c r="V103" s="983"/>
      <c r="W103" s="982" t="s">
        <v>32</v>
      </c>
    </row>
    <row r="104" spans="1:23" x14ac:dyDescent="0.25">
      <c r="A104" s="982" t="s">
        <v>9458</v>
      </c>
      <c r="B104" s="982" t="s">
        <v>9279</v>
      </c>
      <c r="C104" s="982" t="s">
        <v>95</v>
      </c>
      <c r="D104" s="989">
        <v>38.032719999999998</v>
      </c>
      <c r="E104" s="989">
        <v>-121.73578999999999</v>
      </c>
      <c r="F104" s="982" t="s">
        <v>9464</v>
      </c>
      <c r="G104" s="982" t="s">
        <v>27</v>
      </c>
      <c r="H104" s="982" t="s">
        <v>9460</v>
      </c>
      <c r="I104" s="982" t="s">
        <v>9465</v>
      </c>
      <c r="J104" s="982" t="s">
        <v>28</v>
      </c>
      <c r="K104" s="982" t="s">
        <v>29</v>
      </c>
      <c r="L104" s="982" t="s">
        <v>30</v>
      </c>
      <c r="M104" s="982">
        <v>2</v>
      </c>
      <c r="N104" s="985">
        <v>10</v>
      </c>
      <c r="O104" s="987">
        <v>27.4</v>
      </c>
      <c r="P104" s="987">
        <v>1033</v>
      </c>
      <c r="Q104" s="987">
        <v>0.79500000000000004</v>
      </c>
      <c r="R104" s="987">
        <v>17.350000000000001</v>
      </c>
      <c r="S104" s="982" t="s">
        <v>50</v>
      </c>
      <c r="T104" s="982" t="s">
        <v>50</v>
      </c>
      <c r="U104" s="982" t="s">
        <v>50</v>
      </c>
      <c r="V104" s="983" t="s">
        <v>9349</v>
      </c>
      <c r="W104" s="982" t="s">
        <v>32</v>
      </c>
    </row>
    <row r="105" spans="1:23" x14ac:dyDescent="0.25">
      <c r="A105" s="982" t="s">
        <v>9458</v>
      </c>
      <c r="B105" s="982" t="s">
        <v>9279</v>
      </c>
      <c r="C105" s="982" t="s">
        <v>95</v>
      </c>
      <c r="D105" s="989">
        <v>38.061579999999999</v>
      </c>
      <c r="E105" s="989">
        <v>-121.68084</v>
      </c>
      <c r="F105" s="982" t="s">
        <v>9466</v>
      </c>
      <c r="G105" s="982" t="s">
        <v>46</v>
      </c>
      <c r="H105" s="982" t="s">
        <v>9445</v>
      </c>
      <c r="I105" s="982" t="s">
        <v>9467</v>
      </c>
      <c r="J105" s="982" t="s">
        <v>28</v>
      </c>
      <c r="K105" s="982" t="s">
        <v>29</v>
      </c>
      <c r="L105" s="982" t="s">
        <v>30</v>
      </c>
      <c r="M105" s="982">
        <v>2</v>
      </c>
      <c r="N105" s="985">
        <v>10</v>
      </c>
      <c r="O105" s="987">
        <v>12.4</v>
      </c>
      <c r="P105" s="987">
        <v>438.7</v>
      </c>
      <c r="Q105" s="987">
        <v>1.575</v>
      </c>
      <c r="R105" s="987">
        <v>8.32</v>
      </c>
      <c r="S105" s="982" t="s">
        <v>50</v>
      </c>
      <c r="T105" s="982" t="s">
        <v>50</v>
      </c>
      <c r="U105" s="982" t="s">
        <v>50</v>
      </c>
      <c r="V105" s="983" t="s">
        <v>9349</v>
      </c>
      <c r="W105" s="982" t="s">
        <v>32</v>
      </c>
    </row>
    <row r="106" spans="1:23" x14ac:dyDescent="0.25">
      <c r="A106" s="979" t="s">
        <v>9458</v>
      </c>
      <c r="B106" s="979" t="s">
        <v>9279</v>
      </c>
      <c r="C106" s="979" t="s">
        <v>95</v>
      </c>
      <c r="D106" s="988">
        <v>38.078360000000004</v>
      </c>
      <c r="E106" s="988">
        <v>-121.68111</v>
      </c>
      <c r="F106" s="979" t="s">
        <v>9468</v>
      </c>
      <c r="G106" s="979" t="s">
        <v>46</v>
      </c>
      <c r="H106" s="979" t="s">
        <v>9445</v>
      </c>
      <c r="I106" s="979" t="s">
        <v>9469</v>
      </c>
      <c r="J106" s="979" t="s">
        <v>28</v>
      </c>
      <c r="K106" s="979" t="s">
        <v>29</v>
      </c>
      <c r="L106" s="979" t="s">
        <v>30</v>
      </c>
      <c r="M106" s="979">
        <v>2</v>
      </c>
      <c r="N106" s="984">
        <v>10</v>
      </c>
      <c r="O106" s="986">
        <v>14.1</v>
      </c>
      <c r="P106" s="986">
        <v>366.25</v>
      </c>
      <c r="Q106" s="986">
        <v>1.585</v>
      </c>
      <c r="R106" s="986">
        <v>7.1349999999999998</v>
      </c>
      <c r="S106" s="980" t="s">
        <v>31</v>
      </c>
      <c r="T106" s="984">
        <v>1</v>
      </c>
      <c r="U106" s="984">
        <v>9.4</v>
      </c>
      <c r="V106" s="981" t="s">
        <v>9349</v>
      </c>
      <c r="W106" s="979" t="s">
        <v>32</v>
      </c>
    </row>
    <row r="107" spans="1:23" x14ac:dyDescent="0.25">
      <c r="A107" s="982" t="s">
        <v>9458</v>
      </c>
      <c r="B107" s="982" t="s">
        <v>9279</v>
      </c>
      <c r="C107" s="982" t="s">
        <v>106</v>
      </c>
      <c r="D107" s="989">
        <v>38.348759999999999</v>
      </c>
      <c r="E107" s="989">
        <v>-121.64063</v>
      </c>
      <c r="F107" s="982" t="s">
        <v>9470</v>
      </c>
      <c r="G107" s="982" t="s">
        <v>90</v>
      </c>
      <c r="H107" s="982" t="s">
        <v>108</v>
      </c>
      <c r="I107" s="982" t="s">
        <v>9471</v>
      </c>
      <c r="J107" s="982" t="s">
        <v>28</v>
      </c>
      <c r="K107" s="982" t="s">
        <v>29</v>
      </c>
      <c r="L107" s="982" t="s">
        <v>30</v>
      </c>
      <c r="M107" s="982">
        <v>2</v>
      </c>
      <c r="N107" s="985">
        <v>10</v>
      </c>
      <c r="O107" s="987">
        <v>34.75</v>
      </c>
      <c r="P107" s="987">
        <v>366.4</v>
      </c>
      <c r="Q107" s="987">
        <v>0.9</v>
      </c>
      <c r="R107" s="987">
        <v>8.2149999999999999</v>
      </c>
      <c r="S107" s="982" t="s">
        <v>50</v>
      </c>
      <c r="T107" s="982" t="s">
        <v>50</v>
      </c>
      <c r="U107" s="982" t="s">
        <v>50</v>
      </c>
      <c r="V107" s="983" t="s">
        <v>9349</v>
      </c>
      <c r="W107" s="982" t="s">
        <v>32</v>
      </c>
    </row>
    <row r="108" spans="1:23" x14ac:dyDescent="0.25">
      <c r="A108" s="982" t="s">
        <v>9458</v>
      </c>
      <c r="B108" s="982" t="s">
        <v>9279</v>
      </c>
      <c r="C108" s="982" t="s">
        <v>106</v>
      </c>
      <c r="D108" s="989">
        <v>38.204050000000002</v>
      </c>
      <c r="E108" s="989">
        <v>-121.65733</v>
      </c>
      <c r="F108" s="982" t="s">
        <v>9472</v>
      </c>
      <c r="G108" s="982" t="s">
        <v>90</v>
      </c>
      <c r="H108" s="982" t="s">
        <v>108</v>
      </c>
      <c r="I108" s="982" t="s">
        <v>9473</v>
      </c>
      <c r="J108" s="982" t="s">
        <v>28</v>
      </c>
      <c r="K108" s="982" t="s">
        <v>29</v>
      </c>
      <c r="L108" s="982" t="s">
        <v>30</v>
      </c>
      <c r="M108" s="982">
        <v>2</v>
      </c>
      <c r="N108" s="985">
        <v>10</v>
      </c>
      <c r="O108" s="987">
        <v>40.35</v>
      </c>
      <c r="P108" s="987">
        <v>183.3</v>
      </c>
      <c r="Q108" s="987">
        <v>1.8</v>
      </c>
      <c r="R108" s="987">
        <v>3.855</v>
      </c>
      <c r="S108" s="982" t="s">
        <v>50</v>
      </c>
      <c r="T108" s="982" t="s">
        <v>50</v>
      </c>
      <c r="U108" s="982" t="s">
        <v>50</v>
      </c>
      <c r="V108" s="983" t="s">
        <v>9349</v>
      </c>
      <c r="W108" s="982" t="s">
        <v>32</v>
      </c>
    </row>
    <row r="109" spans="1:23" x14ac:dyDescent="0.25">
      <c r="A109" s="982" t="s">
        <v>9458</v>
      </c>
      <c r="B109" s="982" t="s">
        <v>9279</v>
      </c>
      <c r="C109" s="982" t="s">
        <v>106</v>
      </c>
      <c r="D109" s="989">
        <v>38.197830000000003</v>
      </c>
      <c r="E109" s="989">
        <v>-121.65597</v>
      </c>
      <c r="F109" s="982" t="s">
        <v>9474</v>
      </c>
      <c r="G109" s="982" t="s">
        <v>90</v>
      </c>
      <c r="H109" s="982" t="s">
        <v>108</v>
      </c>
      <c r="I109" s="982" t="s">
        <v>9475</v>
      </c>
      <c r="J109" s="982" t="s">
        <v>28</v>
      </c>
      <c r="K109" s="982" t="s">
        <v>29</v>
      </c>
      <c r="L109" s="982" t="s">
        <v>30</v>
      </c>
      <c r="M109" s="982">
        <v>2</v>
      </c>
      <c r="N109" s="985">
        <v>10</v>
      </c>
      <c r="O109" s="987">
        <v>48.4</v>
      </c>
      <c r="P109" s="987">
        <v>185</v>
      </c>
      <c r="Q109" s="987">
        <v>1.8</v>
      </c>
      <c r="R109" s="987">
        <v>3.1749999999999998</v>
      </c>
      <c r="S109" s="982" t="s">
        <v>50</v>
      </c>
      <c r="T109" s="982" t="s">
        <v>50</v>
      </c>
      <c r="U109" s="982" t="s">
        <v>50</v>
      </c>
      <c r="V109" s="983" t="s">
        <v>9349</v>
      </c>
      <c r="W109" s="982" t="s">
        <v>32</v>
      </c>
    </row>
    <row r="110" spans="1:23" x14ac:dyDescent="0.25">
      <c r="A110" s="982" t="s">
        <v>9458</v>
      </c>
      <c r="B110" s="982" t="s">
        <v>9279</v>
      </c>
      <c r="C110" s="982" t="s">
        <v>106</v>
      </c>
      <c r="D110" s="989">
        <v>38.315959999999997</v>
      </c>
      <c r="E110" s="989">
        <v>-121.65128</v>
      </c>
      <c r="F110" s="982" t="s">
        <v>9476</v>
      </c>
      <c r="G110" s="982" t="s">
        <v>90</v>
      </c>
      <c r="H110" s="982" t="s">
        <v>108</v>
      </c>
      <c r="I110" s="982" t="s">
        <v>9477</v>
      </c>
      <c r="J110" s="982" t="s">
        <v>28</v>
      </c>
      <c r="K110" s="982" t="s">
        <v>29</v>
      </c>
      <c r="L110" s="982" t="s">
        <v>30</v>
      </c>
      <c r="M110" s="982">
        <v>2</v>
      </c>
      <c r="N110" s="985">
        <v>10</v>
      </c>
      <c r="O110" s="987">
        <v>29.2</v>
      </c>
      <c r="P110" s="987">
        <v>276.55</v>
      </c>
      <c r="Q110" s="987">
        <v>1.23</v>
      </c>
      <c r="R110" s="987">
        <v>7.0350000000000001</v>
      </c>
      <c r="S110" s="982" t="s">
        <v>50</v>
      </c>
      <c r="T110" s="982" t="s">
        <v>50</v>
      </c>
      <c r="U110" s="982" t="s">
        <v>50</v>
      </c>
      <c r="V110" s="983" t="s">
        <v>9349</v>
      </c>
      <c r="W110" s="982" t="s">
        <v>32</v>
      </c>
    </row>
    <row r="111" spans="1:23" x14ac:dyDescent="0.25">
      <c r="A111" s="982" t="s">
        <v>9458</v>
      </c>
      <c r="B111" s="982" t="s">
        <v>9279</v>
      </c>
      <c r="C111" s="982" t="s">
        <v>106</v>
      </c>
      <c r="D111" s="989">
        <v>38.275350000000003</v>
      </c>
      <c r="E111" s="989">
        <v>-121.66006</v>
      </c>
      <c r="F111" s="982" t="s">
        <v>9478</v>
      </c>
      <c r="G111" s="982" t="s">
        <v>90</v>
      </c>
      <c r="H111" s="982" t="s">
        <v>108</v>
      </c>
      <c r="I111" s="982" t="s">
        <v>9479</v>
      </c>
      <c r="J111" s="982" t="s">
        <v>28</v>
      </c>
      <c r="K111" s="982" t="s">
        <v>29</v>
      </c>
      <c r="L111" s="982" t="s">
        <v>30</v>
      </c>
      <c r="M111" s="982">
        <v>2</v>
      </c>
      <c r="N111" s="985">
        <v>10</v>
      </c>
      <c r="O111" s="987">
        <v>32.6</v>
      </c>
      <c r="P111" s="987">
        <v>205.4</v>
      </c>
      <c r="Q111" s="987">
        <v>1.8</v>
      </c>
      <c r="R111" s="987">
        <v>4.3899999999999997</v>
      </c>
      <c r="S111" s="982" t="s">
        <v>50</v>
      </c>
      <c r="T111" s="982" t="s">
        <v>50</v>
      </c>
      <c r="U111" s="982" t="s">
        <v>50</v>
      </c>
      <c r="V111" s="327" t="s">
        <v>9480</v>
      </c>
      <c r="W111" s="982" t="s">
        <v>32</v>
      </c>
    </row>
    <row r="112" spans="1:23" x14ac:dyDescent="0.25">
      <c r="A112" s="982" t="s">
        <v>9481</v>
      </c>
      <c r="B112" s="982" t="s">
        <v>9313</v>
      </c>
      <c r="C112" s="982" t="s">
        <v>845</v>
      </c>
      <c r="D112" s="989">
        <v>38.360430000000001</v>
      </c>
      <c r="E112" s="989">
        <v>-121.63897</v>
      </c>
      <c r="F112" s="982" t="s">
        <v>9482</v>
      </c>
      <c r="G112" s="982" t="s">
        <v>90</v>
      </c>
      <c r="H112" s="982" t="s">
        <v>9394</v>
      </c>
      <c r="I112" s="982" t="s">
        <v>9369</v>
      </c>
      <c r="J112" s="982" t="s">
        <v>28</v>
      </c>
      <c r="K112" s="982" t="s">
        <v>29</v>
      </c>
      <c r="L112" s="982" t="s">
        <v>30</v>
      </c>
      <c r="M112" s="982">
        <v>2</v>
      </c>
      <c r="N112" s="985">
        <v>10</v>
      </c>
      <c r="O112" s="987">
        <v>14.05</v>
      </c>
      <c r="P112" s="987">
        <v>536</v>
      </c>
      <c r="Q112" s="987">
        <v>0.47</v>
      </c>
      <c r="R112" s="987">
        <v>31.35</v>
      </c>
      <c r="S112" s="982" t="s">
        <v>50</v>
      </c>
      <c r="T112" s="982" t="s">
        <v>50</v>
      </c>
      <c r="U112" s="982" t="s">
        <v>50</v>
      </c>
      <c r="V112" s="983" t="s">
        <v>9349</v>
      </c>
      <c r="W112" s="982" t="s">
        <v>32</v>
      </c>
    </row>
    <row r="113" spans="1:23" x14ac:dyDescent="0.25">
      <c r="A113" s="1003" t="s">
        <v>9481</v>
      </c>
      <c r="B113" s="1003" t="s">
        <v>9313</v>
      </c>
      <c r="C113" s="1003" t="s">
        <v>845</v>
      </c>
      <c r="D113" s="1006">
        <v>38.307479999999998</v>
      </c>
      <c r="E113" s="1006">
        <v>-121.73312</v>
      </c>
      <c r="F113" s="1003" t="s">
        <v>9483</v>
      </c>
      <c r="G113" s="1003" t="s">
        <v>90</v>
      </c>
      <c r="H113" s="1003" t="s">
        <v>9394</v>
      </c>
      <c r="I113" s="1003" t="s">
        <v>9484</v>
      </c>
      <c r="J113" s="1003" t="s">
        <v>28</v>
      </c>
      <c r="K113" s="1003" t="s">
        <v>29</v>
      </c>
      <c r="L113" s="1003" t="s">
        <v>30</v>
      </c>
      <c r="M113" s="1003">
        <v>0</v>
      </c>
      <c r="N113" s="1003" t="s">
        <v>50</v>
      </c>
      <c r="O113" s="1005" t="s">
        <v>50</v>
      </c>
      <c r="P113" s="1005" t="s">
        <v>50</v>
      </c>
      <c r="Q113" s="1005" t="s">
        <v>50</v>
      </c>
      <c r="R113" s="1005" t="s">
        <v>50</v>
      </c>
      <c r="S113" s="1003" t="s">
        <v>50</v>
      </c>
      <c r="T113" s="1003" t="s">
        <v>50</v>
      </c>
      <c r="U113" s="1003" t="s">
        <v>50</v>
      </c>
      <c r="V113" s="1004" t="s">
        <v>1822</v>
      </c>
      <c r="W113" s="1003" t="s">
        <v>32</v>
      </c>
    </row>
    <row r="114" spans="1:23" x14ac:dyDescent="0.25">
      <c r="A114" s="1003" t="s">
        <v>9481</v>
      </c>
      <c r="B114" s="1003" t="s">
        <v>9313</v>
      </c>
      <c r="C114" s="1003" t="s">
        <v>845</v>
      </c>
      <c r="D114" s="1006">
        <v>38.26746</v>
      </c>
      <c r="E114" s="1006">
        <v>-121.69987999999999</v>
      </c>
      <c r="F114" s="1003" t="s">
        <v>9485</v>
      </c>
      <c r="G114" s="1003" t="s">
        <v>90</v>
      </c>
      <c r="H114" s="1003" t="s">
        <v>9394</v>
      </c>
      <c r="I114" s="1003" t="s">
        <v>9486</v>
      </c>
      <c r="J114" s="1003" t="s">
        <v>28</v>
      </c>
      <c r="K114" s="1003" t="s">
        <v>29</v>
      </c>
      <c r="L114" s="1003" t="s">
        <v>30</v>
      </c>
      <c r="M114" s="1003">
        <v>1</v>
      </c>
      <c r="N114" s="1003" t="s">
        <v>50</v>
      </c>
      <c r="O114" s="1005" t="s">
        <v>50</v>
      </c>
      <c r="P114" s="1005" t="s">
        <v>50</v>
      </c>
      <c r="Q114" s="1005" t="s">
        <v>50</v>
      </c>
      <c r="R114" s="1005" t="s">
        <v>50</v>
      </c>
      <c r="S114" s="1003" t="s">
        <v>50</v>
      </c>
      <c r="T114" s="1003" t="s">
        <v>50</v>
      </c>
      <c r="U114" s="1003" t="s">
        <v>50</v>
      </c>
      <c r="V114" s="1004" t="s">
        <v>1822</v>
      </c>
      <c r="W114" s="1003" t="s">
        <v>32</v>
      </c>
    </row>
    <row r="115" spans="1:23" x14ac:dyDescent="0.25">
      <c r="A115" s="982" t="s">
        <v>9481</v>
      </c>
      <c r="B115" s="982" t="s">
        <v>9313</v>
      </c>
      <c r="C115" s="982" t="s">
        <v>845</v>
      </c>
      <c r="D115" s="989">
        <v>38.233939999999997</v>
      </c>
      <c r="E115" s="989">
        <v>-121.67556</v>
      </c>
      <c r="F115" s="982" t="s">
        <v>9487</v>
      </c>
      <c r="G115" s="982" t="s">
        <v>90</v>
      </c>
      <c r="H115" s="982" t="s">
        <v>9394</v>
      </c>
      <c r="I115" s="982" t="s">
        <v>9488</v>
      </c>
      <c r="J115" s="982" t="s">
        <v>28</v>
      </c>
      <c r="K115" s="982" t="s">
        <v>29</v>
      </c>
      <c r="L115" s="982" t="s">
        <v>30</v>
      </c>
      <c r="M115" s="982">
        <v>2</v>
      </c>
      <c r="N115" s="985">
        <v>10</v>
      </c>
      <c r="O115" s="987">
        <v>33.9</v>
      </c>
      <c r="P115" s="987">
        <v>191.35</v>
      </c>
      <c r="Q115" s="987">
        <v>1.675</v>
      </c>
      <c r="R115" s="987">
        <v>6.6749999999999998</v>
      </c>
      <c r="S115" s="982" t="s">
        <v>50</v>
      </c>
      <c r="T115" s="982" t="s">
        <v>50</v>
      </c>
      <c r="U115" s="982" t="s">
        <v>50</v>
      </c>
      <c r="V115" s="983" t="s">
        <v>9349</v>
      </c>
      <c r="W115" s="982" t="s">
        <v>32</v>
      </c>
    </row>
    <row r="116" spans="1:23" x14ac:dyDescent="0.25">
      <c r="A116" s="982" t="s">
        <v>9481</v>
      </c>
      <c r="B116" s="982" t="s">
        <v>9313</v>
      </c>
      <c r="C116" s="982" t="s">
        <v>845</v>
      </c>
      <c r="D116" s="989">
        <v>38.250279999999997</v>
      </c>
      <c r="E116" s="989">
        <v>-121.71284</v>
      </c>
      <c r="F116" s="982" t="s">
        <v>9489</v>
      </c>
      <c r="G116" s="982" t="s">
        <v>90</v>
      </c>
      <c r="H116" s="982" t="s">
        <v>9394</v>
      </c>
      <c r="I116" s="982" t="s">
        <v>9490</v>
      </c>
      <c r="J116" s="982" t="s">
        <v>28</v>
      </c>
      <c r="K116" s="982" t="s">
        <v>29</v>
      </c>
      <c r="L116" s="982" t="s">
        <v>30</v>
      </c>
      <c r="M116" s="982">
        <v>2</v>
      </c>
      <c r="N116" s="985">
        <v>10</v>
      </c>
      <c r="O116" s="987">
        <v>17.05</v>
      </c>
      <c r="P116" s="987">
        <v>225.8</v>
      </c>
      <c r="Q116" s="987">
        <v>1.0049999999999999</v>
      </c>
      <c r="R116" s="987">
        <v>9.3149999999999995</v>
      </c>
      <c r="S116" s="982" t="s">
        <v>50</v>
      </c>
      <c r="T116" s="982" t="s">
        <v>50</v>
      </c>
      <c r="U116" s="982" t="s">
        <v>50</v>
      </c>
      <c r="V116" s="983"/>
      <c r="W116" s="982" t="s">
        <v>32</v>
      </c>
    </row>
    <row r="117" spans="1:23" x14ac:dyDescent="0.25">
      <c r="A117" s="982" t="s">
        <v>9481</v>
      </c>
      <c r="B117" s="982" t="s">
        <v>9313</v>
      </c>
      <c r="C117" s="982" t="s">
        <v>845</v>
      </c>
      <c r="D117" s="989">
        <v>38.247059999999998</v>
      </c>
      <c r="E117" s="989">
        <v>-121.69973</v>
      </c>
      <c r="F117" s="982" t="s">
        <v>9491</v>
      </c>
      <c r="G117" s="982" t="s">
        <v>90</v>
      </c>
      <c r="H117" s="982" t="s">
        <v>9394</v>
      </c>
      <c r="I117" s="982" t="s">
        <v>9492</v>
      </c>
      <c r="J117" s="982" t="s">
        <v>28</v>
      </c>
      <c r="K117" s="982" t="s">
        <v>29</v>
      </c>
      <c r="L117" s="982" t="s">
        <v>30</v>
      </c>
      <c r="M117" s="982">
        <v>3</v>
      </c>
      <c r="N117" s="985">
        <v>10</v>
      </c>
      <c r="O117" s="987">
        <v>17.066666666666698</v>
      </c>
      <c r="P117" s="987">
        <v>212.333333333333</v>
      </c>
      <c r="Q117" s="987">
        <v>1.6</v>
      </c>
      <c r="R117" s="987">
        <v>5.22</v>
      </c>
      <c r="S117" s="982" t="s">
        <v>50</v>
      </c>
      <c r="T117" s="982" t="s">
        <v>50</v>
      </c>
      <c r="U117" s="982" t="s">
        <v>50</v>
      </c>
      <c r="V117" s="983" t="s">
        <v>9508</v>
      </c>
      <c r="W117" s="982" t="s">
        <v>32</v>
      </c>
    </row>
    <row r="118" spans="1:23" x14ac:dyDescent="0.25">
      <c r="A118" s="982" t="s">
        <v>9481</v>
      </c>
      <c r="B118" s="982" t="s">
        <v>9313</v>
      </c>
      <c r="C118" s="982" t="s">
        <v>845</v>
      </c>
      <c r="D118" s="989">
        <v>38.256959999999999</v>
      </c>
      <c r="E118" s="989">
        <v>-121.67059</v>
      </c>
      <c r="F118" s="982" t="s">
        <v>9493</v>
      </c>
      <c r="G118" s="982" t="s">
        <v>90</v>
      </c>
      <c r="H118" s="982" t="s">
        <v>9394</v>
      </c>
      <c r="I118" s="982" t="s">
        <v>9494</v>
      </c>
      <c r="J118" s="982" t="s">
        <v>28</v>
      </c>
      <c r="K118" s="982" t="s">
        <v>29</v>
      </c>
      <c r="L118" s="982" t="s">
        <v>30</v>
      </c>
      <c r="M118" s="982">
        <v>2</v>
      </c>
      <c r="N118" s="985">
        <v>10</v>
      </c>
      <c r="O118" s="987">
        <v>27.1</v>
      </c>
      <c r="P118" s="987">
        <v>206.95</v>
      </c>
      <c r="Q118" s="987">
        <v>1.1499999999999999</v>
      </c>
      <c r="R118" s="987">
        <v>7.83</v>
      </c>
      <c r="S118" s="982" t="s">
        <v>50</v>
      </c>
      <c r="T118" s="982" t="s">
        <v>50</v>
      </c>
      <c r="U118" s="982" t="s">
        <v>50</v>
      </c>
      <c r="V118" s="983" t="s">
        <v>9349</v>
      </c>
      <c r="W118" s="982" t="s">
        <v>32</v>
      </c>
    </row>
    <row r="119" spans="1:23" x14ac:dyDescent="0.25">
      <c r="A119" s="982" t="s">
        <v>9481</v>
      </c>
      <c r="B119" s="982" t="s">
        <v>9313</v>
      </c>
      <c r="C119" s="982" t="s">
        <v>78</v>
      </c>
      <c r="D119" s="989">
        <v>38.030079999999998</v>
      </c>
      <c r="E119" s="989">
        <v>-121.83071</v>
      </c>
      <c r="F119" s="982" t="s">
        <v>9495</v>
      </c>
      <c r="G119" s="982" t="s">
        <v>27</v>
      </c>
      <c r="H119" s="982" t="s">
        <v>101</v>
      </c>
      <c r="I119" s="982" t="s">
        <v>9496</v>
      </c>
      <c r="J119" s="982" t="s">
        <v>28</v>
      </c>
      <c r="K119" s="982" t="s">
        <v>29</v>
      </c>
      <c r="L119" s="982" t="s">
        <v>30</v>
      </c>
      <c r="M119" s="982">
        <v>2</v>
      </c>
      <c r="N119" s="985">
        <v>10</v>
      </c>
      <c r="O119" s="987">
        <v>35.85</v>
      </c>
      <c r="P119" s="987">
        <v>1852</v>
      </c>
      <c r="Q119" s="987">
        <v>0.64500000000000002</v>
      </c>
      <c r="R119" s="987">
        <v>18.5</v>
      </c>
      <c r="S119" s="982" t="s">
        <v>50</v>
      </c>
      <c r="T119" s="982" t="s">
        <v>50</v>
      </c>
      <c r="U119" s="982" t="s">
        <v>50</v>
      </c>
      <c r="V119" s="983" t="s">
        <v>9349</v>
      </c>
      <c r="W119" s="982" t="s">
        <v>32</v>
      </c>
    </row>
    <row r="120" spans="1:23" x14ac:dyDescent="0.25">
      <c r="A120" s="982" t="s">
        <v>9481</v>
      </c>
      <c r="B120" s="982" t="s">
        <v>9313</v>
      </c>
      <c r="C120" s="982" t="s">
        <v>78</v>
      </c>
      <c r="D120" s="989">
        <v>38.054270000000002</v>
      </c>
      <c r="E120" s="989">
        <v>-121.84284</v>
      </c>
      <c r="F120" s="982" t="s">
        <v>9497</v>
      </c>
      <c r="G120" s="982" t="s">
        <v>27</v>
      </c>
      <c r="H120" s="982" t="s">
        <v>101</v>
      </c>
      <c r="I120" s="982" t="s">
        <v>9498</v>
      </c>
      <c r="J120" s="982" t="s">
        <v>28</v>
      </c>
      <c r="K120" s="982" t="s">
        <v>29</v>
      </c>
      <c r="L120" s="982" t="s">
        <v>30</v>
      </c>
      <c r="M120" s="982">
        <v>2</v>
      </c>
      <c r="N120" s="985">
        <v>10</v>
      </c>
      <c r="O120" s="987">
        <v>12.8</v>
      </c>
      <c r="P120" s="987">
        <v>5802.5</v>
      </c>
      <c r="Q120" s="987">
        <v>0.4</v>
      </c>
      <c r="R120" s="987">
        <v>34.1</v>
      </c>
      <c r="S120" s="982" t="s">
        <v>50</v>
      </c>
      <c r="T120" s="982" t="s">
        <v>50</v>
      </c>
      <c r="U120" s="982" t="s">
        <v>50</v>
      </c>
      <c r="V120" s="983" t="s">
        <v>9349</v>
      </c>
      <c r="W120" s="982" t="s">
        <v>32</v>
      </c>
    </row>
    <row r="121" spans="1:23" x14ac:dyDescent="0.25">
      <c r="A121" s="982" t="s">
        <v>9481</v>
      </c>
      <c r="B121" s="982" t="s">
        <v>9313</v>
      </c>
      <c r="C121" s="982" t="s">
        <v>78</v>
      </c>
      <c r="D121" s="989">
        <v>38.048229999999997</v>
      </c>
      <c r="E121" s="989">
        <v>-121.94123</v>
      </c>
      <c r="F121" s="982" t="s">
        <v>9499</v>
      </c>
      <c r="G121" s="982" t="s">
        <v>27</v>
      </c>
      <c r="H121" s="982" t="s">
        <v>9500</v>
      </c>
      <c r="I121" s="982" t="s">
        <v>9501</v>
      </c>
      <c r="J121" s="982" t="s">
        <v>28</v>
      </c>
      <c r="K121" s="982" t="s">
        <v>29</v>
      </c>
      <c r="L121" s="982" t="s">
        <v>30</v>
      </c>
      <c r="M121" s="982">
        <v>2</v>
      </c>
      <c r="N121" s="985">
        <v>10</v>
      </c>
      <c r="O121" s="987">
        <v>35.950000000000003</v>
      </c>
      <c r="P121" s="987">
        <v>10814.5</v>
      </c>
      <c r="Q121" s="987">
        <v>0.59499999999999997</v>
      </c>
      <c r="R121" s="987">
        <v>19.850000000000001</v>
      </c>
      <c r="S121" s="982" t="s">
        <v>50</v>
      </c>
      <c r="T121" s="982" t="s">
        <v>50</v>
      </c>
      <c r="U121" s="982" t="s">
        <v>50</v>
      </c>
      <c r="V121" s="983" t="s">
        <v>9349</v>
      </c>
      <c r="W121" s="982" t="s">
        <v>32</v>
      </c>
    </row>
    <row r="122" spans="1:23" x14ac:dyDescent="0.25">
      <c r="A122" s="1003" t="s">
        <v>9481</v>
      </c>
      <c r="B122" s="1003" t="s">
        <v>9313</v>
      </c>
      <c r="C122" s="1003" t="s">
        <v>78</v>
      </c>
      <c r="D122" s="1006">
        <v>38.071579999999997</v>
      </c>
      <c r="E122" s="1006">
        <v>-122.04814</v>
      </c>
      <c r="F122" s="1003" t="s">
        <v>9502</v>
      </c>
      <c r="G122" s="1003" t="s">
        <v>27</v>
      </c>
      <c r="H122" s="1003" t="s">
        <v>3841</v>
      </c>
      <c r="I122" s="1003" t="s">
        <v>9503</v>
      </c>
      <c r="J122" s="1003" t="s">
        <v>28</v>
      </c>
      <c r="K122" s="1003" t="s">
        <v>29</v>
      </c>
      <c r="L122" s="1003" t="s">
        <v>30</v>
      </c>
      <c r="M122" s="1003">
        <v>0</v>
      </c>
      <c r="N122" s="1003" t="s">
        <v>50</v>
      </c>
      <c r="O122" s="1005" t="s">
        <v>50</v>
      </c>
      <c r="P122" s="1005" t="s">
        <v>50</v>
      </c>
      <c r="Q122" s="1005" t="s">
        <v>50</v>
      </c>
      <c r="R122" s="1005" t="s">
        <v>50</v>
      </c>
      <c r="S122" s="1003" t="s">
        <v>50</v>
      </c>
      <c r="T122" s="1003" t="s">
        <v>50</v>
      </c>
      <c r="U122" s="1003" t="s">
        <v>50</v>
      </c>
      <c r="V122" s="1004" t="s">
        <v>1822</v>
      </c>
      <c r="W122" s="1003" t="s">
        <v>32</v>
      </c>
    </row>
    <row r="123" spans="1:23" x14ac:dyDescent="0.25">
      <c r="A123" s="982" t="s">
        <v>9481</v>
      </c>
      <c r="B123" s="982" t="s">
        <v>9313</v>
      </c>
      <c r="C123" s="982" t="s">
        <v>78</v>
      </c>
      <c r="D123" s="989">
        <v>38.042279999999998</v>
      </c>
      <c r="E123" s="989">
        <v>-122.11713</v>
      </c>
      <c r="F123" s="982" t="s">
        <v>9504</v>
      </c>
      <c r="G123" s="982" t="s">
        <v>80</v>
      </c>
      <c r="H123" s="982" t="s">
        <v>9390</v>
      </c>
      <c r="I123" s="982" t="s">
        <v>9505</v>
      </c>
      <c r="J123" s="982" t="s">
        <v>28</v>
      </c>
      <c r="K123" s="982" t="s">
        <v>29</v>
      </c>
      <c r="L123" s="982" t="s">
        <v>30</v>
      </c>
      <c r="M123" s="982">
        <v>2</v>
      </c>
      <c r="N123" s="985">
        <v>10</v>
      </c>
      <c r="O123" s="987">
        <v>38.049999999999997</v>
      </c>
      <c r="P123" s="987">
        <v>25399.5</v>
      </c>
      <c r="Q123" s="987">
        <v>1.155</v>
      </c>
      <c r="R123" s="987">
        <v>8.8800000000000008</v>
      </c>
      <c r="S123" s="982" t="s">
        <v>50</v>
      </c>
      <c r="T123" s="982" t="s">
        <v>50</v>
      </c>
      <c r="U123" s="982" t="s">
        <v>50</v>
      </c>
      <c r="V123" s="983" t="s">
        <v>9349</v>
      </c>
      <c r="W123" s="982" t="s">
        <v>32</v>
      </c>
    </row>
    <row r="124" spans="1:23" x14ac:dyDescent="0.25">
      <c r="A124" s="982" t="s">
        <v>9481</v>
      </c>
      <c r="B124" s="982" t="s">
        <v>9313</v>
      </c>
      <c r="C124" s="982" t="s">
        <v>78</v>
      </c>
      <c r="D124" s="989">
        <v>38.058869999999999</v>
      </c>
      <c r="E124" s="989">
        <v>-122.06744999999999</v>
      </c>
      <c r="F124" s="982" t="s">
        <v>9506</v>
      </c>
      <c r="G124" s="982" t="s">
        <v>80</v>
      </c>
      <c r="H124" s="982" t="s">
        <v>9390</v>
      </c>
      <c r="I124" s="982" t="s">
        <v>9507</v>
      </c>
      <c r="J124" s="982" t="s">
        <v>28</v>
      </c>
      <c r="K124" s="982" t="s">
        <v>29</v>
      </c>
      <c r="L124" s="982" t="s">
        <v>30</v>
      </c>
      <c r="M124" s="982">
        <v>2</v>
      </c>
      <c r="N124" s="985">
        <v>10</v>
      </c>
      <c r="O124" s="987">
        <v>16.25</v>
      </c>
      <c r="P124" s="987">
        <v>18283.5</v>
      </c>
      <c r="Q124" s="987">
        <v>0.77500000000000002</v>
      </c>
      <c r="R124" s="987">
        <v>15.25</v>
      </c>
      <c r="S124" s="982" t="s">
        <v>50</v>
      </c>
      <c r="T124" s="982" t="s">
        <v>50</v>
      </c>
      <c r="U124" s="982" t="s">
        <v>50</v>
      </c>
      <c r="V124" s="983" t="s">
        <v>9349</v>
      </c>
      <c r="W124" s="982" t="s">
        <v>32</v>
      </c>
    </row>
    <row r="125" spans="1:23" x14ac:dyDescent="0.25">
      <c r="A125" s="982" t="s">
        <v>9509</v>
      </c>
      <c r="B125" s="982" t="s">
        <v>940</v>
      </c>
      <c r="C125" s="982" t="s">
        <v>88</v>
      </c>
      <c r="D125" s="982">
        <v>38.072279999999999</v>
      </c>
      <c r="E125" s="982">
        <v>-121.76582000000001</v>
      </c>
      <c r="F125" s="982" t="s">
        <v>9510</v>
      </c>
      <c r="G125" s="982" t="s">
        <v>27</v>
      </c>
      <c r="H125" s="982" t="s">
        <v>9364</v>
      </c>
      <c r="I125" s="982" t="s">
        <v>9511</v>
      </c>
      <c r="J125" s="982" t="s">
        <v>28</v>
      </c>
      <c r="K125" s="982" t="s">
        <v>29</v>
      </c>
      <c r="L125" s="982" t="s">
        <v>30</v>
      </c>
      <c r="M125" s="982">
        <v>2</v>
      </c>
      <c r="N125" s="985">
        <v>10</v>
      </c>
      <c r="O125" s="987">
        <v>39.1</v>
      </c>
      <c r="P125" s="987">
        <v>453.8</v>
      </c>
      <c r="Q125" s="987">
        <v>0.85</v>
      </c>
      <c r="R125" s="987">
        <v>11.17</v>
      </c>
      <c r="S125" s="982" t="s">
        <v>50</v>
      </c>
      <c r="T125" s="982" t="s">
        <v>50</v>
      </c>
      <c r="U125" s="982" t="s">
        <v>50</v>
      </c>
      <c r="V125" s="983" t="s">
        <v>9349</v>
      </c>
      <c r="W125" s="982" t="s">
        <v>32</v>
      </c>
    </row>
    <row r="126" spans="1:23" x14ac:dyDescent="0.25">
      <c r="A126" s="982" t="s">
        <v>9509</v>
      </c>
      <c r="B126" s="982" t="s">
        <v>940</v>
      </c>
      <c r="C126" s="982" t="s">
        <v>88</v>
      </c>
      <c r="D126" s="989">
        <v>38.062399999999997</v>
      </c>
      <c r="E126" s="989">
        <v>-121.81126999999999</v>
      </c>
      <c r="F126" s="982" t="s">
        <v>9512</v>
      </c>
      <c r="G126" s="982" t="s">
        <v>27</v>
      </c>
      <c r="H126" s="982" t="s">
        <v>9364</v>
      </c>
      <c r="I126" s="982" t="s">
        <v>9513</v>
      </c>
      <c r="J126" s="982" t="s">
        <v>28</v>
      </c>
      <c r="K126" s="982" t="s">
        <v>29</v>
      </c>
      <c r="L126" s="982" t="s">
        <v>30</v>
      </c>
      <c r="M126" s="982">
        <v>2</v>
      </c>
      <c r="N126" s="985">
        <v>10</v>
      </c>
      <c r="O126" s="987">
        <v>33.1</v>
      </c>
      <c r="P126" s="987">
        <v>2004.5</v>
      </c>
      <c r="Q126" s="987">
        <v>0.33</v>
      </c>
      <c r="R126" s="987">
        <v>31.35</v>
      </c>
      <c r="S126" s="982" t="s">
        <v>50</v>
      </c>
      <c r="T126" s="982" t="s">
        <v>50</v>
      </c>
      <c r="U126" s="982" t="s">
        <v>50</v>
      </c>
      <c r="V126" s="983"/>
      <c r="W126" s="982" t="s">
        <v>32</v>
      </c>
    </row>
    <row r="127" spans="1:23" x14ac:dyDescent="0.25">
      <c r="A127" s="982" t="s">
        <v>9509</v>
      </c>
      <c r="B127" s="982" t="s">
        <v>940</v>
      </c>
      <c r="C127" s="982" t="s">
        <v>88</v>
      </c>
      <c r="D127" s="989">
        <v>38.1462</v>
      </c>
      <c r="E127" s="989">
        <v>-121.68858</v>
      </c>
      <c r="F127" s="982" t="s">
        <v>9514</v>
      </c>
      <c r="G127" s="982" t="s">
        <v>90</v>
      </c>
      <c r="H127" s="982" t="s">
        <v>9368</v>
      </c>
      <c r="I127" s="982" t="s">
        <v>9515</v>
      </c>
      <c r="J127" s="982" t="s">
        <v>28</v>
      </c>
      <c r="K127" s="982" t="s">
        <v>29</v>
      </c>
      <c r="L127" s="982" t="s">
        <v>30</v>
      </c>
      <c r="M127" s="982">
        <v>2</v>
      </c>
      <c r="N127" s="985">
        <v>10</v>
      </c>
      <c r="O127" s="987">
        <v>25.45</v>
      </c>
      <c r="P127" s="987">
        <v>185.9</v>
      </c>
      <c r="Q127" s="987">
        <v>1.24</v>
      </c>
      <c r="R127" s="987">
        <v>6.42</v>
      </c>
      <c r="S127" s="982" t="s">
        <v>50</v>
      </c>
      <c r="T127" s="982" t="s">
        <v>50</v>
      </c>
      <c r="U127" s="982" t="s">
        <v>50</v>
      </c>
      <c r="V127" s="983"/>
      <c r="W127" s="982" t="s">
        <v>32</v>
      </c>
    </row>
    <row r="128" spans="1:23" x14ac:dyDescent="0.25">
      <c r="A128" s="982" t="s">
        <v>9509</v>
      </c>
      <c r="B128" s="982" t="s">
        <v>940</v>
      </c>
      <c r="C128" s="982" t="s">
        <v>88</v>
      </c>
      <c r="D128" s="989">
        <v>38.132599999999996</v>
      </c>
      <c r="E128" s="989">
        <v>-121.69468999999999</v>
      </c>
      <c r="F128" s="982" t="s">
        <v>9516</v>
      </c>
      <c r="G128" s="982" t="s">
        <v>90</v>
      </c>
      <c r="H128" s="982" t="s">
        <v>9368</v>
      </c>
      <c r="I128" s="982" t="s">
        <v>9517</v>
      </c>
      <c r="J128" s="982" t="s">
        <v>28</v>
      </c>
      <c r="K128" s="982" t="s">
        <v>29</v>
      </c>
      <c r="L128" s="982" t="s">
        <v>30</v>
      </c>
      <c r="M128" s="982">
        <v>2</v>
      </c>
      <c r="N128" s="985">
        <v>10</v>
      </c>
      <c r="O128" s="987">
        <v>29.65</v>
      </c>
      <c r="P128" s="987">
        <v>186.7</v>
      </c>
      <c r="Q128" s="987">
        <v>1.37</v>
      </c>
      <c r="R128" s="987">
        <v>7.0750000000000002</v>
      </c>
      <c r="S128" s="982" t="s">
        <v>50</v>
      </c>
      <c r="T128" s="982" t="s">
        <v>50</v>
      </c>
      <c r="U128" s="982" t="s">
        <v>50</v>
      </c>
      <c r="V128" s="983" t="s">
        <v>9349</v>
      </c>
      <c r="W128" s="982" t="s">
        <v>32</v>
      </c>
    </row>
    <row r="129" spans="1:23" x14ac:dyDescent="0.25">
      <c r="A129" s="982" t="s">
        <v>9509</v>
      </c>
      <c r="B129" s="982" t="s">
        <v>940</v>
      </c>
      <c r="C129" s="982" t="s">
        <v>88</v>
      </c>
      <c r="D129" s="989">
        <v>38.090710000000001</v>
      </c>
      <c r="E129" s="989">
        <v>-121.70646000000001</v>
      </c>
      <c r="F129" s="982" t="s">
        <v>9518</v>
      </c>
      <c r="G129" s="982" t="s">
        <v>90</v>
      </c>
      <c r="H129" s="982" t="s">
        <v>9368</v>
      </c>
      <c r="I129" s="982" t="s">
        <v>9519</v>
      </c>
      <c r="J129" s="982" t="s">
        <v>28</v>
      </c>
      <c r="K129" s="982" t="s">
        <v>29</v>
      </c>
      <c r="L129" s="982" t="s">
        <v>30</v>
      </c>
      <c r="M129" s="982">
        <v>2</v>
      </c>
      <c r="N129" s="985">
        <v>10</v>
      </c>
      <c r="O129" s="987">
        <v>11.4</v>
      </c>
      <c r="P129" s="987">
        <v>433.05</v>
      </c>
      <c r="Q129" s="987">
        <v>0.94</v>
      </c>
      <c r="R129" s="987">
        <v>15</v>
      </c>
      <c r="S129" s="982" t="s">
        <v>50</v>
      </c>
      <c r="T129" s="982" t="s">
        <v>50</v>
      </c>
      <c r="U129" s="982" t="s">
        <v>50</v>
      </c>
      <c r="V129" s="983"/>
      <c r="W129" s="982" t="s">
        <v>32</v>
      </c>
    </row>
    <row r="130" spans="1:23" x14ac:dyDescent="0.25">
      <c r="A130" s="979" t="s">
        <v>9509</v>
      </c>
      <c r="B130" s="979" t="s">
        <v>940</v>
      </c>
      <c r="C130" s="979" t="s">
        <v>62</v>
      </c>
      <c r="D130" s="988">
        <v>38.102760000000004</v>
      </c>
      <c r="E130" s="988">
        <v>-122.05627</v>
      </c>
      <c r="F130" s="979" t="s">
        <v>9520</v>
      </c>
      <c r="G130" s="979" t="s">
        <v>27</v>
      </c>
      <c r="H130" s="979" t="s">
        <v>173</v>
      </c>
      <c r="I130" s="979" t="s">
        <v>9521</v>
      </c>
      <c r="J130" s="979" t="s">
        <v>28</v>
      </c>
      <c r="K130" s="979" t="s">
        <v>29</v>
      </c>
      <c r="L130" s="979" t="s">
        <v>30</v>
      </c>
      <c r="M130" s="979">
        <v>2</v>
      </c>
      <c r="N130" s="984">
        <v>10</v>
      </c>
      <c r="O130" s="986">
        <v>14.3</v>
      </c>
      <c r="P130" s="986">
        <v>13575.5</v>
      </c>
      <c r="Q130" s="986">
        <v>0.48</v>
      </c>
      <c r="R130" s="986">
        <v>20.25</v>
      </c>
      <c r="S130" s="980" t="s">
        <v>31</v>
      </c>
      <c r="T130" s="984">
        <v>1</v>
      </c>
      <c r="U130" s="984">
        <v>11.4</v>
      </c>
      <c r="V130" s="981" t="s">
        <v>9349</v>
      </c>
      <c r="W130" s="979" t="s">
        <v>32</v>
      </c>
    </row>
    <row r="131" spans="1:23" x14ac:dyDescent="0.25">
      <c r="A131" s="979" t="s">
        <v>9509</v>
      </c>
      <c r="B131" s="979" t="s">
        <v>940</v>
      </c>
      <c r="C131" s="979" t="s">
        <v>62</v>
      </c>
      <c r="D131" s="988">
        <v>38.108649999999997</v>
      </c>
      <c r="E131" s="988">
        <v>-121.89002000000001</v>
      </c>
      <c r="F131" s="979" t="s">
        <v>9522</v>
      </c>
      <c r="G131" s="979" t="s">
        <v>27</v>
      </c>
      <c r="H131" s="979" t="s">
        <v>9409</v>
      </c>
      <c r="I131" s="979" t="s">
        <v>9356</v>
      </c>
      <c r="J131" s="979" t="s">
        <v>28</v>
      </c>
      <c r="K131" s="979" t="s">
        <v>29</v>
      </c>
      <c r="L131" s="979" t="s">
        <v>30</v>
      </c>
      <c r="M131" s="979">
        <v>2</v>
      </c>
      <c r="N131" s="984">
        <v>10</v>
      </c>
      <c r="O131" s="986">
        <v>16.3</v>
      </c>
      <c r="P131" s="986">
        <v>2939</v>
      </c>
      <c r="Q131" s="986">
        <v>0.28499999999999998</v>
      </c>
      <c r="R131" s="986">
        <v>28.1</v>
      </c>
      <c r="S131" s="980" t="s">
        <v>31</v>
      </c>
      <c r="T131" s="984">
        <v>623</v>
      </c>
      <c r="U131" s="979" t="s">
        <v>9523</v>
      </c>
      <c r="V131" s="981"/>
      <c r="W131" s="979" t="s">
        <v>32</v>
      </c>
    </row>
    <row r="132" spans="1:23" s="999" customFormat="1" x14ac:dyDescent="0.25">
      <c r="A132" s="1007" t="s">
        <v>9509</v>
      </c>
      <c r="B132" s="1007" t="s">
        <v>940</v>
      </c>
      <c r="C132" s="1007" t="s">
        <v>62</v>
      </c>
      <c r="D132" s="1008">
        <v>38.12435</v>
      </c>
      <c r="E132" s="1008">
        <v>-122.05710999999999</v>
      </c>
      <c r="F132" s="1007" t="s">
        <v>9524</v>
      </c>
      <c r="G132" s="1007" t="s">
        <v>27</v>
      </c>
      <c r="H132" s="1007" t="s">
        <v>9409</v>
      </c>
      <c r="I132" s="1007" t="s">
        <v>9525</v>
      </c>
      <c r="J132" s="1007" t="s">
        <v>28</v>
      </c>
      <c r="K132" s="1007" t="s">
        <v>29</v>
      </c>
      <c r="L132" s="1007" t="s">
        <v>30</v>
      </c>
      <c r="M132" s="1007">
        <v>2</v>
      </c>
      <c r="N132" s="1009">
        <v>10</v>
      </c>
      <c r="O132" s="1010">
        <v>14.2</v>
      </c>
      <c r="P132" s="1010">
        <v>15442</v>
      </c>
      <c r="Q132" s="1010">
        <v>0.34499999999999997</v>
      </c>
      <c r="R132" s="1010">
        <v>38.5</v>
      </c>
      <c r="S132" s="1011" t="s">
        <v>702</v>
      </c>
      <c r="T132" s="1009">
        <v>1</v>
      </c>
      <c r="U132" s="1009">
        <v>85</v>
      </c>
      <c r="V132" s="1012" t="s">
        <v>9349</v>
      </c>
      <c r="W132" s="1007" t="s">
        <v>32</v>
      </c>
    </row>
    <row r="133" spans="1:23" x14ac:dyDescent="0.25">
      <c r="A133" s="979" t="s">
        <v>9509</v>
      </c>
      <c r="B133" s="979" t="s">
        <v>940</v>
      </c>
      <c r="C133" s="979" t="s">
        <v>62</v>
      </c>
      <c r="D133" s="988">
        <v>38.180750000000003</v>
      </c>
      <c r="E133" s="988">
        <v>-121.99439</v>
      </c>
      <c r="F133" s="979" t="s">
        <v>9526</v>
      </c>
      <c r="G133" s="979" t="s">
        <v>27</v>
      </c>
      <c r="H133" s="979" t="s">
        <v>9409</v>
      </c>
      <c r="I133" s="979" t="s">
        <v>9479</v>
      </c>
      <c r="J133" s="979" t="s">
        <v>28</v>
      </c>
      <c r="K133" s="979" t="s">
        <v>29</v>
      </c>
      <c r="L133" s="979" t="s">
        <v>30</v>
      </c>
      <c r="M133" s="979">
        <v>2</v>
      </c>
      <c r="N133" s="984">
        <v>10</v>
      </c>
      <c r="O133" s="986">
        <v>24.2</v>
      </c>
      <c r="P133" s="986">
        <v>4363</v>
      </c>
      <c r="Q133" s="986">
        <v>0.27500000000000002</v>
      </c>
      <c r="R133" s="986">
        <v>60.85</v>
      </c>
      <c r="S133" s="980" t="s">
        <v>31</v>
      </c>
      <c r="T133" s="984">
        <v>198</v>
      </c>
      <c r="U133" s="979" t="s">
        <v>9527</v>
      </c>
      <c r="V133" s="981" t="s">
        <v>9349</v>
      </c>
      <c r="W133" s="979" t="s">
        <v>32</v>
      </c>
    </row>
    <row r="134" spans="1:23" s="854" customFormat="1" x14ac:dyDescent="0.25">
      <c r="A134" s="1019" t="s">
        <v>9509</v>
      </c>
      <c r="B134" s="1019" t="s">
        <v>940</v>
      </c>
      <c r="C134" s="1019" t="s">
        <v>62</v>
      </c>
      <c r="D134" s="1020">
        <v>38.141159999999999</v>
      </c>
      <c r="E134" s="1020">
        <v>-122.06072</v>
      </c>
      <c r="F134" s="1019" t="s">
        <v>9528</v>
      </c>
      <c r="G134" s="1019" t="s">
        <v>27</v>
      </c>
      <c r="H134" s="1019" t="s">
        <v>9409</v>
      </c>
      <c r="I134" s="1019" t="s">
        <v>9529</v>
      </c>
      <c r="J134" s="1019" t="s">
        <v>28</v>
      </c>
      <c r="K134" s="1019" t="s">
        <v>29</v>
      </c>
      <c r="L134" s="1019" t="s">
        <v>30</v>
      </c>
      <c r="M134" s="1019">
        <v>2</v>
      </c>
      <c r="N134" s="1021">
        <v>10</v>
      </c>
      <c r="O134" s="1022">
        <v>28</v>
      </c>
      <c r="P134" s="1022">
        <v>10846</v>
      </c>
      <c r="Q134" s="1022">
        <v>0.32500000000000001</v>
      </c>
      <c r="R134" s="1022">
        <v>62.85</v>
      </c>
      <c r="S134" s="1023" t="s">
        <v>31</v>
      </c>
      <c r="T134" s="1021">
        <v>7</v>
      </c>
      <c r="U134" s="1019" t="s">
        <v>8575</v>
      </c>
      <c r="V134" s="1024" t="s">
        <v>9349</v>
      </c>
      <c r="W134" s="1019" t="s">
        <v>32</v>
      </c>
    </row>
    <row r="135" spans="1:23" x14ac:dyDescent="0.25">
      <c r="A135" s="949" t="s">
        <v>9530</v>
      </c>
      <c r="B135" s="949" t="s">
        <v>24</v>
      </c>
      <c r="C135" s="949" t="s">
        <v>106</v>
      </c>
      <c r="D135" s="949">
        <v>38.240180000000002</v>
      </c>
      <c r="E135" s="949">
        <v>-121.67063</v>
      </c>
      <c r="F135" s="949" t="s">
        <v>9531</v>
      </c>
      <c r="G135" s="949" t="s">
        <v>90</v>
      </c>
      <c r="H135" s="949" t="s">
        <v>108</v>
      </c>
      <c r="I135" s="949" t="s">
        <v>9532</v>
      </c>
      <c r="J135" s="949" t="s">
        <v>28</v>
      </c>
      <c r="K135" s="949" t="s">
        <v>29</v>
      </c>
      <c r="L135" s="949" t="s">
        <v>30</v>
      </c>
      <c r="M135" s="949">
        <v>2</v>
      </c>
      <c r="N135" s="956">
        <v>10</v>
      </c>
      <c r="O135" s="956">
        <v>22</v>
      </c>
      <c r="P135" s="956">
        <v>198.2</v>
      </c>
      <c r="Q135" s="956">
        <v>1.34</v>
      </c>
      <c r="R135" s="949" t="s">
        <v>50</v>
      </c>
      <c r="S135" s="949" t="s">
        <v>50</v>
      </c>
      <c r="T135" s="949" t="s">
        <v>50</v>
      </c>
      <c r="U135" s="949" t="s">
        <v>50</v>
      </c>
      <c r="V135" s="970" t="s">
        <v>766</v>
      </c>
      <c r="W135" s="949" t="s">
        <v>32</v>
      </c>
    </row>
    <row r="136" spans="1:23" s="999" customFormat="1" x14ac:dyDescent="0.25">
      <c r="A136" s="998" t="s">
        <v>9530</v>
      </c>
      <c r="B136" s="998" t="s">
        <v>24</v>
      </c>
      <c r="C136" s="998" t="s">
        <v>106</v>
      </c>
      <c r="D136" s="998">
        <v>38.486849999999997</v>
      </c>
      <c r="E136" s="998">
        <v>-121.58337</v>
      </c>
      <c r="F136" s="998" t="s">
        <v>9533</v>
      </c>
      <c r="G136" s="998" t="s">
        <v>90</v>
      </c>
      <c r="H136" s="998" t="s">
        <v>158</v>
      </c>
      <c r="I136" s="998" t="s">
        <v>9534</v>
      </c>
      <c r="J136" s="998" t="s">
        <v>28</v>
      </c>
      <c r="K136" s="998" t="s">
        <v>29</v>
      </c>
      <c r="L136" s="949" t="s">
        <v>30</v>
      </c>
      <c r="M136" s="998">
        <v>2</v>
      </c>
      <c r="N136" s="1000">
        <v>10</v>
      </c>
      <c r="O136" s="1000">
        <v>35.049999999999997</v>
      </c>
      <c r="P136" s="1000">
        <v>974.5</v>
      </c>
      <c r="Q136" s="1000">
        <v>0.42499999999999999</v>
      </c>
      <c r="R136" s="998" t="s">
        <v>50</v>
      </c>
      <c r="S136" s="998" t="s">
        <v>50</v>
      </c>
      <c r="T136" s="1000" t="s">
        <v>50</v>
      </c>
      <c r="U136" s="998" t="s">
        <v>50</v>
      </c>
      <c r="V136" s="1017" t="s">
        <v>10136</v>
      </c>
      <c r="W136" s="998" t="s">
        <v>32</v>
      </c>
    </row>
    <row r="137" spans="1:23" s="999" customFormat="1" x14ac:dyDescent="0.25">
      <c r="A137" s="998" t="s">
        <v>9530</v>
      </c>
      <c r="B137" s="998" t="s">
        <v>24</v>
      </c>
      <c r="C137" s="998" t="s">
        <v>106</v>
      </c>
      <c r="D137" s="998">
        <v>38.561129999999999</v>
      </c>
      <c r="E137" s="998">
        <v>-121.54049999999999</v>
      </c>
      <c r="F137" s="998" t="s">
        <v>9535</v>
      </c>
      <c r="G137" s="998" t="s">
        <v>90</v>
      </c>
      <c r="H137" s="998" t="s">
        <v>158</v>
      </c>
      <c r="I137" s="998" t="s">
        <v>9536</v>
      </c>
      <c r="J137" s="998" t="s">
        <v>28</v>
      </c>
      <c r="K137" s="998" t="s">
        <v>29</v>
      </c>
      <c r="L137" s="949" t="s">
        <v>30</v>
      </c>
      <c r="M137" s="998">
        <v>2</v>
      </c>
      <c r="N137" s="1000">
        <v>10</v>
      </c>
      <c r="O137" s="1000">
        <v>31.05</v>
      </c>
      <c r="P137" s="1000">
        <v>1238</v>
      </c>
      <c r="Q137" s="1000">
        <v>9.9</v>
      </c>
      <c r="R137" s="998" t="s">
        <v>50</v>
      </c>
      <c r="S137" s="998" t="s">
        <v>50</v>
      </c>
      <c r="T137" s="1000" t="s">
        <v>50</v>
      </c>
      <c r="U137" s="998" t="s">
        <v>50</v>
      </c>
      <c r="V137" s="1017" t="s">
        <v>10137</v>
      </c>
      <c r="W137" s="998" t="s">
        <v>32</v>
      </c>
    </row>
    <row r="138" spans="1:23" s="999" customFormat="1" x14ac:dyDescent="0.25">
      <c r="A138" s="998" t="s">
        <v>9530</v>
      </c>
      <c r="B138" s="998" t="s">
        <v>24</v>
      </c>
      <c r="C138" s="998" t="s">
        <v>106</v>
      </c>
      <c r="D138" s="998">
        <v>38.475580000000001</v>
      </c>
      <c r="E138" s="998">
        <v>-121.58335</v>
      </c>
      <c r="F138" s="998" t="s">
        <v>9537</v>
      </c>
      <c r="G138" s="998" t="s">
        <v>90</v>
      </c>
      <c r="H138" s="998" t="s">
        <v>158</v>
      </c>
      <c r="I138" s="998" t="s">
        <v>9538</v>
      </c>
      <c r="J138" s="998" t="s">
        <v>28</v>
      </c>
      <c r="K138" s="998" t="s">
        <v>29</v>
      </c>
      <c r="L138" s="949" t="s">
        <v>30</v>
      </c>
      <c r="M138" s="998">
        <v>2</v>
      </c>
      <c r="N138" s="1000">
        <v>10</v>
      </c>
      <c r="O138" s="1000">
        <v>32.85</v>
      </c>
      <c r="P138" s="1000">
        <v>487.95</v>
      </c>
      <c r="Q138" s="1000">
        <v>19.437474999999999</v>
      </c>
      <c r="R138" s="1000">
        <v>0.4</v>
      </c>
      <c r="S138" s="998" t="s">
        <v>50</v>
      </c>
      <c r="T138" s="1000" t="s">
        <v>50</v>
      </c>
      <c r="U138" s="998" t="s">
        <v>50</v>
      </c>
      <c r="V138" s="1017" t="s">
        <v>10138</v>
      </c>
      <c r="W138" s="998" t="s">
        <v>32</v>
      </c>
    </row>
    <row r="139" spans="1:23" x14ac:dyDescent="0.25">
      <c r="A139" s="971" t="s">
        <v>9530</v>
      </c>
      <c r="B139" s="971" t="s">
        <v>24</v>
      </c>
      <c r="C139" s="971" t="s">
        <v>106</v>
      </c>
      <c r="D139" s="971">
        <v>38.537170000000003</v>
      </c>
      <c r="E139" s="971">
        <v>-121.58383000000001</v>
      </c>
      <c r="F139" s="971" t="s">
        <v>9539</v>
      </c>
      <c r="G139" s="971" t="s">
        <v>90</v>
      </c>
      <c r="H139" s="971" t="s">
        <v>158</v>
      </c>
      <c r="I139" s="971" t="s">
        <v>9540</v>
      </c>
      <c r="J139" s="971" t="s">
        <v>28</v>
      </c>
      <c r="K139" s="971" t="s">
        <v>29</v>
      </c>
      <c r="L139" s="971" t="s">
        <v>30</v>
      </c>
      <c r="M139" s="971">
        <v>2</v>
      </c>
      <c r="N139" s="972">
        <v>10</v>
      </c>
      <c r="O139" s="972">
        <v>33.549999999999997</v>
      </c>
      <c r="P139" s="972">
        <v>1130</v>
      </c>
      <c r="Q139" s="972">
        <v>0.82499999999999996</v>
      </c>
      <c r="R139" s="971" t="s">
        <v>50</v>
      </c>
      <c r="S139" s="973" t="s">
        <v>31</v>
      </c>
      <c r="T139" s="972">
        <v>1</v>
      </c>
      <c r="U139" s="972">
        <v>9.4</v>
      </c>
      <c r="V139" s="974" t="s">
        <v>766</v>
      </c>
      <c r="W139" s="971" t="s">
        <v>32</v>
      </c>
    </row>
    <row r="140" spans="1:23" x14ac:dyDescent="0.25">
      <c r="A140" s="971" t="s">
        <v>9530</v>
      </c>
      <c r="B140" s="971" t="s">
        <v>24</v>
      </c>
      <c r="C140" s="971" t="s">
        <v>62</v>
      </c>
      <c r="D140" s="971">
        <v>38.107410000000002</v>
      </c>
      <c r="E140" s="971">
        <v>-122.05804999999999</v>
      </c>
      <c r="F140" s="971" t="s">
        <v>9541</v>
      </c>
      <c r="G140" s="971" t="s">
        <v>27</v>
      </c>
      <c r="H140" s="971" t="s">
        <v>173</v>
      </c>
      <c r="I140" s="971" t="s">
        <v>9463</v>
      </c>
      <c r="J140" s="971" t="s">
        <v>28</v>
      </c>
      <c r="K140" s="971" t="s">
        <v>29</v>
      </c>
      <c r="L140" s="971" t="s">
        <v>30</v>
      </c>
      <c r="M140" s="971">
        <v>2</v>
      </c>
      <c r="N140" s="972">
        <v>10</v>
      </c>
      <c r="O140" s="972">
        <v>9.0500000000000007</v>
      </c>
      <c r="P140" s="972">
        <v>11054</v>
      </c>
      <c r="Q140" s="972">
        <v>0.27500000000000002</v>
      </c>
      <c r="R140" s="972">
        <v>40.549999999999997</v>
      </c>
      <c r="S140" s="973" t="s">
        <v>31</v>
      </c>
      <c r="T140" s="972">
        <v>6</v>
      </c>
      <c r="U140" s="971" t="s">
        <v>9542</v>
      </c>
      <c r="V140" s="974" t="s">
        <v>9349</v>
      </c>
      <c r="W140" s="971" t="s">
        <v>32</v>
      </c>
    </row>
    <row r="141" spans="1:23" x14ac:dyDescent="0.25">
      <c r="A141" s="971" t="s">
        <v>9530</v>
      </c>
      <c r="B141" s="971" t="s">
        <v>24</v>
      </c>
      <c r="C141" s="971" t="s">
        <v>62</v>
      </c>
      <c r="D141" s="971">
        <v>38.12321</v>
      </c>
      <c r="E141" s="971">
        <v>-121.91444</v>
      </c>
      <c r="F141" s="971" t="s">
        <v>9543</v>
      </c>
      <c r="G141" s="971" t="s">
        <v>27</v>
      </c>
      <c r="H141" s="971" t="s">
        <v>9409</v>
      </c>
      <c r="I141" s="971" t="s">
        <v>9443</v>
      </c>
      <c r="J141" s="971" t="s">
        <v>28</v>
      </c>
      <c r="K141" s="971" t="s">
        <v>29</v>
      </c>
      <c r="L141" s="971" t="s">
        <v>30</v>
      </c>
      <c r="M141" s="971">
        <v>2</v>
      </c>
      <c r="N141" s="972">
        <v>10</v>
      </c>
      <c r="O141" s="972">
        <v>23.35</v>
      </c>
      <c r="P141" s="972">
        <v>3806</v>
      </c>
      <c r="Q141" s="972">
        <v>0.24</v>
      </c>
      <c r="R141" s="972">
        <v>60.9</v>
      </c>
      <c r="S141" s="973" t="s">
        <v>31</v>
      </c>
      <c r="T141" s="972">
        <v>29</v>
      </c>
      <c r="U141" s="971" t="s">
        <v>9544</v>
      </c>
      <c r="V141" s="974" t="s">
        <v>9349</v>
      </c>
      <c r="W141" s="971" t="s">
        <v>32</v>
      </c>
    </row>
    <row r="142" spans="1:23" x14ac:dyDescent="0.25">
      <c r="A142" s="971" t="s">
        <v>9530</v>
      </c>
      <c r="B142" s="971" t="s">
        <v>24</v>
      </c>
      <c r="C142" s="971" t="s">
        <v>62</v>
      </c>
      <c r="D142" s="971">
        <v>38.186579999999999</v>
      </c>
      <c r="E142" s="971">
        <v>-121.98033</v>
      </c>
      <c r="F142" s="971" t="s">
        <v>9545</v>
      </c>
      <c r="G142" s="971" t="s">
        <v>27</v>
      </c>
      <c r="H142" s="971" t="s">
        <v>9409</v>
      </c>
      <c r="I142" s="971" t="s">
        <v>9546</v>
      </c>
      <c r="J142" s="971" t="s">
        <v>28</v>
      </c>
      <c r="K142" s="971" t="s">
        <v>29</v>
      </c>
      <c r="L142" s="971" t="s">
        <v>30</v>
      </c>
      <c r="M142" s="971">
        <v>2</v>
      </c>
      <c r="N142" s="972">
        <v>8.5</v>
      </c>
      <c r="O142" s="972">
        <v>23.7</v>
      </c>
      <c r="P142" s="972">
        <v>4278.5</v>
      </c>
      <c r="Q142" s="972">
        <v>0.255</v>
      </c>
      <c r="R142" s="972">
        <v>48.45</v>
      </c>
      <c r="S142" s="973" t="s">
        <v>31</v>
      </c>
      <c r="T142" s="972">
        <v>14</v>
      </c>
      <c r="U142" s="971" t="s">
        <v>9547</v>
      </c>
      <c r="V142" s="974" t="s">
        <v>9552</v>
      </c>
      <c r="W142" s="971" t="s">
        <v>32</v>
      </c>
    </row>
    <row r="143" spans="1:23" x14ac:dyDescent="0.25">
      <c r="A143" s="971" t="s">
        <v>9530</v>
      </c>
      <c r="B143" s="971" t="s">
        <v>24</v>
      </c>
      <c r="C143" s="971" t="s">
        <v>62</v>
      </c>
      <c r="D143" s="971">
        <v>38.147489999999998</v>
      </c>
      <c r="E143" s="971">
        <v>-122.05786999999999</v>
      </c>
      <c r="F143" s="971" t="s">
        <v>9548</v>
      </c>
      <c r="G143" s="971" t="s">
        <v>27</v>
      </c>
      <c r="H143" s="971" t="s">
        <v>9409</v>
      </c>
      <c r="I143" s="971" t="s">
        <v>9505</v>
      </c>
      <c r="J143" s="971" t="s">
        <v>28</v>
      </c>
      <c r="K143" s="971" t="s">
        <v>29</v>
      </c>
      <c r="L143" s="971" t="s">
        <v>30</v>
      </c>
      <c r="M143" s="971">
        <v>2</v>
      </c>
      <c r="N143" s="972">
        <v>10</v>
      </c>
      <c r="O143" s="972">
        <v>28.35</v>
      </c>
      <c r="P143" s="972">
        <v>4268.5</v>
      </c>
      <c r="Q143" s="972">
        <v>0.22</v>
      </c>
      <c r="R143" s="972">
        <v>65.55</v>
      </c>
      <c r="S143" s="973" t="s">
        <v>31</v>
      </c>
      <c r="T143" s="972">
        <v>101</v>
      </c>
      <c r="U143" s="971" t="s">
        <v>9549</v>
      </c>
      <c r="V143" s="974" t="s">
        <v>9349</v>
      </c>
      <c r="W143" s="971" t="s">
        <v>32</v>
      </c>
    </row>
    <row r="144" spans="1:23" s="1018" customFormat="1" x14ac:dyDescent="0.25">
      <c r="A144" s="876">
        <v>44312</v>
      </c>
      <c r="B144" s="1013" t="s">
        <v>24</v>
      </c>
      <c r="C144" s="1013" t="s">
        <v>62</v>
      </c>
      <c r="D144" s="1013">
        <v>38.128689999999999</v>
      </c>
      <c r="E144" s="1013">
        <v>-122.06049</v>
      </c>
      <c r="F144" s="1013" t="s">
        <v>9550</v>
      </c>
      <c r="G144" s="1013" t="s">
        <v>27</v>
      </c>
      <c r="H144" s="1013" t="s">
        <v>62</v>
      </c>
      <c r="I144" s="1014">
        <v>0.49305555555555558</v>
      </c>
      <c r="J144" s="1013" t="s">
        <v>28</v>
      </c>
      <c r="K144" s="1013" t="s">
        <v>29</v>
      </c>
      <c r="L144" s="1013" t="s">
        <v>30</v>
      </c>
      <c r="M144" s="1013">
        <v>2</v>
      </c>
      <c r="N144" s="1015">
        <v>10</v>
      </c>
      <c r="O144" s="1015">
        <v>15</v>
      </c>
      <c r="P144" s="1013">
        <v>8444</v>
      </c>
      <c r="Q144" s="1013">
        <v>0.20499999999999999</v>
      </c>
      <c r="R144" s="1013">
        <v>86.55</v>
      </c>
      <c r="S144" s="1016" t="s">
        <v>31</v>
      </c>
      <c r="T144" s="1013">
        <v>67</v>
      </c>
      <c r="U144" s="1013" t="s">
        <v>9551</v>
      </c>
      <c r="V144" s="1015"/>
      <c r="W144" s="1015" t="s">
        <v>32</v>
      </c>
    </row>
    <row r="145" spans="1:23" s="999" customFormat="1" x14ac:dyDescent="0.25">
      <c r="A145" s="1025" t="s">
        <v>9553</v>
      </c>
      <c r="B145" s="1025" t="s">
        <v>9279</v>
      </c>
      <c r="C145" s="494" t="s">
        <v>106</v>
      </c>
      <c r="D145" s="1028">
        <v>38.432369999999999</v>
      </c>
      <c r="E145" s="1028">
        <v>-121.60120999999999</v>
      </c>
      <c r="F145" s="1025" t="s">
        <v>9554</v>
      </c>
      <c r="G145" s="1025" t="s">
        <v>90</v>
      </c>
      <c r="H145" s="1025" t="s">
        <v>108</v>
      </c>
      <c r="I145" s="1025" t="s">
        <v>9555</v>
      </c>
      <c r="J145" s="1025" t="s">
        <v>28</v>
      </c>
      <c r="K145" s="1025" t="s">
        <v>29</v>
      </c>
      <c r="L145" s="1025" t="s">
        <v>30</v>
      </c>
      <c r="M145" s="1025">
        <v>2</v>
      </c>
      <c r="N145" s="1027">
        <v>10</v>
      </c>
      <c r="O145" s="1033">
        <v>23.55</v>
      </c>
      <c r="P145" s="1033">
        <v>659</v>
      </c>
      <c r="Q145" s="1033">
        <v>0.24</v>
      </c>
      <c r="R145" s="1033">
        <v>36.200000000000003</v>
      </c>
      <c r="S145" s="1026" t="s">
        <v>323</v>
      </c>
      <c r="T145" s="496">
        <v>2</v>
      </c>
      <c r="U145" s="1025" t="s">
        <v>9556</v>
      </c>
      <c r="V145" s="455" t="s">
        <v>10131</v>
      </c>
      <c r="W145" s="1025" t="s">
        <v>32</v>
      </c>
    </row>
    <row r="146" spans="1:23" s="999" customFormat="1" x14ac:dyDescent="0.25">
      <c r="A146" s="995" t="s">
        <v>9553</v>
      </c>
      <c r="B146" s="995" t="s">
        <v>9279</v>
      </c>
      <c r="C146" s="995" t="s">
        <v>106</v>
      </c>
      <c r="D146" s="1001">
        <v>38.344859999999997</v>
      </c>
      <c r="E146" s="1001">
        <v>-121.64196</v>
      </c>
      <c r="F146" s="995" t="s">
        <v>9557</v>
      </c>
      <c r="G146" s="995" t="s">
        <v>90</v>
      </c>
      <c r="H146" s="995" t="s">
        <v>158</v>
      </c>
      <c r="I146" s="995" t="s">
        <v>9558</v>
      </c>
      <c r="J146" s="995" t="s">
        <v>28</v>
      </c>
      <c r="K146" s="995" t="s">
        <v>29</v>
      </c>
      <c r="L146" s="995" t="s">
        <v>30</v>
      </c>
      <c r="M146" s="995">
        <v>2</v>
      </c>
      <c r="N146" s="996">
        <v>10</v>
      </c>
      <c r="O146" s="997">
        <v>33.049999999999997</v>
      </c>
      <c r="P146" s="997">
        <v>389.85</v>
      </c>
      <c r="Q146" s="997">
        <v>0.36</v>
      </c>
      <c r="R146" s="997">
        <v>25</v>
      </c>
      <c r="S146" s="998" t="s">
        <v>50</v>
      </c>
      <c r="T146" s="996" t="s">
        <v>50</v>
      </c>
      <c r="U146" s="995" t="s">
        <v>50</v>
      </c>
      <c r="V146" s="1017" t="s">
        <v>10135</v>
      </c>
      <c r="W146" s="995" t="s">
        <v>32</v>
      </c>
    </row>
    <row r="147" spans="1:23" x14ac:dyDescent="0.25">
      <c r="A147" s="982" t="s">
        <v>9553</v>
      </c>
      <c r="B147" s="982" t="s">
        <v>9279</v>
      </c>
      <c r="C147" s="982" t="s">
        <v>106</v>
      </c>
      <c r="D147" s="989">
        <v>38.192320000000002</v>
      </c>
      <c r="E147" s="989">
        <v>-121.6566</v>
      </c>
      <c r="F147" s="982" t="s">
        <v>9559</v>
      </c>
      <c r="G147" s="982" t="s">
        <v>90</v>
      </c>
      <c r="H147" s="982" t="s">
        <v>108</v>
      </c>
      <c r="I147" s="982" t="s">
        <v>9501</v>
      </c>
      <c r="J147" s="982" t="s">
        <v>28</v>
      </c>
      <c r="K147" s="982" t="s">
        <v>29</v>
      </c>
      <c r="L147" s="982" t="s">
        <v>30</v>
      </c>
      <c r="M147" s="982">
        <v>2</v>
      </c>
      <c r="N147" s="985">
        <v>10</v>
      </c>
      <c r="O147" s="987">
        <v>48.95</v>
      </c>
      <c r="P147" s="987">
        <v>190.05</v>
      </c>
      <c r="Q147" s="987">
        <v>1.35</v>
      </c>
      <c r="R147" s="987">
        <v>7.8449999999999998</v>
      </c>
      <c r="S147" s="982" t="s">
        <v>50</v>
      </c>
      <c r="T147" s="982" t="s">
        <v>50</v>
      </c>
      <c r="U147" s="982" t="s">
        <v>50</v>
      </c>
      <c r="V147" s="983"/>
      <c r="W147" s="982" t="s">
        <v>32</v>
      </c>
    </row>
    <row r="148" spans="1:23" x14ac:dyDescent="0.25">
      <c r="A148" s="1029">
        <v>44313</v>
      </c>
      <c r="B148" s="982" t="s">
        <v>9279</v>
      </c>
      <c r="C148" s="982" t="s">
        <v>106</v>
      </c>
      <c r="D148" s="989">
        <v>38.278700000000001</v>
      </c>
      <c r="E148" s="989">
        <v>-121.65957</v>
      </c>
      <c r="F148" s="982" t="s">
        <v>9572</v>
      </c>
      <c r="G148" s="982" t="s">
        <v>90</v>
      </c>
      <c r="H148" s="982" t="s">
        <v>108</v>
      </c>
      <c r="I148" s="1030">
        <v>0.41597222222222219</v>
      </c>
      <c r="J148" s="982" t="s">
        <v>28</v>
      </c>
      <c r="K148" s="982" t="s">
        <v>29</v>
      </c>
      <c r="L148" s="982" t="s">
        <v>30</v>
      </c>
      <c r="M148" s="982">
        <v>2</v>
      </c>
      <c r="N148" s="985">
        <v>10</v>
      </c>
      <c r="O148" s="987">
        <v>35</v>
      </c>
      <c r="P148" s="987">
        <v>265.7</v>
      </c>
      <c r="Q148" s="987">
        <v>0.63</v>
      </c>
      <c r="R148" s="987">
        <v>16.55</v>
      </c>
      <c r="S148" s="982" t="s">
        <v>50</v>
      </c>
      <c r="T148" s="982" t="s">
        <v>50</v>
      </c>
      <c r="U148" s="982" t="s">
        <v>50</v>
      </c>
      <c r="V148" s="983"/>
      <c r="W148" s="982" t="s">
        <v>32</v>
      </c>
    </row>
    <row r="149" spans="1:23" x14ac:dyDescent="0.25">
      <c r="A149" s="1029">
        <v>44313</v>
      </c>
      <c r="B149" s="982" t="s">
        <v>9279</v>
      </c>
      <c r="C149" s="982" t="s">
        <v>106</v>
      </c>
      <c r="D149" s="989">
        <v>38.212519999999998</v>
      </c>
      <c r="E149" s="989">
        <v>-121.66637</v>
      </c>
      <c r="F149" s="982" t="s">
        <v>9573</v>
      </c>
      <c r="G149" s="982" t="s">
        <v>90</v>
      </c>
      <c r="H149" s="982" t="s">
        <v>108</v>
      </c>
      <c r="I149" s="1030">
        <v>0.44513888888888892</v>
      </c>
      <c r="J149" s="982" t="s">
        <v>28</v>
      </c>
      <c r="K149" s="982" t="s">
        <v>29</v>
      </c>
      <c r="L149" s="982" t="s">
        <v>30</v>
      </c>
      <c r="M149" s="982">
        <v>2</v>
      </c>
      <c r="N149" s="985">
        <v>10</v>
      </c>
      <c r="O149" s="987">
        <v>40.950000000000003</v>
      </c>
      <c r="P149" s="987">
        <v>192.15</v>
      </c>
      <c r="Q149" s="987">
        <v>1.25</v>
      </c>
      <c r="R149" s="987">
        <v>54.37</v>
      </c>
      <c r="S149" s="982" t="s">
        <v>50</v>
      </c>
      <c r="T149" s="982" t="s">
        <v>50</v>
      </c>
      <c r="U149" s="982" t="s">
        <v>50</v>
      </c>
      <c r="V149" s="983"/>
      <c r="W149" s="982" t="s">
        <v>32</v>
      </c>
    </row>
    <row r="150" spans="1:23" x14ac:dyDescent="0.25">
      <c r="A150" s="979" t="s">
        <v>9553</v>
      </c>
      <c r="B150" s="979" t="s">
        <v>9279</v>
      </c>
      <c r="C150" s="979" t="s">
        <v>78</v>
      </c>
      <c r="D150" s="988">
        <v>38.059399999999997</v>
      </c>
      <c r="E150" s="988">
        <v>-121.86929000000001</v>
      </c>
      <c r="F150" s="979" t="s">
        <v>9560</v>
      </c>
      <c r="G150" s="979" t="s">
        <v>27</v>
      </c>
      <c r="H150" s="979" t="s">
        <v>101</v>
      </c>
      <c r="I150" s="979" t="s">
        <v>9561</v>
      </c>
      <c r="J150" s="979" t="s">
        <v>28</v>
      </c>
      <c r="K150" s="979" t="s">
        <v>29</v>
      </c>
      <c r="L150" s="979" t="s">
        <v>30</v>
      </c>
      <c r="M150" s="979">
        <v>2</v>
      </c>
      <c r="N150" s="984">
        <v>10</v>
      </c>
      <c r="O150" s="986">
        <v>55.7</v>
      </c>
      <c r="P150" s="986">
        <v>6618.5</v>
      </c>
      <c r="Q150" s="986">
        <v>0.33</v>
      </c>
      <c r="R150" s="986">
        <v>32.200000000000003</v>
      </c>
      <c r="S150" s="980" t="s">
        <v>31</v>
      </c>
      <c r="T150" s="984">
        <v>1</v>
      </c>
      <c r="U150" s="984">
        <v>28.2</v>
      </c>
      <c r="V150" s="981" t="s">
        <v>9349</v>
      </c>
      <c r="W150" s="979" t="s">
        <v>32</v>
      </c>
    </row>
    <row r="151" spans="1:23" x14ac:dyDescent="0.25">
      <c r="A151" s="979" t="s">
        <v>9553</v>
      </c>
      <c r="B151" s="979" t="s">
        <v>9279</v>
      </c>
      <c r="C151" s="979" t="s">
        <v>78</v>
      </c>
      <c r="D151" s="988">
        <v>38.050429999999999</v>
      </c>
      <c r="E151" s="988">
        <v>121.97041</v>
      </c>
      <c r="F151" s="979" t="s">
        <v>9562</v>
      </c>
      <c r="G151" s="979" t="s">
        <v>27</v>
      </c>
      <c r="H151" s="979" t="s">
        <v>9500</v>
      </c>
      <c r="I151" s="979" t="s">
        <v>9540</v>
      </c>
      <c r="J151" s="979" t="s">
        <v>28</v>
      </c>
      <c r="K151" s="979" t="s">
        <v>29</v>
      </c>
      <c r="L151" s="979" t="s">
        <v>30</v>
      </c>
      <c r="M151" s="979">
        <v>2</v>
      </c>
      <c r="N151" s="984">
        <v>10</v>
      </c>
      <c r="O151" s="986">
        <v>11.85</v>
      </c>
      <c r="P151" s="986">
        <v>6839.5</v>
      </c>
      <c r="Q151" s="986">
        <v>0.27500000000000002</v>
      </c>
      <c r="R151" s="986">
        <v>53.25</v>
      </c>
      <c r="S151" s="980" t="s">
        <v>31</v>
      </c>
      <c r="T151" s="984">
        <v>1</v>
      </c>
      <c r="U151" s="984">
        <v>28</v>
      </c>
      <c r="V151" s="981" t="s">
        <v>9349</v>
      </c>
      <c r="W151" s="979" t="s">
        <v>32</v>
      </c>
    </row>
    <row r="152" spans="1:23" s="999" customFormat="1" x14ac:dyDescent="0.25">
      <c r="A152" s="1007" t="s">
        <v>9553</v>
      </c>
      <c r="B152" s="1007" t="s">
        <v>9279</v>
      </c>
      <c r="C152" s="1007" t="s">
        <v>78</v>
      </c>
      <c r="D152" s="1008">
        <v>38.060479999999998</v>
      </c>
      <c r="E152" s="1008">
        <v>-121.99656</v>
      </c>
      <c r="F152" s="1007" t="s">
        <v>9563</v>
      </c>
      <c r="G152" s="1007" t="s">
        <v>27</v>
      </c>
      <c r="H152" s="1007" t="s">
        <v>3841</v>
      </c>
      <c r="I152" s="1007" t="s">
        <v>9564</v>
      </c>
      <c r="J152" s="1007" t="s">
        <v>28</v>
      </c>
      <c r="K152" s="1007" t="s">
        <v>29</v>
      </c>
      <c r="L152" s="1007" t="s">
        <v>30</v>
      </c>
      <c r="M152" s="1007">
        <v>2</v>
      </c>
      <c r="N152" s="1009">
        <v>10</v>
      </c>
      <c r="O152" s="1010">
        <v>43.55</v>
      </c>
      <c r="P152" s="1010">
        <v>10566</v>
      </c>
      <c r="Q152" s="1010">
        <v>0.27500000000000002</v>
      </c>
      <c r="R152" s="1010">
        <v>63.25</v>
      </c>
      <c r="S152" s="1011" t="s">
        <v>3280</v>
      </c>
      <c r="T152" s="1009">
        <v>2</v>
      </c>
      <c r="U152" s="1007" t="s">
        <v>9565</v>
      </c>
      <c r="V152" s="1012" t="s">
        <v>9349</v>
      </c>
      <c r="W152" s="1007" t="s">
        <v>32</v>
      </c>
    </row>
    <row r="153" spans="1:23" x14ac:dyDescent="0.25">
      <c r="A153" s="979" t="s">
        <v>9553</v>
      </c>
      <c r="B153" s="979" t="s">
        <v>9279</v>
      </c>
      <c r="C153" s="979" t="s">
        <v>78</v>
      </c>
      <c r="D153" s="988">
        <v>38.099800000000002</v>
      </c>
      <c r="E153" s="988">
        <v>-122.03748</v>
      </c>
      <c r="F153" s="979" t="s">
        <v>9566</v>
      </c>
      <c r="G153" s="979" t="s">
        <v>27</v>
      </c>
      <c r="H153" s="979" t="s">
        <v>3841</v>
      </c>
      <c r="I153" s="979" t="s">
        <v>9567</v>
      </c>
      <c r="J153" s="979" t="s">
        <v>28</v>
      </c>
      <c r="K153" s="979" t="s">
        <v>29</v>
      </c>
      <c r="L153" s="979" t="s">
        <v>30</v>
      </c>
      <c r="M153" s="979">
        <v>2</v>
      </c>
      <c r="N153" s="984">
        <v>10</v>
      </c>
      <c r="O153" s="986">
        <v>18.95</v>
      </c>
      <c r="P153" s="986">
        <v>12409.5</v>
      </c>
      <c r="Q153" s="986">
        <v>0.17</v>
      </c>
      <c r="R153" s="986">
        <v>85.4</v>
      </c>
      <c r="S153" s="980" t="s">
        <v>31</v>
      </c>
      <c r="T153" s="984">
        <v>6</v>
      </c>
      <c r="U153" s="979" t="s">
        <v>9568</v>
      </c>
      <c r="V153" s="981" t="s">
        <v>9349</v>
      </c>
      <c r="W153" s="979" t="s">
        <v>32</v>
      </c>
    </row>
    <row r="154" spans="1:23" x14ac:dyDescent="0.25">
      <c r="A154" s="1007" t="s">
        <v>9553</v>
      </c>
      <c r="B154" s="1007" t="s">
        <v>9279</v>
      </c>
      <c r="C154" s="1007" t="s">
        <v>78</v>
      </c>
      <c r="D154" s="1007">
        <v>38.099800000000002</v>
      </c>
      <c r="E154" s="1007">
        <v>-122.03748</v>
      </c>
      <c r="F154" s="1007" t="s">
        <v>9566</v>
      </c>
      <c r="G154" s="1007" t="s">
        <v>27</v>
      </c>
      <c r="H154" s="1007" t="s">
        <v>3841</v>
      </c>
      <c r="I154" s="1007" t="s">
        <v>9567</v>
      </c>
      <c r="J154" s="1007" t="s">
        <v>28</v>
      </c>
      <c r="K154" s="1007" t="s">
        <v>29</v>
      </c>
      <c r="L154" s="1007" t="s">
        <v>30</v>
      </c>
      <c r="M154" s="1007">
        <v>2</v>
      </c>
      <c r="N154" s="1009">
        <v>10</v>
      </c>
      <c r="O154" s="1009">
        <v>18.95</v>
      </c>
      <c r="P154" s="1010">
        <v>12409.5</v>
      </c>
      <c r="Q154" s="1010">
        <v>0.17</v>
      </c>
      <c r="R154" s="1010">
        <v>85.4</v>
      </c>
      <c r="S154" s="1058" t="s">
        <v>348</v>
      </c>
      <c r="T154" s="1059">
        <v>1</v>
      </c>
      <c r="U154" s="1059">
        <v>97</v>
      </c>
      <c r="V154" s="1012"/>
      <c r="W154" s="1007" t="s">
        <v>32</v>
      </c>
    </row>
    <row r="155" spans="1:23" x14ac:dyDescent="0.25">
      <c r="A155" s="1031">
        <v>44313</v>
      </c>
      <c r="B155" s="979" t="s">
        <v>9279</v>
      </c>
      <c r="C155" s="979" t="s">
        <v>78</v>
      </c>
      <c r="D155" s="988">
        <v>38.092619999999997</v>
      </c>
      <c r="E155" s="988">
        <v>-122.07256</v>
      </c>
      <c r="F155" s="979" t="s">
        <v>9574</v>
      </c>
      <c r="G155" s="979" t="s">
        <v>80</v>
      </c>
      <c r="H155" s="979" t="s">
        <v>81</v>
      </c>
      <c r="I155" s="1032">
        <v>0.4548611111111111</v>
      </c>
      <c r="J155" s="979" t="s">
        <v>28</v>
      </c>
      <c r="K155" s="979" t="s">
        <v>29</v>
      </c>
      <c r="L155" s="979" t="s">
        <v>30</v>
      </c>
      <c r="M155" s="979">
        <v>2</v>
      </c>
      <c r="N155" s="984">
        <v>10</v>
      </c>
      <c r="O155" s="986">
        <v>30.6</v>
      </c>
      <c r="P155" s="986">
        <v>9438.5</v>
      </c>
      <c r="Q155" s="986">
        <v>0.16</v>
      </c>
      <c r="R155" s="986">
        <v>144</v>
      </c>
      <c r="S155" s="980" t="s">
        <v>31</v>
      </c>
      <c r="T155" s="984">
        <v>34</v>
      </c>
      <c r="U155" s="979" t="s">
        <v>9575</v>
      </c>
      <c r="V155" s="981"/>
      <c r="W155" s="979" t="s">
        <v>32</v>
      </c>
    </row>
    <row r="156" spans="1:23" x14ac:dyDescent="0.25">
      <c r="A156" s="1003" t="s">
        <v>9553</v>
      </c>
      <c r="B156" s="1003" t="s">
        <v>9279</v>
      </c>
      <c r="C156" s="1003" t="s">
        <v>78</v>
      </c>
      <c r="D156" s="1006">
        <v>38.069859999999998</v>
      </c>
      <c r="E156" s="1006">
        <v>-121.02352</v>
      </c>
      <c r="F156" s="1003" t="s">
        <v>9569</v>
      </c>
      <c r="G156" s="1003" t="s">
        <v>80</v>
      </c>
      <c r="H156" s="1003" t="s">
        <v>3841</v>
      </c>
      <c r="I156" s="1003" t="s">
        <v>9570</v>
      </c>
      <c r="J156" s="1003" t="s">
        <v>28</v>
      </c>
      <c r="K156" s="1003" t="s">
        <v>29</v>
      </c>
      <c r="L156" s="1003" t="s">
        <v>30</v>
      </c>
      <c r="M156" s="1003">
        <v>0</v>
      </c>
      <c r="N156" s="1003" t="s">
        <v>50</v>
      </c>
      <c r="O156" s="1003" t="s">
        <v>50</v>
      </c>
      <c r="P156" s="1003" t="s">
        <v>50</v>
      </c>
      <c r="Q156" s="1003" t="s">
        <v>50</v>
      </c>
      <c r="R156" s="1003" t="s">
        <v>50</v>
      </c>
      <c r="S156" s="1003" t="s">
        <v>50</v>
      </c>
      <c r="T156" s="1003" t="s">
        <v>50</v>
      </c>
      <c r="U156" s="1003" t="s">
        <v>50</v>
      </c>
      <c r="V156" s="1004" t="s">
        <v>1822</v>
      </c>
      <c r="W156" s="1003" t="s">
        <v>32</v>
      </c>
    </row>
    <row r="157" spans="1:23" x14ac:dyDescent="0.25">
      <c r="A157" s="1003" t="s">
        <v>9553</v>
      </c>
      <c r="B157" s="1003" t="s">
        <v>9279</v>
      </c>
      <c r="C157" s="1003" t="s">
        <v>78</v>
      </c>
      <c r="D157" s="1006">
        <v>38.053649999999998</v>
      </c>
      <c r="E157" s="1006">
        <v>-121.05463</v>
      </c>
      <c r="F157" s="1003" t="s">
        <v>9571</v>
      </c>
      <c r="G157" s="1003" t="s">
        <v>80</v>
      </c>
      <c r="H157" s="1003" t="s">
        <v>9390</v>
      </c>
      <c r="I157" s="1003" t="s">
        <v>9461</v>
      </c>
      <c r="J157" s="1003" t="s">
        <v>28</v>
      </c>
      <c r="K157" s="1003" t="s">
        <v>29</v>
      </c>
      <c r="L157" s="1003" t="s">
        <v>30</v>
      </c>
      <c r="M157" s="1003">
        <v>0</v>
      </c>
      <c r="N157" s="1003" t="s">
        <v>50</v>
      </c>
      <c r="O157" s="1003" t="s">
        <v>50</v>
      </c>
      <c r="P157" s="1003" t="s">
        <v>50</v>
      </c>
      <c r="Q157" s="1003" t="s">
        <v>50</v>
      </c>
      <c r="R157" s="1003" t="s">
        <v>50</v>
      </c>
      <c r="S157" s="1003" t="s">
        <v>50</v>
      </c>
      <c r="T157" s="1003" t="s">
        <v>50</v>
      </c>
      <c r="U157" s="1003" t="s">
        <v>50</v>
      </c>
      <c r="V157" s="1004" t="s">
        <v>1822</v>
      </c>
      <c r="W157" s="1003" t="s">
        <v>32</v>
      </c>
    </row>
    <row r="158" spans="1:23" x14ac:dyDescent="0.25">
      <c r="A158" s="949" t="s">
        <v>9576</v>
      </c>
      <c r="B158" s="949" t="s">
        <v>9296</v>
      </c>
      <c r="C158" s="949" t="s">
        <v>845</v>
      </c>
      <c r="D158" s="950">
        <v>38.258629999999997</v>
      </c>
      <c r="E158" s="950">
        <v>-121.7439</v>
      </c>
      <c r="F158" s="949" t="s">
        <v>9577</v>
      </c>
      <c r="G158" s="949" t="s">
        <v>90</v>
      </c>
      <c r="H158" s="949" t="s">
        <v>9394</v>
      </c>
      <c r="I158" s="949" t="s">
        <v>9369</v>
      </c>
      <c r="J158" s="949" t="s">
        <v>28</v>
      </c>
      <c r="K158" s="949" t="s">
        <v>29</v>
      </c>
      <c r="L158" s="949" t="s">
        <v>30</v>
      </c>
      <c r="M158" s="949">
        <v>2</v>
      </c>
      <c r="N158" s="956">
        <v>10</v>
      </c>
      <c r="O158" s="955">
        <v>19.55</v>
      </c>
      <c r="P158" s="955">
        <v>239.95</v>
      </c>
      <c r="Q158" s="955">
        <v>0.99</v>
      </c>
      <c r="R158" s="955">
        <v>8.98</v>
      </c>
      <c r="S158" s="949" t="s">
        <v>50</v>
      </c>
      <c r="T158" s="949" t="s">
        <v>50</v>
      </c>
      <c r="U158" s="949" t="s">
        <v>50</v>
      </c>
      <c r="V158" s="970"/>
      <c r="W158" s="949" t="s">
        <v>32</v>
      </c>
    </row>
    <row r="159" spans="1:23" x14ac:dyDescent="0.25">
      <c r="A159" s="949" t="s">
        <v>9576</v>
      </c>
      <c r="B159" s="949" t="s">
        <v>9296</v>
      </c>
      <c r="C159" s="949" t="s">
        <v>845</v>
      </c>
      <c r="D159" s="950">
        <v>38.2652</v>
      </c>
      <c r="E159" s="950">
        <v>-121.69704</v>
      </c>
      <c r="F159" s="949" t="s">
        <v>9578</v>
      </c>
      <c r="G159" s="949" t="s">
        <v>90</v>
      </c>
      <c r="H159" s="949" t="s">
        <v>9394</v>
      </c>
      <c r="I159" s="949" t="s">
        <v>9579</v>
      </c>
      <c r="J159" s="949" t="s">
        <v>28</v>
      </c>
      <c r="K159" s="949" t="s">
        <v>29</v>
      </c>
      <c r="L159" s="949" t="s">
        <v>30</v>
      </c>
      <c r="M159" s="949">
        <v>2</v>
      </c>
      <c r="N159" s="956">
        <v>7</v>
      </c>
      <c r="O159" s="955">
        <v>9.6</v>
      </c>
      <c r="P159" s="955">
        <v>211.4</v>
      </c>
      <c r="Q159" s="955">
        <v>1.8</v>
      </c>
      <c r="R159" s="955">
        <v>4.4249999999999998</v>
      </c>
      <c r="S159" s="949" t="s">
        <v>50</v>
      </c>
      <c r="T159" s="949" t="s">
        <v>50</v>
      </c>
      <c r="U159" s="949" t="s">
        <v>50</v>
      </c>
      <c r="V159" s="970" t="s">
        <v>9598</v>
      </c>
      <c r="W159" s="949" t="s">
        <v>32</v>
      </c>
    </row>
    <row r="160" spans="1:23" x14ac:dyDescent="0.25">
      <c r="A160" s="949" t="s">
        <v>9576</v>
      </c>
      <c r="B160" s="949" t="s">
        <v>9296</v>
      </c>
      <c r="C160" s="949" t="s">
        <v>845</v>
      </c>
      <c r="D160" s="950">
        <v>38.246519999999997</v>
      </c>
      <c r="E160" s="950">
        <v>-121.70314999999999</v>
      </c>
      <c r="F160" s="949" t="s">
        <v>9580</v>
      </c>
      <c r="G160" s="949" t="s">
        <v>90</v>
      </c>
      <c r="H160" s="949" t="s">
        <v>9394</v>
      </c>
      <c r="I160" s="949" t="s">
        <v>9581</v>
      </c>
      <c r="J160" s="949" t="s">
        <v>28</v>
      </c>
      <c r="K160" s="949" t="s">
        <v>29</v>
      </c>
      <c r="L160" s="949" t="s">
        <v>30</v>
      </c>
      <c r="M160" s="949">
        <v>2</v>
      </c>
      <c r="N160" s="956">
        <v>10</v>
      </c>
      <c r="O160" s="955">
        <v>16.149999999999999</v>
      </c>
      <c r="P160" s="955">
        <v>206.95</v>
      </c>
      <c r="Q160" s="955">
        <v>1.3149999999999999</v>
      </c>
      <c r="R160" s="955">
        <v>7.17</v>
      </c>
      <c r="S160" s="949" t="s">
        <v>50</v>
      </c>
      <c r="T160" s="949" t="s">
        <v>50</v>
      </c>
      <c r="U160" s="949" t="s">
        <v>50</v>
      </c>
      <c r="V160" s="970" t="s">
        <v>9582</v>
      </c>
      <c r="W160" s="949" t="s">
        <v>32</v>
      </c>
    </row>
    <row r="161" spans="1:23" x14ac:dyDescent="0.25">
      <c r="A161" s="949" t="s">
        <v>9576</v>
      </c>
      <c r="B161" s="949" t="s">
        <v>9296</v>
      </c>
      <c r="C161" s="949" t="s">
        <v>845</v>
      </c>
      <c r="D161" s="950">
        <v>38.286140000000003</v>
      </c>
      <c r="E161" s="950">
        <v>-121.71993999999999</v>
      </c>
      <c r="F161" s="949" t="s">
        <v>9583</v>
      </c>
      <c r="G161" s="949" t="s">
        <v>90</v>
      </c>
      <c r="H161" s="949" t="s">
        <v>9394</v>
      </c>
      <c r="I161" s="949" t="s">
        <v>9519</v>
      </c>
      <c r="J161" s="949" t="s">
        <v>28</v>
      </c>
      <c r="K161" s="949" t="s">
        <v>29</v>
      </c>
      <c r="L161" s="949" t="s">
        <v>30</v>
      </c>
      <c r="M161" s="949">
        <v>1</v>
      </c>
      <c r="N161" s="956">
        <v>2</v>
      </c>
      <c r="O161" s="955">
        <v>8.8000000000000007</v>
      </c>
      <c r="P161" s="955">
        <v>224.2</v>
      </c>
      <c r="Q161" s="955">
        <v>1.8</v>
      </c>
      <c r="R161" s="955">
        <v>2.59</v>
      </c>
      <c r="S161" s="949" t="s">
        <v>50</v>
      </c>
      <c r="T161" s="949" t="s">
        <v>50</v>
      </c>
      <c r="U161" s="949" t="s">
        <v>50</v>
      </c>
      <c r="V161" s="970" t="s">
        <v>9599</v>
      </c>
      <c r="W161" s="949" t="s">
        <v>32</v>
      </c>
    </row>
    <row r="162" spans="1:23" x14ac:dyDescent="0.25">
      <c r="A162" s="949" t="s">
        <v>9576</v>
      </c>
      <c r="B162" s="949" t="s">
        <v>9296</v>
      </c>
      <c r="C162" s="949" t="s">
        <v>845</v>
      </c>
      <c r="D162" s="950">
        <v>38.274610000000003</v>
      </c>
      <c r="E162" s="950">
        <v>-121.70725</v>
      </c>
      <c r="F162" s="949" t="s">
        <v>9584</v>
      </c>
      <c r="G162" s="949" t="s">
        <v>90</v>
      </c>
      <c r="H162" s="949" t="s">
        <v>9394</v>
      </c>
      <c r="I162" s="949" t="s">
        <v>9585</v>
      </c>
      <c r="J162" s="949" t="s">
        <v>28</v>
      </c>
      <c r="K162" s="949" t="s">
        <v>29</v>
      </c>
      <c r="L162" s="949" t="s">
        <v>30</v>
      </c>
      <c r="M162" s="949">
        <v>2</v>
      </c>
      <c r="N162" s="956">
        <v>10</v>
      </c>
      <c r="O162" s="955">
        <v>7.05</v>
      </c>
      <c r="P162" s="955">
        <v>219.1</v>
      </c>
      <c r="Q162" s="955">
        <v>1.8</v>
      </c>
      <c r="R162" s="955">
        <v>3.165</v>
      </c>
      <c r="S162" s="949" t="s">
        <v>50</v>
      </c>
      <c r="T162" s="949" t="s">
        <v>50</v>
      </c>
      <c r="U162" s="949" t="s">
        <v>50</v>
      </c>
      <c r="V162" s="970" t="s">
        <v>9349</v>
      </c>
      <c r="W162" s="949" t="s">
        <v>32</v>
      </c>
    </row>
    <row r="163" spans="1:23" x14ac:dyDescent="0.25">
      <c r="A163" s="949" t="s">
        <v>9576</v>
      </c>
      <c r="B163" s="949" t="s">
        <v>9296</v>
      </c>
      <c r="C163" s="949" t="s">
        <v>845</v>
      </c>
      <c r="D163" s="950">
        <v>38.283380000000001</v>
      </c>
      <c r="E163" s="950">
        <v>-121.71435</v>
      </c>
      <c r="F163" s="949" t="s">
        <v>9586</v>
      </c>
      <c r="G163" s="949" t="s">
        <v>90</v>
      </c>
      <c r="H163" s="949" t="s">
        <v>9394</v>
      </c>
      <c r="I163" s="949" t="s">
        <v>9587</v>
      </c>
      <c r="J163" s="949" t="s">
        <v>28</v>
      </c>
      <c r="K163" s="949" t="s">
        <v>29</v>
      </c>
      <c r="L163" s="949" t="s">
        <v>30</v>
      </c>
      <c r="M163" s="949">
        <v>2</v>
      </c>
      <c r="N163" s="1034">
        <v>0.17708333333333334</v>
      </c>
      <c r="O163" s="955">
        <v>10.4</v>
      </c>
      <c r="P163" s="955">
        <v>223.3</v>
      </c>
      <c r="Q163" s="955">
        <v>1.8</v>
      </c>
      <c r="R163" s="955">
        <v>2.09</v>
      </c>
      <c r="S163" s="949" t="s">
        <v>50</v>
      </c>
      <c r="T163" s="949" t="s">
        <v>50</v>
      </c>
      <c r="U163" s="949" t="s">
        <v>50</v>
      </c>
      <c r="V163" s="970" t="s">
        <v>9600</v>
      </c>
      <c r="W163" s="949" t="s">
        <v>32</v>
      </c>
    </row>
    <row r="164" spans="1:23" x14ac:dyDescent="0.25">
      <c r="A164" s="949" t="s">
        <v>9576</v>
      </c>
      <c r="B164" s="949" t="s">
        <v>9296</v>
      </c>
      <c r="C164" s="949" t="s">
        <v>95</v>
      </c>
      <c r="D164" s="950">
        <v>38.047089999999997</v>
      </c>
      <c r="E164" s="950">
        <v>-121.69959</v>
      </c>
      <c r="F164" s="949" t="s">
        <v>9588</v>
      </c>
      <c r="G164" s="949" t="s">
        <v>27</v>
      </c>
      <c r="H164" s="949" t="s">
        <v>9460</v>
      </c>
      <c r="I164" s="949" t="s">
        <v>9589</v>
      </c>
      <c r="J164" s="949" t="s">
        <v>28</v>
      </c>
      <c r="K164" s="949" t="s">
        <v>29</v>
      </c>
      <c r="L164" s="949" t="s">
        <v>30</v>
      </c>
      <c r="M164" s="949">
        <v>2</v>
      </c>
      <c r="N164" s="956">
        <v>10</v>
      </c>
      <c r="O164" s="955">
        <v>31.35</v>
      </c>
      <c r="P164" s="955">
        <v>614.5</v>
      </c>
      <c r="Q164" s="955">
        <v>0.60499999999999998</v>
      </c>
      <c r="R164" s="955">
        <v>17.100000000000001</v>
      </c>
      <c r="S164" s="949" t="s">
        <v>50</v>
      </c>
      <c r="T164" s="949" t="s">
        <v>50</v>
      </c>
      <c r="U164" s="949" t="s">
        <v>50</v>
      </c>
      <c r="V164" s="970" t="s">
        <v>9349</v>
      </c>
      <c r="W164" s="949" t="s">
        <v>32</v>
      </c>
    </row>
    <row r="165" spans="1:23" x14ac:dyDescent="0.25">
      <c r="A165" s="971" t="s">
        <v>9576</v>
      </c>
      <c r="B165" s="971" t="s">
        <v>9296</v>
      </c>
      <c r="C165" s="971" t="s">
        <v>95</v>
      </c>
      <c r="D165" s="978">
        <v>38.021149999999999</v>
      </c>
      <c r="E165" s="978">
        <v>-121.78440000000001</v>
      </c>
      <c r="F165" s="971" t="s">
        <v>9590</v>
      </c>
      <c r="G165" s="971" t="s">
        <v>27</v>
      </c>
      <c r="H165" s="971" t="s">
        <v>9460</v>
      </c>
      <c r="I165" s="971" t="s">
        <v>9591</v>
      </c>
      <c r="J165" s="971" t="s">
        <v>28</v>
      </c>
      <c r="K165" s="971" t="s">
        <v>29</v>
      </c>
      <c r="L165" s="971" t="s">
        <v>30</v>
      </c>
      <c r="M165" s="971">
        <v>2</v>
      </c>
      <c r="N165" s="972">
        <v>10</v>
      </c>
      <c r="O165" s="975">
        <v>10.4</v>
      </c>
      <c r="P165" s="975">
        <v>2563</v>
      </c>
      <c r="Q165" s="975">
        <v>0.36</v>
      </c>
      <c r="R165" s="975">
        <v>33.9</v>
      </c>
      <c r="S165" s="973" t="s">
        <v>31</v>
      </c>
      <c r="T165" s="972">
        <v>3</v>
      </c>
      <c r="U165" s="971" t="s">
        <v>9592</v>
      </c>
      <c r="V165" s="974" t="s">
        <v>9349</v>
      </c>
      <c r="W165" s="971" t="s">
        <v>32</v>
      </c>
    </row>
    <row r="166" spans="1:23" x14ac:dyDescent="0.25">
      <c r="A166" s="949" t="s">
        <v>9576</v>
      </c>
      <c r="B166" s="949" t="s">
        <v>9296</v>
      </c>
      <c r="C166" s="949" t="s">
        <v>95</v>
      </c>
      <c r="D166" s="950">
        <v>38.059460000000001</v>
      </c>
      <c r="E166" s="950">
        <v>-121.53419</v>
      </c>
      <c r="F166" s="949" t="s">
        <v>9593</v>
      </c>
      <c r="G166" s="949" t="s">
        <v>46</v>
      </c>
      <c r="H166" s="949" t="s">
        <v>9438</v>
      </c>
      <c r="I166" s="949" t="s">
        <v>9426</v>
      </c>
      <c r="J166" s="949" t="s">
        <v>28</v>
      </c>
      <c r="K166" s="949" t="s">
        <v>29</v>
      </c>
      <c r="L166" s="949" t="s">
        <v>30</v>
      </c>
      <c r="M166" s="949">
        <v>2</v>
      </c>
      <c r="N166" s="956">
        <v>10</v>
      </c>
      <c r="O166" s="955">
        <v>36.9</v>
      </c>
      <c r="P166" s="955">
        <v>352.9</v>
      </c>
      <c r="Q166" s="955">
        <v>1.8</v>
      </c>
      <c r="R166" s="955">
        <v>4.72</v>
      </c>
      <c r="S166" s="949" t="s">
        <v>50</v>
      </c>
      <c r="T166" s="949" t="s">
        <v>50</v>
      </c>
      <c r="U166" s="949" t="s">
        <v>50</v>
      </c>
      <c r="V166" s="970" t="s">
        <v>9349</v>
      </c>
      <c r="W166" s="949" t="s">
        <v>32</v>
      </c>
    </row>
    <row r="167" spans="1:23" x14ac:dyDescent="0.25">
      <c r="A167" s="949" t="s">
        <v>9576</v>
      </c>
      <c r="B167" s="949" t="s">
        <v>9296</v>
      </c>
      <c r="C167" s="949" t="s">
        <v>95</v>
      </c>
      <c r="D167" s="950">
        <v>38.044640000000001</v>
      </c>
      <c r="E167" s="950">
        <v>-121.50283</v>
      </c>
      <c r="F167" s="949" t="s">
        <v>9594</v>
      </c>
      <c r="G167" s="949" t="s">
        <v>46</v>
      </c>
      <c r="H167" s="949" t="s">
        <v>9438</v>
      </c>
      <c r="I167" s="949" t="s">
        <v>9595</v>
      </c>
      <c r="J167" s="949" t="s">
        <v>28</v>
      </c>
      <c r="K167" s="949" t="s">
        <v>29</v>
      </c>
      <c r="L167" s="949" t="s">
        <v>30</v>
      </c>
      <c r="M167" s="949">
        <v>2</v>
      </c>
      <c r="N167" s="956">
        <v>10</v>
      </c>
      <c r="O167" s="955">
        <v>12.3</v>
      </c>
      <c r="P167" s="955">
        <v>386.2</v>
      </c>
      <c r="Q167" s="955">
        <v>1.8</v>
      </c>
      <c r="R167" s="955">
        <v>2.7</v>
      </c>
      <c r="S167" s="949" t="s">
        <v>50</v>
      </c>
      <c r="T167" s="949" t="s">
        <v>50</v>
      </c>
      <c r="U167" s="949" t="s">
        <v>50</v>
      </c>
      <c r="V167" s="970" t="s">
        <v>9349</v>
      </c>
      <c r="W167" s="949" t="s">
        <v>32</v>
      </c>
    </row>
    <row r="168" spans="1:23" x14ac:dyDescent="0.25">
      <c r="A168" s="949" t="s">
        <v>9576</v>
      </c>
      <c r="B168" s="949" t="s">
        <v>9296</v>
      </c>
      <c r="C168" s="949" t="s">
        <v>95</v>
      </c>
      <c r="D168" s="950">
        <v>38.078879999999998</v>
      </c>
      <c r="E168" s="950">
        <v>-121.67769</v>
      </c>
      <c r="F168" s="949" t="s">
        <v>9596</v>
      </c>
      <c r="G168" s="949" t="s">
        <v>46</v>
      </c>
      <c r="H168" s="949" t="s">
        <v>9445</v>
      </c>
      <c r="I168" s="949" t="s">
        <v>9597</v>
      </c>
      <c r="J168" s="949" t="s">
        <v>28</v>
      </c>
      <c r="K168" s="949" t="s">
        <v>29</v>
      </c>
      <c r="L168" s="949" t="s">
        <v>30</v>
      </c>
      <c r="M168" s="949">
        <v>2</v>
      </c>
      <c r="N168" s="956">
        <v>10</v>
      </c>
      <c r="O168" s="955">
        <v>28.95</v>
      </c>
      <c r="P168" s="955">
        <v>368.3</v>
      </c>
      <c r="Q168" s="955">
        <v>0.84</v>
      </c>
      <c r="R168" s="955">
        <v>10.54</v>
      </c>
      <c r="S168" s="949" t="s">
        <v>50</v>
      </c>
      <c r="T168" s="949" t="s">
        <v>50</v>
      </c>
      <c r="U168" s="949" t="s">
        <v>50</v>
      </c>
      <c r="V168" s="970" t="s">
        <v>9349</v>
      </c>
      <c r="W168" s="949" t="s">
        <v>32</v>
      </c>
    </row>
    <row r="169" spans="1:23" x14ac:dyDescent="0.25">
      <c r="A169" s="979" t="s">
        <v>9601</v>
      </c>
      <c r="B169" s="979" t="s">
        <v>9313</v>
      </c>
      <c r="C169" s="979" t="s">
        <v>845</v>
      </c>
      <c r="D169" s="988">
        <v>38.266840000000002</v>
      </c>
      <c r="E169" s="988">
        <v>-121.66913</v>
      </c>
      <c r="F169" s="979" t="s">
        <v>9602</v>
      </c>
      <c r="G169" s="979" t="s">
        <v>90</v>
      </c>
      <c r="H169" s="979" t="s">
        <v>9394</v>
      </c>
      <c r="I169" s="979" t="s">
        <v>9603</v>
      </c>
      <c r="J169" s="979" t="s">
        <v>28</v>
      </c>
      <c r="K169" s="979" t="s">
        <v>29</v>
      </c>
      <c r="L169" s="971" t="s">
        <v>30</v>
      </c>
      <c r="M169" s="979">
        <v>2</v>
      </c>
      <c r="N169" s="984">
        <v>10</v>
      </c>
      <c r="O169" s="986">
        <v>24.9</v>
      </c>
      <c r="P169" s="986">
        <v>205.25</v>
      </c>
      <c r="Q169" s="986">
        <v>1.37</v>
      </c>
      <c r="R169" s="986">
        <v>17.149999999999999</v>
      </c>
      <c r="S169" s="980" t="s">
        <v>4526</v>
      </c>
      <c r="T169" s="984">
        <v>1</v>
      </c>
      <c r="U169" s="984">
        <v>16.8</v>
      </c>
      <c r="V169" s="974" t="s">
        <v>10139</v>
      </c>
      <c r="W169" s="979" t="s">
        <v>32</v>
      </c>
    </row>
    <row r="170" spans="1:23" x14ac:dyDescent="0.25">
      <c r="A170" s="982" t="s">
        <v>9601</v>
      </c>
      <c r="B170" s="982" t="s">
        <v>9313</v>
      </c>
      <c r="C170" s="982" t="s">
        <v>845</v>
      </c>
      <c r="D170" s="989">
        <v>38.259480000000003</v>
      </c>
      <c r="E170" s="989">
        <v>-121.69107</v>
      </c>
      <c r="F170" s="982" t="s">
        <v>9604</v>
      </c>
      <c r="G170" s="982" t="s">
        <v>90</v>
      </c>
      <c r="H170" s="982" t="s">
        <v>9394</v>
      </c>
      <c r="I170" s="982" t="s">
        <v>9605</v>
      </c>
      <c r="J170" s="982" t="s">
        <v>28</v>
      </c>
      <c r="K170" s="982" t="s">
        <v>29</v>
      </c>
      <c r="L170" s="949" t="s">
        <v>30</v>
      </c>
      <c r="M170" s="982">
        <v>2</v>
      </c>
      <c r="N170" s="985">
        <v>10</v>
      </c>
      <c r="O170" s="987">
        <v>25.5</v>
      </c>
      <c r="P170" s="987">
        <v>205.15</v>
      </c>
      <c r="Q170" s="987">
        <v>1.8</v>
      </c>
      <c r="R170" s="987">
        <v>5.1749999999999998</v>
      </c>
      <c r="S170" s="982" t="s">
        <v>50</v>
      </c>
      <c r="T170" s="982" t="s">
        <v>50</v>
      </c>
      <c r="U170" s="982" t="s">
        <v>50</v>
      </c>
      <c r="V170" s="983" t="s">
        <v>9349</v>
      </c>
      <c r="W170" s="982" t="s">
        <v>32</v>
      </c>
    </row>
    <row r="171" spans="1:23" x14ac:dyDescent="0.25">
      <c r="A171" s="982" t="s">
        <v>9601</v>
      </c>
      <c r="B171" s="982" t="s">
        <v>9313</v>
      </c>
      <c r="C171" s="982" t="s">
        <v>845</v>
      </c>
      <c r="D171" s="989">
        <v>38.249890000000001</v>
      </c>
      <c r="E171" s="989">
        <v>-121.67301</v>
      </c>
      <c r="F171" s="982" t="s">
        <v>9606</v>
      </c>
      <c r="G171" s="982" t="s">
        <v>90</v>
      </c>
      <c r="H171" s="982" t="s">
        <v>9394</v>
      </c>
      <c r="I171" s="982" t="s">
        <v>9607</v>
      </c>
      <c r="J171" s="982" t="s">
        <v>28</v>
      </c>
      <c r="K171" s="982" t="s">
        <v>29</v>
      </c>
      <c r="L171" s="949" t="s">
        <v>30</v>
      </c>
      <c r="M171" s="982">
        <v>2</v>
      </c>
      <c r="N171" s="985">
        <v>10</v>
      </c>
      <c r="O171" s="987">
        <v>32.200000000000003</v>
      </c>
      <c r="P171" s="987">
        <v>192.95</v>
      </c>
      <c r="Q171" s="987">
        <v>1.29</v>
      </c>
      <c r="R171" s="987">
        <v>9.5649999999999995</v>
      </c>
      <c r="S171" s="982" t="s">
        <v>50</v>
      </c>
      <c r="T171" s="982" t="s">
        <v>50</v>
      </c>
      <c r="U171" s="982" t="s">
        <v>50</v>
      </c>
      <c r="V171" s="983" t="s">
        <v>9349</v>
      </c>
      <c r="W171" s="982" t="s">
        <v>32</v>
      </c>
    </row>
    <row r="172" spans="1:23" x14ac:dyDescent="0.25">
      <c r="A172" s="982" t="s">
        <v>9601</v>
      </c>
      <c r="B172" s="982" t="s">
        <v>9313</v>
      </c>
      <c r="C172" s="982" t="s">
        <v>845</v>
      </c>
      <c r="D172" s="989">
        <v>38.275820000000003</v>
      </c>
      <c r="E172" s="989">
        <v>-121.69367</v>
      </c>
      <c r="F172" s="982" t="s">
        <v>9608</v>
      </c>
      <c r="G172" s="982" t="s">
        <v>90</v>
      </c>
      <c r="H172" s="982" t="s">
        <v>9394</v>
      </c>
      <c r="I172" s="982" t="s">
        <v>9475</v>
      </c>
      <c r="J172" s="982" t="s">
        <v>28</v>
      </c>
      <c r="K172" s="982" t="s">
        <v>29</v>
      </c>
      <c r="L172" s="949" t="s">
        <v>30</v>
      </c>
      <c r="M172" s="982">
        <v>2</v>
      </c>
      <c r="N172" s="985">
        <v>10</v>
      </c>
      <c r="O172" s="987">
        <v>19.8</v>
      </c>
      <c r="P172" s="987">
        <v>220.8</v>
      </c>
      <c r="Q172" s="987">
        <v>1.67</v>
      </c>
      <c r="R172" s="987">
        <v>5.375</v>
      </c>
      <c r="S172" s="982" t="s">
        <v>50</v>
      </c>
      <c r="T172" s="982" t="s">
        <v>50</v>
      </c>
      <c r="U172" s="982" t="s">
        <v>50</v>
      </c>
      <c r="V172" s="983" t="s">
        <v>9349</v>
      </c>
      <c r="W172" s="982" t="s">
        <v>32</v>
      </c>
    </row>
    <row r="173" spans="1:23" s="999" customFormat="1" x14ac:dyDescent="0.25">
      <c r="A173" s="995" t="s">
        <v>9601</v>
      </c>
      <c r="B173" s="995" t="s">
        <v>9313</v>
      </c>
      <c r="C173" s="995" t="s">
        <v>845</v>
      </c>
      <c r="D173" s="1001">
        <v>38.43036</v>
      </c>
      <c r="E173" s="1001">
        <v>-121.60697999999999</v>
      </c>
      <c r="F173" s="995" t="s">
        <v>9609</v>
      </c>
      <c r="G173" s="995" t="s">
        <v>90</v>
      </c>
      <c r="H173" s="995" t="s">
        <v>9394</v>
      </c>
      <c r="I173" s="995" t="s">
        <v>9610</v>
      </c>
      <c r="J173" s="995" t="s">
        <v>28</v>
      </c>
      <c r="K173" s="995" t="s">
        <v>29</v>
      </c>
      <c r="L173" s="998" t="s">
        <v>30</v>
      </c>
      <c r="M173" s="995">
        <v>2</v>
      </c>
      <c r="N173" s="996">
        <v>10</v>
      </c>
      <c r="O173" s="997">
        <v>11.75</v>
      </c>
      <c r="P173" s="997">
        <v>883</v>
      </c>
      <c r="Q173" s="997">
        <v>0.21</v>
      </c>
      <c r="R173" s="997">
        <v>44.15</v>
      </c>
      <c r="S173" s="998" t="s">
        <v>50</v>
      </c>
      <c r="T173" s="996" t="s">
        <v>50</v>
      </c>
      <c r="U173" s="995" t="s">
        <v>50</v>
      </c>
      <c r="V173" s="1017" t="s">
        <v>10140</v>
      </c>
      <c r="W173" s="995" t="s">
        <v>32</v>
      </c>
    </row>
    <row r="174" spans="1:23" x14ac:dyDescent="0.25">
      <c r="A174" s="979" t="s">
        <v>9601</v>
      </c>
      <c r="B174" s="979" t="s">
        <v>9313</v>
      </c>
      <c r="C174" s="979" t="s">
        <v>88</v>
      </c>
      <c r="D174" s="988">
        <v>38.058280000000003</v>
      </c>
      <c r="E174" s="988">
        <v>-121.81882</v>
      </c>
      <c r="F174" s="979" t="s">
        <v>9611</v>
      </c>
      <c r="G174" s="979" t="s">
        <v>27</v>
      </c>
      <c r="H174" s="979" t="s">
        <v>9364</v>
      </c>
      <c r="I174" s="979" t="s">
        <v>9612</v>
      </c>
      <c r="J174" s="979" t="s">
        <v>28</v>
      </c>
      <c r="K174" s="979" t="s">
        <v>29</v>
      </c>
      <c r="L174" s="971" t="s">
        <v>30</v>
      </c>
      <c r="M174" s="979">
        <v>2</v>
      </c>
      <c r="N174" s="984">
        <v>10</v>
      </c>
      <c r="O174" s="986">
        <v>29.9</v>
      </c>
      <c r="P174" s="986">
        <v>4597</v>
      </c>
      <c r="Q174" s="986">
        <v>0.32</v>
      </c>
      <c r="R174" s="986">
        <v>33.15</v>
      </c>
      <c r="S174" s="980" t="s">
        <v>31</v>
      </c>
      <c r="T174" s="984">
        <v>2</v>
      </c>
      <c r="U174" s="984">
        <v>24.6</v>
      </c>
      <c r="V174" s="981" t="s">
        <v>9349</v>
      </c>
      <c r="W174" s="979" t="s">
        <v>32</v>
      </c>
    </row>
    <row r="175" spans="1:23" x14ac:dyDescent="0.25">
      <c r="A175" s="979" t="s">
        <v>9601</v>
      </c>
      <c r="B175" s="979" t="s">
        <v>9313</v>
      </c>
      <c r="C175" s="979" t="s">
        <v>88</v>
      </c>
      <c r="D175" s="988">
        <v>38.069400000000002</v>
      </c>
      <c r="E175" s="988">
        <v>-121.78265</v>
      </c>
      <c r="F175" s="979" t="s">
        <v>9613</v>
      </c>
      <c r="G175" s="979" t="s">
        <v>27</v>
      </c>
      <c r="H175" s="979" t="s">
        <v>9364</v>
      </c>
      <c r="I175" s="979" t="s">
        <v>9614</v>
      </c>
      <c r="J175" s="979" t="s">
        <v>28</v>
      </c>
      <c r="K175" s="979" t="s">
        <v>29</v>
      </c>
      <c r="L175" s="971" t="s">
        <v>30</v>
      </c>
      <c r="M175" s="979">
        <v>2</v>
      </c>
      <c r="N175" s="984">
        <v>10</v>
      </c>
      <c r="O175" s="986">
        <v>30.95</v>
      </c>
      <c r="P175" s="986">
        <v>1918.5</v>
      </c>
      <c r="Q175" s="986">
        <v>0.25</v>
      </c>
      <c r="R175" s="986">
        <v>56.05</v>
      </c>
      <c r="S175" s="980" t="s">
        <v>31</v>
      </c>
      <c r="T175" s="984">
        <v>30</v>
      </c>
      <c r="U175" s="979" t="s">
        <v>9615</v>
      </c>
      <c r="V175" s="981"/>
      <c r="W175" s="979" t="s">
        <v>32</v>
      </c>
    </row>
    <row r="176" spans="1:23" x14ac:dyDescent="0.25">
      <c r="A176" s="979" t="s">
        <v>9601</v>
      </c>
      <c r="B176" s="979" t="s">
        <v>9313</v>
      </c>
      <c r="C176" s="979" t="s">
        <v>88</v>
      </c>
      <c r="D176" s="988">
        <v>38.084940000000003</v>
      </c>
      <c r="E176" s="988">
        <v>-121.74028</v>
      </c>
      <c r="F176" s="979" t="s">
        <v>9616</v>
      </c>
      <c r="G176" s="979" t="s">
        <v>90</v>
      </c>
      <c r="H176" s="979" t="s">
        <v>9368</v>
      </c>
      <c r="I176" s="979" t="s">
        <v>9617</v>
      </c>
      <c r="J176" s="979" t="s">
        <v>28</v>
      </c>
      <c r="K176" s="979" t="s">
        <v>29</v>
      </c>
      <c r="L176" s="971" t="s">
        <v>30</v>
      </c>
      <c r="M176" s="979">
        <v>2</v>
      </c>
      <c r="N176" s="984">
        <v>10</v>
      </c>
      <c r="O176" s="986">
        <v>37.1</v>
      </c>
      <c r="P176" s="986">
        <v>1733</v>
      </c>
      <c r="Q176" s="986">
        <v>0.36499999999999999</v>
      </c>
      <c r="R176" s="986">
        <v>32.35</v>
      </c>
      <c r="S176" s="980" t="s">
        <v>31</v>
      </c>
      <c r="T176" s="984">
        <v>8</v>
      </c>
      <c r="U176" s="979" t="s">
        <v>9618</v>
      </c>
      <c r="V176" s="981" t="s">
        <v>9349</v>
      </c>
      <c r="W176" s="979" t="s">
        <v>32</v>
      </c>
    </row>
    <row r="177" spans="1:23" x14ac:dyDescent="0.25">
      <c r="A177" s="1003" t="s">
        <v>9601</v>
      </c>
      <c r="B177" s="1003" t="s">
        <v>9313</v>
      </c>
      <c r="C177" s="1003" t="s">
        <v>88</v>
      </c>
      <c r="D177" s="1006">
        <v>38.118360000000003</v>
      </c>
      <c r="E177" s="1006">
        <v>-121.69955</v>
      </c>
      <c r="F177" s="1003" t="s">
        <v>9619</v>
      </c>
      <c r="G177" s="1003" t="s">
        <v>90</v>
      </c>
      <c r="H177" s="1003" t="s">
        <v>9368</v>
      </c>
      <c r="I177" s="1003" t="s">
        <v>9534</v>
      </c>
      <c r="J177" s="1003" t="s">
        <v>28</v>
      </c>
      <c r="K177" s="1003" t="s">
        <v>29</v>
      </c>
      <c r="L177" s="961" t="s">
        <v>30</v>
      </c>
      <c r="M177" s="1003">
        <v>0</v>
      </c>
      <c r="N177" s="1003" t="s">
        <v>50</v>
      </c>
      <c r="O177" s="1005" t="s">
        <v>50</v>
      </c>
      <c r="P177" s="1005" t="s">
        <v>50</v>
      </c>
      <c r="Q177" s="1005" t="s">
        <v>50</v>
      </c>
      <c r="R177" s="1005" t="s">
        <v>50</v>
      </c>
      <c r="S177" s="1003" t="s">
        <v>50</v>
      </c>
      <c r="T177" s="1003" t="s">
        <v>50</v>
      </c>
      <c r="U177" s="1003" t="s">
        <v>50</v>
      </c>
      <c r="V177" s="1004" t="s">
        <v>1822</v>
      </c>
      <c r="W177" s="1003" t="s">
        <v>32</v>
      </c>
    </row>
    <row r="178" spans="1:23" x14ac:dyDescent="0.25">
      <c r="A178" s="979" t="s">
        <v>9601</v>
      </c>
      <c r="B178" s="979" t="s">
        <v>9313</v>
      </c>
      <c r="C178" s="979" t="s">
        <v>88</v>
      </c>
      <c r="D178" s="988">
        <v>38.105460000000001</v>
      </c>
      <c r="E178" s="988">
        <v>-121.69801</v>
      </c>
      <c r="F178" s="979" t="s">
        <v>9620</v>
      </c>
      <c r="G178" s="979" t="s">
        <v>90</v>
      </c>
      <c r="H178" s="979" t="s">
        <v>9368</v>
      </c>
      <c r="I178" s="979" t="s">
        <v>9621</v>
      </c>
      <c r="J178" s="979" t="s">
        <v>28</v>
      </c>
      <c r="K178" s="979" t="s">
        <v>29</v>
      </c>
      <c r="L178" s="971" t="s">
        <v>30</v>
      </c>
      <c r="M178" s="979">
        <v>2</v>
      </c>
      <c r="N178" s="984">
        <v>10</v>
      </c>
      <c r="O178" s="986">
        <v>15.8</v>
      </c>
      <c r="P178" s="986">
        <v>428</v>
      </c>
      <c r="Q178" s="986">
        <v>0.82</v>
      </c>
      <c r="R178" s="986">
        <v>13.05</v>
      </c>
      <c r="S178" s="980" t="s">
        <v>31</v>
      </c>
      <c r="T178" s="984">
        <v>2</v>
      </c>
      <c r="U178" s="979" t="s">
        <v>9622</v>
      </c>
      <c r="V178" s="1106" t="s">
        <v>10141</v>
      </c>
      <c r="W178" s="979" t="s">
        <v>32</v>
      </c>
    </row>
    <row r="179" spans="1:23" s="854" customFormat="1" x14ac:dyDescent="0.25">
      <c r="A179" s="990" t="s">
        <v>9601</v>
      </c>
      <c r="B179" s="990" t="s">
        <v>9313</v>
      </c>
      <c r="C179" s="990" t="s">
        <v>88</v>
      </c>
      <c r="D179" s="991">
        <v>38.109209999999997</v>
      </c>
      <c r="E179" s="991">
        <v>-121.71182</v>
      </c>
      <c r="F179" s="990" t="s">
        <v>9623</v>
      </c>
      <c r="G179" s="990" t="s">
        <v>90</v>
      </c>
      <c r="H179" s="990" t="s">
        <v>9368</v>
      </c>
      <c r="I179" s="990" t="s">
        <v>9624</v>
      </c>
      <c r="J179" s="990" t="s">
        <v>28</v>
      </c>
      <c r="K179" s="990" t="s">
        <v>29</v>
      </c>
      <c r="L179" s="1035" t="s">
        <v>30</v>
      </c>
      <c r="M179" s="990">
        <v>2</v>
      </c>
      <c r="N179" s="992">
        <v>10</v>
      </c>
      <c r="O179" s="993">
        <v>19.5</v>
      </c>
      <c r="P179" s="993">
        <v>234.6</v>
      </c>
      <c r="Q179" s="993">
        <v>0.7</v>
      </c>
      <c r="R179" s="993">
        <v>25.95</v>
      </c>
      <c r="S179" s="990" t="s">
        <v>50</v>
      </c>
      <c r="T179" s="990" t="s">
        <v>50</v>
      </c>
      <c r="U179" s="990" t="s">
        <v>50</v>
      </c>
      <c r="V179" s="994" t="s">
        <v>9349</v>
      </c>
      <c r="W179" s="990" t="s">
        <v>32</v>
      </c>
    </row>
    <row r="180" spans="1:23" s="999" customFormat="1" x14ac:dyDescent="0.25">
      <c r="A180" s="995" t="s">
        <v>9625</v>
      </c>
      <c r="B180" s="995" t="s">
        <v>24</v>
      </c>
      <c r="C180" s="995" t="s">
        <v>106</v>
      </c>
      <c r="D180" s="1001">
        <v>38.474730000000001</v>
      </c>
      <c r="E180" s="1001">
        <v>-121.58311999999999</v>
      </c>
      <c r="F180" s="995" t="s">
        <v>9533</v>
      </c>
      <c r="G180" s="995" t="s">
        <v>90</v>
      </c>
      <c r="H180" s="995" t="s">
        <v>158</v>
      </c>
      <c r="I180" s="995" t="s">
        <v>9626</v>
      </c>
      <c r="J180" s="995" t="s">
        <v>28</v>
      </c>
      <c r="K180" s="995" t="s">
        <v>29</v>
      </c>
      <c r="L180" s="998" t="s">
        <v>30</v>
      </c>
      <c r="M180" s="995">
        <v>2</v>
      </c>
      <c r="N180" s="996">
        <v>10</v>
      </c>
      <c r="O180" s="997">
        <v>33.4</v>
      </c>
      <c r="P180" s="997">
        <v>824.5</v>
      </c>
      <c r="Q180" s="997">
        <v>0.3</v>
      </c>
      <c r="R180" s="997">
        <v>35.85</v>
      </c>
      <c r="S180" s="998" t="s">
        <v>50</v>
      </c>
      <c r="T180" s="995" t="s">
        <v>50</v>
      </c>
      <c r="U180" s="995" t="s">
        <v>50</v>
      </c>
      <c r="V180" s="1017" t="s">
        <v>10142</v>
      </c>
      <c r="W180" s="995" t="s">
        <v>32</v>
      </c>
    </row>
    <row r="181" spans="1:23" x14ac:dyDescent="0.25">
      <c r="A181" s="982" t="s">
        <v>9625</v>
      </c>
      <c r="B181" s="982" t="s">
        <v>24</v>
      </c>
      <c r="C181" s="982" t="s">
        <v>106</v>
      </c>
      <c r="D181" s="989">
        <v>38.188459999999999</v>
      </c>
      <c r="E181" s="989">
        <v>-121.65912</v>
      </c>
      <c r="F181" s="949" t="s">
        <v>9627</v>
      </c>
      <c r="G181" s="982" t="s">
        <v>90</v>
      </c>
      <c r="H181" s="982" t="s">
        <v>108</v>
      </c>
      <c r="I181" s="982" t="s">
        <v>9628</v>
      </c>
      <c r="J181" s="982" t="s">
        <v>28</v>
      </c>
      <c r="K181" s="982" t="s">
        <v>29</v>
      </c>
      <c r="L181" s="998" t="s">
        <v>30</v>
      </c>
      <c r="M181" s="982">
        <v>2</v>
      </c>
      <c r="N181" s="985">
        <v>10</v>
      </c>
      <c r="O181" s="987">
        <v>81.349999999999994</v>
      </c>
      <c r="P181" s="987">
        <v>194.45</v>
      </c>
      <c r="Q181" s="987">
        <v>1.5449999999999999</v>
      </c>
      <c r="R181" s="987">
        <v>6.7949999999999999</v>
      </c>
      <c r="S181" s="982" t="s">
        <v>50</v>
      </c>
      <c r="T181" s="982" t="s">
        <v>50</v>
      </c>
      <c r="U181" s="982" t="s">
        <v>50</v>
      </c>
      <c r="V181" s="983"/>
      <c r="W181" s="982" t="s">
        <v>32</v>
      </c>
    </row>
    <row r="182" spans="1:23" s="999" customFormat="1" x14ac:dyDescent="0.25">
      <c r="A182" s="995" t="s">
        <v>9625</v>
      </c>
      <c r="B182" s="995" t="s">
        <v>24</v>
      </c>
      <c r="C182" s="995" t="s">
        <v>106</v>
      </c>
      <c r="D182" s="1001">
        <v>38.466000000000001</v>
      </c>
      <c r="E182" s="1001">
        <v>-121.58627</v>
      </c>
      <c r="F182" s="995" t="s">
        <v>9629</v>
      </c>
      <c r="G182" s="995" t="s">
        <v>90</v>
      </c>
      <c r="H182" s="995" t="s">
        <v>25</v>
      </c>
      <c r="I182" s="995" t="s">
        <v>9630</v>
      </c>
      <c r="J182" s="995" t="s">
        <v>28</v>
      </c>
      <c r="K182" s="995" t="s">
        <v>29</v>
      </c>
      <c r="L182" s="998" t="s">
        <v>30</v>
      </c>
      <c r="M182" s="995">
        <v>2</v>
      </c>
      <c r="N182" s="996">
        <v>10</v>
      </c>
      <c r="O182" s="997">
        <v>35.15</v>
      </c>
      <c r="P182" s="997">
        <v>792.5</v>
      </c>
      <c r="Q182" s="997">
        <v>0.3</v>
      </c>
      <c r="R182" s="997">
        <v>33.6</v>
      </c>
      <c r="S182" s="998" t="s">
        <v>50</v>
      </c>
      <c r="T182" s="995" t="s">
        <v>50</v>
      </c>
      <c r="U182" s="995" t="s">
        <v>50</v>
      </c>
      <c r="V182" s="1017" t="s">
        <v>10130</v>
      </c>
      <c r="W182" s="995" t="s">
        <v>32</v>
      </c>
    </row>
    <row r="183" spans="1:23" s="999" customFormat="1" x14ac:dyDescent="0.25">
      <c r="A183" s="995" t="s">
        <v>9625</v>
      </c>
      <c r="B183" s="995" t="s">
        <v>24</v>
      </c>
      <c r="C183" s="995" t="s">
        <v>106</v>
      </c>
      <c r="D183" s="1001">
        <v>38.563220000000001</v>
      </c>
      <c r="E183" s="1001">
        <v>-121.54924</v>
      </c>
      <c r="F183" s="995" t="s">
        <v>9631</v>
      </c>
      <c r="G183" s="995" t="s">
        <v>90</v>
      </c>
      <c r="H183" s="995" t="s">
        <v>158</v>
      </c>
      <c r="I183" s="995" t="s">
        <v>9632</v>
      </c>
      <c r="J183" s="995" t="s">
        <v>28</v>
      </c>
      <c r="K183" s="995" t="s">
        <v>29</v>
      </c>
      <c r="L183" s="998" t="s">
        <v>30</v>
      </c>
      <c r="M183" s="995">
        <v>2</v>
      </c>
      <c r="N183" s="996">
        <v>10</v>
      </c>
      <c r="O183" s="997">
        <v>38.299999999999997</v>
      </c>
      <c r="P183" s="997">
        <v>1257.5</v>
      </c>
      <c r="Q183" s="997">
        <v>1.585</v>
      </c>
      <c r="R183" s="997">
        <v>6.2850000000000001</v>
      </c>
      <c r="S183" s="998" t="s">
        <v>50</v>
      </c>
      <c r="T183" s="995" t="s">
        <v>50</v>
      </c>
      <c r="U183" s="995" t="s">
        <v>50</v>
      </c>
      <c r="V183" s="1017" t="s">
        <v>10129</v>
      </c>
      <c r="W183" s="995" t="s">
        <v>32</v>
      </c>
    </row>
    <row r="184" spans="1:23" s="999" customFormat="1" x14ac:dyDescent="0.25">
      <c r="A184" s="995" t="s">
        <v>9625</v>
      </c>
      <c r="B184" s="995" t="s">
        <v>24</v>
      </c>
      <c r="C184" s="995" t="s">
        <v>106</v>
      </c>
      <c r="D184" s="1001">
        <v>38.561320000000002</v>
      </c>
      <c r="E184" s="1001">
        <v>-121.55784</v>
      </c>
      <c r="F184" s="995" t="s">
        <v>9633</v>
      </c>
      <c r="G184" s="995" t="s">
        <v>90</v>
      </c>
      <c r="H184" s="995" t="s">
        <v>158</v>
      </c>
      <c r="I184" s="995" t="s">
        <v>9634</v>
      </c>
      <c r="J184" s="995" t="s">
        <v>28</v>
      </c>
      <c r="K184" s="995" t="s">
        <v>29</v>
      </c>
      <c r="L184" s="998" t="s">
        <v>30</v>
      </c>
      <c r="M184" s="995">
        <v>2</v>
      </c>
      <c r="N184" s="996">
        <v>10</v>
      </c>
      <c r="O184" s="997">
        <v>38</v>
      </c>
      <c r="P184" s="997">
        <v>1243.5</v>
      </c>
      <c r="Q184" s="997">
        <v>1.51</v>
      </c>
      <c r="R184" s="997">
        <v>4.63</v>
      </c>
      <c r="S184" s="998" t="s">
        <v>50</v>
      </c>
      <c r="T184" s="995" t="s">
        <v>50</v>
      </c>
      <c r="U184" s="995" t="s">
        <v>50</v>
      </c>
      <c r="V184" s="1017" t="s">
        <v>10128</v>
      </c>
      <c r="W184" s="995" t="s">
        <v>32</v>
      </c>
    </row>
    <row r="185" spans="1:23" x14ac:dyDescent="0.25">
      <c r="A185" s="979" t="s">
        <v>9625</v>
      </c>
      <c r="B185" s="979" t="s">
        <v>24</v>
      </c>
      <c r="C185" s="979" t="s">
        <v>78</v>
      </c>
      <c r="D185" s="988">
        <v>38.162280000000003</v>
      </c>
      <c r="E185" s="988">
        <v>-121.93019</v>
      </c>
      <c r="F185" s="979" t="s">
        <v>9635</v>
      </c>
      <c r="G185" s="979" t="s">
        <v>27</v>
      </c>
      <c r="H185" s="979" t="s">
        <v>9409</v>
      </c>
      <c r="I185" s="979" t="s">
        <v>9636</v>
      </c>
      <c r="J185" s="979" t="s">
        <v>28</v>
      </c>
      <c r="K185" s="979" t="s">
        <v>29</v>
      </c>
      <c r="L185" s="1013" t="s">
        <v>30</v>
      </c>
      <c r="M185" s="979">
        <v>2</v>
      </c>
      <c r="N185" s="984">
        <v>10</v>
      </c>
      <c r="O185" s="986">
        <v>13.45</v>
      </c>
      <c r="P185" s="986">
        <v>5890</v>
      </c>
      <c r="Q185" s="986">
        <v>0.34499999999999997</v>
      </c>
      <c r="R185" s="986">
        <v>36.4</v>
      </c>
      <c r="S185" s="980" t="s">
        <v>31</v>
      </c>
      <c r="T185" s="984">
        <v>3</v>
      </c>
      <c r="U185" s="979" t="s">
        <v>9637</v>
      </c>
      <c r="V185" s="981" t="s">
        <v>9349</v>
      </c>
      <c r="W185" s="979" t="s">
        <v>32</v>
      </c>
    </row>
    <row r="186" spans="1:23" x14ac:dyDescent="0.25">
      <c r="A186" s="982" t="s">
        <v>9625</v>
      </c>
      <c r="B186" s="982" t="s">
        <v>24</v>
      </c>
      <c r="C186" s="982" t="s">
        <v>62</v>
      </c>
      <c r="D186" s="989">
        <v>38.150239999999997</v>
      </c>
      <c r="E186" s="989">
        <v>-121.91683</v>
      </c>
      <c r="F186" s="982" t="s">
        <v>9638</v>
      </c>
      <c r="G186" s="982" t="s">
        <v>27</v>
      </c>
      <c r="H186" s="982" t="s">
        <v>9409</v>
      </c>
      <c r="I186" s="982" t="s">
        <v>9639</v>
      </c>
      <c r="J186" s="982" t="s">
        <v>28</v>
      </c>
      <c r="K186" s="982" t="s">
        <v>29</v>
      </c>
      <c r="L186" s="998" t="s">
        <v>30</v>
      </c>
      <c r="M186" s="982">
        <v>2</v>
      </c>
      <c r="N186" s="985">
        <v>10</v>
      </c>
      <c r="O186" s="987">
        <v>14.95</v>
      </c>
      <c r="P186" s="987">
        <v>6039</v>
      </c>
      <c r="Q186" s="987">
        <v>0.44500000000000001</v>
      </c>
      <c r="R186" s="987">
        <v>22.5</v>
      </c>
      <c r="S186" s="982" t="s">
        <v>50</v>
      </c>
      <c r="T186" s="982" t="s">
        <v>50</v>
      </c>
      <c r="U186" s="982" t="s">
        <v>50</v>
      </c>
      <c r="V186" s="983" t="s">
        <v>9349</v>
      </c>
      <c r="W186" s="982" t="s">
        <v>32</v>
      </c>
    </row>
    <row r="187" spans="1:23" x14ac:dyDescent="0.25">
      <c r="A187" s="982" t="s">
        <v>9625</v>
      </c>
      <c r="B187" s="982" t="s">
        <v>24</v>
      </c>
      <c r="C187" s="982" t="s">
        <v>62</v>
      </c>
      <c r="D187" s="989">
        <v>38.177309999999999</v>
      </c>
      <c r="E187" s="989">
        <v>-121.00969000000001</v>
      </c>
      <c r="F187" s="982" t="s">
        <v>9640</v>
      </c>
      <c r="G187" s="982" t="s">
        <v>27</v>
      </c>
      <c r="H187" s="982" t="s">
        <v>9409</v>
      </c>
      <c r="I187" s="982" t="s">
        <v>9589</v>
      </c>
      <c r="J187" s="982" t="s">
        <v>28</v>
      </c>
      <c r="K187" s="982" t="s">
        <v>29</v>
      </c>
      <c r="L187" s="998" t="s">
        <v>30</v>
      </c>
      <c r="M187" s="982">
        <v>2</v>
      </c>
      <c r="N187" s="985">
        <v>10</v>
      </c>
      <c r="O187" s="987">
        <v>18.899999999999999</v>
      </c>
      <c r="P187" s="987">
        <v>5300</v>
      </c>
      <c r="Q187" s="987">
        <v>0.38500000000000001</v>
      </c>
      <c r="R187" s="987">
        <v>26.1</v>
      </c>
      <c r="S187" s="982" t="s">
        <v>50</v>
      </c>
      <c r="T187" s="982" t="s">
        <v>50</v>
      </c>
      <c r="U187" s="982" t="s">
        <v>50</v>
      </c>
      <c r="V187" s="983"/>
      <c r="W187" s="982" t="s">
        <v>32</v>
      </c>
    </row>
    <row r="188" spans="1:23" x14ac:dyDescent="0.25">
      <c r="A188" s="982" t="s">
        <v>9625</v>
      </c>
      <c r="B188" s="982" t="s">
        <v>24</v>
      </c>
      <c r="C188" s="982" t="s">
        <v>62</v>
      </c>
      <c r="D188" s="989">
        <v>38.15502</v>
      </c>
      <c r="E188" s="989">
        <v>-122.05231000000001</v>
      </c>
      <c r="F188" s="982" t="s">
        <v>9641</v>
      </c>
      <c r="G188" s="982" t="s">
        <v>27</v>
      </c>
      <c r="H188" s="982" t="s">
        <v>9409</v>
      </c>
      <c r="I188" s="982" t="s">
        <v>9443</v>
      </c>
      <c r="J188" s="982" t="s">
        <v>28</v>
      </c>
      <c r="K188" s="982" t="s">
        <v>29</v>
      </c>
      <c r="L188" s="998" t="s">
        <v>30</v>
      </c>
      <c r="M188" s="982">
        <v>2</v>
      </c>
      <c r="N188" s="985">
        <v>10</v>
      </c>
      <c r="O188" s="987">
        <v>37.049999999999997</v>
      </c>
      <c r="P188" s="987">
        <v>7395.5</v>
      </c>
      <c r="Q188" s="987">
        <v>0.315</v>
      </c>
      <c r="R188" s="987">
        <v>30.05</v>
      </c>
      <c r="S188" s="982" t="s">
        <v>50</v>
      </c>
      <c r="T188" s="982" t="s">
        <v>50</v>
      </c>
      <c r="U188" s="982" t="s">
        <v>50</v>
      </c>
      <c r="V188" s="983"/>
      <c r="W188" s="982" t="s">
        <v>32</v>
      </c>
    </row>
    <row r="189" spans="1:23" x14ac:dyDescent="0.25">
      <c r="A189" s="979" t="s">
        <v>9625</v>
      </c>
      <c r="B189" s="979" t="s">
        <v>24</v>
      </c>
      <c r="C189" s="979" t="s">
        <v>62</v>
      </c>
      <c r="D189" s="988">
        <v>38.18618</v>
      </c>
      <c r="E189" s="988">
        <v>-121.98145</v>
      </c>
      <c r="F189" s="979" t="s">
        <v>9642</v>
      </c>
      <c r="G189" s="979" t="s">
        <v>27</v>
      </c>
      <c r="H189" s="979" t="s">
        <v>9409</v>
      </c>
      <c r="I189" s="979" t="s">
        <v>9643</v>
      </c>
      <c r="J189" s="979" t="s">
        <v>28</v>
      </c>
      <c r="K189" s="979" t="s">
        <v>29</v>
      </c>
      <c r="L189" s="1013" t="s">
        <v>30</v>
      </c>
      <c r="M189" s="979">
        <v>2</v>
      </c>
      <c r="N189" s="984">
        <v>10</v>
      </c>
      <c r="O189" s="986">
        <v>20.6</v>
      </c>
      <c r="P189" s="986">
        <v>5440.5</v>
      </c>
      <c r="Q189" s="986">
        <v>0.21</v>
      </c>
      <c r="R189" s="986">
        <v>58.9</v>
      </c>
      <c r="S189" s="980" t="s">
        <v>31</v>
      </c>
      <c r="T189" s="984">
        <v>1</v>
      </c>
      <c r="U189" s="984">
        <v>26.2</v>
      </c>
      <c r="V189" s="981" t="s">
        <v>9349</v>
      </c>
      <c r="W189" s="979" t="s">
        <v>32</v>
      </c>
    </row>
    <row r="190" spans="1:23" s="999" customFormat="1" x14ac:dyDescent="0.25">
      <c r="A190" s="995" t="s">
        <v>9644</v>
      </c>
      <c r="B190" s="995" t="s">
        <v>9279</v>
      </c>
      <c r="C190" s="995" t="s">
        <v>106</v>
      </c>
      <c r="D190" s="1001">
        <v>38.347119999999997</v>
      </c>
      <c r="E190" s="1001">
        <v>-121.64085</v>
      </c>
      <c r="F190" s="995" t="s">
        <v>9645</v>
      </c>
      <c r="G190" s="995" t="s">
        <v>90</v>
      </c>
      <c r="H190" s="995" t="s">
        <v>108</v>
      </c>
      <c r="I190" s="995" t="s">
        <v>9646</v>
      </c>
      <c r="J190" s="995" t="s">
        <v>28</v>
      </c>
      <c r="K190" s="995" t="s">
        <v>29</v>
      </c>
      <c r="L190" s="995" t="s">
        <v>30</v>
      </c>
      <c r="M190" s="995">
        <v>2</v>
      </c>
      <c r="N190" s="996">
        <v>10</v>
      </c>
      <c r="O190" s="996">
        <v>32.799999999999997</v>
      </c>
      <c r="P190" s="996">
        <v>377.5</v>
      </c>
      <c r="Q190" s="996">
        <v>0.35499999999999998</v>
      </c>
      <c r="R190" s="996">
        <v>22.15</v>
      </c>
      <c r="S190" s="998" t="s">
        <v>50</v>
      </c>
      <c r="T190" s="995" t="s">
        <v>50</v>
      </c>
      <c r="U190" s="995" t="s">
        <v>50</v>
      </c>
      <c r="V190" s="1017" t="s">
        <v>10143</v>
      </c>
      <c r="W190" s="995" t="s">
        <v>32</v>
      </c>
    </row>
    <row r="191" spans="1:23" x14ac:dyDescent="0.25">
      <c r="A191" s="982" t="s">
        <v>9644</v>
      </c>
      <c r="B191" s="982" t="s">
        <v>9279</v>
      </c>
      <c r="C191" s="982" t="s">
        <v>106</v>
      </c>
      <c r="D191" s="989">
        <v>38.2104</v>
      </c>
      <c r="E191" s="989">
        <v>-121.66200000000001</v>
      </c>
      <c r="F191" s="982" t="s">
        <v>9647</v>
      </c>
      <c r="G191" s="982" t="s">
        <v>90</v>
      </c>
      <c r="H191" s="982" t="s">
        <v>108</v>
      </c>
      <c r="I191" s="982" t="s">
        <v>9414</v>
      </c>
      <c r="J191" s="982" t="s">
        <v>28</v>
      </c>
      <c r="K191" s="982" t="s">
        <v>29</v>
      </c>
      <c r="L191" s="982" t="s">
        <v>30</v>
      </c>
      <c r="M191" s="982">
        <v>2</v>
      </c>
      <c r="N191" s="985">
        <v>10</v>
      </c>
      <c r="O191" s="985">
        <v>45.05</v>
      </c>
      <c r="P191" s="985">
        <v>198.4</v>
      </c>
      <c r="Q191" s="985">
        <v>1.075</v>
      </c>
      <c r="R191" s="985">
        <v>7.24</v>
      </c>
      <c r="S191" s="982" t="s">
        <v>50</v>
      </c>
      <c r="T191" s="982" t="s">
        <v>50</v>
      </c>
      <c r="U191" s="982" t="s">
        <v>50</v>
      </c>
      <c r="V191" s="983" t="s">
        <v>9349</v>
      </c>
      <c r="W191" s="982" t="s">
        <v>32</v>
      </c>
    </row>
    <row r="192" spans="1:23" x14ac:dyDescent="0.25">
      <c r="A192" s="982" t="s">
        <v>9644</v>
      </c>
      <c r="B192" s="982" t="s">
        <v>9279</v>
      </c>
      <c r="C192" s="982" t="s">
        <v>106</v>
      </c>
      <c r="D192" s="989">
        <v>38.250860000000003</v>
      </c>
      <c r="E192" s="989">
        <v>-121.66722</v>
      </c>
      <c r="F192" s="982" t="s">
        <v>9648</v>
      </c>
      <c r="G192" s="982" t="s">
        <v>90</v>
      </c>
      <c r="H192" s="982" t="s">
        <v>108</v>
      </c>
      <c r="I192" s="982" t="s">
        <v>9649</v>
      </c>
      <c r="J192" s="982" t="s">
        <v>28</v>
      </c>
      <c r="K192" s="982" t="s">
        <v>29</v>
      </c>
      <c r="L192" s="982" t="s">
        <v>30</v>
      </c>
      <c r="M192" s="982">
        <v>2</v>
      </c>
      <c r="N192" s="985">
        <v>10</v>
      </c>
      <c r="O192" s="985">
        <v>15.5</v>
      </c>
      <c r="P192" s="985">
        <v>190.95</v>
      </c>
      <c r="Q192" s="985">
        <v>0.96499999999999997</v>
      </c>
      <c r="R192" s="985">
        <v>9.1300000000000008</v>
      </c>
      <c r="S192" s="982" t="s">
        <v>50</v>
      </c>
      <c r="T192" s="982" t="s">
        <v>50</v>
      </c>
      <c r="U192" s="982" t="s">
        <v>50</v>
      </c>
      <c r="V192" s="983" t="s">
        <v>9349</v>
      </c>
      <c r="W192" s="982" t="s">
        <v>32</v>
      </c>
    </row>
    <row r="193" spans="1:23" x14ac:dyDescent="0.25">
      <c r="A193" s="982" t="s">
        <v>9644</v>
      </c>
      <c r="B193" s="982" t="s">
        <v>9279</v>
      </c>
      <c r="C193" s="982" t="s">
        <v>106</v>
      </c>
      <c r="D193" s="989">
        <v>38.203699999999998</v>
      </c>
      <c r="E193" s="989">
        <v>-121.65586999999999</v>
      </c>
      <c r="F193" s="982" t="s">
        <v>9650</v>
      </c>
      <c r="G193" s="982" t="s">
        <v>90</v>
      </c>
      <c r="H193" s="982" t="s">
        <v>108</v>
      </c>
      <c r="I193" s="982" t="s">
        <v>9651</v>
      </c>
      <c r="J193" s="982" t="s">
        <v>28</v>
      </c>
      <c r="K193" s="982" t="s">
        <v>29</v>
      </c>
      <c r="L193" s="982" t="s">
        <v>30</v>
      </c>
      <c r="M193" s="982">
        <v>2</v>
      </c>
      <c r="N193" s="985">
        <v>10</v>
      </c>
      <c r="O193" s="985">
        <v>47.05</v>
      </c>
      <c r="P193" s="985">
        <v>199.55</v>
      </c>
      <c r="Q193" s="985">
        <v>1.1499999999999999</v>
      </c>
      <c r="R193" s="985">
        <v>7.1950000000000003</v>
      </c>
      <c r="S193" s="982" t="s">
        <v>50</v>
      </c>
      <c r="T193" s="982" t="s">
        <v>50</v>
      </c>
      <c r="U193" s="982" t="s">
        <v>50</v>
      </c>
      <c r="V193" s="983" t="s">
        <v>9349</v>
      </c>
      <c r="W193" s="982" t="s">
        <v>32</v>
      </c>
    </row>
    <row r="194" spans="1:23" x14ac:dyDescent="0.25">
      <c r="A194" s="1025" t="s">
        <v>9644</v>
      </c>
      <c r="B194" s="1025" t="s">
        <v>9279</v>
      </c>
      <c r="C194" s="1025" t="s">
        <v>106</v>
      </c>
      <c r="D194" s="1028">
        <v>38.450609999999998</v>
      </c>
      <c r="E194" s="1028">
        <v>-121.59327</v>
      </c>
      <c r="F194" s="1025" t="s">
        <v>9652</v>
      </c>
      <c r="G194" s="1025" t="s">
        <v>90</v>
      </c>
      <c r="H194" s="1025" t="s">
        <v>108</v>
      </c>
      <c r="I194" s="1025" t="s">
        <v>9433</v>
      </c>
      <c r="J194" s="1025" t="s">
        <v>28</v>
      </c>
      <c r="K194" s="1025" t="s">
        <v>29</v>
      </c>
      <c r="L194" s="1025" t="s">
        <v>30</v>
      </c>
      <c r="M194" s="1025">
        <v>2</v>
      </c>
      <c r="N194" s="1027">
        <v>10</v>
      </c>
      <c r="O194" s="1033">
        <v>32.975000000000001</v>
      </c>
      <c r="P194" s="1033">
        <v>784</v>
      </c>
      <c r="Q194" s="1033">
        <v>0.26</v>
      </c>
      <c r="R194" s="1033">
        <v>30.6</v>
      </c>
      <c r="S194" s="1026" t="s">
        <v>323</v>
      </c>
      <c r="T194" s="1027">
        <v>3</v>
      </c>
      <c r="U194" s="1025" t="s">
        <v>9653</v>
      </c>
      <c r="V194" s="1107" t="s">
        <v>10144</v>
      </c>
      <c r="W194" s="1025" t="s">
        <v>32</v>
      </c>
    </row>
    <row r="195" spans="1:23" x14ac:dyDescent="0.25">
      <c r="A195" s="979" t="s">
        <v>9644</v>
      </c>
      <c r="B195" s="979" t="s">
        <v>9279</v>
      </c>
      <c r="C195" s="979" t="s">
        <v>106</v>
      </c>
      <c r="D195" s="988">
        <v>38.450609999999998</v>
      </c>
      <c r="E195" s="988">
        <v>-121.59327</v>
      </c>
      <c r="F195" s="979" t="s">
        <v>9652</v>
      </c>
      <c r="G195" s="979" t="s">
        <v>90</v>
      </c>
      <c r="H195" s="979" t="s">
        <v>108</v>
      </c>
      <c r="I195" s="979" t="s">
        <v>9433</v>
      </c>
      <c r="J195" s="979" t="s">
        <v>28</v>
      </c>
      <c r="K195" s="979" t="s">
        <v>29</v>
      </c>
      <c r="L195" s="979" t="s">
        <v>30</v>
      </c>
      <c r="M195" s="979">
        <v>2</v>
      </c>
      <c r="N195" s="984">
        <v>10</v>
      </c>
      <c r="O195" s="986">
        <v>32.975000000000001</v>
      </c>
      <c r="P195" s="986">
        <v>784</v>
      </c>
      <c r="Q195" s="986">
        <v>0.26</v>
      </c>
      <c r="R195" s="986">
        <v>30.6</v>
      </c>
      <c r="S195" s="980" t="s">
        <v>926</v>
      </c>
      <c r="T195" s="984">
        <v>4</v>
      </c>
      <c r="U195" s="979" t="s">
        <v>50</v>
      </c>
      <c r="V195" s="981" t="s">
        <v>9664</v>
      </c>
      <c r="W195" s="979" t="s">
        <v>32</v>
      </c>
    </row>
    <row r="196" spans="1:23" x14ac:dyDescent="0.25">
      <c r="A196" s="979" t="s">
        <v>9644</v>
      </c>
      <c r="B196" s="979" t="s">
        <v>9279</v>
      </c>
      <c r="C196" s="979" t="s">
        <v>62</v>
      </c>
      <c r="D196" s="988">
        <v>38.105629999999998</v>
      </c>
      <c r="E196" s="988">
        <v>-122.05358</v>
      </c>
      <c r="F196" s="979" t="s">
        <v>9654</v>
      </c>
      <c r="G196" s="979" t="s">
        <v>27</v>
      </c>
      <c r="H196" s="979" t="s">
        <v>173</v>
      </c>
      <c r="I196" s="979" t="s">
        <v>9655</v>
      </c>
      <c r="J196" s="979" t="s">
        <v>28</v>
      </c>
      <c r="K196" s="979" t="s">
        <v>29</v>
      </c>
      <c r="L196" s="979" t="s">
        <v>30</v>
      </c>
      <c r="M196" s="979">
        <v>2</v>
      </c>
      <c r="N196" s="984">
        <v>10</v>
      </c>
      <c r="O196" s="986">
        <v>9.5500000000000007</v>
      </c>
      <c r="P196" s="986">
        <v>12986</v>
      </c>
      <c r="Q196" s="986">
        <v>0.38</v>
      </c>
      <c r="R196" s="986">
        <v>27.05</v>
      </c>
      <c r="S196" s="980" t="s">
        <v>31</v>
      </c>
      <c r="T196" s="984">
        <v>2</v>
      </c>
      <c r="U196" s="979" t="s">
        <v>9698</v>
      </c>
      <c r="V196" s="981" t="s">
        <v>9349</v>
      </c>
      <c r="W196" s="979" t="s">
        <v>32</v>
      </c>
    </row>
    <row r="197" spans="1:23" x14ac:dyDescent="0.25">
      <c r="A197" s="979" t="s">
        <v>9644</v>
      </c>
      <c r="B197" s="979" t="s">
        <v>9279</v>
      </c>
      <c r="C197" s="979" t="s">
        <v>62</v>
      </c>
      <c r="D197" s="988">
        <v>38.105800000000002</v>
      </c>
      <c r="E197" s="988">
        <v>-122.04826</v>
      </c>
      <c r="F197" s="979" t="s">
        <v>9656</v>
      </c>
      <c r="G197" s="979" t="s">
        <v>27</v>
      </c>
      <c r="H197" s="979" t="s">
        <v>173</v>
      </c>
      <c r="I197" s="979" t="s">
        <v>9657</v>
      </c>
      <c r="J197" s="979" t="s">
        <v>28</v>
      </c>
      <c r="K197" s="979" t="s">
        <v>29</v>
      </c>
      <c r="L197" s="979" t="s">
        <v>30</v>
      </c>
      <c r="M197" s="979">
        <v>2</v>
      </c>
      <c r="N197" s="984">
        <v>10</v>
      </c>
      <c r="O197" s="986">
        <v>7.85</v>
      </c>
      <c r="P197" s="986">
        <v>13903.5</v>
      </c>
      <c r="Q197" s="986">
        <v>0.35499999999999998</v>
      </c>
      <c r="R197" s="986">
        <v>28.7</v>
      </c>
      <c r="S197" s="980" t="s">
        <v>31</v>
      </c>
      <c r="T197" s="984">
        <v>2</v>
      </c>
      <c r="U197" s="979" t="s">
        <v>9658</v>
      </c>
      <c r="V197" s="981" t="s">
        <v>9349</v>
      </c>
      <c r="W197" s="979" t="s">
        <v>32</v>
      </c>
    </row>
    <row r="198" spans="1:23" x14ac:dyDescent="0.25">
      <c r="A198" s="979" t="s">
        <v>9644</v>
      </c>
      <c r="B198" s="979" t="s">
        <v>9279</v>
      </c>
      <c r="C198" s="979" t="s">
        <v>62</v>
      </c>
      <c r="D198" s="988">
        <v>38.193869999999997</v>
      </c>
      <c r="E198" s="988">
        <v>-122.04026</v>
      </c>
      <c r="F198" s="979" t="s">
        <v>9659</v>
      </c>
      <c r="G198" s="979" t="s">
        <v>27</v>
      </c>
      <c r="H198" s="979" t="s">
        <v>9409</v>
      </c>
      <c r="I198" s="979" t="s">
        <v>9477</v>
      </c>
      <c r="J198" s="979" t="s">
        <v>28</v>
      </c>
      <c r="K198" s="979" t="s">
        <v>29</v>
      </c>
      <c r="L198" s="979" t="s">
        <v>30</v>
      </c>
      <c r="M198" s="979">
        <v>2</v>
      </c>
      <c r="N198" s="984">
        <v>10</v>
      </c>
      <c r="O198" s="986">
        <v>19</v>
      </c>
      <c r="P198" s="986">
        <v>5898.5</v>
      </c>
      <c r="Q198" s="986">
        <v>0.17499999999999999</v>
      </c>
      <c r="R198" s="986">
        <v>64.849999999999994</v>
      </c>
      <c r="S198" s="980" t="s">
        <v>31</v>
      </c>
      <c r="T198" s="984">
        <v>13</v>
      </c>
      <c r="U198" s="979" t="s">
        <v>9660</v>
      </c>
      <c r="V198" s="981" t="s">
        <v>9349</v>
      </c>
      <c r="W198" s="979" t="s">
        <v>32</v>
      </c>
    </row>
    <row r="199" spans="1:23" x14ac:dyDescent="0.25">
      <c r="A199" s="979" t="s">
        <v>9644</v>
      </c>
      <c r="B199" s="979" t="s">
        <v>9279</v>
      </c>
      <c r="C199" s="979" t="s">
        <v>62</v>
      </c>
      <c r="D199" s="988">
        <v>38.120989999999999</v>
      </c>
      <c r="E199" s="988">
        <v>-122.07550999999999</v>
      </c>
      <c r="F199" s="979" t="s">
        <v>9661</v>
      </c>
      <c r="G199" s="979" t="s">
        <v>27</v>
      </c>
      <c r="H199" s="979" t="s">
        <v>9409</v>
      </c>
      <c r="I199" s="979" t="s">
        <v>9662</v>
      </c>
      <c r="J199" s="979" t="s">
        <v>28</v>
      </c>
      <c r="K199" s="979" t="s">
        <v>29</v>
      </c>
      <c r="L199" s="979" t="s">
        <v>30</v>
      </c>
      <c r="M199" s="979">
        <v>2</v>
      </c>
      <c r="N199" s="984">
        <v>10</v>
      </c>
      <c r="O199" s="986">
        <v>8.5500000000000007</v>
      </c>
      <c r="P199" s="986">
        <v>11671.5</v>
      </c>
      <c r="Q199" s="986">
        <v>0.38</v>
      </c>
      <c r="R199" s="986">
        <v>30.9</v>
      </c>
      <c r="S199" s="980" t="s">
        <v>31</v>
      </c>
      <c r="T199" s="984">
        <v>1</v>
      </c>
      <c r="U199" s="984">
        <v>24.2</v>
      </c>
      <c r="V199" s="981" t="s">
        <v>9349</v>
      </c>
      <c r="W199" s="979" t="s">
        <v>32</v>
      </c>
    </row>
    <row r="200" spans="1:23" x14ac:dyDescent="0.25">
      <c r="A200" s="982" t="s">
        <v>9644</v>
      </c>
      <c r="B200" s="982" t="s">
        <v>9279</v>
      </c>
      <c r="C200" s="982" t="s">
        <v>62</v>
      </c>
      <c r="D200" s="989">
        <v>38.127110000000002</v>
      </c>
      <c r="E200" s="989">
        <v>-122.08249000000001</v>
      </c>
      <c r="F200" s="982" t="s">
        <v>9663</v>
      </c>
      <c r="G200" s="982" t="s">
        <v>27</v>
      </c>
      <c r="H200" s="982" t="s">
        <v>9409</v>
      </c>
      <c r="I200" s="982" t="s">
        <v>9490</v>
      </c>
      <c r="J200" s="982" t="s">
        <v>28</v>
      </c>
      <c r="K200" s="982" t="s">
        <v>29</v>
      </c>
      <c r="L200" s="982" t="s">
        <v>30</v>
      </c>
      <c r="M200" s="982">
        <v>2</v>
      </c>
      <c r="N200" s="985">
        <v>10</v>
      </c>
      <c r="O200" s="987">
        <v>11.55</v>
      </c>
      <c r="P200" s="987">
        <v>11611.5</v>
      </c>
      <c r="Q200" s="987">
        <v>0.36499999999999999</v>
      </c>
      <c r="R200" s="987">
        <v>30.95</v>
      </c>
      <c r="S200" s="982" t="s">
        <v>50</v>
      </c>
      <c r="T200" s="982" t="s">
        <v>50</v>
      </c>
      <c r="U200" s="982" t="s">
        <v>50</v>
      </c>
      <c r="V200" s="983" t="s">
        <v>9349</v>
      </c>
      <c r="W200" s="982" t="s">
        <v>32</v>
      </c>
    </row>
    <row r="201" spans="1:23" x14ac:dyDescent="0.25">
      <c r="A201" s="982" t="s">
        <v>9665</v>
      </c>
      <c r="B201" s="982" t="s">
        <v>9296</v>
      </c>
      <c r="C201" s="982" t="s">
        <v>845</v>
      </c>
      <c r="D201" s="989">
        <v>38.318860000000001</v>
      </c>
      <c r="E201" s="989">
        <v>-121.66613</v>
      </c>
      <c r="F201" s="982" t="s">
        <v>9666</v>
      </c>
      <c r="G201" s="982" t="s">
        <v>90</v>
      </c>
      <c r="H201" s="982" t="s">
        <v>9394</v>
      </c>
      <c r="I201" s="982" t="s">
        <v>9667</v>
      </c>
      <c r="J201" s="982" t="s">
        <v>28</v>
      </c>
      <c r="K201" s="982" t="s">
        <v>29</v>
      </c>
      <c r="L201" s="982" t="s">
        <v>30</v>
      </c>
      <c r="M201" s="982">
        <v>2</v>
      </c>
      <c r="N201" s="985">
        <v>10</v>
      </c>
      <c r="O201" s="987">
        <v>17.7</v>
      </c>
      <c r="P201" s="987">
        <v>309.35000000000002</v>
      </c>
      <c r="Q201" s="987">
        <v>0.84499999999999997</v>
      </c>
      <c r="R201" s="987">
        <v>8.8800000000000008</v>
      </c>
      <c r="S201" s="982" t="s">
        <v>50</v>
      </c>
      <c r="T201" s="982" t="s">
        <v>50</v>
      </c>
      <c r="U201" s="982" t="s">
        <v>50</v>
      </c>
      <c r="V201" s="983" t="s">
        <v>9349</v>
      </c>
      <c r="W201" s="982" t="s">
        <v>32</v>
      </c>
    </row>
    <row r="202" spans="1:23" x14ac:dyDescent="0.25">
      <c r="A202" s="982" t="s">
        <v>9665</v>
      </c>
      <c r="B202" s="982" t="s">
        <v>9296</v>
      </c>
      <c r="C202" s="982" t="s">
        <v>845</v>
      </c>
      <c r="D202" s="989">
        <v>38.29815</v>
      </c>
      <c r="E202" s="989">
        <v>-121.65817</v>
      </c>
      <c r="F202" s="982" t="s">
        <v>9668</v>
      </c>
      <c r="G202" s="982" t="s">
        <v>90</v>
      </c>
      <c r="H202" s="982" t="s">
        <v>9394</v>
      </c>
      <c r="I202" s="982" t="s">
        <v>9669</v>
      </c>
      <c r="J202" s="982" t="s">
        <v>28</v>
      </c>
      <c r="K202" s="982" t="s">
        <v>29</v>
      </c>
      <c r="L202" s="982" t="s">
        <v>30</v>
      </c>
      <c r="M202" s="982">
        <v>2</v>
      </c>
      <c r="N202" s="985">
        <v>10</v>
      </c>
      <c r="O202" s="987">
        <v>16.5</v>
      </c>
      <c r="P202" s="987">
        <v>287.35000000000002</v>
      </c>
      <c r="Q202" s="987">
        <v>0.79500000000000004</v>
      </c>
      <c r="R202" s="987">
        <v>10.4</v>
      </c>
      <c r="S202" s="982" t="s">
        <v>50</v>
      </c>
      <c r="T202" s="982" t="s">
        <v>50</v>
      </c>
      <c r="U202" s="982" t="s">
        <v>50</v>
      </c>
      <c r="V202" s="983" t="s">
        <v>9349</v>
      </c>
      <c r="W202" s="982" t="s">
        <v>32</v>
      </c>
    </row>
    <row r="203" spans="1:23" x14ac:dyDescent="0.25">
      <c r="A203" s="982" t="s">
        <v>9665</v>
      </c>
      <c r="B203" s="982" t="s">
        <v>9296</v>
      </c>
      <c r="C203" s="982" t="s">
        <v>845</v>
      </c>
      <c r="D203" s="989">
        <v>38.258319999999998</v>
      </c>
      <c r="E203" s="989">
        <v>-121.67019999999999</v>
      </c>
      <c r="F203" s="982" t="s">
        <v>9670</v>
      </c>
      <c r="G203" s="982" t="s">
        <v>90</v>
      </c>
      <c r="H203" s="982" t="s">
        <v>9394</v>
      </c>
      <c r="I203" s="982" t="s">
        <v>9671</v>
      </c>
      <c r="J203" s="982" t="s">
        <v>28</v>
      </c>
      <c r="K203" s="982" t="s">
        <v>29</v>
      </c>
      <c r="L203" s="982" t="s">
        <v>30</v>
      </c>
      <c r="M203" s="982">
        <v>2</v>
      </c>
      <c r="N203" s="985">
        <v>10</v>
      </c>
      <c r="O203" s="987">
        <v>31.45</v>
      </c>
      <c r="P203" s="987">
        <v>217.55</v>
      </c>
      <c r="Q203" s="987">
        <v>1.48</v>
      </c>
      <c r="R203" s="987">
        <v>5.415</v>
      </c>
      <c r="S203" s="982" t="s">
        <v>50</v>
      </c>
      <c r="T203" s="982" t="s">
        <v>50</v>
      </c>
      <c r="U203" s="982" t="s">
        <v>50</v>
      </c>
      <c r="V203" s="983" t="s">
        <v>9349</v>
      </c>
      <c r="W203" s="982" t="s">
        <v>32</v>
      </c>
    </row>
    <row r="204" spans="1:23" x14ac:dyDescent="0.25">
      <c r="A204" s="982" t="s">
        <v>9665</v>
      </c>
      <c r="B204" s="982" t="s">
        <v>9296</v>
      </c>
      <c r="C204" s="982" t="s">
        <v>845</v>
      </c>
      <c r="D204" s="989">
        <v>38.258830000000003</v>
      </c>
      <c r="E204" s="989">
        <v>-121.73922</v>
      </c>
      <c r="F204" s="982" t="s">
        <v>9672</v>
      </c>
      <c r="G204" s="982" t="s">
        <v>90</v>
      </c>
      <c r="H204" s="982" t="s">
        <v>9394</v>
      </c>
      <c r="I204" s="982" t="s">
        <v>9358</v>
      </c>
      <c r="J204" s="982" t="s">
        <v>28</v>
      </c>
      <c r="K204" s="982" t="s">
        <v>29</v>
      </c>
      <c r="L204" s="982" t="s">
        <v>30</v>
      </c>
      <c r="M204" s="982">
        <v>2</v>
      </c>
      <c r="N204" s="985">
        <v>10</v>
      </c>
      <c r="O204" s="987">
        <v>12.55</v>
      </c>
      <c r="P204" s="987">
        <v>225.95</v>
      </c>
      <c r="Q204" s="987">
        <v>1.0049999999999999</v>
      </c>
      <c r="R204" s="987">
        <v>8.76</v>
      </c>
      <c r="S204" s="982" t="s">
        <v>50</v>
      </c>
      <c r="T204" s="982" t="s">
        <v>50</v>
      </c>
      <c r="U204" s="982" t="s">
        <v>50</v>
      </c>
      <c r="V204" s="983" t="s">
        <v>9349</v>
      </c>
      <c r="W204" s="982" t="s">
        <v>32</v>
      </c>
    </row>
    <row r="205" spans="1:23" x14ac:dyDescent="0.25">
      <c r="A205" s="982" t="s">
        <v>9665</v>
      </c>
      <c r="B205" s="982" t="s">
        <v>9296</v>
      </c>
      <c r="C205" s="982" t="s">
        <v>845</v>
      </c>
      <c r="D205" s="989">
        <v>38.245570000000001</v>
      </c>
      <c r="E205" s="989">
        <v>-121.67659999999999</v>
      </c>
      <c r="F205" s="982" t="s">
        <v>9673</v>
      </c>
      <c r="G205" s="982" t="s">
        <v>90</v>
      </c>
      <c r="H205" s="982" t="s">
        <v>9394</v>
      </c>
      <c r="I205" s="982" t="s">
        <v>9579</v>
      </c>
      <c r="J205" s="982" t="s">
        <v>28</v>
      </c>
      <c r="K205" s="982" t="s">
        <v>29</v>
      </c>
      <c r="L205" s="982" t="s">
        <v>30</v>
      </c>
      <c r="M205" s="982">
        <v>2</v>
      </c>
      <c r="N205" s="985">
        <v>10</v>
      </c>
      <c r="O205" s="987">
        <v>41.8</v>
      </c>
      <c r="P205" s="987">
        <v>194.95</v>
      </c>
      <c r="Q205" s="987">
        <v>1.35</v>
      </c>
      <c r="R205" s="987">
        <v>9.27</v>
      </c>
      <c r="S205" s="982" t="s">
        <v>50</v>
      </c>
      <c r="T205" s="982" t="s">
        <v>50</v>
      </c>
      <c r="U205" s="982" t="s">
        <v>50</v>
      </c>
      <c r="V205" s="983" t="s">
        <v>9349</v>
      </c>
      <c r="W205" s="982" t="s">
        <v>32</v>
      </c>
    </row>
    <row r="206" spans="1:23" x14ac:dyDescent="0.25">
      <c r="A206" s="982" t="s">
        <v>9665</v>
      </c>
      <c r="B206" s="982" t="s">
        <v>9296</v>
      </c>
      <c r="C206" s="982" t="s">
        <v>95</v>
      </c>
      <c r="D206" s="989">
        <v>38.031239999999997</v>
      </c>
      <c r="E206" s="989">
        <v>-121.73138</v>
      </c>
      <c r="F206" s="982" t="s">
        <v>9674</v>
      </c>
      <c r="G206" s="982" t="s">
        <v>27</v>
      </c>
      <c r="H206" s="982" t="s">
        <v>9460</v>
      </c>
      <c r="I206" s="982" t="s">
        <v>9358</v>
      </c>
      <c r="J206" s="982" t="s">
        <v>28</v>
      </c>
      <c r="K206" s="982" t="s">
        <v>29</v>
      </c>
      <c r="L206" s="982" t="s">
        <v>30</v>
      </c>
      <c r="M206" s="982">
        <v>2</v>
      </c>
      <c r="N206" s="985">
        <v>10</v>
      </c>
      <c r="O206" s="987">
        <v>38.049999999999997</v>
      </c>
      <c r="P206" s="987">
        <v>1308</v>
      </c>
      <c r="Q206" s="987">
        <v>0.56999999999999995</v>
      </c>
      <c r="R206" s="987">
        <v>16.25</v>
      </c>
      <c r="S206" s="982" t="s">
        <v>50</v>
      </c>
      <c r="T206" s="982" t="s">
        <v>50</v>
      </c>
      <c r="U206" s="982" t="s">
        <v>50</v>
      </c>
      <c r="V206" s="983" t="s">
        <v>9349</v>
      </c>
      <c r="W206" s="982" t="s">
        <v>32</v>
      </c>
    </row>
    <row r="207" spans="1:23" x14ac:dyDescent="0.25">
      <c r="A207" s="982" t="s">
        <v>9665</v>
      </c>
      <c r="B207" s="982" t="s">
        <v>9296</v>
      </c>
      <c r="C207" s="982" t="s">
        <v>95</v>
      </c>
      <c r="D207" s="989">
        <v>38.016109999999998</v>
      </c>
      <c r="E207" s="989">
        <v>-121.79008</v>
      </c>
      <c r="F207" s="982" t="s">
        <v>9675</v>
      </c>
      <c r="G207" s="982" t="s">
        <v>27</v>
      </c>
      <c r="H207" s="982" t="s">
        <v>9460</v>
      </c>
      <c r="I207" s="982" t="s">
        <v>9676</v>
      </c>
      <c r="J207" s="982" t="s">
        <v>28</v>
      </c>
      <c r="K207" s="982" t="s">
        <v>29</v>
      </c>
      <c r="L207" s="982" t="s">
        <v>30</v>
      </c>
      <c r="M207" s="982">
        <v>2</v>
      </c>
      <c r="N207" s="985">
        <v>10</v>
      </c>
      <c r="O207" s="987">
        <v>32</v>
      </c>
      <c r="P207" s="987">
        <v>3433</v>
      </c>
      <c r="Q207" s="987">
        <v>0.52500000000000002</v>
      </c>
      <c r="R207" s="987">
        <v>15.5</v>
      </c>
      <c r="S207" s="982" t="s">
        <v>50</v>
      </c>
      <c r="T207" s="982" t="s">
        <v>50</v>
      </c>
      <c r="U207" s="982" t="s">
        <v>50</v>
      </c>
      <c r="V207" s="983" t="s">
        <v>9349</v>
      </c>
      <c r="W207" s="982" t="s">
        <v>32</v>
      </c>
    </row>
    <row r="208" spans="1:23" x14ac:dyDescent="0.25">
      <c r="A208" s="982" t="s">
        <v>9665</v>
      </c>
      <c r="B208" s="982" t="s">
        <v>9296</v>
      </c>
      <c r="C208" s="982" t="s">
        <v>95</v>
      </c>
      <c r="D208" s="989">
        <v>38.025770000000001</v>
      </c>
      <c r="E208" s="989">
        <v>-121.7217</v>
      </c>
      <c r="F208" s="982" t="s">
        <v>9677</v>
      </c>
      <c r="G208" s="982" t="s">
        <v>27</v>
      </c>
      <c r="H208" s="982" t="s">
        <v>9460</v>
      </c>
      <c r="I208" s="982" t="s">
        <v>9678</v>
      </c>
      <c r="J208" s="982" t="s">
        <v>28</v>
      </c>
      <c r="K208" s="982" t="s">
        <v>29</v>
      </c>
      <c r="L208" s="982" t="s">
        <v>30</v>
      </c>
      <c r="M208" s="982">
        <v>2</v>
      </c>
      <c r="N208" s="985">
        <v>10</v>
      </c>
      <c r="O208" s="987">
        <v>19.399999999999999</v>
      </c>
      <c r="P208" s="987">
        <v>957.5</v>
      </c>
      <c r="Q208" s="987">
        <v>0.75</v>
      </c>
      <c r="R208" s="987">
        <v>12.45</v>
      </c>
      <c r="S208" s="982" t="s">
        <v>50</v>
      </c>
      <c r="T208" s="982" t="s">
        <v>50</v>
      </c>
      <c r="U208" s="982" t="s">
        <v>50</v>
      </c>
      <c r="V208" s="983" t="s">
        <v>9349</v>
      </c>
      <c r="W208" s="982" t="s">
        <v>32</v>
      </c>
    </row>
    <row r="209" spans="1:23" x14ac:dyDescent="0.25">
      <c r="A209" s="982" t="s">
        <v>9665</v>
      </c>
      <c r="B209" s="982" t="s">
        <v>9296</v>
      </c>
      <c r="C209" s="982" t="s">
        <v>95</v>
      </c>
      <c r="D209" s="989">
        <v>38.08896</v>
      </c>
      <c r="E209" s="989">
        <v>-121.57255000000001</v>
      </c>
      <c r="F209" s="982" t="s">
        <v>9679</v>
      </c>
      <c r="G209" s="982" t="s">
        <v>46</v>
      </c>
      <c r="H209" s="982" t="s">
        <v>9438</v>
      </c>
      <c r="I209" s="982" t="s">
        <v>9484</v>
      </c>
      <c r="J209" s="982" t="s">
        <v>28</v>
      </c>
      <c r="K209" s="982" t="s">
        <v>29</v>
      </c>
      <c r="L209" s="982" t="s">
        <v>30</v>
      </c>
      <c r="M209" s="982">
        <v>2</v>
      </c>
      <c r="N209" s="985">
        <v>10</v>
      </c>
      <c r="O209" s="987">
        <v>24.65</v>
      </c>
      <c r="P209" s="987">
        <v>275.8</v>
      </c>
      <c r="Q209" s="987">
        <v>1.8</v>
      </c>
      <c r="R209" s="987">
        <v>3.875</v>
      </c>
      <c r="S209" s="982" t="s">
        <v>50</v>
      </c>
      <c r="T209" s="982" t="s">
        <v>50</v>
      </c>
      <c r="U209" s="982" t="s">
        <v>50</v>
      </c>
      <c r="V209" s="983"/>
      <c r="W209" s="982" t="s">
        <v>32</v>
      </c>
    </row>
    <row r="210" spans="1:23" x14ac:dyDescent="0.25">
      <c r="A210" s="982" t="s">
        <v>9665</v>
      </c>
      <c r="B210" s="982" t="s">
        <v>9296</v>
      </c>
      <c r="C210" s="982" t="s">
        <v>95</v>
      </c>
      <c r="D210" s="989">
        <v>38.087029999999999</v>
      </c>
      <c r="E210" s="989">
        <v>-121.63394</v>
      </c>
      <c r="F210" s="982" t="s">
        <v>9680</v>
      </c>
      <c r="G210" s="982" t="s">
        <v>46</v>
      </c>
      <c r="H210" s="982" t="s">
        <v>9445</v>
      </c>
      <c r="I210" s="982" t="s">
        <v>9681</v>
      </c>
      <c r="J210" s="982" t="s">
        <v>28</v>
      </c>
      <c r="K210" s="982" t="s">
        <v>29</v>
      </c>
      <c r="L210" s="982" t="s">
        <v>30</v>
      </c>
      <c r="M210" s="982">
        <v>2</v>
      </c>
      <c r="N210" s="985">
        <v>10</v>
      </c>
      <c r="O210" s="987">
        <v>16.7</v>
      </c>
      <c r="P210" s="987">
        <v>302.25</v>
      </c>
      <c r="Q210" s="987">
        <v>1.8</v>
      </c>
      <c r="R210" s="987">
        <v>4.3499999999999996</v>
      </c>
      <c r="S210" s="982" t="s">
        <v>50</v>
      </c>
      <c r="T210" s="982" t="s">
        <v>50</v>
      </c>
      <c r="U210" s="982" t="s">
        <v>50</v>
      </c>
      <c r="V210" s="983" t="s">
        <v>9349</v>
      </c>
      <c r="W210" s="982" t="s">
        <v>32</v>
      </c>
    </row>
    <row r="211" spans="1:23" x14ac:dyDescent="0.25">
      <c r="A211" s="1025" t="s">
        <v>9682</v>
      </c>
      <c r="B211" s="1025" t="s">
        <v>9313</v>
      </c>
      <c r="C211" s="1025" t="s">
        <v>88</v>
      </c>
      <c r="D211" s="1028">
        <v>38.056240000000003</v>
      </c>
      <c r="E211" s="1028">
        <v>-121.80083</v>
      </c>
      <c r="F211" s="1025" t="s">
        <v>9683</v>
      </c>
      <c r="G211" s="1025" t="s">
        <v>27</v>
      </c>
      <c r="H211" s="1025" t="s">
        <v>9364</v>
      </c>
      <c r="I211" s="1025" t="s">
        <v>9671</v>
      </c>
      <c r="J211" s="1025" t="s">
        <v>28</v>
      </c>
      <c r="K211" s="1025" t="s">
        <v>29</v>
      </c>
      <c r="L211" s="1025" t="s">
        <v>30</v>
      </c>
      <c r="M211" s="1025">
        <v>2</v>
      </c>
      <c r="N211" s="1027">
        <v>10</v>
      </c>
      <c r="O211" s="1033">
        <v>29.4</v>
      </c>
      <c r="P211" s="1033">
        <v>3635.5</v>
      </c>
      <c r="Q211" s="1033">
        <v>0.28999999999999998</v>
      </c>
      <c r="R211" s="1033">
        <v>32.450000000000003</v>
      </c>
      <c r="S211" s="1026" t="s">
        <v>323</v>
      </c>
      <c r="T211" s="1027">
        <v>1</v>
      </c>
      <c r="U211" s="1027">
        <v>24.8</v>
      </c>
      <c r="V211" s="1036" t="s">
        <v>9349</v>
      </c>
      <c r="W211" s="1025" t="s">
        <v>32</v>
      </c>
    </row>
    <row r="212" spans="1:23" x14ac:dyDescent="0.25">
      <c r="A212" s="979" t="s">
        <v>9682</v>
      </c>
      <c r="B212" s="979" t="s">
        <v>9313</v>
      </c>
      <c r="C212" s="979" t="s">
        <v>88</v>
      </c>
      <c r="D212" s="988">
        <v>38.066940000000002</v>
      </c>
      <c r="E212" s="988">
        <v>-121.76924</v>
      </c>
      <c r="F212" s="979" t="s">
        <v>9684</v>
      </c>
      <c r="G212" s="979" t="s">
        <v>27</v>
      </c>
      <c r="H212" s="979" t="s">
        <v>9364</v>
      </c>
      <c r="I212" s="979" t="s">
        <v>9371</v>
      </c>
      <c r="J212" s="979" t="s">
        <v>28</v>
      </c>
      <c r="K212" s="979" t="s">
        <v>29</v>
      </c>
      <c r="L212" s="979" t="s">
        <v>30</v>
      </c>
      <c r="M212" s="979">
        <v>2</v>
      </c>
      <c r="N212" s="984">
        <v>10</v>
      </c>
      <c r="O212" s="986">
        <v>26.5</v>
      </c>
      <c r="P212" s="986">
        <v>2355.5</v>
      </c>
      <c r="Q212" s="986">
        <v>0.33</v>
      </c>
      <c r="R212" s="986">
        <v>24</v>
      </c>
      <c r="S212" s="980" t="s">
        <v>31</v>
      </c>
      <c r="T212" s="984">
        <v>6</v>
      </c>
      <c r="U212" s="979" t="s">
        <v>9685</v>
      </c>
      <c r="V212" s="981"/>
      <c r="W212" s="979" t="s">
        <v>32</v>
      </c>
    </row>
    <row r="213" spans="1:23" x14ac:dyDescent="0.25">
      <c r="A213" s="979" t="s">
        <v>9682</v>
      </c>
      <c r="B213" s="979" t="s">
        <v>9313</v>
      </c>
      <c r="C213" s="979" t="s">
        <v>88</v>
      </c>
      <c r="D213" s="988">
        <v>38.067570000000003</v>
      </c>
      <c r="E213" s="988">
        <v>-121.83006</v>
      </c>
      <c r="F213" s="979" t="s">
        <v>9686</v>
      </c>
      <c r="G213" s="979" t="s">
        <v>27</v>
      </c>
      <c r="H213" s="979" t="s">
        <v>9364</v>
      </c>
      <c r="I213" s="979" t="s">
        <v>9687</v>
      </c>
      <c r="J213" s="979" t="s">
        <v>28</v>
      </c>
      <c r="K213" s="979" t="s">
        <v>29</v>
      </c>
      <c r="L213" s="979" t="s">
        <v>30</v>
      </c>
      <c r="M213" s="979">
        <v>2</v>
      </c>
      <c r="N213" s="984">
        <v>10</v>
      </c>
      <c r="O213" s="986">
        <v>25.55</v>
      </c>
      <c r="P213" s="986">
        <v>5469</v>
      </c>
      <c r="Q213" s="986">
        <v>0.28999999999999998</v>
      </c>
      <c r="R213" s="986">
        <v>26.15</v>
      </c>
      <c r="S213" s="980" t="s">
        <v>31</v>
      </c>
      <c r="T213" s="984">
        <v>1</v>
      </c>
      <c r="U213" s="984">
        <v>31.5</v>
      </c>
      <c r="V213" s="981" t="s">
        <v>9349</v>
      </c>
      <c r="W213" s="979" t="s">
        <v>32</v>
      </c>
    </row>
    <row r="214" spans="1:23" x14ac:dyDescent="0.25">
      <c r="A214" s="982" t="s">
        <v>9682</v>
      </c>
      <c r="B214" s="982" t="s">
        <v>9313</v>
      </c>
      <c r="C214" s="982" t="s">
        <v>88</v>
      </c>
      <c r="D214" s="989">
        <v>38.139870000000002</v>
      </c>
      <c r="E214" s="989">
        <v>-121.69110999999999</v>
      </c>
      <c r="F214" s="982" t="s">
        <v>9688</v>
      </c>
      <c r="G214" s="982" t="s">
        <v>90</v>
      </c>
      <c r="H214" s="982" t="s">
        <v>9368</v>
      </c>
      <c r="I214" s="982" t="s">
        <v>9352</v>
      </c>
      <c r="J214" s="982" t="s">
        <v>28</v>
      </c>
      <c r="K214" s="982" t="s">
        <v>29</v>
      </c>
      <c r="L214" s="982" t="s">
        <v>30</v>
      </c>
      <c r="M214" s="982">
        <v>2</v>
      </c>
      <c r="N214" s="985">
        <v>10</v>
      </c>
      <c r="O214" s="987">
        <v>32.15</v>
      </c>
      <c r="P214" s="987">
        <v>225.1</v>
      </c>
      <c r="Q214" s="987">
        <v>0.79</v>
      </c>
      <c r="R214" s="987">
        <v>12.25</v>
      </c>
      <c r="S214" s="982" t="s">
        <v>50</v>
      </c>
      <c r="T214" s="982" t="s">
        <v>50</v>
      </c>
      <c r="U214" s="982" t="s">
        <v>50</v>
      </c>
      <c r="V214" s="983" t="s">
        <v>9349</v>
      </c>
      <c r="W214" s="982" t="s">
        <v>32</v>
      </c>
    </row>
    <row r="215" spans="1:23" x14ac:dyDescent="0.25">
      <c r="A215" s="979" t="s">
        <v>9682</v>
      </c>
      <c r="B215" s="979" t="s">
        <v>9313</v>
      </c>
      <c r="C215" s="979" t="s">
        <v>88</v>
      </c>
      <c r="D215" s="988">
        <v>38.106380000000001</v>
      </c>
      <c r="E215" s="988">
        <v>-121.7184</v>
      </c>
      <c r="F215" s="979" t="s">
        <v>9689</v>
      </c>
      <c r="G215" s="979" t="s">
        <v>90</v>
      </c>
      <c r="H215" s="979" t="s">
        <v>9368</v>
      </c>
      <c r="I215" s="979" t="s">
        <v>9376</v>
      </c>
      <c r="J215" s="979" t="s">
        <v>28</v>
      </c>
      <c r="K215" s="979" t="s">
        <v>29</v>
      </c>
      <c r="L215" s="979" t="s">
        <v>30</v>
      </c>
      <c r="M215" s="979">
        <v>2</v>
      </c>
      <c r="N215" s="984">
        <v>10</v>
      </c>
      <c r="O215" s="986">
        <v>30.65</v>
      </c>
      <c r="P215" s="986">
        <v>782</v>
      </c>
      <c r="Q215" s="986">
        <v>0.28999999999999998</v>
      </c>
      <c r="R215" s="986">
        <v>33.049999999999997</v>
      </c>
      <c r="S215" s="980" t="s">
        <v>31</v>
      </c>
      <c r="T215" s="984">
        <v>10</v>
      </c>
      <c r="U215" s="979" t="s">
        <v>9697</v>
      </c>
      <c r="V215" s="981" t="s">
        <v>9349</v>
      </c>
      <c r="W215" s="979" t="s">
        <v>32</v>
      </c>
    </row>
    <row r="216" spans="1:23" x14ac:dyDescent="0.25">
      <c r="A216" s="982" t="s">
        <v>9682</v>
      </c>
      <c r="B216" s="982" t="s">
        <v>9313</v>
      </c>
      <c r="C216" s="982" t="s">
        <v>78</v>
      </c>
      <c r="D216" s="989">
        <v>38.0319</v>
      </c>
      <c r="E216" s="989">
        <v>-121.83685</v>
      </c>
      <c r="F216" s="982" t="s">
        <v>9690</v>
      </c>
      <c r="G216" s="982" t="s">
        <v>27</v>
      </c>
      <c r="H216" s="982" t="s">
        <v>101</v>
      </c>
      <c r="I216" s="982" t="s">
        <v>9691</v>
      </c>
      <c r="J216" s="982" t="s">
        <v>28</v>
      </c>
      <c r="K216" s="982" t="s">
        <v>29</v>
      </c>
      <c r="L216" s="982" t="s">
        <v>30</v>
      </c>
      <c r="M216" s="982">
        <v>2</v>
      </c>
      <c r="N216" s="985">
        <v>10</v>
      </c>
      <c r="O216" s="987">
        <v>21.85</v>
      </c>
      <c r="P216" s="987">
        <v>2974.5</v>
      </c>
      <c r="Q216" s="987">
        <v>0.495</v>
      </c>
      <c r="R216" s="987">
        <v>24.85</v>
      </c>
      <c r="S216" s="982" t="s">
        <v>50</v>
      </c>
      <c r="T216" s="982" t="s">
        <v>50</v>
      </c>
      <c r="U216" s="982" t="s">
        <v>50</v>
      </c>
      <c r="V216" s="983" t="s">
        <v>9349</v>
      </c>
      <c r="W216" s="982" t="s">
        <v>32</v>
      </c>
    </row>
    <row r="217" spans="1:23" x14ac:dyDescent="0.25">
      <c r="A217" s="982" t="s">
        <v>9682</v>
      </c>
      <c r="B217" s="982" t="s">
        <v>9313</v>
      </c>
      <c r="C217" s="982" t="s">
        <v>78</v>
      </c>
      <c r="D217" s="989">
        <v>38.0518</v>
      </c>
      <c r="E217" s="989">
        <v>-121.84099000000001</v>
      </c>
      <c r="F217" s="982" t="s">
        <v>9692</v>
      </c>
      <c r="G217" s="982" t="s">
        <v>27</v>
      </c>
      <c r="H217" s="982" t="s">
        <v>101</v>
      </c>
      <c r="I217" s="982" t="s">
        <v>9477</v>
      </c>
      <c r="J217" s="982" t="s">
        <v>28</v>
      </c>
      <c r="K217" s="982" t="s">
        <v>29</v>
      </c>
      <c r="L217" s="982" t="s">
        <v>30</v>
      </c>
      <c r="M217" s="982">
        <v>2</v>
      </c>
      <c r="N217" s="985">
        <v>10</v>
      </c>
      <c r="O217" s="987">
        <v>9.25</v>
      </c>
      <c r="P217" s="987">
        <v>4175.5</v>
      </c>
      <c r="Q217" s="987">
        <v>0.43</v>
      </c>
      <c r="R217" s="987">
        <v>29.1</v>
      </c>
      <c r="S217" s="982" t="s">
        <v>50</v>
      </c>
      <c r="T217" s="982" t="s">
        <v>50</v>
      </c>
      <c r="U217" s="982" t="s">
        <v>50</v>
      </c>
      <c r="V217" s="983" t="s">
        <v>9349</v>
      </c>
      <c r="W217" s="982" t="s">
        <v>32</v>
      </c>
    </row>
    <row r="218" spans="1:23" x14ac:dyDescent="0.25">
      <c r="A218" s="979" t="s">
        <v>9682</v>
      </c>
      <c r="B218" s="979" t="s">
        <v>9313</v>
      </c>
      <c r="C218" s="979" t="s">
        <v>78</v>
      </c>
      <c r="D218" s="988">
        <v>38.102339999999998</v>
      </c>
      <c r="E218" s="988">
        <v>-122.03715</v>
      </c>
      <c r="F218" s="979" t="s">
        <v>9693</v>
      </c>
      <c r="G218" s="979" t="s">
        <v>27</v>
      </c>
      <c r="H218" s="979" t="s">
        <v>3841</v>
      </c>
      <c r="I218" s="979" t="s">
        <v>9694</v>
      </c>
      <c r="J218" s="979" t="s">
        <v>28</v>
      </c>
      <c r="K218" s="979" t="s">
        <v>29</v>
      </c>
      <c r="L218" s="979" t="s">
        <v>30</v>
      </c>
      <c r="M218" s="979">
        <v>2</v>
      </c>
      <c r="N218" s="984">
        <v>10</v>
      </c>
      <c r="O218" s="986">
        <v>17.95</v>
      </c>
      <c r="P218" s="986">
        <v>16140</v>
      </c>
      <c r="Q218" s="986">
        <v>0.245</v>
      </c>
      <c r="R218" s="986">
        <v>53.95</v>
      </c>
      <c r="S218" s="980" t="s">
        <v>31</v>
      </c>
      <c r="T218" s="984">
        <v>1</v>
      </c>
      <c r="U218" s="984">
        <v>22.3</v>
      </c>
      <c r="V218" s="981" t="s">
        <v>9349</v>
      </c>
      <c r="W218" s="979" t="s">
        <v>32</v>
      </c>
    </row>
    <row r="219" spans="1:23" x14ac:dyDescent="0.25">
      <c r="A219" s="979" t="s">
        <v>9682</v>
      </c>
      <c r="B219" s="979" t="s">
        <v>9313</v>
      </c>
      <c r="C219" s="979" t="s">
        <v>78</v>
      </c>
      <c r="D219" s="988">
        <v>38.069519999999997</v>
      </c>
      <c r="E219" s="988">
        <v>-121.98679</v>
      </c>
      <c r="F219" s="979" t="s">
        <v>9695</v>
      </c>
      <c r="G219" s="979" t="s">
        <v>27</v>
      </c>
      <c r="H219" s="979" t="s">
        <v>3841</v>
      </c>
      <c r="I219" s="979" t="s">
        <v>9498</v>
      </c>
      <c r="J219" s="979" t="s">
        <v>28</v>
      </c>
      <c r="K219" s="979" t="s">
        <v>29</v>
      </c>
      <c r="L219" s="979" t="s">
        <v>30</v>
      </c>
      <c r="M219" s="979">
        <v>2</v>
      </c>
      <c r="N219" s="984">
        <v>10</v>
      </c>
      <c r="O219" s="986">
        <v>19.45</v>
      </c>
      <c r="P219" s="986">
        <v>14915</v>
      </c>
      <c r="Q219" s="986">
        <v>0.245</v>
      </c>
      <c r="R219" s="986">
        <v>48.1</v>
      </c>
      <c r="S219" s="980" t="s">
        <v>31</v>
      </c>
      <c r="T219" s="984">
        <v>1</v>
      </c>
      <c r="U219" s="984">
        <v>14.8</v>
      </c>
      <c r="V219" s="981" t="s">
        <v>9349</v>
      </c>
      <c r="W219" s="979" t="s">
        <v>32</v>
      </c>
    </row>
    <row r="220" spans="1:23" s="854" customFormat="1" x14ac:dyDescent="0.25">
      <c r="A220" s="990" t="s">
        <v>9682</v>
      </c>
      <c r="B220" s="990" t="s">
        <v>9313</v>
      </c>
      <c r="C220" s="990" t="s">
        <v>78</v>
      </c>
      <c r="D220" s="991">
        <v>38.044750000000001</v>
      </c>
      <c r="E220" s="991">
        <v>-122.11742</v>
      </c>
      <c r="F220" s="990" t="s">
        <v>9696</v>
      </c>
      <c r="G220" s="990" t="s">
        <v>27</v>
      </c>
      <c r="H220" s="990" t="s">
        <v>9390</v>
      </c>
      <c r="I220" s="990" t="s">
        <v>9426</v>
      </c>
      <c r="J220" s="990" t="s">
        <v>28</v>
      </c>
      <c r="K220" s="990" t="s">
        <v>29</v>
      </c>
      <c r="L220" s="990" t="s">
        <v>30</v>
      </c>
      <c r="M220" s="990">
        <v>2</v>
      </c>
      <c r="N220" s="992">
        <v>10</v>
      </c>
      <c r="O220" s="993">
        <v>29.5</v>
      </c>
      <c r="P220" s="993">
        <v>24956</v>
      </c>
      <c r="Q220" s="993">
        <v>0.76500000000000001</v>
      </c>
      <c r="R220" s="993">
        <v>23.65</v>
      </c>
      <c r="S220" s="990" t="s">
        <v>50</v>
      </c>
      <c r="T220" s="990" t="s">
        <v>50</v>
      </c>
      <c r="U220" s="990" t="s">
        <v>50</v>
      </c>
      <c r="V220" s="994" t="s">
        <v>9349</v>
      </c>
      <c r="W220" s="990" t="s">
        <v>32</v>
      </c>
    </row>
    <row r="221" spans="1:23" x14ac:dyDescent="0.25">
      <c r="A221" s="979" t="s">
        <v>9699</v>
      </c>
      <c r="B221" s="979" t="s">
        <v>24</v>
      </c>
      <c r="C221" s="979" t="s">
        <v>88</v>
      </c>
      <c r="D221" s="988">
        <v>38.07199</v>
      </c>
      <c r="E221" s="988">
        <v>-121.77057000000001</v>
      </c>
      <c r="F221" s="979" t="s">
        <v>9700</v>
      </c>
      <c r="G221" s="979" t="s">
        <v>27</v>
      </c>
      <c r="H221" s="979" t="s">
        <v>9364</v>
      </c>
      <c r="I221" s="979" t="s">
        <v>9701</v>
      </c>
      <c r="J221" s="979" t="s">
        <v>28</v>
      </c>
      <c r="K221" s="979" t="s">
        <v>29</v>
      </c>
      <c r="L221" s="979" t="s">
        <v>30</v>
      </c>
      <c r="M221" s="979">
        <v>2</v>
      </c>
      <c r="N221" s="984">
        <v>10</v>
      </c>
      <c r="O221" s="986">
        <v>28.5</v>
      </c>
      <c r="P221" s="986" t="s">
        <v>50</v>
      </c>
      <c r="Q221" s="986">
        <v>0.38500000000000001</v>
      </c>
      <c r="R221" s="986">
        <v>45.75</v>
      </c>
      <c r="S221" s="980" t="s">
        <v>31</v>
      </c>
      <c r="T221" s="984">
        <v>3</v>
      </c>
      <c r="U221" s="979" t="s">
        <v>9702</v>
      </c>
      <c r="V221" s="981" t="s">
        <v>9721</v>
      </c>
      <c r="W221" s="979" t="s">
        <v>32</v>
      </c>
    </row>
    <row r="222" spans="1:23" x14ac:dyDescent="0.25">
      <c r="A222" s="982" t="s">
        <v>9699</v>
      </c>
      <c r="B222" s="982" t="s">
        <v>24</v>
      </c>
      <c r="C222" s="982" t="s">
        <v>88</v>
      </c>
      <c r="D222" s="989">
        <v>38.063049999999997</v>
      </c>
      <c r="E222" s="989">
        <v>-121.78907</v>
      </c>
      <c r="F222" s="982" t="s">
        <v>9703</v>
      </c>
      <c r="G222" s="982" t="s">
        <v>27</v>
      </c>
      <c r="H222" s="982" t="s">
        <v>9364</v>
      </c>
      <c r="I222" s="982" t="s">
        <v>9704</v>
      </c>
      <c r="J222" s="982" t="s">
        <v>28</v>
      </c>
      <c r="K222" s="982" t="s">
        <v>29</v>
      </c>
      <c r="L222" s="982" t="s">
        <v>30</v>
      </c>
      <c r="M222" s="982">
        <v>2</v>
      </c>
      <c r="N222" s="985">
        <v>10</v>
      </c>
      <c r="O222" s="987">
        <v>29.55</v>
      </c>
      <c r="P222" s="987" t="s">
        <v>50</v>
      </c>
      <c r="Q222" s="987">
        <v>0.35499999999999998</v>
      </c>
      <c r="R222" s="987">
        <v>41.35</v>
      </c>
      <c r="S222" s="982" t="s">
        <v>50</v>
      </c>
      <c r="T222" s="982" t="s">
        <v>50</v>
      </c>
      <c r="U222" s="982" t="s">
        <v>50</v>
      </c>
      <c r="V222" s="983" t="s">
        <v>9721</v>
      </c>
      <c r="W222" s="982" t="s">
        <v>32</v>
      </c>
    </row>
    <row r="223" spans="1:23" x14ac:dyDescent="0.25">
      <c r="A223" s="979" t="s">
        <v>9699</v>
      </c>
      <c r="B223" s="979" t="s">
        <v>24</v>
      </c>
      <c r="C223" s="979" t="s">
        <v>88</v>
      </c>
      <c r="D223" s="988">
        <v>38.102139999999999</v>
      </c>
      <c r="E223" s="988">
        <v>-121.71431</v>
      </c>
      <c r="F223" s="979" t="s">
        <v>9705</v>
      </c>
      <c r="G223" s="979" t="s">
        <v>90</v>
      </c>
      <c r="H223" s="979" t="s">
        <v>9368</v>
      </c>
      <c r="I223" s="979" t="s">
        <v>9706</v>
      </c>
      <c r="J223" s="979" t="s">
        <v>28</v>
      </c>
      <c r="K223" s="979" t="s">
        <v>29</v>
      </c>
      <c r="L223" s="979" t="s">
        <v>30</v>
      </c>
      <c r="M223" s="979">
        <v>2</v>
      </c>
      <c r="N223" s="984">
        <v>10</v>
      </c>
      <c r="O223" s="986">
        <v>27.9</v>
      </c>
      <c r="P223" s="986" t="s">
        <v>50</v>
      </c>
      <c r="Q223" s="986">
        <v>0.6</v>
      </c>
      <c r="R223" s="986">
        <v>27.8</v>
      </c>
      <c r="S223" s="980" t="s">
        <v>31</v>
      </c>
      <c r="T223" s="984">
        <v>1</v>
      </c>
      <c r="U223" s="984">
        <v>16.3</v>
      </c>
      <c r="V223" s="981" t="s">
        <v>9721</v>
      </c>
      <c r="W223" s="979" t="s">
        <v>32</v>
      </c>
    </row>
    <row r="224" spans="1:23" x14ac:dyDescent="0.25">
      <c r="A224" s="979" t="s">
        <v>9699</v>
      </c>
      <c r="B224" s="979" t="s">
        <v>24</v>
      </c>
      <c r="C224" s="979" t="s">
        <v>88</v>
      </c>
      <c r="D224" s="988">
        <v>38.085360000000001</v>
      </c>
      <c r="E224" s="988">
        <v>-121.7398</v>
      </c>
      <c r="F224" s="979" t="s">
        <v>9707</v>
      </c>
      <c r="G224" s="979" t="s">
        <v>90</v>
      </c>
      <c r="H224" s="979" t="s">
        <v>9368</v>
      </c>
      <c r="I224" s="979" t="s">
        <v>9708</v>
      </c>
      <c r="J224" s="979" t="s">
        <v>28</v>
      </c>
      <c r="K224" s="979" t="s">
        <v>29</v>
      </c>
      <c r="L224" s="979" t="s">
        <v>30</v>
      </c>
      <c r="M224" s="979">
        <v>2</v>
      </c>
      <c r="N224" s="984">
        <v>10</v>
      </c>
      <c r="O224" s="986">
        <v>39.049999999999997</v>
      </c>
      <c r="P224" s="986" t="s">
        <v>50</v>
      </c>
      <c r="Q224" s="986">
        <v>0.37</v>
      </c>
      <c r="R224" s="986">
        <v>53.45</v>
      </c>
      <c r="S224" s="980" t="s">
        <v>31</v>
      </c>
      <c r="T224" s="984">
        <v>6</v>
      </c>
      <c r="U224" s="979" t="s">
        <v>9709</v>
      </c>
      <c r="V224" s="981" t="s">
        <v>9721</v>
      </c>
      <c r="W224" s="979" t="s">
        <v>32</v>
      </c>
    </row>
    <row r="225" spans="1:23" x14ac:dyDescent="0.25">
      <c r="A225" s="979" t="s">
        <v>9699</v>
      </c>
      <c r="B225" s="979" t="s">
        <v>24</v>
      </c>
      <c r="C225" s="979" t="s">
        <v>88</v>
      </c>
      <c r="D225" s="988">
        <v>38.091389999999997</v>
      </c>
      <c r="E225" s="988">
        <v>-121.70913</v>
      </c>
      <c r="F225" s="979" t="s">
        <v>9710</v>
      </c>
      <c r="G225" s="979" t="s">
        <v>90</v>
      </c>
      <c r="H225" s="979" t="s">
        <v>9368</v>
      </c>
      <c r="I225" s="979" t="s">
        <v>9711</v>
      </c>
      <c r="J225" s="979" t="s">
        <v>28</v>
      </c>
      <c r="K225" s="979" t="s">
        <v>29</v>
      </c>
      <c r="L225" s="979" t="s">
        <v>30</v>
      </c>
      <c r="M225" s="979">
        <v>2</v>
      </c>
      <c r="N225" s="984">
        <v>10</v>
      </c>
      <c r="O225" s="986">
        <v>8.9499999999999993</v>
      </c>
      <c r="P225" s="986" t="s">
        <v>50</v>
      </c>
      <c r="Q225" s="986">
        <v>0.68</v>
      </c>
      <c r="R225" s="986">
        <v>21.2</v>
      </c>
      <c r="S225" s="980" t="s">
        <v>31</v>
      </c>
      <c r="T225" s="984">
        <v>3</v>
      </c>
      <c r="U225" s="979" t="s">
        <v>9712</v>
      </c>
      <c r="V225" s="981" t="s">
        <v>9721</v>
      </c>
      <c r="W225" s="979" t="s">
        <v>32</v>
      </c>
    </row>
    <row r="226" spans="1:23" x14ac:dyDescent="0.25">
      <c r="A226" s="982" t="s">
        <v>9699</v>
      </c>
      <c r="B226" s="982" t="s">
        <v>24</v>
      </c>
      <c r="C226" s="982" t="s">
        <v>106</v>
      </c>
      <c r="D226" s="989">
        <v>38.20861</v>
      </c>
      <c r="E226" s="989">
        <v>-121.65943</v>
      </c>
      <c r="F226" s="982" t="s">
        <v>9713</v>
      </c>
      <c r="G226" s="982" t="s">
        <v>90</v>
      </c>
      <c r="H226" s="982" t="s">
        <v>108</v>
      </c>
      <c r="I226" s="982" t="s">
        <v>9383</v>
      </c>
      <c r="J226" s="982" t="s">
        <v>28</v>
      </c>
      <c r="K226" s="982" t="s">
        <v>29</v>
      </c>
      <c r="L226" s="982" t="s">
        <v>30</v>
      </c>
      <c r="M226" s="982">
        <v>2</v>
      </c>
      <c r="N226" s="985">
        <v>10</v>
      </c>
      <c r="O226" s="987">
        <v>41.65</v>
      </c>
      <c r="P226" s="987">
        <v>193.8</v>
      </c>
      <c r="Q226" s="987">
        <v>1.0549999999999999</v>
      </c>
      <c r="R226" s="987">
        <v>10.62</v>
      </c>
      <c r="S226" s="982" t="s">
        <v>50</v>
      </c>
      <c r="T226" s="982" t="s">
        <v>50</v>
      </c>
      <c r="U226" s="982" t="s">
        <v>50</v>
      </c>
      <c r="V226" s="983" t="s">
        <v>9349</v>
      </c>
      <c r="W226" s="982" t="s">
        <v>32</v>
      </c>
    </row>
    <row r="227" spans="1:23" x14ac:dyDescent="0.25">
      <c r="A227" s="982" t="s">
        <v>9699</v>
      </c>
      <c r="B227" s="982" t="s">
        <v>24</v>
      </c>
      <c r="C227" s="982" t="s">
        <v>106</v>
      </c>
      <c r="D227" s="989">
        <v>38.186410000000002</v>
      </c>
      <c r="E227" s="989">
        <v>-121.66011</v>
      </c>
      <c r="F227" s="982" t="s">
        <v>9714</v>
      </c>
      <c r="G227" s="982" t="s">
        <v>90</v>
      </c>
      <c r="H227" s="982" t="s">
        <v>108</v>
      </c>
      <c r="I227" s="982" t="s">
        <v>9715</v>
      </c>
      <c r="J227" s="982" t="s">
        <v>28</v>
      </c>
      <c r="K227" s="982" t="s">
        <v>29</v>
      </c>
      <c r="L227" s="982" t="s">
        <v>30</v>
      </c>
      <c r="M227" s="982">
        <v>2</v>
      </c>
      <c r="N227" s="985">
        <v>10</v>
      </c>
      <c r="O227" s="987">
        <v>75.55</v>
      </c>
      <c r="P227" s="987">
        <v>191.1</v>
      </c>
      <c r="Q227" s="987">
        <v>1.02</v>
      </c>
      <c r="R227" s="987">
        <v>11.765000000000001</v>
      </c>
      <c r="S227" s="982" t="s">
        <v>50</v>
      </c>
      <c r="T227" s="982" t="s">
        <v>50</v>
      </c>
      <c r="U227" s="982" t="s">
        <v>50</v>
      </c>
      <c r="V227" s="983" t="s">
        <v>9349</v>
      </c>
      <c r="W227" s="982" t="s">
        <v>32</v>
      </c>
    </row>
    <row r="228" spans="1:23" x14ac:dyDescent="0.25">
      <c r="A228" s="982" t="s">
        <v>9699</v>
      </c>
      <c r="B228" s="982" t="s">
        <v>24</v>
      </c>
      <c r="C228" s="982" t="s">
        <v>106</v>
      </c>
      <c r="D228" s="989">
        <v>38.198030000000003</v>
      </c>
      <c r="E228" s="989">
        <v>-121.65635</v>
      </c>
      <c r="F228" s="982" t="s">
        <v>9716</v>
      </c>
      <c r="G228" s="982" t="s">
        <v>90</v>
      </c>
      <c r="H228" s="982" t="s">
        <v>108</v>
      </c>
      <c r="I228" s="982" t="s">
        <v>9717</v>
      </c>
      <c r="J228" s="982" t="s">
        <v>28</v>
      </c>
      <c r="K228" s="982" t="s">
        <v>29</v>
      </c>
      <c r="L228" s="982" t="s">
        <v>30</v>
      </c>
      <c r="M228" s="982">
        <v>2</v>
      </c>
      <c r="N228" s="985">
        <v>10</v>
      </c>
      <c r="O228" s="987">
        <v>47.2</v>
      </c>
      <c r="P228" s="987">
        <v>194.6</v>
      </c>
      <c r="Q228" s="987">
        <v>0.91</v>
      </c>
      <c r="R228" s="987">
        <v>12.05</v>
      </c>
      <c r="S228" s="982" t="s">
        <v>50</v>
      </c>
      <c r="T228" s="982" t="s">
        <v>50</v>
      </c>
      <c r="U228" s="982" t="s">
        <v>50</v>
      </c>
      <c r="V228" s="983" t="s">
        <v>9349</v>
      </c>
      <c r="W228" s="982" t="s">
        <v>32</v>
      </c>
    </row>
    <row r="229" spans="1:23" x14ac:dyDescent="0.25">
      <c r="A229" s="982" t="s">
        <v>9699</v>
      </c>
      <c r="B229" s="982" t="s">
        <v>24</v>
      </c>
      <c r="C229" s="982" t="s">
        <v>106</v>
      </c>
      <c r="D229" s="989">
        <v>38.317950000000003</v>
      </c>
      <c r="E229" s="989">
        <v>-121.65037</v>
      </c>
      <c r="F229" s="982" t="s">
        <v>9718</v>
      </c>
      <c r="G229" s="982" t="s">
        <v>90</v>
      </c>
      <c r="H229" s="982" t="s">
        <v>108</v>
      </c>
      <c r="I229" s="982" t="s">
        <v>9719</v>
      </c>
      <c r="J229" s="982" t="s">
        <v>28</v>
      </c>
      <c r="K229" s="982" t="s">
        <v>29</v>
      </c>
      <c r="L229" s="982" t="s">
        <v>30</v>
      </c>
      <c r="M229" s="982">
        <v>2</v>
      </c>
      <c r="N229" s="985">
        <v>10</v>
      </c>
      <c r="O229" s="987">
        <v>31.75</v>
      </c>
      <c r="P229" s="987">
        <v>421.25</v>
      </c>
      <c r="Q229" s="987">
        <v>0.42</v>
      </c>
      <c r="R229" s="987">
        <v>31.4</v>
      </c>
      <c r="S229" s="982" t="s">
        <v>50</v>
      </c>
      <c r="T229" s="982" t="s">
        <v>50</v>
      </c>
      <c r="U229" s="982" t="s">
        <v>50</v>
      </c>
      <c r="V229" s="983" t="s">
        <v>9349</v>
      </c>
      <c r="W229" s="982" t="s">
        <v>32</v>
      </c>
    </row>
    <row r="230" spans="1:23" x14ac:dyDescent="0.25">
      <c r="A230" s="982" t="s">
        <v>9699</v>
      </c>
      <c r="B230" s="982" t="s">
        <v>24</v>
      </c>
      <c r="C230" s="982" t="s">
        <v>106</v>
      </c>
      <c r="D230" s="989">
        <v>38.560929999999999</v>
      </c>
      <c r="E230" s="989">
        <v>-121.56034</v>
      </c>
      <c r="F230" s="982" t="s">
        <v>9720</v>
      </c>
      <c r="G230" s="982" t="s">
        <v>90</v>
      </c>
      <c r="H230" s="982" t="s">
        <v>158</v>
      </c>
      <c r="I230" s="982" t="s">
        <v>9501</v>
      </c>
      <c r="J230" s="982" t="s">
        <v>28</v>
      </c>
      <c r="K230" s="982" t="s">
        <v>29</v>
      </c>
      <c r="L230" s="982" t="s">
        <v>30</v>
      </c>
      <c r="M230" s="982">
        <v>2</v>
      </c>
      <c r="N230" s="985">
        <v>10</v>
      </c>
      <c r="O230" s="987">
        <v>34.450000000000003</v>
      </c>
      <c r="P230" s="987">
        <v>1257.5</v>
      </c>
      <c r="Q230" s="987">
        <v>1.8</v>
      </c>
      <c r="R230" s="987">
        <v>6.88</v>
      </c>
      <c r="S230" s="982" t="s">
        <v>50</v>
      </c>
      <c r="T230" s="982" t="s">
        <v>50</v>
      </c>
      <c r="U230" s="982" t="s">
        <v>50</v>
      </c>
      <c r="V230" s="983" t="s">
        <v>9349</v>
      </c>
      <c r="W230" s="982" t="s">
        <v>32</v>
      </c>
    </row>
    <row r="231" spans="1:23" x14ac:dyDescent="0.25">
      <c r="A231" s="995" t="s">
        <v>9722</v>
      </c>
      <c r="B231" s="995" t="s">
        <v>9279</v>
      </c>
      <c r="C231" s="995" t="s">
        <v>106</v>
      </c>
      <c r="D231" s="1001">
        <v>38.427840000000003</v>
      </c>
      <c r="E231" s="1001">
        <v>-121.60333</v>
      </c>
      <c r="F231" s="995" t="s">
        <v>9723</v>
      </c>
      <c r="G231" s="995" t="s">
        <v>90</v>
      </c>
      <c r="H231" s="995" t="s">
        <v>108</v>
      </c>
      <c r="I231" s="995" t="s">
        <v>9724</v>
      </c>
      <c r="J231" s="995" t="s">
        <v>28</v>
      </c>
      <c r="K231" s="995" t="s">
        <v>29</v>
      </c>
      <c r="L231" s="982" t="s">
        <v>30</v>
      </c>
      <c r="M231" s="995">
        <v>2</v>
      </c>
      <c r="N231" s="995">
        <v>10</v>
      </c>
      <c r="O231" s="997">
        <v>27.05</v>
      </c>
      <c r="P231" s="997">
        <v>741.5</v>
      </c>
      <c r="Q231" s="997">
        <v>0.33500000000000002</v>
      </c>
      <c r="R231" s="997">
        <v>32.549999999999997</v>
      </c>
      <c r="S231" s="1037" t="s">
        <v>50</v>
      </c>
      <c r="T231" s="995" t="s">
        <v>50</v>
      </c>
      <c r="U231" s="995" t="s">
        <v>50</v>
      </c>
      <c r="V231" s="1017" t="s">
        <v>10145</v>
      </c>
      <c r="W231" s="995" t="s">
        <v>32</v>
      </c>
    </row>
    <row r="232" spans="1:23" x14ac:dyDescent="0.25">
      <c r="A232" s="982" t="s">
        <v>9722</v>
      </c>
      <c r="B232" s="982" t="s">
        <v>9279</v>
      </c>
      <c r="C232" s="982" t="s">
        <v>106</v>
      </c>
      <c r="D232" s="989">
        <v>38.522860000000001</v>
      </c>
      <c r="E232" s="989">
        <v>-121.58311</v>
      </c>
      <c r="F232" s="982" t="s">
        <v>9725</v>
      </c>
      <c r="G232" s="982" t="s">
        <v>90</v>
      </c>
      <c r="H232" s="982" t="s">
        <v>158</v>
      </c>
      <c r="I232" s="982" t="s">
        <v>9579</v>
      </c>
      <c r="J232" s="982" t="s">
        <v>28</v>
      </c>
      <c r="K232" s="982" t="s">
        <v>29</v>
      </c>
      <c r="L232" s="982" t="s">
        <v>30</v>
      </c>
      <c r="M232" s="982">
        <v>2</v>
      </c>
      <c r="N232" s="982">
        <v>10</v>
      </c>
      <c r="O232" s="987">
        <v>30</v>
      </c>
      <c r="P232" s="987">
        <v>1123</v>
      </c>
      <c r="Q232" s="987">
        <v>0.69</v>
      </c>
      <c r="R232" s="987">
        <v>12.8</v>
      </c>
      <c r="S232" s="982" t="s">
        <v>50</v>
      </c>
      <c r="T232" s="982" t="s">
        <v>50</v>
      </c>
      <c r="U232" s="982" t="s">
        <v>50</v>
      </c>
      <c r="V232" s="983" t="s">
        <v>9349</v>
      </c>
      <c r="W232" s="982" t="s">
        <v>32</v>
      </c>
    </row>
    <row r="233" spans="1:23" x14ac:dyDescent="0.25">
      <c r="A233" s="982" t="s">
        <v>9722</v>
      </c>
      <c r="B233" s="982" t="s">
        <v>9279</v>
      </c>
      <c r="C233" s="982" t="s">
        <v>106</v>
      </c>
      <c r="D233" s="989">
        <v>38.563119999999998</v>
      </c>
      <c r="E233" s="989">
        <v>-121.55021000000001</v>
      </c>
      <c r="F233" s="982" t="s">
        <v>9726</v>
      </c>
      <c r="G233" s="982" t="s">
        <v>90</v>
      </c>
      <c r="H233" s="982" t="s">
        <v>158</v>
      </c>
      <c r="I233" s="982" t="s">
        <v>9727</v>
      </c>
      <c r="J233" s="982" t="s">
        <v>28</v>
      </c>
      <c r="K233" s="982" t="s">
        <v>29</v>
      </c>
      <c r="L233" s="982" t="s">
        <v>30</v>
      </c>
      <c r="M233" s="982">
        <v>2</v>
      </c>
      <c r="N233" s="982">
        <v>10</v>
      </c>
      <c r="O233" s="987">
        <v>36.6</v>
      </c>
      <c r="P233" s="987">
        <v>1257</v>
      </c>
      <c r="Q233" s="987">
        <v>1.8</v>
      </c>
      <c r="R233" s="987">
        <v>4.6399999999999997</v>
      </c>
      <c r="S233" s="982" t="s">
        <v>50</v>
      </c>
      <c r="T233" s="982" t="s">
        <v>50</v>
      </c>
      <c r="U233" s="982" t="s">
        <v>50</v>
      </c>
      <c r="V233" s="983" t="s">
        <v>9349</v>
      </c>
      <c r="W233" s="982" t="s">
        <v>32</v>
      </c>
    </row>
    <row r="234" spans="1:23" x14ac:dyDescent="0.25">
      <c r="A234" s="982" t="s">
        <v>9722</v>
      </c>
      <c r="B234" s="982" t="s">
        <v>9279</v>
      </c>
      <c r="C234" s="982" t="s">
        <v>106</v>
      </c>
      <c r="D234" s="989">
        <v>38.538260000000001</v>
      </c>
      <c r="E234" s="989">
        <v>-121.58386</v>
      </c>
      <c r="F234" s="982" t="s">
        <v>9728</v>
      </c>
      <c r="G234" s="982" t="s">
        <v>90</v>
      </c>
      <c r="H234" s="982" t="s">
        <v>158</v>
      </c>
      <c r="I234" s="982" t="s">
        <v>9603</v>
      </c>
      <c r="J234" s="982" t="s">
        <v>28</v>
      </c>
      <c r="K234" s="982" t="s">
        <v>29</v>
      </c>
      <c r="L234" s="982" t="s">
        <v>30</v>
      </c>
      <c r="M234" s="982">
        <v>2</v>
      </c>
      <c r="N234" s="982">
        <v>10</v>
      </c>
      <c r="O234" s="987">
        <v>33.25</v>
      </c>
      <c r="P234" s="987">
        <v>1145</v>
      </c>
      <c r="Q234" s="987">
        <v>0.85499999999999998</v>
      </c>
      <c r="R234" s="987">
        <v>11.8</v>
      </c>
      <c r="S234" s="982" t="s">
        <v>50</v>
      </c>
      <c r="T234" s="982" t="s">
        <v>50</v>
      </c>
      <c r="U234" s="982" t="s">
        <v>50</v>
      </c>
      <c r="V234" s="983"/>
      <c r="W234" s="982" t="s">
        <v>32</v>
      </c>
    </row>
    <row r="235" spans="1:23" x14ac:dyDescent="0.25">
      <c r="A235" s="982" t="s">
        <v>9722</v>
      </c>
      <c r="B235" s="982" t="s">
        <v>9279</v>
      </c>
      <c r="C235" s="982" t="s">
        <v>78</v>
      </c>
      <c r="D235" s="989">
        <v>38.055860000000003</v>
      </c>
      <c r="E235" s="989">
        <v>-122.11517000000001</v>
      </c>
      <c r="F235" s="982" t="s">
        <v>9729</v>
      </c>
      <c r="G235" s="982" t="s">
        <v>80</v>
      </c>
      <c r="H235" s="982" t="s">
        <v>9390</v>
      </c>
      <c r="I235" s="982" t="s">
        <v>9730</v>
      </c>
      <c r="J235" s="982" t="s">
        <v>28</v>
      </c>
      <c r="K235" s="982" t="s">
        <v>29</v>
      </c>
      <c r="L235" s="982" t="s">
        <v>30</v>
      </c>
      <c r="M235" s="982">
        <v>2</v>
      </c>
      <c r="N235" s="982">
        <v>10</v>
      </c>
      <c r="O235" s="987">
        <v>25.55</v>
      </c>
      <c r="P235" s="987">
        <v>18032</v>
      </c>
      <c r="Q235" s="987">
        <v>0.41</v>
      </c>
      <c r="R235" s="987">
        <v>32.700000000000003</v>
      </c>
      <c r="S235" s="982" t="s">
        <v>50</v>
      </c>
      <c r="T235" s="982" t="s">
        <v>50</v>
      </c>
      <c r="U235" s="982" t="s">
        <v>50</v>
      </c>
      <c r="V235" s="983" t="s">
        <v>9349</v>
      </c>
      <c r="W235" s="982" t="s">
        <v>32</v>
      </c>
    </row>
    <row r="236" spans="1:23" x14ac:dyDescent="0.25">
      <c r="A236" s="982" t="s">
        <v>9722</v>
      </c>
      <c r="B236" s="982" t="s">
        <v>9279</v>
      </c>
      <c r="C236" s="982" t="s">
        <v>78</v>
      </c>
      <c r="D236" s="989">
        <v>38.033740000000002</v>
      </c>
      <c r="E236" s="989">
        <v>-121.87322</v>
      </c>
      <c r="F236" s="982" t="s">
        <v>9731</v>
      </c>
      <c r="G236" s="982" t="s">
        <v>27</v>
      </c>
      <c r="H236" s="982" t="s">
        <v>101</v>
      </c>
      <c r="I236" s="982" t="s">
        <v>9732</v>
      </c>
      <c r="J236" s="982" t="s">
        <v>28</v>
      </c>
      <c r="K236" s="982" t="s">
        <v>29</v>
      </c>
      <c r="L236" s="982" t="s">
        <v>30</v>
      </c>
      <c r="M236" s="982">
        <v>2</v>
      </c>
      <c r="N236" s="982">
        <v>10</v>
      </c>
      <c r="O236" s="987">
        <v>40.950000000000003</v>
      </c>
      <c r="P236" s="987">
        <v>3981</v>
      </c>
      <c r="Q236" s="987">
        <v>0.45</v>
      </c>
      <c r="R236" s="987">
        <v>27.45</v>
      </c>
      <c r="S236" s="982" t="s">
        <v>50</v>
      </c>
      <c r="T236" s="982" t="s">
        <v>50</v>
      </c>
      <c r="U236" s="982" t="s">
        <v>50</v>
      </c>
      <c r="V236" s="983" t="s">
        <v>9349</v>
      </c>
      <c r="W236" s="982" t="s">
        <v>32</v>
      </c>
    </row>
    <row r="237" spans="1:23" x14ac:dyDescent="0.25">
      <c r="A237" s="979" t="s">
        <v>9722</v>
      </c>
      <c r="B237" s="979" t="s">
        <v>9279</v>
      </c>
      <c r="C237" s="979" t="s">
        <v>78</v>
      </c>
      <c r="D237" s="988">
        <v>38.086959999999998</v>
      </c>
      <c r="E237" s="988">
        <v>-122.00448</v>
      </c>
      <c r="F237" s="979" t="s">
        <v>9733</v>
      </c>
      <c r="G237" s="979" t="s">
        <v>27</v>
      </c>
      <c r="H237" s="979" t="s">
        <v>3841</v>
      </c>
      <c r="I237" s="979" t="s">
        <v>9581</v>
      </c>
      <c r="J237" s="979" t="s">
        <v>28</v>
      </c>
      <c r="K237" s="979" t="s">
        <v>29</v>
      </c>
      <c r="L237" s="979" t="s">
        <v>30</v>
      </c>
      <c r="M237" s="979">
        <v>2</v>
      </c>
      <c r="N237" s="979">
        <v>10</v>
      </c>
      <c r="O237" s="986">
        <v>45.9</v>
      </c>
      <c r="P237" s="986">
        <v>15118</v>
      </c>
      <c r="Q237" s="986">
        <v>0.28999999999999998</v>
      </c>
      <c r="R237" s="986">
        <v>62.25</v>
      </c>
      <c r="S237" s="980" t="s">
        <v>31</v>
      </c>
      <c r="T237" s="979">
        <v>1</v>
      </c>
      <c r="U237" s="979">
        <v>26.5</v>
      </c>
      <c r="V237" s="981" t="s">
        <v>9349</v>
      </c>
      <c r="W237" s="979" t="s">
        <v>32</v>
      </c>
    </row>
    <row r="238" spans="1:23" x14ac:dyDescent="0.25">
      <c r="A238" s="982" t="s">
        <v>9722</v>
      </c>
      <c r="B238" s="982" t="s">
        <v>9279</v>
      </c>
      <c r="C238" s="982" t="s">
        <v>78</v>
      </c>
      <c r="D238" s="989">
        <v>38.060099999999998</v>
      </c>
      <c r="E238" s="989">
        <v>-122.00685</v>
      </c>
      <c r="F238" s="982" t="s">
        <v>9734</v>
      </c>
      <c r="G238" s="982" t="s">
        <v>27</v>
      </c>
      <c r="H238" s="982" t="s">
        <v>3841</v>
      </c>
      <c r="I238" s="982" t="s">
        <v>9691</v>
      </c>
      <c r="J238" s="982" t="s">
        <v>28</v>
      </c>
      <c r="K238" s="982" t="s">
        <v>29</v>
      </c>
      <c r="L238" s="982" t="s">
        <v>30</v>
      </c>
      <c r="M238" s="982">
        <v>2</v>
      </c>
      <c r="N238" s="982">
        <v>10</v>
      </c>
      <c r="O238" s="987">
        <v>39.25</v>
      </c>
      <c r="P238" s="987">
        <v>15496</v>
      </c>
      <c r="Q238" s="987">
        <v>0.56499999999999995</v>
      </c>
      <c r="R238" s="987">
        <v>21.1</v>
      </c>
      <c r="S238" s="982" t="s">
        <v>50</v>
      </c>
      <c r="T238" s="982" t="s">
        <v>50</v>
      </c>
      <c r="U238" s="982" t="s">
        <v>50</v>
      </c>
      <c r="V238" s="983" t="s">
        <v>9349</v>
      </c>
      <c r="W238" s="982" t="s">
        <v>32</v>
      </c>
    </row>
    <row r="239" spans="1:23" x14ac:dyDescent="0.25">
      <c r="A239" s="982" t="s">
        <v>9722</v>
      </c>
      <c r="B239" s="982" t="s">
        <v>9279</v>
      </c>
      <c r="C239" s="982" t="s">
        <v>78</v>
      </c>
      <c r="D239" s="989">
        <v>38.074109999999997</v>
      </c>
      <c r="E239" s="989">
        <v>-122.08181</v>
      </c>
      <c r="F239" s="982" t="s">
        <v>9735</v>
      </c>
      <c r="G239" s="982" t="s">
        <v>80</v>
      </c>
      <c r="H239" s="982" t="s">
        <v>9390</v>
      </c>
      <c r="I239" s="982" t="s">
        <v>9736</v>
      </c>
      <c r="J239" s="982" t="s">
        <v>28</v>
      </c>
      <c r="K239" s="982" t="s">
        <v>29</v>
      </c>
      <c r="L239" s="982" t="s">
        <v>30</v>
      </c>
      <c r="M239" s="982">
        <v>2</v>
      </c>
      <c r="N239" s="982">
        <v>7.5</v>
      </c>
      <c r="O239" s="987">
        <v>9</v>
      </c>
      <c r="P239" s="987">
        <v>17806</v>
      </c>
      <c r="Q239" s="987">
        <v>0.30499999999999999</v>
      </c>
      <c r="R239" s="987">
        <v>58.2</v>
      </c>
      <c r="S239" s="982" t="s">
        <v>50</v>
      </c>
      <c r="T239" s="982" t="s">
        <v>50</v>
      </c>
      <c r="U239" s="982" t="s">
        <v>50</v>
      </c>
      <c r="V239" s="983" t="s">
        <v>9737</v>
      </c>
      <c r="W239" s="982" t="s">
        <v>32</v>
      </c>
    </row>
    <row r="240" spans="1:23" x14ac:dyDescent="0.25">
      <c r="A240" s="979" t="s">
        <v>9738</v>
      </c>
      <c r="B240" s="979" t="s">
        <v>9296</v>
      </c>
      <c r="C240" s="979" t="s">
        <v>62</v>
      </c>
      <c r="D240" s="979">
        <v>38.171309999999998</v>
      </c>
      <c r="E240" s="979">
        <v>-122.03251</v>
      </c>
      <c r="F240" s="979" t="s">
        <v>9739</v>
      </c>
      <c r="G240" s="979" t="s">
        <v>27</v>
      </c>
      <c r="H240" s="979" t="s">
        <v>9409</v>
      </c>
      <c r="I240" s="979" t="s">
        <v>9383</v>
      </c>
      <c r="J240" s="979" t="s">
        <v>28</v>
      </c>
      <c r="K240" s="979" t="s">
        <v>29</v>
      </c>
      <c r="L240" s="979" t="s">
        <v>30</v>
      </c>
      <c r="M240" s="979">
        <v>2</v>
      </c>
      <c r="N240" s="984">
        <v>10</v>
      </c>
      <c r="O240" s="986">
        <v>27.9</v>
      </c>
      <c r="P240" s="986">
        <v>6653</v>
      </c>
      <c r="Q240" s="986">
        <v>0.38500000000000001</v>
      </c>
      <c r="R240" s="986">
        <v>46.1</v>
      </c>
      <c r="S240" s="980" t="s">
        <v>31</v>
      </c>
      <c r="T240" s="984">
        <v>1</v>
      </c>
      <c r="U240" s="984">
        <v>19.899999999999999</v>
      </c>
      <c r="V240" s="981"/>
      <c r="W240" s="979" t="s">
        <v>32</v>
      </c>
    </row>
    <row r="241" spans="1:23" x14ac:dyDescent="0.25">
      <c r="A241" s="982" t="s">
        <v>9738</v>
      </c>
      <c r="B241" s="982" t="s">
        <v>9296</v>
      </c>
      <c r="C241" s="982" t="s">
        <v>62</v>
      </c>
      <c r="D241" s="982">
        <v>38.15737</v>
      </c>
      <c r="E241" s="982">
        <v>-122.04931999999999</v>
      </c>
      <c r="F241" s="982" t="s">
        <v>9740</v>
      </c>
      <c r="G241" s="982" t="s">
        <v>27</v>
      </c>
      <c r="H241" s="982" t="s">
        <v>9409</v>
      </c>
      <c r="I241" s="982" t="s">
        <v>9417</v>
      </c>
      <c r="J241" s="982" t="s">
        <v>28</v>
      </c>
      <c r="K241" s="982" t="s">
        <v>29</v>
      </c>
      <c r="L241" s="982" t="s">
        <v>30</v>
      </c>
      <c r="M241" s="982">
        <v>2</v>
      </c>
      <c r="N241" s="985">
        <v>10</v>
      </c>
      <c r="O241" s="987">
        <v>13.75</v>
      </c>
      <c r="P241" s="987">
        <v>7229</v>
      </c>
      <c r="Q241" s="987">
        <v>0.34</v>
      </c>
      <c r="R241" s="987">
        <v>44.9</v>
      </c>
      <c r="S241" s="982" t="s">
        <v>50</v>
      </c>
      <c r="T241" s="982" t="s">
        <v>50</v>
      </c>
      <c r="U241" s="982" t="s">
        <v>50</v>
      </c>
      <c r="V241" s="983" t="s">
        <v>9349</v>
      </c>
      <c r="W241" s="982" t="s">
        <v>32</v>
      </c>
    </row>
    <row r="242" spans="1:23" x14ac:dyDescent="0.25">
      <c r="A242" s="982" t="s">
        <v>9738</v>
      </c>
      <c r="B242" s="982" t="s">
        <v>9296</v>
      </c>
      <c r="C242" s="982" t="s">
        <v>62</v>
      </c>
      <c r="D242" s="982">
        <v>38.13447</v>
      </c>
      <c r="E242" s="982">
        <v>-121.91376</v>
      </c>
      <c r="F242" s="982" t="s">
        <v>9741</v>
      </c>
      <c r="G242" s="982" t="s">
        <v>27</v>
      </c>
      <c r="H242" s="982" t="s">
        <v>9409</v>
      </c>
      <c r="I242" s="982" t="s">
        <v>9742</v>
      </c>
      <c r="J242" s="982" t="s">
        <v>28</v>
      </c>
      <c r="K242" s="982" t="s">
        <v>29</v>
      </c>
      <c r="L242" s="982" t="s">
        <v>30</v>
      </c>
      <c r="M242" s="982">
        <v>2</v>
      </c>
      <c r="N242" s="985">
        <v>10</v>
      </c>
      <c r="O242" s="987">
        <v>14.15</v>
      </c>
      <c r="P242" s="987">
        <v>7148</v>
      </c>
      <c r="Q242" s="987">
        <v>23.73</v>
      </c>
      <c r="R242" s="987">
        <v>30.4</v>
      </c>
      <c r="S242" s="982" t="s">
        <v>50</v>
      </c>
      <c r="T242" s="982" t="s">
        <v>50</v>
      </c>
      <c r="U242" s="982" t="s">
        <v>50</v>
      </c>
      <c r="V242" s="983" t="s">
        <v>9349</v>
      </c>
      <c r="W242" s="982" t="s">
        <v>32</v>
      </c>
    </row>
    <row r="243" spans="1:23" x14ac:dyDescent="0.25">
      <c r="A243" s="982" t="s">
        <v>9738</v>
      </c>
      <c r="B243" s="982" t="s">
        <v>9296</v>
      </c>
      <c r="C243" s="982" t="s">
        <v>62</v>
      </c>
      <c r="D243" s="982">
        <v>38.117269999999998</v>
      </c>
      <c r="E243" s="982">
        <v>-122.06156</v>
      </c>
      <c r="F243" s="982" t="s">
        <v>9743</v>
      </c>
      <c r="G243" s="982" t="s">
        <v>27</v>
      </c>
      <c r="H243" s="982" t="s">
        <v>9409</v>
      </c>
      <c r="I243" s="982" t="s">
        <v>9744</v>
      </c>
      <c r="J243" s="982" t="s">
        <v>28</v>
      </c>
      <c r="K243" s="982" t="s">
        <v>29</v>
      </c>
      <c r="L243" s="982" t="s">
        <v>30</v>
      </c>
      <c r="M243" s="982">
        <v>2</v>
      </c>
      <c r="N243" s="985">
        <v>10</v>
      </c>
      <c r="O243" s="987">
        <v>16</v>
      </c>
      <c r="P243" s="987">
        <v>1110.3499999999999</v>
      </c>
      <c r="Q243" s="987">
        <v>0.38</v>
      </c>
      <c r="R243" s="987">
        <v>39.1</v>
      </c>
      <c r="S243" s="982" t="s">
        <v>50</v>
      </c>
      <c r="T243" s="982" t="s">
        <v>50</v>
      </c>
      <c r="U243" s="982" t="s">
        <v>50</v>
      </c>
      <c r="V243" s="983" t="s">
        <v>9349</v>
      </c>
      <c r="W243" s="982" t="s">
        <v>32</v>
      </c>
    </row>
    <row r="244" spans="1:23" x14ac:dyDescent="0.25">
      <c r="A244" s="982" t="s">
        <v>9738</v>
      </c>
      <c r="B244" s="982" t="s">
        <v>9296</v>
      </c>
      <c r="C244" s="982" t="s">
        <v>62</v>
      </c>
      <c r="D244" s="982">
        <v>38.145600000000002</v>
      </c>
      <c r="E244" s="982">
        <v>-122.0586</v>
      </c>
      <c r="F244" s="982" t="s">
        <v>9745</v>
      </c>
      <c r="G244" s="982" t="s">
        <v>27</v>
      </c>
      <c r="H244" s="982" t="s">
        <v>9409</v>
      </c>
      <c r="I244" s="982" t="s">
        <v>9724</v>
      </c>
      <c r="J244" s="982" t="s">
        <v>28</v>
      </c>
      <c r="K244" s="982" t="s">
        <v>29</v>
      </c>
      <c r="L244" s="982" t="s">
        <v>30</v>
      </c>
      <c r="M244" s="982">
        <v>2</v>
      </c>
      <c r="N244" s="985">
        <v>10</v>
      </c>
      <c r="O244" s="987">
        <v>21.65</v>
      </c>
      <c r="P244" s="987">
        <v>7766</v>
      </c>
      <c r="Q244" s="987">
        <v>0.33</v>
      </c>
      <c r="R244" s="987">
        <v>44.8</v>
      </c>
      <c r="S244" s="982" t="s">
        <v>50</v>
      </c>
      <c r="T244" s="982" t="s">
        <v>50</v>
      </c>
      <c r="U244" s="982" t="s">
        <v>50</v>
      </c>
      <c r="V244" s="983" t="s">
        <v>9746</v>
      </c>
      <c r="W244" s="982" t="s">
        <v>32</v>
      </c>
    </row>
    <row r="245" spans="1:23" x14ac:dyDescent="0.25">
      <c r="A245" s="982" t="s">
        <v>9747</v>
      </c>
      <c r="B245" s="982" t="s">
        <v>9313</v>
      </c>
      <c r="C245" s="982" t="s">
        <v>845</v>
      </c>
      <c r="D245" s="989">
        <v>38.317860000000003</v>
      </c>
      <c r="E245" s="989">
        <v>-121.69184</v>
      </c>
      <c r="F245" s="982" t="s">
        <v>9748</v>
      </c>
      <c r="G245" s="982" t="s">
        <v>90</v>
      </c>
      <c r="H245" s="982" t="s">
        <v>9394</v>
      </c>
      <c r="I245" s="982" t="s">
        <v>9749</v>
      </c>
      <c r="J245" s="982" t="s">
        <v>28</v>
      </c>
      <c r="K245" s="982" t="s">
        <v>29</v>
      </c>
      <c r="L245" s="982" t="s">
        <v>30</v>
      </c>
      <c r="M245" s="982">
        <v>2</v>
      </c>
      <c r="N245" s="1038">
        <v>10</v>
      </c>
      <c r="O245" s="987">
        <v>16.75</v>
      </c>
      <c r="P245" s="987">
        <v>326.8</v>
      </c>
      <c r="Q245" s="987">
        <v>1.0249999999999999</v>
      </c>
      <c r="R245" s="987">
        <v>10.25</v>
      </c>
      <c r="S245" s="982" t="s">
        <v>50</v>
      </c>
      <c r="T245" s="982" t="s">
        <v>50</v>
      </c>
      <c r="U245" s="982" t="s">
        <v>50</v>
      </c>
      <c r="V245" s="983"/>
      <c r="W245" s="982" t="s">
        <v>32</v>
      </c>
    </row>
    <row r="246" spans="1:23" x14ac:dyDescent="0.25">
      <c r="A246" s="982" t="s">
        <v>9747</v>
      </c>
      <c r="B246" s="982" t="s">
        <v>9313</v>
      </c>
      <c r="C246" s="982" t="s">
        <v>845</v>
      </c>
      <c r="D246" s="989">
        <v>38.270910000000001</v>
      </c>
      <c r="E246" s="989">
        <v>-121.69244999999999</v>
      </c>
      <c r="F246" s="982" t="s">
        <v>9750</v>
      </c>
      <c r="G246" s="982" t="s">
        <v>90</v>
      </c>
      <c r="H246" s="982" t="s">
        <v>9394</v>
      </c>
      <c r="I246" s="982" t="s">
        <v>9751</v>
      </c>
      <c r="J246" s="982" t="s">
        <v>28</v>
      </c>
      <c r="K246" s="982" t="s">
        <v>29</v>
      </c>
      <c r="L246" s="982" t="s">
        <v>30</v>
      </c>
      <c r="M246" s="982">
        <v>2</v>
      </c>
      <c r="N246" s="1038">
        <v>10</v>
      </c>
      <c r="O246" s="987">
        <v>18.75</v>
      </c>
      <c r="P246" s="987">
        <v>197.25</v>
      </c>
      <c r="Q246" s="987">
        <v>1.325</v>
      </c>
      <c r="R246" s="987">
        <v>6.54</v>
      </c>
      <c r="S246" s="982" t="s">
        <v>50</v>
      </c>
      <c r="T246" s="982" t="s">
        <v>50</v>
      </c>
      <c r="U246" s="982" t="s">
        <v>50</v>
      </c>
      <c r="V246" s="983" t="s">
        <v>9349</v>
      </c>
      <c r="W246" s="982" t="s">
        <v>32</v>
      </c>
    </row>
    <row r="247" spans="1:23" x14ac:dyDescent="0.25">
      <c r="A247" s="982" t="s">
        <v>9747</v>
      </c>
      <c r="B247" s="982" t="s">
        <v>9313</v>
      </c>
      <c r="C247" s="982" t="s">
        <v>845</v>
      </c>
      <c r="D247" s="989">
        <v>38.257669999999997</v>
      </c>
      <c r="E247" s="989">
        <v>-121.72752</v>
      </c>
      <c r="F247" s="982" t="s">
        <v>9752</v>
      </c>
      <c r="G247" s="982" t="s">
        <v>90</v>
      </c>
      <c r="H247" s="982" t="s">
        <v>9394</v>
      </c>
      <c r="I247" s="982" t="s">
        <v>9399</v>
      </c>
      <c r="J247" s="982" t="s">
        <v>28</v>
      </c>
      <c r="K247" s="982" t="s">
        <v>29</v>
      </c>
      <c r="L247" s="982" t="s">
        <v>30</v>
      </c>
      <c r="M247" s="982">
        <v>2</v>
      </c>
      <c r="N247" s="1038">
        <v>10</v>
      </c>
      <c r="O247" s="987">
        <v>20.100000000000001</v>
      </c>
      <c r="P247" s="987">
        <v>216.85</v>
      </c>
      <c r="Q247" s="987">
        <v>0.57499999999999996</v>
      </c>
      <c r="R247" s="987">
        <v>13.45</v>
      </c>
      <c r="S247" s="982" t="s">
        <v>50</v>
      </c>
      <c r="T247" s="982" t="s">
        <v>50</v>
      </c>
      <c r="U247" s="982" t="s">
        <v>50</v>
      </c>
      <c r="V247" s="983"/>
      <c r="W247" s="982" t="s">
        <v>32</v>
      </c>
    </row>
    <row r="248" spans="1:23" x14ac:dyDescent="0.25">
      <c r="A248" s="982" t="s">
        <v>9747</v>
      </c>
      <c r="B248" s="982" t="s">
        <v>9313</v>
      </c>
      <c r="C248" s="982" t="s">
        <v>845</v>
      </c>
      <c r="D248" s="989">
        <v>38.234819999999999</v>
      </c>
      <c r="E248" s="989">
        <v>-121.67963</v>
      </c>
      <c r="F248" s="982" t="s">
        <v>9753</v>
      </c>
      <c r="G248" s="982" t="s">
        <v>90</v>
      </c>
      <c r="H248" s="982" t="s">
        <v>9394</v>
      </c>
      <c r="I248" s="982" t="s">
        <v>9536</v>
      </c>
      <c r="J248" s="982" t="s">
        <v>28</v>
      </c>
      <c r="K248" s="982" t="s">
        <v>29</v>
      </c>
      <c r="L248" s="982" t="s">
        <v>30</v>
      </c>
      <c r="M248" s="982">
        <v>2</v>
      </c>
      <c r="N248" s="1038">
        <v>10</v>
      </c>
      <c r="O248" s="987">
        <v>38.15</v>
      </c>
      <c r="P248" s="987">
        <v>198.75</v>
      </c>
      <c r="Q248" s="987">
        <v>1.25</v>
      </c>
      <c r="R248" s="987">
        <v>8.125</v>
      </c>
      <c r="S248" s="982" t="s">
        <v>50</v>
      </c>
      <c r="T248" s="982" t="s">
        <v>50</v>
      </c>
      <c r="U248" s="982" t="s">
        <v>50</v>
      </c>
      <c r="V248" s="983" t="s">
        <v>9349</v>
      </c>
      <c r="W248" s="982" t="s">
        <v>32</v>
      </c>
    </row>
    <row r="249" spans="1:23" x14ac:dyDescent="0.25">
      <c r="A249" s="982" t="s">
        <v>9747</v>
      </c>
      <c r="B249" s="982" t="s">
        <v>9313</v>
      </c>
      <c r="C249" s="982" t="s">
        <v>845</v>
      </c>
      <c r="D249" s="989">
        <v>38.25759</v>
      </c>
      <c r="E249" s="989">
        <v>-121.69122</v>
      </c>
      <c r="F249" s="982" t="s">
        <v>9754</v>
      </c>
      <c r="G249" s="982" t="s">
        <v>90</v>
      </c>
      <c r="H249" s="982" t="s">
        <v>9394</v>
      </c>
      <c r="I249" s="982" t="s">
        <v>9455</v>
      </c>
      <c r="J249" s="982" t="s">
        <v>28</v>
      </c>
      <c r="K249" s="982" t="s">
        <v>29</v>
      </c>
      <c r="L249" s="982" t="s">
        <v>30</v>
      </c>
      <c r="M249" s="982">
        <v>2</v>
      </c>
      <c r="N249" s="1038">
        <v>10</v>
      </c>
      <c r="O249" s="987">
        <v>19.2</v>
      </c>
      <c r="P249" s="987">
        <v>199.4</v>
      </c>
      <c r="Q249" s="987">
        <v>1.45</v>
      </c>
      <c r="R249" s="987">
        <v>5.9950000000000001</v>
      </c>
      <c r="S249" s="982" t="s">
        <v>50</v>
      </c>
      <c r="T249" s="982" t="s">
        <v>50</v>
      </c>
      <c r="U249" s="982" t="s">
        <v>50</v>
      </c>
      <c r="V249" s="983" t="s">
        <v>9349</v>
      </c>
      <c r="W249" s="982" t="s">
        <v>32</v>
      </c>
    </row>
    <row r="250" spans="1:23" x14ac:dyDescent="0.25">
      <c r="A250" s="982" t="s">
        <v>9747</v>
      </c>
      <c r="B250" s="982" t="s">
        <v>9313</v>
      </c>
      <c r="C250" s="982" t="s">
        <v>95</v>
      </c>
      <c r="D250" s="989">
        <v>38.027279999999998</v>
      </c>
      <c r="E250" s="989">
        <v>-121.73430999999999</v>
      </c>
      <c r="F250" s="982" t="s">
        <v>9755</v>
      </c>
      <c r="G250" s="982" t="s">
        <v>27</v>
      </c>
      <c r="H250" s="982" t="s">
        <v>9460</v>
      </c>
      <c r="I250" s="982" t="s">
        <v>9756</v>
      </c>
      <c r="J250" s="982" t="s">
        <v>28</v>
      </c>
      <c r="K250" s="982" t="s">
        <v>29</v>
      </c>
      <c r="L250" s="982" t="s">
        <v>30</v>
      </c>
      <c r="M250" s="982">
        <v>2</v>
      </c>
      <c r="N250" s="1038">
        <v>10</v>
      </c>
      <c r="O250" s="987">
        <v>31.25</v>
      </c>
      <c r="P250" s="987">
        <v>967</v>
      </c>
      <c r="Q250" s="987">
        <v>0.98</v>
      </c>
      <c r="R250" s="987">
        <v>11.15</v>
      </c>
      <c r="S250" s="982" t="s">
        <v>50</v>
      </c>
      <c r="T250" s="982" t="s">
        <v>50</v>
      </c>
      <c r="U250" s="982" t="s">
        <v>50</v>
      </c>
      <c r="V250" s="983"/>
      <c r="W250" s="982" t="s">
        <v>32</v>
      </c>
    </row>
    <row r="251" spans="1:23" x14ac:dyDescent="0.25">
      <c r="A251" s="982" t="s">
        <v>9747</v>
      </c>
      <c r="B251" s="982" t="s">
        <v>9313</v>
      </c>
      <c r="C251" s="982" t="s">
        <v>95</v>
      </c>
      <c r="D251" s="989">
        <v>38.025759999999998</v>
      </c>
      <c r="E251" s="989">
        <v>-121.73755</v>
      </c>
      <c r="F251" s="982" t="s">
        <v>9757</v>
      </c>
      <c r="G251" s="982" t="s">
        <v>27</v>
      </c>
      <c r="H251" s="982" t="s">
        <v>9460</v>
      </c>
      <c r="I251" s="982" t="s">
        <v>9758</v>
      </c>
      <c r="J251" s="982" t="s">
        <v>28</v>
      </c>
      <c r="K251" s="982" t="s">
        <v>29</v>
      </c>
      <c r="L251" s="982" t="s">
        <v>30</v>
      </c>
      <c r="M251" s="982">
        <v>2</v>
      </c>
      <c r="N251" s="1038">
        <v>10</v>
      </c>
      <c r="O251" s="987">
        <v>26.25</v>
      </c>
      <c r="P251" s="987">
        <v>1185.5</v>
      </c>
      <c r="Q251" s="987">
        <v>0.88500000000000001</v>
      </c>
      <c r="R251" s="987">
        <v>17.05</v>
      </c>
      <c r="S251" s="982" t="s">
        <v>50</v>
      </c>
      <c r="T251" s="982" t="s">
        <v>50</v>
      </c>
      <c r="U251" s="982" t="s">
        <v>50</v>
      </c>
      <c r="V251" s="983" t="s">
        <v>9349</v>
      </c>
      <c r="W251" s="982" t="s">
        <v>32</v>
      </c>
    </row>
    <row r="252" spans="1:23" x14ac:dyDescent="0.25">
      <c r="A252" s="982" t="s">
        <v>9747</v>
      </c>
      <c r="B252" s="982" t="s">
        <v>9313</v>
      </c>
      <c r="C252" s="982" t="s">
        <v>95</v>
      </c>
      <c r="D252" s="989">
        <v>38.096739999999997</v>
      </c>
      <c r="E252" s="989">
        <v>-121.58336</v>
      </c>
      <c r="F252" s="982" t="s">
        <v>9759</v>
      </c>
      <c r="G252" s="982" t="s">
        <v>46</v>
      </c>
      <c r="H252" s="982" t="s">
        <v>9438</v>
      </c>
      <c r="I252" s="982" t="s">
        <v>9475</v>
      </c>
      <c r="J252" s="982" t="s">
        <v>28</v>
      </c>
      <c r="K252" s="982" t="s">
        <v>29</v>
      </c>
      <c r="L252" s="982" t="s">
        <v>30</v>
      </c>
      <c r="M252" s="982">
        <v>2</v>
      </c>
      <c r="N252" s="1038">
        <v>10</v>
      </c>
      <c r="O252" s="987">
        <v>22.2</v>
      </c>
      <c r="P252" s="987">
        <v>312.25</v>
      </c>
      <c r="Q252" s="987">
        <v>0.84499999999999997</v>
      </c>
      <c r="R252" s="987">
        <v>14.95</v>
      </c>
      <c r="S252" s="982" t="s">
        <v>50</v>
      </c>
      <c r="T252" s="982" t="s">
        <v>50</v>
      </c>
      <c r="U252" s="982" t="s">
        <v>50</v>
      </c>
      <c r="V252" s="983" t="s">
        <v>9349</v>
      </c>
      <c r="W252" s="982" t="s">
        <v>32</v>
      </c>
    </row>
    <row r="253" spans="1:23" x14ac:dyDescent="0.25">
      <c r="A253" s="982" t="s">
        <v>9747</v>
      </c>
      <c r="B253" s="982" t="s">
        <v>9313</v>
      </c>
      <c r="C253" s="982" t="s">
        <v>95</v>
      </c>
      <c r="D253" s="989">
        <v>38.04842</v>
      </c>
      <c r="E253" s="989">
        <v>-121.5348</v>
      </c>
      <c r="F253" s="982" t="s">
        <v>9760</v>
      </c>
      <c r="G253" s="982" t="s">
        <v>46</v>
      </c>
      <c r="H253" s="982" t="s">
        <v>9438</v>
      </c>
      <c r="I253" s="982" t="s">
        <v>9761</v>
      </c>
      <c r="J253" s="982" t="s">
        <v>28</v>
      </c>
      <c r="K253" s="982" t="s">
        <v>29</v>
      </c>
      <c r="L253" s="982" t="s">
        <v>30</v>
      </c>
      <c r="M253" s="982">
        <v>2</v>
      </c>
      <c r="N253" s="1038">
        <v>10</v>
      </c>
      <c r="O253" s="987">
        <v>34.85</v>
      </c>
      <c r="P253" s="987">
        <v>299.39999999999998</v>
      </c>
      <c r="Q253" s="987">
        <v>0.94499999999999995</v>
      </c>
      <c r="R253" s="987">
        <v>11.65</v>
      </c>
      <c r="S253" s="982" t="s">
        <v>50</v>
      </c>
      <c r="T253" s="982" t="s">
        <v>50</v>
      </c>
      <c r="U253" s="982" t="s">
        <v>50</v>
      </c>
      <c r="V253" s="983"/>
      <c r="W253" s="982" t="s">
        <v>32</v>
      </c>
    </row>
    <row r="254" spans="1:23" s="854" customFormat="1" x14ac:dyDescent="0.25">
      <c r="A254" s="990" t="s">
        <v>9747</v>
      </c>
      <c r="B254" s="990" t="s">
        <v>9313</v>
      </c>
      <c r="C254" s="990" t="s">
        <v>95</v>
      </c>
      <c r="D254" s="991">
        <v>38.058520000000001</v>
      </c>
      <c r="E254" s="991">
        <v>-121.54824000000001</v>
      </c>
      <c r="F254" s="990" t="s">
        <v>9762</v>
      </c>
      <c r="G254" s="990" t="s">
        <v>46</v>
      </c>
      <c r="H254" s="990" t="s">
        <v>9438</v>
      </c>
      <c r="I254" s="990" t="s">
        <v>9612</v>
      </c>
      <c r="J254" s="990" t="s">
        <v>28</v>
      </c>
      <c r="K254" s="990" t="s">
        <v>29</v>
      </c>
      <c r="L254" s="990" t="s">
        <v>30</v>
      </c>
      <c r="M254" s="990">
        <v>2</v>
      </c>
      <c r="N254" s="1039">
        <v>10</v>
      </c>
      <c r="O254" s="993">
        <v>29.05</v>
      </c>
      <c r="P254" s="993">
        <v>293.05</v>
      </c>
      <c r="Q254" s="993">
        <v>1.0900000000000001</v>
      </c>
      <c r="R254" s="993">
        <v>9.1549999999999994</v>
      </c>
      <c r="S254" s="990" t="s">
        <v>50</v>
      </c>
      <c r="T254" s="990" t="s">
        <v>50</v>
      </c>
      <c r="U254" s="990" t="s">
        <v>50</v>
      </c>
      <c r="V254" s="994" t="s">
        <v>9349</v>
      </c>
      <c r="W254" s="990" t="s">
        <v>32</v>
      </c>
    </row>
    <row r="255" spans="1:23" x14ac:dyDescent="0.25">
      <c r="A255" s="982" t="s">
        <v>9763</v>
      </c>
      <c r="B255" s="982" t="s">
        <v>24</v>
      </c>
      <c r="C255" s="982" t="s">
        <v>95</v>
      </c>
      <c r="D255" s="989">
        <v>38.097540000000002</v>
      </c>
      <c r="E255" s="989">
        <v>-121.58793</v>
      </c>
      <c r="F255" s="982" t="s">
        <v>9764</v>
      </c>
      <c r="G255" s="982" t="s">
        <v>46</v>
      </c>
      <c r="H255" s="982" t="s">
        <v>9438</v>
      </c>
      <c r="I255" s="982" t="s">
        <v>9534</v>
      </c>
      <c r="J255" s="982" t="s">
        <v>28</v>
      </c>
      <c r="K255" s="982" t="s">
        <v>29</v>
      </c>
      <c r="L255" s="982" t="s">
        <v>30</v>
      </c>
      <c r="M255" s="982">
        <v>1</v>
      </c>
      <c r="N255" s="985">
        <v>4</v>
      </c>
      <c r="O255" s="987">
        <v>32.5</v>
      </c>
      <c r="P255" s="987">
        <v>381.55</v>
      </c>
      <c r="Q255" s="987">
        <v>0.75</v>
      </c>
      <c r="R255" s="987">
        <v>13.4</v>
      </c>
      <c r="S255" s="982" t="s">
        <v>50</v>
      </c>
      <c r="T255" s="982" t="s">
        <v>50</v>
      </c>
      <c r="U255" s="982" t="s">
        <v>50</v>
      </c>
      <c r="V255" s="983" t="s">
        <v>9771</v>
      </c>
      <c r="W255" s="982" t="s">
        <v>32</v>
      </c>
    </row>
    <row r="256" spans="1:23" x14ac:dyDescent="0.25">
      <c r="A256" s="982" t="s">
        <v>9763</v>
      </c>
      <c r="B256" s="982" t="s">
        <v>24</v>
      </c>
      <c r="C256" s="982" t="s">
        <v>95</v>
      </c>
      <c r="D256" s="989">
        <v>38.043559999999999</v>
      </c>
      <c r="E256" s="989">
        <v>-121.50471</v>
      </c>
      <c r="F256" s="982" t="s">
        <v>9765</v>
      </c>
      <c r="G256" s="982" t="s">
        <v>46</v>
      </c>
      <c r="H256" s="982" t="s">
        <v>9438</v>
      </c>
      <c r="I256" s="982" t="s">
        <v>9387</v>
      </c>
      <c r="J256" s="982" t="s">
        <v>28</v>
      </c>
      <c r="K256" s="982" t="s">
        <v>29</v>
      </c>
      <c r="L256" s="982" t="s">
        <v>30</v>
      </c>
      <c r="M256" s="982">
        <v>2</v>
      </c>
      <c r="N256" s="985">
        <v>10</v>
      </c>
      <c r="O256" s="987">
        <v>19.399999999999999</v>
      </c>
      <c r="P256" s="987">
        <v>337.6</v>
      </c>
      <c r="Q256" s="987">
        <v>0.875</v>
      </c>
      <c r="R256" s="987">
        <v>8.44</v>
      </c>
      <c r="S256" s="982" t="s">
        <v>50</v>
      </c>
      <c r="T256" s="982" t="s">
        <v>50</v>
      </c>
      <c r="U256" s="982" t="s">
        <v>50</v>
      </c>
      <c r="V256" s="983" t="s">
        <v>9770</v>
      </c>
      <c r="W256" s="982" t="s">
        <v>32</v>
      </c>
    </row>
    <row r="257" spans="1:23" x14ac:dyDescent="0.25">
      <c r="A257" s="982" t="s">
        <v>9766</v>
      </c>
      <c r="B257" s="982" t="s">
        <v>9279</v>
      </c>
      <c r="C257" s="982" t="s">
        <v>106</v>
      </c>
      <c r="D257" s="982">
        <v>38.181280000000001</v>
      </c>
      <c r="E257" s="982">
        <v>-121.66468</v>
      </c>
      <c r="F257" s="982" t="s">
        <v>9767</v>
      </c>
      <c r="G257" s="982" t="s">
        <v>90</v>
      </c>
      <c r="H257" s="982" t="s">
        <v>108</v>
      </c>
      <c r="I257" s="982" t="s">
        <v>9628</v>
      </c>
      <c r="J257" s="982" t="s">
        <v>28</v>
      </c>
      <c r="K257" s="982" t="s">
        <v>29</v>
      </c>
      <c r="L257" s="982" t="s">
        <v>30</v>
      </c>
      <c r="M257" s="982">
        <v>2</v>
      </c>
      <c r="N257" s="985">
        <v>10</v>
      </c>
      <c r="O257" s="987">
        <v>63.2</v>
      </c>
      <c r="P257" s="987">
        <v>199.8</v>
      </c>
      <c r="Q257" s="987">
        <v>1.075</v>
      </c>
      <c r="R257" s="987">
        <v>11.3</v>
      </c>
      <c r="S257" s="982" t="s">
        <v>50</v>
      </c>
      <c r="T257" s="982" t="s">
        <v>50</v>
      </c>
      <c r="U257" s="982" t="s">
        <v>50</v>
      </c>
      <c r="V257" s="983" t="s">
        <v>9349</v>
      </c>
      <c r="W257" s="982" t="s">
        <v>32</v>
      </c>
    </row>
    <row r="258" spans="1:23" x14ac:dyDescent="0.25">
      <c r="A258" s="982" t="s">
        <v>9766</v>
      </c>
      <c r="B258" s="982" t="s">
        <v>9279</v>
      </c>
      <c r="C258" s="982" t="s">
        <v>106</v>
      </c>
      <c r="D258" s="982">
        <v>38.203090000000003</v>
      </c>
      <c r="E258" s="982">
        <v>-121.65698</v>
      </c>
      <c r="F258" s="982" t="s">
        <v>9768</v>
      </c>
      <c r="G258" s="982" t="s">
        <v>90</v>
      </c>
      <c r="H258" s="982" t="s">
        <v>108</v>
      </c>
      <c r="I258" s="982" t="s">
        <v>9701</v>
      </c>
      <c r="J258" s="982" t="s">
        <v>28</v>
      </c>
      <c r="K258" s="982" t="s">
        <v>29</v>
      </c>
      <c r="L258" s="982" t="s">
        <v>30</v>
      </c>
      <c r="M258" s="982">
        <v>2</v>
      </c>
      <c r="N258" s="985">
        <v>10</v>
      </c>
      <c r="O258" s="987">
        <v>41.35</v>
      </c>
      <c r="P258" s="987">
        <v>187.7</v>
      </c>
      <c r="Q258" s="987">
        <v>1.05</v>
      </c>
      <c r="R258" s="987">
        <v>10.9</v>
      </c>
      <c r="S258" s="982" t="s">
        <v>50</v>
      </c>
      <c r="T258" s="982" t="s">
        <v>50</v>
      </c>
      <c r="U258" s="982" t="s">
        <v>50</v>
      </c>
      <c r="V258" s="983" t="s">
        <v>9349</v>
      </c>
      <c r="W258" s="982" t="s">
        <v>32</v>
      </c>
    </row>
    <row r="259" spans="1:23" x14ac:dyDescent="0.25">
      <c r="A259" s="982" t="s">
        <v>9766</v>
      </c>
      <c r="B259" s="982" t="s">
        <v>9279</v>
      </c>
      <c r="C259" s="982" t="s">
        <v>106</v>
      </c>
      <c r="D259" s="982">
        <v>38.227760000000004</v>
      </c>
      <c r="E259" s="982">
        <v>-121.67323</v>
      </c>
      <c r="F259" s="982" t="s">
        <v>9769</v>
      </c>
      <c r="G259" s="982" t="s">
        <v>90</v>
      </c>
      <c r="H259" s="982" t="s">
        <v>108</v>
      </c>
      <c r="I259" s="982" t="s">
        <v>9646</v>
      </c>
      <c r="J259" s="982" t="s">
        <v>28</v>
      </c>
      <c r="K259" s="982" t="s">
        <v>29</v>
      </c>
      <c r="L259" s="982" t="s">
        <v>30</v>
      </c>
      <c r="M259" s="982">
        <v>2</v>
      </c>
      <c r="N259" s="985">
        <v>10</v>
      </c>
      <c r="O259" s="987">
        <v>39.299999999999997</v>
      </c>
      <c r="P259" s="987">
        <v>180.9</v>
      </c>
      <c r="Q259" s="987">
        <v>1.1499999999999999</v>
      </c>
      <c r="R259" s="987">
        <v>8.7799999999999994</v>
      </c>
      <c r="S259" s="982" t="s">
        <v>50</v>
      </c>
      <c r="T259" s="982" t="s">
        <v>50</v>
      </c>
      <c r="U259" s="982" t="s">
        <v>50</v>
      </c>
      <c r="V259" s="983" t="s">
        <v>9772</v>
      </c>
      <c r="W259" s="982" t="s">
        <v>32</v>
      </c>
    </row>
    <row r="260" spans="1:23" x14ac:dyDescent="0.25">
      <c r="A260" s="982" t="s">
        <v>9773</v>
      </c>
      <c r="B260" s="982" t="s">
        <v>9296</v>
      </c>
      <c r="C260" s="982" t="s">
        <v>95</v>
      </c>
      <c r="D260" s="989">
        <v>38.0289</v>
      </c>
      <c r="E260" s="989">
        <v>-121.75552</v>
      </c>
      <c r="F260" s="982" t="s">
        <v>9774</v>
      </c>
      <c r="G260" s="982" t="s">
        <v>27</v>
      </c>
      <c r="H260" s="982" t="s">
        <v>9460</v>
      </c>
      <c r="I260" s="982" t="s">
        <v>9433</v>
      </c>
      <c r="J260" s="982" t="s">
        <v>28</v>
      </c>
      <c r="K260" s="982" t="s">
        <v>29</v>
      </c>
      <c r="L260" s="982" t="s">
        <v>30</v>
      </c>
      <c r="M260" s="982">
        <v>2</v>
      </c>
      <c r="N260" s="985">
        <v>10</v>
      </c>
      <c r="O260" s="987">
        <v>34.200000000000003</v>
      </c>
      <c r="P260" s="987">
        <v>2516</v>
      </c>
      <c r="Q260" s="987">
        <v>0.7</v>
      </c>
      <c r="R260" s="987">
        <v>13.85</v>
      </c>
      <c r="S260" s="982" t="s">
        <v>50</v>
      </c>
      <c r="T260" s="982" t="s">
        <v>50</v>
      </c>
      <c r="U260" s="982" t="s">
        <v>50</v>
      </c>
      <c r="V260" s="983" t="s">
        <v>9349</v>
      </c>
      <c r="W260" s="982" t="s">
        <v>32</v>
      </c>
    </row>
    <row r="261" spans="1:23" x14ac:dyDescent="0.25">
      <c r="A261" s="982" t="s">
        <v>9773</v>
      </c>
      <c r="B261" s="982" t="s">
        <v>9296</v>
      </c>
      <c r="C261" s="982" t="s">
        <v>95</v>
      </c>
      <c r="D261" s="989">
        <v>38.062730000000002</v>
      </c>
      <c r="E261" s="989">
        <v>-121.67718000000001</v>
      </c>
      <c r="F261" s="982" t="s">
        <v>9775</v>
      </c>
      <c r="G261" s="982" t="s">
        <v>46</v>
      </c>
      <c r="H261" s="982" t="s">
        <v>9445</v>
      </c>
      <c r="I261" s="982" t="s">
        <v>9776</v>
      </c>
      <c r="J261" s="982" t="s">
        <v>28</v>
      </c>
      <c r="K261" s="982" t="s">
        <v>29</v>
      </c>
      <c r="L261" s="982" t="s">
        <v>30</v>
      </c>
      <c r="M261" s="982">
        <v>2</v>
      </c>
      <c r="N261" s="985">
        <v>10</v>
      </c>
      <c r="O261" s="987">
        <v>40.6</v>
      </c>
      <c r="P261" s="987">
        <v>854</v>
      </c>
      <c r="Q261" s="987">
        <v>0.875</v>
      </c>
      <c r="R261" s="987">
        <v>10.365</v>
      </c>
      <c r="S261" s="982" t="s">
        <v>50</v>
      </c>
      <c r="T261" s="982" t="s">
        <v>50</v>
      </c>
      <c r="U261" s="982" t="s">
        <v>50</v>
      </c>
      <c r="V261" s="983" t="s">
        <v>9349</v>
      </c>
      <c r="W261" s="982" t="s">
        <v>32</v>
      </c>
    </row>
    <row r="262" spans="1:23" x14ac:dyDescent="0.25">
      <c r="A262" s="982" t="s">
        <v>9773</v>
      </c>
      <c r="B262" s="982" t="s">
        <v>9296</v>
      </c>
      <c r="C262" s="982" t="s">
        <v>78</v>
      </c>
      <c r="D262" s="989">
        <v>38.039409999999997</v>
      </c>
      <c r="E262" s="989">
        <v>-121.88378</v>
      </c>
      <c r="F262" s="982" t="s">
        <v>9777</v>
      </c>
      <c r="G262" s="982" t="s">
        <v>27</v>
      </c>
      <c r="H262" s="982" t="s">
        <v>101</v>
      </c>
      <c r="I262" s="982" t="s">
        <v>9778</v>
      </c>
      <c r="J262" s="982" t="s">
        <v>28</v>
      </c>
      <c r="K262" s="982" t="s">
        <v>29</v>
      </c>
      <c r="L262" s="982" t="s">
        <v>30</v>
      </c>
      <c r="M262" s="982">
        <v>2</v>
      </c>
      <c r="N262" s="985">
        <v>10</v>
      </c>
      <c r="O262" s="987">
        <v>39.65</v>
      </c>
      <c r="P262" s="987">
        <v>7771.5</v>
      </c>
      <c r="Q262" s="987">
        <v>0.625</v>
      </c>
      <c r="R262" s="987">
        <v>20.85</v>
      </c>
      <c r="S262" s="982" t="s">
        <v>50</v>
      </c>
      <c r="T262" s="982" t="s">
        <v>50</v>
      </c>
      <c r="U262" s="982" t="s">
        <v>50</v>
      </c>
      <c r="V262" s="983" t="s">
        <v>9349</v>
      </c>
      <c r="W262" s="982" t="s">
        <v>32</v>
      </c>
    </row>
    <row r="263" spans="1:23" x14ac:dyDescent="0.25">
      <c r="A263" s="982" t="s">
        <v>9773</v>
      </c>
      <c r="B263" s="982" t="s">
        <v>9296</v>
      </c>
      <c r="C263" s="982" t="s">
        <v>78</v>
      </c>
      <c r="D263" s="989">
        <v>38.0794</v>
      </c>
      <c r="E263" s="989">
        <v>-121.99306</v>
      </c>
      <c r="F263" s="982" t="s">
        <v>9779</v>
      </c>
      <c r="G263" s="982" t="s">
        <v>27</v>
      </c>
      <c r="H263" s="982" t="s">
        <v>3841</v>
      </c>
      <c r="I263" s="982" t="s">
        <v>9780</v>
      </c>
      <c r="J263" s="982" t="s">
        <v>28</v>
      </c>
      <c r="K263" s="982" t="s">
        <v>29</v>
      </c>
      <c r="L263" s="982" t="s">
        <v>30</v>
      </c>
      <c r="M263" s="982">
        <v>2</v>
      </c>
      <c r="N263" s="985">
        <v>10</v>
      </c>
      <c r="O263" s="987">
        <v>11.45</v>
      </c>
      <c r="P263" s="987">
        <v>16845</v>
      </c>
      <c r="Q263" s="987">
        <v>0.5</v>
      </c>
      <c r="R263" s="987">
        <v>31</v>
      </c>
      <c r="S263" s="982" t="s">
        <v>50</v>
      </c>
      <c r="T263" s="982" t="s">
        <v>50</v>
      </c>
      <c r="U263" s="982" t="s">
        <v>50</v>
      </c>
      <c r="V263" s="983" t="s">
        <v>9349</v>
      </c>
      <c r="W263" s="982" t="s">
        <v>32</v>
      </c>
    </row>
    <row r="264" spans="1:23" x14ac:dyDescent="0.25">
      <c r="A264" s="982" t="s">
        <v>9773</v>
      </c>
      <c r="B264" s="982" t="s">
        <v>9296</v>
      </c>
      <c r="C264" s="982" t="s">
        <v>78</v>
      </c>
      <c r="D264" s="989">
        <v>38.044060000000002</v>
      </c>
      <c r="E264" s="989">
        <v>-122.11233</v>
      </c>
      <c r="F264" s="982" t="s">
        <v>9781</v>
      </c>
      <c r="G264" s="982" t="s">
        <v>80</v>
      </c>
      <c r="H264" s="982" t="s">
        <v>9390</v>
      </c>
      <c r="I264" s="982" t="s">
        <v>9782</v>
      </c>
      <c r="J264" s="982" t="s">
        <v>28</v>
      </c>
      <c r="K264" s="982" t="s">
        <v>29</v>
      </c>
      <c r="L264" s="982" t="s">
        <v>30</v>
      </c>
      <c r="M264" s="982">
        <v>2</v>
      </c>
      <c r="N264" s="985">
        <v>10</v>
      </c>
      <c r="O264" s="987">
        <v>36.049999999999997</v>
      </c>
      <c r="P264" s="987">
        <v>25616</v>
      </c>
      <c r="Q264" s="987">
        <v>0.95</v>
      </c>
      <c r="R264" s="987">
        <v>9.0350000000000001</v>
      </c>
      <c r="S264" s="982" t="s">
        <v>50</v>
      </c>
      <c r="T264" s="982" t="s">
        <v>50</v>
      </c>
      <c r="U264" s="982" t="s">
        <v>50</v>
      </c>
      <c r="V264" s="983" t="s">
        <v>9783</v>
      </c>
      <c r="W264" s="982" t="s">
        <v>32</v>
      </c>
    </row>
    <row r="265" spans="1:23" x14ac:dyDescent="0.25">
      <c r="A265" s="982" t="s">
        <v>9784</v>
      </c>
      <c r="B265" s="982" t="s">
        <v>9313</v>
      </c>
      <c r="C265" s="982" t="s">
        <v>62</v>
      </c>
      <c r="D265" s="989">
        <v>38.105020000000003</v>
      </c>
      <c r="E265" s="989">
        <v>-122.06083</v>
      </c>
      <c r="F265" s="982" t="s">
        <v>9785</v>
      </c>
      <c r="G265" s="982" t="s">
        <v>27</v>
      </c>
      <c r="H265" s="982" t="s">
        <v>173</v>
      </c>
      <c r="I265" s="982" t="s">
        <v>9405</v>
      </c>
      <c r="J265" s="982" t="s">
        <v>28</v>
      </c>
      <c r="K265" s="982" t="s">
        <v>29</v>
      </c>
      <c r="L265" s="982" t="s">
        <v>30</v>
      </c>
      <c r="M265" s="982">
        <v>2</v>
      </c>
      <c r="N265" s="985">
        <v>10</v>
      </c>
      <c r="O265" s="987">
        <v>8.85</v>
      </c>
      <c r="P265" s="987">
        <v>17562.5</v>
      </c>
      <c r="Q265" s="987">
        <v>0.45</v>
      </c>
      <c r="R265" s="987">
        <v>21.4</v>
      </c>
      <c r="S265" s="982" t="s">
        <v>50</v>
      </c>
      <c r="T265" s="982" t="s">
        <v>50</v>
      </c>
      <c r="U265" s="982" t="s">
        <v>50</v>
      </c>
      <c r="V265" s="983" t="s">
        <v>9349</v>
      </c>
      <c r="W265" s="982" t="s">
        <v>32</v>
      </c>
    </row>
    <row r="266" spans="1:23" x14ac:dyDescent="0.25">
      <c r="A266" s="982" t="s">
        <v>9784</v>
      </c>
      <c r="B266" s="982" t="s">
        <v>9313</v>
      </c>
      <c r="C266" s="982" t="s">
        <v>62</v>
      </c>
      <c r="D266" s="989">
        <v>38.117040000000003</v>
      </c>
      <c r="E266" s="989">
        <v>-122.05747</v>
      </c>
      <c r="F266" s="982" t="s">
        <v>9786</v>
      </c>
      <c r="G266" s="982" t="s">
        <v>27</v>
      </c>
      <c r="H266" s="982" t="s">
        <v>173</v>
      </c>
      <c r="I266" s="982" t="s">
        <v>9519</v>
      </c>
      <c r="J266" s="982" t="s">
        <v>28</v>
      </c>
      <c r="K266" s="982" t="s">
        <v>29</v>
      </c>
      <c r="L266" s="982" t="s">
        <v>30</v>
      </c>
      <c r="M266" s="982">
        <v>2</v>
      </c>
      <c r="N266" s="985">
        <v>10</v>
      </c>
      <c r="O266" s="987">
        <v>8.9</v>
      </c>
      <c r="P266" s="987">
        <v>17084.5</v>
      </c>
      <c r="Q266" s="987">
        <v>0.47499999999999998</v>
      </c>
      <c r="R266" s="987">
        <v>17.399999999999999</v>
      </c>
      <c r="S266" s="982" t="s">
        <v>50</v>
      </c>
      <c r="T266" s="982" t="s">
        <v>50</v>
      </c>
      <c r="U266" s="982" t="s">
        <v>50</v>
      </c>
      <c r="V266" s="983" t="s">
        <v>9349</v>
      </c>
      <c r="W266" s="982" t="s">
        <v>32</v>
      </c>
    </row>
    <row r="267" spans="1:23" x14ac:dyDescent="0.25">
      <c r="A267" s="982" t="s">
        <v>9784</v>
      </c>
      <c r="B267" s="982" t="s">
        <v>9313</v>
      </c>
      <c r="C267" s="982" t="s">
        <v>62</v>
      </c>
      <c r="D267" s="989">
        <v>38.121250000000003</v>
      </c>
      <c r="E267" s="989">
        <v>-121.90151</v>
      </c>
      <c r="F267" s="982" t="s">
        <v>9787</v>
      </c>
      <c r="G267" s="982" t="s">
        <v>27</v>
      </c>
      <c r="H267" s="982" t="s">
        <v>9409</v>
      </c>
      <c r="I267" s="982" t="s">
        <v>9433</v>
      </c>
      <c r="J267" s="982" t="s">
        <v>28</v>
      </c>
      <c r="K267" s="982" t="s">
        <v>29</v>
      </c>
      <c r="L267" s="982" t="s">
        <v>30</v>
      </c>
      <c r="M267" s="982">
        <v>2</v>
      </c>
      <c r="N267" s="985">
        <v>10</v>
      </c>
      <c r="O267" s="987">
        <v>16.05</v>
      </c>
      <c r="P267" s="987">
        <v>7802</v>
      </c>
      <c r="Q267" s="987">
        <v>0.57499999999999996</v>
      </c>
      <c r="R267" s="987">
        <v>20.75</v>
      </c>
      <c r="S267" s="982" t="s">
        <v>50</v>
      </c>
      <c r="T267" s="982" t="s">
        <v>50</v>
      </c>
      <c r="U267" s="982" t="s">
        <v>50</v>
      </c>
      <c r="V267" s="983" t="s">
        <v>9349</v>
      </c>
      <c r="W267" s="982" t="s">
        <v>32</v>
      </c>
    </row>
    <row r="268" spans="1:23" x14ac:dyDescent="0.25">
      <c r="A268" s="982" t="s">
        <v>9784</v>
      </c>
      <c r="B268" s="982" t="s">
        <v>9313</v>
      </c>
      <c r="C268" s="982" t="s">
        <v>62</v>
      </c>
      <c r="D268" s="989">
        <v>38.180819999999997</v>
      </c>
      <c r="E268" s="989">
        <v>-121.99992</v>
      </c>
      <c r="F268" s="982" t="s">
        <v>9788</v>
      </c>
      <c r="G268" s="982" t="s">
        <v>27</v>
      </c>
      <c r="H268" s="982" t="s">
        <v>9409</v>
      </c>
      <c r="I268" s="982" t="s">
        <v>9789</v>
      </c>
      <c r="J268" s="982" t="s">
        <v>28</v>
      </c>
      <c r="K268" s="982" t="s">
        <v>29</v>
      </c>
      <c r="L268" s="982" t="s">
        <v>30</v>
      </c>
      <c r="M268" s="982">
        <v>2</v>
      </c>
      <c r="N268" s="985">
        <v>10</v>
      </c>
      <c r="O268" s="987">
        <v>23.5</v>
      </c>
      <c r="P268" s="987">
        <v>4891.8500000000004</v>
      </c>
      <c r="Q268" s="987">
        <v>0.55000000000000004</v>
      </c>
      <c r="R268" s="987">
        <v>21</v>
      </c>
      <c r="S268" s="982" t="s">
        <v>50</v>
      </c>
      <c r="T268" s="982" t="s">
        <v>50</v>
      </c>
      <c r="U268" s="982" t="s">
        <v>50</v>
      </c>
      <c r="V268" s="983" t="s">
        <v>9349</v>
      </c>
      <c r="W268" s="982" t="s">
        <v>32</v>
      </c>
    </row>
    <row r="269" spans="1:23" x14ac:dyDescent="0.25">
      <c r="A269" s="982" t="s">
        <v>9784</v>
      </c>
      <c r="B269" s="982" t="s">
        <v>9313</v>
      </c>
      <c r="C269" s="982" t="s">
        <v>62</v>
      </c>
      <c r="D269" s="989">
        <v>38.151220000000002</v>
      </c>
      <c r="E269" s="989">
        <v>-122.05619</v>
      </c>
      <c r="F269" s="982" t="s">
        <v>9790</v>
      </c>
      <c r="G269" s="982" t="s">
        <v>27</v>
      </c>
      <c r="H269" s="982" t="s">
        <v>9409</v>
      </c>
      <c r="I269" s="982" t="s">
        <v>9704</v>
      </c>
      <c r="J269" s="982" t="s">
        <v>28</v>
      </c>
      <c r="K269" s="982" t="s">
        <v>29</v>
      </c>
      <c r="L269" s="982" t="s">
        <v>30</v>
      </c>
      <c r="M269" s="982">
        <v>2</v>
      </c>
      <c r="N269" s="985">
        <v>10</v>
      </c>
      <c r="O269" s="987">
        <v>27.6</v>
      </c>
      <c r="P269" s="987">
        <v>10779.5</v>
      </c>
      <c r="Q269" s="987">
        <v>0.4</v>
      </c>
      <c r="R269" s="987">
        <v>24.5</v>
      </c>
      <c r="S269" s="982" t="s">
        <v>50</v>
      </c>
      <c r="T269" s="982" t="s">
        <v>50</v>
      </c>
      <c r="U269" s="982" t="s">
        <v>50</v>
      </c>
      <c r="V269" s="983" t="s">
        <v>9791</v>
      </c>
      <c r="W269" s="982" t="s">
        <v>32</v>
      </c>
    </row>
    <row r="270" spans="1:23" x14ac:dyDescent="0.25">
      <c r="A270" s="982" t="s">
        <v>9792</v>
      </c>
      <c r="B270" s="982" t="s">
        <v>940</v>
      </c>
      <c r="C270" s="982" t="s">
        <v>845</v>
      </c>
      <c r="D270" s="989">
        <v>38.234630000000003</v>
      </c>
      <c r="E270" s="989">
        <v>-121.67769</v>
      </c>
      <c r="F270" s="982" t="s">
        <v>9793</v>
      </c>
      <c r="G270" s="982" t="s">
        <v>90</v>
      </c>
      <c r="H270" s="982" t="s">
        <v>9394</v>
      </c>
      <c r="I270" s="982" t="s">
        <v>9378</v>
      </c>
      <c r="J270" s="982" t="s">
        <v>28</v>
      </c>
      <c r="K270" s="982" t="s">
        <v>29</v>
      </c>
      <c r="L270" s="982" t="s">
        <v>30</v>
      </c>
      <c r="M270" s="982">
        <v>2</v>
      </c>
      <c r="N270" s="985">
        <v>10</v>
      </c>
      <c r="O270" s="987">
        <v>37.6</v>
      </c>
      <c r="P270" s="987">
        <v>172.65</v>
      </c>
      <c r="Q270" s="987">
        <v>0.82</v>
      </c>
      <c r="R270" s="987">
        <v>14.33</v>
      </c>
      <c r="S270" s="982" t="s">
        <v>50</v>
      </c>
      <c r="T270" s="982" t="s">
        <v>50</v>
      </c>
      <c r="U270" s="982" t="s">
        <v>50</v>
      </c>
      <c r="V270" s="983"/>
      <c r="W270" s="982" t="s">
        <v>32</v>
      </c>
    </row>
    <row r="271" spans="1:23" x14ac:dyDescent="0.25">
      <c r="A271" s="982" t="s">
        <v>9792</v>
      </c>
      <c r="B271" s="982" t="s">
        <v>940</v>
      </c>
      <c r="C271" s="982" t="s">
        <v>845</v>
      </c>
      <c r="D271" s="989">
        <v>38.251710000000003</v>
      </c>
      <c r="E271" s="989">
        <v>-121.67129</v>
      </c>
      <c r="F271" s="982" t="s">
        <v>9794</v>
      </c>
      <c r="G271" s="982" t="s">
        <v>90</v>
      </c>
      <c r="H271" s="982" t="s">
        <v>9394</v>
      </c>
      <c r="I271" s="982" t="s">
        <v>9795</v>
      </c>
      <c r="J271" s="982" t="s">
        <v>28</v>
      </c>
      <c r="K271" s="982" t="s">
        <v>29</v>
      </c>
      <c r="L271" s="982" t="s">
        <v>30</v>
      </c>
      <c r="M271" s="982">
        <v>2</v>
      </c>
      <c r="N271" s="985">
        <v>10</v>
      </c>
      <c r="O271" s="987">
        <v>22.15</v>
      </c>
      <c r="P271" s="987">
        <v>180.15</v>
      </c>
      <c r="Q271" s="987">
        <v>0.64</v>
      </c>
      <c r="R271" s="987">
        <v>15.7</v>
      </c>
      <c r="S271" s="982" t="s">
        <v>50</v>
      </c>
      <c r="T271" s="982" t="s">
        <v>50</v>
      </c>
      <c r="U271" s="982" t="s">
        <v>50</v>
      </c>
      <c r="V271" s="983" t="s">
        <v>9349</v>
      </c>
      <c r="W271" s="982" t="s">
        <v>32</v>
      </c>
    </row>
    <row r="272" spans="1:23" x14ac:dyDescent="0.25">
      <c r="A272" s="982" t="s">
        <v>9792</v>
      </c>
      <c r="B272" s="982" t="s">
        <v>940</v>
      </c>
      <c r="C272" s="982" t="s">
        <v>845</v>
      </c>
      <c r="D272" s="989">
        <v>38.245350000000002</v>
      </c>
      <c r="E272" s="989">
        <v>-121.68718</v>
      </c>
      <c r="F272" s="982" t="s">
        <v>9796</v>
      </c>
      <c r="G272" s="982" t="s">
        <v>90</v>
      </c>
      <c r="H272" s="982" t="s">
        <v>9394</v>
      </c>
      <c r="I272" s="982" t="s">
        <v>9797</v>
      </c>
      <c r="J272" s="982" t="s">
        <v>28</v>
      </c>
      <c r="K272" s="982" t="s">
        <v>29</v>
      </c>
      <c r="L272" s="982" t="s">
        <v>30</v>
      </c>
      <c r="M272" s="982">
        <v>2</v>
      </c>
      <c r="N272" s="985">
        <v>10</v>
      </c>
      <c r="O272" s="987">
        <v>35.4</v>
      </c>
      <c r="P272" s="987">
        <v>175.7</v>
      </c>
      <c r="Q272" s="987">
        <v>0.86</v>
      </c>
      <c r="R272" s="987">
        <v>12.15</v>
      </c>
      <c r="S272" s="982" t="s">
        <v>50</v>
      </c>
      <c r="T272" s="982" t="s">
        <v>50</v>
      </c>
      <c r="U272" s="982" t="s">
        <v>50</v>
      </c>
      <c r="V272" s="983" t="s">
        <v>9349</v>
      </c>
      <c r="W272" s="982" t="s">
        <v>32</v>
      </c>
    </row>
    <row r="273" spans="1:23" x14ac:dyDescent="0.25">
      <c r="A273" s="982" t="s">
        <v>9792</v>
      </c>
      <c r="B273" s="982" t="s">
        <v>940</v>
      </c>
      <c r="C273" s="982" t="s">
        <v>88</v>
      </c>
      <c r="D273" s="989">
        <v>38.066339999999997</v>
      </c>
      <c r="E273" s="989">
        <v>-121.83631</v>
      </c>
      <c r="F273" s="982" t="s">
        <v>9798</v>
      </c>
      <c r="G273" s="982" t="s">
        <v>27</v>
      </c>
      <c r="H273" s="982" t="s">
        <v>9364</v>
      </c>
      <c r="I273" s="982" t="s">
        <v>9669</v>
      </c>
      <c r="J273" s="982" t="s">
        <v>28</v>
      </c>
      <c r="K273" s="982" t="s">
        <v>29</v>
      </c>
      <c r="L273" s="982" t="s">
        <v>30</v>
      </c>
      <c r="M273" s="982">
        <v>2</v>
      </c>
      <c r="N273" s="985">
        <v>10</v>
      </c>
      <c r="O273" s="987">
        <v>26.6</v>
      </c>
      <c r="P273" s="987">
        <v>4768.5</v>
      </c>
      <c r="Q273" s="987">
        <v>0.57499999999999996</v>
      </c>
      <c r="R273" s="987">
        <v>18.399999999999999</v>
      </c>
      <c r="S273" s="982" t="s">
        <v>50</v>
      </c>
      <c r="T273" s="982" t="s">
        <v>50</v>
      </c>
      <c r="U273" s="982" t="s">
        <v>50</v>
      </c>
      <c r="V273" s="983" t="s">
        <v>9349</v>
      </c>
      <c r="W273" s="982" t="s">
        <v>32</v>
      </c>
    </row>
    <row r="274" spans="1:23" x14ac:dyDescent="0.25">
      <c r="A274" s="979" t="s">
        <v>9792</v>
      </c>
      <c r="B274" s="979" t="s">
        <v>940</v>
      </c>
      <c r="C274" s="979" t="s">
        <v>88</v>
      </c>
      <c r="D274" s="988">
        <v>38.070419999999999</v>
      </c>
      <c r="E274" s="988">
        <v>-121.77518000000001</v>
      </c>
      <c r="F274" s="979" t="s">
        <v>9799</v>
      </c>
      <c r="G274" s="979" t="s">
        <v>27</v>
      </c>
      <c r="H274" s="979" t="s">
        <v>9364</v>
      </c>
      <c r="I274" s="979" t="s">
        <v>9800</v>
      </c>
      <c r="J274" s="979" t="s">
        <v>28</v>
      </c>
      <c r="K274" s="979" t="s">
        <v>29</v>
      </c>
      <c r="L274" s="979" t="s">
        <v>30</v>
      </c>
      <c r="M274" s="979">
        <v>2</v>
      </c>
      <c r="N274" s="984">
        <v>10</v>
      </c>
      <c r="O274" s="986">
        <v>31.3</v>
      </c>
      <c r="P274" s="986">
        <v>1848</v>
      </c>
      <c r="Q274" s="986">
        <v>0.38</v>
      </c>
      <c r="R274" s="986">
        <v>31.8</v>
      </c>
      <c r="S274" s="980" t="s">
        <v>31</v>
      </c>
      <c r="T274" s="984">
        <v>1</v>
      </c>
      <c r="U274" s="984">
        <v>29.2</v>
      </c>
      <c r="V274" s="981" t="s">
        <v>9349</v>
      </c>
      <c r="W274" s="979" t="s">
        <v>32</v>
      </c>
    </row>
    <row r="275" spans="1:23" x14ac:dyDescent="0.25">
      <c r="A275" s="982" t="s">
        <v>9792</v>
      </c>
      <c r="B275" s="982" t="s">
        <v>940</v>
      </c>
      <c r="C275" s="982" t="s">
        <v>88</v>
      </c>
      <c r="D275" s="989">
        <v>38.126429999999999</v>
      </c>
      <c r="E275" s="989">
        <v>-121.69732</v>
      </c>
      <c r="F275" s="982" t="s">
        <v>9801</v>
      </c>
      <c r="G275" s="982" t="s">
        <v>90</v>
      </c>
      <c r="H275" s="982" t="s">
        <v>9368</v>
      </c>
      <c r="I275" s="982" t="s">
        <v>9802</v>
      </c>
      <c r="J275" s="982" t="s">
        <v>28</v>
      </c>
      <c r="K275" s="982" t="s">
        <v>29</v>
      </c>
      <c r="L275" s="982" t="s">
        <v>30</v>
      </c>
      <c r="M275" s="982">
        <v>2</v>
      </c>
      <c r="N275" s="985">
        <v>10</v>
      </c>
      <c r="O275" s="987">
        <v>31.5</v>
      </c>
      <c r="P275" s="987">
        <v>286.25</v>
      </c>
      <c r="Q275" s="987">
        <v>0.72</v>
      </c>
      <c r="R275" s="987">
        <v>19.75</v>
      </c>
      <c r="S275" s="982" t="s">
        <v>50</v>
      </c>
      <c r="T275" s="982" t="s">
        <v>50</v>
      </c>
      <c r="U275" s="982" t="s">
        <v>50</v>
      </c>
      <c r="V275" s="983" t="s">
        <v>9349</v>
      </c>
      <c r="W275" s="982" t="s">
        <v>32</v>
      </c>
    </row>
    <row r="276" spans="1:23" x14ac:dyDescent="0.25">
      <c r="A276" s="982" t="s">
        <v>9792</v>
      </c>
      <c r="B276" s="982" t="s">
        <v>940</v>
      </c>
      <c r="C276" s="982" t="s">
        <v>78</v>
      </c>
      <c r="D276" s="989">
        <v>38.049109999999999</v>
      </c>
      <c r="E276" s="989">
        <v>-121.92144</v>
      </c>
      <c r="F276" s="982" t="s">
        <v>9803</v>
      </c>
      <c r="G276" s="982" t="s">
        <v>27</v>
      </c>
      <c r="H276" s="982" t="s">
        <v>101</v>
      </c>
      <c r="I276" s="982" t="s">
        <v>9391</v>
      </c>
      <c r="J276" s="982" t="s">
        <v>28</v>
      </c>
      <c r="K276" s="982" t="s">
        <v>29</v>
      </c>
      <c r="L276" s="982" t="s">
        <v>30</v>
      </c>
      <c r="M276" s="982">
        <v>2</v>
      </c>
      <c r="N276" s="985">
        <v>10</v>
      </c>
      <c r="O276" s="987">
        <v>35.75</v>
      </c>
      <c r="P276" s="987">
        <v>7946.5</v>
      </c>
      <c r="Q276" s="987">
        <v>0.57499999999999996</v>
      </c>
      <c r="R276" s="987">
        <v>19.600000000000001</v>
      </c>
      <c r="S276" s="982" t="s">
        <v>50</v>
      </c>
      <c r="T276" s="982" t="s">
        <v>50</v>
      </c>
      <c r="U276" s="982" t="s">
        <v>50</v>
      </c>
      <c r="V276" s="983" t="s">
        <v>9349</v>
      </c>
      <c r="W276" s="982" t="s">
        <v>32</v>
      </c>
    </row>
    <row r="277" spans="1:23" x14ac:dyDescent="0.25">
      <c r="A277" s="979" t="s">
        <v>9792</v>
      </c>
      <c r="B277" s="979" t="s">
        <v>940</v>
      </c>
      <c r="C277" s="979" t="s">
        <v>78</v>
      </c>
      <c r="D277" s="988">
        <v>38.029649999999997</v>
      </c>
      <c r="E277" s="988">
        <v>-121.82850000000001</v>
      </c>
      <c r="F277" s="979" t="s">
        <v>9804</v>
      </c>
      <c r="G277" s="979" t="s">
        <v>27</v>
      </c>
      <c r="H277" s="979" t="s">
        <v>101</v>
      </c>
      <c r="I277" s="979" t="s">
        <v>9628</v>
      </c>
      <c r="J277" s="979" t="s">
        <v>28</v>
      </c>
      <c r="K277" s="979" t="s">
        <v>29</v>
      </c>
      <c r="L277" s="979" t="s">
        <v>30</v>
      </c>
      <c r="M277" s="979">
        <v>2</v>
      </c>
      <c r="N277" s="984">
        <v>10</v>
      </c>
      <c r="O277" s="986">
        <v>24.85</v>
      </c>
      <c r="P277" s="986">
        <v>2675</v>
      </c>
      <c r="Q277" s="986">
        <v>0.57499999999999996</v>
      </c>
      <c r="R277" s="986">
        <v>20.05</v>
      </c>
      <c r="S277" s="980" t="s">
        <v>31</v>
      </c>
      <c r="T277" s="984">
        <v>1</v>
      </c>
      <c r="U277" s="984">
        <v>15</v>
      </c>
      <c r="V277" s="981" t="s">
        <v>9349</v>
      </c>
      <c r="W277" s="979" t="s">
        <v>32</v>
      </c>
    </row>
    <row r="278" spans="1:23" x14ac:dyDescent="0.25">
      <c r="A278" s="982" t="s">
        <v>9792</v>
      </c>
      <c r="B278" s="982" t="s">
        <v>940</v>
      </c>
      <c r="C278" s="982" t="s">
        <v>78</v>
      </c>
      <c r="D278" s="989">
        <v>38.070129999999999</v>
      </c>
      <c r="E278" s="989">
        <v>-121.97553000000001</v>
      </c>
      <c r="F278" s="982" t="s">
        <v>9805</v>
      </c>
      <c r="G278" s="982" t="s">
        <v>27</v>
      </c>
      <c r="H278" s="982" t="s">
        <v>3841</v>
      </c>
      <c r="I278" s="982" t="s">
        <v>9806</v>
      </c>
      <c r="J278" s="982" t="s">
        <v>28</v>
      </c>
      <c r="K278" s="982" t="s">
        <v>29</v>
      </c>
      <c r="L278" s="982" t="s">
        <v>30</v>
      </c>
      <c r="M278" s="982">
        <v>2</v>
      </c>
      <c r="N278" s="985">
        <v>10</v>
      </c>
      <c r="O278" s="987">
        <v>17.399999999999999</v>
      </c>
      <c r="P278" s="987">
        <v>13157</v>
      </c>
      <c r="Q278" s="987">
        <v>0.42499999999999999</v>
      </c>
      <c r="R278" s="987">
        <v>26.3</v>
      </c>
      <c r="S278" s="982" t="s">
        <v>50</v>
      </c>
      <c r="T278" s="982" t="s">
        <v>50</v>
      </c>
      <c r="U278" s="982" t="s">
        <v>50</v>
      </c>
      <c r="V278" s="983" t="s">
        <v>9349</v>
      </c>
      <c r="W278" s="982" t="s">
        <v>32</v>
      </c>
    </row>
    <row r="279" spans="1:23" x14ac:dyDescent="0.25">
      <c r="A279" s="982" t="s">
        <v>9792</v>
      </c>
      <c r="B279" s="982" t="s">
        <v>940</v>
      </c>
      <c r="C279" s="982" t="s">
        <v>78</v>
      </c>
      <c r="D279" s="989">
        <v>38.062469999999998</v>
      </c>
      <c r="E279" s="989">
        <v>-122.11377</v>
      </c>
      <c r="F279" s="982" t="s">
        <v>9807</v>
      </c>
      <c r="G279" s="982" t="s">
        <v>80</v>
      </c>
      <c r="H279" s="982" t="s">
        <v>9390</v>
      </c>
      <c r="I279" s="982" t="s">
        <v>9607</v>
      </c>
      <c r="J279" s="982" t="s">
        <v>28</v>
      </c>
      <c r="K279" s="982" t="s">
        <v>29</v>
      </c>
      <c r="L279" s="982" t="s">
        <v>30</v>
      </c>
      <c r="M279" s="982">
        <v>2</v>
      </c>
      <c r="N279" s="985">
        <v>10</v>
      </c>
      <c r="O279" s="987">
        <v>15.8</v>
      </c>
      <c r="P279" s="987">
        <v>22240.5</v>
      </c>
      <c r="Q279" s="987">
        <v>0.55000000000000004</v>
      </c>
      <c r="R279" s="987">
        <v>20.75</v>
      </c>
      <c r="S279" s="982" t="s">
        <v>50</v>
      </c>
      <c r="T279" s="982" t="s">
        <v>50</v>
      </c>
      <c r="U279" s="982" t="s">
        <v>50</v>
      </c>
      <c r="V279" s="983" t="s">
        <v>9349</v>
      </c>
      <c r="W279" s="982" t="s">
        <v>32</v>
      </c>
    </row>
    <row r="280" spans="1:23" s="854" customFormat="1" x14ac:dyDescent="0.25">
      <c r="A280" s="990" t="s">
        <v>9792</v>
      </c>
      <c r="B280" s="990" t="s">
        <v>940</v>
      </c>
      <c r="C280" s="990" t="s">
        <v>78</v>
      </c>
      <c r="D280" s="991">
        <v>38.088569999999997</v>
      </c>
      <c r="E280" s="991">
        <v>-122.0789</v>
      </c>
      <c r="F280" s="990" t="s">
        <v>9808</v>
      </c>
      <c r="G280" s="990" t="s">
        <v>80</v>
      </c>
      <c r="H280" s="990" t="s">
        <v>9390</v>
      </c>
      <c r="I280" s="990" t="s">
        <v>9809</v>
      </c>
      <c r="J280" s="990" t="s">
        <v>28</v>
      </c>
      <c r="K280" s="990" t="s">
        <v>29</v>
      </c>
      <c r="L280" s="990" t="s">
        <v>30</v>
      </c>
      <c r="M280" s="990">
        <v>2</v>
      </c>
      <c r="N280" s="992">
        <v>10</v>
      </c>
      <c r="O280" s="993">
        <v>32.1</v>
      </c>
      <c r="P280" s="993">
        <v>20255</v>
      </c>
      <c r="Q280" s="993">
        <v>0.5</v>
      </c>
      <c r="R280" s="993">
        <v>24.5</v>
      </c>
      <c r="S280" s="990" t="s">
        <v>50</v>
      </c>
      <c r="T280" s="990" t="s">
        <v>50</v>
      </c>
      <c r="U280" s="990" t="s">
        <v>50</v>
      </c>
      <c r="V280" s="994" t="s">
        <v>9349</v>
      </c>
      <c r="W280" s="990" t="s">
        <v>32</v>
      </c>
    </row>
    <row r="281" spans="1:23" s="441" customFormat="1" x14ac:dyDescent="0.25">
      <c r="A281" s="443">
        <v>44340</v>
      </c>
      <c r="B281" s="949" t="s">
        <v>24</v>
      </c>
      <c r="C281" s="949" t="s">
        <v>95</v>
      </c>
      <c r="D281" s="950">
        <v>38.045960000000001</v>
      </c>
      <c r="E281" s="950">
        <v>-121.70304</v>
      </c>
      <c r="F281" s="949" t="s">
        <v>9811</v>
      </c>
      <c r="G281" s="949" t="s">
        <v>27</v>
      </c>
      <c r="H281" s="949" t="s">
        <v>863</v>
      </c>
      <c r="I281" s="66">
        <v>0.50069444444444444</v>
      </c>
      <c r="J281" s="949" t="s">
        <v>28</v>
      </c>
      <c r="K281" s="949" t="s">
        <v>29</v>
      </c>
      <c r="L281" s="949" t="s">
        <v>30</v>
      </c>
      <c r="M281" s="949">
        <v>2</v>
      </c>
      <c r="N281" s="956">
        <v>10</v>
      </c>
      <c r="O281" s="955">
        <v>24.6</v>
      </c>
      <c r="P281" s="428">
        <v>671</v>
      </c>
      <c r="Q281" s="955">
        <v>0.89</v>
      </c>
      <c r="R281" s="955">
        <v>13.05</v>
      </c>
      <c r="S281" s="949" t="s">
        <v>50</v>
      </c>
      <c r="T281" s="949" t="s">
        <v>50</v>
      </c>
      <c r="U281" s="949" t="s">
        <v>50</v>
      </c>
      <c r="V281" s="918"/>
      <c r="W281" s="949" t="s">
        <v>32</v>
      </c>
    </row>
    <row r="282" spans="1:23" s="441" customFormat="1" x14ac:dyDescent="0.25">
      <c r="A282" s="443">
        <v>44340</v>
      </c>
      <c r="B282" s="949" t="s">
        <v>24</v>
      </c>
      <c r="C282" s="949" t="s">
        <v>95</v>
      </c>
      <c r="D282" s="950">
        <v>38.10069</v>
      </c>
      <c r="E282" s="950">
        <v>-121.58772</v>
      </c>
      <c r="F282" s="949" t="s">
        <v>9810</v>
      </c>
      <c r="G282" s="949" t="s">
        <v>46</v>
      </c>
      <c r="H282" s="949" t="s">
        <v>9438</v>
      </c>
      <c r="I282" s="66">
        <v>0.41111111111111115</v>
      </c>
      <c r="J282" s="949" t="s">
        <v>28</v>
      </c>
      <c r="K282" s="949" t="s">
        <v>29</v>
      </c>
      <c r="L282" s="949" t="s">
        <v>30</v>
      </c>
      <c r="M282" s="949">
        <v>2</v>
      </c>
      <c r="N282" s="956">
        <v>10</v>
      </c>
      <c r="O282" s="955">
        <v>11.6</v>
      </c>
      <c r="P282" s="428">
        <v>232.17</v>
      </c>
      <c r="Q282" s="955">
        <v>1.58</v>
      </c>
      <c r="R282" s="955">
        <v>7.04</v>
      </c>
      <c r="S282" s="949" t="s">
        <v>50</v>
      </c>
      <c r="T282" s="949" t="s">
        <v>50</v>
      </c>
      <c r="U282" s="949" t="s">
        <v>50</v>
      </c>
      <c r="V282" s="918"/>
      <c r="W282" s="949" t="s">
        <v>32</v>
      </c>
    </row>
    <row r="283" spans="1:23" s="441" customFormat="1" x14ac:dyDescent="0.25">
      <c r="A283" s="443">
        <v>44340</v>
      </c>
      <c r="B283" s="949" t="s">
        <v>24</v>
      </c>
      <c r="C283" s="949" t="s">
        <v>95</v>
      </c>
      <c r="D283" s="950">
        <v>38.05706</v>
      </c>
      <c r="E283" s="950">
        <v>-121.54345000000001</v>
      </c>
      <c r="F283" s="949" t="s">
        <v>9812</v>
      </c>
      <c r="G283" s="949" t="s">
        <v>46</v>
      </c>
      <c r="H283" s="949" t="s">
        <v>9438</v>
      </c>
      <c r="I283" s="51">
        <v>9.02</v>
      </c>
      <c r="J283" s="949" t="s">
        <v>28</v>
      </c>
      <c r="K283" s="949" t="s">
        <v>29</v>
      </c>
      <c r="L283" s="949" t="s">
        <v>30</v>
      </c>
      <c r="M283" s="949">
        <v>2</v>
      </c>
      <c r="N283" s="956">
        <v>10.9</v>
      </c>
      <c r="O283" s="955">
        <v>39.76</v>
      </c>
      <c r="P283" s="428">
        <v>362.34</v>
      </c>
      <c r="Q283" s="955">
        <v>1.1200000000000001</v>
      </c>
      <c r="R283" s="955">
        <v>10.72</v>
      </c>
      <c r="S283" s="949" t="s">
        <v>50</v>
      </c>
      <c r="T283" s="949" t="s">
        <v>50</v>
      </c>
      <c r="U283" s="949" t="s">
        <v>50</v>
      </c>
      <c r="V283" s="918"/>
      <c r="W283" s="949" t="s">
        <v>32</v>
      </c>
    </row>
    <row r="284" spans="1:23" s="441" customFormat="1" x14ac:dyDescent="0.25">
      <c r="A284" s="443">
        <v>44340</v>
      </c>
      <c r="B284" s="949" t="s">
        <v>24</v>
      </c>
      <c r="C284" s="949" t="s">
        <v>95</v>
      </c>
      <c r="D284" s="950">
        <v>38.086060000000003</v>
      </c>
      <c r="E284" s="950">
        <v>-121.63651</v>
      </c>
      <c r="F284" s="949" t="s">
        <v>9813</v>
      </c>
      <c r="G284" s="949" t="s">
        <v>46</v>
      </c>
      <c r="H284" s="949" t="s">
        <v>9445</v>
      </c>
      <c r="I284" s="66">
        <v>0.44305555555555554</v>
      </c>
      <c r="J284" s="949" t="s">
        <v>28</v>
      </c>
      <c r="K284" s="949" t="s">
        <v>29</v>
      </c>
      <c r="L284" s="949" t="s">
        <v>30</v>
      </c>
      <c r="M284" s="949">
        <v>2</v>
      </c>
      <c r="N284" s="956">
        <v>10</v>
      </c>
      <c r="O284" s="955">
        <v>22.52</v>
      </c>
      <c r="P284" s="428">
        <v>360.18</v>
      </c>
      <c r="Q284" s="955">
        <v>1.0900000000000001</v>
      </c>
      <c r="R284" s="955">
        <v>12.64</v>
      </c>
      <c r="S284" s="949" t="s">
        <v>50</v>
      </c>
      <c r="T284" s="949" t="s">
        <v>50</v>
      </c>
      <c r="U284" s="949" t="s">
        <v>50</v>
      </c>
      <c r="V284" s="918"/>
      <c r="W284" s="949" t="s">
        <v>32</v>
      </c>
    </row>
    <row r="285" spans="1:23" s="441" customFormat="1" x14ac:dyDescent="0.25">
      <c r="A285" s="443">
        <v>44340</v>
      </c>
      <c r="B285" s="949" t="s">
        <v>24</v>
      </c>
      <c r="C285" s="949" t="s">
        <v>95</v>
      </c>
      <c r="D285" s="950">
        <v>38.092480000000002</v>
      </c>
      <c r="E285" s="950">
        <v>-121.65562</v>
      </c>
      <c r="F285" s="949" t="s">
        <v>9814</v>
      </c>
      <c r="G285" s="949" t="s">
        <v>46</v>
      </c>
      <c r="H285" s="949" t="s">
        <v>9445</v>
      </c>
      <c r="I285" s="66">
        <v>0.47013888888888888</v>
      </c>
      <c r="J285" s="949" t="s">
        <v>28</v>
      </c>
      <c r="K285" s="949" t="s">
        <v>29</v>
      </c>
      <c r="L285" s="949" t="s">
        <v>30</v>
      </c>
      <c r="M285" s="949">
        <v>2</v>
      </c>
      <c r="N285" s="956">
        <v>10</v>
      </c>
      <c r="O285" s="955">
        <v>41.63</v>
      </c>
      <c r="P285" s="428">
        <v>360.91</v>
      </c>
      <c r="Q285" s="955">
        <v>1.07</v>
      </c>
      <c r="R285" s="955">
        <v>12.89</v>
      </c>
      <c r="S285" s="949" t="s">
        <v>50</v>
      </c>
      <c r="T285" s="949" t="s">
        <v>50</v>
      </c>
      <c r="U285" s="949" t="s">
        <v>50</v>
      </c>
      <c r="V285" s="918"/>
      <c r="W285" s="949" t="s">
        <v>32</v>
      </c>
    </row>
    <row r="286" spans="1:23" s="441" customFormat="1" x14ac:dyDescent="0.25">
      <c r="A286" s="443">
        <v>44340</v>
      </c>
      <c r="B286" s="949" t="s">
        <v>24</v>
      </c>
      <c r="C286" s="949" t="s">
        <v>845</v>
      </c>
      <c r="D286" s="950">
        <v>38.372979999999998</v>
      </c>
      <c r="E286" s="950">
        <v>-121.63317000000001</v>
      </c>
      <c r="F286" s="949" t="s">
        <v>9816</v>
      </c>
      <c r="G286" s="949" t="s">
        <v>90</v>
      </c>
      <c r="H286" s="949" t="s">
        <v>126</v>
      </c>
      <c r="I286" s="66">
        <v>0.44861111111111113</v>
      </c>
      <c r="J286" s="949" t="s">
        <v>28</v>
      </c>
      <c r="K286" s="949" t="s">
        <v>29</v>
      </c>
      <c r="L286" s="949" t="s">
        <v>30</v>
      </c>
      <c r="M286" s="949">
        <v>2</v>
      </c>
      <c r="N286" s="956">
        <v>10</v>
      </c>
      <c r="O286" s="955">
        <v>8.4</v>
      </c>
      <c r="P286" s="428">
        <v>234.25</v>
      </c>
      <c r="Q286" s="955">
        <v>0.33</v>
      </c>
      <c r="R286" s="955">
        <v>29.75</v>
      </c>
      <c r="S286" s="949" t="s">
        <v>50</v>
      </c>
      <c r="T286" s="949" t="s">
        <v>50</v>
      </c>
      <c r="U286" s="949" t="s">
        <v>50</v>
      </c>
      <c r="V286" s="918"/>
      <c r="W286" s="949" t="s">
        <v>32</v>
      </c>
    </row>
    <row r="287" spans="1:23" s="441" customFormat="1" x14ac:dyDescent="0.25">
      <c r="A287" s="443">
        <v>44340</v>
      </c>
      <c r="B287" s="949" t="s">
        <v>24</v>
      </c>
      <c r="C287" s="949" t="s">
        <v>845</v>
      </c>
      <c r="D287" s="950">
        <v>38.256489999999999</v>
      </c>
      <c r="E287" s="950">
        <v>-121.73349</v>
      </c>
      <c r="F287" s="949" t="s">
        <v>9817</v>
      </c>
      <c r="G287" s="949" t="s">
        <v>90</v>
      </c>
      <c r="H287" s="949" t="s">
        <v>126</v>
      </c>
      <c r="I287" s="66">
        <v>0.3743055555555555</v>
      </c>
      <c r="J287" s="949" t="s">
        <v>28</v>
      </c>
      <c r="K287" s="949" t="s">
        <v>29</v>
      </c>
      <c r="L287" s="949" t="s">
        <v>30</v>
      </c>
      <c r="M287" s="949">
        <v>2</v>
      </c>
      <c r="N287" s="956">
        <v>10</v>
      </c>
      <c r="O287" s="955">
        <v>17.5</v>
      </c>
      <c r="P287" s="428">
        <v>208.6</v>
      </c>
      <c r="Q287" s="955">
        <v>0.57999999999999996</v>
      </c>
      <c r="R287" s="955">
        <v>13.05</v>
      </c>
      <c r="S287" s="949" t="s">
        <v>50</v>
      </c>
      <c r="T287" s="949" t="s">
        <v>50</v>
      </c>
      <c r="U287" s="949" t="s">
        <v>50</v>
      </c>
      <c r="V287" s="918"/>
      <c r="W287" s="949" t="s">
        <v>32</v>
      </c>
    </row>
    <row r="288" spans="1:23" s="441" customFormat="1" x14ac:dyDescent="0.25">
      <c r="A288" s="443">
        <v>44340</v>
      </c>
      <c r="B288" s="949" t="s">
        <v>24</v>
      </c>
      <c r="C288" s="949" t="s">
        <v>845</v>
      </c>
      <c r="D288" s="950">
        <v>38.250390000000003</v>
      </c>
      <c r="E288" s="950">
        <v>-121.6866</v>
      </c>
      <c r="F288" s="949" t="s">
        <v>9818</v>
      </c>
      <c r="G288" s="949" t="s">
        <v>90</v>
      </c>
      <c r="H288" s="949" t="s">
        <v>126</v>
      </c>
      <c r="I288" s="66">
        <v>0.4055555555555555</v>
      </c>
      <c r="J288" s="949" t="s">
        <v>28</v>
      </c>
      <c r="K288" s="949" t="s">
        <v>29</v>
      </c>
      <c r="L288" s="949" t="s">
        <v>30</v>
      </c>
      <c r="M288" s="949">
        <v>2</v>
      </c>
      <c r="N288" s="956">
        <v>10</v>
      </c>
      <c r="O288" s="955">
        <v>30.65</v>
      </c>
      <c r="P288" s="428">
        <v>188.35</v>
      </c>
      <c r="Q288" s="955">
        <v>0.98</v>
      </c>
      <c r="R288" s="955">
        <v>8.07</v>
      </c>
      <c r="S288" s="949" t="s">
        <v>50</v>
      </c>
      <c r="T288" s="949" t="s">
        <v>50</v>
      </c>
      <c r="U288" s="949" t="s">
        <v>50</v>
      </c>
      <c r="V288" s="918"/>
      <c r="W288" s="949" t="s">
        <v>32</v>
      </c>
    </row>
    <row r="289" spans="1:23" s="441" customFormat="1" x14ac:dyDescent="0.25">
      <c r="A289" s="443">
        <v>44340</v>
      </c>
      <c r="B289" s="949" t="s">
        <v>24</v>
      </c>
      <c r="C289" s="949" t="s">
        <v>845</v>
      </c>
      <c r="D289" s="950">
        <v>38.260300000000001</v>
      </c>
      <c r="E289" s="950">
        <v>-121.66942</v>
      </c>
      <c r="F289" s="949" t="s">
        <v>9819</v>
      </c>
      <c r="G289" s="949" t="s">
        <v>90</v>
      </c>
      <c r="H289" s="949" t="s">
        <v>126</v>
      </c>
      <c r="I289" s="66">
        <v>0.48958333333333331</v>
      </c>
      <c r="J289" s="949" t="s">
        <v>28</v>
      </c>
      <c r="K289" s="949" t="s">
        <v>29</v>
      </c>
      <c r="L289" s="949" t="s">
        <v>30</v>
      </c>
      <c r="M289" s="949">
        <v>2</v>
      </c>
      <c r="N289" s="956">
        <v>10</v>
      </c>
      <c r="O289" s="955">
        <v>23.95</v>
      </c>
      <c r="P289" s="428">
        <v>207.85</v>
      </c>
      <c r="Q289" s="955">
        <v>0.65</v>
      </c>
      <c r="R289" s="955">
        <v>16.95</v>
      </c>
      <c r="S289" s="949" t="s">
        <v>50</v>
      </c>
      <c r="T289" s="949" t="s">
        <v>50</v>
      </c>
      <c r="U289" s="949" t="s">
        <v>50</v>
      </c>
      <c r="V289" s="918"/>
      <c r="W289" s="949" t="s">
        <v>32</v>
      </c>
    </row>
    <row r="290" spans="1:23" s="441" customFormat="1" x14ac:dyDescent="0.25">
      <c r="A290" s="443">
        <v>44340</v>
      </c>
      <c r="B290" s="949" t="s">
        <v>24</v>
      </c>
      <c r="C290" s="949" t="s">
        <v>845</v>
      </c>
      <c r="D290" s="950">
        <v>38.277209999999997</v>
      </c>
      <c r="E290" s="950">
        <v>-121.69396999999999</v>
      </c>
      <c r="F290" s="949" t="s">
        <v>9820</v>
      </c>
      <c r="G290" s="949" t="s">
        <v>90</v>
      </c>
      <c r="H290" s="949" t="s">
        <v>126</v>
      </c>
      <c r="I290" s="66">
        <v>0.52083333333333337</v>
      </c>
      <c r="J290" s="949" t="s">
        <v>28</v>
      </c>
      <c r="K290" s="949" t="s">
        <v>29</v>
      </c>
      <c r="L290" s="949" t="s">
        <v>30</v>
      </c>
      <c r="M290" s="949">
        <v>2</v>
      </c>
      <c r="N290" s="956">
        <v>10</v>
      </c>
      <c r="O290" s="955">
        <v>15.15</v>
      </c>
      <c r="P290" s="428">
        <v>206.95</v>
      </c>
      <c r="Q290" s="955">
        <v>1.6</v>
      </c>
      <c r="R290" s="955">
        <v>7.11</v>
      </c>
      <c r="S290" s="949" t="s">
        <v>50</v>
      </c>
      <c r="T290" s="949" t="s">
        <v>50</v>
      </c>
      <c r="U290" s="949" t="s">
        <v>50</v>
      </c>
      <c r="V290" s="918"/>
      <c r="W290" s="949" t="s">
        <v>32</v>
      </c>
    </row>
    <row r="291" spans="1:23" s="441" customFormat="1" x14ac:dyDescent="0.25">
      <c r="A291" s="949" t="s">
        <v>9830</v>
      </c>
      <c r="B291" s="949" t="s">
        <v>9279</v>
      </c>
      <c r="C291" s="949" t="s">
        <v>88</v>
      </c>
      <c r="D291" s="949">
        <v>38.0884</v>
      </c>
      <c r="E291" s="949">
        <v>-121.74115999999999</v>
      </c>
      <c r="F291" s="949" t="s">
        <v>9831</v>
      </c>
      <c r="G291" s="949" t="s">
        <v>27</v>
      </c>
      <c r="H291" s="949" t="s">
        <v>9364</v>
      </c>
      <c r="I291" s="949" t="s">
        <v>9503</v>
      </c>
      <c r="J291" s="949" t="s">
        <v>28</v>
      </c>
      <c r="K291" s="949" t="s">
        <v>29</v>
      </c>
      <c r="L291" s="949" t="s">
        <v>30</v>
      </c>
      <c r="M291" s="949">
        <v>2</v>
      </c>
      <c r="N291" s="956">
        <v>10</v>
      </c>
      <c r="O291" s="956">
        <v>25.5</v>
      </c>
      <c r="P291" s="956">
        <v>344.3</v>
      </c>
      <c r="Q291" s="956">
        <v>0.78500000000000003</v>
      </c>
      <c r="R291" s="956">
        <v>18.05</v>
      </c>
      <c r="S291" s="949" t="s">
        <v>50</v>
      </c>
      <c r="T291" s="949" t="s">
        <v>50</v>
      </c>
      <c r="U291" s="949" t="s">
        <v>50</v>
      </c>
      <c r="V291" s="970" t="s">
        <v>9349</v>
      </c>
      <c r="W291" s="949" t="s">
        <v>32</v>
      </c>
    </row>
    <row r="292" spans="1:23" s="441" customFormat="1" x14ac:dyDescent="0.25">
      <c r="A292" s="949" t="s">
        <v>9830</v>
      </c>
      <c r="B292" s="949" t="s">
        <v>9279</v>
      </c>
      <c r="C292" s="949" t="s">
        <v>88</v>
      </c>
      <c r="D292" s="949">
        <v>38.066220000000001</v>
      </c>
      <c r="E292" s="949">
        <v>-121.83147</v>
      </c>
      <c r="F292" s="949" t="s">
        <v>9832</v>
      </c>
      <c r="G292" s="949" t="s">
        <v>27</v>
      </c>
      <c r="H292" s="949" t="s">
        <v>9364</v>
      </c>
      <c r="I292" s="949" t="s">
        <v>9833</v>
      </c>
      <c r="J292" s="949" t="s">
        <v>28</v>
      </c>
      <c r="K292" s="949" t="s">
        <v>29</v>
      </c>
      <c r="L292" s="949" t="s">
        <v>30</v>
      </c>
      <c r="M292" s="949">
        <v>2</v>
      </c>
      <c r="N292" s="956">
        <v>10</v>
      </c>
      <c r="O292" s="956">
        <v>25.5</v>
      </c>
      <c r="P292" s="956">
        <v>3263</v>
      </c>
      <c r="Q292" s="956">
        <v>0.52</v>
      </c>
      <c r="R292" s="956">
        <v>32.15</v>
      </c>
      <c r="S292" s="949" t="s">
        <v>50</v>
      </c>
      <c r="T292" s="949" t="s">
        <v>50</v>
      </c>
      <c r="U292" s="949" t="s">
        <v>50</v>
      </c>
      <c r="V292" s="970" t="s">
        <v>9349</v>
      </c>
      <c r="W292" s="949" t="s">
        <v>32</v>
      </c>
    </row>
    <row r="293" spans="1:23" s="441" customFormat="1" x14ac:dyDescent="0.25">
      <c r="A293" s="949" t="s">
        <v>9830</v>
      </c>
      <c r="B293" s="949" t="s">
        <v>9279</v>
      </c>
      <c r="C293" s="949" t="s">
        <v>88</v>
      </c>
      <c r="D293" s="949">
        <v>38.173020000000001</v>
      </c>
      <c r="E293" s="949">
        <v>-121.66947999999999</v>
      </c>
      <c r="F293" s="949" t="s">
        <v>9834</v>
      </c>
      <c r="G293" s="949" t="s">
        <v>90</v>
      </c>
      <c r="H293" s="949" t="s">
        <v>9368</v>
      </c>
      <c r="I293" s="949" t="s">
        <v>9532</v>
      </c>
      <c r="J293" s="949" t="s">
        <v>28</v>
      </c>
      <c r="K293" s="949" t="s">
        <v>29</v>
      </c>
      <c r="L293" s="949" t="s">
        <v>30</v>
      </c>
      <c r="M293" s="949">
        <v>2</v>
      </c>
      <c r="N293" s="956">
        <v>10</v>
      </c>
      <c r="O293" s="956">
        <v>33.65</v>
      </c>
      <c r="P293" s="956">
        <v>180.4</v>
      </c>
      <c r="Q293" s="956">
        <v>1.05</v>
      </c>
      <c r="R293" s="956">
        <v>8.89</v>
      </c>
      <c r="S293" s="949" t="s">
        <v>50</v>
      </c>
      <c r="T293" s="949" t="s">
        <v>50</v>
      </c>
      <c r="U293" s="949" t="s">
        <v>50</v>
      </c>
      <c r="V293" s="970"/>
      <c r="W293" s="949" t="s">
        <v>32</v>
      </c>
    </row>
    <row r="294" spans="1:23" s="441" customFormat="1" x14ac:dyDescent="0.25">
      <c r="A294" s="949" t="s">
        <v>9830</v>
      </c>
      <c r="B294" s="949" t="s">
        <v>9279</v>
      </c>
      <c r="C294" s="949" t="s">
        <v>88</v>
      </c>
      <c r="D294" s="949">
        <v>38.106430000000003</v>
      </c>
      <c r="E294" s="949">
        <v>-121.70491</v>
      </c>
      <c r="F294" s="949" t="s">
        <v>9835</v>
      </c>
      <c r="G294" s="949" t="s">
        <v>90</v>
      </c>
      <c r="H294" s="949" t="s">
        <v>9368</v>
      </c>
      <c r="I294" s="949" t="s">
        <v>9579</v>
      </c>
      <c r="J294" s="949" t="s">
        <v>28</v>
      </c>
      <c r="K294" s="949" t="s">
        <v>29</v>
      </c>
      <c r="L294" s="949" t="s">
        <v>30</v>
      </c>
      <c r="M294" s="949">
        <v>2</v>
      </c>
      <c r="N294" s="956">
        <v>10</v>
      </c>
      <c r="O294" s="956">
        <v>17.75</v>
      </c>
      <c r="P294" s="956">
        <v>448.05</v>
      </c>
      <c r="Q294" s="956">
        <v>0.82499999999999996</v>
      </c>
      <c r="R294" s="956">
        <v>13.7</v>
      </c>
      <c r="S294" s="949" t="s">
        <v>50</v>
      </c>
      <c r="T294" s="949" t="s">
        <v>50</v>
      </c>
      <c r="U294" s="949" t="s">
        <v>50</v>
      </c>
      <c r="V294" s="970" t="s">
        <v>9349</v>
      </c>
      <c r="W294" s="949" t="s">
        <v>32</v>
      </c>
    </row>
    <row r="295" spans="1:23" s="441" customFormat="1" x14ac:dyDescent="0.25">
      <c r="A295" s="949" t="s">
        <v>9830</v>
      </c>
      <c r="B295" s="949" t="s">
        <v>9279</v>
      </c>
      <c r="C295" s="949" t="s">
        <v>95</v>
      </c>
      <c r="D295" s="949">
        <v>38.025689999999997</v>
      </c>
      <c r="E295" s="949">
        <v>-121.74997</v>
      </c>
      <c r="F295" s="949" t="s">
        <v>9836</v>
      </c>
      <c r="G295" s="949" t="s">
        <v>27</v>
      </c>
      <c r="H295" s="949" t="s">
        <v>9460</v>
      </c>
      <c r="I295" s="949" t="s">
        <v>9761</v>
      </c>
      <c r="J295" s="949" t="s">
        <v>28</v>
      </c>
      <c r="K295" s="949" t="s">
        <v>29</v>
      </c>
      <c r="L295" s="949" t="s">
        <v>30</v>
      </c>
      <c r="M295" s="949">
        <v>2</v>
      </c>
      <c r="N295" s="956">
        <v>10</v>
      </c>
      <c r="O295" s="956">
        <v>25.15</v>
      </c>
      <c r="P295" s="956">
        <v>1334.5</v>
      </c>
      <c r="Q295" s="956">
        <v>0.42</v>
      </c>
      <c r="R295" s="956">
        <v>25</v>
      </c>
      <c r="S295" s="949" t="s">
        <v>50</v>
      </c>
      <c r="T295" s="949" t="s">
        <v>50</v>
      </c>
      <c r="U295" s="949" t="s">
        <v>50</v>
      </c>
      <c r="V295" s="970" t="s">
        <v>9349</v>
      </c>
      <c r="W295" s="949" t="s">
        <v>32</v>
      </c>
    </row>
    <row r="296" spans="1:23" s="441" customFormat="1" x14ac:dyDescent="0.25">
      <c r="A296" s="443">
        <v>44341</v>
      </c>
      <c r="B296" s="949" t="s">
        <v>9279</v>
      </c>
      <c r="C296" s="949" t="s">
        <v>95</v>
      </c>
      <c r="D296" s="950">
        <v>38.02366</v>
      </c>
      <c r="E296" s="950">
        <v>-121.7987</v>
      </c>
      <c r="F296" s="949" t="s">
        <v>9815</v>
      </c>
      <c r="G296" s="949" t="s">
        <v>27</v>
      </c>
      <c r="H296" s="949" t="s">
        <v>863</v>
      </c>
      <c r="I296" s="66">
        <v>0.4513888888888889</v>
      </c>
      <c r="J296" s="949" t="s">
        <v>28</v>
      </c>
      <c r="K296" s="949" t="s">
        <v>29</v>
      </c>
      <c r="L296" s="949" t="s">
        <v>30</v>
      </c>
      <c r="M296" s="949">
        <v>2</v>
      </c>
      <c r="N296" s="956">
        <v>10</v>
      </c>
      <c r="O296" s="955">
        <v>34.5</v>
      </c>
      <c r="P296" s="428">
        <v>1782.53</v>
      </c>
      <c r="Q296" s="955">
        <v>0.43</v>
      </c>
      <c r="R296" s="955">
        <v>25.452500000000001</v>
      </c>
      <c r="S296" s="949" t="s">
        <v>50</v>
      </c>
      <c r="T296" s="949" t="s">
        <v>50</v>
      </c>
      <c r="U296" s="949" t="s">
        <v>50</v>
      </c>
      <c r="V296" s="918"/>
      <c r="W296" s="949" t="s">
        <v>32</v>
      </c>
    </row>
    <row r="297" spans="1:23" s="441" customFormat="1" x14ac:dyDescent="0.25">
      <c r="A297" s="949" t="s">
        <v>9830</v>
      </c>
      <c r="B297" s="949" t="s">
        <v>9279</v>
      </c>
      <c r="C297" s="949" t="s">
        <v>95</v>
      </c>
      <c r="D297" s="949">
        <v>38.035409999999999</v>
      </c>
      <c r="E297" s="949">
        <v>-121.72041</v>
      </c>
      <c r="F297" s="949" t="s">
        <v>9837</v>
      </c>
      <c r="G297" s="949" t="s">
        <v>27</v>
      </c>
      <c r="H297" s="949" t="s">
        <v>9460</v>
      </c>
      <c r="I297" s="949" t="s">
        <v>9496</v>
      </c>
      <c r="J297" s="949" t="s">
        <v>28</v>
      </c>
      <c r="K297" s="949" t="s">
        <v>29</v>
      </c>
      <c r="L297" s="949" t="s">
        <v>30</v>
      </c>
      <c r="M297" s="949">
        <v>2</v>
      </c>
      <c r="N297" s="956">
        <v>10</v>
      </c>
      <c r="O297" s="956">
        <v>20.399999999999999</v>
      </c>
      <c r="P297" s="956">
        <v>1590</v>
      </c>
      <c r="Q297" s="956">
        <v>0.38</v>
      </c>
      <c r="R297" s="956">
        <v>25.45</v>
      </c>
      <c r="S297" s="949" t="s">
        <v>50</v>
      </c>
      <c r="T297" s="949" t="s">
        <v>50</v>
      </c>
      <c r="U297" s="949" t="s">
        <v>50</v>
      </c>
      <c r="V297" s="970" t="s">
        <v>9349</v>
      </c>
      <c r="W297" s="949" t="s">
        <v>32</v>
      </c>
    </row>
    <row r="298" spans="1:23" s="441" customFormat="1" x14ac:dyDescent="0.25">
      <c r="A298" s="949" t="s">
        <v>9830</v>
      </c>
      <c r="B298" s="949" t="s">
        <v>9279</v>
      </c>
      <c r="C298" s="949" t="s">
        <v>95</v>
      </c>
      <c r="D298" s="949">
        <v>38.024329999999999</v>
      </c>
      <c r="E298" s="949">
        <v>-121.74178999999999</v>
      </c>
      <c r="F298" s="949" t="s">
        <v>9838</v>
      </c>
      <c r="G298" s="949" t="s">
        <v>27</v>
      </c>
      <c r="H298" s="949" t="s">
        <v>9460</v>
      </c>
      <c r="I298" s="949" t="s">
        <v>9669</v>
      </c>
      <c r="J298" s="949" t="s">
        <v>28</v>
      </c>
      <c r="K298" s="949" t="s">
        <v>29</v>
      </c>
      <c r="L298" s="949" t="s">
        <v>30</v>
      </c>
      <c r="M298" s="949">
        <v>2</v>
      </c>
      <c r="N298" s="956">
        <v>10</v>
      </c>
      <c r="O298" s="956">
        <v>21.7</v>
      </c>
      <c r="P298" s="956">
        <v>1520</v>
      </c>
      <c r="Q298" s="956">
        <v>0.44</v>
      </c>
      <c r="R298" s="956">
        <v>23</v>
      </c>
      <c r="S298" s="949" t="s">
        <v>50</v>
      </c>
      <c r="T298" s="949" t="s">
        <v>50</v>
      </c>
      <c r="U298" s="949" t="s">
        <v>50</v>
      </c>
      <c r="V298" s="970" t="s">
        <v>9349</v>
      </c>
      <c r="W298" s="949" t="s">
        <v>32</v>
      </c>
    </row>
    <row r="299" spans="1:23" s="441" customFormat="1" x14ac:dyDescent="0.25">
      <c r="A299" s="949" t="s">
        <v>9830</v>
      </c>
      <c r="B299" s="949" t="s">
        <v>9279</v>
      </c>
      <c r="C299" s="949" t="s">
        <v>95</v>
      </c>
      <c r="D299" s="949">
        <v>38.019590000000001</v>
      </c>
      <c r="E299" s="949">
        <v>-121.77076</v>
      </c>
      <c r="F299" s="949" t="s">
        <v>9839</v>
      </c>
      <c r="G299" s="949" t="s">
        <v>27</v>
      </c>
      <c r="H299" s="949" t="s">
        <v>9460</v>
      </c>
      <c r="I299" s="949" t="s">
        <v>9513</v>
      </c>
      <c r="J299" s="949" t="s">
        <v>28</v>
      </c>
      <c r="K299" s="949" t="s">
        <v>29</v>
      </c>
      <c r="L299" s="949" t="s">
        <v>30</v>
      </c>
      <c r="M299" s="949">
        <v>2</v>
      </c>
      <c r="N299" s="956">
        <v>10</v>
      </c>
      <c r="O299" s="956">
        <v>33.75</v>
      </c>
      <c r="P299" s="956">
        <v>1479</v>
      </c>
      <c r="Q299" s="956">
        <v>0.45</v>
      </c>
      <c r="R299" s="956">
        <v>24.25</v>
      </c>
      <c r="S299" s="949" t="s">
        <v>50</v>
      </c>
      <c r="T299" s="949" t="s">
        <v>50</v>
      </c>
      <c r="U299" s="949" t="s">
        <v>50</v>
      </c>
      <c r="V299" s="970" t="s">
        <v>9349</v>
      </c>
      <c r="W299" s="949" t="s">
        <v>32</v>
      </c>
    </row>
    <row r="300" spans="1:23" s="1043" customFormat="1" x14ac:dyDescent="0.25">
      <c r="A300" s="750" t="s">
        <v>9840</v>
      </c>
      <c r="B300" s="750" t="s">
        <v>9296</v>
      </c>
      <c r="C300" s="750" t="s">
        <v>106</v>
      </c>
      <c r="D300" s="750">
        <v>38.294519999999999</v>
      </c>
      <c r="E300" s="750">
        <v>-121.65566</v>
      </c>
      <c r="F300" s="750" t="s">
        <v>9842</v>
      </c>
      <c r="G300" s="750" t="s">
        <v>90</v>
      </c>
      <c r="H300" s="750" t="s">
        <v>108</v>
      </c>
      <c r="I300" s="750" t="s">
        <v>9843</v>
      </c>
      <c r="J300" s="750" t="s">
        <v>28</v>
      </c>
      <c r="K300" s="750" t="s">
        <v>29</v>
      </c>
      <c r="L300" s="750" t="s">
        <v>30</v>
      </c>
      <c r="M300" s="750">
        <v>2</v>
      </c>
      <c r="N300" s="1042">
        <v>10</v>
      </c>
      <c r="O300" s="1042">
        <v>36.5</v>
      </c>
      <c r="P300" s="1042">
        <v>243.95</v>
      </c>
      <c r="Q300" s="1042">
        <v>0.47</v>
      </c>
      <c r="R300" s="1042">
        <v>28.75</v>
      </c>
      <c r="S300" s="750" t="s">
        <v>50</v>
      </c>
      <c r="T300" s="750" t="s">
        <v>50</v>
      </c>
      <c r="U300" s="750" t="s">
        <v>50</v>
      </c>
      <c r="V300" s="794" t="s">
        <v>9349</v>
      </c>
      <c r="W300" s="750" t="s">
        <v>32</v>
      </c>
    </row>
    <row r="301" spans="1:23" s="1044" customFormat="1" x14ac:dyDescent="0.25">
      <c r="A301" s="750" t="s">
        <v>9840</v>
      </c>
      <c r="B301" s="750" t="s">
        <v>9296</v>
      </c>
      <c r="C301" s="750" t="s">
        <v>106</v>
      </c>
      <c r="D301" s="750">
        <v>38.294519999999999</v>
      </c>
      <c r="E301" s="750">
        <v>-121.65566</v>
      </c>
      <c r="F301" s="750" t="s">
        <v>9842</v>
      </c>
      <c r="G301" s="750" t="s">
        <v>90</v>
      </c>
      <c r="H301" s="750" t="s">
        <v>108</v>
      </c>
      <c r="I301" s="750" t="s">
        <v>9843</v>
      </c>
      <c r="J301" s="750" t="s">
        <v>28</v>
      </c>
      <c r="K301" s="750" t="s">
        <v>29</v>
      </c>
      <c r="L301" s="750" t="s">
        <v>30</v>
      </c>
      <c r="M301" s="750">
        <v>2</v>
      </c>
      <c r="N301" s="1042">
        <v>10</v>
      </c>
      <c r="O301" s="1042">
        <v>36.5</v>
      </c>
      <c r="P301" s="1042">
        <v>243.95</v>
      </c>
      <c r="Q301" s="1042">
        <v>0.47</v>
      </c>
      <c r="R301" s="1042">
        <v>28.75</v>
      </c>
      <c r="S301" s="750" t="s">
        <v>50</v>
      </c>
      <c r="T301" s="750" t="s">
        <v>50</v>
      </c>
      <c r="U301" s="750" t="s">
        <v>50</v>
      </c>
      <c r="V301" s="794" t="s">
        <v>9349</v>
      </c>
      <c r="W301" s="750" t="s">
        <v>32</v>
      </c>
    </row>
    <row r="302" spans="1:23" s="1044" customFormat="1" x14ac:dyDescent="0.25">
      <c r="A302" s="750" t="s">
        <v>9840</v>
      </c>
      <c r="B302" s="750" t="s">
        <v>9296</v>
      </c>
      <c r="C302" s="750" t="s">
        <v>106</v>
      </c>
      <c r="D302" s="750">
        <v>38.53772</v>
      </c>
      <c r="E302" s="750">
        <v>-121.85388</v>
      </c>
      <c r="F302" s="750" t="s">
        <v>9860</v>
      </c>
      <c r="G302" s="750" t="s">
        <v>90</v>
      </c>
      <c r="H302" s="750" t="s">
        <v>158</v>
      </c>
      <c r="I302" s="750" t="s">
        <v>9861</v>
      </c>
      <c r="J302" s="750" t="s">
        <v>28</v>
      </c>
      <c r="K302" s="750" t="s">
        <v>29</v>
      </c>
      <c r="L302" s="750" t="s">
        <v>30</v>
      </c>
      <c r="M302" s="750">
        <v>2</v>
      </c>
      <c r="N302" s="1042">
        <v>10</v>
      </c>
      <c r="O302" s="1042">
        <v>33.5</v>
      </c>
      <c r="P302" s="1042">
        <v>1107.5</v>
      </c>
      <c r="Q302" s="1042">
        <v>0.55000000000000004</v>
      </c>
      <c r="R302" s="1042">
        <v>21.9</v>
      </c>
      <c r="S302" s="750" t="s">
        <v>50</v>
      </c>
      <c r="T302" s="750" t="s">
        <v>50</v>
      </c>
      <c r="U302" s="750" t="s">
        <v>50</v>
      </c>
      <c r="V302" s="794" t="s">
        <v>9349</v>
      </c>
      <c r="W302" s="750" t="s">
        <v>32</v>
      </c>
    </row>
    <row r="303" spans="1:23" s="1044" customFormat="1" x14ac:dyDescent="0.25">
      <c r="A303" s="750" t="s">
        <v>9840</v>
      </c>
      <c r="B303" s="750" t="s">
        <v>9296</v>
      </c>
      <c r="C303" s="750" t="s">
        <v>106</v>
      </c>
      <c r="D303" s="750">
        <v>38.561129999999999</v>
      </c>
      <c r="E303" s="750">
        <v>-121.54541</v>
      </c>
      <c r="F303" s="750" t="s">
        <v>9862</v>
      </c>
      <c r="G303" s="750" t="s">
        <v>90</v>
      </c>
      <c r="H303" s="750" t="s">
        <v>158</v>
      </c>
      <c r="I303" s="750" t="s">
        <v>9863</v>
      </c>
      <c r="J303" s="750" t="s">
        <v>28</v>
      </c>
      <c r="K303" s="750" t="s">
        <v>29</v>
      </c>
      <c r="L303" s="750" t="s">
        <v>30</v>
      </c>
      <c r="M303" s="750">
        <v>2</v>
      </c>
      <c r="N303" s="1042">
        <v>10</v>
      </c>
      <c r="O303" s="1042">
        <v>33.25</v>
      </c>
      <c r="P303" s="1042">
        <v>1191</v>
      </c>
      <c r="Q303" s="1042">
        <v>1.33</v>
      </c>
      <c r="R303" s="1042">
        <v>7.8049999999999997</v>
      </c>
      <c r="S303" s="750" t="s">
        <v>50</v>
      </c>
      <c r="T303" s="750" t="s">
        <v>50</v>
      </c>
      <c r="U303" s="750" t="s">
        <v>50</v>
      </c>
      <c r="V303" s="794"/>
      <c r="W303" s="750" t="s">
        <v>32</v>
      </c>
    </row>
    <row r="304" spans="1:23" s="1044" customFormat="1" x14ac:dyDescent="0.25">
      <c r="A304" s="750" t="s">
        <v>9840</v>
      </c>
      <c r="B304" s="750" t="s">
        <v>9296</v>
      </c>
      <c r="C304" s="750" t="s">
        <v>106</v>
      </c>
      <c r="D304" s="750">
        <v>38.529530000000001</v>
      </c>
      <c r="E304" s="750">
        <v>-121.58323</v>
      </c>
      <c r="F304" s="750" t="s">
        <v>9864</v>
      </c>
      <c r="G304" s="750" t="s">
        <v>90</v>
      </c>
      <c r="H304" s="750" t="s">
        <v>158</v>
      </c>
      <c r="I304" s="750" t="s">
        <v>9865</v>
      </c>
      <c r="J304" s="750" t="s">
        <v>28</v>
      </c>
      <c r="K304" s="750" t="s">
        <v>29</v>
      </c>
      <c r="L304" s="750" t="s">
        <v>30</v>
      </c>
      <c r="M304" s="750">
        <v>2</v>
      </c>
      <c r="N304" s="1042">
        <v>10</v>
      </c>
      <c r="O304" s="1042">
        <v>31.15</v>
      </c>
      <c r="P304" s="1042">
        <v>1112.5</v>
      </c>
      <c r="Q304" s="1042">
        <v>0.56000000000000005</v>
      </c>
      <c r="R304" s="1042">
        <v>16.25</v>
      </c>
      <c r="S304" s="750" t="s">
        <v>50</v>
      </c>
      <c r="T304" s="750" t="s">
        <v>50</v>
      </c>
      <c r="U304" s="750" t="s">
        <v>50</v>
      </c>
      <c r="V304" s="794" t="s">
        <v>9349</v>
      </c>
      <c r="W304" s="750" t="s">
        <v>32</v>
      </c>
    </row>
    <row r="305" spans="1:23" s="1045" customFormat="1" x14ac:dyDescent="0.25">
      <c r="A305" s="27" t="s">
        <v>9840</v>
      </c>
      <c r="B305" s="27" t="s">
        <v>9296</v>
      </c>
      <c r="C305" s="27" t="s">
        <v>106</v>
      </c>
      <c r="D305" s="27">
        <v>38.486879999999999</v>
      </c>
      <c r="E305" s="27">
        <v>-121.58386</v>
      </c>
      <c r="F305" s="27" t="s">
        <v>9866</v>
      </c>
      <c r="G305" s="27" t="s">
        <v>90</v>
      </c>
      <c r="H305" s="27" t="s">
        <v>158</v>
      </c>
      <c r="I305" s="27" t="s">
        <v>9867</v>
      </c>
      <c r="J305" s="27" t="s">
        <v>28</v>
      </c>
      <c r="K305" s="27" t="s">
        <v>29</v>
      </c>
      <c r="L305" s="750" t="s">
        <v>30</v>
      </c>
      <c r="M305" s="27">
        <v>2</v>
      </c>
      <c r="N305" s="89">
        <v>10</v>
      </c>
      <c r="O305" s="89">
        <v>27.2</v>
      </c>
      <c r="P305" s="89">
        <v>1014.5</v>
      </c>
      <c r="Q305" s="89">
        <v>0.46</v>
      </c>
      <c r="R305" s="89">
        <v>23.95</v>
      </c>
      <c r="S305" s="27" t="s">
        <v>50</v>
      </c>
      <c r="T305" s="89" t="s">
        <v>50</v>
      </c>
      <c r="U305" s="89" t="s">
        <v>50</v>
      </c>
      <c r="V305" s="35" t="s">
        <v>10146</v>
      </c>
      <c r="W305" s="27" t="s">
        <v>32</v>
      </c>
    </row>
    <row r="306" spans="1:23" s="1044" customFormat="1" x14ac:dyDescent="0.25">
      <c r="A306" s="750" t="s">
        <v>9840</v>
      </c>
      <c r="B306" s="750" t="s">
        <v>9296</v>
      </c>
      <c r="C306" s="750" t="s">
        <v>78</v>
      </c>
      <c r="D306" s="750">
        <v>38.047620000000002</v>
      </c>
      <c r="E306" s="750">
        <v>-121.90446</v>
      </c>
      <c r="F306" s="750" t="s">
        <v>9868</v>
      </c>
      <c r="G306" s="750" t="s">
        <v>27</v>
      </c>
      <c r="H306" s="750" t="s">
        <v>101</v>
      </c>
      <c r="I306" s="750" t="s">
        <v>9532</v>
      </c>
      <c r="J306" s="750" t="s">
        <v>28</v>
      </c>
      <c r="K306" s="750" t="s">
        <v>29</v>
      </c>
      <c r="L306" s="750" t="s">
        <v>30</v>
      </c>
      <c r="M306" s="750">
        <v>2</v>
      </c>
      <c r="N306" s="1042">
        <v>10</v>
      </c>
      <c r="O306" s="1042">
        <v>36.1</v>
      </c>
      <c r="P306" s="1042">
        <v>9691.5</v>
      </c>
      <c r="Q306" s="1042">
        <v>0.32</v>
      </c>
      <c r="R306" s="1042">
        <v>56.4</v>
      </c>
      <c r="S306" s="750" t="s">
        <v>50</v>
      </c>
      <c r="T306" s="750" t="s">
        <v>50</v>
      </c>
      <c r="U306" s="750" t="s">
        <v>50</v>
      </c>
      <c r="V306" s="794" t="s">
        <v>9349</v>
      </c>
      <c r="W306" s="750" t="s">
        <v>32</v>
      </c>
    </row>
    <row r="307" spans="1:23" x14ac:dyDescent="0.25">
      <c r="A307" s="949" t="s">
        <v>9840</v>
      </c>
      <c r="B307" s="949" t="s">
        <v>9296</v>
      </c>
      <c r="C307" s="949" t="s">
        <v>78</v>
      </c>
      <c r="D307" s="949">
        <v>38.032739999999997</v>
      </c>
      <c r="E307" s="949">
        <v>-121.83296</v>
      </c>
      <c r="F307" s="949" t="s">
        <v>9821</v>
      </c>
      <c r="G307" s="949" t="s">
        <v>27</v>
      </c>
      <c r="H307" s="949" t="s">
        <v>101</v>
      </c>
      <c r="I307" s="949" t="s">
        <v>9822</v>
      </c>
      <c r="J307" s="949" t="s">
        <v>28</v>
      </c>
      <c r="K307" s="949" t="s">
        <v>29</v>
      </c>
      <c r="L307" s="949" t="s">
        <v>30</v>
      </c>
      <c r="M307" s="949">
        <v>2</v>
      </c>
      <c r="N307" s="956">
        <v>10</v>
      </c>
      <c r="O307" s="956">
        <v>53.3</v>
      </c>
      <c r="P307" s="956">
        <v>7415</v>
      </c>
      <c r="Q307" s="956">
        <v>0.45</v>
      </c>
      <c r="R307" s="956">
        <v>32.9</v>
      </c>
      <c r="S307" s="949" t="s">
        <v>50</v>
      </c>
      <c r="T307" s="949" t="s">
        <v>50</v>
      </c>
      <c r="U307" s="949" t="s">
        <v>50</v>
      </c>
      <c r="V307" s="970" t="s">
        <v>9349</v>
      </c>
      <c r="W307" s="949" t="s">
        <v>32</v>
      </c>
    </row>
    <row r="308" spans="1:23" x14ac:dyDescent="0.25">
      <c r="A308" s="949" t="s">
        <v>9840</v>
      </c>
      <c r="B308" s="949" t="s">
        <v>9296</v>
      </c>
      <c r="C308" s="949" t="s">
        <v>78</v>
      </c>
      <c r="D308" s="949">
        <v>38.05265</v>
      </c>
      <c r="E308" s="949">
        <v>-121.94531000000001</v>
      </c>
      <c r="F308" s="949" t="s">
        <v>9823</v>
      </c>
      <c r="G308" s="949" t="s">
        <v>27</v>
      </c>
      <c r="H308" s="949" t="s">
        <v>9500</v>
      </c>
      <c r="I308" s="949" t="s">
        <v>9595</v>
      </c>
      <c r="J308" s="949" t="s">
        <v>28</v>
      </c>
      <c r="K308" s="949" t="s">
        <v>29</v>
      </c>
      <c r="L308" s="949" t="s">
        <v>30</v>
      </c>
      <c r="M308" s="949">
        <v>2</v>
      </c>
      <c r="N308" s="956">
        <v>10</v>
      </c>
      <c r="O308" s="956">
        <v>52.3</v>
      </c>
      <c r="P308" s="956">
        <v>7533</v>
      </c>
      <c r="Q308" s="956">
        <v>0.44500000000000001</v>
      </c>
      <c r="R308" s="956">
        <v>44.5</v>
      </c>
      <c r="S308" s="949" t="s">
        <v>50</v>
      </c>
      <c r="T308" s="949" t="s">
        <v>50</v>
      </c>
      <c r="U308" s="949" t="s">
        <v>50</v>
      </c>
      <c r="V308" s="970" t="s">
        <v>9349</v>
      </c>
      <c r="W308" s="949" t="s">
        <v>32</v>
      </c>
    </row>
    <row r="309" spans="1:23" x14ac:dyDescent="0.25">
      <c r="A309" s="949" t="s">
        <v>9840</v>
      </c>
      <c r="B309" s="949" t="s">
        <v>9296</v>
      </c>
      <c r="C309" s="949" t="s">
        <v>78</v>
      </c>
      <c r="D309" s="949">
        <v>38.05536</v>
      </c>
      <c r="E309" s="949">
        <v>-122.11944</v>
      </c>
      <c r="F309" s="949" t="s">
        <v>9841</v>
      </c>
      <c r="G309" s="949" t="s">
        <v>80</v>
      </c>
      <c r="H309" s="949" t="s">
        <v>9390</v>
      </c>
      <c r="I309" s="949" t="s">
        <v>9473</v>
      </c>
      <c r="J309" s="949" t="s">
        <v>28</v>
      </c>
      <c r="K309" s="949" t="s">
        <v>29</v>
      </c>
      <c r="L309" s="949" t="s">
        <v>30</v>
      </c>
      <c r="M309" s="949">
        <v>2</v>
      </c>
      <c r="N309" s="956">
        <v>10</v>
      </c>
      <c r="O309" s="956">
        <v>19.350000000000001</v>
      </c>
      <c r="P309" s="956">
        <v>18516.5</v>
      </c>
      <c r="Q309" s="956">
        <v>0.22</v>
      </c>
      <c r="R309" s="956">
        <v>120</v>
      </c>
      <c r="S309" s="949" t="s">
        <v>50</v>
      </c>
      <c r="T309" s="949" t="s">
        <v>50</v>
      </c>
      <c r="U309" s="949" t="s">
        <v>50</v>
      </c>
      <c r="V309" s="970" t="s">
        <v>9349</v>
      </c>
      <c r="W309" s="949" t="s">
        <v>32</v>
      </c>
    </row>
    <row r="310" spans="1:23" x14ac:dyDescent="0.25">
      <c r="A310" s="949" t="s">
        <v>9840</v>
      </c>
      <c r="B310" s="949" t="s">
        <v>9296</v>
      </c>
      <c r="C310" s="949" t="s">
        <v>78</v>
      </c>
      <c r="D310" s="949">
        <v>38.076770000000003</v>
      </c>
      <c r="E310" s="949">
        <v>-122.08758</v>
      </c>
      <c r="F310" s="949" t="s">
        <v>9869</v>
      </c>
      <c r="G310" s="949" t="s">
        <v>80</v>
      </c>
      <c r="H310" s="949" t="s">
        <v>9390</v>
      </c>
      <c r="I310" s="949" t="s">
        <v>9857</v>
      </c>
      <c r="J310" s="949" t="s">
        <v>28</v>
      </c>
      <c r="K310" s="949" t="s">
        <v>29</v>
      </c>
      <c r="L310" s="949" t="s">
        <v>30</v>
      </c>
      <c r="M310" s="949">
        <v>2</v>
      </c>
      <c r="N310" s="956">
        <v>10</v>
      </c>
      <c r="O310" s="956">
        <v>32.200000000000003</v>
      </c>
      <c r="P310" s="956">
        <v>15076</v>
      </c>
      <c r="Q310" s="956">
        <v>0.29499999999999998</v>
      </c>
      <c r="R310" s="956">
        <v>43.55</v>
      </c>
      <c r="S310" s="949" t="s">
        <v>50</v>
      </c>
      <c r="T310" s="949" t="s">
        <v>50</v>
      </c>
      <c r="U310" s="949" t="s">
        <v>50</v>
      </c>
      <c r="V310" s="970" t="s">
        <v>9349</v>
      </c>
      <c r="W310" s="949" t="s">
        <v>32</v>
      </c>
    </row>
    <row r="311" spans="1:23" s="857" customFormat="1" x14ac:dyDescent="0.25">
      <c r="A311" s="714" t="s">
        <v>9824</v>
      </c>
      <c r="B311" s="714" t="s">
        <v>9313</v>
      </c>
      <c r="C311" s="714" t="s">
        <v>88</v>
      </c>
      <c r="D311" s="1040">
        <v>38.09355</v>
      </c>
      <c r="E311" s="1040">
        <v>-121.70771999999999</v>
      </c>
      <c r="F311" s="714" t="s">
        <v>9844</v>
      </c>
      <c r="G311" s="714" t="s">
        <v>90</v>
      </c>
      <c r="H311" s="714" t="s">
        <v>9368</v>
      </c>
      <c r="I311" s="714" t="s">
        <v>9845</v>
      </c>
      <c r="J311" s="714" t="s">
        <v>28</v>
      </c>
      <c r="K311" s="714" t="s">
        <v>29</v>
      </c>
      <c r="L311" s="714" t="s">
        <v>30</v>
      </c>
      <c r="M311" s="714">
        <v>1</v>
      </c>
      <c r="N311" s="1041">
        <v>1</v>
      </c>
      <c r="O311" s="752">
        <v>10.9</v>
      </c>
      <c r="P311" s="752">
        <v>944</v>
      </c>
      <c r="Q311" s="752">
        <v>0.64</v>
      </c>
      <c r="R311" s="752">
        <v>15.6</v>
      </c>
      <c r="S311" s="714" t="s">
        <v>50</v>
      </c>
      <c r="T311" s="714" t="s">
        <v>50</v>
      </c>
      <c r="U311" s="714" t="s">
        <v>50</v>
      </c>
      <c r="V311" s="720" t="s">
        <v>9870</v>
      </c>
      <c r="W311" s="714" t="s">
        <v>32</v>
      </c>
    </row>
    <row r="312" spans="1:23" x14ac:dyDescent="0.25">
      <c r="A312" s="949" t="s">
        <v>9824</v>
      </c>
      <c r="B312" s="949" t="s">
        <v>9313</v>
      </c>
      <c r="C312" s="949" t="s">
        <v>106</v>
      </c>
      <c r="D312" s="950">
        <v>38.207349999999998</v>
      </c>
      <c r="E312" s="950">
        <v>-121.6571</v>
      </c>
      <c r="F312" s="949" t="s">
        <v>9825</v>
      </c>
      <c r="G312" s="949" t="s">
        <v>90</v>
      </c>
      <c r="H312" s="949" t="s">
        <v>108</v>
      </c>
      <c r="I312" s="949" t="s">
        <v>9494</v>
      </c>
      <c r="J312" s="949" t="s">
        <v>28</v>
      </c>
      <c r="K312" s="949" t="s">
        <v>29</v>
      </c>
      <c r="L312" s="949" t="s">
        <v>30</v>
      </c>
      <c r="M312" s="949">
        <v>2</v>
      </c>
      <c r="N312" s="956">
        <v>10</v>
      </c>
      <c r="O312" s="955">
        <v>36.450000000000003</v>
      </c>
      <c r="P312" s="955">
        <v>176.15</v>
      </c>
      <c r="Q312" s="955">
        <v>1.2050000000000001</v>
      </c>
      <c r="R312" s="955">
        <v>11.1</v>
      </c>
      <c r="S312" s="949" t="s">
        <v>50</v>
      </c>
      <c r="T312" s="949" t="s">
        <v>50</v>
      </c>
      <c r="U312" s="949" t="s">
        <v>50</v>
      </c>
      <c r="V312" s="970"/>
      <c r="W312" s="949" t="s">
        <v>32</v>
      </c>
    </row>
    <row r="313" spans="1:23" s="1045" customFormat="1" x14ac:dyDescent="0.25">
      <c r="A313" s="27" t="s">
        <v>9824</v>
      </c>
      <c r="B313" s="27" t="s">
        <v>9313</v>
      </c>
      <c r="C313" s="27" t="s">
        <v>106</v>
      </c>
      <c r="D313" s="85">
        <v>38.452150000000003</v>
      </c>
      <c r="E313" s="85">
        <v>-121.59294</v>
      </c>
      <c r="F313" s="27" t="s">
        <v>9846</v>
      </c>
      <c r="G313" s="27" t="s">
        <v>90</v>
      </c>
      <c r="H313" s="27" t="s">
        <v>108</v>
      </c>
      <c r="I313" s="27" t="s">
        <v>9715</v>
      </c>
      <c r="J313" s="27" t="s">
        <v>28</v>
      </c>
      <c r="K313" s="27" t="s">
        <v>29</v>
      </c>
      <c r="L313" s="27" t="s">
        <v>30</v>
      </c>
      <c r="M313" s="27">
        <v>2</v>
      </c>
      <c r="N313" s="89">
        <v>10</v>
      </c>
      <c r="O313" s="82">
        <v>24.95</v>
      </c>
      <c r="P313" s="82">
        <v>770.5</v>
      </c>
      <c r="Q313" s="82">
        <v>0.375</v>
      </c>
      <c r="R313" s="82">
        <v>46.15</v>
      </c>
      <c r="S313" s="27" t="s">
        <v>50</v>
      </c>
      <c r="T313" s="89" t="s">
        <v>50</v>
      </c>
      <c r="U313" s="27" t="s">
        <v>50</v>
      </c>
      <c r="V313" s="35" t="s">
        <v>10147</v>
      </c>
      <c r="W313" s="27" t="s">
        <v>32</v>
      </c>
    </row>
    <row r="314" spans="1:23" x14ac:dyDescent="0.25">
      <c r="A314" s="949" t="s">
        <v>9824</v>
      </c>
      <c r="B314" s="949" t="s">
        <v>9313</v>
      </c>
      <c r="C314" s="949" t="s">
        <v>106</v>
      </c>
      <c r="D314" s="950">
        <v>38.264400000000002</v>
      </c>
      <c r="E314" s="950">
        <v>-121.66331</v>
      </c>
      <c r="F314" s="949" t="s">
        <v>9826</v>
      </c>
      <c r="G314" s="949" t="s">
        <v>90</v>
      </c>
      <c r="H314" s="949" t="s">
        <v>108</v>
      </c>
      <c r="I314" s="949" t="s">
        <v>9827</v>
      </c>
      <c r="J314" s="949" t="s">
        <v>28</v>
      </c>
      <c r="K314" s="949" t="s">
        <v>29</v>
      </c>
      <c r="L314" s="949" t="s">
        <v>30</v>
      </c>
      <c r="M314" s="949">
        <v>2</v>
      </c>
      <c r="N314" s="956">
        <v>10</v>
      </c>
      <c r="O314" s="955">
        <v>34</v>
      </c>
      <c r="P314" s="955">
        <v>209.6</v>
      </c>
      <c r="Q314" s="955">
        <v>0.66</v>
      </c>
      <c r="R314" s="955">
        <v>23.05</v>
      </c>
      <c r="S314" s="949" t="s">
        <v>50</v>
      </c>
      <c r="T314" s="949" t="s">
        <v>50</v>
      </c>
      <c r="U314" s="949" t="s">
        <v>50</v>
      </c>
      <c r="V314" s="970" t="s">
        <v>9349</v>
      </c>
      <c r="W314" s="949" t="s">
        <v>32</v>
      </c>
    </row>
    <row r="315" spans="1:23" x14ac:dyDescent="0.25">
      <c r="A315" s="949" t="s">
        <v>9824</v>
      </c>
      <c r="B315" s="949" t="s">
        <v>9313</v>
      </c>
      <c r="C315" s="949" t="s">
        <v>106</v>
      </c>
      <c r="D315" s="950">
        <v>38.195459999999997</v>
      </c>
      <c r="E315" s="950">
        <v>-121.65604</v>
      </c>
      <c r="F315" s="949" t="s">
        <v>9828</v>
      </c>
      <c r="G315" s="949" t="s">
        <v>90</v>
      </c>
      <c r="H315" s="949" t="s">
        <v>108</v>
      </c>
      <c r="I315" s="949" t="s">
        <v>9778</v>
      </c>
      <c r="J315" s="949" t="s">
        <v>28</v>
      </c>
      <c r="K315" s="949" t="s">
        <v>29</v>
      </c>
      <c r="L315" s="949" t="s">
        <v>30</v>
      </c>
      <c r="M315" s="949">
        <v>3</v>
      </c>
      <c r="N315" s="956">
        <v>10</v>
      </c>
      <c r="O315" s="955">
        <v>44.4</v>
      </c>
      <c r="P315" s="955">
        <v>179.066666666667</v>
      </c>
      <c r="Q315" s="955">
        <v>1.1966666666666701</v>
      </c>
      <c r="R315" s="955">
        <v>12.0666666666667</v>
      </c>
      <c r="S315" s="949" t="s">
        <v>50</v>
      </c>
      <c r="T315" s="949" t="s">
        <v>50</v>
      </c>
      <c r="U315" s="949" t="s">
        <v>50</v>
      </c>
      <c r="V315" s="970"/>
      <c r="W315" s="949" t="s">
        <v>32</v>
      </c>
    </row>
    <row r="316" spans="1:23" s="1045" customFormat="1" x14ac:dyDescent="0.25">
      <c r="A316" s="27" t="s">
        <v>9824</v>
      </c>
      <c r="B316" s="27" t="s">
        <v>9313</v>
      </c>
      <c r="C316" s="27" t="s">
        <v>106</v>
      </c>
      <c r="D316" s="85">
        <v>38.424959999999999</v>
      </c>
      <c r="E316" s="85">
        <v>-121.60533</v>
      </c>
      <c r="F316" s="27" t="s">
        <v>9847</v>
      </c>
      <c r="G316" s="27" t="s">
        <v>90</v>
      </c>
      <c r="H316" s="27" t="s">
        <v>108</v>
      </c>
      <c r="I316" s="27" t="s">
        <v>9507</v>
      </c>
      <c r="J316" s="27" t="s">
        <v>28</v>
      </c>
      <c r="K316" s="27" t="s">
        <v>29</v>
      </c>
      <c r="L316" s="27" t="s">
        <v>30</v>
      </c>
      <c r="M316" s="27">
        <v>2</v>
      </c>
      <c r="N316" s="89">
        <v>10</v>
      </c>
      <c r="O316" s="82">
        <v>31.9</v>
      </c>
      <c r="P316" s="82">
        <v>679.5</v>
      </c>
      <c r="Q316" s="82">
        <v>0.36</v>
      </c>
      <c r="R316" s="82">
        <v>55.1</v>
      </c>
      <c r="S316" s="27" t="s">
        <v>50</v>
      </c>
      <c r="T316" s="89" t="s">
        <v>50</v>
      </c>
      <c r="U316" s="27" t="s">
        <v>50</v>
      </c>
      <c r="V316" s="35" t="s">
        <v>10148</v>
      </c>
      <c r="W316" s="27" t="s">
        <v>32</v>
      </c>
    </row>
    <row r="317" spans="1:23" s="1044" customFormat="1" x14ac:dyDescent="0.25">
      <c r="A317" s="1046" t="s">
        <v>9824</v>
      </c>
      <c r="B317" s="1046" t="s">
        <v>9313</v>
      </c>
      <c r="C317" s="1046" t="s">
        <v>62</v>
      </c>
      <c r="D317" s="1047">
        <v>38.12003</v>
      </c>
      <c r="E317" s="1047">
        <v>-122.05494</v>
      </c>
      <c r="F317" s="1046" t="s">
        <v>9848</v>
      </c>
      <c r="G317" s="1046" t="s">
        <v>27</v>
      </c>
      <c r="H317" s="1046" t="s">
        <v>173</v>
      </c>
      <c r="I317" s="1046" t="s">
        <v>9849</v>
      </c>
      <c r="J317" s="1046" t="s">
        <v>28</v>
      </c>
      <c r="K317" s="1046" t="s">
        <v>29</v>
      </c>
      <c r="L317" s="1046" t="s">
        <v>30</v>
      </c>
      <c r="M317" s="1046">
        <v>2</v>
      </c>
      <c r="N317" s="1048">
        <v>10</v>
      </c>
      <c r="O317" s="1049">
        <v>8.5500000000000007</v>
      </c>
      <c r="P317" s="1049">
        <v>12478</v>
      </c>
      <c r="Q317" s="1049">
        <v>0.20499999999999999</v>
      </c>
      <c r="R317" s="1049">
        <v>142</v>
      </c>
      <c r="S317" s="1050" t="s">
        <v>31</v>
      </c>
      <c r="T317" s="1048">
        <v>7</v>
      </c>
      <c r="U317" s="1046" t="s">
        <v>9850</v>
      </c>
      <c r="V317" s="1051" t="s">
        <v>9349</v>
      </c>
      <c r="W317" s="1046" t="s">
        <v>32</v>
      </c>
    </row>
    <row r="318" spans="1:23" s="1044" customFormat="1" x14ac:dyDescent="0.25">
      <c r="A318" s="1046" t="s">
        <v>9824</v>
      </c>
      <c r="B318" s="1046" t="s">
        <v>9313</v>
      </c>
      <c r="C318" s="1046" t="s">
        <v>62</v>
      </c>
      <c r="D318" s="1047">
        <v>38.101950000000002</v>
      </c>
      <c r="E318" s="1047">
        <v>-122.05916999999999</v>
      </c>
      <c r="F318" s="1046" t="s">
        <v>9851</v>
      </c>
      <c r="G318" s="1046" t="s">
        <v>27</v>
      </c>
      <c r="H318" s="1046" t="s">
        <v>173</v>
      </c>
      <c r="I318" s="1046" t="s">
        <v>9852</v>
      </c>
      <c r="J318" s="1046" t="s">
        <v>28</v>
      </c>
      <c r="K318" s="1046" t="s">
        <v>29</v>
      </c>
      <c r="L318" s="1046" t="s">
        <v>30</v>
      </c>
      <c r="M318" s="1046">
        <v>2</v>
      </c>
      <c r="N318" s="1048">
        <v>10</v>
      </c>
      <c r="O318" s="1049">
        <v>12.2</v>
      </c>
      <c r="P318" s="1049">
        <v>16299</v>
      </c>
      <c r="Q318" s="1049">
        <v>0.14499999999999999</v>
      </c>
      <c r="R318" s="1049">
        <v>191</v>
      </c>
      <c r="S318" s="1050" t="s">
        <v>31</v>
      </c>
      <c r="T318" s="1048">
        <v>15</v>
      </c>
      <c r="U318" s="1046" t="s">
        <v>9853</v>
      </c>
      <c r="V318" s="1051" t="s">
        <v>9349</v>
      </c>
      <c r="W318" s="1046" t="s">
        <v>32</v>
      </c>
    </row>
    <row r="319" spans="1:23" x14ac:dyDescent="0.25">
      <c r="A319" s="961" t="s">
        <v>9824</v>
      </c>
      <c r="B319" s="961" t="s">
        <v>9313</v>
      </c>
      <c r="C319" s="961" t="s">
        <v>62</v>
      </c>
      <c r="D319" s="969">
        <v>38.104689999999998</v>
      </c>
      <c r="E319" s="969">
        <v>-122.03332</v>
      </c>
      <c r="F319" s="961" t="s">
        <v>9829</v>
      </c>
      <c r="G319" s="961" t="s">
        <v>27</v>
      </c>
      <c r="H319" s="961" t="s">
        <v>173</v>
      </c>
      <c r="I319" s="961" t="s">
        <v>9595</v>
      </c>
      <c r="J319" s="961" t="s">
        <v>28</v>
      </c>
      <c r="K319" s="961" t="s">
        <v>29</v>
      </c>
      <c r="L319" s="961" t="s">
        <v>30</v>
      </c>
      <c r="M319" s="961">
        <v>0</v>
      </c>
      <c r="N319" s="961" t="s">
        <v>50</v>
      </c>
      <c r="O319" s="966" t="s">
        <v>50</v>
      </c>
      <c r="P319" s="966" t="s">
        <v>50</v>
      </c>
      <c r="Q319" s="966" t="s">
        <v>50</v>
      </c>
      <c r="R319" s="966" t="s">
        <v>50</v>
      </c>
      <c r="S319" s="961" t="s">
        <v>50</v>
      </c>
      <c r="T319" s="961" t="s">
        <v>50</v>
      </c>
      <c r="U319" s="961" t="s">
        <v>50</v>
      </c>
      <c r="V319" s="962" t="s">
        <v>1822</v>
      </c>
      <c r="W319" s="961" t="s">
        <v>32</v>
      </c>
    </row>
    <row r="320" spans="1:23" s="1044" customFormat="1" x14ac:dyDescent="0.25">
      <c r="A320" s="1046" t="s">
        <v>9824</v>
      </c>
      <c r="B320" s="1046" t="s">
        <v>9313</v>
      </c>
      <c r="C320" s="1046" t="s">
        <v>62</v>
      </c>
      <c r="D320" s="1047">
        <v>38.153320000000001</v>
      </c>
      <c r="E320" s="1047">
        <v>-122.05240999999999</v>
      </c>
      <c r="F320" s="1046" t="s">
        <v>9854</v>
      </c>
      <c r="G320" s="1046" t="s">
        <v>27</v>
      </c>
      <c r="H320" s="1046" t="s">
        <v>9409</v>
      </c>
      <c r="I320" s="1046" t="s">
        <v>9490</v>
      </c>
      <c r="J320" s="1046" t="s">
        <v>28</v>
      </c>
      <c r="K320" s="1046" t="s">
        <v>29</v>
      </c>
      <c r="L320" s="1046" t="s">
        <v>30</v>
      </c>
      <c r="M320" s="1046">
        <v>2</v>
      </c>
      <c r="N320" s="1048">
        <v>10</v>
      </c>
      <c r="O320" s="1049">
        <v>19.45</v>
      </c>
      <c r="P320" s="1049">
        <v>8024</v>
      </c>
      <c r="Q320" s="1049">
        <v>0.215</v>
      </c>
      <c r="R320" s="1049">
        <v>99.4</v>
      </c>
      <c r="S320" s="1050" t="s">
        <v>31</v>
      </c>
      <c r="T320" s="1048">
        <v>3</v>
      </c>
      <c r="U320" s="1046" t="s">
        <v>9855</v>
      </c>
      <c r="V320" s="1051" t="s">
        <v>9349</v>
      </c>
      <c r="W320" s="1046" t="s">
        <v>32</v>
      </c>
    </row>
    <row r="321" spans="1:23" s="1044" customFormat="1" x14ac:dyDescent="0.25">
      <c r="A321" s="750" t="s">
        <v>9824</v>
      </c>
      <c r="B321" s="750" t="s">
        <v>9313</v>
      </c>
      <c r="C321" s="750" t="s">
        <v>62</v>
      </c>
      <c r="D321" s="1052">
        <v>38.190750000000001</v>
      </c>
      <c r="E321" s="1052">
        <v>-122.0438</v>
      </c>
      <c r="F321" s="750" t="s">
        <v>9856</v>
      </c>
      <c r="G321" s="750" t="s">
        <v>27</v>
      </c>
      <c r="H321" s="750" t="s">
        <v>9409</v>
      </c>
      <c r="I321" s="750" t="s">
        <v>9857</v>
      </c>
      <c r="J321" s="750" t="s">
        <v>28</v>
      </c>
      <c r="K321" s="750" t="s">
        <v>29</v>
      </c>
      <c r="L321" s="750" t="s">
        <v>30</v>
      </c>
      <c r="M321" s="750">
        <v>2</v>
      </c>
      <c r="N321" s="1042">
        <v>10</v>
      </c>
      <c r="O321" s="758">
        <v>16.100000000000001</v>
      </c>
      <c r="P321" s="758">
        <v>8302</v>
      </c>
      <c r="Q321" s="758">
        <v>0.23</v>
      </c>
      <c r="R321" s="758">
        <v>91.05</v>
      </c>
      <c r="S321" s="750" t="s">
        <v>50</v>
      </c>
      <c r="T321" s="750" t="s">
        <v>50</v>
      </c>
      <c r="U321" s="750" t="s">
        <v>50</v>
      </c>
      <c r="V321" s="794" t="s">
        <v>9349</v>
      </c>
      <c r="W321" s="750" t="s">
        <v>32</v>
      </c>
    </row>
    <row r="322" spans="1:23" s="1057" customFormat="1" x14ac:dyDescent="0.25">
      <c r="A322" s="763" t="s">
        <v>9824</v>
      </c>
      <c r="B322" s="763" t="s">
        <v>9313</v>
      </c>
      <c r="C322" s="763" t="s">
        <v>62</v>
      </c>
      <c r="D322" s="1053">
        <v>38.144449999999999</v>
      </c>
      <c r="E322" s="1053">
        <v>-122.0603</v>
      </c>
      <c r="F322" s="763" t="s">
        <v>9858</v>
      </c>
      <c r="G322" s="763" t="s">
        <v>27</v>
      </c>
      <c r="H322" s="763" t="s">
        <v>9409</v>
      </c>
      <c r="I322" s="763" t="s">
        <v>9859</v>
      </c>
      <c r="J322" s="763" t="s">
        <v>28</v>
      </c>
      <c r="K322" s="763" t="s">
        <v>29</v>
      </c>
      <c r="L322" s="763" t="s">
        <v>30</v>
      </c>
      <c r="M322" s="763">
        <v>2</v>
      </c>
      <c r="N322" s="1054">
        <v>10</v>
      </c>
      <c r="O322" s="1055">
        <v>27.7</v>
      </c>
      <c r="P322" s="1055">
        <v>7727.5</v>
      </c>
      <c r="Q322" s="1055">
        <v>0.30499999999999999</v>
      </c>
      <c r="R322" s="1055">
        <v>23.195</v>
      </c>
      <c r="S322" s="763" t="s">
        <v>50</v>
      </c>
      <c r="T322" s="763" t="s">
        <v>50</v>
      </c>
      <c r="U322" s="763" t="s">
        <v>50</v>
      </c>
      <c r="V322" s="1056" t="s">
        <v>9349</v>
      </c>
      <c r="W322" s="763" t="s">
        <v>32</v>
      </c>
    </row>
    <row r="323" spans="1:23" x14ac:dyDescent="0.25">
      <c r="A323" s="982" t="s">
        <v>9871</v>
      </c>
      <c r="B323" s="982" t="s">
        <v>9279</v>
      </c>
      <c r="C323" s="982" t="s">
        <v>78</v>
      </c>
      <c r="D323" s="989">
        <v>38.05941</v>
      </c>
      <c r="E323" s="989">
        <v>-121.86959</v>
      </c>
      <c r="F323" s="982" t="s">
        <v>9872</v>
      </c>
      <c r="G323" s="982" t="s">
        <v>27</v>
      </c>
      <c r="H323" s="982" t="s">
        <v>101</v>
      </c>
      <c r="I323" s="982" t="s">
        <v>9496</v>
      </c>
      <c r="J323" s="982" t="s">
        <v>28</v>
      </c>
      <c r="K323" s="982" t="s">
        <v>29</v>
      </c>
      <c r="L323" s="982" t="s">
        <v>30</v>
      </c>
      <c r="M323" s="982">
        <v>2</v>
      </c>
      <c r="N323" s="985">
        <v>10</v>
      </c>
      <c r="O323" s="987">
        <v>65.150000000000006</v>
      </c>
      <c r="P323" s="987">
        <v>12924</v>
      </c>
      <c r="Q323" s="987">
        <v>0.38</v>
      </c>
      <c r="R323" s="987">
        <v>36.75</v>
      </c>
      <c r="S323" s="982" t="s">
        <v>50</v>
      </c>
      <c r="T323" s="982" t="s">
        <v>50</v>
      </c>
      <c r="U323" s="982" t="s">
        <v>50</v>
      </c>
      <c r="V323" s="983" t="s">
        <v>9349</v>
      </c>
      <c r="W323" s="949" t="s">
        <v>32</v>
      </c>
    </row>
    <row r="324" spans="1:23" x14ac:dyDescent="0.25">
      <c r="A324" s="982" t="s">
        <v>9871</v>
      </c>
      <c r="B324" s="982" t="s">
        <v>9279</v>
      </c>
      <c r="C324" s="982" t="s">
        <v>78</v>
      </c>
      <c r="D324" s="989">
        <v>38.042310000000001</v>
      </c>
      <c r="E324" s="989">
        <v>-121.89575000000001</v>
      </c>
      <c r="F324" s="982" t="s">
        <v>9873</v>
      </c>
      <c r="G324" s="982" t="s">
        <v>27</v>
      </c>
      <c r="H324" s="982" t="s">
        <v>101</v>
      </c>
      <c r="I324" s="982" t="s">
        <v>9564</v>
      </c>
      <c r="J324" s="982" t="s">
        <v>28</v>
      </c>
      <c r="K324" s="982" t="s">
        <v>29</v>
      </c>
      <c r="L324" s="982" t="s">
        <v>30</v>
      </c>
      <c r="M324" s="982">
        <v>2</v>
      </c>
      <c r="N324" s="985">
        <v>10</v>
      </c>
      <c r="O324" s="987">
        <v>21</v>
      </c>
      <c r="P324" s="987">
        <v>14292.5</v>
      </c>
      <c r="Q324" s="987">
        <v>0.44</v>
      </c>
      <c r="R324" s="987">
        <v>30.3</v>
      </c>
      <c r="S324" s="982" t="s">
        <v>50</v>
      </c>
      <c r="T324" s="982" t="s">
        <v>50</v>
      </c>
      <c r="U324" s="982" t="s">
        <v>50</v>
      </c>
      <c r="V324" s="983" t="s">
        <v>9349</v>
      </c>
      <c r="W324" s="949" t="s">
        <v>32</v>
      </c>
    </row>
    <row r="325" spans="1:23" x14ac:dyDescent="0.25">
      <c r="A325" s="982" t="s">
        <v>9871</v>
      </c>
      <c r="B325" s="982" t="s">
        <v>9279</v>
      </c>
      <c r="C325" s="982" t="s">
        <v>78</v>
      </c>
      <c r="D325" s="989">
        <v>38.049059999999997</v>
      </c>
      <c r="E325" s="989">
        <v>-121.94275</v>
      </c>
      <c r="F325" s="982" t="s">
        <v>9874</v>
      </c>
      <c r="G325" s="982" t="s">
        <v>27</v>
      </c>
      <c r="H325" s="982" t="s">
        <v>9500</v>
      </c>
      <c r="I325" s="982" t="s">
        <v>9875</v>
      </c>
      <c r="J325" s="982" t="s">
        <v>28</v>
      </c>
      <c r="K325" s="982" t="s">
        <v>29</v>
      </c>
      <c r="L325" s="982" t="s">
        <v>30</v>
      </c>
      <c r="M325" s="982">
        <v>2</v>
      </c>
      <c r="N325" s="985">
        <v>10</v>
      </c>
      <c r="O325" s="987">
        <v>53.85</v>
      </c>
      <c r="P325" s="987">
        <v>13821.5</v>
      </c>
      <c r="Q325" s="987">
        <v>0.37</v>
      </c>
      <c r="R325" s="987">
        <v>32.299999999999997</v>
      </c>
      <c r="S325" s="982" t="s">
        <v>50</v>
      </c>
      <c r="T325" s="982" t="s">
        <v>50</v>
      </c>
      <c r="U325" s="982" t="s">
        <v>50</v>
      </c>
      <c r="V325" s="983" t="s">
        <v>9349</v>
      </c>
      <c r="W325" s="949" t="s">
        <v>32</v>
      </c>
    </row>
    <row r="326" spans="1:23" x14ac:dyDescent="0.25">
      <c r="A326" s="982" t="s">
        <v>9871</v>
      </c>
      <c r="B326" s="982" t="s">
        <v>9279</v>
      </c>
      <c r="C326" s="982" t="s">
        <v>78</v>
      </c>
      <c r="D326" s="989">
        <v>38.073689999999999</v>
      </c>
      <c r="E326" s="989">
        <v>-122.07719</v>
      </c>
      <c r="F326" s="982" t="s">
        <v>9876</v>
      </c>
      <c r="G326" s="982" t="s">
        <v>80</v>
      </c>
      <c r="H326" s="982" t="s">
        <v>9390</v>
      </c>
      <c r="I326" s="982" t="s">
        <v>9809</v>
      </c>
      <c r="J326" s="982" t="s">
        <v>28</v>
      </c>
      <c r="K326" s="982" t="s">
        <v>29</v>
      </c>
      <c r="L326" s="982" t="s">
        <v>30</v>
      </c>
      <c r="M326" s="982">
        <v>2</v>
      </c>
      <c r="N326" s="985">
        <v>10</v>
      </c>
      <c r="O326" s="987">
        <v>13.75</v>
      </c>
      <c r="P326" s="987">
        <v>24933</v>
      </c>
      <c r="Q326" s="987">
        <v>0.48</v>
      </c>
      <c r="R326" s="987">
        <v>26.7</v>
      </c>
      <c r="S326" s="982" t="s">
        <v>50</v>
      </c>
      <c r="T326" s="982" t="s">
        <v>50</v>
      </c>
      <c r="U326" s="982" t="s">
        <v>50</v>
      </c>
      <c r="V326" s="983"/>
      <c r="W326" s="750" t="s">
        <v>32</v>
      </c>
    </row>
    <row r="327" spans="1:23" x14ac:dyDescent="0.25">
      <c r="A327" s="982" t="s">
        <v>9871</v>
      </c>
      <c r="B327" s="982" t="s">
        <v>9279</v>
      </c>
      <c r="C327" s="982" t="s">
        <v>78</v>
      </c>
      <c r="D327" s="989">
        <v>38.067149999999998</v>
      </c>
      <c r="E327" s="989">
        <v>-121.10859000000001</v>
      </c>
      <c r="F327" s="982" t="s">
        <v>9877</v>
      </c>
      <c r="G327" s="982" t="s">
        <v>80</v>
      </c>
      <c r="H327" s="982" t="s">
        <v>9390</v>
      </c>
      <c r="I327" s="982" t="s">
        <v>9378</v>
      </c>
      <c r="J327" s="982" t="s">
        <v>28</v>
      </c>
      <c r="K327" s="982" t="s">
        <v>29</v>
      </c>
      <c r="L327" s="982" t="s">
        <v>30</v>
      </c>
      <c r="M327" s="982">
        <v>2</v>
      </c>
      <c r="N327" s="985">
        <v>10</v>
      </c>
      <c r="O327" s="987">
        <v>13.9</v>
      </c>
      <c r="P327" s="987">
        <v>24834</v>
      </c>
      <c r="Q327" s="987">
        <v>0.52500000000000002</v>
      </c>
      <c r="R327" s="987">
        <v>57</v>
      </c>
      <c r="S327" s="982" t="s">
        <v>50</v>
      </c>
      <c r="T327" s="982" t="s">
        <v>50</v>
      </c>
      <c r="U327" s="982" t="s">
        <v>50</v>
      </c>
      <c r="V327" s="983" t="s">
        <v>9878</v>
      </c>
      <c r="W327" s="750" t="s">
        <v>32</v>
      </c>
    </row>
    <row r="328" spans="1:23" x14ac:dyDescent="0.25">
      <c r="A328" s="982" t="s">
        <v>9879</v>
      </c>
      <c r="B328" s="982" t="s">
        <v>9296</v>
      </c>
      <c r="C328" s="982" t="s">
        <v>95</v>
      </c>
      <c r="D328" s="989">
        <v>38.034230000000001</v>
      </c>
      <c r="E328" s="989">
        <v>-121.73220000000001</v>
      </c>
      <c r="F328" s="982" t="s">
        <v>9880</v>
      </c>
      <c r="G328" s="982" t="s">
        <v>27</v>
      </c>
      <c r="H328" s="982" t="s">
        <v>9460</v>
      </c>
      <c r="I328" s="982" t="s">
        <v>9881</v>
      </c>
      <c r="J328" s="982" t="s">
        <v>28</v>
      </c>
      <c r="K328" s="982" t="s">
        <v>29</v>
      </c>
      <c r="L328" s="982" t="s">
        <v>30</v>
      </c>
      <c r="M328" s="982">
        <v>2</v>
      </c>
      <c r="N328" s="985">
        <v>10</v>
      </c>
      <c r="O328" s="987">
        <v>29.3</v>
      </c>
      <c r="P328" s="987">
        <v>3014</v>
      </c>
      <c r="Q328" s="987">
        <v>0.61499999999999999</v>
      </c>
      <c r="R328" s="987">
        <v>17.75</v>
      </c>
      <c r="S328" s="982" t="s">
        <v>50</v>
      </c>
      <c r="T328" s="982" t="s">
        <v>50</v>
      </c>
      <c r="U328" s="982" t="s">
        <v>50</v>
      </c>
      <c r="V328" s="983" t="s">
        <v>9349</v>
      </c>
      <c r="W328" s="750" t="s">
        <v>32</v>
      </c>
    </row>
    <row r="329" spans="1:23" x14ac:dyDescent="0.25">
      <c r="A329" s="982" t="s">
        <v>9879</v>
      </c>
      <c r="B329" s="982" t="s">
        <v>9296</v>
      </c>
      <c r="C329" s="982" t="s">
        <v>95</v>
      </c>
      <c r="D329" s="989">
        <v>38.016440000000003</v>
      </c>
      <c r="E329" s="989">
        <v>-121.77876000000001</v>
      </c>
      <c r="F329" s="982" t="s">
        <v>9882</v>
      </c>
      <c r="G329" s="982" t="s">
        <v>27</v>
      </c>
      <c r="H329" s="982" t="s">
        <v>9460</v>
      </c>
      <c r="I329" s="982" t="s">
        <v>9883</v>
      </c>
      <c r="J329" s="982" t="s">
        <v>28</v>
      </c>
      <c r="K329" s="982" t="s">
        <v>29</v>
      </c>
      <c r="L329" s="982" t="s">
        <v>30</v>
      </c>
      <c r="M329" s="982">
        <v>2</v>
      </c>
      <c r="N329" s="985">
        <v>10</v>
      </c>
      <c r="O329" s="987">
        <v>36.450000000000003</v>
      </c>
      <c r="P329" s="987">
        <v>3944.5</v>
      </c>
      <c r="Q329" s="987">
        <v>0.79</v>
      </c>
      <c r="R329" s="987">
        <v>12.8</v>
      </c>
      <c r="S329" s="982" t="s">
        <v>50</v>
      </c>
      <c r="T329" s="982" t="s">
        <v>50</v>
      </c>
      <c r="U329" s="982" t="s">
        <v>50</v>
      </c>
      <c r="V329" s="983" t="s">
        <v>9349</v>
      </c>
      <c r="W329" s="750" t="s">
        <v>32</v>
      </c>
    </row>
    <row r="330" spans="1:23" s="854" customFormat="1" x14ac:dyDescent="0.25">
      <c r="A330" s="990" t="s">
        <v>9879</v>
      </c>
      <c r="B330" s="990" t="s">
        <v>9296</v>
      </c>
      <c r="C330" s="990" t="s">
        <v>95</v>
      </c>
      <c r="D330" s="991">
        <v>38.097580000000001</v>
      </c>
      <c r="E330" s="991">
        <v>-121.66186999999999</v>
      </c>
      <c r="F330" s="990" t="s">
        <v>9884</v>
      </c>
      <c r="G330" s="990" t="s">
        <v>46</v>
      </c>
      <c r="H330" s="990" t="s">
        <v>9445</v>
      </c>
      <c r="I330" s="990" t="s">
        <v>9597</v>
      </c>
      <c r="J330" s="990" t="s">
        <v>28</v>
      </c>
      <c r="K330" s="990" t="s">
        <v>29</v>
      </c>
      <c r="L330" s="990" t="s">
        <v>30</v>
      </c>
      <c r="M330" s="990">
        <v>2</v>
      </c>
      <c r="N330" s="992">
        <v>10</v>
      </c>
      <c r="O330" s="993">
        <v>39.25</v>
      </c>
      <c r="P330" s="993">
        <v>919.5</v>
      </c>
      <c r="Q330" s="993">
        <v>0.92</v>
      </c>
      <c r="R330" s="993">
        <v>12.15</v>
      </c>
      <c r="S330" s="990" t="s">
        <v>50</v>
      </c>
      <c r="T330" s="990" t="s">
        <v>50</v>
      </c>
      <c r="U330" s="990" t="s">
        <v>50</v>
      </c>
      <c r="V330" s="1060" t="s">
        <v>9885</v>
      </c>
      <c r="W330" s="763" t="s">
        <v>32</v>
      </c>
    </row>
    <row r="331" spans="1:23" x14ac:dyDescent="0.25">
      <c r="A331" s="443">
        <v>44357</v>
      </c>
      <c r="B331" s="51" t="s">
        <v>9313</v>
      </c>
      <c r="C331" s="1061" t="s">
        <v>106</v>
      </c>
      <c r="D331" s="1062">
        <v>38.473869999999998</v>
      </c>
      <c r="E331" s="1062">
        <v>-121.58309</v>
      </c>
      <c r="F331" s="1061" t="s">
        <v>9886</v>
      </c>
      <c r="G331" s="1061" t="s">
        <v>90</v>
      </c>
      <c r="H331" s="1061" t="s">
        <v>108</v>
      </c>
      <c r="I331" s="66">
        <v>0.49652777777777773</v>
      </c>
      <c r="J331" s="1061" t="s">
        <v>28</v>
      </c>
      <c r="K331" s="1061" t="s">
        <v>29</v>
      </c>
      <c r="L331" s="1061" t="s">
        <v>30</v>
      </c>
      <c r="M331" s="1061">
        <v>2</v>
      </c>
      <c r="N331" s="1063">
        <v>10</v>
      </c>
      <c r="O331" s="428">
        <v>30.4</v>
      </c>
      <c r="P331" s="428">
        <v>929.5</v>
      </c>
      <c r="Q331" s="428" t="s">
        <v>50</v>
      </c>
      <c r="R331" s="428">
        <v>28.85</v>
      </c>
      <c r="S331" s="1061" t="s">
        <v>50</v>
      </c>
      <c r="T331" s="1061" t="s">
        <v>50</v>
      </c>
      <c r="U331" s="1061" t="s">
        <v>50</v>
      </c>
      <c r="V331" s="52" t="s">
        <v>9891</v>
      </c>
      <c r="W331" s="750" t="s">
        <v>32</v>
      </c>
    </row>
    <row r="332" spans="1:23" x14ac:dyDescent="0.25">
      <c r="A332" s="443">
        <v>44357</v>
      </c>
      <c r="B332" s="1061" t="s">
        <v>9313</v>
      </c>
      <c r="C332" s="1061" t="s">
        <v>106</v>
      </c>
      <c r="D332" s="1062">
        <v>38.216090000000001</v>
      </c>
      <c r="E332" s="1062">
        <v>-121.68640000000001</v>
      </c>
      <c r="F332" s="1061" t="s">
        <v>9888</v>
      </c>
      <c r="G332" s="1061" t="s">
        <v>90</v>
      </c>
      <c r="H332" s="1061" t="s">
        <v>108</v>
      </c>
      <c r="I332" s="66">
        <v>0.54375000000000007</v>
      </c>
      <c r="J332" s="1061" t="s">
        <v>28</v>
      </c>
      <c r="K332" s="1061" t="s">
        <v>29</v>
      </c>
      <c r="L332" s="1061" t="s">
        <v>30</v>
      </c>
      <c r="M332" s="1061">
        <v>2</v>
      </c>
      <c r="N332" s="1063">
        <v>10</v>
      </c>
      <c r="O332" s="1064">
        <v>52.65</v>
      </c>
      <c r="P332" s="428">
        <v>188.3</v>
      </c>
      <c r="Q332" s="428" t="s">
        <v>50</v>
      </c>
      <c r="R332" s="1064">
        <v>15.55</v>
      </c>
      <c r="S332" s="1061" t="s">
        <v>50</v>
      </c>
      <c r="T332" s="1061" t="s">
        <v>50</v>
      </c>
      <c r="U332" s="1061" t="s">
        <v>50</v>
      </c>
      <c r="V332" s="52" t="s">
        <v>9891</v>
      </c>
      <c r="W332" s="750" t="s">
        <v>32</v>
      </c>
    </row>
    <row r="333" spans="1:23" x14ac:dyDescent="0.25">
      <c r="A333" s="443">
        <v>44357</v>
      </c>
      <c r="B333" s="1061" t="s">
        <v>9313</v>
      </c>
      <c r="C333" s="1061" t="s">
        <v>106</v>
      </c>
      <c r="D333" s="1062">
        <v>38.443060000000003</v>
      </c>
      <c r="E333" s="1062">
        <v>-121.59667</v>
      </c>
      <c r="F333" s="1061" t="s">
        <v>9889</v>
      </c>
      <c r="G333" s="1061" t="s">
        <v>90</v>
      </c>
      <c r="H333" s="1061" t="s">
        <v>108</v>
      </c>
      <c r="I333" s="66">
        <v>0.3923611111111111</v>
      </c>
      <c r="J333" s="1061" t="s">
        <v>28</v>
      </c>
      <c r="K333" s="1061" t="s">
        <v>29</v>
      </c>
      <c r="L333" s="1061" t="s">
        <v>30</v>
      </c>
      <c r="M333" s="1061">
        <v>2</v>
      </c>
      <c r="N333" s="1063">
        <v>10</v>
      </c>
      <c r="O333" s="1064">
        <v>33.4</v>
      </c>
      <c r="P333" s="428">
        <v>777.5</v>
      </c>
      <c r="Q333" s="428" t="s">
        <v>50</v>
      </c>
      <c r="R333" s="1064">
        <v>53.3</v>
      </c>
      <c r="S333" s="1061" t="s">
        <v>50</v>
      </c>
      <c r="T333" s="1061" t="s">
        <v>50</v>
      </c>
      <c r="U333" s="1061" t="s">
        <v>50</v>
      </c>
      <c r="V333" s="52" t="s">
        <v>9891</v>
      </c>
      <c r="W333" s="750" t="s">
        <v>32</v>
      </c>
    </row>
    <row r="334" spans="1:23" x14ac:dyDescent="0.25">
      <c r="A334" s="443">
        <v>44357</v>
      </c>
      <c r="B334" s="1061" t="s">
        <v>9313</v>
      </c>
      <c r="C334" s="1061" t="s">
        <v>106</v>
      </c>
      <c r="D334" s="1062">
        <v>38.536879999999996</v>
      </c>
      <c r="E334" s="1062">
        <v>-121.58325000000001</v>
      </c>
      <c r="F334" s="1061" t="s">
        <v>9890</v>
      </c>
      <c r="G334" s="1061" t="s">
        <v>90</v>
      </c>
      <c r="H334" s="1061" t="s">
        <v>158</v>
      </c>
      <c r="I334" s="66">
        <v>0.43194444444444446</v>
      </c>
      <c r="J334" s="1061" t="s">
        <v>28</v>
      </c>
      <c r="K334" s="1061" t="s">
        <v>29</v>
      </c>
      <c r="L334" s="1061" t="s">
        <v>30</v>
      </c>
      <c r="M334" s="1061">
        <v>2</v>
      </c>
      <c r="N334" s="51"/>
      <c r="O334" s="1064">
        <v>33.049999999999997</v>
      </c>
      <c r="P334" s="428">
        <v>1095</v>
      </c>
      <c r="Q334" s="428" t="s">
        <v>50</v>
      </c>
      <c r="R334" s="1064">
        <v>25.8</v>
      </c>
      <c r="S334" s="1061" t="s">
        <v>50</v>
      </c>
      <c r="T334" s="1061" t="s">
        <v>50</v>
      </c>
      <c r="U334" s="1061" t="s">
        <v>50</v>
      </c>
      <c r="V334" s="52" t="s">
        <v>9892</v>
      </c>
      <c r="W334" s="750" t="s">
        <v>32</v>
      </c>
    </row>
    <row r="335" spans="1:23" x14ac:dyDescent="0.25">
      <c r="A335" s="443">
        <v>44357</v>
      </c>
      <c r="B335" s="1061" t="s">
        <v>9313</v>
      </c>
      <c r="C335" s="1061" t="s">
        <v>106</v>
      </c>
      <c r="D335" s="1062">
        <v>38.562809999999999</v>
      </c>
      <c r="E335" s="1062">
        <v>-121.54940000000001</v>
      </c>
      <c r="F335" s="1061" t="s">
        <v>9887</v>
      </c>
      <c r="G335" s="1061" t="s">
        <v>90</v>
      </c>
      <c r="H335" s="1061" t="s">
        <v>158</v>
      </c>
      <c r="I335" s="66">
        <v>0.46388888888888885</v>
      </c>
      <c r="J335" s="1061" t="s">
        <v>28</v>
      </c>
      <c r="K335" s="1061" t="s">
        <v>29</v>
      </c>
      <c r="L335" s="1061" t="s">
        <v>30</v>
      </c>
      <c r="M335" s="1061">
        <v>2</v>
      </c>
      <c r="N335" s="1063">
        <v>10</v>
      </c>
      <c r="O335" s="428">
        <v>34.9</v>
      </c>
      <c r="P335" s="428">
        <v>1268.5</v>
      </c>
      <c r="Q335" s="1065" t="s">
        <v>50</v>
      </c>
      <c r="R335" s="428">
        <v>7.46</v>
      </c>
      <c r="S335" s="1061" t="s">
        <v>50</v>
      </c>
      <c r="T335" s="1061" t="s">
        <v>50</v>
      </c>
      <c r="U335" s="1061" t="s">
        <v>50</v>
      </c>
      <c r="V335" s="52" t="s">
        <v>9893</v>
      </c>
      <c r="W335" s="750" t="s">
        <v>32</v>
      </c>
    </row>
    <row r="336" spans="1:23" x14ac:dyDescent="0.25">
      <c r="A336" s="982" t="s">
        <v>9894</v>
      </c>
      <c r="B336" s="982" t="s">
        <v>940</v>
      </c>
      <c r="C336" s="982" t="s">
        <v>88</v>
      </c>
      <c r="D336" s="982">
        <v>38.060270000000003</v>
      </c>
      <c r="E336" s="982">
        <v>-121.80032</v>
      </c>
      <c r="F336" s="982" t="s">
        <v>9895</v>
      </c>
      <c r="G336" s="982" t="s">
        <v>27</v>
      </c>
      <c r="H336" s="982" t="s">
        <v>9364</v>
      </c>
      <c r="I336" s="982" t="s">
        <v>9561</v>
      </c>
      <c r="J336" s="982" t="s">
        <v>28</v>
      </c>
      <c r="K336" s="982" t="s">
        <v>29</v>
      </c>
      <c r="L336" s="949" t="s">
        <v>30</v>
      </c>
      <c r="M336" s="982">
        <v>2</v>
      </c>
      <c r="N336" s="982" t="s">
        <v>9896</v>
      </c>
      <c r="O336" s="987">
        <v>38.35</v>
      </c>
      <c r="P336" s="987">
        <v>8523</v>
      </c>
      <c r="Q336" s="987">
        <v>0.71</v>
      </c>
      <c r="R336" s="987">
        <v>15.7</v>
      </c>
      <c r="S336" s="982" t="s">
        <v>50</v>
      </c>
      <c r="T336" s="982" t="s">
        <v>50</v>
      </c>
      <c r="U336" s="982" t="s">
        <v>50</v>
      </c>
      <c r="V336" s="983" t="s">
        <v>9349</v>
      </c>
      <c r="W336" s="750" t="s">
        <v>32</v>
      </c>
    </row>
    <row r="337" spans="1:23" x14ac:dyDescent="0.25">
      <c r="A337" s="982" t="s">
        <v>9894</v>
      </c>
      <c r="B337" s="982" t="s">
        <v>940</v>
      </c>
      <c r="C337" s="982" t="s">
        <v>88</v>
      </c>
      <c r="D337" s="982">
        <v>38.069339999999997</v>
      </c>
      <c r="E337" s="982">
        <v>121.76755</v>
      </c>
      <c r="F337" s="982" t="s">
        <v>9897</v>
      </c>
      <c r="G337" s="982" t="s">
        <v>27</v>
      </c>
      <c r="H337" s="982" t="s">
        <v>9364</v>
      </c>
      <c r="I337" s="982" t="s">
        <v>9617</v>
      </c>
      <c r="J337" s="982" t="s">
        <v>28</v>
      </c>
      <c r="K337" s="982" t="s">
        <v>29</v>
      </c>
      <c r="L337" s="1061" t="s">
        <v>30</v>
      </c>
      <c r="M337" s="982">
        <v>2</v>
      </c>
      <c r="N337" s="982" t="s">
        <v>9896</v>
      </c>
      <c r="O337" s="987">
        <v>22.55</v>
      </c>
      <c r="P337" s="987">
        <v>17577</v>
      </c>
      <c r="Q337" s="987">
        <v>0.53500000000000003</v>
      </c>
      <c r="R337" s="987">
        <v>44.133333333333297</v>
      </c>
      <c r="S337" s="982" t="s">
        <v>50</v>
      </c>
      <c r="T337" s="982" t="s">
        <v>50</v>
      </c>
      <c r="U337" s="982" t="s">
        <v>50</v>
      </c>
      <c r="V337" s="983"/>
      <c r="W337" s="750" t="s">
        <v>32</v>
      </c>
    </row>
    <row r="338" spans="1:23" x14ac:dyDescent="0.25">
      <c r="A338" s="982" t="s">
        <v>9894</v>
      </c>
      <c r="B338" s="982" t="s">
        <v>940</v>
      </c>
      <c r="C338" s="982" t="s">
        <v>88</v>
      </c>
      <c r="D338" s="982">
        <v>38.061819999999997</v>
      </c>
      <c r="E338" s="982">
        <v>-121.78561999999999</v>
      </c>
      <c r="F338" s="982" t="s">
        <v>9898</v>
      </c>
      <c r="G338" s="982" t="s">
        <v>27</v>
      </c>
      <c r="H338" s="982" t="s">
        <v>9364</v>
      </c>
      <c r="I338" s="982" t="s">
        <v>9371</v>
      </c>
      <c r="J338" s="982" t="s">
        <v>28</v>
      </c>
      <c r="K338" s="982" t="s">
        <v>29</v>
      </c>
      <c r="L338" s="949" t="s">
        <v>30</v>
      </c>
      <c r="M338" s="982">
        <v>2</v>
      </c>
      <c r="N338" s="982" t="s">
        <v>9896</v>
      </c>
      <c r="O338" s="987">
        <v>27.7</v>
      </c>
      <c r="P338" s="987">
        <v>7242</v>
      </c>
      <c r="Q338" s="987">
        <v>0.47499999999999998</v>
      </c>
      <c r="R338" s="987">
        <v>18.05</v>
      </c>
      <c r="S338" s="982" t="s">
        <v>50</v>
      </c>
      <c r="T338" s="982" t="s">
        <v>50</v>
      </c>
      <c r="U338" s="982" t="s">
        <v>50</v>
      </c>
      <c r="V338" s="983" t="s">
        <v>9349</v>
      </c>
      <c r="W338" s="750" t="s">
        <v>32</v>
      </c>
    </row>
    <row r="339" spans="1:23" x14ac:dyDescent="0.25">
      <c r="A339" s="982" t="s">
        <v>9894</v>
      </c>
      <c r="B339" s="982" t="s">
        <v>940</v>
      </c>
      <c r="C339" s="982" t="s">
        <v>88</v>
      </c>
      <c r="D339" s="982">
        <v>38.152850000000001</v>
      </c>
      <c r="E339" s="982">
        <v>-121.68885</v>
      </c>
      <c r="F339" s="982" t="s">
        <v>9899</v>
      </c>
      <c r="G339" s="982" t="s">
        <v>90</v>
      </c>
      <c r="H339" s="982" t="s">
        <v>9368</v>
      </c>
      <c r="I339" s="982" t="s">
        <v>9827</v>
      </c>
      <c r="J339" s="982" t="s">
        <v>28</v>
      </c>
      <c r="K339" s="982" t="s">
        <v>29</v>
      </c>
      <c r="L339" s="1061" t="s">
        <v>30</v>
      </c>
      <c r="M339" s="982">
        <v>2</v>
      </c>
      <c r="N339" s="982" t="s">
        <v>9896</v>
      </c>
      <c r="O339" s="987">
        <v>30.2</v>
      </c>
      <c r="P339" s="987">
        <v>199.7</v>
      </c>
      <c r="Q339" s="987">
        <v>0.99</v>
      </c>
      <c r="R339" s="987">
        <v>12.85</v>
      </c>
      <c r="S339" s="982" t="s">
        <v>50</v>
      </c>
      <c r="T339" s="982" t="s">
        <v>50</v>
      </c>
      <c r="U339" s="982" t="s">
        <v>50</v>
      </c>
      <c r="V339" s="983"/>
      <c r="W339" s="750" t="s">
        <v>32</v>
      </c>
    </row>
    <row r="340" spans="1:23" s="854" customFormat="1" x14ac:dyDescent="0.25">
      <c r="A340" s="990" t="s">
        <v>9894</v>
      </c>
      <c r="B340" s="990" t="s">
        <v>940</v>
      </c>
      <c r="C340" s="990" t="s">
        <v>88</v>
      </c>
      <c r="D340" s="990">
        <v>38.083129999999997</v>
      </c>
      <c r="E340" s="990">
        <v>-121.71311</v>
      </c>
      <c r="F340" s="990" t="s">
        <v>9900</v>
      </c>
      <c r="G340" s="990" t="s">
        <v>90</v>
      </c>
      <c r="H340" s="990" t="s">
        <v>9368</v>
      </c>
      <c r="I340" s="990" t="s">
        <v>9567</v>
      </c>
      <c r="J340" s="990" t="s">
        <v>28</v>
      </c>
      <c r="K340" s="990" t="s">
        <v>29</v>
      </c>
      <c r="L340" s="1035" t="s">
        <v>30</v>
      </c>
      <c r="M340" s="990">
        <v>2</v>
      </c>
      <c r="N340" s="990" t="s">
        <v>9896</v>
      </c>
      <c r="O340" s="993">
        <v>49.9</v>
      </c>
      <c r="P340" s="993">
        <v>2612.5</v>
      </c>
      <c r="Q340" s="993">
        <v>0.70499999999999996</v>
      </c>
      <c r="R340" s="993">
        <v>23.45</v>
      </c>
      <c r="S340" s="990" t="s">
        <v>50</v>
      </c>
      <c r="T340" s="990" t="s">
        <v>50</v>
      </c>
      <c r="U340" s="990" t="s">
        <v>50</v>
      </c>
      <c r="V340" s="994" t="s">
        <v>9901</v>
      </c>
      <c r="W340" s="763" t="s">
        <v>32</v>
      </c>
    </row>
    <row r="341" spans="1:23" x14ac:dyDescent="0.25">
      <c r="A341" s="949" t="s">
        <v>9902</v>
      </c>
      <c r="B341" s="949" t="s">
        <v>24</v>
      </c>
      <c r="C341" s="949" t="s">
        <v>845</v>
      </c>
      <c r="D341" s="950">
        <v>38.258270000000003</v>
      </c>
      <c r="E341" s="950">
        <v>-121.73777</v>
      </c>
      <c r="F341" s="949" t="s">
        <v>9907</v>
      </c>
      <c r="G341" s="949" t="s">
        <v>90</v>
      </c>
      <c r="H341" s="949" t="s">
        <v>9394</v>
      </c>
      <c r="I341" s="949" t="s">
        <v>9908</v>
      </c>
      <c r="J341" s="949" t="s">
        <v>28</v>
      </c>
      <c r="K341" s="949" t="s">
        <v>29</v>
      </c>
      <c r="L341" s="1061" t="s">
        <v>30</v>
      </c>
      <c r="M341" s="949">
        <v>2</v>
      </c>
      <c r="N341" s="949" t="s">
        <v>9896</v>
      </c>
      <c r="O341" s="955">
        <v>21.45</v>
      </c>
      <c r="P341" s="955">
        <v>202.65</v>
      </c>
      <c r="Q341" s="955">
        <v>0.66</v>
      </c>
      <c r="R341" s="955">
        <v>10.545</v>
      </c>
      <c r="S341" s="949" t="s">
        <v>50</v>
      </c>
      <c r="T341" s="949" t="s">
        <v>50</v>
      </c>
      <c r="U341" s="949" t="s">
        <v>50</v>
      </c>
      <c r="V341" s="970" t="s">
        <v>9349</v>
      </c>
      <c r="W341" s="750" t="s">
        <v>32</v>
      </c>
    </row>
    <row r="342" spans="1:23" x14ac:dyDescent="0.25">
      <c r="A342" s="949" t="s">
        <v>9902</v>
      </c>
      <c r="B342" s="949" t="s">
        <v>24</v>
      </c>
      <c r="C342" s="949" t="s">
        <v>845</v>
      </c>
      <c r="D342" s="950">
        <v>38.285620000000002</v>
      </c>
      <c r="E342" s="950">
        <v>-121.71975999999999</v>
      </c>
      <c r="F342" s="949" t="s">
        <v>9909</v>
      </c>
      <c r="G342" s="949" t="s">
        <v>90</v>
      </c>
      <c r="H342" s="949" t="s">
        <v>9394</v>
      </c>
      <c r="I342" s="949" t="s">
        <v>9410</v>
      </c>
      <c r="J342" s="949" t="s">
        <v>28</v>
      </c>
      <c r="K342" s="949" t="s">
        <v>29</v>
      </c>
      <c r="L342" s="949" t="s">
        <v>30</v>
      </c>
      <c r="M342" s="949">
        <v>3</v>
      </c>
      <c r="N342" s="949" t="s">
        <v>350</v>
      </c>
      <c r="O342" s="955">
        <v>9.3000000000000007</v>
      </c>
      <c r="P342" s="955">
        <v>195.3</v>
      </c>
      <c r="Q342" s="955">
        <v>1.8</v>
      </c>
      <c r="R342" s="955">
        <v>2.8466666666666698</v>
      </c>
      <c r="S342" s="949" t="s">
        <v>50</v>
      </c>
      <c r="T342" s="949" t="s">
        <v>50</v>
      </c>
      <c r="U342" s="949" t="s">
        <v>50</v>
      </c>
      <c r="V342" s="970" t="s">
        <v>9920</v>
      </c>
      <c r="W342" s="750" t="s">
        <v>32</v>
      </c>
    </row>
    <row r="343" spans="1:23" x14ac:dyDescent="0.25">
      <c r="A343" s="949" t="s">
        <v>9902</v>
      </c>
      <c r="B343" s="949" t="s">
        <v>24</v>
      </c>
      <c r="C343" s="949" t="s">
        <v>845</v>
      </c>
      <c r="D343" s="950">
        <v>38.300280000000001</v>
      </c>
      <c r="E343" s="950">
        <v>-121.69173000000001</v>
      </c>
      <c r="F343" s="949" t="s">
        <v>9910</v>
      </c>
      <c r="G343" s="949" t="s">
        <v>90</v>
      </c>
      <c r="H343" s="949" t="s">
        <v>9394</v>
      </c>
      <c r="I343" s="949" t="s">
        <v>9911</v>
      </c>
      <c r="J343" s="949" t="s">
        <v>28</v>
      </c>
      <c r="K343" s="949" t="s">
        <v>29</v>
      </c>
      <c r="L343" s="1061" t="s">
        <v>30</v>
      </c>
      <c r="M343" s="949">
        <v>2</v>
      </c>
      <c r="N343" s="949" t="s">
        <v>9896</v>
      </c>
      <c r="O343" s="955">
        <v>21</v>
      </c>
      <c r="P343" s="955">
        <v>230.15</v>
      </c>
      <c r="Q343" s="955">
        <v>0.97499999999999998</v>
      </c>
      <c r="R343" s="955">
        <v>7.2850000000000001</v>
      </c>
      <c r="S343" s="949" t="s">
        <v>50</v>
      </c>
      <c r="T343" s="949" t="s">
        <v>50</v>
      </c>
      <c r="U343" s="949" t="s">
        <v>50</v>
      </c>
      <c r="V343" s="970" t="s">
        <v>9349</v>
      </c>
      <c r="W343" s="750" t="s">
        <v>32</v>
      </c>
    </row>
    <row r="344" spans="1:23" x14ac:dyDescent="0.25">
      <c r="A344" s="961" t="s">
        <v>9902</v>
      </c>
      <c r="B344" s="961" t="s">
        <v>24</v>
      </c>
      <c r="C344" s="961" t="s">
        <v>845</v>
      </c>
      <c r="D344" s="871">
        <v>38.255290000000002</v>
      </c>
      <c r="E344" s="871">
        <v>-121.69416</v>
      </c>
      <c r="F344" s="961" t="s">
        <v>9903</v>
      </c>
      <c r="G344" s="961" t="s">
        <v>90</v>
      </c>
      <c r="H344" s="961" t="s">
        <v>9394</v>
      </c>
      <c r="I344" s="961" t="s">
        <v>9634</v>
      </c>
      <c r="J344" s="961" t="s">
        <v>28</v>
      </c>
      <c r="K344" s="961" t="s">
        <v>29</v>
      </c>
      <c r="L344" s="961" t="s">
        <v>30</v>
      </c>
      <c r="M344" s="961">
        <v>0</v>
      </c>
      <c r="N344" s="961" t="s">
        <v>50</v>
      </c>
      <c r="O344" s="966" t="s">
        <v>50</v>
      </c>
      <c r="P344" s="966" t="s">
        <v>50</v>
      </c>
      <c r="Q344" s="966" t="s">
        <v>50</v>
      </c>
      <c r="R344" s="966" t="s">
        <v>50</v>
      </c>
      <c r="S344" s="961" t="s">
        <v>50</v>
      </c>
      <c r="T344" s="961" t="s">
        <v>50</v>
      </c>
      <c r="U344" s="961" t="s">
        <v>50</v>
      </c>
      <c r="V344" s="962" t="s">
        <v>1822</v>
      </c>
      <c r="W344" s="750" t="s">
        <v>32</v>
      </c>
    </row>
    <row r="345" spans="1:23" x14ac:dyDescent="0.25">
      <c r="A345" s="961" t="s">
        <v>9902</v>
      </c>
      <c r="B345" s="961" t="s">
        <v>24</v>
      </c>
      <c r="C345" s="961" t="s">
        <v>845</v>
      </c>
      <c r="D345" s="871">
        <v>38.278289999999998</v>
      </c>
      <c r="E345" s="871">
        <v>-121.70881</v>
      </c>
      <c r="F345" s="961" t="s">
        <v>9904</v>
      </c>
      <c r="G345" s="961" t="s">
        <v>90</v>
      </c>
      <c r="H345" s="961" t="s">
        <v>9394</v>
      </c>
      <c r="I345" s="961" t="s">
        <v>9905</v>
      </c>
      <c r="J345" s="961" t="s">
        <v>28</v>
      </c>
      <c r="K345" s="961" t="s">
        <v>29</v>
      </c>
      <c r="L345" s="961" t="s">
        <v>30</v>
      </c>
      <c r="M345" s="961">
        <v>0</v>
      </c>
      <c r="N345" s="961" t="s">
        <v>50</v>
      </c>
      <c r="O345" s="966" t="s">
        <v>50</v>
      </c>
      <c r="P345" s="966" t="s">
        <v>50</v>
      </c>
      <c r="Q345" s="966" t="s">
        <v>50</v>
      </c>
      <c r="R345" s="966" t="s">
        <v>50</v>
      </c>
      <c r="S345" s="961" t="s">
        <v>50</v>
      </c>
      <c r="T345" s="961" t="s">
        <v>50</v>
      </c>
      <c r="U345" s="961" t="s">
        <v>50</v>
      </c>
      <c r="V345" s="962" t="s">
        <v>1822</v>
      </c>
      <c r="W345" s="750" t="s">
        <v>32</v>
      </c>
    </row>
    <row r="346" spans="1:23" x14ac:dyDescent="0.25">
      <c r="A346" s="949" t="s">
        <v>9902</v>
      </c>
      <c r="B346" s="949" t="s">
        <v>24</v>
      </c>
      <c r="C346" s="949" t="s">
        <v>845</v>
      </c>
      <c r="D346" s="950">
        <v>38.240430000000003</v>
      </c>
      <c r="E346" s="950">
        <v>-121.68519000000001</v>
      </c>
      <c r="F346" s="949" t="s">
        <v>9906</v>
      </c>
      <c r="G346" s="949" t="s">
        <v>90</v>
      </c>
      <c r="H346" s="949" t="s">
        <v>9394</v>
      </c>
      <c r="I346" s="949" t="s">
        <v>9587</v>
      </c>
      <c r="J346" s="949" t="s">
        <v>28</v>
      </c>
      <c r="K346" s="949" t="s">
        <v>29</v>
      </c>
      <c r="L346" s="949" t="s">
        <v>30</v>
      </c>
      <c r="M346" s="949">
        <v>2</v>
      </c>
      <c r="N346" s="949" t="s">
        <v>9896</v>
      </c>
      <c r="O346" s="955">
        <v>34.049999999999997</v>
      </c>
      <c r="P346" s="955">
        <v>184.1</v>
      </c>
      <c r="Q346" s="955">
        <v>0.91500000000000004</v>
      </c>
      <c r="R346" s="955">
        <v>9.35</v>
      </c>
      <c r="S346" s="949" t="s">
        <v>50</v>
      </c>
      <c r="T346" s="949" t="s">
        <v>50</v>
      </c>
      <c r="U346" s="949" t="s">
        <v>50</v>
      </c>
      <c r="V346" s="970" t="s">
        <v>9349</v>
      </c>
      <c r="W346" s="750" t="s">
        <v>32</v>
      </c>
    </row>
    <row r="347" spans="1:23" x14ac:dyDescent="0.25">
      <c r="A347" s="949" t="s">
        <v>9902</v>
      </c>
      <c r="B347" s="949" t="s">
        <v>24</v>
      </c>
      <c r="C347" s="949" t="s">
        <v>845</v>
      </c>
      <c r="D347" s="950">
        <v>38.266539999999999</v>
      </c>
      <c r="E347" s="950">
        <v>-121.69112</v>
      </c>
      <c r="F347" s="949" t="s">
        <v>9912</v>
      </c>
      <c r="G347" s="949" t="s">
        <v>90</v>
      </c>
      <c r="H347" s="949" t="s">
        <v>9394</v>
      </c>
      <c r="I347" s="949" t="s">
        <v>9744</v>
      </c>
      <c r="J347" s="949" t="s">
        <v>28</v>
      </c>
      <c r="K347" s="949" t="s">
        <v>29</v>
      </c>
      <c r="L347" s="949" t="s">
        <v>30</v>
      </c>
      <c r="M347" s="949">
        <v>2</v>
      </c>
      <c r="N347" s="949" t="s">
        <v>9896</v>
      </c>
      <c r="O347" s="955">
        <v>18.600000000000001</v>
      </c>
      <c r="P347" s="955">
        <v>192.5</v>
      </c>
      <c r="Q347" s="955">
        <v>1.1000000000000001</v>
      </c>
      <c r="R347" s="955">
        <v>7.6550000000000002</v>
      </c>
      <c r="S347" s="949" t="s">
        <v>50</v>
      </c>
      <c r="T347" s="949" t="s">
        <v>50</v>
      </c>
      <c r="U347" s="949" t="s">
        <v>50</v>
      </c>
      <c r="V347" s="970" t="s">
        <v>9349</v>
      </c>
      <c r="W347" s="750" t="s">
        <v>32</v>
      </c>
    </row>
    <row r="348" spans="1:23" x14ac:dyDescent="0.25">
      <c r="A348" s="949" t="s">
        <v>9902</v>
      </c>
      <c r="B348" s="949" t="s">
        <v>24</v>
      </c>
      <c r="C348" s="949" t="s">
        <v>95</v>
      </c>
      <c r="D348" s="950">
        <v>38.103360000000002</v>
      </c>
      <c r="E348" s="950">
        <v>-121.59804</v>
      </c>
      <c r="F348" s="949" t="s">
        <v>9913</v>
      </c>
      <c r="G348" s="949" t="s">
        <v>46</v>
      </c>
      <c r="H348" s="949" t="s">
        <v>9438</v>
      </c>
      <c r="I348" s="949" t="s">
        <v>9914</v>
      </c>
      <c r="J348" s="949" t="s">
        <v>28</v>
      </c>
      <c r="K348" s="949" t="s">
        <v>29</v>
      </c>
      <c r="L348" s="949" t="s">
        <v>30</v>
      </c>
      <c r="M348" s="949">
        <v>2</v>
      </c>
      <c r="N348" s="949" t="s">
        <v>9896</v>
      </c>
      <c r="O348" s="955">
        <v>27.3</v>
      </c>
      <c r="P348" s="955">
        <v>676.5</v>
      </c>
      <c r="Q348" s="955">
        <v>0.92</v>
      </c>
      <c r="R348" s="955">
        <v>8.7899999999999991</v>
      </c>
      <c r="S348" s="949" t="s">
        <v>50</v>
      </c>
      <c r="T348" s="949" t="s">
        <v>50</v>
      </c>
      <c r="U348" s="949" t="s">
        <v>50</v>
      </c>
      <c r="V348" s="970" t="s">
        <v>9349</v>
      </c>
      <c r="W348" s="750" t="s">
        <v>32</v>
      </c>
    </row>
    <row r="349" spans="1:23" x14ac:dyDescent="0.25">
      <c r="A349" s="949" t="s">
        <v>9902</v>
      </c>
      <c r="B349" s="949" t="s">
        <v>24</v>
      </c>
      <c r="C349" s="949" t="s">
        <v>95</v>
      </c>
      <c r="D349" s="950">
        <v>38.062620000000003</v>
      </c>
      <c r="E349" s="950">
        <v>-121.55853999999999</v>
      </c>
      <c r="F349" s="949" t="s">
        <v>9915</v>
      </c>
      <c r="G349" s="949" t="s">
        <v>46</v>
      </c>
      <c r="H349" s="949" t="s">
        <v>9438</v>
      </c>
      <c r="I349" s="949" t="s">
        <v>9708</v>
      </c>
      <c r="J349" s="949" t="s">
        <v>28</v>
      </c>
      <c r="K349" s="949" t="s">
        <v>29</v>
      </c>
      <c r="L349" s="949" t="s">
        <v>30</v>
      </c>
      <c r="M349" s="949">
        <v>2</v>
      </c>
      <c r="N349" s="949" t="s">
        <v>9896</v>
      </c>
      <c r="O349" s="955">
        <v>38.5</v>
      </c>
      <c r="P349" s="955">
        <v>564</v>
      </c>
      <c r="Q349" s="955">
        <v>1.51</v>
      </c>
      <c r="R349" s="955">
        <v>6.085</v>
      </c>
      <c r="S349" s="949" t="s">
        <v>50</v>
      </c>
      <c r="T349" s="949" t="s">
        <v>50</v>
      </c>
      <c r="U349" s="949" t="s">
        <v>50</v>
      </c>
      <c r="V349" s="970" t="s">
        <v>9349</v>
      </c>
      <c r="W349" s="750" t="s">
        <v>32</v>
      </c>
    </row>
    <row r="350" spans="1:23" x14ac:dyDescent="0.25">
      <c r="A350" s="949" t="s">
        <v>9902</v>
      </c>
      <c r="B350" s="949" t="s">
        <v>24</v>
      </c>
      <c r="C350" s="949" t="s">
        <v>95</v>
      </c>
      <c r="D350" s="950">
        <v>38.08137</v>
      </c>
      <c r="E350" s="950">
        <v>-121.57453</v>
      </c>
      <c r="F350" s="949" t="s">
        <v>9916</v>
      </c>
      <c r="G350" s="949" t="s">
        <v>46</v>
      </c>
      <c r="H350" s="949" t="s">
        <v>9438</v>
      </c>
      <c r="I350" s="949" t="s">
        <v>9681</v>
      </c>
      <c r="J350" s="949" t="s">
        <v>28</v>
      </c>
      <c r="K350" s="949" t="s">
        <v>29</v>
      </c>
      <c r="L350" s="949" t="s">
        <v>30</v>
      </c>
      <c r="M350" s="949">
        <v>2</v>
      </c>
      <c r="N350" s="949" t="s">
        <v>9896</v>
      </c>
      <c r="O350" s="955">
        <v>15.7</v>
      </c>
      <c r="P350" s="955">
        <v>698</v>
      </c>
      <c r="Q350" s="955">
        <v>0.98</v>
      </c>
      <c r="R350" s="955">
        <v>10.82</v>
      </c>
      <c r="S350" s="949" t="s">
        <v>50</v>
      </c>
      <c r="T350" s="949" t="s">
        <v>50</v>
      </c>
      <c r="U350" s="949" t="s">
        <v>50</v>
      </c>
      <c r="V350" s="970" t="s">
        <v>9349</v>
      </c>
      <c r="W350" s="750" t="s">
        <v>32</v>
      </c>
    </row>
    <row r="351" spans="1:23" x14ac:dyDescent="0.25">
      <c r="A351" s="949" t="s">
        <v>9902</v>
      </c>
      <c r="B351" s="949" t="s">
        <v>24</v>
      </c>
      <c r="C351" s="949" t="s">
        <v>95</v>
      </c>
      <c r="D351" s="950">
        <v>38.056249999999999</v>
      </c>
      <c r="E351" s="950">
        <v>-121.68976000000001</v>
      </c>
      <c r="F351" s="949" t="s">
        <v>9917</v>
      </c>
      <c r="G351" s="949" t="s">
        <v>46</v>
      </c>
      <c r="H351" s="949" t="s">
        <v>9445</v>
      </c>
      <c r="I351" s="949" t="s">
        <v>9918</v>
      </c>
      <c r="J351" s="949" t="s">
        <v>28</v>
      </c>
      <c r="K351" s="949" t="s">
        <v>29</v>
      </c>
      <c r="L351" s="949" t="s">
        <v>30</v>
      </c>
      <c r="M351" s="949">
        <v>2</v>
      </c>
      <c r="N351" s="949" t="s">
        <v>9896</v>
      </c>
      <c r="O351" s="955">
        <v>20.6</v>
      </c>
      <c r="P351" s="955">
        <v>1838.5</v>
      </c>
      <c r="Q351" s="955">
        <v>0.745</v>
      </c>
      <c r="R351" s="955">
        <v>12.4</v>
      </c>
      <c r="S351" s="949" t="s">
        <v>50</v>
      </c>
      <c r="T351" s="949" t="s">
        <v>50</v>
      </c>
      <c r="U351" s="949" t="s">
        <v>50</v>
      </c>
      <c r="V351" s="970" t="s">
        <v>9349</v>
      </c>
      <c r="W351" s="750" t="s">
        <v>32</v>
      </c>
    </row>
    <row r="352" spans="1:23" x14ac:dyDescent="0.25">
      <c r="A352" s="949" t="s">
        <v>9902</v>
      </c>
      <c r="B352" s="949" t="s">
        <v>24</v>
      </c>
      <c r="C352" s="949" t="s">
        <v>95</v>
      </c>
      <c r="D352" s="950">
        <v>38.087330000000001</v>
      </c>
      <c r="E352" s="950">
        <v>-121.67744</v>
      </c>
      <c r="F352" s="949" t="s">
        <v>9919</v>
      </c>
      <c r="G352" s="949" t="s">
        <v>46</v>
      </c>
      <c r="H352" s="949" t="s">
        <v>9445</v>
      </c>
      <c r="I352" s="949" t="s">
        <v>9655</v>
      </c>
      <c r="J352" s="949" t="s">
        <v>28</v>
      </c>
      <c r="K352" s="949" t="s">
        <v>29</v>
      </c>
      <c r="L352" s="949" t="s">
        <v>30</v>
      </c>
      <c r="M352" s="949">
        <v>2</v>
      </c>
      <c r="N352" s="949" t="s">
        <v>9896</v>
      </c>
      <c r="O352" s="955">
        <v>51.75</v>
      </c>
      <c r="P352" s="955">
        <v>1367</v>
      </c>
      <c r="Q352" s="955">
        <v>0.93</v>
      </c>
      <c r="R352" s="955">
        <v>10.15</v>
      </c>
      <c r="S352" s="949" t="s">
        <v>50</v>
      </c>
      <c r="T352" s="949" t="s">
        <v>50</v>
      </c>
      <c r="U352" s="949" t="s">
        <v>50</v>
      </c>
      <c r="V352" s="970" t="s">
        <v>9349</v>
      </c>
      <c r="W352" s="750" t="s">
        <v>32</v>
      </c>
    </row>
    <row r="353" spans="1:24" x14ac:dyDescent="0.25">
      <c r="A353" s="1066" t="s">
        <v>9921</v>
      </c>
      <c r="B353" s="1066" t="s">
        <v>9279</v>
      </c>
      <c r="C353" s="1066" t="s">
        <v>88</v>
      </c>
      <c r="D353" s="1074">
        <v>38.087220000000002</v>
      </c>
      <c r="E353" s="1074">
        <v>-121.73833</v>
      </c>
      <c r="F353" s="1066" t="s">
        <v>9922</v>
      </c>
      <c r="G353" s="1066" t="s">
        <v>90</v>
      </c>
      <c r="H353" s="1066" t="s">
        <v>9368</v>
      </c>
      <c r="I353" s="1066" t="s">
        <v>9923</v>
      </c>
      <c r="J353" s="1066" t="s">
        <v>28</v>
      </c>
      <c r="K353" s="1066" t="s">
        <v>29</v>
      </c>
      <c r="L353" s="949" t="s">
        <v>30</v>
      </c>
      <c r="M353" s="1066">
        <v>2</v>
      </c>
      <c r="N353" s="1066">
        <v>10</v>
      </c>
      <c r="O353" s="1072">
        <v>24.35</v>
      </c>
      <c r="P353" s="1072">
        <v>5005.5</v>
      </c>
      <c r="Q353" s="1072">
        <v>0.73</v>
      </c>
      <c r="R353" s="1072">
        <v>16.899999999999999</v>
      </c>
      <c r="S353" s="1066" t="s">
        <v>50</v>
      </c>
      <c r="T353" s="1066" t="s">
        <v>50</v>
      </c>
      <c r="U353" s="1066" t="s">
        <v>50</v>
      </c>
      <c r="V353" s="1067" t="s">
        <v>9349</v>
      </c>
      <c r="W353" s="750" t="s">
        <v>32</v>
      </c>
    </row>
    <row r="354" spans="1:24" x14ac:dyDescent="0.25">
      <c r="A354" s="1066" t="s">
        <v>9921</v>
      </c>
      <c r="B354" s="1066" t="s">
        <v>9279</v>
      </c>
      <c r="C354" s="1066" t="s">
        <v>88</v>
      </c>
      <c r="D354" s="1074">
        <v>38.134779999999999</v>
      </c>
      <c r="E354" s="1074">
        <v>-121.68693</v>
      </c>
      <c r="F354" s="1066" t="s">
        <v>9924</v>
      </c>
      <c r="G354" s="1066" t="s">
        <v>90</v>
      </c>
      <c r="H354" s="1066" t="s">
        <v>9368</v>
      </c>
      <c r="I354" s="1066" t="s">
        <v>9925</v>
      </c>
      <c r="J354" s="1066" t="s">
        <v>28</v>
      </c>
      <c r="K354" s="1066" t="s">
        <v>29</v>
      </c>
      <c r="L354" s="949" t="s">
        <v>30</v>
      </c>
      <c r="M354" s="1066">
        <v>2</v>
      </c>
      <c r="N354" s="1066">
        <v>10</v>
      </c>
      <c r="O354" s="1072">
        <v>12.8</v>
      </c>
      <c r="P354" s="1072">
        <v>973.5</v>
      </c>
      <c r="Q354" s="1072">
        <v>1.18</v>
      </c>
      <c r="R354" s="1072">
        <v>7.04</v>
      </c>
      <c r="S354" s="1066" t="s">
        <v>50</v>
      </c>
      <c r="T354" s="1066" t="s">
        <v>50</v>
      </c>
      <c r="U354" s="1066" t="s">
        <v>50</v>
      </c>
      <c r="V354" s="1067" t="s">
        <v>9349</v>
      </c>
      <c r="W354" s="750" t="s">
        <v>32</v>
      </c>
    </row>
    <row r="355" spans="1:24" x14ac:dyDescent="0.25">
      <c r="A355" s="1066" t="s">
        <v>9921</v>
      </c>
      <c r="B355" s="1066" t="s">
        <v>9279</v>
      </c>
      <c r="C355" s="1066" t="s">
        <v>88</v>
      </c>
      <c r="D355" s="1074">
        <v>38.11168</v>
      </c>
      <c r="E355" s="1074">
        <v>-121.70652</v>
      </c>
      <c r="F355" s="1066" t="s">
        <v>9926</v>
      </c>
      <c r="G355" s="1066" t="s">
        <v>90</v>
      </c>
      <c r="H355" s="1066" t="s">
        <v>9368</v>
      </c>
      <c r="I355" s="1066" t="s">
        <v>9532</v>
      </c>
      <c r="J355" s="1066" t="s">
        <v>28</v>
      </c>
      <c r="K355" s="1066" t="s">
        <v>29</v>
      </c>
      <c r="L355" s="949" t="s">
        <v>30</v>
      </c>
      <c r="M355" s="1066">
        <v>2</v>
      </c>
      <c r="N355" s="1066">
        <v>10</v>
      </c>
      <c r="O355" s="1072">
        <v>20.05</v>
      </c>
      <c r="P355" s="1072">
        <v>3110.5</v>
      </c>
      <c r="Q355" s="1072">
        <v>0.81</v>
      </c>
      <c r="R355" s="1072">
        <v>14.6</v>
      </c>
      <c r="S355" s="1066" t="s">
        <v>50</v>
      </c>
      <c r="T355" s="1066" t="s">
        <v>50</v>
      </c>
      <c r="U355" s="1066" t="s">
        <v>50</v>
      </c>
      <c r="V355" s="1067"/>
      <c r="W355" s="750" t="s">
        <v>32</v>
      </c>
    </row>
    <row r="356" spans="1:24" x14ac:dyDescent="0.25">
      <c r="A356" s="1066" t="s">
        <v>9921</v>
      </c>
      <c r="B356" s="1066" t="s">
        <v>9279</v>
      </c>
      <c r="C356" s="1066" t="s">
        <v>88</v>
      </c>
      <c r="D356" s="1074">
        <v>38.090820000000001</v>
      </c>
      <c r="E356" s="1074">
        <v>-121.68405</v>
      </c>
      <c r="F356" s="1066" t="s">
        <v>9927</v>
      </c>
      <c r="G356" s="1066" t="s">
        <v>90</v>
      </c>
      <c r="H356" s="1066" t="s">
        <v>9368</v>
      </c>
      <c r="I356" s="1066" t="s">
        <v>9457</v>
      </c>
      <c r="J356" s="1066" t="s">
        <v>28</v>
      </c>
      <c r="K356" s="1066" t="s">
        <v>29</v>
      </c>
      <c r="L356" s="949" t="s">
        <v>30</v>
      </c>
      <c r="M356" s="1066">
        <v>2</v>
      </c>
      <c r="N356" s="1066">
        <v>10</v>
      </c>
      <c r="O356" s="1072">
        <v>22.7</v>
      </c>
      <c r="P356" s="1072">
        <v>1666</v>
      </c>
      <c r="Q356" s="1072">
        <v>1.1100000000000001</v>
      </c>
      <c r="R356" s="1072">
        <v>11.7</v>
      </c>
      <c r="S356" s="1066" t="s">
        <v>50</v>
      </c>
      <c r="T356" s="1066" t="s">
        <v>50</v>
      </c>
      <c r="U356" s="1066" t="s">
        <v>50</v>
      </c>
      <c r="V356" s="1067" t="s">
        <v>9349</v>
      </c>
      <c r="W356" s="750" t="s">
        <v>32</v>
      </c>
    </row>
    <row r="357" spans="1:24" x14ac:dyDescent="0.25">
      <c r="A357" s="1066" t="s">
        <v>9921</v>
      </c>
      <c r="B357" s="1066" t="s">
        <v>9279</v>
      </c>
      <c r="C357" s="1066" t="s">
        <v>88</v>
      </c>
      <c r="D357" s="1074">
        <v>38.144649999999999</v>
      </c>
      <c r="E357" s="1074">
        <v>-121.68774999999999</v>
      </c>
      <c r="F357" s="1066" t="s">
        <v>9928</v>
      </c>
      <c r="G357" s="1066" t="s">
        <v>90</v>
      </c>
      <c r="H357" s="1066" t="s">
        <v>9368</v>
      </c>
      <c r="I357" s="1066" t="s">
        <v>9929</v>
      </c>
      <c r="J357" s="1066" t="s">
        <v>28</v>
      </c>
      <c r="K357" s="1066" t="s">
        <v>29</v>
      </c>
      <c r="L357" s="949" t="s">
        <v>30</v>
      </c>
      <c r="M357" s="1066">
        <v>2</v>
      </c>
      <c r="N357" s="1066">
        <v>10</v>
      </c>
      <c r="O357" s="1072">
        <v>16.850000000000001</v>
      </c>
      <c r="P357" s="1072">
        <v>299.95</v>
      </c>
      <c r="Q357" s="1072">
        <v>1.2250000000000001</v>
      </c>
      <c r="R357" s="1072">
        <v>9.9700000000000006</v>
      </c>
      <c r="S357" s="1066" t="s">
        <v>50</v>
      </c>
      <c r="T357" s="1066" t="s">
        <v>50</v>
      </c>
      <c r="U357" s="1066" t="s">
        <v>50</v>
      </c>
      <c r="V357" s="1067" t="s">
        <v>9349</v>
      </c>
      <c r="W357" s="750" t="s">
        <v>32</v>
      </c>
    </row>
    <row r="358" spans="1:24" x14ac:dyDescent="0.25">
      <c r="A358" s="1066" t="s">
        <v>9921</v>
      </c>
      <c r="B358" s="1066" t="s">
        <v>9279</v>
      </c>
      <c r="C358" s="1066" t="s">
        <v>62</v>
      </c>
      <c r="D358" s="1074">
        <v>38.115560000000002</v>
      </c>
      <c r="E358" s="1074">
        <v>-122.05606</v>
      </c>
      <c r="F358" s="1066" t="s">
        <v>9930</v>
      </c>
      <c r="G358" s="1066" t="s">
        <v>27</v>
      </c>
      <c r="H358" s="1066" t="s">
        <v>173</v>
      </c>
      <c r="I358" s="1066" t="s">
        <v>9587</v>
      </c>
      <c r="J358" s="1066" t="s">
        <v>28</v>
      </c>
      <c r="K358" s="1066" t="s">
        <v>29</v>
      </c>
      <c r="L358" s="949" t="s">
        <v>30</v>
      </c>
      <c r="M358" s="1066">
        <v>2</v>
      </c>
      <c r="N358" s="1066">
        <v>10</v>
      </c>
      <c r="O358" s="1072">
        <v>7.35</v>
      </c>
      <c r="P358" s="1072">
        <v>19784</v>
      </c>
      <c r="Q358" s="1072">
        <v>0.23</v>
      </c>
      <c r="R358" s="1072">
        <v>100.35</v>
      </c>
      <c r="S358" s="1066" t="s">
        <v>50</v>
      </c>
      <c r="T358" s="1066" t="s">
        <v>50</v>
      </c>
      <c r="U358" s="1066" t="s">
        <v>50</v>
      </c>
      <c r="V358" s="1067" t="s">
        <v>9349</v>
      </c>
      <c r="W358" s="750" t="s">
        <v>32</v>
      </c>
    </row>
    <row r="359" spans="1:24" x14ac:dyDescent="0.25">
      <c r="A359" s="1066" t="s">
        <v>9921</v>
      </c>
      <c r="B359" s="1066" t="s">
        <v>9279</v>
      </c>
      <c r="C359" s="1066" t="s">
        <v>62</v>
      </c>
      <c r="D359" s="1074">
        <v>38.187199999999997</v>
      </c>
      <c r="E359" s="1074">
        <v>-121.9785</v>
      </c>
      <c r="F359" s="1066" t="s">
        <v>9931</v>
      </c>
      <c r="G359" s="1066" t="s">
        <v>27</v>
      </c>
      <c r="H359" s="1066" t="s">
        <v>9409</v>
      </c>
      <c r="I359" s="1066" t="s">
        <v>9932</v>
      </c>
      <c r="J359" s="1066" t="s">
        <v>28</v>
      </c>
      <c r="K359" s="1066" t="s">
        <v>29</v>
      </c>
      <c r="L359" s="949" t="s">
        <v>30</v>
      </c>
      <c r="M359" s="1066">
        <v>2</v>
      </c>
      <c r="N359" s="1066">
        <v>10</v>
      </c>
      <c r="O359" s="1072">
        <v>23.1</v>
      </c>
      <c r="P359" s="1072">
        <v>14783</v>
      </c>
      <c r="Q359" s="1072">
        <v>0.505</v>
      </c>
      <c r="R359" s="1072">
        <v>25.3</v>
      </c>
      <c r="S359" s="1066" t="s">
        <v>50</v>
      </c>
      <c r="T359" s="1066" t="s">
        <v>50</v>
      </c>
      <c r="U359" s="1066" t="s">
        <v>50</v>
      </c>
      <c r="V359" s="1067" t="s">
        <v>9349</v>
      </c>
      <c r="W359" s="750" t="s">
        <v>32</v>
      </c>
    </row>
    <row r="360" spans="1:24" x14ac:dyDescent="0.25">
      <c r="A360" s="1066" t="s">
        <v>9921</v>
      </c>
      <c r="B360" s="1066" t="s">
        <v>9279</v>
      </c>
      <c r="C360" s="1066" t="s">
        <v>62</v>
      </c>
      <c r="D360" s="1074">
        <v>38.170389999999998</v>
      </c>
      <c r="E360" s="1074">
        <v>-122.0286</v>
      </c>
      <c r="F360" s="1066" t="s">
        <v>9933</v>
      </c>
      <c r="G360" s="1066" t="s">
        <v>27</v>
      </c>
      <c r="H360" s="1066" t="s">
        <v>9409</v>
      </c>
      <c r="I360" s="1066" t="s">
        <v>9934</v>
      </c>
      <c r="J360" s="1066" t="s">
        <v>28</v>
      </c>
      <c r="K360" s="1066" t="s">
        <v>29</v>
      </c>
      <c r="L360" s="949" t="s">
        <v>30</v>
      </c>
      <c r="M360" s="1066">
        <v>2</v>
      </c>
      <c r="N360" s="1066">
        <v>10</v>
      </c>
      <c r="O360" s="1072">
        <v>25.55</v>
      </c>
      <c r="P360" s="1072">
        <v>17826.5</v>
      </c>
      <c r="Q360" s="1072">
        <v>0.33</v>
      </c>
      <c r="R360" s="1072">
        <v>49.1</v>
      </c>
      <c r="S360" s="1066" t="s">
        <v>50</v>
      </c>
      <c r="T360" s="1066" t="s">
        <v>50</v>
      </c>
      <c r="U360" s="1066" t="s">
        <v>50</v>
      </c>
      <c r="V360" s="1067" t="s">
        <v>9349</v>
      </c>
      <c r="W360" s="750" t="s">
        <v>32</v>
      </c>
    </row>
    <row r="361" spans="1:24" x14ac:dyDescent="0.25">
      <c r="A361" s="1068" t="s">
        <v>9921</v>
      </c>
      <c r="B361" s="1068" t="s">
        <v>9279</v>
      </c>
      <c r="C361" s="1068" t="s">
        <v>62</v>
      </c>
      <c r="D361" s="1075">
        <v>38.171579999999999</v>
      </c>
      <c r="E361" s="1075">
        <v>-122.06102</v>
      </c>
      <c r="F361" s="1068" t="s">
        <v>9935</v>
      </c>
      <c r="G361" s="1068" t="s">
        <v>27</v>
      </c>
      <c r="H361" s="1068" t="s">
        <v>9409</v>
      </c>
      <c r="I361" s="1068" t="s">
        <v>9455</v>
      </c>
      <c r="J361" s="1068" t="s">
        <v>28</v>
      </c>
      <c r="K361" s="1068" t="s">
        <v>29</v>
      </c>
      <c r="L361" s="1013" t="s">
        <v>30</v>
      </c>
      <c r="M361" s="1068">
        <v>2</v>
      </c>
      <c r="N361" s="1068">
        <v>10</v>
      </c>
      <c r="O361" s="1073">
        <v>8.9499999999999993</v>
      </c>
      <c r="P361" s="1073">
        <v>15593</v>
      </c>
      <c r="Q361" s="1073">
        <v>0.2</v>
      </c>
      <c r="R361" s="1073">
        <v>113</v>
      </c>
      <c r="S361" s="1069" t="s">
        <v>31</v>
      </c>
      <c r="T361" s="1068">
        <v>1</v>
      </c>
      <c r="U361" s="1068">
        <v>27</v>
      </c>
      <c r="V361" s="1070" t="s">
        <v>9349</v>
      </c>
      <c r="W361" s="1046" t="s">
        <v>32</v>
      </c>
    </row>
    <row r="362" spans="1:24" x14ac:dyDescent="0.25">
      <c r="A362" s="1066" t="s">
        <v>9921</v>
      </c>
      <c r="B362" s="1066" t="s">
        <v>9279</v>
      </c>
      <c r="C362" s="1066" t="s">
        <v>62</v>
      </c>
      <c r="D362" s="1074">
        <v>38.179119999999998</v>
      </c>
      <c r="E362" s="1074">
        <v>-122.00294</v>
      </c>
      <c r="F362" s="1066" t="s">
        <v>9936</v>
      </c>
      <c r="G362" s="1066" t="s">
        <v>27</v>
      </c>
      <c r="H362" s="1066" t="s">
        <v>9409</v>
      </c>
      <c r="I362" s="1071">
        <v>0.40208333333333335</v>
      </c>
      <c r="J362" s="1066" t="s">
        <v>28</v>
      </c>
      <c r="K362" s="1066" t="s">
        <v>29</v>
      </c>
      <c r="L362" s="949" t="s">
        <v>30</v>
      </c>
      <c r="M362" s="1066">
        <v>2</v>
      </c>
      <c r="N362" s="1066" t="s">
        <v>50</v>
      </c>
      <c r="O362" s="1072">
        <v>22.75</v>
      </c>
      <c r="P362" s="1072">
        <v>15008.333333333299</v>
      </c>
      <c r="Q362" s="1072">
        <v>0.35666666666666702</v>
      </c>
      <c r="R362" s="1072">
        <v>46.8</v>
      </c>
      <c r="S362" s="1066" t="s">
        <v>50</v>
      </c>
      <c r="T362" s="1066" t="s">
        <v>50</v>
      </c>
      <c r="U362" s="1066" t="s">
        <v>50</v>
      </c>
      <c r="V362" s="1067" t="s">
        <v>9349</v>
      </c>
      <c r="W362" s="750" t="s">
        <v>32</v>
      </c>
    </row>
    <row r="363" spans="1:24" s="1077" customFormat="1" x14ac:dyDescent="0.25">
      <c r="A363" s="443">
        <v>44363</v>
      </c>
      <c r="B363" s="956" t="s">
        <v>9296</v>
      </c>
      <c r="C363" s="956" t="s">
        <v>78</v>
      </c>
      <c r="D363" s="950">
        <v>38.081940000000003</v>
      </c>
      <c r="E363" s="950">
        <v>-121.99512</v>
      </c>
      <c r="F363" s="956" t="s">
        <v>9937</v>
      </c>
      <c r="G363" s="949" t="s">
        <v>80</v>
      </c>
      <c r="H363" s="949" t="s">
        <v>9390</v>
      </c>
      <c r="I363" s="66">
        <v>0.44375000000000003</v>
      </c>
      <c r="J363" s="956" t="s">
        <v>28</v>
      </c>
      <c r="K363" s="956" t="s">
        <v>29</v>
      </c>
      <c r="L363" s="956" t="s">
        <v>30</v>
      </c>
      <c r="M363" s="956">
        <v>2</v>
      </c>
      <c r="O363" s="428">
        <v>39.9</v>
      </c>
      <c r="P363" s="428">
        <v>20150</v>
      </c>
      <c r="Q363" s="428">
        <v>0.54</v>
      </c>
      <c r="R363" s="428">
        <v>24.700000000000003</v>
      </c>
      <c r="S363" s="1066" t="s">
        <v>50</v>
      </c>
      <c r="T363" s="1066" t="s">
        <v>50</v>
      </c>
      <c r="U363" s="1066" t="s">
        <v>50</v>
      </c>
      <c r="V363" s="1078"/>
      <c r="W363" s="750" t="s">
        <v>32</v>
      </c>
    </row>
    <row r="364" spans="1:24" s="1077" customFormat="1" x14ac:dyDescent="0.25">
      <c r="A364" s="443">
        <v>44363</v>
      </c>
      <c r="B364" s="956" t="s">
        <v>9296</v>
      </c>
      <c r="C364" s="956" t="s">
        <v>78</v>
      </c>
      <c r="D364" s="870">
        <v>38.05818</v>
      </c>
      <c r="E364" s="870">
        <v>-122.10284</v>
      </c>
      <c r="F364" s="1076" t="s">
        <v>9938</v>
      </c>
      <c r="G364" s="949" t="s">
        <v>80</v>
      </c>
      <c r="H364" s="949" t="s">
        <v>9390</v>
      </c>
      <c r="I364" s="66">
        <v>0.40416666666666662</v>
      </c>
      <c r="J364" s="956" t="s">
        <v>28</v>
      </c>
      <c r="K364" s="956" t="s">
        <v>29</v>
      </c>
      <c r="L364" s="956" t="s">
        <v>30</v>
      </c>
      <c r="M364" s="956">
        <v>2</v>
      </c>
      <c r="O364" s="428">
        <v>21.049999999999997</v>
      </c>
      <c r="P364" s="428">
        <v>26022</v>
      </c>
      <c r="Q364" s="428">
        <v>0.91500000000000004</v>
      </c>
      <c r="R364" s="428">
        <v>19.100000000000001</v>
      </c>
      <c r="S364" s="1066" t="s">
        <v>50</v>
      </c>
      <c r="T364" s="1066" t="s">
        <v>50</v>
      </c>
      <c r="U364" s="1066" t="s">
        <v>50</v>
      </c>
      <c r="V364" s="1078"/>
      <c r="W364" s="750" t="s">
        <v>32</v>
      </c>
    </row>
    <row r="365" spans="1:24" s="1077" customFormat="1" x14ac:dyDescent="0.25">
      <c r="A365" s="443">
        <v>44363</v>
      </c>
      <c r="B365" s="956" t="s">
        <v>9296</v>
      </c>
      <c r="C365" s="956" t="s">
        <v>78</v>
      </c>
      <c r="D365" s="870">
        <v>38.045940000000002</v>
      </c>
      <c r="E365" s="870">
        <v>-121.92084</v>
      </c>
      <c r="F365" s="1076" t="s">
        <v>9944</v>
      </c>
      <c r="G365" s="949" t="s">
        <v>27</v>
      </c>
      <c r="H365" s="949" t="s">
        <v>101</v>
      </c>
      <c r="I365" s="66">
        <v>0.36249999999999999</v>
      </c>
      <c r="J365" s="956" t="s">
        <v>28</v>
      </c>
      <c r="K365" s="956" t="s">
        <v>29</v>
      </c>
      <c r="L365" s="956" t="s">
        <v>30</v>
      </c>
      <c r="M365" s="1076">
        <v>2</v>
      </c>
      <c r="N365" s="1076"/>
      <c r="O365" s="428">
        <v>52.8</v>
      </c>
      <c r="P365" s="428">
        <v>15147</v>
      </c>
      <c r="Q365" s="428">
        <v>0.95500000000000007</v>
      </c>
      <c r="R365" s="428">
        <v>23.25</v>
      </c>
      <c r="S365" s="1066" t="s">
        <v>50</v>
      </c>
      <c r="T365" s="1066" t="s">
        <v>50</v>
      </c>
      <c r="U365" s="1066" t="s">
        <v>50</v>
      </c>
      <c r="V365" s="1078"/>
      <c r="W365" s="750" t="s">
        <v>32</v>
      </c>
    </row>
    <row r="366" spans="1:24" s="1077" customFormat="1" x14ac:dyDescent="0.25">
      <c r="A366" s="443">
        <v>44363</v>
      </c>
      <c r="B366" s="956" t="s">
        <v>9296</v>
      </c>
      <c r="C366" s="956" t="s">
        <v>78</v>
      </c>
      <c r="D366" s="870">
        <v>38.046340000000001</v>
      </c>
      <c r="E366" s="870">
        <v>-121.88697000000001</v>
      </c>
      <c r="F366" s="1076" t="s">
        <v>9945</v>
      </c>
      <c r="G366" s="949" t="s">
        <v>27</v>
      </c>
      <c r="H366" s="949" t="s">
        <v>101</v>
      </c>
      <c r="I366" s="66">
        <v>0.4777777777777778</v>
      </c>
      <c r="J366" s="956" t="s">
        <v>28</v>
      </c>
      <c r="K366" s="956" t="s">
        <v>29</v>
      </c>
      <c r="L366" s="956" t="s">
        <v>30</v>
      </c>
      <c r="M366" s="1076">
        <v>2</v>
      </c>
      <c r="N366" s="1076"/>
      <c r="O366" s="428">
        <v>65.3</v>
      </c>
      <c r="P366" s="428">
        <v>11608</v>
      </c>
      <c r="Q366" s="428">
        <v>0.77499999999999991</v>
      </c>
      <c r="R366" s="428">
        <v>17.149999999999999</v>
      </c>
      <c r="S366" s="1066" t="s">
        <v>50</v>
      </c>
      <c r="T366" s="1066" t="s">
        <v>50</v>
      </c>
      <c r="U366" s="1066" t="s">
        <v>50</v>
      </c>
      <c r="V366" s="1078"/>
      <c r="W366" s="1103" t="s">
        <v>32</v>
      </c>
    </row>
    <row r="367" spans="1:24" s="1077" customFormat="1" x14ac:dyDescent="0.25">
      <c r="A367" s="443">
        <v>44363</v>
      </c>
      <c r="B367" s="956" t="s">
        <v>9296</v>
      </c>
      <c r="C367" s="956" t="s">
        <v>78</v>
      </c>
      <c r="D367" s="870">
        <v>38.504019999999997</v>
      </c>
      <c r="E367" s="870">
        <v>-121.58369999999999</v>
      </c>
      <c r="F367" s="1076" t="s">
        <v>9946</v>
      </c>
      <c r="G367" s="949" t="s">
        <v>27</v>
      </c>
      <c r="H367" s="949" t="s">
        <v>101</v>
      </c>
      <c r="I367" s="949" t="s">
        <v>9822</v>
      </c>
      <c r="J367" s="949" t="s">
        <v>28</v>
      </c>
      <c r="K367" s="949" t="s">
        <v>29</v>
      </c>
      <c r="L367" s="949" t="s">
        <v>30</v>
      </c>
      <c r="M367" s="949">
        <v>2</v>
      </c>
      <c r="N367" s="949" t="s">
        <v>9896</v>
      </c>
      <c r="O367" s="955">
        <v>24.35</v>
      </c>
      <c r="P367" s="955">
        <v>10604</v>
      </c>
      <c r="Q367" s="955">
        <v>0.85</v>
      </c>
      <c r="R367" s="955">
        <v>52.7</v>
      </c>
      <c r="S367" s="949" t="s">
        <v>50</v>
      </c>
      <c r="T367" s="949" t="s">
        <v>50</v>
      </c>
      <c r="U367" s="949" t="s">
        <v>50</v>
      </c>
      <c r="V367" s="970" t="s">
        <v>9349</v>
      </c>
      <c r="W367" s="750" t="s">
        <v>32</v>
      </c>
      <c r="X367" s="949"/>
    </row>
    <row r="368" spans="1:24" s="1077" customFormat="1" x14ac:dyDescent="0.25">
      <c r="A368" s="443">
        <v>44363</v>
      </c>
      <c r="B368" s="956" t="s">
        <v>9296</v>
      </c>
      <c r="C368" s="1076" t="s">
        <v>88</v>
      </c>
      <c r="D368" s="870">
        <v>38.285690000000002</v>
      </c>
      <c r="E368" s="870">
        <v>-121.65828999999999</v>
      </c>
      <c r="F368" s="1076" t="s">
        <v>9939</v>
      </c>
      <c r="G368" s="1076" t="s">
        <v>90</v>
      </c>
      <c r="H368" s="1061" t="s">
        <v>108</v>
      </c>
      <c r="I368" s="66">
        <v>0.3263888888888889</v>
      </c>
      <c r="J368" s="956" t="s">
        <v>28</v>
      </c>
      <c r="K368" s="956" t="s">
        <v>29</v>
      </c>
      <c r="L368" s="956" t="s">
        <v>30</v>
      </c>
      <c r="M368" s="956">
        <v>2</v>
      </c>
      <c r="N368" s="1076"/>
      <c r="O368" s="428">
        <v>37.299999999999997</v>
      </c>
      <c r="P368" s="428">
        <v>191.35000000000002</v>
      </c>
      <c r="Q368" s="428">
        <v>0.88500000000000001</v>
      </c>
      <c r="R368" s="428">
        <v>9.629999999999999</v>
      </c>
      <c r="S368" s="1066" t="s">
        <v>50</v>
      </c>
      <c r="T368" s="1066" t="s">
        <v>50</v>
      </c>
      <c r="U368" s="1066" t="s">
        <v>50</v>
      </c>
      <c r="V368" s="1078"/>
      <c r="W368" s="750" t="s">
        <v>32</v>
      </c>
    </row>
    <row r="369" spans="1:23" s="1077" customFormat="1" x14ac:dyDescent="0.25">
      <c r="A369" s="443">
        <v>44363</v>
      </c>
      <c r="B369" s="956" t="s">
        <v>9296</v>
      </c>
      <c r="C369" s="1076" t="s">
        <v>88</v>
      </c>
      <c r="D369" s="870">
        <v>38.467570000000002</v>
      </c>
      <c r="E369" s="870">
        <v>-121.58649</v>
      </c>
      <c r="F369" s="1076" t="s">
        <v>9940</v>
      </c>
      <c r="G369" s="1076" t="s">
        <v>90</v>
      </c>
      <c r="H369" s="1061" t="s">
        <v>108</v>
      </c>
      <c r="I369" s="66">
        <v>0.47569444444444442</v>
      </c>
      <c r="J369" s="956" t="s">
        <v>28</v>
      </c>
      <c r="K369" s="956" t="s">
        <v>29</v>
      </c>
      <c r="L369" s="956" t="s">
        <v>30</v>
      </c>
      <c r="M369" s="1076">
        <v>2</v>
      </c>
      <c r="N369" s="1076"/>
      <c r="O369" s="428">
        <v>29.9</v>
      </c>
      <c r="P369" s="428">
        <v>860</v>
      </c>
      <c r="Q369" s="428">
        <v>0.32</v>
      </c>
      <c r="R369" s="428">
        <v>31.1</v>
      </c>
      <c r="S369" s="1066" t="s">
        <v>50</v>
      </c>
      <c r="T369" s="1066" t="s">
        <v>50</v>
      </c>
      <c r="U369" s="1066" t="s">
        <v>50</v>
      </c>
      <c r="V369" s="1078"/>
      <c r="W369" s="750" t="s">
        <v>32</v>
      </c>
    </row>
    <row r="370" spans="1:23" s="1077" customFormat="1" x14ac:dyDescent="0.25">
      <c r="A370" s="443">
        <v>44363</v>
      </c>
      <c r="B370" s="956" t="s">
        <v>9296</v>
      </c>
      <c r="C370" s="1076" t="s">
        <v>88</v>
      </c>
      <c r="D370" s="870">
        <v>38.504019999999997</v>
      </c>
      <c r="E370" s="870">
        <v>-121.58369999999999</v>
      </c>
      <c r="F370" s="1076" t="s">
        <v>9941</v>
      </c>
      <c r="G370" s="1076" t="s">
        <v>90</v>
      </c>
      <c r="H370" s="1061" t="s">
        <v>158</v>
      </c>
      <c r="I370" s="66">
        <v>0.37361111111111112</v>
      </c>
      <c r="J370" s="956" t="s">
        <v>28</v>
      </c>
      <c r="K370" s="956" t="s">
        <v>29</v>
      </c>
      <c r="L370" s="956" t="s">
        <v>30</v>
      </c>
      <c r="M370" s="1076">
        <v>2</v>
      </c>
      <c r="N370" s="1076"/>
      <c r="O370" s="428">
        <v>33.75</v>
      </c>
      <c r="P370" s="428">
        <v>944</v>
      </c>
      <c r="Q370" s="428">
        <v>0.39</v>
      </c>
      <c r="R370" s="428">
        <v>27.05</v>
      </c>
      <c r="S370" s="1066" t="s">
        <v>50</v>
      </c>
      <c r="T370" s="1066" t="s">
        <v>50</v>
      </c>
      <c r="U370" s="1066" t="s">
        <v>50</v>
      </c>
      <c r="V370" s="1078"/>
      <c r="W370" s="1103" t="s">
        <v>32</v>
      </c>
    </row>
    <row r="371" spans="1:23" s="1077" customFormat="1" x14ac:dyDescent="0.25">
      <c r="A371" s="443">
        <v>44363</v>
      </c>
      <c r="B371" s="956" t="s">
        <v>9296</v>
      </c>
      <c r="C371" s="1076" t="s">
        <v>88</v>
      </c>
      <c r="D371" s="870">
        <v>38.560789999999997</v>
      </c>
      <c r="E371" s="870">
        <v>-121.55864</v>
      </c>
      <c r="F371" s="1076" t="s">
        <v>9942</v>
      </c>
      <c r="G371" s="1076" t="s">
        <v>90</v>
      </c>
      <c r="H371" s="1061" t="s">
        <v>158</v>
      </c>
      <c r="I371" s="66">
        <v>0.40972222222222227</v>
      </c>
      <c r="J371" s="956" t="s">
        <v>28</v>
      </c>
      <c r="K371" s="956" t="s">
        <v>29</v>
      </c>
      <c r="L371" s="956" t="s">
        <v>30</v>
      </c>
      <c r="M371" s="1076">
        <v>2</v>
      </c>
      <c r="N371" s="1076"/>
      <c r="O371" s="428">
        <v>30.799999999999997</v>
      </c>
      <c r="P371" s="428">
        <v>1250.5</v>
      </c>
      <c r="Q371" s="428">
        <v>1.8</v>
      </c>
      <c r="R371" s="428">
        <v>4.3900000000000006</v>
      </c>
      <c r="S371" s="1066" t="s">
        <v>50</v>
      </c>
      <c r="T371" s="1066" t="s">
        <v>50</v>
      </c>
      <c r="U371" s="1066" t="s">
        <v>50</v>
      </c>
      <c r="V371" s="1078"/>
      <c r="W371" s="750" t="s">
        <v>32</v>
      </c>
    </row>
    <row r="372" spans="1:23" s="1077" customFormat="1" x14ac:dyDescent="0.25">
      <c r="A372" s="443">
        <v>44363</v>
      </c>
      <c r="B372" s="956" t="s">
        <v>9296</v>
      </c>
      <c r="C372" s="1076" t="s">
        <v>88</v>
      </c>
      <c r="D372" s="870">
        <v>38.55621</v>
      </c>
      <c r="E372" s="870">
        <v>-121.57556</v>
      </c>
      <c r="F372" s="1076" t="s">
        <v>9943</v>
      </c>
      <c r="G372" s="1076" t="s">
        <v>90</v>
      </c>
      <c r="H372" s="1061" t="s">
        <v>158</v>
      </c>
      <c r="I372" s="66">
        <v>0.43611111111111112</v>
      </c>
      <c r="J372" s="956" t="s">
        <v>28</v>
      </c>
      <c r="K372" s="956" t="s">
        <v>29</v>
      </c>
      <c r="L372" s="956" t="s">
        <v>30</v>
      </c>
      <c r="M372" s="1076">
        <v>2</v>
      </c>
      <c r="N372" s="1076"/>
      <c r="O372" s="428">
        <v>35.049999999999997</v>
      </c>
      <c r="P372" s="428">
        <v>1240.5</v>
      </c>
      <c r="Q372" s="428">
        <v>1.75</v>
      </c>
      <c r="R372" s="428">
        <v>4.4450000000000003</v>
      </c>
      <c r="S372" s="1066" t="s">
        <v>50</v>
      </c>
      <c r="T372" s="1066" t="s">
        <v>50</v>
      </c>
      <c r="U372" s="1066" t="s">
        <v>50</v>
      </c>
      <c r="V372" s="1078"/>
      <c r="W372" s="750" t="s">
        <v>32</v>
      </c>
    </row>
    <row r="373" spans="1:23" s="1077" customFormat="1" x14ac:dyDescent="0.25">
      <c r="A373" s="1108">
        <v>44364</v>
      </c>
      <c r="B373" s="1066" t="s">
        <v>9313</v>
      </c>
      <c r="C373" s="1066" t="s">
        <v>88</v>
      </c>
      <c r="D373" s="1074">
        <v>38.059669999999997</v>
      </c>
      <c r="E373" s="1074">
        <v>-121.81639</v>
      </c>
      <c r="F373" s="1066" t="s">
        <v>9948</v>
      </c>
      <c r="G373" s="1066" t="s">
        <v>27</v>
      </c>
      <c r="H373" s="1066" t="s">
        <v>9364</v>
      </c>
      <c r="I373" s="1066" t="s">
        <v>9827</v>
      </c>
      <c r="J373" s="1066" t="s">
        <v>28</v>
      </c>
      <c r="K373" s="1066" t="s">
        <v>29</v>
      </c>
      <c r="L373" s="949" t="s">
        <v>30</v>
      </c>
      <c r="M373" s="1066">
        <v>2</v>
      </c>
      <c r="N373" s="1066" t="s">
        <v>9896</v>
      </c>
      <c r="O373" s="1072">
        <v>28.43</v>
      </c>
      <c r="P373" s="1072">
        <v>7619.5</v>
      </c>
      <c r="Q373" s="1072">
        <v>0.88500000000000001</v>
      </c>
      <c r="R373" s="1072">
        <v>9.8650000000000002</v>
      </c>
      <c r="S373" s="1066" t="s">
        <v>50</v>
      </c>
      <c r="T373" s="1066" t="s">
        <v>50</v>
      </c>
      <c r="U373" s="1066" t="s">
        <v>50</v>
      </c>
      <c r="V373" s="1067" t="s">
        <v>9349</v>
      </c>
      <c r="W373" s="949" t="s">
        <v>32</v>
      </c>
    </row>
    <row r="374" spans="1:23" s="1077" customFormat="1" x14ac:dyDescent="0.25">
      <c r="A374" s="1066" t="s">
        <v>9947</v>
      </c>
      <c r="B374" s="1066" t="s">
        <v>9313</v>
      </c>
      <c r="C374" s="1066" t="s">
        <v>88</v>
      </c>
      <c r="D374" s="1074">
        <v>38.086399999999998</v>
      </c>
      <c r="E374" s="1074">
        <v>-121.74572999999999</v>
      </c>
      <c r="F374" s="1066" t="s">
        <v>9949</v>
      </c>
      <c r="G374" s="1066" t="s">
        <v>27</v>
      </c>
      <c r="H374" s="1066" t="s">
        <v>9364</v>
      </c>
      <c r="I374" s="1066" t="s">
        <v>9484</v>
      </c>
      <c r="J374" s="1066" t="s">
        <v>28</v>
      </c>
      <c r="K374" s="1066" t="s">
        <v>29</v>
      </c>
      <c r="L374" s="956" t="s">
        <v>30</v>
      </c>
      <c r="M374" s="1066">
        <v>2</v>
      </c>
      <c r="N374" s="1066" t="s">
        <v>9896</v>
      </c>
      <c r="O374" s="1072">
        <v>29.2</v>
      </c>
      <c r="P374" s="1072">
        <v>3522.5</v>
      </c>
      <c r="Q374" s="1072">
        <v>0.64</v>
      </c>
      <c r="R374" s="1072">
        <v>13.95</v>
      </c>
      <c r="S374" s="1066" t="s">
        <v>50</v>
      </c>
      <c r="T374" s="1066" t="s">
        <v>50</v>
      </c>
      <c r="U374" s="1066" t="s">
        <v>50</v>
      </c>
      <c r="V374" s="1067" t="s">
        <v>9349</v>
      </c>
      <c r="W374" s="949" t="s">
        <v>32</v>
      </c>
    </row>
    <row r="375" spans="1:23" s="1077" customFormat="1" x14ac:dyDescent="0.25">
      <c r="A375" s="1066" t="s">
        <v>9947</v>
      </c>
      <c r="B375" s="1066" t="s">
        <v>9313</v>
      </c>
      <c r="C375" s="1066" t="s">
        <v>88</v>
      </c>
      <c r="D375" s="1074">
        <v>38.143030000000003</v>
      </c>
      <c r="E375" s="1074">
        <v>-121.69256</v>
      </c>
      <c r="F375" s="1066" t="s">
        <v>9950</v>
      </c>
      <c r="G375" s="1066" t="s">
        <v>90</v>
      </c>
      <c r="H375" s="1066" t="s">
        <v>9368</v>
      </c>
      <c r="I375" s="1066" t="s">
        <v>9843</v>
      </c>
      <c r="J375" s="1066" t="s">
        <v>28</v>
      </c>
      <c r="K375" s="1066" t="s">
        <v>29</v>
      </c>
      <c r="L375" s="949" t="s">
        <v>30</v>
      </c>
      <c r="M375" s="1066">
        <v>2</v>
      </c>
      <c r="N375" s="1066" t="s">
        <v>9896</v>
      </c>
      <c r="O375" s="1072">
        <v>39.799999999999997</v>
      </c>
      <c r="P375" s="1072">
        <v>877.5</v>
      </c>
      <c r="Q375" s="1072">
        <v>0.91500000000000004</v>
      </c>
      <c r="R375" s="1072">
        <v>11.35</v>
      </c>
      <c r="S375" s="1066" t="s">
        <v>50</v>
      </c>
      <c r="T375" s="1066" t="s">
        <v>50</v>
      </c>
      <c r="U375" s="1066" t="s">
        <v>50</v>
      </c>
      <c r="V375" s="1067" t="s">
        <v>9349</v>
      </c>
      <c r="W375" s="750" t="s">
        <v>32</v>
      </c>
    </row>
    <row r="376" spans="1:23" x14ac:dyDescent="0.25">
      <c r="A376" s="1066" t="s">
        <v>9947</v>
      </c>
      <c r="B376" s="1066" t="s">
        <v>9313</v>
      </c>
      <c r="C376" s="1066" t="s">
        <v>88</v>
      </c>
      <c r="D376" s="1066">
        <v>38.062289999999997</v>
      </c>
      <c r="E376" s="1066">
        <v>-121.78371</v>
      </c>
      <c r="F376" s="1066" t="s">
        <v>9958</v>
      </c>
      <c r="G376" s="1066" t="s">
        <v>27</v>
      </c>
      <c r="H376" s="1066" t="s">
        <v>9364</v>
      </c>
      <c r="I376" s="1066" t="s">
        <v>9429</v>
      </c>
      <c r="J376" s="1066" t="s">
        <v>28</v>
      </c>
      <c r="K376" s="1066" t="s">
        <v>29</v>
      </c>
      <c r="L376" s="1066" t="s">
        <v>30</v>
      </c>
      <c r="M376" s="1066">
        <v>2</v>
      </c>
      <c r="N376" s="1066" t="s">
        <v>9896</v>
      </c>
      <c r="O376" s="1072">
        <v>31.12</v>
      </c>
      <c r="P376" s="1072">
        <v>4324.5</v>
      </c>
      <c r="Q376" s="1072">
        <v>0.78500000000000003</v>
      </c>
      <c r="R376" s="1072">
        <v>12.8</v>
      </c>
      <c r="S376" s="1066" t="s">
        <v>50</v>
      </c>
      <c r="T376" s="1066" t="s">
        <v>50</v>
      </c>
      <c r="U376" s="1066" t="s">
        <v>50</v>
      </c>
      <c r="V376" s="1067" t="s">
        <v>9349</v>
      </c>
      <c r="W376" s="949" t="s">
        <v>32</v>
      </c>
    </row>
    <row r="377" spans="1:23" x14ac:dyDescent="0.25">
      <c r="A377" s="1066" t="s">
        <v>9947</v>
      </c>
      <c r="B377" s="1066" t="s">
        <v>9313</v>
      </c>
      <c r="C377" s="1066" t="s">
        <v>88</v>
      </c>
      <c r="D377" s="1066">
        <v>38.076309999999999</v>
      </c>
      <c r="E377" s="1066">
        <v>-121.77030000000001</v>
      </c>
      <c r="F377" s="1066" t="s">
        <v>9959</v>
      </c>
      <c r="G377" s="1066" t="s">
        <v>27</v>
      </c>
      <c r="H377" s="1066" t="s">
        <v>9364</v>
      </c>
      <c r="I377" s="1066" t="s">
        <v>9960</v>
      </c>
      <c r="J377" s="1066" t="s">
        <v>28</v>
      </c>
      <c r="K377" s="1066" t="s">
        <v>29</v>
      </c>
      <c r="L377" s="1066" t="s">
        <v>30</v>
      </c>
      <c r="M377" s="1066">
        <v>2</v>
      </c>
      <c r="N377" s="1066" t="s">
        <v>9896</v>
      </c>
      <c r="O377" s="1072">
        <v>24</v>
      </c>
      <c r="P377" s="1072">
        <v>5569</v>
      </c>
      <c r="Q377" s="1072">
        <v>0.46</v>
      </c>
      <c r="R377" s="1072">
        <v>20.149999999999999</v>
      </c>
      <c r="S377" s="1066" t="s">
        <v>50</v>
      </c>
      <c r="T377" s="1066" t="s">
        <v>50</v>
      </c>
      <c r="U377" s="1066" t="s">
        <v>50</v>
      </c>
      <c r="V377" s="1067"/>
      <c r="W377" s="949" t="s">
        <v>32</v>
      </c>
    </row>
    <row r="378" spans="1:23" x14ac:dyDescent="0.25">
      <c r="A378" s="949" t="s">
        <v>9947</v>
      </c>
      <c r="B378" s="949" t="s">
        <v>9313</v>
      </c>
      <c r="C378" s="949" t="s">
        <v>106</v>
      </c>
      <c r="D378" s="949">
        <v>38.18338</v>
      </c>
      <c r="E378" s="949">
        <v>-121.66151000000001</v>
      </c>
      <c r="F378" s="949" t="s">
        <v>9951</v>
      </c>
      <c r="G378" s="949" t="s">
        <v>90</v>
      </c>
      <c r="H378" s="949" t="s">
        <v>108</v>
      </c>
      <c r="I378" s="949" t="s">
        <v>9780</v>
      </c>
      <c r="J378" s="949" t="s">
        <v>28</v>
      </c>
      <c r="K378" s="949" t="s">
        <v>29</v>
      </c>
      <c r="L378" s="949" t="s">
        <v>30</v>
      </c>
      <c r="M378" s="949">
        <v>2</v>
      </c>
      <c r="N378" s="949" t="s">
        <v>9952</v>
      </c>
      <c r="O378" s="949">
        <v>29.85</v>
      </c>
      <c r="P378" s="956">
        <v>304.55</v>
      </c>
      <c r="Q378" s="956">
        <v>1.135</v>
      </c>
      <c r="R378" s="956">
        <v>7.6050000000000004</v>
      </c>
      <c r="S378" s="949" t="s">
        <v>50</v>
      </c>
      <c r="T378" s="949" t="s">
        <v>50</v>
      </c>
      <c r="U378" s="949" t="s">
        <v>50</v>
      </c>
      <c r="V378" s="970"/>
      <c r="W378" s="750" t="s">
        <v>32</v>
      </c>
    </row>
    <row r="379" spans="1:23" s="1080" customFormat="1" x14ac:dyDescent="0.25">
      <c r="A379" s="1079" t="s">
        <v>9947</v>
      </c>
      <c r="B379" s="1079" t="s">
        <v>9313</v>
      </c>
      <c r="C379" s="1079" t="s">
        <v>106</v>
      </c>
      <c r="D379" s="1082">
        <v>38.423409999999997</v>
      </c>
      <c r="E379" s="1082">
        <v>-121.6062</v>
      </c>
      <c r="F379" s="1079" t="s">
        <v>9953</v>
      </c>
      <c r="G379" s="1079" t="s">
        <v>90</v>
      </c>
      <c r="H379" s="1079" t="s">
        <v>108</v>
      </c>
      <c r="I379" s="1079" t="s">
        <v>9715</v>
      </c>
      <c r="J379" s="1079" t="s">
        <v>28</v>
      </c>
      <c r="K379" s="1079" t="s">
        <v>29</v>
      </c>
      <c r="L379" s="949" t="s">
        <v>30</v>
      </c>
      <c r="M379" s="1079">
        <v>2</v>
      </c>
      <c r="N379" s="1079" t="s">
        <v>9896</v>
      </c>
      <c r="O379" s="1081">
        <v>32.200000000000003</v>
      </c>
      <c r="P379" s="1081">
        <v>619</v>
      </c>
      <c r="Q379" s="1081">
        <v>0.21</v>
      </c>
      <c r="R379" s="1081">
        <v>72.5</v>
      </c>
      <c r="S379" s="998" t="s">
        <v>50</v>
      </c>
      <c r="T379" s="1079" t="s">
        <v>50</v>
      </c>
      <c r="U379" s="1079" t="s">
        <v>50</v>
      </c>
      <c r="V379" s="1017" t="s">
        <v>10127</v>
      </c>
      <c r="W379" s="949" t="s">
        <v>32</v>
      </c>
    </row>
    <row r="380" spans="1:23" x14ac:dyDescent="0.25">
      <c r="A380" s="1066" t="s">
        <v>9947</v>
      </c>
      <c r="B380" s="1066" t="s">
        <v>9313</v>
      </c>
      <c r="C380" s="1066" t="s">
        <v>106</v>
      </c>
      <c r="D380" s="1074">
        <v>38.279809999999998</v>
      </c>
      <c r="E380" s="1074">
        <v>-121.65929</v>
      </c>
      <c r="F380" s="1066" t="s">
        <v>9954</v>
      </c>
      <c r="G380" s="1066" t="s">
        <v>90</v>
      </c>
      <c r="H380" s="1066" t="s">
        <v>108</v>
      </c>
      <c r="I380" s="1066" t="s">
        <v>9681</v>
      </c>
      <c r="J380" s="1066" t="s">
        <v>28</v>
      </c>
      <c r="K380" s="1066" t="s">
        <v>29</v>
      </c>
      <c r="L380" s="956" t="s">
        <v>30</v>
      </c>
      <c r="M380" s="1066">
        <v>2</v>
      </c>
      <c r="N380" s="1066" t="s">
        <v>9896</v>
      </c>
      <c r="O380" s="1072">
        <v>36</v>
      </c>
      <c r="P380" s="1072">
        <v>186.65</v>
      </c>
      <c r="Q380" s="1072">
        <v>0.89</v>
      </c>
      <c r="R380" s="1072">
        <v>16.05</v>
      </c>
      <c r="S380" s="1066" t="s">
        <v>50</v>
      </c>
      <c r="T380" s="1066" t="s">
        <v>50</v>
      </c>
      <c r="U380" s="1066" t="s">
        <v>50</v>
      </c>
      <c r="V380" s="1067" t="s">
        <v>9349</v>
      </c>
      <c r="W380" s="750" t="s">
        <v>32</v>
      </c>
    </row>
    <row r="381" spans="1:23" x14ac:dyDescent="0.25">
      <c r="A381" s="1066" t="s">
        <v>9947</v>
      </c>
      <c r="B381" s="1066" t="s">
        <v>9313</v>
      </c>
      <c r="C381" s="1066" t="s">
        <v>106</v>
      </c>
      <c r="D381" s="1074">
        <v>38.194580000000002</v>
      </c>
      <c r="E381" s="1074">
        <v>-121.65616</v>
      </c>
      <c r="F381" s="1066" t="s">
        <v>9955</v>
      </c>
      <c r="G381" s="1066" t="s">
        <v>90</v>
      </c>
      <c r="H381" s="1066" t="s">
        <v>108</v>
      </c>
      <c r="I381" s="1066" t="s">
        <v>9956</v>
      </c>
      <c r="J381" s="1066" t="s">
        <v>28</v>
      </c>
      <c r="K381" s="1066" t="s">
        <v>29</v>
      </c>
      <c r="L381" s="949" t="s">
        <v>30</v>
      </c>
      <c r="M381" s="1066">
        <v>2</v>
      </c>
      <c r="N381" s="1066" t="s">
        <v>9896</v>
      </c>
      <c r="O381" s="1072">
        <v>46.45</v>
      </c>
      <c r="P381" s="1072">
        <v>207.55</v>
      </c>
      <c r="Q381" s="1072">
        <v>1.1599999999999999</v>
      </c>
      <c r="R381" s="1072">
        <v>7.35</v>
      </c>
      <c r="S381" s="1066" t="s">
        <v>50</v>
      </c>
      <c r="T381" s="1066" t="s">
        <v>50</v>
      </c>
      <c r="U381" s="1066" t="s">
        <v>50</v>
      </c>
      <c r="V381" s="1067" t="s">
        <v>9349</v>
      </c>
      <c r="W381" s="750" t="s">
        <v>32</v>
      </c>
    </row>
    <row r="382" spans="1:23" s="1086" customFormat="1" x14ac:dyDescent="0.25">
      <c r="A382" s="1083" t="s">
        <v>9947</v>
      </c>
      <c r="B382" s="1084" t="s">
        <v>9313</v>
      </c>
      <c r="C382" s="1084" t="s">
        <v>106</v>
      </c>
      <c r="D382" s="1085">
        <v>38.42624</v>
      </c>
      <c r="E382" s="1085">
        <v>-121.60535</v>
      </c>
      <c r="F382" s="1084" t="s">
        <v>9957</v>
      </c>
      <c r="G382" s="1084" t="s">
        <v>90</v>
      </c>
      <c r="H382" s="1084" t="s">
        <v>108</v>
      </c>
      <c r="I382" s="64">
        <v>0.33958333333333335</v>
      </c>
      <c r="J382" s="1083" t="s">
        <v>28</v>
      </c>
      <c r="K382" s="1083" t="s">
        <v>29</v>
      </c>
      <c r="L382" s="1084" t="s">
        <v>30</v>
      </c>
      <c r="M382" s="1083">
        <v>2</v>
      </c>
      <c r="O382" s="1087">
        <v>24.1</v>
      </c>
      <c r="P382" s="1088">
        <v>647</v>
      </c>
      <c r="Q382" s="1089">
        <v>0.23499999999999999</v>
      </c>
      <c r="R382" s="1089">
        <v>70.5</v>
      </c>
      <c r="S382" s="361" t="s">
        <v>50</v>
      </c>
      <c r="T382" s="361" t="s">
        <v>50</v>
      </c>
      <c r="U382" s="361" t="s">
        <v>50</v>
      </c>
      <c r="V382" s="366" t="s">
        <v>10126</v>
      </c>
      <c r="W382" s="1035" t="s">
        <v>32</v>
      </c>
    </row>
    <row r="383" spans="1:23" x14ac:dyDescent="0.25">
      <c r="A383" s="443">
        <v>44368</v>
      </c>
      <c r="B383" s="949" t="s">
        <v>24</v>
      </c>
      <c r="C383" s="949" t="s">
        <v>845</v>
      </c>
      <c r="D383" s="950">
        <v>38.256230000000002</v>
      </c>
      <c r="E383" s="950">
        <v>-121.68752000000001</v>
      </c>
      <c r="F383" s="949" t="s">
        <v>9961</v>
      </c>
      <c r="G383" s="949" t="s">
        <v>90</v>
      </c>
      <c r="H383" s="949" t="s">
        <v>126</v>
      </c>
      <c r="I383" s="66">
        <v>0.44861111111111113</v>
      </c>
      <c r="J383" s="949" t="s">
        <v>28</v>
      </c>
      <c r="K383" s="949" t="s">
        <v>29</v>
      </c>
      <c r="L383" s="949" t="s">
        <v>30</v>
      </c>
      <c r="M383" s="949">
        <v>2</v>
      </c>
      <c r="N383" s="441"/>
      <c r="O383" s="955">
        <v>32.85</v>
      </c>
      <c r="P383" s="428">
        <v>191.45</v>
      </c>
      <c r="Q383" s="955">
        <v>1.1000000000000001</v>
      </c>
      <c r="R383" s="955">
        <v>7.7249999999999996</v>
      </c>
      <c r="S383" s="949" t="s">
        <v>50</v>
      </c>
      <c r="T383" s="949" t="s">
        <v>50</v>
      </c>
      <c r="U383" s="949" t="s">
        <v>50</v>
      </c>
      <c r="V383" s="441"/>
      <c r="W383" s="750" t="s">
        <v>32</v>
      </c>
    </row>
    <row r="384" spans="1:23" s="857" customFormat="1" x14ac:dyDescent="0.25">
      <c r="A384" s="446">
        <v>44368</v>
      </c>
      <c r="B384" s="714" t="s">
        <v>24</v>
      </c>
      <c r="C384" s="714" t="s">
        <v>845</v>
      </c>
      <c r="D384" s="1040">
        <v>38.284680000000002</v>
      </c>
      <c r="E384" s="1040">
        <v>-121.71939999999999</v>
      </c>
      <c r="F384" s="714" t="s">
        <v>9998</v>
      </c>
      <c r="G384" s="714" t="s">
        <v>90</v>
      </c>
      <c r="H384" s="714" t="s">
        <v>126</v>
      </c>
      <c r="I384" s="425">
        <v>0.36388888888888887</v>
      </c>
      <c r="J384" s="714" t="s">
        <v>28</v>
      </c>
      <c r="K384" s="714" t="s">
        <v>29</v>
      </c>
      <c r="L384" s="714" t="s">
        <v>30</v>
      </c>
      <c r="M384" s="714">
        <v>0</v>
      </c>
      <c r="N384" s="491"/>
      <c r="O384" s="752" t="s">
        <v>50</v>
      </c>
      <c r="P384" s="427" t="s">
        <v>50</v>
      </c>
      <c r="Q384" s="752" t="s">
        <v>50</v>
      </c>
      <c r="R384" s="752" t="s">
        <v>50</v>
      </c>
      <c r="S384" s="714" t="s">
        <v>50</v>
      </c>
      <c r="T384" s="714" t="s">
        <v>50</v>
      </c>
      <c r="U384" s="714" t="s">
        <v>50</v>
      </c>
      <c r="V384" s="720" t="s">
        <v>9999</v>
      </c>
      <c r="W384" s="714" t="s">
        <v>32</v>
      </c>
    </row>
    <row r="385" spans="1:23" x14ac:dyDescent="0.25">
      <c r="A385" s="443">
        <v>44368</v>
      </c>
      <c r="B385" s="949" t="s">
        <v>24</v>
      </c>
      <c r="C385" s="949" t="s">
        <v>845</v>
      </c>
      <c r="D385" s="950">
        <v>38.268470000000001</v>
      </c>
      <c r="E385" s="950">
        <v>-121.69235</v>
      </c>
      <c r="F385" s="949" t="s">
        <v>9962</v>
      </c>
      <c r="G385" s="949" t="s">
        <v>90</v>
      </c>
      <c r="H385" s="949" t="s">
        <v>126</v>
      </c>
      <c r="I385" s="66">
        <v>0.39097222222222222</v>
      </c>
      <c r="J385" s="949" t="s">
        <v>28</v>
      </c>
      <c r="K385" s="949" t="s">
        <v>29</v>
      </c>
      <c r="L385" s="949" t="s">
        <v>30</v>
      </c>
      <c r="M385" s="949">
        <v>2</v>
      </c>
      <c r="N385" s="441"/>
      <c r="O385" s="955">
        <v>16.850000000000001</v>
      </c>
      <c r="P385" s="428">
        <v>192.85</v>
      </c>
      <c r="Q385" s="955">
        <v>0.75</v>
      </c>
      <c r="R385" s="955">
        <v>6.96</v>
      </c>
      <c r="S385" s="949" t="s">
        <v>50</v>
      </c>
      <c r="T385" s="949" t="s">
        <v>50</v>
      </c>
      <c r="U385" s="949" t="s">
        <v>50</v>
      </c>
      <c r="V385" s="441"/>
      <c r="W385" s="750" t="s">
        <v>32</v>
      </c>
    </row>
    <row r="386" spans="1:23" x14ac:dyDescent="0.25">
      <c r="A386" s="443">
        <v>44368</v>
      </c>
      <c r="B386" s="949" t="s">
        <v>24</v>
      </c>
      <c r="C386" s="949" t="s">
        <v>845</v>
      </c>
      <c r="D386" s="950">
        <v>38.276960000000003</v>
      </c>
      <c r="E386" s="950">
        <v>-121.69418</v>
      </c>
      <c r="F386" s="949" t="s">
        <v>9963</v>
      </c>
      <c r="G386" s="949" t="s">
        <v>90</v>
      </c>
      <c r="H386" s="949" t="s">
        <v>126</v>
      </c>
      <c r="I386" s="66">
        <v>0.42222222222222222</v>
      </c>
      <c r="J386" s="949" t="s">
        <v>28</v>
      </c>
      <c r="K386" s="949" t="s">
        <v>29</v>
      </c>
      <c r="L386" s="949" t="s">
        <v>30</v>
      </c>
      <c r="M386" s="949">
        <v>2</v>
      </c>
      <c r="N386" s="441"/>
      <c r="O386" s="955">
        <v>21</v>
      </c>
      <c r="P386" s="428">
        <v>202.65</v>
      </c>
      <c r="Q386" s="955">
        <v>1.1399999999999999</v>
      </c>
      <c r="R386" s="955">
        <v>6.67</v>
      </c>
      <c r="S386" s="949" t="s">
        <v>50</v>
      </c>
      <c r="T386" s="949" t="s">
        <v>50</v>
      </c>
      <c r="U386" s="949" t="s">
        <v>50</v>
      </c>
      <c r="V386" s="441"/>
      <c r="W386" s="750" t="s">
        <v>32</v>
      </c>
    </row>
    <row r="387" spans="1:23" x14ac:dyDescent="0.25">
      <c r="A387" s="443">
        <v>44368</v>
      </c>
      <c r="B387" s="949" t="s">
        <v>24</v>
      </c>
      <c r="C387" s="949" t="s">
        <v>845</v>
      </c>
      <c r="D387" s="950">
        <v>38.306780000000003</v>
      </c>
      <c r="E387" s="950">
        <v>-121.66618</v>
      </c>
      <c r="F387" s="949" t="s">
        <v>9964</v>
      </c>
      <c r="G387" s="949" t="s">
        <v>90</v>
      </c>
      <c r="H387" s="949" t="s">
        <v>126</v>
      </c>
      <c r="I387" s="66">
        <v>0.48194444444444445</v>
      </c>
      <c r="J387" s="949" t="s">
        <v>28</v>
      </c>
      <c r="K387" s="949" t="s">
        <v>29</v>
      </c>
      <c r="L387" s="949" t="s">
        <v>30</v>
      </c>
      <c r="M387" s="949">
        <v>2</v>
      </c>
      <c r="N387" s="441"/>
      <c r="O387" s="955">
        <v>18.649999999999999</v>
      </c>
      <c r="P387" s="428">
        <v>212.35</v>
      </c>
      <c r="Q387" s="955">
        <v>0.60499999999999998</v>
      </c>
      <c r="R387" s="955">
        <v>14.8</v>
      </c>
      <c r="S387" s="949" t="s">
        <v>50</v>
      </c>
      <c r="T387" s="949" t="s">
        <v>50</v>
      </c>
      <c r="U387" s="949" t="s">
        <v>50</v>
      </c>
      <c r="V387" s="441"/>
      <c r="W387" s="949" t="s">
        <v>32</v>
      </c>
    </row>
    <row r="388" spans="1:23" x14ac:dyDescent="0.25">
      <c r="A388" s="443">
        <v>44368</v>
      </c>
      <c r="B388" s="949" t="s">
        <v>24</v>
      </c>
      <c r="C388" s="949" t="s">
        <v>845</v>
      </c>
      <c r="D388" s="870">
        <v>38.285330000000002</v>
      </c>
      <c r="E388" s="870">
        <v>-121.71823000000001</v>
      </c>
      <c r="F388" s="949" t="s">
        <v>10000</v>
      </c>
      <c r="G388" s="949" t="s">
        <v>90</v>
      </c>
      <c r="H388" s="949" t="s">
        <v>126</v>
      </c>
      <c r="I388" s="66">
        <v>0.36388888888888887</v>
      </c>
      <c r="J388" s="949" t="s">
        <v>28</v>
      </c>
      <c r="K388" s="949" t="s">
        <v>29</v>
      </c>
      <c r="L388" s="949" t="s">
        <v>30</v>
      </c>
      <c r="M388" s="949">
        <v>1</v>
      </c>
      <c r="N388" s="441"/>
      <c r="O388" s="955">
        <v>8</v>
      </c>
      <c r="P388" s="428">
        <v>198.7</v>
      </c>
      <c r="Q388" s="955">
        <v>1.17</v>
      </c>
      <c r="R388" s="955">
        <v>3.54</v>
      </c>
      <c r="S388" s="949" t="s">
        <v>50</v>
      </c>
      <c r="T388" s="949" t="s">
        <v>50</v>
      </c>
      <c r="U388" s="949" t="s">
        <v>50</v>
      </c>
      <c r="V388" s="970" t="s">
        <v>10001</v>
      </c>
      <c r="W388" s="949" t="s">
        <v>32</v>
      </c>
    </row>
    <row r="389" spans="1:23" x14ac:dyDescent="0.25">
      <c r="A389" s="443">
        <v>44368</v>
      </c>
      <c r="B389" s="949" t="s">
        <v>24</v>
      </c>
      <c r="C389" s="949" t="s">
        <v>845</v>
      </c>
      <c r="D389" s="950">
        <v>38.287770000000002</v>
      </c>
      <c r="E389" s="950">
        <v>-121.66484</v>
      </c>
      <c r="F389" s="949" t="s">
        <v>9965</v>
      </c>
      <c r="G389" s="949" t="s">
        <v>90</v>
      </c>
      <c r="H389" s="949" t="s">
        <v>126</v>
      </c>
      <c r="I389" s="66">
        <v>0.50694444444444442</v>
      </c>
      <c r="J389" s="949" t="s">
        <v>28</v>
      </c>
      <c r="K389" s="949" t="s">
        <v>29</v>
      </c>
      <c r="L389" s="949" t="s">
        <v>30</v>
      </c>
      <c r="M389" s="949">
        <v>2</v>
      </c>
      <c r="N389" s="441"/>
      <c r="O389" s="428">
        <v>29.5</v>
      </c>
      <c r="P389" s="428">
        <v>202.6</v>
      </c>
      <c r="Q389" s="428">
        <v>0.59</v>
      </c>
      <c r="R389" s="428">
        <v>17.3</v>
      </c>
      <c r="S389" s="949" t="s">
        <v>50</v>
      </c>
      <c r="T389" s="949" t="s">
        <v>50</v>
      </c>
      <c r="U389" s="949" t="s">
        <v>50</v>
      </c>
      <c r="V389" s="441"/>
      <c r="W389" s="1103" t="s">
        <v>32</v>
      </c>
    </row>
    <row r="390" spans="1:23" x14ac:dyDescent="0.25">
      <c r="A390" s="443">
        <v>44368</v>
      </c>
      <c r="B390" s="949" t="s">
        <v>24</v>
      </c>
      <c r="C390" s="949" t="s">
        <v>62</v>
      </c>
      <c r="D390" s="870">
        <v>38.183999999999997</v>
      </c>
      <c r="E390" s="870">
        <v>-121.98768</v>
      </c>
      <c r="F390" s="949" t="s">
        <v>9966</v>
      </c>
      <c r="G390" s="949" t="s">
        <v>27</v>
      </c>
      <c r="H390" s="949" t="s">
        <v>62</v>
      </c>
      <c r="I390" s="66">
        <v>0.40972222222222227</v>
      </c>
      <c r="J390" s="949" t="s">
        <v>28</v>
      </c>
      <c r="K390" s="949" t="s">
        <v>29</v>
      </c>
      <c r="L390" s="949" t="s">
        <v>30</v>
      </c>
      <c r="M390" s="949">
        <v>2</v>
      </c>
      <c r="N390" s="441"/>
      <c r="O390" s="955">
        <v>26.15</v>
      </c>
      <c r="P390" s="428">
        <v>13805.5</v>
      </c>
      <c r="Q390" s="955">
        <v>0.47</v>
      </c>
      <c r="R390" s="955">
        <v>37.85</v>
      </c>
      <c r="S390" s="949" t="s">
        <v>50</v>
      </c>
      <c r="T390" s="949" t="s">
        <v>50</v>
      </c>
      <c r="U390" s="949" t="s">
        <v>50</v>
      </c>
      <c r="V390" s="441"/>
      <c r="W390" s="1103" t="s">
        <v>32</v>
      </c>
    </row>
    <row r="391" spans="1:23" x14ac:dyDescent="0.25">
      <c r="A391" s="443">
        <v>44368</v>
      </c>
      <c r="B391" s="949" t="s">
        <v>24</v>
      </c>
      <c r="C391" s="949" t="s">
        <v>62</v>
      </c>
      <c r="D391" s="870">
        <v>38.185690000000001</v>
      </c>
      <c r="E391" s="870">
        <v>-121.98291999999999</v>
      </c>
      <c r="F391" s="949" t="s">
        <v>9967</v>
      </c>
      <c r="G391" s="949" t="s">
        <v>27</v>
      </c>
      <c r="H391" s="949" t="s">
        <v>62</v>
      </c>
      <c r="I391" s="66">
        <v>0.38472222222222219</v>
      </c>
      <c r="J391" s="949" t="s">
        <v>28</v>
      </c>
      <c r="K391" s="949" t="s">
        <v>29</v>
      </c>
      <c r="L391" s="949" t="s">
        <v>30</v>
      </c>
      <c r="M391" s="949">
        <v>2</v>
      </c>
      <c r="N391" s="441"/>
      <c r="O391" s="955">
        <v>25.25</v>
      </c>
      <c r="P391" s="428">
        <v>13670</v>
      </c>
      <c r="Q391" s="955">
        <v>0.47</v>
      </c>
      <c r="R391" s="955">
        <v>22.45</v>
      </c>
      <c r="S391" s="949" t="s">
        <v>50</v>
      </c>
      <c r="T391" s="949" t="s">
        <v>50</v>
      </c>
      <c r="U391" s="949" t="s">
        <v>50</v>
      </c>
      <c r="V391" s="441"/>
      <c r="W391" s="949" t="s">
        <v>3299</v>
      </c>
    </row>
    <row r="392" spans="1:23" x14ac:dyDescent="0.25">
      <c r="A392" s="443">
        <v>44368</v>
      </c>
      <c r="B392" s="949" t="s">
        <v>24</v>
      </c>
      <c r="C392" s="949" t="s">
        <v>62</v>
      </c>
      <c r="D392" s="870">
        <v>38.132649999999998</v>
      </c>
      <c r="E392" s="870">
        <v>-122.0641</v>
      </c>
      <c r="F392" s="949" t="s">
        <v>9968</v>
      </c>
      <c r="G392" s="949" t="s">
        <v>27</v>
      </c>
      <c r="H392" s="949" t="s">
        <v>62</v>
      </c>
      <c r="I392" s="66">
        <v>0.48958333333333331</v>
      </c>
      <c r="J392" s="949" t="s">
        <v>28</v>
      </c>
      <c r="K392" s="949" t="s">
        <v>29</v>
      </c>
      <c r="L392" s="949" t="s">
        <v>30</v>
      </c>
      <c r="M392" s="949">
        <v>2</v>
      </c>
      <c r="N392" s="441"/>
      <c r="O392" s="955">
        <v>25.15</v>
      </c>
      <c r="P392" s="428">
        <v>23434</v>
      </c>
      <c r="Q392" s="955">
        <v>0.26</v>
      </c>
      <c r="R392" s="955">
        <v>69</v>
      </c>
      <c r="S392" s="949" t="s">
        <v>50</v>
      </c>
      <c r="T392" s="949" t="s">
        <v>50</v>
      </c>
      <c r="U392" s="949" t="s">
        <v>50</v>
      </c>
      <c r="V392" s="441"/>
      <c r="W392" s="1103" t="s">
        <v>32</v>
      </c>
    </row>
    <row r="393" spans="1:23" x14ac:dyDescent="0.25">
      <c r="A393" s="443">
        <v>44368</v>
      </c>
      <c r="B393" s="949" t="s">
        <v>24</v>
      </c>
      <c r="C393" s="949" t="s">
        <v>62</v>
      </c>
      <c r="D393" s="870">
        <v>38.165959999999998</v>
      </c>
      <c r="E393" s="870">
        <v>-122.06613</v>
      </c>
      <c r="F393" s="949" t="s">
        <v>9969</v>
      </c>
      <c r="G393" s="949" t="s">
        <v>27</v>
      </c>
      <c r="H393" s="949" t="s">
        <v>62</v>
      </c>
      <c r="I393" s="66">
        <v>0.4597222222222222</v>
      </c>
      <c r="J393" s="949" t="s">
        <v>28</v>
      </c>
      <c r="K393" s="949" t="s">
        <v>29</v>
      </c>
      <c r="L393" s="949" t="s">
        <v>30</v>
      </c>
      <c r="M393" s="949">
        <v>2</v>
      </c>
      <c r="N393" s="441"/>
      <c r="O393" s="428">
        <v>28.8</v>
      </c>
      <c r="P393" s="428">
        <v>13847</v>
      </c>
      <c r="Q393" s="428">
        <v>0.22</v>
      </c>
      <c r="R393" s="428">
        <v>100.1</v>
      </c>
      <c r="S393" s="949" t="s">
        <v>50</v>
      </c>
      <c r="T393" s="949" t="s">
        <v>50</v>
      </c>
      <c r="U393" s="949" t="s">
        <v>50</v>
      </c>
      <c r="V393" s="441"/>
      <c r="W393" s="1103" t="s">
        <v>32</v>
      </c>
    </row>
    <row r="394" spans="1:23" x14ac:dyDescent="0.25">
      <c r="A394" s="443">
        <v>44368</v>
      </c>
      <c r="B394" s="949" t="s">
        <v>24</v>
      </c>
      <c r="C394" s="949" t="s">
        <v>62</v>
      </c>
      <c r="D394" s="870">
        <v>38.116399999999999</v>
      </c>
      <c r="E394" s="870">
        <v>-122.05646</v>
      </c>
      <c r="F394" s="949" t="s">
        <v>9970</v>
      </c>
      <c r="G394" s="949" t="s">
        <v>27</v>
      </c>
      <c r="H394" s="949" t="s">
        <v>173</v>
      </c>
      <c r="I394" s="66">
        <v>0.51666666666666672</v>
      </c>
      <c r="J394" s="949" t="s">
        <v>28</v>
      </c>
      <c r="K394" s="949" t="s">
        <v>29</v>
      </c>
      <c r="L394" s="949" t="s">
        <v>30</v>
      </c>
      <c r="M394" s="949">
        <v>2</v>
      </c>
      <c r="N394" s="441"/>
      <c r="O394" s="955">
        <v>10.85</v>
      </c>
      <c r="P394" s="428">
        <v>25790</v>
      </c>
      <c r="Q394" s="955">
        <v>0.32</v>
      </c>
      <c r="R394" s="955">
        <v>52.45</v>
      </c>
      <c r="S394" s="949" t="s">
        <v>50</v>
      </c>
      <c r="T394" s="949" t="s">
        <v>50</v>
      </c>
      <c r="U394" s="949" t="s">
        <v>50</v>
      </c>
      <c r="V394" s="441"/>
      <c r="W394" s="1103" t="s">
        <v>32</v>
      </c>
    </row>
    <row r="395" spans="1:23" x14ac:dyDescent="0.25">
      <c r="A395" s="949" t="s">
        <v>10002</v>
      </c>
      <c r="B395" s="949" t="s">
        <v>9279</v>
      </c>
      <c r="C395" s="949" t="s">
        <v>88</v>
      </c>
      <c r="D395" s="950">
        <v>38.065890000000003</v>
      </c>
      <c r="E395" s="950">
        <v>-121.78923</v>
      </c>
      <c r="F395" s="949" t="s">
        <v>10003</v>
      </c>
      <c r="G395" s="949" t="s">
        <v>27</v>
      </c>
      <c r="H395" s="949" t="s">
        <v>9364</v>
      </c>
      <c r="I395" s="949" t="s">
        <v>9597</v>
      </c>
      <c r="J395" s="949" t="s">
        <v>28</v>
      </c>
      <c r="K395" s="949" t="s">
        <v>29</v>
      </c>
      <c r="L395" s="949" t="s">
        <v>30</v>
      </c>
      <c r="M395" s="949">
        <v>2</v>
      </c>
      <c r="N395" s="949" t="s">
        <v>9896</v>
      </c>
      <c r="O395" s="955">
        <v>26.4</v>
      </c>
      <c r="P395" s="955">
        <v>4156</v>
      </c>
      <c r="Q395" s="955">
        <v>0.42</v>
      </c>
      <c r="R395" s="955">
        <v>22.65</v>
      </c>
      <c r="S395" s="949" t="s">
        <v>50</v>
      </c>
      <c r="T395" s="949" t="s">
        <v>50</v>
      </c>
      <c r="U395" s="949" t="s">
        <v>50</v>
      </c>
      <c r="V395" s="970" t="s">
        <v>9349</v>
      </c>
      <c r="W395" s="1103" t="s">
        <v>32</v>
      </c>
    </row>
    <row r="396" spans="1:23" x14ac:dyDescent="0.25">
      <c r="A396" s="949" t="s">
        <v>10002</v>
      </c>
      <c r="B396" s="949" t="s">
        <v>9279</v>
      </c>
      <c r="C396" s="949" t="s">
        <v>88</v>
      </c>
      <c r="D396" s="950">
        <v>38.074800000000003</v>
      </c>
      <c r="E396" s="950">
        <v>-121.76018999999999</v>
      </c>
      <c r="F396" s="949" t="s">
        <v>10004</v>
      </c>
      <c r="G396" s="949" t="s">
        <v>27</v>
      </c>
      <c r="H396" s="949" t="s">
        <v>9364</v>
      </c>
      <c r="I396" s="949" t="s">
        <v>10005</v>
      </c>
      <c r="J396" s="949" t="s">
        <v>28</v>
      </c>
      <c r="K396" s="949" t="s">
        <v>29</v>
      </c>
      <c r="L396" s="949" t="s">
        <v>30</v>
      </c>
      <c r="M396" s="949">
        <v>2</v>
      </c>
      <c r="N396" s="949" t="s">
        <v>9896</v>
      </c>
      <c r="O396" s="955">
        <v>27.7</v>
      </c>
      <c r="P396" s="955">
        <v>2413</v>
      </c>
      <c r="Q396" s="955">
        <v>0.625</v>
      </c>
      <c r="R396" s="955">
        <v>15.75</v>
      </c>
      <c r="S396" s="949" t="s">
        <v>50</v>
      </c>
      <c r="T396" s="949" t="s">
        <v>50</v>
      </c>
      <c r="U396" s="949" t="s">
        <v>50</v>
      </c>
      <c r="V396" s="970" t="s">
        <v>9349</v>
      </c>
      <c r="W396" s="1103" t="s">
        <v>32</v>
      </c>
    </row>
    <row r="397" spans="1:23" x14ac:dyDescent="0.25">
      <c r="A397" s="949" t="s">
        <v>10002</v>
      </c>
      <c r="B397" s="949" t="s">
        <v>9279</v>
      </c>
      <c r="C397" s="949" t="s">
        <v>88</v>
      </c>
      <c r="D397" s="950">
        <v>38.08681</v>
      </c>
      <c r="E397" s="950">
        <v>-121.73675</v>
      </c>
      <c r="F397" s="949" t="s">
        <v>10006</v>
      </c>
      <c r="G397" s="949" t="s">
        <v>90</v>
      </c>
      <c r="H397" s="949" t="s">
        <v>9368</v>
      </c>
      <c r="I397" s="949" t="s">
        <v>9881</v>
      </c>
      <c r="J397" s="949" t="s">
        <v>28</v>
      </c>
      <c r="K397" s="949" t="s">
        <v>29</v>
      </c>
      <c r="L397" s="949" t="s">
        <v>30</v>
      </c>
      <c r="M397" s="949">
        <v>2</v>
      </c>
      <c r="N397" s="949" t="s">
        <v>9896</v>
      </c>
      <c r="O397" s="955">
        <v>21.75</v>
      </c>
      <c r="P397" s="955">
        <v>2992</v>
      </c>
      <c r="Q397" s="955">
        <v>0.59</v>
      </c>
      <c r="R397" s="955">
        <v>68.3</v>
      </c>
      <c r="S397" s="949" t="s">
        <v>50</v>
      </c>
      <c r="T397" s="949" t="s">
        <v>50</v>
      </c>
      <c r="U397" s="949" t="s">
        <v>50</v>
      </c>
      <c r="V397" s="970" t="s">
        <v>9349</v>
      </c>
      <c r="W397" s="1103" t="s">
        <v>32</v>
      </c>
    </row>
    <row r="398" spans="1:23" x14ac:dyDescent="0.25">
      <c r="A398" s="949" t="s">
        <v>10002</v>
      </c>
      <c r="B398" s="949" t="s">
        <v>9279</v>
      </c>
      <c r="C398" s="949" t="s">
        <v>88</v>
      </c>
      <c r="D398" s="950">
        <v>38.095309999999998</v>
      </c>
      <c r="E398" s="950">
        <v>-121.68462</v>
      </c>
      <c r="F398" s="949" t="s">
        <v>10007</v>
      </c>
      <c r="G398" s="949" t="s">
        <v>90</v>
      </c>
      <c r="H398" s="949" t="s">
        <v>9368</v>
      </c>
      <c r="I398" s="949" t="s">
        <v>9561</v>
      </c>
      <c r="J398" s="949" t="s">
        <v>28</v>
      </c>
      <c r="K398" s="949" t="s">
        <v>29</v>
      </c>
      <c r="L398" s="949" t="s">
        <v>30</v>
      </c>
      <c r="M398" s="949">
        <v>2</v>
      </c>
      <c r="N398" s="949" t="s">
        <v>9896</v>
      </c>
      <c r="O398" s="955">
        <v>23.8</v>
      </c>
      <c r="P398" s="955">
        <v>1791</v>
      </c>
      <c r="Q398" s="955">
        <v>0.6</v>
      </c>
      <c r="R398" s="955">
        <v>13.5</v>
      </c>
      <c r="S398" s="949" t="s">
        <v>50</v>
      </c>
      <c r="T398" s="949" t="s">
        <v>50</v>
      </c>
      <c r="U398" s="949" t="s">
        <v>50</v>
      </c>
      <c r="V398" s="970" t="s">
        <v>9349</v>
      </c>
      <c r="W398" s="1103" t="s">
        <v>32</v>
      </c>
    </row>
    <row r="399" spans="1:23" x14ac:dyDescent="0.25">
      <c r="A399" s="949" t="s">
        <v>10002</v>
      </c>
      <c r="B399" s="949" t="s">
        <v>9279</v>
      </c>
      <c r="C399" s="949" t="s">
        <v>88</v>
      </c>
      <c r="D399" s="950">
        <v>38.124949999999998</v>
      </c>
      <c r="E399" s="950">
        <v>-121.69641</v>
      </c>
      <c r="F399" s="949" t="s">
        <v>10008</v>
      </c>
      <c r="G399" s="949" t="s">
        <v>90</v>
      </c>
      <c r="H399" s="949" t="s">
        <v>9368</v>
      </c>
      <c r="I399" s="949" t="s">
        <v>9643</v>
      </c>
      <c r="J399" s="949" t="s">
        <v>28</v>
      </c>
      <c r="K399" s="949" t="s">
        <v>29</v>
      </c>
      <c r="L399" s="949" t="s">
        <v>30</v>
      </c>
      <c r="M399" s="949">
        <v>2</v>
      </c>
      <c r="N399" s="949" t="s">
        <v>9896</v>
      </c>
      <c r="O399" s="955">
        <v>31.85</v>
      </c>
      <c r="P399" s="955">
        <v>363</v>
      </c>
      <c r="Q399" s="955">
        <v>0.85499999999999998</v>
      </c>
      <c r="R399" s="955">
        <v>10.55</v>
      </c>
      <c r="S399" s="949" t="s">
        <v>50</v>
      </c>
      <c r="T399" s="949" t="s">
        <v>50</v>
      </c>
      <c r="U399" s="949" t="s">
        <v>50</v>
      </c>
      <c r="V399" s="970" t="s">
        <v>9349</v>
      </c>
      <c r="W399" s="1103" t="s">
        <v>32</v>
      </c>
    </row>
    <row r="400" spans="1:23" x14ac:dyDescent="0.25">
      <c r="A400" s="949" t="s">
        <v>10002</v>
      </c>
      <c r="B400" s="949" t="s">
        <v>9279</v>
      </c>
      <c r="C400" s="949" t="s">
        <v>78</v>
      </c>
      <c r="D400" s="950">
        <v>38.0428</v>
      </c>
      <c r="E400" s="950">
        <v>-121.84220000000001</v>
      </c>
      <c r="F400" s="949" t="s">
        <v>10009</v>
      </c>
      <c r="G400" s="949" t="s">
        <v>27</v>
      </c>
      <c r="H400" s="949" t="s">
        <v>101</v>
      </c>
      <c r="I400" s="949" t="s">
        <v>9561</v>
      </c>
      <c r="J400" s="949" t="s">
        <v>28</v>
      </c>
      <c r="K400" s="949" t="s">
        <v>29</v>
      </c>
      <c r="L400" s="949" t="s">
        <v>30</v>
      </c>
      <c r="M400" s="949">
        <v>2</v>
      </c>
      <c r="N400" s="949" t="s">
        <v>9896</v>
      </c>
      <c r="O400" s="955">
        <v>17.850000000000001</v>
      </c>
      <c r="P400" s="955">
        <v>8770.5</v>
      </c>
      <c r="Q400" s="955">
        <v>0.53</v>
      </c>
      <c r="R400" s="955">
        <v>25.5</v>
      </c>
      <c r="S400" s="949" t="s">
        <v>50</v>
      </c>
      <c r="T400" s="949" t="s">
        <v>50</v>
      </c>
      <c r="U400" s="949" t="s">
        <v>50</v>
      </c>
      <c r="V400" s="970" t="s">
        <v>9349</v>
      </c>
      <c r="W400" s="949" t="s">
        <v>3299</v>
      </c>
    </row>
    <row r="401" spans="1:23" x14ac:dyDescent="0.25">
      <c r="A401" s="961" t="s">
        <v>10002</v>
      </c>
      <c r="B401" s="961" t="s">
        <v>9279</v>
      </c>
      <c r="C401" s="961" t="s">
        <v>78</v>
      </c>
      <c r="D401" s="969">
        <v>38.075040000000001</v>
      </c>
      <c r="E401" s="969">
        <v>-121.94710000000001</v>
      </c>
      <c r="F401" s="961" t="s">
        <v>10010</v>
      </c>
      <c r="G401" s="961" t="s">
        <v>27</v>
      </c>
      <c r="H401" s="961" t="s">
        <v>9500</v>
      </c>
      <c r="I401" s="961" t="s">
        <v>9603</v>
      </c>
      <c r="J401" s="961" t="s">
        <v>28</v>
      </c>
      <c r="K401" s="961" t="s">
        <v>29</v>
      </c>
      <c r="L401" s="961" t="s">
        <v>30</v>
      </c>
      <c r="M401" s="961">
        <v>0</v>
      </c>
      <c r="N401" s="961" t="s">
        <v>50</v>
      </c>
      <c r="O401" s="966" t="s">
        <v>50</v>
      </c>
      <c r="P401" s="966" t="s">
        <v>50</v>
      </c>
      <c r="Q401" s="966" t="s">
        <v>50</v>
      </c>
      <c r="R401" s="966" t="s">
        <v>50</v>
      </c>
      <c r="S401" s="961" t="s">
        <v>50</v>
      </c>
      <c r="T401" s="961" t="s">
        <v>50</v>
      </c>
      <c r="U401" s="961" t="s">
        <v>50</v>
      </c>
      <c r="V401" s="962" t="s">
        <v>1822</v>
      </c>
      <c r="W401" s="961" t="s">
        <v>32</v>
      </c>
    </row>
    <row r="402" spans="1:23" x14ac:dyDescent="0.25">
      <c r="A402" s="949" t="s">
        <v>10002</v>
      </c>
      <c r="B402" s="949" t="s">
        <v>9279</v>
      </c>
      <c r="C402" s="949" t="s">
        <v>78</v>
      </c>
      <c r="D402" s="950">
        <v>38.063490000000002</v>
      </c>
      <c r="E402" s="950">
        <v>-122.05704</v>
      </c>
      <c r="F402" s="949" t="s">
        <v>10011</v>
      </c>
      <c r="G402" s="949" t="s">
        <v>80</v>
      </c>
      <c r="H402" s="949" t="s">
        <v>9390</v>
      </c>
      <c r="I402" s="949" t="s">
        <v>10012</v>
      </c>
      <c r="J402" s="949" t="s">
        <v>28</v>
      </c>
      <c r="K402" s="949" t="s">
        <v>29</v>
      </c>
      <c r="L402" s="949" t="s">
        <v>30</v>
      </c>
      <c r="M402" s="949">
        <v>2</v>
      </c>
      <c r="N402" s="949" t="s">
        <v>9896</v>
      </c>
      <c r="O402" s="955">
        <v>14</v>
      </c>
      <c r="P402" s="955">
        <v>20004</v>
      </c>
      <c r="Q402" s="955">
        <v>0.43</v>
      </c>
      <c r="R402" s="955">
        <v>29.35</v>
      </c>
      <c r="S402" s="949" t="s">
        <v>50</v>
      </c>
      <c r="T402" s="949" t="s">
        <v>50</v>
      </c>
      <c r="U402" s="949" t="s">
        <v>50</v>
      </c>
      <c r="V402" s="970" t="s">
        <v>9349</v>
      </c>
      <c r="W402" s="1103" t="s">
        <v>32</v>
      </c>
    </row>
    <row r="403" spans="1:23" x14ac:dyDescent="0.25">
      <c r="A403" s="949" t="s">
        <v>10002</v>
      </c>
      <c r="B403" s="949" t="s">
        <v>9279</v>
      </c>
      <c r="C403" s="949" t="s">
        <v>78</v>
      </c>
      <c r="D403" s="950">
        <v>38.056870000000004</v>
      </c>
      <c r="E403" s="950">
        <v>-122.08515</v>
      </c>
      <c r="F403" s="949" t="s">
        <v>10013</v>
      </c>
      <c r="G403" s="949" t="s">
        <v>80</v>
      </c>
      <c r="H403" s="949" t="s">
        <v>9390</v>
      </c>
      <c r="I403" s="949" t="s">
        <v>9417</v>
      </c>
      <c r="J403" s="949" t="s">
        <v>28</v>
      </c>
      <c r="K403" s="949" t="s">
        <v>29</v>
      </c>
      <c r="L403" s="949" t="s">
        <v>30</v>
      </c>
      <c r="M403" s="949">
        <v>2</v>
      </c>
      <c r="N403" s="949" t="s">
        <v>9896</v>
      </c>
      <c r="O403" s="955">
        <v>23.5</v>
      </c>
      <c r="P403" s="955">
        <v>24023.5</v>
      </c>
      <c r="Q403" s="955">
        <v>0.49</v>
      </c>
      <c r="R403" s="955">
        <v>28.9</v>
      </c>
      <c r="S403" s="949" t="s">
        <v>50</v>
      </c>
      <c r="T403" s="949" t="s">
        <v>50</v>
      </c>
      <c r="U403" s="949" t="s">
        <v>50</v>
      </c>
      <c r="V403" s="970" t="s">
        <v>9349</v>
      </c>
      <c r="W403" s="1103" t="s">
        <v>32</v>
      </c>
    </row>
    <row r="404" spans="1:23" x14ac:dyDescent="0.25">
      <c r="A404" s="443">
        <v>44369</v>
      </c>
      <c r="B404" s="949" t="s">
        <v>9279</v>
      </c>
      <c r="C404" s="949" t="s">
        <v>78</v>
      </c>
      <c r="D404" s="870">
        <v>38.07546</v>
      </c>
      <c r="E404" s="870">
        <v>-122.08234</v>
      </c>
      <c r="F404" s="949" t="s">
        <v>10014</v>
      </c>
      <c r="G404" s="949" t="s">
        <v>80</v>
      </c>
      <c r="H404" s="949" t="s">
        <v>81</v>
      </c>
      <c r="I404" s="66">
        <v>0.48402777777777778</v>
      </c>
      <c r="J404" s="949" t="s">
        <v>28</v>
      </c>
      <c r="K404" s="949" t="s">
        <v>29</v>
      </c>
      <c r="L404" s="949" t="s">
        <v>30</v>
      </c>
      <c r="M404" s="949">
        <v>2</v>
      </c>
      <c r="O404" s="955">
        <v>9.3000000000000007</v>
      </c>
      <c r="P404" s="428">
        <v>25677.5</v>
      </c>
      <c r="Q404" s="955">
        <v>0.32</v>
      </c>
      <c r="R404" s="955">
        <v>34.200000000000003</v>
      </c>
      <c r="S404" s="949" t="s">
        <v>50</v>
      </c>
      <c r="T404" s="949" t="s">
        <v>50</v>
      </c>
      <c r="U404" s="949" t="s">
        <v>50</v>
      </c>
      <c r="V404"/>
      <c r="W404" s="1103" t="s">
        <v>32</v>
      </c>
    </row>
    <row r="405" spans="1:23" x14ac:dyDescent="0.25">
      <c r="A405" s="443">
        <v>44370</v>
      </c>
      <c r="B405" s="949" t="s">
        <v>9296</v>
      </c>
      <c r="C405" s="949" t="s">
        <v>106</v>
      </c>
      <c r="D405" s="950">
        <v>38.559719999999999</v>
      </c>
      <c r="E405" s="950">
        <v>-121.56748</v>
      </c>
      <c r="F405" s="949" t="s">
        <v>10027</v>
      </c>
      <c r="G405" s="949" t="s">
        <v>90</v>
      </c>
      <c r="H405" s="949" t="s">
        <v>158</v>
      </c>
      <c r="I405" s="66">
        <v>0.46597222222222223</v>
      </c>
      <c r="J405" s="949" t="s">
        <v>28</v>
      </c>
      <c r="K405" s="949" t="s">
        <v>29</v>
      </c>
      <c r="L405" s="949" t="s">
        <v>30</v>
      </c>
      <c r="M405" s="949">
        <v>2</v>
      </c>
      <c r="N405" s="51"/>
      <c r="O405" s="955">
        <v>29.85</v>
      </c>
      <c r="P405" s="428">
        <v>1213</v>
      </c>
      <c r="Q405" s="955">
        <v>1.645</v>
      </c>
      <c r="R405" s="955">
        <v>3.7749999999999999</v>
      </c>
      <c r="S405" s="949" t="s">
        <v>50</v>
      </c>
      <c r="T405" s="949" t="s">
        <v>50</v>
      </c>
      <c r="U405" s="949" t="s">
        <v>50</v>
      </c>
      <c r="V405"/>
      <c r="W405" s="1103" t="s">
        <v>32</v>
      </c>
    </row>
    <row r="406" spans="1:23" x14ac:dyDescent="0.25">
      <c r="A406" s="443">
        <v>44370</v>
      </c>
      <c r="B406" s="949" t="s">
        <v>9296</v>
      </c>
      <c r="C406" s="949" t="s">
        <v>106</v>
      </c>
      <c r="D406" s="950">
        <v>38.564019999999999</v>
      </c>
      <c r="E406" s="950">
        <v>-121.55418</v>
      </c>
      <c r="F406" s="949" t="s">
        <v>10028</v>
      </c>
      <c r="G406" s="949" t="s">
        <v>90</v>
      </c>
      <c r="H406" s="949" t="s">
        <v>158</v>
      </c>
      <c r="I406" s="66">
        <v>0.43888888888888888</v>
      </c>
      <c r="J406" s="949" t="s">
        <v>28</v>
      </c>
      <c r="K406" s="949" t="s">
        <v>29</v>
      </c>
      <c r="L406" s="949" t="s">
        <v>30</v>
      </c>
      <c r="M406" s="949">
        <v>2</v>
      </c>
      <c r="N406" s="51"/>
      <c r="O406" s="955">
        <v>33.549999999999997</v>
      </c>
      <c r="P406" s="428">
        <v>1220.5</v>
      </c>
      <c r="Q406" s="955">
        <v>3.0649999999999999</v>
      </c>
      <c r="R406" s="955">
        <v>4.6950000000000003</v>
      </c>
      <c r="S406" s="949" t="s">
        <v>50</v>
      </c>
      <c r="T406" s="949" t="s">
        <v>50</v>
      </c>
      <c r="U406" s="949" t="s">
        <v>50</v>
      </c>
      <c r="V406"/>
      <c r="W406" s="949" t="s">
        <v>3299</v>
      </c>
    </row>
    <row r="407" spans="1:23" x14ac:dyDescent="0.25">
      <c r="A407" s="443">
        <v>44370</v>
      </c>
      <c r="B407" s="949" t="s">
        <v>9296</v>
      </c>
      <c r="C407" s="949" t="s">
        <v>106</v>
      </c>
      <c r="D407" s="950">
        <v>38.549959999999999</v>
      </c>
      <c r="E407" s="950">
        <v>-121.57992</v>
      </c>
      <c r="F407" s="949" t="s">
        <v>10029</v>
      </c>
      <c r="G407" s="949" t="s">
        <v>90</v>
      </c>
      <c r="H407" s="949" t="s">
        <v>158</v>
      </c>
      <c r="I407" s="66">
        <v>0.40902777777777777</v>
      </c>
      <c r="J407" s="949" t="s">
        <v>28</v>
      </c>
      <c r="K407" s="949" t="s">
        <v>29</v>
      </c>
      <c r="L407" s="949" t="s">
        <v>30</v>
      </c>
      <c r="M407" s="949">
        <v>2</v>
      </c>
      <c r="N407" s="51"/>
      <c r="O407" s="955">
        <v>31.3</v>
      </c>
      <c r="P407" s="428">
        <v>1127.5</v>
      </c>
      <c r="Q407" s="955">
        <v>0.75</v>
      </c>
      <c r="R407" s="955">
        <v>10.085000000000001</v>
      </c>
      <c r="S407" s="949" t="s">
        <v>50</v>
      </c>
      <c r="T407" s="949" t="s">
        <v>50</v>
      </c>
      <c r="U407" s="949" t="s">
        <v>50</v>
      </c>
      <c r="V407"/>
      <c r="W407" s="1103" t="s">
        <v>32</v>
      </c>
    </row>
    <row r="408" spans="1:23" x14ac:dyDescent="0.25">
      <c r="A408" s="443">
        <v>44370</v>
      </c>
      <c r="B408" s="949" t="s">
        <v>9296</v>
      </c>
      <c r="C408" s="949" t="s">
        <v>106</v>
      </c>
      <c r="D408" s="950">
        <v>38.239310000000003</v>
      </c>
      <c r="E408" s="950">
        <v>-121.67319000000001</v>
      </c>
      <c r="F408" s="949" t="s">
        <v>10030</v>
      </c>
      <c r="G408" s="1034" t="s">
        <v>90</v>
      </c>
      <c r="H408" s="949" t="s">
        <v>108</v>
      </c>
      <c r="I408" s="66">
        <v>0.32361111111111113</v>
      </c>
      <c r="J408" s="949" t="s">
        <v>28</v>
      </c>
      <c r="K408" s="949" t="s">
        <v>29</v>
      </c>
      <c r="L408" s="949" t="s">
        <v>30</v>
      </c>
      <c r="M408" s="949">
        <v>2</v>
      </c>
      <c r="N408" s="51"/>
      <c r="O408" s="955">
        <v>24.76</v>
      </c>
      <c r="P408" s="428">
        <v>216.6</v>
      </c>
      <c r="Q408" s="955">
        <v>0.67500000000000004</v>
      </c>
      <c r="R408" s="955">
        <v>16.2</v>
      </c>
      <c r="S408" s="949" t="s">
        <v>50</v>
      </c>
      <c r="T408" s="949" t="s">
        <v>50</v>
      </c>
      <c r="U408" s="949" t="s">
        <v>50</v>
      </c>
      <c r="V408"/>
      <c r="W408" s="1103" t="s">
        <v>32</v>
      </c>
    </row>
    <row r="409" spans="1:23" x14ac:dyDescent="0.25">
      <c r="A409" s="443">
        <v>44370</v>
      </c>
      <c r="B409" s="949" t="s">
        <v>9296</v>
      </c>
      <c r="C409" s="949" t="s">
        <v>106</v>
      </c>
      <c r="D409" s="870">
        <v>38.463450000000002</v>
      </c>
      <c r="E409" s="870">
        <v>-121.58852</v>
      </c>
      <c r="F409" s="949" t="s">
        <v>10031</v>
      </c>
      <c r="G409" s="949" t="s">
        <v>90</v>
      </c>
      <c r="H409" s="949" t="s">
        <v>108</v>
      </c>
      <c r="I409" s="66">
        <v>0.37083333333333335</v>
      </c>
      <c r="J409" s="949" t="s">
        <v>28</v>
      </c>
      <c r="K409" s="949" t="s">
        <v>29</v>
      </c>
      <c r="L409" s="949" t="s">
        <v>30</v>
      </c>
      <c r="M409" s="949">
        <v>2</v>
      </c>
      <c r="N409" s="51"/>
      <c r="O409" s="51">
        <v>34.25</v>
      </c>
      <c r="P409" s="428">
        <v>855.5</v>
      </c>
      <c r="Q409" s="51">
        <v>0.26</v>
      </c>
      <c r="R409" s="51">
        <v>36.450000000000003</v>
      </c>
      <c r="S409" s="51" t="s">
        <v>50</v>
      </c>
      <c r="T409" s="51" t="s">
        <v>50</v>
      </c>
      <c r="U409" s="51" t="s">
        <v>50</v>
      </c>
      <c r="V409"/>
      <c r="W409" s="1103" t="s">
        <v>32</v>
      </c>
    </row>
    <row r="410" spans="1:23" s="441" customFormat="1" x14ac:dyDescent="0.25">
      <c r="A410" s="443">
        <v>44371</v>
      </c>
      <c r="B410" s="949" t="s">
        <v>9313</v>
      </c>
      <c r="C410" s="949" t="s">
        <v>95</v>
      </c>
      <c r="D410" s="950">
        <v>38.097679999999997</v>
      </c>
      <c r="E410" s="950">
        <v>-121.66236000000001</v>
      </c>
      <c r="F410" s="949" t="s">
        <v>10032</v>
      </c>
      <c r="G410" s="949" t="s">
        <v>46</v>
      </c>
      <c r="H410" s="949" t="s">
        <v>5962</v>
      </c>
      <c r="I410" s="66">
        <v>0.45</v>
      </c>
      <c r="J410" s="949" t="s">
        <v>28</v>
      </c>
      <c r="K410" s="949" t="s">
        <v>29</v>
      </c>
      <c r="L410" s="949" t="s">
        <v>30</v>
      </c>
      <c r="M410" s="949">
        <v>2</v>
      </c>
      <c r="O410" s="955">
        <v>43.15</v>
      </c>
      <c r="P410" s="428">
        <v>1065</v>
      </c>
      <c r="Q410" s="955">
        <v>0.77</v>
      </c>
      <c r="R410" s="955">
        <v>13.2</v>
      </c>
      <c r="S410" s="949" t="s">
        <v>50</v>
      </c>
      <c r="T410" s="949" t="s">
        <v>50</v>
      </c>
      <c r="U410" s="949" t="s">
        <v>50</v>
      </c>
      <c r="W410" s="949" t="s">
        <v>3299</v>
      </c>
    </row>
    <row r="411" spans="1:23" x14ac:dyDescent="0.25">
      <c r="A411" s="443">
        <v>44371</v>
      </c>
      <c r="B411" s="949" t="s">
        <v>9313</v>
      </c>
      <c r="C411" s="949" t="s">
        <v>95</v>
      </c>
      <c r="D411" s="950">
        <v>38.059840000000001</v>
      </c>
      <c r="E411" s="950">
        <v>-121.67571</v>
      </c>
      <c r="F411" s="949" t="s">
        <v>10033</v>
      </c>
      <c r="G411" s="949" t="s">
        <v>46</v>
      </c>
      <c r="H411" s="949" t="s">
        <v>5962</v>
      </c>
      <c r="I411" s="66">
        <v>0.39374999999999999</v>
      </c>
      <c r="J411" s="949" t="s">
        <v>28</v>
      </c>
      <c r="K411" s="949" t="s">
        <v>29</v>
      </c>
      <c r="L411" s="949" t="s">
        <v>30</v>
      </c>
      <c r="M411" s="949">
        <v>2</v>
      </c>
      <c r="O411" s="955">
        <v>21.35</v>
      </c>
      <c r="P411" s="428">
        <v>1567</v>
      </c>
      <c r="Q411" s="955">
        <v>1.08</v>
      </c>
      <c r="R411" s="955">
        <v>8.2650000000000006</v>
      </c>
      <c r="S411" s="949" t="s">
        <v>50</v>
      </c>
      <c r="T411" s="949" t="s">
        <v>50</v>
      </c>
      <c r="U411" s="949" t="s">
        <v>50</v>
      </c>
      <c r="V411"/>
      <c r="W411" s="949" t="s">
        <v>3299</v>
      </c>
    </row>
    <row r="412" spans="1:23" x14ac:dyDescent="0.25">
      <c r="A412" s="443">
        <v>44371</v>
      </c>
      <c r="B412" s="949" t="s">
        <v>9313</v>
      </c>
      <c r="C412" s="949" t="s">
        <v>95</v>
      </c>
      <c r="D412" s="950">
        <v>38.091380000000001</v>
      </c>
      <c r="E412" s="950">
        <v>-121.67607</v>
      </c>
      <c r="F412" s="949" t="s">
        <v>10034</v>
      </c>
      <c r="G412" s="949" t="s">
        <v>46</v>
      </c>
      <c r="H412" s="949" t="s">
        <v>5962</v>
      </c>
      <c r="I412" s="66">
        <v>0.54375000000000007</v>
      </c>
      <c r="J412" s="949" t="s">
        <v>28</v>
      </c>
      <c r="K412" s="949" t="s">
        <v>29</v>
      </c>
      <c r="L412" s="949" t="s">
        <v>30</v>
      </c>
      <c r="M412" s="949">
        <v>2</v>
      </c>
      <c r="O412" s="955">
        <v>39.5</v>
      </c>
      <c r="P412" s="428">
        <v>848.5</v>
      </c>
      <c r="Q412" s="955">
        <v>0.75</v>
      </c>
      <c r="R412" s="955">
        <v>16.7</v>
      </c>
      <c r="S412" s="949" t="s">
        <v>50</v>
      </c>
      <c r="T412" s="949" t="s">
        <v>50</v>
      </c>
      <c r="U412" s="949" t="s">
        <v>50</v>
      </c>
      <c r="V412"/>
      <c r="W412" s="949" t="s">
        <v>3299</v>
      </c>
    </row>
    <row r="413" spans="1:23" x14ac:dyDescent="0.25">
      <c r="A413" s="443">
        <v>44371</v>
      </c>
      <c r="B413" s="949" t="s">
        <v>9313</v>
      </c>
      <c r="C413" s="949" t="s">
        <v>95</v>
      </c>
      <c r="D413" s="950">
        <v>38.042160000000003</v>
      </c>
      <c r="E413" s="950">
        <v>-121.70448</v>
      </c>
      <c r="F413" s="949" t="s">
        <v>10035</v>
      </c>
      <c r="G413" s="949" t="s">
        <v>46</v>
      </c>
      <c r="H413" s="949" t="s">
        <v>10036</v>
      </c>
      <c r="I413" s="66">
        <v>0.36319444444444443</v>
      </c>
      <c r="J413" s="949" t="s">
        <v>28</v>
      </c>
      <c r="K413" s="949" t="s">
        <v>29</v>
      </c>
      <c r="L413" s="949" t="s">
        <v>30</v>
      </c>
      <c r="M413" s="949">
        <v>2</v>
      </c>
      <c r="O413" s="955">
        <v>13.2</v>
      </c>
      <c r="P413" s="428">
        <v>3583</v>
      </c>
      <c r="Q413" s="955">
        <v>0.81</v>
      </c>
      <c r="R413" s="955">
        <v>15.4</v>
      </c>
      <c r="S413" s="949" t="s">
        <v>50</v>
      </c>
      <c r="T413" s="949" t="s">
        <v>50</v>
      </c>
      <c r="U413" s="949" t="s">
        <v>50</v>
      </c>
      <c r="V413" s="970" t="s">
        <v>10037</v>
      </c>
      <c r="W413" s="949" t="s">
        <v>3299</v>
      </c>
    </row>
    <row r="414" spans="1:23" x14ac:dyDescent="0.25">
      <c r="A414" s="443">
        <v>44371</v>
      </c>
      <c r="B414" s="949" t="s">
        <v>9313</v>
      </c>
      <c r="C414" s="949" t="s">
        <v>95</v>
      </c>
      <c r="D414" s="950">
        <v>38.037439999999997</v>
      </c>
      <c r="E414" s="950">
        <v>-121.49979999999999</v>
      </c>
      <c r="F414" s="949" t="s">
        <v>10038</v>
      </c>
      <c r="G414" s="949" t="s">
        <v>46</v>
      </c>
      <c r="H414" s="949" t="s">
        <v>9265</v>
      </c>
      <c r="I414" s="66">
        <v>0.49652777777777773</v>
      </c>
      <c r="J414" s="949" t="s">
        <v>28</v>
      </c>
      <c r="K414" s="949" t="s">
        <v>29</v>
      </c>
      <c r="L414" s="949" t="s">
        <v>30</v>
      </c>
      <c r="M414" s="949">
        <v>2</v>
      </c>
      <c r="N414" s="441"/>
      <c r="O414" s="955">
        <v>15.85</v>
      </c>
      <c r="P414" s="428">
        <v>569</v>
      </c>
      <c r="Q414" s="955">
        <v>1.77</v>
      </c>
      <c r="R414" s="955">
        <v>6.75</v>
      </c>
      <c r="S414" s="949" t="s">
        <v>50</v>
      </c>
      <c r="T414" s="949" t="s">
        <v>50</v>
      </c>
      <c r="U414" s="949" t="s">
        <v>50</v>
      </c>
      <c r="V414" s="970" t="s">
        <v>10039</v>
      </c>
      <c r="W414" s="949" t="s">
        <v>3299</v>
      </c>
    </row>
  </sheetData>
  <phoneticPr fontId="22" type="noConversion"/>
  <pageMargins left="0.7" right="0.7" top="0.75" bottom="0.75" header="0.3" footer="0.3"/>
  <pageSetup orientation="portrait" horizontalDpi="300" verticalDpi="300" r:id="rId1"/>
  <ignoredErrors>
    <ignoredError sqref="P331"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sheetPr>
  <dimension ref="A1:Y518"/>
  <sheetViews>
    <sheetView topLeftCell="L463" workbookViewId="0">
      <selection activeCell="Y492" sqref="Y492"/>
    </sheetView>
  </sheetViews>
  <sheetFormatPr defaultColWidth="9.140625" defaultRowHeight="15" x14ac:dyDescent="0.25"/>
  <cols>
    <col min="1" max="1" width="12.85546875" style="835" customWidth="1"/>
    <col min="2" max="2" width="9.140625" style="835" bestFit="1" customWidth="1"/>
    <col min="3" max="3" width="30.85546875" style="835" bestFit="1" customWidth="1"/>
    <col min="4" max="4" width="15.7109375" style="835" customWidth="1"/>
    <col min="5" max="5" width="14" style="835" bestFit="1" customWidth="1"/>
    <col min="6" max="6" width="14.85546875" style="835" customWidth="1"/>
    <col min="7" max="7" width="10.42578125" style="835" customWidth="1"/>
    <col min="8" max="8" width="43.7109375" style="835" customWidth="1"/>
    <col min="9" max="9" width="10.42578125" style="840" customWidth="1"/>
    <col min="10" max="14" width="20.7109375" style="835" customWidth="1"/>
    <col min="15" max="15" width="8" style="835" customWidth="1"/>
    <col min="16" max="16" width="15.7109375" style="835" customWidth="1"/>
    <col min="17" max="17" width="13" style="835" customWidth="1"/>
    <col min="18" max="18" width="13.42578125" style="835" customWidth="1"/>
    <col min="19" max="19" width="7.7109375" style="835" customWidth="1"/>
    <col min="20" max="20" width="6.85546875" style="835" customWidth="1"/>
    <col min="21" max="21" width="14.7109375" style="835" bestFit="1" customWidth="1"/>
    <col min="22" max="22" width="11.85546875" style="835" customWidth="1"/>
    <col min="23" max="23" width="8.28515625" style="835" customWidth="1"/>
    <col min="24" max="24" width="11.42578125" style="835" customWidth="1"/>
    <col min="25" max="25" width="88.85546875" style="52" bestFit="1" customWidth="1"/>
  </cols>
  <sheetData>
    <row r="1" spans="1:25" s="631" customFormat="1" x14ac:dyDescent="0.25">
      <c r="A1" s="831" t="s">
        <v>33</v>
      </c>
      <c r="B1" s="831"/>
      <c r="C1" s="831"/>
      <c r="D1" s="831"/>
      <c r="E1" s="831"/>
      <c r="F1" s="831"/>
      <c r="G1" s="831"/>
      <c r="H1" s="831"/>
      <c r="I1" s="832"/>
      <c r="J1" s="831"/>
      <c r="K1" s="831"/>
      <c r="L1" s="831"/>
      <c r="M1" s="831"/>
      <c r="N1" s="831"/>
      <c r="O1" s="831"/>
      <c r="P1" s="831"/>
      <c r="Q1" s="831"/>
      <c r="R1" s="831"/>
      <c r="S1" s="831"/>
      <c r="T1" s="831"/>
      <c r="U1" s="831"/>
      <c r="V1" s="831"/>
      <c r="W1" s="831"/>
      <c r="X1" s="831"/>
      <c r="Y1" s="5"/>
    </row>
    <row r="2" spans="1:25" s="141" customFormat="1" ht="15.75" thickBot="1" x14ac:dyDescent="0.3">
      <c r="A2" s="140" t="s">
        <v>1</v>
      </c>
      <c r="B2" s="140" t="s">
        <v>2</v>
      </c>
      <c r="C2" s="141" t="s">
        <v>3</v>
      </c>
      <c r="D2" s="141" t="s">
        <v>4</v>
      </c>
      <c r="E2" s="141" t="s">
        <v>5</v>
      </c>
      <c r="F2" s="94" t="s">
        <v>6</v>
      </c>
      <c r="G2" s="141" t="s">
        <v>7</v>
      </c>
      <c r="H2" s="141" t="s">
        <v>8</v>
      </c>
      <c r="I2" s="612" t="s">
        <v>9</v>
      </c>
      <c r="J2" s="142" t="s">
        <v>34</v>
      </c>
      <c r="K2" s="143" t="s">
        <v>35</v>
      </c>
      <c r="L2" s="142" t="s">
        <v>36</v>
      </c>
      <c r="M2" s="95" t="s">
        <v>37</v>
      </c>
      <c r="N2" s="144" t="s">
        <v>38</v>
      </c>
      <c r="O2" s="140" t="s">
        <v>10</v>
      </c>
      <c r="P2" s="140" t="s">
        <v>13</v>
      </c>
      <c r="Q2" s="140" t="s">
        <v>14</v>
      </c>
      <c r="R2" s="140" t="s">
        <v>39</v>
      </c>
      <c r="S2" s="140" t="s">
        <v>19</v>
      </c>
      <c r="T2" s="140" t="s">
        <v>20</v>
      </c>
      <c r="U2" s="140" t="s">
        <v>21</v>
      </c>
      <c r="V2" s="140" t="s">
        <v>40</v>
      </c>
      <c r="W2" s="140" t="s">
        <v>41</v>
      </c>
      <c r="X2" s="140" t="s">
        <v>42</v>
      </c>
      <c r="Y2" s="145" t="s">
        <v>22</v>
      </c>
    </row>
    <row r="3" spans="1:25" s="97" customFormat="1" x14ac:dyDescent="0.25">
      <c r="A3" s="833">
        <v>44165</v>
      </c>
      <c r="B3" s="37" t="s">
        <v>43</v>
      </c>
      <c r="C3" s="37" t="s">
        <v>44</v>
      </c>
      <c r="D3" s="37">
        <v>38.050849999999997</v>
      </c>
      <c r="E3" s="37">
        <v>-121.62684</v>
      </c>
      <c r="F3" s="37" t="s">
        <v>45</v>
      </c>
      <c r="G3" s="37" t="s">
        <v>46</v>
      </c>
      <c r="H3" s="37" t="s">
        <v>47</v>
      </c>
      <c r="I3" s="837">
        <v>0.34583333333333338</v>
      </c>
      <c r="J3" s="37">
        <v>1013.75</v>
      </c>
      <c r="K3" s="37">
        <v>11.78</v>
      </c>
      <c r="L3" s="37">
        <v>6.05</v>
      </c>
      <c r="M3" s="37">
        <v>1.8</v>
      </c>
      <c r="N3" s="37">
        <v>7.22</v>
      </c>
      <c r="O3" s="37" t="s">
        <v>48</v>
      </c>
      <c r="P3" s="37">
        <v>4</v>
      </c>
      <c r="Q3" s="37">
        <v>10</v>
      </c>
      <c r="R3" s="37" t="s">
        <v>49</v>
      </c>
      <c r="S3" s="37" t="s">
        <v>50</v>
      </c>
      <c r="T3" s="37" t="s">
        <v>50</v>
      </c>
      <c r="U3" s="37" t="s">
        <v>50</v>
      </c>
      <c r="V3" s="37" t="s">
        <v>50</v>
      </c>
      <c r="W3" s="37" t="s">
        <v>50</v>
      </c>
      <c r="X3" s="37" t="s">
        <v>50</v>
      </c>
      <c r="Y3" s="102"/>
    </row>
    <row r="4" spans="1:25" s="491" customFormat="1" x14ac:dyDescent="0.25">
      <c r="A4" s="713">
        <v>44165</v>
      </c>
      <c r="B4" s="714" t="s">
        <v>43</v>
      </c>
      <c r="C4" s="714" t="s">
        <v>44</v>
      </c>
      <c r="D4" s="714">
        <v>38.027430000000003</v>
      </c>
      <c r="E4" s="714">
        <v>-121.6073</v>
      </c>
      <c r="F4" s="714" t="s">
        <v>51</v>
      </c>
      <c r="G4" s="714" t="s">
        <v>46</v>
      </c>
      <c r="H4" s="714" t="s">
        <v>47</v>
      </c>
      <c r="I4" s="838">
        <v>0.39097222222222222</v>
      </c>
      <c r="J4" s="714" t="s">
        <v>50</v>
      </c>
      <c r="K4" s="714" t="s">
        <v>50</v>
      </c>
      <c r="L4" s="714" t="s">
        <v>50</v>
      </c>
      <c r="M4" s="714" t="s">
        <v>50</v>
      </c>
      <c r="N4" s="714" t="s">
        <v>50</v>
      </c>
      <c r="O4" s="714" t="s">
        <v>48</v>
      </c>
      <c r="P4" s="714">
        <v>0</v>
      </c>
      <c r="Q4" s="714" t="s">
        <v>50</v>
      </c>
      <c r="R4" s="714" t="s">
        <v>50</v>
      </c>
      <c r="S4" s="714" t="s">
        <v>50</v>
      </c>
      <c r="T4" s="714" t="s">
        <v>50</v>
      </c>
      <c r="U4" s="714" t="s">
        <v>50</v>
      </c>
      <c r="V4" s="714" t="s">
        <v>50</v>
      </c>
      <c r="W4" s="714" t="s">
        <v>50</v>
      </c>
      <c r="X4" s="714" t="s">
        <v>50</v>
      </c>
      <c r="Y4" s="426" t="s">
        <v>52</v>
      </c>
    </row>
    <row r="5" spans="1:25" s="491" customFormat="1" x14ac:dyDescent="0.25">
      <c r="A5" s="713">
        <v>44165</v>
      </c>
      <c r="B5" s="714" t="s">
        <v>43</v>
      </c>
      <c r="C5" s="714" t="s">
        <v>44</v>
      </c>
      <c r="D5" s="714">
        <v>38.04804</v>
      </c>
      <c r="E5" s="714">
        <v>-121.59836</v>
      </c>
      <c r="F5" s="714" t="s">
        <v>53</v>
      </c>
      <c r="G5" s="714" t="s">
        <v>46</v>
      </c>
      <c r="H5" s="714" t="s">
        <v>47</v>
      </c>
      <c r="I5" s="838">
        <v>0.39166666666666666</v>
      </c>
      <c r="J5" s="714" t="s">
        <v>50</v>
      </c>
      <c r="K5" s="714" t="s">
        <v>50</v>
      </c>
      <c r="L5" s="714" t="s">
        <v>50</v>
      </c>
      <c r="M5" s="714" t="s">
        <v>50</v>
      </c>
      <c r="N5" s="714" t="s">
        <v>50</v>
      </c>
      <c r="O5" s="714" t="s">
        <v>48</v>
      </c>
      <c r="P5" s="714">
        <v>0</v>
      </c>
      <c r="Q5" s="714" t="s">
        <v>50</v>
      </c>
      <c r="R5" s="714" t="s">
        <v>50</v>
      </c>
      <c r="S5" s="714" t="s">
        <v>50</v>
      </c>
      <c r="T5" s="714" t="s">
        <v>50</v>
      </c>
      <c r="U5" s="714" t="s">
        <v>50</v>
      </c>
      <c r="V5" s="714" t="s">
        <v>50</v>
      </c>
      <c r="W5" s="714" t="s">
        <v>50</v>
      </c>
      <c r="X5" s="714" t="s">
        <v>50</v>
      </c>
      <c r="Y5" s="426" t="s">
        <v>54</v>
      </c>
    </row>
    <row r="6" spans="1:25" s="441" customFormat="1" x14ac:dyDescent="0.25">
      <c r="A6" s="833">
        <v>44165</v>
      </c>
      <c r="B6" s="37" t="s">
        <v>43</v>
      </c>
      <c r="C6" s="37" t="s">
        <v>44</v>
      </c>
      <c r="D6" s="37">
        <v>37.913440000000001</v>
      </c>
      <c r="E6" s="37">
        <v>-121.52970999999999</v>
      </c>
      <c r="F6" s="37" t="s">
        <v>55</v>
      </c>
      <c r="G6" s="37" t="s">
        <v>46</v>
      </c>
      <c r="H6" s="37" t="s">
        <v>56</v>
      </c>
      <c r="I6" s="837">
        <v>0.48194444444444445</v>
      </c>
      <c r="J6" s="37">
        <v>440.17</v>
      </c>
      <c r="K6" s="37">
        <v>11.58</v>
      </c>
      <c r="L6" s="37">
        <v>2.33</v>
      </c>
      <c r="M6" s="37">
        <v>1.8</v>
      </c>
      <c r="N6" s="37">
        <v>3.22</v>
      </c>
      <c r="O6" s="37" t="s">
        <v>48</v>
      </c>
      <c r="P6" s="37">
        <v>4</v>
      </c>
      <c r="Q6" s="37">
        <v>10</v>
      </c>
      <c r="R6" s="37" t="s">
        <v>49</v>
      </c>
      <c r="S6" s="37" t="s">
        <v>50</v>
      </c>
      <c r="T6" s="37" t="s">
        <v>50</v>
      </c>
      <c r="U6" s="37" t="s">
        <v>50</v>
      </c>
      <c r="V6" s="37" t="s">
        <v>50</v>
      </c>
      <c r="W6" s="37" t="s">
        <v>50</v>
      </c>
      <c r="X6" s="37" t="s">
        <v>50</v>
      </c>
      <c r="Y6" s="52" t="s">
        <v>57</v>
      </c>
    </row>
    <row r="7" spans="1:25" s="441" customFormat="1" x14ac:dyDescent="0.25">
      <c r="A7" s="833">
        <v>44165</v>
      </c>
      <c r="B7" s="37" t="s">
        <v>43</v>
      </c>
      <c r="C7" s="37" t="s">
        <v>44</v>
      </c>
      <c r="D7" s="37">
        <v>37.971339999999998</v>
      </c>
      <c r="E7" s="37">
        <v>-121.49709</v>
      </c>
      <c r="F7" s="37" t="s">
        <v>58</v>
      </c>
      <c r="G7" s="37" t="s">
        <v>46</v>
      </c>
      <c r="H7" s="37" t="s">
        <v>59</v>
      </c>
      <c r="I7" s="837">
        <v>0.42083333333333334</v>
      </c>
      <c r="J7" s="37">
        <v>412.3</v>
      </c>
      <c r="K7" s="37">
        <v>11.53</v>
      </c>
      <c r="L7" s="37">
        <v>2.82</v>
      </c>
      <c r="M7" s="37">
        <v>1.8</v>
      </c>
      <c r="N7" s="37">
        <v>5.22</v>
      </c>
      <c r="O7" s="37" t="s">
        <v>48</v>
      </c>
      <c r="P7" s="37">
        <v>4</v>
      </c>
      <c r="Q7" s="37">
        <v>10</v>
      </c>
      <c r="R7" s="37" t="s">
        <v>49</v>
      </c>
      <c r="S7" s="37" t="s">
        <v>50</v>
      </c>
      <c r="T7" s="37" t="s">
        <v>50</v>
      </c>
      <c r="U7" s="37" t="s">
        <v>50</v>
      </c>
      <c r="V7" s="37" t="s">
        <v>50</v>
      </c>
      <c r="W7" s="37" t="s">
        <v>50</v>
      </c>
      <c r="X7" s="37" t="s">
        <v>50</v>
      </c>
      <c r="Y7" s="52"/>
    </row>
    <row r="8" spans="1:25" s="491" customFormat="1" x14ac:dyDescent="0.25">
      <c r="A8" s="713">
        <v>44165</v>
      </c>
      <c r="B8" s="714" t="s">
        <v>43</v>
      </c>
      <c r="C8" s="714" t="s">
        <v>44</v>
      </c>
      <c r="D8" s="714">
        <v>37.972749999999998</v>
      </c>
      <c r="E8" s="714">
        <v>-121.52029</v>
      </c>
      <c r="F8" s="714" t="s">
        <v>60</v>
      </c>
      <c r="G8" s="714" t="s">
        <v>46</v>
      </c>
      <c r="H8" s="714" t="s">
        <v>59</v>
      </c>
      <c r="I8" s="838">
        <v>0.41041666666666665</v>
      </c>
      <c r="J8" s="714" t="s">
        <v>50</v>
      </c>
      <c r="K8" s="714" t="s">
        <v>50</v>
      </c>
      <c r="L8" s="714" t="s">
        <v>50</v>
      </c>
      <c r="M8" s="714" t="s">
        <v>50</v>
      </c>
      <c r="N8" s="714" t="s">
        <v>50</v>
      </c>
      <c r="O8" s="714" t="s">
        <v>48</v>
      </c>
      <c r="P8" s="714">
        <v>0</v>
      </c>
      <c r="Q8" s="714" t="s">
        <v>50</v>
      </c>
      <c r="R8" s="714" t="s">
        <v>50</v>
      </c>
      <c r="S8" s="714" t="s">
        <v>50</v>
      </c>
      <c r="T8" s="714" t="s">
        <v>50</v>
      </c>
      <c r="U8" s="714" t="s">
        <v>50</v>
      </c>
      <c r="V8" s="714" t="s">
        <v>50</v>
      </c>
      <c r="W8" s="714" t="s">
        <v>50</v>
      </c>
      <c r="X8" s="714" t="s">
        <v>50</v>
      </c>
      <c r="Y8" s="426" t="s">
        <v>61</v>
      </c>
    </row>
    <row r="9" spans="1:25" s="830" customFormat="1" x14ac:dyDescent="0.25">
      <c r="A9" s="834">
        <v>44165</v>
      </c>
      <c r="B9" s="516" t="s">
        <v>43</v>
      </c>
      <c r="C9" s="516" t="s">
        <v>62</v>
      </c>
      <c r="D9" s="516">
        <v>38.159239999999997</v>
      </c>
      <c r="E9" s="516">
        <v>-122.04771</v>
      </c>
      <c r="F9" s="516" t="s">
        <v>63</v>
      </c>
      <c r="G9" s="516" t="s">
        <v>27</v>
      </c>
      <c r="H9" s="516" t="s">
        <v>62</v>
      </c>
      <c r="I9" s="839">
        <v>0.41319444444444442</v>
      </c>
      <c r="J9" s="516">
        <v>12042.5</v>
      </c>
      <c r="K9" s="516">
        <v>11.47</v>
      </c>
      <c r="L9" s="516">
        <v>89.13</v>
      </c>
      <c r="M9" s="516">
        <v>0.49</v>
      </c>
      <c r="N9" s="516">
        <v>6.17</v>
      </c>
      <c r="O9" s="516" t="s">
        <v>48</v>
      </c>
      <c r="P9" s="516">
        <v>4</v>
      </c>
      <c r="Q9" s="516">
        <v>10</v>
      </c>
      <c r="R9" s="516" t="s">
        <v>64</v>
      </c>
      <c r="S9" s="836" t="s">
        <v>31</v>
      </c>
      <c r="T9" s="516">
        <v>1</v>
      </c>
      <c r="U9" s="516" t="s">
        <v>65</v>
      </c>
      <c r="V9" s="516" t="s">
        <v>66</v>
      </c>
      <c r="W9" s="516" t="s">
        <v>50</v>
      </c>
      <c r="X9" s="516" t="s">
        <v>50</v>
      </c>
      <c r="Y9" s="453" t="s">
        <v>67</v>
      </c>
    </row>
    <row r="10" spans="1:25" s="441" customFormat="1" x14ac:dyDescent="0.25">
      <c r="A10" s="833">
        <v>44165</v>
      </c>
      <c r="B10" s="37" t="s">
        <v>43</v>
      </c>
      <c r="C10" s="37" t="s">
        <v>62</v>
      </c>
      <c r="D10" s="37">
        <v>38.129460000000002</v>
      </c>
      <c r="E10" s="37">
        <v>-122.08268</v>
      </c>
      <c r="F10" s="37" t="s">
        <v>68</v>
      </c>
      <c r="G10" s="37" t="s">
        <v>27</v>
      </c>
      <c r="H10" s="37" t="s">
        <v>62</v>
      </c>
      <c r="I10" s="837">
        <v>0.46875</v>
      </c>
      <c r="J10" s="37">
        <v>16791.25</v>
      </c>
      <c r="K10" s="37">
        <v>11.9</v>
      </c>
      <c r="L10" s="37">
        <v>31.35</v>
      </c>
      <c r="M10" s="37">
        <v>0.43</v>
      </c>
      <c r="N10" s="37">
        <v>4.8</v>
      </c>
      <c r="O10" s="37" t="s">
        <v>48</v>
      </c>
      <c r="P10" s="37">
        <v>4</v>
      </c>
      <c r="Q10" s="37">
        <v>10</v>
      </c>
      <c r="R10" s="37" t="s">
        <v>64</v>
      </c>
      <c r="S10" s="37" t="s">
        <v>50</v>
      </c>
      <c r="T10" s="37" t="s">
        <v>50</v>
      </c>
      <c r="U10" s="37" t="s">
        <v>50</v>
      </c>
      <c r="V10" s="37" t="s">
        <v>50</v>
      </c>
      <c r="W10" s="37" t="s">
        <v>50</v>
      </c>
      <c r="X10" s="37" t="s">
        <v>50</v>
      </c>
      <c r="Y10" s="52"/>
    </row>
    <row r="11" spans="1:25" s="844" customFormat="1" x14ac:dyDescent="0.25">
      <c r="A11" s="841">
        <v>44165</v>
      </c>
      <c r="B11" s="842" t="s">
        <v>43</v>
      </c>
      <c r="C11" s="842" t="s">
        <v>62</v>
      </c>
      <c r="D11" s="842">
        <v>38.175060000000002</v>
      </c>
      <c r="E11" s="842">
        <v>-122.05701000000001</v>
      </c>
      <c r="F11" s="842" t="s">
        <v>69</v>
      </c>
      <c r="G11" s="842" t="s">
        <v>27</v>
      </c>
      <c r="H11" s="842" t="s">
        <v>62</v>
      </c>
      <c r="I11" s="843">
        <v>0.36041666666666666</v>
      </c>
      <c r="J11" s="842">
        <v>12204.25</v>
      </c>
      <c r="K11" s="842">
        <v>11.37</v>
      </c>
      <c r="L11" s="842">
        <v>34.93</v>
      </c>
      <c r="M11" s="842">
        <v>0.42</v>
      </c>
      <c r="N11" s="842">
        <v>9.57</v>
      </c>
      <c r="O11" s="842" t="s">
        <v>48</v>
      </c>
      <c r="P11" s="842">
        <v>4</v>
      </c>
      <c r="Q11" s="842">
        <v>10</v>
      </c>
      <c r="R11" s="842" t="s">
        <v>64</v>
      </c>
      <c r="S11" s="842" t="s">
        <v>50</v>
      </c>
      <c r="T11" s="842" t="s">
        <v>50</v>
      </c>
      <c r="U11" s="842" t="s">
        <v>50</v>
      </c>
      <c r="V11" s="842" t="s">
        <v>50</v>
      </c>
      <c r="W11" s="842" t="s">
        <v>50</v>
      </c>
      <c r="X11" s="842" t="s">
        <v>50</v>
      </c>
      <c r="Y11" s="327"/>
    </row>
    <row r="12" spans="1:25" s="848" customFormat="1" x14ac:dyDescent="0.25">
      <c r="A12" s="845">
        <v>44166</v>
      </c>
      <c r="B12" s="846" t="s">
        <v>70</v>
      </c>
      <c r="C12" s="846" t="s">
        <v>44</v>
      </c>
      <c r="D12" s="846">
        <v>38.049709999999997</v>
      </c>
      <c r="E12" s="846">
        <v>-121.64776000000001</v>
      </c>
      <c r="F12" s="846" t="s">
        <v>71</v>
      </c>
      <c r="G12" s="846" t="s">
        <v>46</v>
      </c>
      <c r="H12" s="846" t="s">
        <v>47</v>
      </c>
      <c r="I12" s="847">
        <v>0.3347222222222222</v>
      </c>
      <c r="J12" s="846" t="s">
        <v>50</v>
      </c>
      <c r="K12" s="846" t="s">
        <v>50</v>
      </c>
      <c r="L12" s="846" t="s">
        <v>50</v>
      </c>
      <c r="M12" s="846" t="s">
        <v>50</v>
      </c>
      <c r="N12" s="846" t="s">
        <v>50</v>
      </c>
      <c r="O12" s="846" t="s">
        <v>48</v>
      </c>
      <c r="P12" s="846">
        <v>0</v>
      </c>
      <c r="Q12" s="846" t="s">
        <v>50</v>
      </c>
      <c r="R12" s="846" t="s">
        <v>50</v>
      </c>
      <c r="S12" s="846" t="s">
        <v>50</v>
      </c>
      <c r="T12" s="846" t="s">
        <v>50</v>
      </c>
      <c r="U12" s="846" t="s">
        <v>50</v>
      </c>
      <c r="V12" s="846" t="s">
        <v>50</v>
      </c>
      <c r="W12" s="846" t="s">
        <v>50</v>
      </c>
      <c r="X12" s="846" t="s">
        <v>50</v>
      </c>
      <c r="Y12" s="851" t="s">
        <v>72</v>
      </c>
    </row>
    <row r="13" spans="1:25" s="848" customFormat="1" x14ac:dyDescent="0.25">
      <c r="A13" s="841">
        <v>44166</v>
      </c>
      <c r="B13" s="842" t="s">
        <v>70</v>
      </c>
      <c r="C13" s="842" t="s">
        <v>44</v>
      </c>
      <c r="D13" s="842">
        <v>38.04307</v>
      </c>
      <c r="E13" s="842">
        <v>-121.57649000000001</v>
      </c>
      <c r="F13" s="842" t="s">
        <v>73</v>
      </c>
      <c r="G13" s="842" t="s">
        <v>46</v>
      </c>
      <c r="H13" s="842" t="s">
        <v>74</v>
      </c>
      <c r="I13" s="843">
        <v>0.35138888888888892</v>
      </c>
      <c r="J13" s="842">
        <v>609</v>
      </c>
      <c r="K13" s="842">
        <v>11.35</v>
      </c>
      <c r="L13" s="842">
        <v>4.74</v>
      </c>
      <c r="M13" s="842">
        <v>1.8</v>
      </c>
      <c r="N13" s="842">
        <v>8.9499999999999993</v>
      </c>
      <c r="O13" s="842" t="s">
        <v>48</v>
      </c>
      <c r="P13" s="842">
        <v>4</v>
      </c>
      <c r="Q13" s="842">
        <v>10</v>
      </c>
      <c r="R13" s="842" t="s">
        <v>49</v>
      </c>
      <c r="S13" s="849" t="s">
        <v>50</v>
      </c>
      <c r="T13" s="849" t="s">
        <v>50</v>
      </c>
      <c r="U13" s="849" t="s">
        <v>50</v>
      </c>
      <c r="V13" s="849" t="s">
        <v>50</v>
      </c>
      <c r="W13" s="849" t="s">
        <v>50</v>
      </c>
      <c r="X13" s="849" t="s">
        <v>50</v>
      </c>
      <c r="Y13" s="852"/>
    </row>
    <row r="14" spans="1:25" s="848" customFormat="1" x14ac:dyDescent="0.25">
      <c r="A14" s="841">
        <v>44166</v>
      </c>
      <c r="B14" s="842" t="s">
        <v>70</v>
      </c>
      <c r="C14" s="842" t="s">
        <v>44</v>
      </c>
      <c r="D14" s="842">
        <v>37.97851</v>
      </c>
      <c r="E14" s="842">
        <v>-121.57256</v>
      </c>
      <c r="F14" s="842" t="s">
        <v>75</v>
      </c>
      <c r="G14" s="842" t="s">
        <v>46</v>
      </c>
      <c r="H14" s="842" t="s">
        <v>74</v>
      </c>
      <c r="I14" s="843">
        <v>0.4055555555555555</v>
      </c>
      <c r="J14" s="842">
        <v>704.25</v>
      </c>
      <c r="K14" s="842">
        <v>11.3</v>
      </c>
      <c r="L14" s="842">
        <v>3.44</v>
      </c>
      <c r="M14" s="842">
        <v>1.8</v>
      </c>
      <c r="N14" s="842">
        <v>9.25</v>
      </c>
      <c r="O14" s="842" t="s">
        <v>48</v>
      </c>
      <c r="P14" s="842">
        <v>4</v>
      </c>
      <c r="Q14" s="842">
        <v>10</v>
      </c>
      <c r="R14" s="842" t="s">
        <v>49</v>
      </c>
      <c r="S14" s="849" t="s">
        <v>50</v>
      </c>
      <c r="T14" s="849" t="s">
        <v>50</v>
      </c>
      <c r="U14" s="849" t="s">
        <v>50</v>
      </c>
      <c r="V14" s="849" t="s">
        <v>50</v>
      </c>
      <c r="W14" s="849" t="s">
        <v>50</v>
      </c>
      <c r="X14" s="849" t="s">
        <v>50</v>
      </c>
      <c r="Y14" s="852" t="s">
        <v>76</v>
      </c>
    </row>
    <row r="15" spans="1:25" s="848" customFormat="1" x14ac:dyDescent="0.25">
      <c r="A15" s="845">
        <v>44166</v>
      </c>
      <c r="B15" s="846" t="s">
        <v>70</v>
      </c>
      <c r="C15" s="846" t="s">
        <v>44</v>
      </c>
      <c r="D15" s="846">
        <v>37.983420000000002</v>
      </c>
      <c r="E15" s="846">
        <v>-121.52222999999999</v>
      </c>
      <c r="F15" s="846" t="s">
        <v>77</v>
      </c>
      <c r="G15" s="846" t="s">
        <v>46</v>
      </c>
      <c r="H15" s="846" t="s">
        <v>59</v>
      </c>
      <c r="I15" s="847">
        <v>0.39583333333333331</v>
      </c>
      <c r="J15" s="846" t="s">
        <v>50</v>
      </c>
      <c r="K15" s="846" t="s">
        <v>50</v>
      </c>
      <c r="L15" s="846" t="s">
        <v>50</v>
      </c>
      <c r="M15" s="846" t="s">
        <v>50</v>
      </c>
      <c r="N15" s="846" t="s">
        <v>50</v>
      </c>
      <c r="O15" s="846" t="s">
        <v>48</v>
      </c>
      <c r="P15" s="846">
        <v>0</v>
      </c>
      <c r="Q15" s="846" t="s">
        <v>50</v>
      </c>
      <c r="R15" s="846" t="s">
        <v>50</v>
      </c>
      <c r="S15" s="846" t="s">
        <v>50</v>
      </c>
      <c r="T15" s="846" t="s">
        <v>50</v>
      </c>
      <c r="U15" s="846" t="s">
        <v>50</v>
      </c>
      <c r="V15" s="846" t="s">
        <v>50</v>
      </c>
      <c r="W15" s="846" t="s">
        <v>50</v>
      </c>
      <c r="X15" s="846" t="s">
        <v>50</v>
      </c>
      <c r="Y15" s="851" t="s">
        <v>72</v>
      </c>
    </row>
    <row r="16" spans="1:25" s="848" customFormat="1" x14ac:dyDescent="0.25">
      <c r="A16" s="841">
        <v>44166</v>
      </c>
      <c r="B16" s="842" t="s">
        <v>70</v>
      </c>
      <c r="C16" s="842" t="s">
        <v>78</v>
      </c>
      <c r="D16" s="842">
        <v>38.063940000000002</v>
      </c>
      <c r="E16" s="842">
        <v>-122.09875</v>
      </c>
      <c r="F16" s="842" t="s">
        <v>79</v>
      </c>
      <c r="G16" s="842" t="s">
        <v>80</v>
      </c>
      <c r="H16" s="842" t="s">
        <v>81</v>
      </c>
      <c r="I16" s="843">
        <v>0.48333333333333334</v>
      </c>
      <c r="J16" s="842">
        <v>24112</v>
      </c>
      <c r="K16" s="842">
        <v>12.65</v>
      </c>
      <c r="L16" s="842">
        <v>14.1</v>
      </c>
      <c r="M16" s="842">
        <v>0.77</v>
      </c>
      <c r="N16" s="842">
        <v>11.8</v>
      </c>
      <c r="O16" s="842" t="s">
        <v>48</v>
      </c>
      <c r="P16" s="842">
        <v>4</v>
      </c>
      <c r="Q16" s="842">
        <v>10</v>
      </c>
      <c r="R16" s="842" t="s">
        <v>64</v>
      </c>
      <c r="S16" s="849" t="s">
        <v>50</v>
      </c>
      <c r="T16" s="849" t="s">
        <v>50</v>
      </c>
      <c r="U16" s="849" t="s">
        <v>50</v>
      </c>
      <c r="V16" s="849" t="s">
        <v>50</v>
      </c>
      <c r="W16" s="849" t="s">
        <v>50</v>
      </c>
      <c r="X16" s="849" t="s">
        <v>50</v>
      </c>
      <c r="Y16" s="852"/>
    </row>
    <row r="17" spans="1:25" s="848" customFormat="1" x14ac:dyDescent="0.25">
      <c r="A17" s="845">
        <v>44166</v>
      </c>
      <c r="B17" s="846" t="s">
        <v>70</v>
      </c>
      <c r="C17" s="846" t="s">
        <v>78</v>
      </c>
      <c r="D17" s="846">
        <v>38.083469999999998</v>
      </c>
      <c r="E17" s="846">
        <v>-122.08942999999999</v>
      </c>
      <c r="F17" s="846" t="s">
        <v>82</v>
      </c>
      <c r="G17" s="846" t="s">
        <v>80</v>
      </c>
      <c r="H17" s="846" t="s">
        <v>81</v>
      </c>
      <c r="I17" s="847">
        <v>0.34097222222222223</v>
      </c>
      <c r="J17" s="846" t="s">
        <v>50</v>
      </c>
      <c r="K17" s="846" t="s">
        <v>50</v>
      </c>
      <c r="L17" s="846" t="s">
        <v>50</v>
      </c>
      <c r="M17" s="846" t="s">
        <v>50</v>
      </c>
      <c r="N17" s="846" t="s">
        <v>50</v>
      </c>
      <c r="O17" s="846" t="s">
        <v>48</v>
      </c>
      <c r="P17" s="846">
        <v>0</v>
      </c>
      <c r="Q17" s="846" t="s">
        <v>50</v>
      </c>
      <c r="R17" s="846" t="s">
        <v>50</v>
      </c>
      <c r="S17" s="846" t="s">
        <v>50</v>
      </c>
      <c r="T17" s="846" t="s">
        <v>50</v>
      </c>
      <c r="U17" s="846" t="s">
        <v>50</v>
      </c>
      <c r="V17" s="846" t="s">
        <v>50</v>
      </c>
      <c r="W17" s="846" t="s">
        <v>50</v>
      </c>
      <c r="X17" s="846" t="s">
        <v>50</v>
      </c>
      <c r="Y17" s="851" t="s">
        <v>83</v>
      </c>
    </row>
    <row r="18" spans="1:25" s="848" customFormat="1" x14ac:dyDescent="0.25">
      <c r="A18" s="841">
        <v>44166</v>
      </c>
      <c r="B18" s="842" t="s">
        <v>70</v>
      </c>
      <c r="C18" s="842" t="s">
        <v>78</v>
      </c>
      <c r="D18" s="842">
        <v>38.035400000000003</v>
      </c>
      <c r="E18" s="842">
        <v>-122.13063</v>
      </c>
      <c r="F18" s="842" t="s">
        <v>84</v>
      </c>
      <c r="G18" s="842" t="s">
        <v>80</v>
      </c>
      <c r="H18" s="842" t="s">
        <v>81</v>
      </c>
      <c r="I18" s="843">
        <v>0.40625</v>
      </c>
      <c r="J18" s="842">
        <v>22115.75</v>
      </c>
      <c r="K18" s="842">
        <v>12.32</v>
      </c>
      <c r="L18" s="842">
        <v>14.62</v>
      </c>
      <c r="M18" s="842">
        <v>0.82</v>
      </c>
      <c r="N18" s="842">
        <v>20.45</v>
      </c>
      <c r="O18" s="842" t="s">
        <v>48</v>
      </c>
      <c r="P18" s="842">
        <v>4</v>
      </c>
      <c r="Q18" s="842">
        <v>10</v>
      </c>
      <c r="R18" s="842" t="s">
        <v>64</v>
      </c>
      <c r="S18" s="849" t="s">
        <v>50</v>
      </c>
      <c r="T18" s="849" t="s">
        <v>50</v>
      </c>
      <c r="U18" s="849" t="s">
        <v>50</v>
      </c>
      <c r="V18" s="849" t="s">
        <v>50</v>
      </c>
      <c r="W18" s="849" t="s">
        <v>50</v>
      </c>
      <c r="X18" s="849" t="s">
        <v>50</v>
      </c>
      <c r="Y18" s="852"/>
    </row>
    <row r="19" spans="1:25" s="848" customFormat="1" x14ac:dyDescent="0.25">
      <c r="A19" s="841">
        <v>44166</v>
      </c>
      <c r="B19" s="842" t="s">
        <v>70</v>
      </c>
      <c r="C19" s="842" t="s">
        <v>78</v>
      </c>
      <c r="D19" s="842">
        <v>38.094790000000003</v>
      </c>
      <c r="E19" s="842">
        <v>-122.06688</v>
      </c>
      <c r="F19" s="842" t="s">
        <v>85</v>
      </c>
      <c r="G19" s="842" t="s">
        <v>27</v>
      </c>
      <c r="H19" s="842" t="s">
        <v>86</v>
      </c>
      <c r="I19" s="843">
        <v>0.34583333333333338</v>
      </c>
      <c r="J19" s="842">
        <v>60853</v>
      </c>
      <c r="K19" s="842">
        <v>11.77</v>
      </c>
      <c r="L19" s="842">
        <v>17.68</v>
      </c>
      <c r="M19" s="842">
        <v>0.61</v>
      </c>
      <c r="N19" s="842">
        <v>9.57</v>
      </c>
      <c r="O19" s="842" t="s">
        <v>48</v>
      </c>
      <c r="P19" s="842">
        <v>4</v>
      </c>
      <c r="Q19" s="842">
        <v>10</v>
      </c>
      <c r="R19" s="842" t="s">
        <v>49</v>
      </c>
      <c r="S19" s="849" t="s">
        <v>50</v>
      </c>
      <c r="T19" s="849" t="s">
        <v>50</v>
      </c>
      <c r="U19" s="849" t="s">
        <v>50</v>
      </c>
      <c r="V19" s="849" t="s">
        <v>50</v>
      </c>
      <c r="W19" s="849" t="s">
        <v>50</v>
      </c>
      <c r="X19" s="849" t="s">
        <v>50</v>
      </c>
      <c r="Y19" s="852"/>
    </row>
    <row r="20" spans="1:25" s="842" customFormat="1" x14ac:dyDescent="0.25">
      <c r="A20" s="841">
        <v>44167</v>
      </c>
      <c r="B20" s="842" t="s">
        <v>87</v>
      </c>
      <c r="C20" s="842" t="s">
        <v>88</v>
      </c>
      <c r="D20" s="842">
        <v>38.098660000000002</v>
      </c>
      <c r="E20" s="842">
        <v>-121.73013</v>
      </c>
      <c r="F20" s="842" t="s">
        <v>89</v>
      </c>
      <c r="G20" s="842" t="s">
        <v>90</v>
      </c>
      <c r="H20" s="842" t="s">
        <v>91</v>
      </c>
      <c r="I20" s="850">
        <v>0.4916666666666667</v>
      </c>
      <c r="J20" s="842">
        <v>932</v>
      </c>
      <c r="K20" s="842">
        <v>11.45</v>
      </c>
      <c r="L20" s="842">
        <v>11.3</v>
      </c>
      <c r="M20" s="842">
        <v>1.04</v>
      </c>
      <c r="N20" s="842">
        <v>8.6999999999999993</v>
      </c>
      <c r="O20" s="842" t="s">
        <v>48</v>
      </c>
      <c r="P20" s="842">
        <v>4</v>
      </c>
      <c r="Q20" s="842">
        <v>10</v>
      </c>
      <c r="R20" s="842" t="s">
        <v>49</v>
      </c>
      <c r="S20" s="842" t="s">
        <v>50</v>
      </c>
      <c r="T20" s="842" t="s">
        <v>50</v>
      </c>
      <c r="U20" s="842" t="s">
        <v>50</v>
      </c>
      <c r="V20" s="842" t="s">
        <v>50</v>
      </c>
      <c r="W20" s="842" t="s">
        <v>50</v>
      </c>
      <c r="X20" s="842" t="s">
        <v>50</v>
      </c>
      <c r="Y20" s="852"/>
    </row>
    <row r="21" spans="1:25" s="842" customFormat="1" x14ac:dyDescent="0.25">
      <c r="A21" s="841">
        <v>44167</v>
      </c>
      <c r="B21" s="842" t="s">
        <v>87</v>
      </c>
      <c r="C21" s="842" t="s">
        <v>88</v>
      </c>
      <c r="D21" s="842">
        <v>38.062649999999998</v>
      </c>
      <c r="E21" s="842">
        <v>-121.82088</v>
      </c>
      <c r="F21" s="842" t="s">
        <v>92</v>
      </c>
      <c r="G21" s="842" t="s">
        <v>27</v>
      </c>
      <c r="H21" s="842" t="s">
        <v>25</v>
      </c>
      <c r="I21" s="850">
        <v>0.34791666666666665</v>
      </c>
      <c r="J21" s="842">
        <v>6536.25</v>
      </c>
      <c r="K21" s="842">
        <v>11.8</v>
      </c>
      <c r="L21" s="842">
        <v>11.99</v>
      </c>
      <c r="M21" s="842">
        <v>0.78</v>
      </c>
      <c r="N21" s="842">
        <v>9.9499999999999993</v>
      </c>
      <c r="O21" s="842" t="s">
        <v>48</v>
      </c>
      <c r="P21" s="842">
        <v>4</v>
      </c>
      <c r="Q21" s="842">
        <v>10</v>
      </c>
      <c r="R21" s="842" t="s">
        <v>49</v>
      </c>
      <c r="S21" s="842" t="s">
        <v>50</v>
      </c>
      <c r="T21" s="842" t="s">
        <v>50</v>
      </c>
      <c r="U21" s="842" t="s">
        <v>50</v>
      </c>
      <c r="V21" s="842" t="s">
        <v>50</v>
      </c>
      <c r="W21" s="842" t="s">
        <v>50</v>
      </c>
      <c r="X21" s="842" t="s">
        <v>50</v>
      </c>
      <c r="Y21" s="852"/>
    </row>
    <row r="22" spans="1:25" s="37" customFormat="1" x14ac:dyDescent="0.25">
      <c r="A22" s="833">
        <v>44167</v>
      </c>
      <c r="B22" s="37" t="s">
        <v>87</v>
      </c>
      <c r="C22" s="37" t="s">
        <v>88</v>
      </c>
      <c r="D22" s="37">
        <v>38.066389999999998</v>
      </c>
      <c r="E22" s="37">
        <v>-121.7743</v>
      </c>
      <c r="F22" s="37" t="s">
        <v>93</v>
      </c>
      <c r="G22" s="37" t="s">
        <v>27</v>
      </c>
      <c r="H22" s="37" t="s">
        <v>25</v>
      </c>
      <c r="I22" s="712">
        <v>0.44375000000000003</v>
      </c>
      <c r="J22" s="37">
        <v>3125</v>
      </c>
      <c r="K22" s="37">
        <v>11.73</v>
      </c>
      <c r="L22" s="37">
        <v>13.85</v>
      </c>
      <c r="M22" s="37">
        <v>0.69</v>
      </c>
      <c r="N22" s="37">
        <v>8.57</v>
      </c>
      <c r="O22" s="37" t="s">
        <v>48</v>
      </c>
      <c r="P22" s="37">
        <v>4</v>
      </c>
      <c r="Q22" s="37">
        <v>10</v>
      </c>
      <c r="R22" s="37" t="s">
        <v>49</v>
      </c>
      <c r="S22" s="37" t="s">
        <v>50</v>
      </c>
      <c r="T22" s="37" t="s">
        <v>50</v>
      </c>
      <c r="U22" s="37" t="s">
        <v>50</v>
      </c>
      <c r="V22" s="37" t="s">
        <v>50</v>
      </c>
      <c r="W22" s="37" t="s">
        <v>50</v>
      </c>
      <c r="X22" s="37" t="s">
        <v>50</v>
      </c>
      <c r="Y22" s="698"/>
    </row>
    <row r="23" spans="1:25" s="37" customFormat="1" x14ac:dyDescent="0.25">
      <c r="A23" s="833">
        <v>44167</v>
      </c>
      <c r="B23" s="37" t="s">
        <v>87</v>
      </c>
      <c r="C23" s="37" t="s">
        <v>88</v>
      </c>
      <c r="D23" s="37">
        <v>38.068129999999996</v>
      </c>
      <c r="E23" s="37">
        <v>-121.8291</v>
      </c>
      <c r="F23" s="37" t="s">
        <v>94</v>
      </c>
      <c r="G23" s="37" t="s">
        <v>27</v>
      </c>
      <c r="H23" s="37" t="s">
        <v>25</v>
      </c>
      <c r="I23" s="712">
        <v>0.39513888888888887</v>
      </c>
      <c r="J23" s="37">
        <v>5497.5</v>
      </c>
      <c r="K23" s="37">
        <v>11.87</v>
      </c>
      <c r="L23" s="37">
        <v>13.88</v>
      </c>
      <c r="M23" s="37">
        <v>0.74</v>
      </c>
      <c r="N23" s="37">
        <v>7.67</v>
      </c>
      <c r="O23" s="37" t="s">
        <v>48</v>
      </c>
      <c r="P23" s="37">
        <v>4</v>
      </c>
      <c r="Q23" s="37">
        <v>10</v>
      </c>
      <c r="R23" s="37" t="s">
        <v>49</v>
      </c>
      <c r="S23" s="37" t="s">
        <v>50</v>
      </c>
      <c r="T23" s="37" t="s">
        <v>50</v>
      </c>
      <c r="U23" s="37" t="s">
        <v>50</v>
      </c>
      <c r="V23" s="37" t="s">
        <v>50</v>
      </c>
      <c r="W23" s="37" t="s">
        <v>50</v>
      </c>
      <c r="X23" s="37" t="s">
        <v>50</v>
      </c>
      <c r="Y23" s="698"/>
    </row>
    <row r="24" spans="1:25" s="37" customFormat="1" x14ac:dyDescent="0.25">
      <c r="A24" s="833">
        <v>44167</v>
      </c>
      <c r="B24" s="37" t="s">
        <v>87</v>
      </c>
      <c r="C24" s="37" t="s">
        <v>95</v>
      </c>
      <c r="D24" s="37">
        <v>38.090330000000002</v>
      </c>
      <c r="E24" s="37">
        <v>-121.64884000000001</v>
      </c>
      <c r="F24" s="37" t="s">
        <v>96</v>
      </c>
      <c r="G24" s="37" t="s">
        <v>46</v>
      </c>
      <c r="H24" s="37" t="s">
        <v>97</v>
      </c>
      <c r="I24" s="712">
        <v>0.3263888888888889</v>
      </c>
      <c r="J24" s="37">
        <v>1019.75</v>
      </c>
      <c r="K24" s="37">
        <v>11.55</v>
      </c>
      <c r="L24" s="37">
        <v>8.2100000000000009</v>
      </c>
      <c r="M24" s="37">
        <v>1.57</v>
      </c>
      <c r="N24" s="37">
        <v>4.95</v>
      </c>
      <c r="O24" s="37" t="s">
        <v>48</v>
      </c>
      <c r="P24" s="37">
        <v>4</v>
      </c>
      <c r="Q24" s="37">
        <v>10</v>
      </c>
      <c r="R24" s="37" t="s">
        <v>64</v>
      </c>
      <c r="S24" s="37" t="s">
        <v>50</v>
      </c>
      <c r="T24" s="37" t="s">
        <v>50</v>
      </c>
      <c r="U24" s="37" t="s">
        <v>50</v>
      </c>
      <c r="V24" s="37" t="s">
        <v>50</v>
      </c>
      <c r="W24" s="37" t="s">
        <v>50</v>
      </c>
      <c r="X24" s="37" t="s">
        <v>50</v>
      </c>
      <c r="Y24" s="698"/>
    </row>
    <row r="25" spans="1:25" s="37" customFormat="1" x14ac:dyDescent="0.25">
      <c r="A25" s="833">
        <v>44167</v>
      </c>
      <c r="B25" s="37" t="s">
        <v>87</v>
      </c>
      <c r="C25" s="37" t="s">
        <v>95</v>
      </c>
      <c r="D25" s="37">
        <v>38.092959999999998</v>
      </c>
      <c r="E25" s="37">
        <v>-121.67301999999999</v>
      </c>
      <c r="F25" s="37" t="s">
        <v>98</v>
      </c>
      <c r="G25" s="37" t="s">
        <v>46</v>
      </c>
      <c r="H25" s="37" t="s">
        <v>97</v>
      </c>
      <c r="I25" s="712">
        <v>0.37291666666666662</v>
      </c>
      <c r="J25" s="37">
        <v>1140.75</v>
      </c>
      <c r="K25" s="37">
        <v>11.65</v>
      </c>
      <c r="L25" s="37">
        <v>10.199999999999999</v>
      </c>
      <c r="M25" s="37">
        <v>1.28</v>
      </c>
      <c r="N25" s="37">
        <v>5.45</v>
      </c>
      <c r="O25" s="37" t="s">
        <v>48</v>
      </c>
      <c r="P25" s="37">
        <v>4</v>
      </c>
      <c r="Q25" s="37">
        <v>10</v>
      </c>
      <c r="R25" s="37" t="s">
        <v>49</v>
      </c>
      <c r="S25" s="37" t="s">
        <v>50</v>
      </c>
      <c r="T25" s="37" t="s">
        <v>50</v>
      </c>
      <c r="U25" s="37" t="s">
        <v>50</v>
      </c>
      <c r="V25" s="37" t="s">
        <v>50</v>
      </c>
      <c r="W25" s="37" t="s">
        <v>50</v>
      </c>
      <c r="X25" s="37" t="s">
        <v>50</v>
      </c>
      <c r="Y25" s="698"/>
    </row>
    <row r="26" spans="1:25" s="37" customFormat="1" x14ac:dyDescent="0.25">
      <c r="A26" s="833">
        <v>44167</v>
      </c>
      <c r="B26" s="37" t="s">
        <v>87</v>
      </c>
      <c r="C26" s="37" t="s">
        <v>95</v>
      </c>
      <c r="D26" s="37">
        <v>38.047550000000001</v>
      </c>
      <c r="E26" s="37">
        <v>-121.69338999999999</v>
      </c>
      <c r="F26" s="37" t="s">
        <v>99</v>
      </c>
      <c r="G26" s="37" t="s">
        <v>27</v>
      </c>
      <c r="H26" s="37" t="s">
        <v>95</v>
      </c>
      <c r="I26" s="712">
        <v>0.42222222222222222</v>
      </c>
      <c r="J26" s="37">
        <v>1631.75</v>
      </c>
      <c r="K26" s="37">
        <v>11.78</v>
      </c>
      <c r="L26" s="37">
        <v>10.93</v>
      </c>
      <c r="M26" s="37">
        <v>1.41</v>
      </c>
      <c r="N26" s="37">
        <v>11.95</v>
      </c>
      <c r="O26" s="37" t="s">
        <v>48</v>
      </c>
      <c r="P26" s="37">
        <v>4</v>
      </c>
      <c r="Q26" s="37">
        <v>10</v>
      </c>
      <c r="R26" s="37" t="s">
        <v>49</v>
      </c>
      <c r="S26" s="37" t="s">
        <v>50</v>
      </c>
      <c r="T26" s="37" t="s">
        <v>50</v>
      </c>
      <c r="U26" s="37" t="s">
        <v>50</v>
      </c>
      <c r="V26" s="37" t="s">
        <v>50</v>
      </c>
      <c r="W26" s="37" t="s">
        <v>50</v>
      </c>
      <c r="X26" s="37" t="s">
        <v>50</v>
      </c>
      <c r="Y26" s="698"/>
    </row>
    <row r="27" spans="1:25" s="37" customFormat="1" x14ac:dyDescent="0.25">
      <c r="A27" s="833">
        <v>44167</v>
      </c>
      <c r="B27" s="37" t="s">
        <v>87</v>
      </c>
      <c r="C27" s="37" t="s">
        <v>78</v>
      </c>
      <c r="D27" s="37">
        <v>38.044710000000002</v>
      </c>
      <c r="E27" s="37">
        <v>-121.8725</v>
      </c>
      <c r="F27" s="37" t="s">
        <v>100</v>
      </c>
      <c r="G27" s="37" t="s">
        <v>27</v>
      </c>
      <c r="H27" s="37" t="s">
        <v>101</v>
      </c>
      <c r="I27" s="712">
        <v>0.47222222222222227</v>
      </c>
      <c r="J27" s="37">
        <v>11370.5</v>
      </c>
      <c r="K27" s="37">
        <v>12.18</v>
      </c>
      <c r="L27" s="37">
        <v>14.68</v>
      </c>
      <c r="M27" s="37">
        <v>0.8</v>
      </c>
      <c r="N27" s="37">
        <v>3.27</v>
      </c>
      <c r="O27" s="37" t="s">
        <v>48</v>
      </c>
      <c r="P27" s="37">
        <v>4</v>
      </c>
      <c r="Q27" s="37">
        <v>10</v>
      </c>
      <c r="R27" s="37" t="s">
        <v>49</v>
      </c>
      <c r="S27" s="37" t="s">
        <v>50</v>
      </c>
      <c r="T27" s="37" t="s">
        <v>50</v>
      </c>
      <c r="U27" s="37" t="s">
        <v>50</v>
      </c>
      <c r="V27" s="37" t="s">
        <v>50</v>
      </c>
      <c r="W27" s="37" t="s">
        <v>50</v>
      </c>
      <c r="X27" s="37" t="s">
        <v>50</v>
      </c>
      <c r="Y27" s="698" t="s">
        <v>102</v>
      </c>
    </row>
    <row r="28" spans="1:25" s="37" customFormat="1" x14ac:dyDescent="0.25">
      <c r="A28" s="833">
        <v>44167</v>
      </c>
      <c r="B28" s="37" t="s">
        <v>87</v>
      </c>
      <c r="C28" s="37" t="s">
        <v>78</v>
      </c>
      <c r="D28" s="37">
        <v>38.041620000000002</v>
      </c>
      <c r="E28" s="37">
        <v>-121.90073</v>
      </c>
      <c r="F28" s="37" t="s">
        <v>103</v>
      </c>
      <c r="G28" s="37" t="s">
        <v>27</v>
      </c>
      <c r="H28" s="37" t="s">
        <v>101</v>
      </c>
      <c r="I28" s="712">
        <v>0.41597222222222219</v>
      </c>
      <c r="J28" s="37">
        <v>12662.5</v>
      </c>
      <c r="K28" s="37">
        <v>12</v>
      </c>
      <c r="L28" s="37">
        <v>18.55</v>
      </c>
      <c r="M28" s="37">
        <v>0.75</v>
      </c>
      <c r="N28" s="37">
        <v>9.65</v>
      </c>
      <c r="O28" s="37" t="s">
        <v>48</v>
      </c>
      <c r="P28" s="37">
        <v>4</v>
      </c>
      <c r="Q28" s="37">
        <v>10</v>
      </c>
      <c r="R28" s="37" t="s">
        <v>49</v>
      </c>
      <c r="S28" s="37" t="s">
        <v>50</v>
      </c>
      <c r="T28" s="37" t="s">
        <v>50</v>
      </c>
      <c r="U28" s="37" t="s">
        <v>50</v>
      </c>
      <c r="V28" s="37" t="s">
        <v>50</v>
      </c>
      <c r="W28" s="37" t="s">
        <v>50</v>
      </c>
      <c r="X28" s="37" t="s">
        <v>50</v>
      </c>
      <c r="Y28" s="638"/>
    </row>
    <row r="29" spans="1:25" s="37" customFormat="1" x14ac:dyDescent="0.25">
      <c r="A29" s="833">
        <v>44167</v>
      </c>
      <c r="B29" s="37" t="s">
        <v>87</v>
      </c>
      <c r="C29" s="37" t="s">
        <v>78</v>
      </c>
      <c r="D29" s="37">
        <v>38.071399999999997</v>
      </c>
      <c r="E29" s="37">
        <v>-122.02025</v>
      </c>
      <c r="F29" s="37" t="s">
        <v>104</v>
      </c>
      <c r="G29" s="37" t="s">
        <v>27</v>
      </c>
      <c r="H29" s="37" t="s">
        <v>86</v>
      </c>
      <c r="I29" s="712">
        <v>0.35625000000000001</v>
      </c>
      <c r="J29" s="37">
        <v>18274.25</v>
      </c>
      <c r="K29" s="37">
        <v>11.65</v>
      </c>
      <c r="L29" s="37">
        <v>17.05</v>
      </c>
      <c r="M29" s="37">
        <v>0.67</v>
      </c>
      <c r="N29" s="37">
        <v>9.1</v>
      </c>
      <c r="O29" s="37" t="s">
        <v>48</v>
      </c>
      <c r="P29" s="37">
        <v>4</v>
      </c>
      <c r="Q29" s="37">
        <v>10</v>
      </c>
      <c r="R29" s="37" t="s">
        <v>49</v>
      </c>
      <c r="S29" s="37" t="s">
        <v>50</v>
      </c>
      <c r="T29" s="37" t="s">
        <v>50</v>
      </c>
      <c r="U29" s="37" t="s">
        <v>50</v>
      </c>
      <c r="V29" s="37" t="s">
        <v>50</v>
      </c>
      <c r="W29" s="37" t="s">
        <v>50</v>
      </c>
      <c r="X29" s="37" t="s">
        <v>50</v>
      </c>
      <c r="Y29" s="698"/>
    </row>
    <row r="30" spans="1:25" s="37" customFormat="1" x14ac:dyDescent="0.25">
      <c r="A30" s="833">
        <v>44168</v>
      </c>
      <c r="B30" s="37" t="s">
        <v>105</v>
      </c>
      <c r="C30" s="97" t="s">
        <v>106</v>
      </c>
      <c r="D30" s="51">
        <v>38.405589999999997</v>
      </c>
      <c r="E30" s="51">
        <v>-121.61458</v>
      </c>
      <c r="F30" s="51" t="s">
        <v>107</v>
      </c>
      <c r="G30" s="51" t="s">
        <v>90</v>
      </c>
      <c r="H30" s="97" t="s">
        <v>108</v>
      </c>
      <c r="I30" s="66">
        <v>0.43611111111111112</v>
      </c>
      <c r="J30" s="51">
        <v>368.75</v>
      </c>
      <c r="K30" s="51">
        <v>11.25</v>
      </c>
      <c r="L30" s="51">
        <v>117.75</v>
      </c>
      <c r="M30" s="51">
        <v>0.25</v>
      </c>
      <c r="N30" s="51">
        <v>8.8800000000000008</v>
      </c>
      <c r="O30" s="51" t="s">
        <v>48</v>
      </c>
      <c r="P30" s="51">
        <v>4</v>
      </c>
      <c r="Q30" s="51">
        <v>10</v>
      </c>
      <c r="R30" s="51" t="s">
        <v>49</v>
      </c>
      <c r="S30" s="37" t="s">
        <v>50</v>
      </c>
      <c r="T30" s="37" t="s">
        <v>50</v>
      </c>
      <c r="U30" s="37" t="s">
        <v>50</v>
      </c>
      <c r="V30" s="37" t="s">
        <v>50</v>
      </c>
      <c r="W30" s="37" t="s">
        <v>50</v>
      </c>
      <c r="X30" s="37" t="s">
        <v>50</v>
      </c>
      <c r="Y30" s="698" t="s">
        <v>109</v>
      </c>
    </row>
    <row r="31" spans="1:25" s="37" customFormat="1" x14ac:dyDescent="0.25">
      <c r="A31" s="833">
        <v>44168</v>
      </c>
      <c r="B31" s="37" t="s">
        <v>105</v>
      </c>
      <c r="C31" s="97" t="s">
        <v>106</v>
      </c>
      <c r="D31" s="37">
        <v>38.234479999999998</v>
      </c>
      <c r="E31" s="37">
        <v>-121.67304</v>
      </c>
      <c r="F31" s="37" t="s">
        <v>110</v>
      </c>
      <c r="G31" s="37" t="s">
        <v>90</v>
      </c>
      <c r="H31" s="97" t="s">
        <v>108</v>
      </c>
      <c r="I31" s="712">
        <v>0.50694444444444442</v>
      </c>
      <c r="J31" s="37">
        <v>127.23</v>
      </c>
      <c r="K31" s="37">
        <v>10.6</v>
      </c>
      <c r="L31" s="37">
        <v>10.86</v>
      </c>
      <c r="M31" s="37">
        <v>1.8</v>
      </c>
      <c r="N31" s="37">
        <v>7.4</v>
      </c>
      <c r="O31" s="37" t="s">
        <v>48</v>
      </c>
      <c r="P31" s="37">
        <v>4</v>
      </c>
      <c r="Q31" s="37">
        <v>10</v>
      </c>
      <c r="R31" s="37" t="s">
        <v>49</v>
      </c>
      <c r="S31" s="37" t="s">
        <v>50</v>
      </c>
      <c r="T31" s="37" t="s">
        <v>50</v>
      </c>
      <c r="U31" s="37" t="s">
        <v>50</v>
      </c>
      <c r="V31" s="37" t="s">
        <v>50</v>
      </c>
      <c r="W31" s="37" t="s">
        <v>50</v>
      </c>
      <c r="X31" s="37" t="s">
        <v>50</v>
      </c>
      <c r="Y31" s="698" t="s">
        <v>111</v>
      </c>
    </row>
    <row r="32" spans="1:25" s="37" customFormat="1" x14ac:dyDescent="0.25">
      <c r="A32" s="833">
        <v>44168</v>
      </c>
      <c r="B32" s="37" t="s">
        <v>105</v>
      </c>
      <c r="C32" s="97" t="s">
        <v>106</v>
      </c>
      <c r="D32" s="37">
        <v>38.459409999999998</v>
      </c>
      <c r="E32" s="37">
        <v>-121.59005999999999</v>
      </c>
      <c r="F32" s="37" t="s">
        <v>112</v>
      </c>
      <c r="G32" s="37" t="s">
        <v>90</v>
      </c>
      <c r="H32" s="97" t="s">
        <v>108</v>
      </c>
      <c r="I32" s="712">
        <v>0.35625000000000001</v>
      </c>
      <c r="J32" s="37">
        <v>464.57</v>
      </c>
      <c r="K32" s="37">
        <v>11.35</v>
      </c>
      <c r="L32" s="37">
        <v>92.18</v>
      </c>
      <c r="M32" s="37">
        <v>0.26</v>
      </c>
      <c r="N32" s="37">
        <v>10.43</v>
      </c>
      <c r="O32" s="37" t="s">
        <v>48</v>
      </c>
      <c r="P32" s="37">
        <v>4</v>
      </c>
      <c r="Q32" s="37">
        <v>10</v>
      </c>
      <c r="R32" s="37" t="s">
        <v>64</v>
      </c>
      <c r="S32" s="37" t="s">
        <v>50</v>
      </c>
      <c r="T32" s="37" t="s">
        <v>50</v>
      </c>
      <c r="U32" s="37" t="s">
        <v>50</v>
      </c>
      <c r="V32" s="37" t="s">
        <v>50</v>
      </c>
      <c r="W32" s="37" t="s">
        <v>50</v>
      </c>
      <c r="X32" s="37" t="s">
        <v>50</v>
      </c>
      <c r="Y32" s="698" t="s">
        <v>113</v>
      </c>
    </row>
    <row r="33" spans="1:25" s="37" customFormat="1" x14ac:dyDescent="0.25">
      <c r="A33" s="833">
        <v>44168</v>
      </c>
      <c r="B33" s="37" t="s">
        <v>105</v>
      </c>
      <c r="C33" s="37" t="s">
        <v>95</v>
      </c>
      <c r="D33" s="37">
        <v>38.054589999999997</v>
      </c>
      <c r="E33" s="37">
        <v>-121.52236000000001</v>
      </c>
      <c r="F33" s="37" t="s">
        <v>114</v>
      </c>
      <c r="G33" s="37" t="s">
        <v>46</v>
      </c>
      <c r="H33" s="37" t="s">
        <v>115</v>
      </c>
      <c r="I33" s="712">
        <v>0.32500000000000001</v>
      </c>
      <c r="J33" s="37">
        <v>357.25</v>
      </c>
      <c r="K33" s="37">
        <v>11.28</v>
      </c>
      <c r="L33" s="37">
        <v>4.43</v>
      </c>
      <c r="M33" s="37">
        <v>1.8</v>
      </c>
      <c r="N33" s="37">
        <v>11.85</v>
      </c>
      <c r="O33" s="37" t="s">
        <v>48</v>
      </c>
      <c r="P33" s="37">
        <v>4</v>
      </c>
      <c r="Q33" s="37">
        <v>10</v>
      </c>
      <c r="R33" s="37" t="s">
        <v>64</v>
      </c>
      <c r="S33" s="37" t="s">
        <v>50</v>
      </c>
      <c r="T33" s="37" t="s">
        <v>50</v>
      </c>
      <c r="U33" s="37" t="s">
        <v>50</v>
      </c>
      <c r="V33" s="37" t="s">
        <v>50</v>
      </c>
      <c r="W33" s="37" t="s">
        <v>50</v>
      </c>
      <c r="X33" s="37" t="s">
        <v>50</v>
      </c>
      <c r="Y33" s="698"/>
    </row>
    <row r="34" spans="1:25" s="51" customFormat="1" x14ac:dyDescent="0.25">
      <c r="A34" s="833">
        <v>44168</v>
      </c>
      <c r="B34" s="37" t="s">
        <v>105</v>
      </c>
      <c r="C34" s="37" t="s">
        <v>95</v>
      </c>
      <c r="D34" s="37">
        <v>38.039830000000002</v>
      </c>
      <c r="E34" s="37">
        <v>-121.71584</v>
      </c>
      <c r="F34" s="37" t="s">
        <v>116</v>
      </c>
      <c r="G34" s="37" t="s">
        <v>27</v>
      </c>
      <c r="H34" s="37" t="s">
        <v>95</v>
      </c>
      <c r="I34" s="837">
        <v>0.3888888888888889</v>
      </c>
      <c r="J34" s="37">
        <v>2553.25</v>
      </c>
      <c r="K34" s="37">
        <v>11.7</v>
      </c>
      <c r="L34" s="37">
        <v>11.8</v>
      </c>
      <c r="M34" s="37">
        <v>1.34</v>
      </c>
      <c r="N34" s="37">
        <v>2.92</v>
      </c>
      <c r="O34" s="37" t="s">
        <v>48</v>
      </c>
      <c r="P34" s="37">
        <v>4</v>
      </c>
      <c r="Q34" s="37">
        <v>10</v>
      </c>
      <c r="R34" s="37" t="s">
        <v>49</v>
      </c>
      <c r="S34" s="37" t="s">
        <v>50</v>
      </c>
      <c r="T34" s="37" t="s">
        <v>50</v>
      </c>
      <c r="U34" s="37" t="s">
        <v>50</v>
      </c>
      <c r="V34" s="37" t="s">
        <v>50</v>
      </c>
      <c r="W34" s="37" t="s">
        <v>50</v>
      </c>
      <c r="X34" s="37" t="s">
        <v>50</v>
      </c>
      <c r="Y34" s="52"/>
    </row>
    <row r="35" spans="1:25" s="51" customFormat="1" x14ac:dyDescent="0.25">
      <c r="A35" s="833">
        <v>44168</v>
      </c>
      <c r="B35" s="37" t="s">
        <v>105</v>
      </c>
      <c r="C35" s="37" t="s">
        <v>95</v>
      </c>
      <c r="D35" s="37">
        <v>38.022579999999998</v>
      </c>
      <c r="E35" s="37">
        <v>-121.8018</v>
      </c>
      <c r="F35" s="37" t="s">
        <v>117</v>
      </c>
      <c r="G35" s="37" t="s">
        <v>27</v>
      </c>
      <c r="H35" s="37" t="s">
        <v>95</v>
      </c>
      <c r="I35" s="837">
        <v>0.44305555555555554</v>
      </c>
      <c r="J35" s="37">
        <v>5041.75</v>
      </c>
      <c r="K35" s="37">
        <v>11.85</v>
      </c>
      <c r="L35" s="37">
        <v>12</v>
      </c>
      <c r="M35" s="37">
        <v>1.01</v>
      </c>
      <c r="N35" s="37">
        <v>11</v>
      </c>
      <c r="O35" s="37" t="s">
        <v>48</v>
      </c>
      <c r="P35" s="37">
        <v>4</v>
      </c>
      <c r="Q35" s="37">
        <v>10</v>
      </c>
      <c r="R35" s="37" t="s">
        <v>49</v>
      </c>
      <c r="S35" s="37" t="s">
        <v>50</v>
      </c>
      <c r="T35" s="37" t="s">
        <v>50</v>
      </c>
      <c r="U35" s="37" t="s">
        <v>50</v>
      </c>
      <c r="V35" s="37" t="s">
        <v>50</v>
      </c>
      <c r="W35" s="37" t="s">
        <v>50</v>
      </c>
      <c r="X35" s="37" t="s">
        <v>50</v>
      </c>
      <c r="Y35" s="52"/>
    </row>
    <row r="36" spans="1:25" s="51" customFormat="1" x14ac:dyDescent="0.25">
      <c r="A36" s="833">
        <v>44168</v>
      </c>
      <c r="B36" s="37" t="s">
        <v>105</v>
      </c>
      <c r="C36" s="37" t="s">
        <v>118</v>
      </c>
      <c r="D36" s="37">
        <v>38.040030000000002</v>
      </c>
      <c r="E36" s="37">
        <v>-122.15567</v>
      </c>
      <c r="F36" s="37" t="s">
        <v>119</v>
      </c>
      <c r="G36" s="37" t="s">
        <v>80</v>
      </c>
      <c r="H36" s="37" t="s">
        <v>120</v>
      </c>
      <c r="I36" s="837">
        <v>0.35069444444444442</v>
      </c>
      <c r="J36" s="37">
        <v>28938.5</v>
      </c>
      <c r="K36" s="37">
        <v>12.22</v>
      </c>
      <c r="L36" s="37" t="s">
        <v>50</v>
      </c>
      <c r="M36" s="37">
        <v>0.68</v>
      </c>
      <c r="N36" s="37">
        <v>7.3</v>
      </c>
      <c r="O36" s="37" t="s">
        <v>48</v>
      </c>
      <c r="P36" s="37">
        <v>4</v>
      </c>
      <c r="Q36" s="37">
        <v>10</v>
      </c>
      <c r="R36" s="37" t="s">
        <v>49</v>
      </c>
      <c r="S36" s="37" t="s">
        <v>50</v>
      </c>
      <c r="T36" s="37" t="s">
        <v>50</v>
      </c>
      <c r="U36" s="37" t="s">
        <v>50</v>
      </c>
      <c r="V36" s="37" t="s">
        <v>50</v>
      </c>
      <c r="W36" s="37" t="s">
        <v>50</v>
      </c>
      <c r="X36" s="37" t="s">
        <v>50</v>
      </c>
      <c r="Y36" s="52"/>
    </row>
    <row r="37" spans="1:25" s="51" customFormat="1" x14ac:dyDescent="0.25">
      <c r="A37" s="833">
        <v>44168</v>
      </c>
      <c r="B37" s="37" t="s">
        <v>105</v>
      </c>
      <c r="C37" s="37" t="s">
        <v>118</v>
      </c>
      <c r="D37" s="37">
        <v>38.066510000000001</v>
      </c>
      <c r="E37" s="37">
        <v>-122.24697</v>
      </c>
      <c r="F37" s="37" t="s">
        <v>121</v>
      </c>
      <c r="G37" s="37" t="s">
        <v>80</v>
      </c>
      <c r="H37" s="37" t="s">
        <v>120</v>
      </c>
      <c r="I37" s="837">
        <v>0.40486111111111112</v>
      </c>
      <c r="J37" s="37">
        <v>30854.25</v>
      </c>
      <c r="K37" s="37">
        <v>12.28</v>
      </c>
      <c r="L37" s="37" t="s">
        <v>50</v>
      </c>
      <c r="M37" s="37">
        <v>0.77</v>
      </c>
      <c r="N37" s="37">
        <v>17.3</v>
      </c>
      <c r="O37" s="37" t="s">
        <v>48</v>
      </c>
      <c r="P37" s="37">
        <v>4</v>
      </c>
      <c r="Q37" s="37">
        <v>10</v>
      </c>
      <c r="R37" s="37" t="s">
        <v>49</v>
      </c>
      <c r="S37" s="37" t="s">
        <v>50</v>
      </c>
      <c r="T37" s="37" t="s">
        <v>50</v>
      </c>
      <c r="U37" s="37" t="s">
        <v>50</v>
      </c>
      <c r="V37" s="37" t="s">
        <v>50</v>
      </c>
      <c r="W37" s="37" t="s">
        <v>50</v>
      </c>
      <c r="X37" s="37" t="s">
        <v>50</v>
      </c>
      <c r="Y37" s="52"/>
    </row>
    <row r="38" spans="1:25" s="51" customFormat="1" x14ac:dyDescent="0.25">
      <c r="A38" s="833">
        <v>44168</v>
      </c>
      <c r="B38" s="37" t="s">
        <v>105</v>
      </c>
      <c r="C38" s="37" t="s">
        <v>118</v>
      </c>
      <c r="D38" s="37">
        <v>38.058419999999998</v>
      </c>
      <c r="E38" s="37">
        <v>-122.3087</v>
      </c>
      <c r="F38" s="37" t="s">
        <v>122</v>
      </c>
      <c r="G38" s="37" t="s">
        <v>80</v>
      </c>
      <c r="H38" s="37" t="s">
        <v>123</v>
      </c>
      <c r="I38" s="837">
        <v>0.45902777777777781</v>
      </c>
      <c r="J38" s="37">
        <v>36388</v>
      </c>
      <c r="K38" s="37">
        <v>12.58</v>
      </c>
      <c r="L38" s="37" t="s">
        <v>50</v>
      </c>
      <c r="M38" s="37">
        <v>0.91</v>
      </c>
      <c r="N38" s="37">
        <v>7.05</v>
      </c>
      <c r="O38" s="37" t="s">
        <v>48</v>
      </c>
      <c r="P38" s="37">
        <v>4</v>
      </c>
      <c r="Q38" s="37">
        <v>10</v>
      </c>
      <c r="R38" s="37" t="s">
        <v>64</v>
      </c>
      <c r="S38" s="37" t="s">
        <v>50</v>
      </c>
      <c r="T38" s="37" t="s">
        <v>50</v>
      </c>
      <c r="U38" s="37" t="s">
        <v>50</v>
      </c>
      <c r="V38" s="37" t="s">
        <v>50</v>
      </c>
      <c r="W38" s="37" t="s">
        <v>50</v>
      </c>
      <c r="X38" s="37" t="s">
        <v>50</v>
      </c>
      <c r="Y38" s="52" t="s">
        <v>124</v>
      </c>
    </row>
    <row r="39" spans="1:25" x14ac:dyDescent="0.25">
      <c r="A39" s="821">
        <v>44169</v>
      </c>
      <c r="B39" s="51" t="s">
        <v>125</v>
      </c>
      <c r="C39" s="51" t="s">
        <v>126</v>
      </c>
      <c r="D39" s="51">
        <v>38.274610000000003</v>
      </c>
      <c r="E39" s="51">
        <v>-121.70757999999999</v>
      </c>
      <c r="F39" s="51" t="s">
        <v>127</v>
      </c>
      <c r="G39" s="51" t="s">
        <v>90</v>
      </c>
      <c r="H39" s="51" t="s">
        <v>126</v>
      </c>
      <c r="I39" s="66">
        <v>0.34097222222222223</v>
      </c>
      <c r="J39" s="51">
        <v>155.30000000000001</v>
      </c>
      <c r="K39" s="51">
        <v>10.15</v>
      </c>
      <c r="L39" s="51">
        <v>7.64</v>
      </c>
      <c r="M39" s="51">
        <v>1.69</v>
      </c>
      <c r="N39" s="51">
        <v>4.5</v>
      </c>
      <c r="O39" s="51" t="s">
        <v>48</v>
      </c>
      <c r="P39" s="51">
        <v>4</v>
      </c>
      <c r="Q39" s="51">
        <v>10</v>
      </c>
      <c r="R39" s="51" t="s">
        <v>49</v>
      </c>
      <c r="S39" s="37" t="s">
        <v>50</v>
      </c>
      <c r="T39" s="37" t="s">
        <v>50</v>
      </c>
      <c r="U39" s="37" t="s">
        <v>50</v>
      </c>
      <c r="V39" s="37" t="s">
        <v>50</v>
      </c>
      <c r="W39" s="37" t="s">
        <v>50</v>
      </c>
      <c r="X39" s="37" t="s">
        <v>50</v>
      </c>
    </row>
    <row r="40" spans="1:25" x14ac:dyDescent="0.25">
      <c r="A40" s="821">
        <v>44169</v>
      </c>
      <c r="B40" s="51" t="s">
        <v>125</v>
      </c>
      <c r="C40" s="51" t="s">
        <v>126</v>
      </c>
      <c r="D40" s="51">
        <v>38.255960000000002</v>
      </c>
      <c r="E40" s="51">
        <v>-121.73180000000001</v>
      </c>
      <c r="F40" s="51" t="s">
        <v>128</v>
      </c>
      <c r="G40" s="51" t="s">
        <v>90</v>
      </c>
      <c r="H40" s="51" t="s">
        <v>126</v>
      </c>
      <c r="I40" s="66">
        <v>0.42291666666666666</v>
      </c>
      <c r="J40" s="51">
        <v>134.9</v>
      </c>
      <c r="K40" s="51">
        <v>10.220000000000001</v>
      </c>
      <c r="L40" s="51">
        <v>10.55</v>
      </c>
      <c r="M40" s="51">
        <v>1.61</v>
      </c>
      <c r="N40" s="51">
        <v>6.4</v>
      </c>
      <c r="O40" s="51" t="s">
        <v>48</v>
      </c>
      <c r="P40" s="51">
        <v>4</v>
      </c>
      <c r="Q40" s="51">
        <v>10</v>
      </c>
      <c r="R40" s="51" t="s">
        <v>49</v>
      </c>
      <c r="S40" s="37" t="s">
        <v>50</v>
      </c>
      <c r="T40" s="37" t="s">
        <v>50</v>
      </c>
      <c r="U40" s="37" t="s">
        <v>50</v>
      </c>
      <c r="V40" s="37" t="s">
        <v>50</v>
      </c>
      <c r="W40" s="37" t="s">
        <v>50</v>
      </c>
      <c r="X40" s="37" t="s">
        <v>50</v>
      </c>
    </row>
    <row r="41" spans="1:25" x14ac:dyDescent="0.25">
      <c r="A41" s="821">
        <v>44169</v>
      </c>
      <c r="B41" s="51" t="s">
        <v>125</v>
      </c>
      <c r="C41" s="51" t="s">
        <v>126</v>
      </c>
      <c r="D41" s="51">
        <v>38.24821</v>
      </c>
      <c r="E41" s="51">
        <v>-121.67487</v>
      </c>
      <c r="F41" s="51" t="s">
        <v>129</v>
      </c>
      <c r="G41" s="51" t="s">
        <v>90</v>
      </c>
      <c r="H41" s="51" t="s">
        <v>126</v>
      </c>
      <c r="I41" s="66">
        <v>0.48055555555555557</v>
      </c>
      <c r="J41" s="51">
        <v>126.8</v>
      </c>
      <c r="K41" s="51">
        <v>10.47</v>
      </c>
      <c r="L41" s="51">
        <v>8.59</v>
      </c>
      <c r="M41" s="51">
        <v>1.8</v>
      </c>
      <c r="N41" s="51">
        <v>9.9499999999999993</v>
      </c>
      <c r="O41" s="51" t="s">
        <v>48</v>
      </c>
      <c r="P41" s="51">
        <v>4</v>
      </c>
      <c r="Q41" s="51">
        <v>10</v>
      </c>
      <c r="R41" s="51" t="s">
        <v>49</v>
      </c>
      <c r="S41" s="37" t="s">
        <v>50</v>
      </c>
      <c r="T41" s="37" t="s">
        <v>50</v>
      </c>
      <c r="U41" s="37" t="s">
        <v>50</v>
      </c>
      <c r="V41" s="37" t="s">
        <v>50</v>
      </c>
      <c r="W41" s="37" t="s">
        <v>50</v>
      </c>
      <c r="X41" s="37" t="s">
        <v>50</v>
      </c>
    </row>
    <row r="42" spans="1:25" x14ac:dyDescent="0.25">
      <c r="A42" s="821">
        <v>44169</v>
      </c>
      <c r="B42" s="51" t="s">
        <v>125</v>
      </c>
      <c r="C42" s="51" t="s">
        <v>88</v>
      </c>
      <c r="D42" s="51">
        <v>38.152189999999997</v>
      </c>
      <c r="E42" s="51">
        <v>-121.68993</v>
      </c>
      <c r="F42" s="51" t="s">
        <v>130</v>
      </c>
      <c r="G42" s="51" t="s">
        <v>90</v>
      </c>
      <c r="H42" s="51" t="s">
        <v>91</v>
      </c>
      <c r="I42" s="66">
        <v>0.39166666666666666</v>
      </c>
      <c r="J42" s="51">
        <v>332.55</v>
      </c>
      <c r="K42" s="51">
        <v>10.72</v>
      </c>
      <c r="L42" s="51">
        <v>8.61</v>
      </c>
      <c r="M42" s="51">
        <v>1.49</v>
      </c>
      <c r="N42" s="51">
        <v>9.93</v>
      </c>
      <c r="O42" s="51" t="s">
        <v>48</v>
      </c>
      <c r="P42" s="51">
        <v>4</v>
      </c>
      <c r="Q42" s="51">
        <v>10</v>
      </c>
      <c r="R42" s="51" t="s">
        <v>49</v>
      </c>
      <c r="S42" s="37" t="s">
        <v>50</v>
      </c>
      <c r="T42" s="37" t="s">
        <v>50</v>
      </c>
      <c r="U42" s="37" t="s">
        <v>50</v>
      </c>
      <c r="V42" s="37" t="s">
        <v>50</v>
      </c>
      <c r="W42" s="37" t="s">
        <v>50</v>
      </c>
      <c r="X42" s="37" t="s">
        <v>50</v>
      </c>
    </row>
    <row r="43" spans="1:25" s="854" customFormat="1" x14ac:dyDescent="0.25">
      <c r="A43" s="853">
        <v>44169</v>
      </c>
      <c r="B43" s="74" t="s">
        <v>125</v>
      </c>
      <c r="C43" s="74" t="s">
        <v>88</v>
      </c>
      <c r="D43" s="74">
        <v>38.111449999999998</v>
      </c>
      <c r="E43" s="74">
        <v>-121.70874000000001</v>
      </c>
      <c r="F43" s="74" t="s">
        <v>131</v>
      </c>
      <c r="G43" s="74" t="s">
        <v>90</v>
      </c>
      <c r="H43" s="74" t="s">
        <v>91</v>
      </c>
      <c r="I43" s="73">
        <v>0.34236111111111112</v>
      </c>
      <c r="J43" s="74">
        <v>1758.75</v>
      </c>
      <c r="K43" s="74">
        <v>11.17</v>
      </c>
      <c r="L43" s="74">
        <v>15.97</v>
      </c>
      <c r="M43" s="74">
        <v>0.71</v>
      </c>
      <c r="N43" s="74">
        <v>7.17</v>
      </c>
      <c r="O43" s="74" t="s">
        <v>48</v>
      </c>
      <c r="P43" s="74">
        <v>4</v>
      </c>
      <c r="Q43" s="74">
        <v>10</v>
      </c>
      <c r="R43" s="74" t="s">
        <v>64</v>
      </c>
      <c r="S43" s="759" t="s">
        <v>50</v>
      </c>
      <c r="T43" s="759" t="s">
        <v>50</v>
      </c>
      <c r="U43" s="759" t="s">
        <v>50</v>
      </c>
      <c r="V43" s="759" t="s">
        <v>50</v>
      </c>
      <c r="W43" s="759" t="s">
        <v>50</v>
      </c>
      <c r="X43" s="759" t="s">
        <v>50</v>
      </c>
      <c r="Y43" s="77"/>
    </row>
    <row r="44" spans="1:25" s="51" customFormat="1" x14ac:dyDescent="0.25">
      <c r="A44" s="821">
        <v>44172</v>
      </c>
      <c r="B44" s="51" t="s">
        <v>43</v>
      </c>
      <c r="C44" s="51" t="s">
        <v>88</v>
      </c>
      <c r="D44" s="51">
        <v>38.168590000000002</v>
      </c>
      <c r="E44" s="51">
        <v>-121.67528</v>
      </c>
      <c r="F44" s="51" t="s">
        <v>132</v>
      </c>
      <c r="G44" s="51" t="s">
        <v>90</v>
      </c>
      <c r="H44" s="51" t="s">
        <v>91</v>
      </c>
      <c r="I44" s="66">
        <v>0.40069444444444446</v>
      </c>
      <c r="J44" s="51">
        <v>202.18</v>
      </c>
      <c r="K44" s="51">
        <v>10.1</v>
      </c>
      <c r="L44" s="51">
        <v>11.35</v>
      </c>
      <c r="M44" s="51">
        <v>1.6</v>
      </c>
      <c r="N44" s="51">
        <v>9.8000000000000007</v>
      </c>
      <c r="O44" s="51" t="s">
        <v>48</v>
      </c>
      <c r="P44" s="51">
        <v>4</v>
      </c>
      <c r="Q44" s="51">
        <v>10</v>
      </c>
      <c r="R44" s="51" t="s">
        <v>64</v>
      </c>
      <c r="S44" s="51" t="s">
        <v>50</v>
      </c>
      <c r="T44" s="51" t="s">
        <v>50</v>
      </c>
      <c r="U44" s="51" t="s">
        <v>50</v>
      </c>
      <c r="V44" s="51" t="s">
        <v>50</v>
      </c>
      <c r="W44" s="51" t="s">
        <v>50</v>
      </c>
      <c r="X44" s="51" t="s">
        <v>50</v>
      </c>
    </row>
    <row r="45" spans="1:25" s="51" customFormat="1" x14ac:dyDescent="0.25">
      <c r="A45" s="821">
        <v>44172</v>
      </c>
      <c r="B45" s="51" t="s">
        <v>43</v>
      </c>
      <c r="C45" s="51" t="s">
        <v>88</v>
      </c>
      <c r="D45" s="51">
        <v>38.17306</v>
      </c>
      <c r="E45" s="51">
        <v>-121.6704</v>
      </c>
      <c r="F45" s="51" t="s">
        <v>133</v>
      </c>
      <c r="G45" s="51" t="s">
        <v>90</v>
      </c>
      <c r="H45" s="51" t="s">
        <v>91</v>
      </c>
      <c r="I45" s="66">
        <v>0.45</v>
      </c>
      <c r="J45" s="51">
        <v>165.95</v>
      </c>
      <c r="K45" s="51">
        <v>10.1</v>
      </c>
      <c r="L45" s="51">
        <v>10.55</v>
      </c>
      <c r="M45" s="51">
        <v>1.8</v>
      </c>
      <c r="N45" s="51">
        <v>8.0500000000000007</v>
      </c>
      <c r="O45" s="51" t="s">
        <v>48</v>
      </c>
      <c r="P45" s="51">
        <v>2</v>
      </c>
      <c r="Q45" s="51">
        <v>10</v>
      </c>
      <c r="R45" s="51" t="s">
        <v>49</v>
      </c>
      <c r="S45" s="51" t="s">
        <v>50</v>
      </c>
      <c r="T45" s="51" t="s">
        <v>50</v>
      </c>
      <c r="U45" s="51" t="s">
        <v>50</v>
      </c>
      <c r="V45" s="51" t="s">
        <v>50</v>
      </c>
      <c r="W45" s="51" t="s">
        <v>50</v>
      </c>
      <c r="X45" s="51" t="s">
        <v>50</v>
      </c>
      <c r="Y45" s="52" t="s">
        <v>134</v>
      </c>
    </row>
    <row r="46" spans="1:25" s="51" customFormat="1" x14ac:dyDescent="0.25">
      <c r="A46" s="821">
        <v>44172</v>
      </c>
      <c r="B46" s="51" t="s">
        <v>43</v>
      </c>
      <c r="C46" s="51" t="s">
        <v>88</v>
      </c>
      <c r="D46" s="51">
        <v>38.129930000000002</v>
      </c>
      <c r="E46" s="51">
        <v>-121.69332</v>
      </c>
      <c r="F46" s="51" t="s">
        <v>135</v>
      </c>
      <c r="G46" s="51" t="s">
        <v>90</v>
      </c>
      <c r="H46" s="51" t="s">
        <v>91</v>
      </c>
      <c r="I46" s="66">
        <v>0.33680555555555558</v>
      </c>
      <c r="J46" s="51">
        <v>345.95</v>
      </c>
      <c r="K46" s="51">
        <v>10.220000000000001</v>
      </c>
      <c r="L46" s="51">
        <v>12.49</v>
      </c>
      <c r="M46" s="51">
        <v>1.44</v>
      </c>
      <c r="N46" s="51">
        <v>8.7200000000000006</v>
      </c>
      <c r="O46" s="51" t="s">
        <v>48</v>
      </c>
      <c r="P46" s="51">
        <v>4</v>
      </c>
      <c r="Q46" s="51">
        <v>10</v>
      </c>
      <c r="R46" s="51" t="s">
        <v>64</v>
      </c>
      <c r="S46" s="51" t="s">
        <v>50</v>
      </c>
      <c r="T46" s="51" t="s">
        <v>50</v>
      </c>
      <c r="U46" s="51" t="s">
        <v>50</v>
      </c>
      <c r="V46" s="51" t="s">
        <v>50</v>
      </c>
      <c r="W46" s="51" t="s">
        <v>50</v>
      </c>
      <c r="X46" s="51" t="s">
        <v>50</v>
      </c>
      <c r="Y46" s="52" t="s">
        <v>136</v>
      </c>
    </row>
    <row r="47" spans="1:25" s="51" customFormat="1" x14ac:dyDescent="0.25">
      <c r="A47" s="821">
        <v>44173</v>
      </c>
      <c r="B47" s="51" t="s">
        <v>70</v>
      </c>
      <c r="C47" s="51" t="s">
        <v>88</v>
      </c>
      <c r="D47" s="51">
        <v>38.094949999999997</v>
      </c>
      <c r="E47" s="51">
        <v>-121.72504000000001</v>
      </c>
      <c r="F47" s="51" t="s">
        <v>137</v>
      </c>
      <c r="G47" s="51" t="s">
        <v>90</v>
      </c>
      <c r="H47" s="51" t="s">
        <v>91</v>
      </c>
      <c r="I47" s="66">
        <v>0.42222222222222222</v>
      </c>
      <c r="J47" s="51">
        <v>2744.5</v>
      </c>
      <c r="K47" s="51">
        <v>10.82</v>
      </c>
      <c r="L47" s="51">
        <v>39.92</v>
      </c>
      <c r="M47" s="51">
        <v>0.57999999999999996</v>
      </c>
      <c r="N47" s="51">
        <v>5.22</v>
      </c>
      <c r="O47" s="51" t="s">
        <v>48</v>
      </c>
      <c r="P47" s="51">
        <v>4</v>
      </c>
      <c r="Q47" s="51">
        <v>10</v>
      </c>
      <c r="R47" s="51" t="s">
        <v>64</v>
      </c>
      <c r="S47" s="51" t="s">
        <v>50</v>
      </c>
      <c r="T47" s="51" t="s">
        <v>50</v>
      </c>
      <c r="U47" s="51" t="s">
        <v>50</v>
      </c>
      <c r="V47" s="51" t="s">
        <v>50</v>
      </c>
      <c r="W47" s="51" t="s">
        <v>50</v>
      </c>
      <c r="X47" s="51" t="s">
        <v>50</v>
      </c>
    </row>
    <row r="48" spans="1:25" s="51" customFormat="1" x14ac:dyDescent="0.25">
      <c r="A48" s="821">
        <v>44173</v>
      </c>
      <c r="B48" s="51" t="s">
        <v>70</v>
      </c>
      <c r="C48" s="51" t="s">
        <v>88</v>
      </c>
      <c r="D48" s="51">
        <v>38.068370000000002</v>
      </c>
      <c r="E48" s="51">
        <v>-121.77418</v>
      </c>
      <c r="F48" s="51" t="s">
        <v>138</v>
      </c>
      <c r="G48" s="51" t="s">
        <v>27</v>
      </c>
      <c r="H48" s="51" t="s">
        <v>25</v>
      </c>
      <c r="I48" s="66">
        <v>0.3743055555555555</v>
      </c>
      <c r="J48" s="51">
        <v>4152.75</v>
      </c>
      <c r="K48" s="51">
        <v>11.1</v>
      </c>
      <c r="L48" s="51">
        <v>43.68</v>
      </c>
      <c r="M48" s="51">
        <v>0.62</v>
      </c>
      <c r="N48" s="51">
        <v>9.4</v>
      </c>
      <c r="O48" s="51" t="s">
        <v>48</v>
      </c>
      <c r="P48" s="51">
        <v>4</v>
      </c>
      <c r="Q48" s="51">
        <v>10</v>
      </c>
      <c r="R48" s="51" t="s">
        <v>64</v>
      </c>
      <c r="S48" s="51" t="s">
        <v>50</v>
      </c>
      <c r="T48" s="51" t="s">
        <v>50</v>
      </c>
      <c r="U48" s="51" t="s">
        <v>50</v>
      </c>
      <c r="V48" s="51" t="s">
        <v>50</v>
      </c>
      <c r="W48" s="51" t="s">
        <v>50</v>
      </c>
      <c r="X48" s="51" t="s">
        <v>50</v>
      </c>
      <c r="Y48" s="52" t="s">
        <v>139</v>
      </c>
    </row>
    <row r="49" spans="1:25" s="51" customFormat="1" x14ac:dyDescent="0.25">
      <c r="A49" s="821">
        <v>44173</v>
      </c>
      <c r="B49" s="51" t="s">
        <v>70</v>
      </c>
      <c r="C49" s="51" t="s">
        <v>88</v>
      </c>
      <c r="D49" s="51">
        <v>38.059199999999997</v>
      </c>
      <c r="E49" s="51">
        <v>-121.80231000000001</v>
      </c>
      <c r="F49" s="51" t="s">
        <v>140</v>
      </c>
      <c r="G49" s="51" t="s">
        <v>27</v>
      </c>
      <c r="H49" s="51" t="s">
        <v>25</v>
      </c>
      <c r="I49" s="66">
        <v>0.32847222222222222</v>
      </c>
      <c r="J49" s="51">
        <v>4523</v>
      </c>
      <c r="K49" s="51">
        <v>11.08</v>
      </c>
      <c r="L49" s="51">
        <v>34.049999999999997</v>
      </c>
      <c r="M49" s="51">
        <v>0.54</v>
      </c>
      <c r="N49" s="51">
        <v>10.1</v>
      </c>
      <c r="O49" s="51" t="s">
        <v>48</v>
      </c>
      <c r="P49" s="51">
        <v>4</v>
      </c>
      <c r="Q49" s="51">
        <v>10</v>
      </c>
      <c r="R49" s="51" t="s">
        <v>64</v>
      </c>
      <c r="S49" s="51" t="s">
        <v>50</v>
      </c>
      <c r="T49" s="51" t="s">
        <v>50</v>
      </c>
      <c r="U49" s="51" t="s">
        <v>50</v>
      </c>
      <c r="V49" s="51" t="s">
        <v>50</v>
      </c>
      <c r="W49" s="51" t="s">
        <v>50</v>
      </c>
      <c r="X49" s="51" t="s">
        <v>50</v>
      </c>
    </row>
    <row r="50" spans="1:25" s="51" customFormat="1" x14ac:dyDescent="0.25">
      <c r="A50" s="821">
        <v>44173</v>
      </c>
      <c r="B50" s="51" t="s">
        <v>70</v>
      </c>
      <c r="C50" s="51" t="s">
        <v>95</v>
      </c>
      <c r="D50" s="51">
        <v>38.035319999999999</v>
      </c>
      <c r="E50" s="51">
        <v>-121.71521</v>
      </c>
      <c r="F50" s="51" t="s">
        <v>141</v>
      </c>
      <c r="G50" s="51" t="s">
        <v>27</v>
      </c>
      <c r="H50" s="51" t="s">
        <v>95</v>
      </c>
      <c r="I50" s="66">
        <v>0.4597222222222222</v>
      </c>
      <c r="J50" s="51">
        <v>3590.5</v>
      </c>
      <c r="K50" s="51">
        <v>11.3</v>
      </c>
      <c r="L50" s="51">
        <v>124.28</v>
      </c>
      <c r="M50" s="51">
        <v>0.53</v>
      </c>
      <c r="N50" s="51">
        <v>10.72</v>
      </c>
      <c r="O50" s="51" t="s">
        <v>48</v>
      </c>
      <c r="P50" s="51">
        <v>4</v>
      </c>
      <c r="Q50" s="51">
        <v>10</v>
      </c>
      <c r="R50" s="51" t="s">
        <v>64</v>
      </c>
      <c r="S50" s="51" t="s">
        <v>50</v>
      </c>
      <c r="T50" s="51" t="s">
        <v>50</v>
      </c>
      <c r="U50" s="51" t="s">
        <v>50</v>
      </c>
      <c r="V50" s="51" t="s">
        <v>50</v>
      </c>
      <c r="W50" s="51" t="s">
        <v>50</v>
      </c>
      <c r="X50" s="51" t="s">
        <v>50</v>
      </c>
    </row>
    <row r="51" spans="1:25" s="51" customFormat="1" x14ac:dyDescent="0.25">
      <c r="A51" s="821">
        <v>44173</v>
      </c>
      <c r="B51" s="51" t="s">
        <v>70</v>
      </c>
      <c r="C51" s="51" t="s">
        <v>95</v>
      </c>
      <c r="D51" s="51">
        <v>38.027369999999998</v>
      </c>
      <c r="E51" s="51">
        <v>-121.77446999999999</v>
      </c>
      <c r="F51" s="51" t="s">
        <v>142</v>
      </c>
      <c r="G51" s="51" t="s">
        <v>27</v>
      </c>
      <c r="H51" s="51" t="s">
        <v>95</v>
      </c>
      <c r="I51" s="66">
        <v>0.34930555555555554</v>
      </c>
      <c r="J51" s="51">
        <v>3736.5</v>
      </c>
      <c r="K51" s="51">
        <v>11.17</v>
      </c>
      <c r="L51" s="51">
        <v>32.9</v>
      </c>
      <c r="M51" s="51">
        <v>0.6</v>
      </c>
      <c r="N51" s="51">
        <v>14.6</v>
      </c>
      <c r="O51" s="51" t="s">
        <v>48</v>
      </c>
      <c r="P51" s="51">
        <v>4</v>
      </c>
      <c r="Q51" s="51">
        <v>10</v>
      </c>
      <c r="R51" s="51" t="s">
        <v>64</v>
      </c>
      <c r="S51" s="51" t="s">
        <v>50</v>
      </c>
      <c r="T51" s="51" t="s">
        <v>50</v>
      </c>
      <c r="U51" s="51" t="s">
        <v>50</v>
      </c>
      <c r="V51" s="51" t="s">
        <v>50</v>
      </c>
      <c r="W51" s="51" t="s">
        <v>50</v>
      </c>
      <c r="X51" s="51" t="s">
        <v>50</v>
      </c>
    </row>
    <row r="52" spans="1:25" s="51" customFormat="1" x14ac:dyDescent="0.25">
      <c r="A52" s="821">
        <v>44173</v>
      </c>
      <c r="B52" s="51" t="s">
        <v>70</v>
      </c>
      <c r="C52" s="51" t="s">
        <v>95</v>
      </c>
      <c r="D52" s="51">
        <v>38.031860000000002</v>
      </c>
      <c r="E52" s="51">
        <v>-121.73674</v>
      </c>
      <c r="F52" s="51" t="s">
        <v>143</v>
      </c>
      <c r="G52" s="51" t="s">
        <v>27</v>
      </c>
      <c r="H52" s="51" t="s">
        <v>95</v>
      </c>
      <c r="I52" s="66">
        <v>0.40763888888888888</v>
      </c>
      <c r="J52" s="51">
        <v>3583.25</v>
      </c>
      <c r="K52" s="51">
        <v>11.13</v>
      </c>
      <c r="L52" s="51">
        <v>40.9</v>
      </c>
      <c r="M52" s="51">
        <v>0.5</v>
      </c>
      <c r="N52" s="51">
        <v>8.18</v>
      </c>
      <c r="O52" s="51" t="s">
        <v>48</v>
      </c>
      <c r="P52" s="51">
        <v>4</v>
      </c>
      <c r="Q52" s="51">
        <v>10</v>
      </c>
      <c r="R52" s="51" t="s">
        <v>64</v>
      </c>
      <c r="S52" s="51" t="s">
        <v>50</v>
      </c>
      <c r="T52" s="51" t="s">
        <v>50</v>
      </c>
      <c r="U52" s="51" t="s">
        <v>50</v>
      </c>
      <c r="V52" s="51" t="s">
        <v>50</v>
      </c>
      <c r="W52" s="51" t="s">
        <v>50</v>
      </c>
      <c r="X52" s="51" t="s">
        <v>50</v>
      </c>
    </row>
    <row r="53" spans="1:25" s="51" customFormat="1" x14ac:dyDescent="0.25">
      <c r="A53" s="821">
        <v>44173</v>
      </c>
      <c r="B53" s="51" t="s">
        <v>70</v>
      </c>
      <c r="C53" s="51" t="s">
        <v>118</v>
      </c>
      <c r="D53" s="51">
        <v>38.031790000000001</v>
      </c>
      <c r="E53" s="51">
        <v>-122.15676999999999</v>
      </c>
      <c r="F53" s="51" t="s">
        <v>144</v>
      </c>
      <c r="G53" s="51" t="s">
        <v>80</v>
      </c>
      <c r="H53" s="51" t="s">
        <v>120</v>
      </c>
      <c r="I53" s="66">
        <v>0.52638888888888891</v>
      </c>
      <c r="J53" s="51">
        <v>24389</v>
      </c>
      <c r="K53" s="51">
        <v>12.17</v>
      </c>
      <c r="L53" s="51">
        <v>12.45</v>
      </c>
      <c r="M53" s="51">
        <v>0.92</v>
      </c>
      <c r="N53" s="51">
        <v>23.35</v>
      </c>
      <c r="O53" s="51" t="s">
        <v>48</v>
      </c>
      <c r="P53" s="51">
        <v>4</v>
      </c>
      <c r="Q53" s="51">
        <v>10</v>
      </c>
      <c r="R53" s="51" t="s">
        <v>49</v>
      </c>
      <c r="S53" s="51" t="s">
        <v>50</v>
      </c>
      <c r="T53" s="51" t="s">
        <v>50</v>
      </c>
      <c r="U53" s="51" t="s">
        <v>50</v>
      </c>
      <c r="V53" s="51" t="s">
        <v>50</v>
      </c>
      <c r="W53" s="51" t="s">
        <v>50</v>
      </c>
      <c r="X53" s="51" t="s">
        <v>50</v>
      </c>
    </row>
    <row r="54" spans="1:25" s="51" customFormat="1" x14ac:dyDescent="0.25">
      <c r="A54" s="821">
        <v>44173</v>
      </c>
      <c r="B54" s="51" t="s">
        <v>70</v>
      </c>
      <c r="C54" s="51" t="s">
        <v>118</v>
      </c>
      <c r="D54" s="51">
        <v>38.059739999999998</v>
      </c>
      <c r="E54" s="51">
        <v>-122.22953</v>
      </c>
      <c r="F54" s="51" t="s">
        <v>145</v>
      </c>
      <c r="G54" s="51" t="s">
        <v>80</v>
      </c>
      <c r="H54" s="51" t="s">
        <v>120</v>
      </c>
      <c r="I54" s="66">
        <v>0.46180555555555558</v>
      </c>
      <c r="J54" s="51">
        <v>26729.75</v>
      </c>
      <c r="K54" s="51">
        <v>12.15</v>
      </c>
      <c r="L54" s="51">
        <v>11.25</v>
      </c>
      <c r="M54" s="51">
        <v>0.97</v>
      </c>
      <c r="N54" s="51">
        <v>21.23</v>
      </c>
      <c r="O54" s="51" t="s">
        <v>48</v>
      </c>
      <c r="P54" s="51">
        <v>4</v>
      </c>
      <c r="Q54" s="51">
        <v>9.75</v>
      </c>
      <c r="R54" s="51" t="s">
        <v>49</v>
      </c>
      <c r="S54" s="51" t="s">
        <v>50</v>
      </c>
      <c r="T54" s="51" t="s">
        <v>50</v>
      </c>
      <c r="U54" s="51" t="s">
        <v>50</v>
      </c>
      <c r="V54" s="51" t="s">
        <v>50</v>
      </c>
      <c r="W54" s="51" t="s">
        <v>50</v>
      </c>
      <c r="X54" s="51" t="s">
        <v>50</v>
      </c>
      <c r="Y54" s="52" t="s">
        <v>146</v>
      </c>
    </row>
    <row r="55" spans="1:25" s="51" customFormat="1" x14ac:dyDescent="0.25">
      <c r="A55" s="821">
        <v>44173</v>
      </c>
      <c r="B55" s="51" t="s">
        <v>70</v>
      </c>
      <c r="C55" s="51" t="s">
        <v>118</v>
      </c>
      <c r="D55" s="51">
        <v>38.055280000000003</v>
      </c>
      <c r="E55" s="51">
        <v>-122.29734999999999</v>
      </c>
      <c r="F55" s="51" t="s">
        <v>147</v>
      </c>
      <c r="G55" s="51" t="s">
        <v>80</v>
      </c>
      <c r="H55" s="51" t="s">
        <v>123</v>
      </c>
      <c r="I55" s="66">
        <v>0.37986111111111115</v>
      </c>
      <c r="J55" s="51">
        <v>26358.75</v>
      </c>
      <c r="K55" s="51">
        <v>11.9</v>
      </c>
      <c r="L55" s="51">
        <v>12.04</v>
      </c>
      <c r="M55" s="51">
        <v>1.02</v>
      </c>
      <c r="N55" s="51">
        <v>15.4</v>
      </c>
      <c r="O55" s="51" t="s">
        <v>48</v>
      </c>
      <c r="P55" s="51">
        <v>4</v>
      </c>
      <c r="Q55" s="51">
        <v>8.75</v>
      </c>
      <c r="R55" s="51" t="s">
        <v>49</v>
      </c>
      <c r="S55" s="51" t="s">
        <v>50</v>
      </c>
      <c r="T55" s="51" t="s">
        <v>50</v>
      </c>
      <c r="U55" s="51" t="s">
        <v>50</v>
      </c>
      <c r="V55" s="51" t="s">
        <v>50</v>
      </c>
      <c r="W55" s="51" t="s">
        <v>50</v>
      </c>
      <c r="X55" s="51" t="s">
        <v>50</v>
      </c>
      <c r="Y55" s="52" t="s">
        <v>148</v>
      </c>
    </row>
    <row r="56" spans="1:25" x14ac:dyDescent="0.25">
      <c r="A56" s="821">
        <v>44174</v>
      </c>
      <c r="B56" s="51" t="s">
        <v>87</v>
      </c>
      <c r="C56" s="51" t="s">
        <v>95</v>
      </c>
      <c r="D56" s="51">
        <v>38.084429999999998</v>
      </c>
      <c r="E56" s="51">
        <v>-121.57504</v>
      </c>
      <c r="F56" s="51" t="s">
        <v>149</v>
      </c>
      <c r="G56" s="51" t="s">
        <v>46</v>
      </c>
      <c r="H56" s="51" t="s">
        <v>115</v>
      </c>
      <c r="I56" s="66">
        <v>0.43958333333333338</v>
      </c>
      <c r="J56" s="51">
        <v>460.85</v>
      </c>
      <c r="K56" s="51">
        <v>10.9</v>
      </c>
      <c r="L56" s="51">
        <v>7.58</v>
      </c>
      <c r="M56" s="51">
        <v>1.41</v>
      </c>
      <c r="N56" s="51">
        <v>10.97</v>
      </c>
      <c r="O56" s="51" t="s">
        <v>48</v>
      </c>
      <c r="P56" s="51">
        <v>4</v>
      </c>
      <c r="Q56" s="51">
        <v>10</v>
      </c>
      <c r="R56" s="51" t="s">
        <v>64</v>
      </c>
      <c r="S56" s="51" t="s">
        <v>50</v>
      </c>
      <c r="T56" s="51" t="s">
        <v>50</v>
      </c>
      <c r="U56" s="51" t="s">
        <v>50</v>
      </c>
      <c r="V56" s="51" t="s">
        <v>50</v>
      </c>
      <c r="W56" s="51" t="s">
        <v>50</v>
      </c>
      <c r="X56" s="51" t="s">
        <v>50</v>
      </c>
      <c r="Y56" s="441"/>
    </row>
    <row r="57" spans="1:25" x14ac:dyDescent="0.25">
      <c r="A57" s="821">
        <v>44174</v>
      </c>
      <c r="B57" s="51" t="s">
        <v>87</v>
      </c>
      <c r="C57" s="51" t="s">
        <v>95</v>
      </c>
      <c r="D57" s="51">
        <v>38.086069999999999</v>
      </c>
      <c r="E57" s="51">
        <v>-121.64669000000001</v>
      </c>
      <c r="F57" s="51" t="s">
        <v>150</v>
      </c>
      <c r="G57" s="51" t="s">
        <v>46</v>
      </c>
      <c r="H57" s="51" t="s">
        <v>97</v>
      </c>
      <c r="I57" s="66">
        <v>0.38472222222222219</v>
      </c>
      <c r="J57" s="51">
        <v>730.75</v>
      </c>
      <c r="K57" s="51">
        <v>11.08</v>
      </c>
      <c r="L57" s="51">
        <v>8.3699999999999992</v>
      </c>
      <c r="M57" s="51">
        <v>1.53</v>
      </c>
      <c r="N57" s="51">
        <v>15.5</v>
      </c>
      <c r="O57" s="51" t="s">
        <v>48</v>
      </c>
      <c r="P57" s="51">
        <v>4</v>
      </c>
      <c r="Q57" s="51">
        <v>10</v>
      </c>
      <c r="R57" s="51" t="s">
        <v>64</v>
      </c>
      <c r="S57" s="51" t="s">
        <v>50</v>
      </c>
      <c r="T57" s="51" t="s">
        <v>50</v>
      </c>
      <c r="U57" s="51" t="s">
        <v>50</v>
      </c>
      <c r="V57" s="51" t="s">
        <v>50</v>
      </c>
      <c r="W57" s="51" t="s">
        <v>50</v>
      </c>
      <c r="X57" s="51" t="s">
        <v>50</v>
      </c>
      <c r="Y57" s="441"/>
    </row>
    <row r="58" spans="1:25" x14ac:dyDescent="0.25">
      <c r="A58" s="821">
        <v>44174</v>
      </c>
      <c r="B58" s="51" t="s">
        <v>87</v>
      </c>
      <c r="C58" s="51" t="s">
        <v>95</v>
      </c>
      <c r="D58" s="51">
        <v>38.091500000000003</v>
      </c>
      <c r="E58" s="51">
        <v>-121.67536</v>
      </c>
      <c r="F58" s="51" t="s">
        <v>151</v>
      </c>
      <c r="G58" s="51" t="s">
        <v>46</v>
      </c>
      <c r="H58" s="51" t="s">
        <v>97</v>
      </c>
      <c r="I58" s="66">
        <v>0.32916666666666666</v>
      </c>
      <c r="J58" s="51">
        <v>795.25</v>
      </c>
      <c r="K58" s="51">
        <v>11</v>
      </c>
      <c r="L58" s="51">
        <v>7.88</v>
      </c>
      <c r="M58" s="51">
        <v>1.64</v>
      </c>
      <c r="N58" s="51">
        <v>37.67</v>
      </c>
      <c r="O58" s="51" t="s">
        <v>48</v>
      </c>
      <c r="P58" s="51">
        <v>4</v>
      </c>
      <c r="Q58" s="51">
        <v>10</v>
      </c>
      <c r="R58" s="51" t="s">
        <v>64</v>
      </c>
      <c r="S58" s="51" t="s">
        <v>50</v>
      </c>
      <c r="T58" s="51" t="s">
        <v>50</v>
      </c>
      <c r="U58" s="51" t="s">
        <v>50</v>
      </c>
      <c r="V58" s="51" t="s">
        <v>50</v>
      </c>
      <c r="W58" s="51" t="s">
        <v>50</v>
      </c>
      <c r="X58" s="51" t="s">
        <v>50</v>
      </c>
      <c r="Y58" s="441"/>
    </row>
    <row r="59" spans="1:25" x14ac:dyDescent="0.25">
      <c r="A59" s="821">
        <v>44174</v>
      </c>
      <c r="B59" s="51" t="s">
        <v>87</v>
      </c>
      <c r="C59" s="51" t="s">
        <v>78</v>
      </c>
      <c r="D59" s="51">
        <v>38.074249999999999</v>
      </c>
      <c r="E59" s="51">
        <v>-121.07809</v>
      </c>
      <c r="F59" s="51" t="s">
        <v>152</v>
      </c>
      <c r="G59" s="51" t="s">
        <v>80</v>
      </c>
      <c r="H59" s="51" t="s">
        <v>81</v>
      </c>
      <c r="I59" s="66">
        <v>0.35000000000000003</v>
      </c>
      <c r="J59" s="51">
        <v>23827.5</v>
      </c>
      <c r="K59" s="51">
        <v>11.78</v>
      </c>
      <c r="L59" s="51">
        <v>36.630000000000003</v>
      </c>
      <c r="M59" s="51">
        <v>0.43</v>
      </c>
      <c r="N59" s="51">
        <v>4.13</v>
      </c>
      <c r="O59" s="51" t="s">
        <v>48</v>
      </c>
      <c r="P59" s="51">
        <v>4</v>
      </c>
      <c r="Q59" s="51">
        <v>10</v>
      </c>
      <c r="R59" s="51" t="s">
        <v>64</v>
      </c>
      <c r="S59" s="51" t="s">
        <v>50</v>
      </c>
      <c r="T59" s="51" t="s">
        <v>50</v>
      </c>
      <c r="U59" s="51" t="s">
        <v>50</v>
      </c>
      <c r="V59" s="51" t="s">
        <v>50</v>
      </c>
      <c r="W59" s="51" t="s">
        <v>50</v>
      </c>
      <c r="X59" s="51" t="s">
        <v>50</v>
      </c>
    </row>
    <row r="60" spans="1:25" x14ac:dyDescent="0.25">
      <c r="A60" s="821">
        <v>44174</v>
      </c>
      <c r="B60" s="51" t="s">
        <v>87</v>
      </c>
      <c r="C60" s="51" t="s">
        <v>78</v>
      </c>
      <c r="D60" s="51">
        <v>38.076779999999999</v>
      </c>
      <c r="E60" s="51">
        <v>-121.97727999999999</v>
      </c>
      <c r="F60" s="51" t="s">
        <v>153</v>
      </c>
      <c r="G60" s="51" t="s">
        <v>27</v>
      </c>
      <c r="H60" s="51" t="s">
        <v>86</v>
      </c>
      <c r="I60" s="66">
        <v>0.45069444444444445</v>
      </c>
      <c r="J60" s="51">
        <v>20147</v>
      </c>
      <c r="K60" s="51">
        <v>11.5</v>
      </c>
      <c r="L60" s="51">
        <v>37.770000000000003</v>
      </c>
      <c r="M60" s="51">
        <v>0.47</v>
      </c>
      <c r="N60" s="51">
        <v>23.27</v>
      </c>
      <c r="O60" s="51" t="s">
        <v>48</v>
      </c>
      <c r="P60" s="51">
        <v>4</v>
      </c>
      <c r="Q60" s="51">
        <v>10</v>
      </c>
      <c r="R60" s="51" t="s">
        <v>64</v>
      </c>
      <c r="S60" s="51" t="s">
        <v>50</v>
      </c>
      <c r="T60" s="51" t="s">
        <v>50</v>
      </c>
      <c r="U60" s="51" t="s">
        <v>50</v>
      </c>
      <c r="V60" s="51" t="s">
        <v>50</v>
      </c>
      <c r="W60" s="51" t="s">
        <v>50</v>
      </c>
      <c r="X60" s="51" t="s">
        <v>50</v>
      </c>
    </row>
    <row r="61" spans="1:25" x14ac:dyDescent="0.25">
      <c r="A61" s="821">
        <v>44174</v>
      </c>
      <c r="B61" s="51" t="s">
        <v>87</v>
      </c>
      <c r="C61" s="51" t="s">
        <v>78</v>
      </c>
      <c r="D61" s="51">
        <v>38.098509999999997</v>
      </c>
      <c r="E61" s="51">
        <v>-122.0423</v>
      </c>
      <c r="F61" s="51" t="s">
        <v>154</v>
      </c>
      <c r="G61" s="51" t="s">
        <v>27</v>
      </c>
      <c r="H61" s="51" t="s">
        <v>86</v>
      </c>
      <c r="I61" s="66">
        <v>0.40069444444444446</v>
      </c>
      <c r="J61" s="51">
        <v>23277</v>
      </c>
      <c r="K61" s="51">
        <v>11.67</v>
      </c>
      <c r="L61" s="51">
        <v>18.95</v>
      </c>
      <c r="M61" s="51">
        <v>0.75</v>
      </c>
      <c r="N61" s="51">
        <v>7.78</v>
      </c>
      <c r="O61" s="51" t="s">
        <v>48</v>
      </c>
      <c r="P61" s="51">
        <v>4</v>
      </c>
      <c r="Q61" s="51">
        <v>10</v>
      </c>
      <c r="R61" s="51" t="s">
        <v>64</v>
      </c>
      <c r="S61" s="51" t="s">
        <v>50</v>
      </c>
      <c r="T61" s="51" t="s">
        <v>50</v>
      </c>
      <c r="U61" s="51" t="s">
        <v>50</v>
      </c>
      <c r="V61" s="51" t="s">
        <v>50</v>
      </c>
      <c r="W61" s="51" t="s">
        <v>50</v>
      </c>
      <c r="X61" s="51" t="s">
        <v>50</v>
      </c>
    </row>
    <row r="62" spans="1:25" x14ac:dyDescent="0.25">
      <c r="A62" s="821">
        <v>44174</v>
      </c>
      <c r="B62" s="51" t="s">
        <v>87</v>
      </c>
      <c r="C62" s="97" t="s">
        <v>106</v>
      </c>
      <c r="D62" s="51">
        <v>38.350409999999997</v>
      </c>
      <c r="E62" s="51">
        <v>-121.64089</v>
      </c>
      <c r="F62" s="51" t="s">
        <v>155</v>
      </c>
      <c r="G62" s="51" t="s">
        <v>90</v>
      </c>
      <c r="H62" s="97" t="s">
        <v>108</v>
      </c>
      <c r="I62" s="66">
        <v>0.4909722222222222</v>
      </c>
      <c r="J62" s="51">
        <v>200.95</v>
      </c>
      <c r="K62" s="51">
        <v>10.58</v>
      </c>
      <c r="L62" s="51">
        <v>70.67</v>
      </c>
      <c r="M62" s="51">
        <v>0.28000000000000003</v>
      </c>
      <c r="N62" s="51">
        <v>11.15</v>
      </c>
      <c r="O62" s="51" t="s">
        <v>48</v>
      </c>
      <c r="P62" s="51">
        <v>4</v>
      </c>
      <c r="Q62" s="51">
        <v>10</v>
      </c>
      <c r="R62" s="51" t="s">
        <v>64</v>
      </c>
      <c r="S62" s="51" t="s">
        <v>50</v>
      </c>
      <c r="T62" s="51" t="s">
        <v>50</v>
      </c>
      <c r="U62" s="51" t="s">
        <v>50</v>
      </c>
      <c r="V62" s="51" t="s">
        <v>50</v>
      </c>
      <c r="W62" s="51" t="s">
        <v>50</v>
      </c>
      <c r="X62" s="51" t="s">
        <v>50</v>
      </c>
      <c r="Y62" s="52" t="s">
        <v>156</v>
      </c>
    </row>
    <row r="63" spans="1:25" x14ac:dyDescent="0.25">
      <c r="A63" s="821">
        <v>44174</v>
      </c>
      <c r="B63" s="51" t="s">
        <v>87</v>
      </c>
      <c r="C63" s="97" t="s">
        <v>106</v>
      </c>
      <c r="D63" s="51">
        <v>38.561619999999998</v>
      </c>
      <c r="E63" s="51">
        <v>-121.55087</v>
      </c>
      <c r="F63" s="51" t="s">
        <v>157</v>
      </c>
      <c r="G63" s="51" t="s">
        <v>90</v>
      </c>
      <c r="H63" s="97" t="s">
        <v>158</v>
      </c>
      <c r="I63" s="66">
        <v>0.35625000000000001</v>
      </c>
      <c r="J63" s="51">
        <v>798.5</v>
      </c>
      <c r="K63" s="51">
        <v>12.05</v>
      </c>
      <c r="L63" s="51">
        <v>13.16</v>
      </c>
      <c r="M63" s="51">
        <v>1.77</v>
      </c>
      <c r="N63" s="51">
        <v>11.4</v>
      </c>
      <c r="O63" s="51" t="s">
        <v>48</v>
      </c>
      <c r="P63" s="51">
        <v>4</v>
      </c>
      <c r="Q63" s="51">
        <v>10</v>
      </c>
      <c r="R63" s="51" t="s">
        <v>64</v>
      </c>
      <c r="S63" s="51" t="s">
        <v>50</v>
      </c>
      <c r="T63" s="51" t="s">
        <v>50</v>
      </c>
      <c r="U63" s="51" t="s">
        <v>50</v>
      </c>
      <c r="V63" s="51" t="s">
        <v>50</v>
      </c>
      <c r="W63" s="51" t="s">
        <v>50</v>
      </c>
      <c r="X63" s="51" t="s">
        <v>50</v>
      </c>
      <c r="Y63" s="698" t="s">
        <v>159</v>
      </c>
    </row>
    <row r="64" spans="1:25" x14ac:dyDescent="0.25">
      <c r="A64" s="821">
        <v>44174</v>
      </c>
      <c r="B64" s="51" t="s">
        <v>87</v>
      </c>
      <c r="C64" s="97" t="s">
        <v>106</v>
      </c>
      <c r="D64" s="51">
        <v>38.484470000000002</v>
      </c>
      <c r="E64" s="51">
        <v>-121.58472</v>
      </c>
      <c r="F64" s="51" t="s">
        <v>160</v>
      </c>
      <c r="G64" s="51" t="s">
        <v>90</v>
      </c>
      <c r="H64" s="97" t="s">
        <v>158</v>
      </c>
      <c r="I64" s="66">
        <v>0.41736111111111113</v>
      </c>
      <c r="J64" s="51">
        <v>513</v>
      </c>
      <c r="K64" s="51">
        <v>10.83</v>
      </c>
      <c r="L64" s="51">
        <v>155.5</v>
      </c>
      <c r="M64" s="51">
        <v>0.18</v>
      </c>
      <c r="N64" s="51">
        <v>10.85</v>
      </c>
      <c r="O64" s="51" t="s">
        <v>48</v>
      </c>
      <c r="P64" s="51">
        <v>4</v>
      </c>
      <c r="Q64" s="51">
        <v>10</v>
      </c>
      <c r="R64" s="51" t="s">
        <v>64</v>
      </c>
      <c r="S64" s="51" t="s">
        <v>50</v>
      </c>
      <c r="T64" s="51" t="s">
        <v>50</v>
      </c>
      <c r="U64" s="51" t="s">
        <v>50</v>
      </c>
      <c r="V64" s="51" t="s">
        <v>50</v>
      </c>
      <c r="W64" s="51" t="s">
        <v>50</v>
      </c>
      <c r="X64" s="51" t="s">
        <v>50</v>
      </c>
      <c r="Y64" s="52" t="s">
        <v>161</v>
      </c>
    </row>
    <row r="65" spans="1:25" s="51" customFormat="1" x14ac:dyDescent="0.25">
      <c r="A65" s="821">
        <v>44175</v>
      </c>
      <c r="B65" s="51" t="s">
        <v>105</v>
      </c>
      <c r="C65" s="51" t="s">
        <v>162</v>
      </c>
      <c r="D65" s="51">
        <v>38.302970000000002</v>
      </c>
      <c r="E65" s="51">
        <v>-121.69289000000001</v>
      </c>
      <c r="F65" s="51" t="s">
        <v>163</v>
      </c>
      <c r="G65" s="51" t="s">
        <v>90</v>
      </c>
      <c r="H65" s="51" t="s">
        <v>126</v>
      </c>
      <c r="I65" s="66">
        <v>0.43472222222222223</v>
      </c>
      <c r="J65" s="51">
        <v>153.16999999999999</v>
      </c>
      <c r="K65" s="51">
        <v>9.7200000000000006</v>
      </c>
      <c r="L65" s="51">
        <v>5.91</v>
      </c>
      <c r="M65" s="51">
        <v>1.72</v>
      </c>
      <c r="N65" s="51">
        <v>6.17</v>
      </c>
      <c r="O65" s="51" t="s">
        <v>48</v>
      </c>
      <c r="P65" s="51">
        <v>4</v>
      </c>
      <c r="Q65" s="51">
        <v>10</v>
      </c>
      <c r="R65" s="51" t="s">
        <v>64</v>
      </c>
      <c r="S65" s="51" t="s">
        <v>50</v>
      </c>
      <c r="T65" s="51" t="s">
        <v>50</v>
      </c>
      <c r="U65" s="51" t="s">
        <v>50</v>
      </c>
      <c r="V65" s="51" t="s">
        <v>50</v>
      </c>
      <c r="W65" s="51" t="s">
        <v>50</v>
      </c>
      <c r="X65" s="51" t="s">
        <v>50</v>
      </c>
    </row>
    <row r="66" spans="1:25" s="51" customFormat="1" x14ac:dyDescent="0.25">
      <c r="A66" s="821">
        <v>44175</v>
      </c>
      <c r="B66" s="51" t="s">
        <v>105</v>
      </c>
      <c r="C66" s="51" t="s">
        <v>162</v>
      </c>
      <c r="D66" s="51">
        <v>38.267490000000002</v>
      </c>
      <c r="E66" s="51">
        <v>-121.66986</v>
      </c>
      <c r="F66" s="51" t="s">
        <v>164</v>
      </c>
      <c r="G66" s="51" t="s">
        <v>90</v>
      </c>
      <c r="H66" s="51" t="s">
        <v>126</v>
      </c>
      <c r="I66" s="66">
        <v>0.33194444444444443</v>
      </c>
      <c r="J66" s="51">
        <v>137.22</v>
      </c>
      <c r="K66" s="51">
        <v>9.92</v>
      </c>
      <c r="L66" s="51">
        <v>9.44</v>
      </c>
      <c r="M66" s="51">
        <v>1.53</v>
      </c>
      <c r="N66" s="51">
        <v>7.25</v>
      </c>
      <c r="O66" s="51" t="s">
        <v>48</v>
      </c>
      <c r="P66" s="51">
        <v>4</v>
      </c>
      <c r="Q66" s="51">
        <v>10</v>
      </c>
      <c r="R66" s="51" t="s">
        <v>64</v>
      </c>
      <c r="S66" s="51" t="s">
        <v>50</v>
      </c>
      <c r="T66" s="51" t="s">
        <v>50</v>
      </c>
      <c r="U66" s="51" t="s">
        <v>50</v>
      </c>
      <c r="V66" s="51" t="s">
        <v>50</v>
      </c>
      <c r="W66" s="51" t="s">
        <v>50</v>
      </c>
      <c r="X66" s="51" t="s">
        <v>50</v>
      </c>
      <c r="Y66" s="52"/>
    </row>
    <row r="67" spans="1:25" s="51" customFormat="1" x14ac:dyDescent="0.25">
      <c r="A67" s="821">
        <v>44175</v>
      </c>
      <c r="B67" s="51" t="s">
        <v>105</v>
      </c>
      <c r="C67" s="51" t="s">
        <v>162</v>
      </c>
      <c r="D67" s="51">
        <v>38.326430000000002</v>
      </c>
      <c r="E67" s="51">
        <v>-121.66739</v>
      </c>
      <c r="F67" s="51" t="s">
        <v>165</v>
      </c>
      <c r="G67" s="51" t="s">
        <v>90</v>
      </c>
      <c r="H67" s="51" t="s">
        <v>126</v>
      </c>
      <c r="I67" s="66">
        <v>0.38194444444444442</v>
      </c>
      <c r="J67" s="51">
        <v>165.08</v>
      </c>
      <c r="K67" s="51">
        <v>9.3800000000000008</v>
      </c>
      <c r="L67" s="51">
        <v>8.35</v>
      </c>
      <c r="M67" s="51">
        <v>1.54</v>
      </c>
      <c r="N67" s="51">
        <v>5.7</v>
      </c>
      <c r="O67" s="51" t="s">
        <v>48</v>
      </c>
      <c r="P67" s="51">
        <v>4</v>
      </c>
      <c r="Q67" s="51">
        <v>10</v>
      </c>
      <c r="R67" s="51" t="s">
        <v>64</v>
      </c>
      <c r="S67" s="51" t="s">
        <v>50</v>
      </c>
      <c r="T67" s="51" t="s">
        <v>50</v>
      </c>
      <c r="U67" s="51" t="s">
        <v>50</v>
      </c>
      <c r="V67" s="51" t="s">
        <v>50</v>
      </c>
      <c r="W67" s="51" t="s">
        <v>50</v>
      </c>
      <c r="X67" s="51" t="s">
        <v>50</v>
      </c>
      <c r="Y67" s="52" t="s">
        <v>139</v>
      </c>
    </row>
    <row r="68" spans="1:25" s="51" customFormat="1" x14ac:dyDescent="0.25">
      <c r="A68" s="821">
        <v>44175</v>
      </c>
      <c r="B68" s="51" t="s">
        <v>105</v>
      </c>
      <c r="C68" s="51" t="s">
        <v>78</v>
      </c>
      <c r="D68" s="51">
        <v>38.034309999999998</v>
      </c>
      <c r="E68" s="51">
        <v>-121.83783</v>
      </c>
      <c r="F68" s="51" t="s">
        <v>166</v>
      </c>
      <c r="G68" s="51" t="s">
        <v>27</v>
      </c>
      <c r="H68" s="51" t="s">
        <v>101</v>
      </c>
      <c r="I68" s="66">
        <v>0.44166666666666665</v>
      </c>
      <c r="J68" s="51">
        <v>9540</v>
      </c>
      <c r="K68" s="51">
        <v>11.45</v>
      </c>
      <c r="L68" s="51">
        <v>31.32</v>
      </c>
      <c r="M68" s="51">
        <v>0.64</v>
      </c>
      <c r="N68" s="51">
        <v>8.9499999999999993</v>
      </c>
      <c r="O68" s="51" t="s">
        <v>48</v>
      </c>
      <c r="P68" s="51">
        <v>4</v>
      </c>
      <c r="Q68" s="51">
        <v>11</v>
      </c>
      <c r="R68" s="51" t="s">
        <v>64</v>
      </c>
      <c r="S68" s="51" t="s">
        <v>50</v>
      </c>
      <c r="T68" s="51" t="s">
        <v>50</v>
      </c>
      <c r="U68" s="51" t="s">
        <v>50</v>
      </c>
      <c r="V68" s="51" t="s">
        <v>50</v>
      </c>
      <c r="W68" s="51" t="s">
        <v>50</v>
      </c>
      <c r="X68" s="51" t="s">
        <v>50</v>
      </c>
      <c r="Y68" s="52" t="s">
        <v>167</v>
      </c>
    </row>
    <row r="69" spans="1:25" s="51" customFormat="1" x14ac:dyDescent="0.25">
      <c r="A69" s="821">
        <v>44175</v>
      </c>
      <c r="B69" s="51" t="s">
        <v>105</v>
      </c>
      <c r="C69" s="51" t="s">
        <v>78</v>
      </c>
      <c r="D69" s="51">
        <v>38.055410000000002</v>
      </c>
      <c r="E69" s="51">
        <v>-121.89536</v>
      </c>
      <c r="F69" s="51" t="s">
        <v>168</v>
      </c>
      <c r="G69" s="51" t="s">
        <v>27</v>
      </c>
      <c r="H69" s="51" t="s">
        <v>101</v>
      </c>
      <c r="I69" s="66">
        <v>0.32500000000000001</v>
      </c>
      <c r="J69" s="51">
        <v>14494.5</v>
      </c>
      <c r="K69" s="51">
        <v>11.05</v>
      </c>
      <c r="L69" s="51">
        <v>29.55</v>
      </c>
      <c r="M69" s="51">
        <v>0.52</v>
      </c>
      <c r="N69" s="51">
        <v>5.78</v>
      </c>
      <c r="O69" s="51" t="s">
        <v>48</v>
      </c>
      <c r="P69" s="51">
        <v>4</v>
      </c>
      <c r="Q69" s="51">
        <v>10</v>
      </c>
      <c r="R69" s="51" t="s">
        <v>64</v>
      </c>
      <c r="S69" s="51" t="s">
        <v>50</v>
      </c>
      <c r="T69" s="51" t="s">
        <v>50</v>
      </c>
      <c r="U69" s="51" t="s">
        <v>50</v>
      </c>
      <c r="V69" s="51" t="s">
        <v>50</v>
      </c>
      <c r="W69" s="51" t="s">
        <v>50</v>
      </c>
      <c r="X69" s="51" t="s">
        <v>50</v>
      </c>
      <c r="Y69" s="52"/>
    </row>
    <row r="70" spans="1:25" s="51" customFormat="1" x14ac:dyDescent="0.25">
      <c r="A70" s="821">
        <v>44175</v>
      </c>
      <c r="B70" s="51" t="s">
        <v>105</v>
      </c>
      <c r="C70" s="51" t="s">
        <v>78</v>
      </c>
      <c r="D70" s="51">
        <v>38.07443</v>
      </c>
      <c r="E70" s="51">
        <v>-121.96129999999999</v>
      </c>
      <c r="F70" s="51" t="s">
        <v>169</v>
      </c>
      <c r="G70" s="51" t="s">
        <v>27</v>
      </c>
      <c r="H70" s="51" t="s">
        <v>170</v>
      </c>
      <c r="I70" s="66">
        <v>0.37916666666666665</v>
      </c>
      <c r="J70" s="51">
        <v>16263.5</v>
      </c>
      <c r="K70" s="51">
        <v>11.4</v>
      </c>
      <c r="L70" s="51">
        <v>38.950000000000003</v>
      </c>
      <c r="M70" s="51">
        <v>0.45</v>
      </c>
      <c r="N70" s="51">
        <v>3.4</v>
      </c>
      <c r="O70" s="51" t="s">
        <v>48</v>
      </c>
      <c r="P70" s="51">
        <v>4</v>
      </c>
      <c r="Q70" s="51">
        <v>10</v>
      </c>
      <c r="R70" s="51" t="s">
        <v>64</v>
      </c>
      <c r="S70" s="51" t="s">
        <v>50</v>
      </c>
      <c r="T70" s="51" t="s">
        <v>50</v>
      </c>
      <c r="U70" s="51" t="s">
        <v>50</v>
      </c>
      <c r="V70" s="51" t="s">
        <v>50</v>
      </c>
      <c r="W70" s="51" t="s">
        <v>50</v>
      </c>
      <c r="X70" s="51" t="s">
        <v>50</v>
      </c>
      <c r="Y70" s="52" t="s">
        <v>171</v>
      </c>
    </row>
    <row r="71" spans="1:25" s="441" customFormat="1" x14ac:dyDescent="0.25">
      <c r="A71" s="821">
        <v>44176</v>
      </c>
      <c r="B71" s="51" t="s">
        <v>125</v>
      </c>
      <c r="C71" s="51" t="s">
        <v>62</v>
      </c>
      <c r="D71" s="51">
        <v>38.102559999999997</v>
      </c>
      <c r="E71" s="51">
        <v>-122.02854000000001</v>
      </c>
      <c r="F71" s="51" t="s">
        <v>172</v>
      </c>
      <c r="G71" s="51" t="s">
        <v>27</v>
      </c>
      <c r="H71" s="51" t="s">
        <v>173</v>
      </c>
      <c r="I71" s="66">
        <v>0.4548611111111111</v>
      </c>
      <c r="J71" s="51">
        <v>21837.25</v>
      </c>
      <c r="K71" s="51">
        <v>11.6</v>
      </c>
      <c r="L71" s="51">
        <v>37.380000000000003</v>
      </c>
      <c r="M71" s="51">
        <v>0.51</v>
      </c>
      <c r="N71" s="51">
        <v>3.5</v>
      </c>
      <c r="O71" s="51" t="s">
        <v>48</v>
      </c>
      <c r="P71" s="51">
        <v>4</v>
      </c>
      <c r="Q71" s="51">
        <v>10</v>
      </c>
      <c r="R71" s="51" t="s">
        <v>64</v>
      </c>
      <c r="S71" s="51" t="s">
        <v>50</v>
      </c>
      <c r="T71" s="51" t="s">
        <v>50</v>
      </c>
      <c r="U71" s="51" t="s">
        <v>50</v>
      </c>
      <c r="V71" s="51" t="s">
        <v>50</v>
      </c>
      <c r="W71" s="51" t="s">
        <v>50</v>
      </c>
      <c r="X71" s="51" t="s">
        <v>50</v>
      </c>
      <c r="Y71" s="52"/>
    </row>
    <row r="72" spans="1:25" s="441" customFormat="1" x14ac:dyDescent="0.25">
      <c r="A72" s="821">
        <v>44176</v>
      </c>
      <c r="B72" s="51" t="s">
        <v>125</v>
      </c>
      <c r="C72" s="51" t="s">
        <v>62</v>
      </c>
      <c r="D72" s="51">
        <v>38.096200000000003</v>
      </c>
      <c r="E72" s="51">
        <v>-121.89265</v>
      </c>
      <c r="F72" s="51" t="s">
        <v>174</v>
      </c>
      <c r="G72" s="51" t="s">
        <v>27</v>
      </c>
      <c r="H72" s="51" t="s">
        <v>62</v>
      </c>
      <c r="I72" s="66">
        <v>0.33194444444444443</v>
      </c>
      <c r="J72" s="51">
        <v>10421.75</v>
      </c>
      <c r="K72" s="51">
        <v>11.17</v>
      </c>
      <c r="L72" s="51">
        <v>36.9</v>
      </c>
      <c r="M72" s="51">
        <v>0.46</v>
      </c>
      <c r="N72" s="51">
        <v>6.58</v>
      </c>
      <c r="O72" s="51" t="s">
        <v>48</v>
      </c>
      <c r="P72" s="51">
        <v>4</v>
      </c>
      <c r="Q72" s="51">
        <v>10</v>
      </c>
      <c r="R72" s="51" t="s">
        <v>64</v>
      </c>
      <c r="S72" s="51" t="s">
        <v>50</v>
      </c>
      <c r="T72" s="51" t="s">
        <v>50</v>
      </c>
      <c r="U72" s="51" t="s">
        <v>50</v>
      </c>
      <c r="V72" s="51" t="s">
        <v>50</v>
      </c>
      <c r="W72" s="51" t="s">
        <v>50</v>
      </c>
      <c r="X72" s="51" t="s">
        <v>50</v>
      </c>
      <c r="Y72" s="52"/>
    </row>
    <row r="73" spans="1:25" s="492" customFormat="1" x14ac:dyDescent="0.25">
      <c r="A73" s="853">
        <v>44176</v>
      </c>
      <c r="B73" s="74" t="s">
        <v>125</v>
      </c>
      <c r="C73" s="74" t="s">
        <v>62</v>
      </c>
      <c r="D73" s="74">
        <v>38.165959999999998</v>
      </c>
      <c r="E73" s="74">
        <v>-122.04395</v>
      </c>
      <c r="F73" s="74" t="s">
        <v>175</v>
      </c>
      <c r="G73" s="74" t="s">
        <v>27</v>
      </c>
      <c r="H73" s="74" t="s">
        <v>62</v>
      </c>
      <c r="I73" s="73">
        <v>0.39930555555555558</v>
      </c>
      <c r="J73" s="74">
        <v>15895.25</v>
      </c>
      <c r="K73" s="74">
        <v>10.8</v>
      </c>
      <c r="L73" s="74">
        <v>45.88</v>
      </c>
      <c r="M73" s="74">
        <v>0.38</v>
      </c>
      <c r="N73" s="74">
        <v>8.6</v>
      </c>
      <c r="O73" s="74" t="s">
        <v>48</v>
      </c>
      <c r="P73" s="74">
        <v>4</v>
      </c>
      <c r="Q73" s="74">
        <v>10</v>
      </c>
      <c r="R73" s="74" t="s">
        <v>64</v>
      </c>
      <c r="S73" s="74" t="s">
        <v>50</v>
      </c>
      <c r="T73" s="74" t="s">
        <v>50</v>
      </c>
      <c r="U73" s="74" t="s">
        <v>50</v>
      </c>
      <c r="V73" s="74" t="s">
        <v>50</v>
      </c>
      <c r="W73" s="74" t="s">
        <v>50</v>
      </c>
      <c r="X73" s="74" t="s">
        <v>50</v>
      </c>
      <c r="Y73" s="77" t="s">
        <v>176</v>
      </c>
    </row>
    <row r="74" spans="1:25" s="441" customFormat="1" x14ac:dyDescent="0.25">
      <c r="A74" s="821">
        <v>44179</v>
      </c>
      <c r="B74" s="51" t="s">
        <v>43</v>
      </c>
      <c r="C74" s="51" t="s">
        <v>177</v>
      </c>
      <c r="D74" s="51">
        <v>38.356490000000001</v>
      </c>
      <c r="E74" s="51">
        <v>-121.63758</v>
      </c>
      <c r="F74" s="51" t="s">
        <v>178</v>
      </c>
      <c r="G74" s="51" t="s">
        <v>90</v>
      </c>
      <c r="H74" s="97" t="s">
        <v>108</v>
      </c>
      <c r="I74" s="66">
        <v>0.39305555555555555</v>
      </c>
      <c r="J74" s="51">
        <v>288</v>
      </c>
      <c r="K74" s="51">
        <v>10.199999999999999</v>
      </c>
      <c r="L74" s="51">
        <v>109.33</v>
      </c>
      <c r="M74" s="51">
        <v>0.23</v>
      </c>
      <c r="N74" s="51">
        <v>9.93</v>
      </c>
      <c r="O74" s="51" t="s">
        <v>48</v>
      </c>
      <c r="P74" s="51">
        <v>4</v>
      </c>
      <c r="Q74" s="51">
        <v>10</v>
      </c>
      <c r="R74" s="51" t="s">
        <v>49</v>
      </c>
      <c r="S74" s="51" t="s">
        <v>50</v>
      </c>
      <c r="T74" s="51" t="s">
        <v>50</v>
      </c>
      <c r="U74" s="51" t="s">
        <v>50</v>
      </c>
      <c r="V74" s="51" t="s">
        <v>50</v>
      </c>
      <c r="W74" s="51" t="s">
        <v>50</v>
      </c>
      <c r="X74" s="51" t="s">
        <v>50</v>
      </c>
      <c r="Y74" s="52" t="s">
        <v>179</v>
      </c>
    </row>
    <row r="75" spans="1:25" s="441" customFormat="1" x14ac:dyDescent="0.25">
      <c r="A75" s="821">
        <v>44179</v>
      </c>
      <c r="B75" s="51" t="s">
        <v>43</v>
      </c>
      <c r="C75" s="51" t="s">
        <v>177</v>
      </c>
      <c r="D75" s="51">
        <v>38.287799999999997</v>
      </c>
      <c r="E75" s="51">
        <v>-121.65792999999999</v>
      </c>
      <c r="F75" s="51" t="s">
        <v>180</v>
      </c>
      <c r="G75" s="51" t="s">
        <v>90</v>
      </c>
      <c r="H75" s="97" t="s">
        <v>108</v>
      </c>
      <c r="I75" s="66">
        <v>0.3347222222222222</v>
      </c>
      <c r="J75" s="51">
        <v>161.03</v>
      </c>
      <c r="K75" s="51">
        <v>10.029999999999999</v>
      </c>
      <c r="L75" s="51">
        <v>23.43</v>
      </c>
      <c r="M75" s="51">
        <v>0.57999999999999996</v>
      </c>
      <c r="N75" s="51">
        <v>32.700000000000003</v>
      </c>
      <c r="O75" s="51" t="s">
        <v>48</v>
      </c>
      <c r="P75" s="51">
        <v>4</v>
      </c>
      <c r="Q75" s="51">
        <v>10</v>
      </c>
      <c r="R75" s="51" t="s">
        <v>49</v>
      </c>
      <c r="S75" s="51" t="s">
        <v>50</v>
      </c>
      <c r="T75" s="51" t="s">
        <v>50</v>
      </c>
      <c r="U75" s="51" t="s">
        <v>50</v>
      </c>
      <c r="V75" s="51" t="s">
        <v>50</v>
      </c>
      <c r="W75" s="51" t="s">
        <v>50</v>
      </c>
      <c r="X75" s="51" t="s">
        <v>50</v>
      </c>
      <c r="Y75" s="52" t="s">
        <v>139</v>
      </c>
    </row>
    <row r="76" spans="1:25" s="441" customFormat="1" x14ac:dyDescent="0.25">
      <c r="A76" s="821">
        <v>44179</v>
      </c>
      <c r="B76" s="51" t="s">
        <v>43</v>
      </c>
      <c r="C76" s="51" t="s">
        <v>177</v>
      </c>
      <c r="D76" s="51">
        <v>38.204090000000001</v>
      </c>
      <c r="E76" s="51">
        <v>-121.658</v>
      </c>
      <c r="F76" s="51" t="s">
        <v>181</v>
      </c>
      <c r="G76" s="51" t="s">
        <v>90</v>
      </c>
      <c r="H76" s="97" t="s">
        <v>108</v>
      </c>
      <c r="I76" s="66">
        <v>0.46180555555555558</v>
      </c>
      <c r="J76" s="51">
        <v>129.72</v>
      </c>
      <c r="K76" s="51">
        <v>10</v>
      </c>
      <c r="L76" s="51">
        <v>15.57</v>
      </c>
      <c r="M76" s="51">
        <v>1.54</v>
      </c>
      <c r="N76" s="51">
        <v>13.12</v>
      </c>
      <c r="O76" s="51" t="s">
        <v>48</v>
      </c>
      <c r="P76" s="51">
        <v>4</v>
      </c>
      <c r="Q76" s="51">
        <v>10</v>
      </c>
      <c r="R76" s="51" t="s">
        <v>64</v>
      </c>
      <c r="S76" s="51" t="s">
        <v>50</v>
      </c>
      <c r="T76" s="51" t="s">
        <v>50</v>
      </c>
      <c r="U76" s="51" t="s">
        <v>50</v>
      </c>
      <c r="V76" s="51" t="s">
        <v>50</v>
      </c>
      <c r="W76" s="51" t="s">
        <v>50</v>
      </c>
      <c r="X76" s="51" t="s">
        <v>50</v>
      </c>
      <c r="Y76" s="52"/>
    </row>
    <row r="77" spans="1:25" s="441" customFormat="1" x14ac:dyDescent="0.25">
      <c r="A77" s="821">
        <v>44179</v>
      </c>
      <c r="B77" s="51" t="s">
        <v>43</v>
      </c>
      <c r="C77" s="51" t="s">
        <v>44</v>
      </c>
      <c r="D77" s="51">
        <v>38.058239999999998</v>
      </c>
      <c r="E77" s="51">
        <v>-121.67375</v>
      </c>
      <c r="F77" s="51" t="s">
        <v>182</v>
      </c>
      <c r="G77" s="51" t="s">
        <v>46</v>
      </c>
      <c r="H77" s="51" t="s">
        <v>47</v>
      </c>
      <c r="I77" s="66">
        <v>0.3430555555555555</v>
      </c>
      <c r="J77" s="51">
        <v>1290.75</v>
      </c>
      <c r="K77" s="51">
        <v>10.58</v>
      </c>
      <c r="L77" s="51">
        <v>8.74</v>
      </c>
      <c r="M77" s="51">
        <v>1.07</v>
      </c>
      <c r="N77" s="51">
        <v>11.12</v>
      </c>
      <c r="O77" s="51" t="s">
        <v>48</v>
      </c>
      <c r="P77" s="51">
        <v>4</v>
      </c>
      <c r="Q77" s="51">
        <v>10</v>
      </c>
      <c r="R77" s="51" t="s">
        <v>49</v>
      </c>
      <c r="S77" s="51" t="s">
        <v>50</v>
      </c>
      <c r="T77" s="51" t="s">
        <v>50</v>
      </c>
      <c r="U77" s="51" t="s">
        <v>50</v>
      </c>
      <c r="V77" s="51" t="s">
        <v>50</v>
      </c>
      <c r="W77" s="51" t="s">
        <v>50</v>
      </c>
      <c r="X77" s="51" t="s">
        <v>50</v>
      </c>
      <c r="Y77" s="52" t="s">
        <v>183</v>
      </c>
    </row>
    <row r="78" spans="1:25" s="491" customFormat="1" x14ac:dyDescent="0.25">
      <c r="A78" s="446">
        <v>44179</v>
      </c>
      <c r="B78" s="424" t="s">
        <v>43</v>
      </c>
      <c r="C78" s="424" t="s">
        <v>44</v>
      </c>
      <c r="D78" s="51">
        <v>38.026069999999997</v>
      </c>
      <c r="E78" s="51">
        <v>-121.59698</v>
      </c>
      <c r="F78" s="424" t="s">
        <v>184</v>
      </c>
      <c r="G78" s="424" t="s">
        <v>46</v>
      </c>
      <c r="H78" s="424" t="s">
        <v>47</v>
      </c>
      <c r="I78" s="425">
        <v>0.39861111111111108</v>
      </c>
      <c r="J78" s="424" t="s">
        <v>50</v>
      </c>
      <c r="K78" s="424" t="s">
        <v>50</v>
      </c>
      <c r="L78" s="424" t="s">
        <v>50</v>
      </c>
      <c r="M78" s="424" t="s">
        <v>50</v>
      </c>
      <c r="N78" s="424" t="s">
        <v>50</v>
      </c>
      <c r="O78" s="424" t="s">
        <v>48</v>
      </c>
      <c r="P78" s="424">
        <v>0</v>
      </c>
      <c r="Q78" s="424" t="s">
        <v>50</v>
      </c>
      <c r="R78" s="424" t="s">
        <v>50</v>
      </c>
      <c r="S78" s="424" t="s">
        <v>50</v>
      </c>
      <c r="T78" s="424" t="s">
        <v>50</v>
      </c>
      <c r="U78" s="424" t="s">
        <v>50</v>
      </c>
      <c r="V78" s="424" t="s">
        <v>50</v>
      </c>
      <c r="W78" s="424" t="s">
        <v>50</v>
      </c>
      <c r="X78" s="424" t="s">
        <v>50</v>
      </c>
      <c r="Y78" s="426" t="s">
        <v>72</v>
      </c>
    </row>
    <row r="79" spans="1:25" s="491" customFormat="1" x14ac:dyDescent="0.25">
      <c r="A79" s="446">
        <v>44179</v>
      </c>
      <c r="B79" s="424" t="s">
        <v>43</v>
      </c>
      <c r="C79" s="424" t="s">
        <v>44</v>
      </c>
      <c r="D79" s="51">
        <v>38.039830000000002</v>
      </c>
      <c r="E79" s="51">
        <v>-121.59004</v>
      </c>
      <c r="F79" s="424" t="s">
        <v>185</v>
      </c>
      <c r="G79" s="424" t="s">
        <v>46</v>
      </c>
      <c r="H79" s="424" t="s">
        <v>47</v>
      </c>
      <c r="I79" s="425">
        <v>0.39999999999999997</v>
      </c>
      <c r="J79" s="424" t="s">
        <v>50</v>
      </c>
      <c r="K79" s="424" t="s">
        <v>50</v>
      </c>
      <c r="L79" s="424" t="s">
        <v>50</v>
      </c>
      <c r="M79" s="424" t="s">
        <v>50</v>
      </c>
      <c r="N79" s="424" t="s">
        <v>50</v>
      </c>
      <c r="O79" s="424" t="s">
        <v>48</v>
      </c>
      <c r="P79" s="424">
        <v>0</v>
      </c>
      <c r="Q79" s="424" t="s">
        <v>50</v>
      </c>
      <c r="R79" s="424" t="s">
        <v>50</v>
      </c>
      <c r="S79" s="424" t="s">
        <v>50</v>
      </c>
      <c r="T79" s="424" t="s">
        <v>50</v>
      </c>
      <c r="U79" s="424" t="s">
        <v>50</v>
      </c>
      <c r="V79" s="424" t="s">
        <v>50</v>
      </c>
      <c r="W79" s="424" t="s">
        <v>50</v>
      </c>
      <c r="X79" s="424" t="s">
        <v>50</v>
      </c>
      <c r="Y79" s="426" t="s">
        <v>72</v>
      </c>
    </row>
    <row r="80" spans="1:25" s="441" customFormat="1" x14ac:dyDescent="0.25">
      <c r="A80" s="821">
        <v>44179</v>
      </c>
      <c r="B80" s="51" t="s">
        <v>43</v>
      </c>
      <c r="C80" s="51" t="s">
        <v>44</v>
      </c>
      <c r="D80" s="51">
        <v>37.98556</v>
      </c>
      <c r="E80" s="51">
        <v>-121.51609000000001</v>
      </c>
      <c r="F80" s="51" t="s">
        <v>186</v>
      </c>
      <c r="G80" s="51" t="s">
        <v>46</v>
      </c>
      <c r="H80" s="51" t="s">
        <v>59</v>
      </c>
      <c r="I80" s="66">
        <v>0.4861111111111111</v>
      </c>
      <c r="J80" s="51">
        <v>444.85</v>
      </c>
      <c r="K80" s="51">
        <v>10.65</v>
      </c>
      <c r="L80" s="51">
        <v>3.48</v>
      </c>
      <c r="M80" s="51">
        <v>1.8</v>
      </c>
      <c r="N80" s="51">
        <v>9.32</v>
      </c>
      <c r="O80" s="51" t="s">
        <v>48</v>
      </c>
      <c r="P80" s="51">
        <v>4</v>
      </c>
      <c r="Q80" s="51">
        <v>10</v>
      </c>
      <c r="R80" s="51" t="s">
        <v>64</v>
      </c>
      <c r="S80" s="51" t="s">
        <v>50</v>
      </c>
      <c r="T80" s="51" t="s">
        <v>50</v>
      </c>
      <c r="U80" s="51" t="s">
        <v>50</v>
      </c>
      <c r="V80" s="51" t="s">
        <v>50</v>
      </c>
      <c r="W80" s="51" t="s">
        <v>50</v>
      </c>
      <c r="X80" s="51" t="s">
        <v>50</v>
      </c>
      <c r="Y80" s="52"/>
    </row>
    <row r="81" spans="1:25" s="441" customFormat="1" x14ac:dyDescent="0.25">
      <c r="A81" s="821">
        <v>44179</v>
      </c>
      <c r="B81" s="51" t="s">
        <v>43</v>
      </c>
      <c r="C81" s="51" t="s">
        <v>44</v>
      </c>
      <c r="D81" s="51">
        <v>37.981319999999997</v>
      </c>
      <c r="E81" s="51">
        <v>-121.51957</v>
      </c>
      <c r="F81" s="51" t="s">
        <v>187</v>
      </c>
      <c r="G81" s="51" t="s">
        <v>46</v>
      </c>
      <c r="H81" s="51" t="s">
        <v>59</v>
      </c>
      <c r="I81" s="66">
        <v>0.42569444444444443</v>
      </c>
      <c r="J81" s="51">
        <v>441.28</v>
      </c>
      <c r="K81" s="51">
        <v>10.53</v>
      </c>
      <c r="L81" s="51">
        <v>3.12</v>
      </c>
      <c r="M81" s="51">
        <v>1.8</v>
      </c>
      <c r="N81" s="51">
        <v>4.55</v>
      </c>
      <c r="O81" s="51" t="s">
        <v>48</v>
      </c>
      <c r="P81" s="51">
        <v>4</v>
      </c>
      <c r="Q81" s="51">
        <v>10</v>
      </c>
      <c r="R81" s="51" t="s">
        <v>64</v>
      </c>
      <c r="S81" s="51" t="s">
        <v>50</v>
      </c>
      <c r="T81" s="51" t="s">
        <v>50</v>
      </c>
      <c r="U81" s="51" t="s">
        <v>50</v>
      </c>
      <c r="V81" s="51" t="s">
        <v>50</v>
      </c>
      <c r="W81" s="51" t="s">
        <v>50</v>
      </c>
      <c r="X81" s="51" t="s">
        <v>50</v>
      </c>
      <c r="Y81" s="52"/>
    </row>
    <row r="82" spans="1:25" s="441" customFormat="1" x14ac:dyDescent="0.25">
      <c r="A82" s="821">
        <v>44179</v>
      </c>
      <c r="B82" s="51" t="s">
        <v>43</v>
      </c>
      <c r="C82" s="51" t="s">
        <v>118</v>
      </c>
      <c r="D82" s="51">
        <v>38.060049999999997</v>
      </c>
      <c r="E82" s="51">
        <v>-122.25879999999999</v>
      </c>
      <c r="F82" s="51" t="s">
        <v>188</v>
      </c>
      <c r="G82" s="51" t="s">
        <v>80</v>
      </c>
      <c r="H82" s="51" t="s">
        <v>120</v>
      </c>
      <c r="I82" s="66">
        <v>0.48680555555555555</v>
      </c>
      <c r="J82" s="51">
        <v>35073.5</v>
      </c>
      <c r="K82" s="51">
        <v>11.75</v>
      </c>
      <c r="L82" s="51">
        <v>18.350000000000001</v>
      </c>
      <c r="M82" s="51">
        <v>0.77</v>
      </c>
      <c r="N82" s="51">
        <v>16.350000000000001</v>
      </c>
      <c r="O82" s="51" t="s">
        <v>48</v>
      </c>
      <c r="P82" s="51">
        <v>4</v>
      </c>
      <c r="Q82" s="51">
        <v>10</v>
      </c>
      <c r="R82" s="51" t="s">
        <v>64</v>
      </c>
      <c r="S82" s="51" t="s">
        <v>50</v>
      </c>
      <c r="T82" s="51" t="s">
        <v>50</v>
      </c>
      <c r="U82" s="51" t="s">
        <v>50</v>
      </c>
      <c r="V82" s="51" t="s">
        <v>50</v>
      </c>
      <c r="W82" s="51" t="s">
        <v>50</v>
      </c>
      <c r="X82" s="51" t="s">
        <v>50</v>
      </c>
      <c r="Y82" s="52"/>
    </row>
    <row r="83" spans="1:25" s="441" customFormat="1" x14ac:dyDescent="0.25">
      <c r="A83" s="821">
        <v>44179</v>
      </c>
      <c r="B83" s="51" t="s">
        <v>43</v>
      </c>
      <c r="C83" s="51" t="s">
        <v>118</v>
      </c>
      <c r="D83" s="51">
        <v>38.03445</v>
      </c>
      <c r="E83" s="51">
        <v>-122.28673000000001</v>
      </c>
      <c r="F83" s="51" t="s">
        <v>189</v>
      </c>
      <c r="G83" s="51" t="s">
        <v>80</v>
      </c>
      <c r="H83" s="51" t="s">
        <v>123</v>
      </c>
      <c r="I83" s="66">
        <v>0.43541666666666662</v>
      </c>
      <c r="J83" s="51">
        <v>36649</v>
      </c>
      <c r="K83" s="51">
        <v>11.47</v>
      </c>
      <c r="L83" s="51">
        <v>36.75</v>
      </c>
      <c r="M83" s="51">
        <v>0.53</v>
      </c>
      <c r="N83" s="51">
        <v>4.12</v>
      </c>
      <c r="O83" s="51" t="s">
        <v>48</v>
      </c>
      <c r="P83" s="51">
        <v>4</v>
      </c>
      <c r="Q83" s="51">
        <v>10</v>
      </c>
      <c r="R83" s="51" t="s">
        <v>64</v>
      </c>
      <c r="S83" s="51" t="s">
        <v>50</v>
      </c>
      <c r="T83" s="51" t="s">
        <v>50</v>
      </c>
      <c r="U83" s="51" t="s">
        <v>50</v>
      </c>
      <c r="V83" s="51" t="s">
        <v>50</v>
      </c>
      <c r="W83" s="51" t="s">
        <v>50</v>
      </c>
      <c r="X83" s="51" t="s">
        <v>50</v>
      </c>
      <c r="Y83" s="52"/>
    </row>
    <row r="84" spans="1:25" s="441" customFormat="1" x14ac:dyDescent="0.25">
      <c r="A84" s="821">
        <v>44179</v>
      </c>
      <c r="B84" s="51" t="s">
        <v>43</v>
      </c>
      <c r="C84" s="51" t="s">
        <v>118</v>
      </c>
      <c r="D84" s="51">
        <v>38.173050000000003</v>
      </c>
      <c r="E84" s="51">
        <v>-122.29201</v>
      </c>
      <c r="F84" s="51" t="s">
        <v>190</v>
      </c>
      <c r="G84" s="51" t="s">
        <v>80</v>
      </c>
      <c r="H84" s="51" t="s">
        <v>191</v>
      </c>
      <c r="I84" s="66">
        <v>0.36944444444444446</v>
      </c>
      <c r="J84" s="51">
        <v>29488.75</v>
      </c>
      <c r="K84" s="51">
        <v>10.7</v>
      </c>
      <c r="L84" s="51">
        <v>49.75</v>
      </c>
      <c r="M84" s="51">
        <v>0.39</v>
      </c>
      <c r="N84" s="51">
        <v>8.4</v>
      </c>
      <c r="O84" s="51" t="s">
        <v>48</v>
      </c>
      <c r="P84" s="51">
        <v>4</v>
      </c>
      <c r="Q84" s="51">
        <v>10</v>
      </c>
      <c r="R84" s="51" t="s">
        <v>64</v>
      </c>
      <c r="S84" s="51" t="s">
        <v>50</v>
      </c>
      <c r="T84" s="51" t="s">
        <v>50</v>
      </c>
      <c r="U84" s="51" t="s">
        <v>50</v>
      </c>
      <c r="V84" s="51" t="s">
        <v>50</v>
      </c>
      <c r="W84" s="51" t="s">
        <v>50</v>
      </c>
      <c r="X84" s="51" t="s">
        <v>50</v>
      </c>
      <c r="Y84" s="52"/>
    </row>
    <row r="85" spans="1:25" s="441" customFormat="1" x14ac:dyDescent="0.25">
      <c r="A85" s="821">
        <v>44180</v>
      </c>
      <c r="B85" s="51" t="s">
        <v>70</v>
      </c>
      <c r="C85" s="51" t="s">
        <v>88</v>
      </c>
      <c r="D85" s="51">
        <v>38.165970000000002</v>
      </c>
      <c r="E85" s="51">
        <v>-121.67885</v>
      </c>
      <c r="F85" s="51" t="s">
        <v>192</v>
      </c>
      <c r="G85" s="51" t="s">
        <v>90</v>
      </c>
      <c r="H85" s="51" t="s">
        <v>91</v>
      </c>
      <c r="I85" s="66">
        <v>0.31666666666666665</v>
      </c>
      <c r="J85" s="51">
        <v>141.85</v>
      </c>
      <c r="K85" s="51">
        <v>10</v>
      </c>
      <c r="L85" s="51">
        <v>8.18</v>
      </c>
      <c r="M85" s="51">
        <v>1.27</v>
      </c>
      <c r="N85" s="51">
        <v>9.9700000000000006</v>
      </c>
      <c r="O85" s="51" t="s">
        <v>48</v>
      </c>
      <c r="P85" s="51">
        <v>4</v>
      </c>
      <c r="Q85" s="51">
        <v>10</v>
      </c>
      <c r="R85" s="51" t="s">
        <v>49</v>
      </c>
      <c r="S85" s="51" t="s">
        <v>50</v>
      </c>
      <c r="T85" s="51" t="s">
        <v>50</v>
      </c>
      <c r="U85" s="51" t="s">
        <v>50</v>
      </c>
      <c r="V85" s="51" t="s">
        <v>50</v>
      </c>
      <c r="W85" s="51" t="s">
        <v>50</v>
      </c>
      <c r="X85" s="51" t="s">
        <v>50</v>
      </c>
      <c r="Y85" s="52"/>
    </row>
    <row r="86" spans="1:25" s="441" customFormat="1" x14ac:dyDescent="0.25">
      <c r="A86" s="821">
        <v>44180</v>
      </c>
      <c r="B86" s="51" t="s">
        <v>70</v>
      </c>
      <c r="C86" s="51" t="s">
        <v>88</v>
      </c>
      <c r="D86" s="51">
        <v>38.132660000000001</v>
      </c>
      <c r="E86" s="51">
        <v>-121.68906</v>
      </c>
      <c r="F86" s="51" t="s">
        <v>193</v>
      </c>
      <c r="G86" s="51" t="s">
        <v>90</v>
      </c>
      <c r="H86" s="51" t="s">
        <v>91</v>
      </c>
      <c r="I86" s="66">
        <v>0.40486111111111112</v>
      </c>
      <c r="J86" s="51">
        <v>166.47</v>
      </c>
      <c r="K86" s="51">
        <v>10</v>
      </c>
      <c r="L86" s="51">
        <v>12.82</v>
      </c>
      <c r="M86" s="51">
        <v>1.42</v>
      </c>
      <c r="N86" s="51">
        <v>4.3499999999999996</v>
      </c>
      <c r="O86" s="51" t="s">
        <v>48</v>
      </c>
      <c r="P86" s="51">
        <v>4</v>
      </c>
      <c r="Q86" s="51">
        <v>10</v>
      </c>
      <c r="R86" s="51" t="s">
        <v>49</v>
      </c>
      <c r="S86" s="51" t="s">
        <v>50</v>
      </c>
      <c r="T86" s="51" t="s">
        <v>50</v>
      </c>
      <c r="U86" s="51" t="s">
        <v>50</v>
      </c>
      <c r="V86" s="51" t="s">
        <v>50</v>
      </c>
      <c r="W86" s="51" t="s">
        <v>50</v>
      </c>
      <c r="X86" s="51" t="s">
        <v>50</v>
      </c>
      <c r="Y86" s="52"/>
    </row>
    <row r="87" spans="1:25" s="441" customFormat="1" x14ac:dyDescent="0.25">
      <c r="A87" s="821">
        <v>44180</v>
      </c>
      <c r="B87" s="51" t="s">
        <v>70</v>
      </c>
      <c r="C87" s="51" t="s">
        <v>88</v>
      </c>
      <c r="D87" s="51">
        <v>38.163339999999998</v>
      </c>
      <c r="E87" s="51">
        <v>-121.67623</v>
      </c>
      <c r="F87" s="51" t="s">
        <v>194</v>
      </c>
      <c r="G87" s="51" t="s">
        <v>90</v>
      </c>
      <c r="H87" s="51" t="s">
        <v>91</v>
      </c>
      <c r="I87" s="66">
        <v>0.3611111111111111</v>
      </c>
      <c r="J87" s="51">
        <v>139.77000000000001</v>
      </c>
      <c r="K87" s="51">
        <v>9.9</v>
      </c>
      <c r="L87" s="51">
        <v>9.51</v>
      </c>
      <c r="M87" s="51">
        <v>1.45</v>
      </c>
      <c r="N87" s="51">
        <v>5.58</v>
      </c>
      <c r="O87" s="51" t="s">
        <v>48</v>
      </c>
      <c r="P87" s="51">
        <v>4</v>
      </c>
      <c r="Q87" s="51">
        <v>10</v>
      </c>
      <c r="R87" s="51" t="s">
        <v>49</v>
      </c>
      <c r="S87" s="51" t="s">
        <v>50</v>
      </c>
      <c r="T87" s="51" t="s">
        <v>50</v>
      </c>
      <c r="U87" s="51" t="s">
        <v>50</v>
      </c>
      <c r="V87" s="51" t="s">
        <v>50</v>
      </c>
      <c r="W87" s="51" t="s">
        <v>50</v>
      </c>
      <c r="X87" s="51" t="s">
        <v>50</v>
      </c>
      <c r="Y87" s="52" t="s">
        <v>195</v>
      </c>
    </row>
    <row r="88" spans="1:25" s="491" customFormat="1" x14ac:dyDescent="0.25">
      <c r="A88" s="446">
        <v>44180</v>
      </c>
      <c r="B88" s="424" t="s">
        <v>70</v>
      </c>
      <c r="C88" s="424" t="s">
        <v>44</v>
      </c>
      <c r="D88" s="424">
        <v>38.053660000000001</v>
      </c>
      <c r="E88" s="424">
        <v>-121.61416</v>
      </c>
      <c r="F88" s="424" t="s">
        <v>196</v>
      </c>
      <c r="G88" s="424" t="s">
        <v>46</v>
      </c>
      <c r="H88" s="424" t="s">
        <v>47</v>
      </c>
      <c r="I88" s="425">
        <v>0.33819444444444446</v>
      </c>
      <c r="J88" s="424" t="s">
        <v>50</v>
      </c>
      <c r="K88" s="424" t="s">
        <v>50</v>
      </c>
      <c r="L88" s="424" t="s">
        <v>50</v>
      </c>
      <c r="M88" s="424" t="s">
        <v>50</v>
      </c>
      <c r="N88" s="424" t="s">
        <v>50</v>
      </c>
      <c r="O88" s="424" t="s">
        <v>48</v>
      </c>
      <c r="P88" s="424">
        <v>0</v>
      </c>
      <c r="Q88" s="424" t="s">
        <v>50</v>
      </c>
      <c r="R88" s="424" t="s">
        <v>50</v>
      </c>
      <c r="S88" s="424" t="s">
        <v>50</v>
      </c>
      <c r="T88" s="424" t="s">
        <v>50</v>
      </c>
      <c r="U88" s="424" t="s">
        <v>50</v>
      </c>
      <c r="V88" s="424" t="s">
        <v>50</v>
      </c>
      <c r="W88" s="424" t="s">
        <v>50</v>
      </c>
      <c r="X88" s="424" t="s">
        <v>50</v>
      </c>
      <c r="Y88" s="426" t="s">
        <v>72</v>
      </c>
    </row>
    <row r="89" spans="1:25" s="491" customFormat="1" x14ac:dyDescent="0.25">
      <c r="A89" s="446">
        <v>44180</v>
      </c>
      <c r="B89" s="424" t="s">
        <v>70</v>
      </c>
      <c r="C89" s="424" t="s">
        <v>44</v>
      </c>
      <c r="D89" s="424">
        <v>38.044429999999998</v>
      </c>
      <c r="E89" s="424">
        <v>-121.60772</v>
      </c>
      <c r="F89" s="424" t="s">
        <v>197</v>
      </c>
      <c r="G89" s="424" t="s">
        <v>46</v>
      </c>
      <c r="H89" s="424" t="s">
        <v>47</v>
      </c>
      <c r="I89" s="425">
        <v>0.34027777777777773</v>
      </c>
      <c r="J89" s="424" t="s">
        <v>50</v>
      </c>
      <c r="K89" s="424" t="s">
        <v>50</v>
      </c>
      <c r="L89" s="424" t="s">
        <v>50</v>
      </c>
      <c r="M89" s="424" t="s">
        <v>50</v>
      </c>
      <c r="N89" s="424" t="s">
        <v>50</v>
      </c>
      <c r="O89" s="424" t="s">
        <v>48</v>
      </c>
      <c r="P89" s="424">
        <v>0</v>
      </c>
      <c r="Q89" s="424" t="s">
        <v>50</v>
      </c>
      <c r="R89" s="424" t="s">
        <v>50</v>
      </c>
      <c r="S89" s="424" t="s">
        <v>50</v>
      </c>
      <c r="T89" s="424" t="s">
        <v>50</v>
      </c>
      <c r="U89" s="424" t="s">
        <v>50</v>
      </c>
      <c r="V89" s="424" t="s">
        <v>50</v>
      </c>
      <c r="W89" s="424" t="s">
        <v>50</v>
      </c>
      <c r="X89" s="424" t="s">
        <v>50</v>
      </c>
      <c r="Y89" s="426" t="s">
        <v>72</v>
      </c>
    </row>
    <row r="90" spans="1:25" s="441" customFormat="1" x14ac:dyDescent="0.25">
      <c r="A90" s="821">
        <v>44180</v>
      </c>
      <c r="B90" s="51" t="s">
        <v>70</v>
      </c>
      <c r="C90" s="51" t="s">
        <v>44</v>
      </c>
      <c r="D90" s="51">
        <v>37.909149999999997</v>
      </c>
      <c r="E90" s="51">
        <v>-121.56462999999999</v>
      </c>
      <c r="F90" s="51" t="s">
        <v>198</v>
      </c>
      <c r="G90" s="51" t="s">
        <v>46</v>
      </c>
      <c r="H90" s="51" t="s">
        <v>199</v>
      </c>
      <c r="I90" s="66">
        <v>0.3979166666666667</v>
      </c>
      <c r="J90" s="51">
        <v>610.25</v>
      </c>
      <c r="K90" s="51">
        <v>10.4</v>
      </c>
      <c r="L90" s="51">
        <v>2.62</v>
      </c>
      <c r="M90" s="51">
        <v>1.8</v>
      </c>
      <c r="N90" s="51">
        <v>3.75</v>
      </c>
      <c r="O90" s="51" t="s">
        <v>48</v>
      </c>
      <c r="P90" s="51">
        <v>4</v>
      </c>
      <c r="Q90" s="51">
        <v>10</v>
      </c>
      <c r="R90" s="51" t="s">
        <v>49</v>
      </c>
      <c r="S90" s="51" t="s">
        <v>50</v>
      </c>
      <c r="T90" s="51" t="s">
        <v>50</v>
      </c>
      <c r="U90" s="51" t="s">
        <v>50</v>
      </c>
      <c r="V90" s="51" t="s">
        <v>50</v>
      </c>
      <c r="W90" s="51" t="s">
        <v>50</v>
      </c>
      <c r="X90" s="51" t="s">
        <v>50</v>
      </c>
      <c r="Y90" s="52"/>
    </row>
    <row r="91" spans="1:25" s="441" customFormat="1" x14ac:dyDescent="0.25">
      <c r="A91" s="821">
        <v>44180</v>
      </c>
      <c r="B91" s="51" t="s">
        <v>70</v>
      </c>
      <c r="C91" s="51" t="s">
        <v>44</v>
      </c>
      <c r="D91" s="51">
        <v>37.935099999999998</v>
      </c>
      <c r="E91" s="51">
        <v>-121.56148</v>
      </c>
      <c r="F91" s="51" t="s">
        <v>200</v>
      </c>
      <c r="G91" s="51" t="s">
        <v>46</v>
      </c>
      <c r="H91" s="51" t="s">
        <v>199</v>
      </c>
      <c r="I91" s="66">
        <v>0.45</v>
      </c>
      <c r="J91" s="51">
        <v>616</v>
      </c>
      <c r="K91" s="51">
        <v>10.45</v>
      </c>
      <c r="L91" s="51">
        <v>5.04</v>
      </c>
      <c r="M91" s="51">
        <v>1.8</v>
      </c>
      <c r="N91" s="51">
        <v>5.08</v>
      </c>
      <c r="O91" s="51" t="s">
        <v>48</v>
      </c>
      <c r="P91" s="51">
        <v>4</v>
      </c>
      <c r="Q91" s="51">
        <v>10</v>
      </c>
      <c r="R91" s="51" t="s">
        <v>49</v>
      </c>
      <c r="S91" s="51" t="s">
        <v>50</v>
      </c>
      <c r="T91" s="51" t="s">
        <v>50</v>
      </c>
      <c r="U91" s="51" t="s">
        <v>50</v>
      </c>
      <c r="V91" s="51" t="s">
        <v>50</v>
      </c>
      <c r="W91" s="51" t="s">
        <v>50</v>
      </c>
      <c r="X91" s="51" t="s">
        <v>50</v>
      </c>
      <c r="Y91" s="52"/>
    </row>
    <row r="92" spans="1:25" s="441" customFormat="1" x14ac:dyDescent="0.25">
      <c r="A92" s="821">
        <v>44180</v>
      </c>
      <c r="B92" s="51" t="s">
        <v>70</v>
      </c>
      <c r="C92" s="51" t="s">
        <v>44</v>
      </c>
      <c r="D92" s="51">
        <v>37.864220000000003</v>
      </c>
      <c r="E92" s="51">
        <v>-121.54841999999999</v>
      </c>
      <c r="F92" s="51" t="s">
        <v>201</v>
      </c>
      <c r="G92" s="51" t="s">
        <v>46</v>
      </c>
      <c r="H92" s="51" t="s">
        <v>202</v>
      </c>
      <c r="I92" s="66">
        <v>0.35972222222222222</v>
      </c>
      <c r="J92" s="51">
        <v>485.5</v>
      </c>
      <c r="K92" s="51">
        <v>10.3</v>
      </c>
      <c r="L92" s="51">
        <v>95.73</v>
      </c>
      <c r="M92" s="51">
        <v>1.8</v>
      </c>
      <c r="N92" s="51">
        <v>3.4</v>
      </c>
      <c r="O92" s="51" t="s">
        <v>48</v>
      </c>
      <c r="P92" s="51">
        <v>2</v>
      </c>
      <c r="Q92" s="51">
        <v>10</v>
      </c>
      <c r="R92" s="51" t="s">
        <v>49</v>
      </c>
      <c r="S92" s="51" t="s">
        <v>50</v>
      </c>
      <c r="T92" s="51" t="s">
        <v>50</v>
      </c>
      <c r="U92" s="51" t="s">
        <v>50</v>
      </c>
      <c r="V92" s="51" t="s">
        <v>50</v>
      </c>
      <c r="W92" s="51" t="s">
        <v>50</v>
      </c>
      <c r="X92" s="51" t="s">
        <v>50</v>
      </c>
      <c r="Y92" s="52" t="s">
        <v>203</v>
      </c>
    </row>
    <row r="93" spans="1:25" s="441" customFormat="1" x14ac:dyDescent="0.25">
      <c r="A93" s="821">
        <v>44180</v>
      </c>
      <c r="B93" s="51" t="s">
        <v>70</v>
      </c>
      <c r="C93" s="51" t="s">
        <v>78</v>
      </c>
      <c r="D93" s="51">
        <v>38.059130000000003</v>
      </c>
      <c r="E93" s="51">
        <v>-122.06674</v>
      </c>
      <c r="F93" s="51" t="s">
        <v>204</v>
      </c>
      <c r="G93" s="51" t="s">
        <v>80</v>
      </c>
      <c r="H93" s="51" t="s">
        <v>81</v>
      </c>
      <c r="I93" s="66">
        <v>0.34027777777777773</v>
      </c>
      <c r="J93" s="51">
        <v>21267.25</v>
      </c>
      <c r="K93" s="51">
        <v>10.9</v>
      </c>
      <c r="L93" s="51">
        <v>18.2</v>
      </c>
      <c r="M93" s="51">
        <v>0.8</v>
      </c>
      <c r="N93" s="51">
        <v>4.45</v>
      </c>
      <c r="O93" s="51" t="s">
        <v>48</v>
      </c>
      <c r="P93" s="51">
        <v>4</v>
      </c>
      <c r="Q93" s="51">
        <v>10</v>
      </c>
      <c r="R93" s="51" t="s">
        <v>49</v>
      </c>
      <c r="S93" s="51" t="s">
        <v>50</v>
      </c>
      <c r="T93" s="51" t="s">
        <v>50</v>
      </c>
      <c r="U93" s="51" t="s">
        <v>50</v>
      </c>
      <c r="V93" s="51" t="s">
        <v>50</v>
      </c>
      <c r="W93" s="51" t="s">
        <v>50</v>
      </c>
      <c r="X93" s="51" t="s">
        <v>50</v>
      </c>
      <c r="Y93" s="52"/>
    </row>
    <row r="94" spans="1:25" s="441" customFormat="1" x14ac:dyDescent="0.25">
      <c r="A94" s="821">
        <v>44180</v>
      </c>
      <c r="B94" s="51" t="s">
        <v>70</v>
      </c>
      <c r="C94" s="51" t="s">
        <v>78</v>
      </c>
      <c r="D94" s="51">
        <v>38.069380000000002</v>
      </c>
      <c r="E94" s="51">
        <v>-122.10645</v>
      </c>
      <c r="F94" s="51" t="s">
        <v>205</v>
      </c>
      <c r="G94" s="51" t="s">
        <v>80</v>
      </c>
      <c r="H94" s="51" t="s">
        <v>81</v>
      </c>
      <c r="I94" s="66">
        <v>0.39374999999999999</v>
      </c>
      <c r="J94" s="51">
        <v>21675.75</v>
      </c>
      <c r="K94" s="51">
        <v>10.83</v>
      </c>
      <c r="L94" s="51">
        <v>26.88</v>
      </c>
      <c r="M94" s="51">
        <v>0.56999999999999995</v>
      </c>
      <c r="N94" s="51">
        <v>4.42</v>
      </c>
      <c r="O94" s="51" t="s">
        <v>48</v>
      </c>
      <c r="P94" s="51">
        <v>4</v>
      </c>
      <c r="Q94" s="51">
        <v>10</v>
      </c>
      <c r="R94" s="51" t="s">
        <v>64</v>
      </c>
      <c r="S94" s="51" t="s">
        <v>50</v>
      </c>
      <c r="T94" s="51" t="s">
        <v>50</v>
      </c>
      <c r="U94" s="51" t="s">
        <v>50</v>
      </c>
      <c r="V94" s="51" t="s">
        <v>50</v>
      </c>
      <c r="W94" s="51" t="s">
        <v>50</v>
      </c>
      <c r="X94" s="51" t="s">
        <v>50</v>
      </c>
      <c r="Y94" s="52"/>
    </row>
    <row r="95" spans="1:25" s="441" customFormat="1" x14ac:dyDescent="0.25">
      <c r="A95" s="821">
        <v>44180</v>
      </c>
      <c r="B95" s="51" t="s">
        <v>70</v>
      </c>
      <c r="C95" s="51" t="s">
        <v>78</v>
      </c>
      <c r="D95" s="51">
        <v>38.099200000000003</v>
      </c>
      <c r="E95" s="51">
        <v>-122.04545</v>
      </c>
      <c r="F95" s="51" t="s">
        <v>206</v>
      </c>
      <c r="G95" s="51" t="s">
        <v>27</v>
      </c>
      <c r="H95" s="51" t="s">
        <v>86</v>
      </c>
      <c r="I95" s="66">
        <v>0.44722222222222219</v>
      </c>
      <c r="J95" s="51">
        <v>20666</v>
      </c>
      <c r="K95" s="51">
        <v>10.8</v>
      </c>
      <c r="L95" s="51">
        <v>21.38</v>
      </c>
      <c r="M95" s="51">
        <v>0.6</v>
      </c>
      <c r="N95" s="51">
        <v>7.22</v>
      </c>
      <c r="O95" s="51" t="s">
        <v>48</v>
      </c>
      <c r="P95" s="51">
        <v>4</v>
      </c>
      <c r="Q95" s="51">
        <v>10</v>
      </c>
      <c r="R95" s="51" t="s">
        <v>64</v>
      </c>
      <c r="S95" s="51" t="s">
        <v>50</v>
      </c>
      <c r="T95" s="51" t="s">
        <v>50</v>
      </c>
      <c r="U95" s="51" t="s">
        <v>50</v>
      </c>
      <c r="V95" s="51" t="s">
        <v>50</v>
      </c>
      <c r="W95" s="51" t="s">
        <v>50</v>
      </c>
      <c r="X95" s="51" t="s">
        <v>50</v>
      </c>
      <c r="Y95" s="52"/>
    </row>
    <row r="96" spans="1:25" x14ac:dyDescent="0.25">
      <c r="A96" s="821">
        <v>44181</v>
      </c>
      <c r="B96" s="51" t="s">
        <v>87</v>
      </c>
      <c r="C96" s="51" t="s">
        <v>88</v>
      </c>
      <c r="D96" s="51">
        <v>38.082180000000001</v>
      </c>
      <c r="E96" s="51">
        <v>-121.73267</v>
      </c>
      <c r="F96" s="51" t="s">
        <v>207</v>
      </c>
      <c r="G96" s="51" t="s">
        <v>90</v>
      </c>
      <c r="H96" s="51" t="s">
        <v>91</v>
      </c>
      <c r="I96" s="66">
        <v>0.4458333333333333</v>
      </c>
      <c r="J96" s="51">
        <v>870.75</v>
      </c>
      <c r="K96" s="51">
        <v>10.199999999999999</v>
      </c>
      <c r="L96" s="51">
        <v>27.1</v>
      </c>
      <c r="M96" s="51">
        <v>0.97</v>
      </c>
      <c r="N96" s="51">
        <v>5.47</v>
      </c>
      <c r="O96" s="51" t="s">
        <v>48</v>
      </c>
      <c r="P96" s="51">
        <v>4</v>
      </c>
      <c r="Q96" s="51">
        <v>10</v>
      </c>
      <c r="R96" s="51" t="s">
        <v>49</v>
      </c>
      <c r="S96" s="51" t="s">
        <v>50</v>
      </c>
      <c r="T96" s="51" t="s">
        <v>50</v>
      </c>
      <c r="U96" s="51" t="s">
        <v>50</v>
      </c>
      <c r="V96" s="51" t="s">
        <v>50</v>
      </c>
      <c r="W96" s="51" t="s">
        <v>50</v>
      </c>
      <c r="X96" s="51" t="s">
        <v>50</v>
      </c>
      <c r="Y96" s="52" t="s">
        <v>124</v>
      </c>
    </row>
    <row r="97" spans="1:25" x14ac:dyDescent="0.25">
      <c r="A97" s="821">
        <v>44181</v>
      </c>
      <c r="B97" s="51" t="s">
        <v>87</v>
      </c>
      <c r="C97" s="51" t="s">
        <v>88</v>
      </c>
      <c r="D97" s="51">
        <v>38.050429999999999</v>
      </c>
      <c r="E97" s="51">
        <v>-121.79718</v>
      </c>
      <c r="F97" s="51" t="s">
        <v>208</v>
      </c>
      <c r="G97" s="51" t="s">
        <v>27</v>
      </c>
      <c r="H97" s="51" t="s">
        <v>25</v>
      </c>
      <c r="I97" s="66">
        <v>0.33402777777777781</v>
      </c>
      <c r="J97" s="51">
        <v>3036.75</v>
      </c>
      <c r="K97" s="51">
        <v>10.15</v>
      </c>
      <c r="L97" s="51">
        <v>16.899999999999999</v>
      </c>
      <c r="M97" s="51">
        <v>0.8</v>
      </c>
      <c r="N97" s="51">
        <v>2.88</v>
      </c>
      <c r="O97" s="51" t="s">
        <v>48</v>
      </c>
      <c r="P97" s="51">
        <v>4</v>
      </c>
      <c r="Q97" s="51">
        <v>10</v>
      </c>
      <c r="R97" s="51" t="s">
        <v>49</v>
      </c>
      <c r="S97" s="51" t="s">
        <v>50</v>
      </c>
      <c r="T97" s="51" t="s">
        <v>50</v>
      </c>
      <c r="U97" s="51" t="s">
        <v>50</v>
      </c>
      <c r="V97" s="51" t="s">
        <v>50</v>
      </c>
      <c r="W97" s="51" t="s">
        <v>50</v>
      </c>
      <c r="X97" s="51" t="s">
        <v>50</v>
      </c>
      <c r="Y97" s="52" t="s">
        <v>209</v>
      </c>
    </row>
    <row r="98" spans="1:25" x14ac:dyDescent="0.25">
      <c r="A98" s="821">
        <v>44181</v>
      </c>
      <c r="B98" s="51" t="s">
        <v>87</v>
      </c>
      <c r="C98" s="51" t="s">
        <v>88</v>
      </c>
      <c r="D98" s="51">
        <v>38.06617</v>
      </c>
      <c r="E98" s="51">
        <v>-121.78994</v>
      </c>
      <c r="F98" s="51" t="s">
        <v>210</v>
      </c>
      <c r="G98" s="51" t="s">
        <v>27</v>
      </c>
      <c r="H98" s="51" t="s">
        <v>25</v>
      </c>
      <c r="I98" s="66">
        <v>0.39513888888888887</v>
      </c>
      <c r="J98" s="51">
        <v>2715</v>
      </c>
      <c r="K98" s="51">
        <v>10.42</v>
      </c>
      <c r="L98" s="51">
        <v>58.48</v>
      </c>
      <c r="M98" s="51">
        <v>0.39</v>
      </c>
      <c r="N98" s="51">
        <v>8.18</v>
      </c>
      <c r="O98" s="51" t="s">
        <v>48</v>
      </c>
      <c r="P98" s="51">
        <v>4</v>
      </c>
      <c r="Q98" s="51">
        <v>10</v>
      </c>
      <c r="R98" s="51" t="s">
        <v>49</v>
      </c>
      <c r="S98" s="51" t="s">
        <v>50</v>
      </c>
      <c r="T98" s="51" t="s">
        <v>50</v>
      </c>
      <c r="U98" s="51" t="s">
        <v>50</v>
      </c>
      <c r="V98" s="51" t="s">
        <v>50</v>
      </c>
      <c r="W98" s="51" t="s">
        <v>50</v>
      </c>
      <c r="X98" s="51" t="s">
        <v>50</v>
      </c>
      <c r="Y98" s="52" t="s">
        <v>209</v>
      </c>
    </row>
    <row r="99" spans="1:25" x14ac:dyDescent="0.25">
      <c r="A99" s="821">
        <v>44181</v>
      </c>
      <c r="B99" s="51" t="s">
        <v>87</v>
      </c>
      <c r="C99" s="51" t="s">
        <v>95</v>
      </c>
      <c r="D99" s="51">
        <v>38.05209</v>
      </c>
      <c r="E99" s="51">
        <v>-121.49806</v>
      </c>
      <c r="F99" s="51" t="s">
        <v>211</v>
      </c>
      <c r="G99" s="51" t="s">
        <v>46</v>
      </c>
      <c r="H99" s="51" t="s">
        <v>115</v>
      </c>
      <c r="I99" s="66">
        <v>0.48055555555555557</v>
      </c>
      <c r="J99" s="51">
        <v>399.07</v>
      </c>
      <c r="K99" s="51">
        <v>10.37</v>
      </c>
      <c r="L99" s="51">
        <v>3.43</v>
      </c>
      <c r="M99" s="51">
        <v>1.8</v>
      </c>
      <c r="N99" s="51">
        <v>5.72</v>
      </c>
      <c r="O99" s="51" t="s">
        <v>48</v>
      </c>
      <c r="P99" s="51">
        <v>4</v>
      </c>
      <c r="Q99" s="51">
        <v>10</v>
      </c>
      <c r="R99" s="51" t="s">
        <v>49</v>
      </c>
      <c r="S99" s="51" t="s">
        <v>50</v>
      </c>
      <c r="T99" s="51" t="s">
        <v>50</v>
      </c>
      <c r="U99" s="51" t="s">
        <v>50</v>
      </c>
      <c r="V99" s="51" t="s">
        <v>50</v>
      </c>
      <c r="W99" s="51" t="s">
        <v>50</v>
      </c>
      <c r="X99" s="51" t="s">
        <v>50</v>
      </c>
    </row>
    <row r="100" spans="1:25" x14ac:dyDescent="0.25">
      <c r="A100" s="821">
        <v>44181</v>
      </c>
      <c r="B100" s="51" t="s">
        <v>87</v>
      </c>
      <c r="C100" s="51" t="s">
        <v>95</v>
      </c>
      <c r="D100" s="51">
        <v>38.027670000000001</v>
      </c>
      <c r="E100" s="51">
        <v>-121.76513</v>
      </c>
      <c r="F100" s="51" t="s">
        <v>212</v>
      </c>
      <c r="G100" s="51" t="s">
        <v>27</v>
      </c>
      <c r="H100" s="51" t="s">
        <v>95</v>
      </c>
      <c r="I100" s="66">
        <v>0.39999999999999997</v>
      </c>
      <c r="J100" s="51">
        <v>2674</v>
      </c>
      <c r="K100" s="51">
        <v>10.5</v>
      </c>
      <c r="L100" s="51">
        <v>11.25</v>
      </c>
      <c r="M100" s="51">
        <v>1.03</v>
      </c>
      <c r="N100" s="51">
        <v>11.07</v>
      </c>
      <c r="O100" s="51" t="s">
        <v>48</v>
      </c>
      <c r="P100" s="51">
        <v>4</v>
      </c>
      <c r="Q100" s="51">
        <v>10</v>
      </c>
      <c r="R100" s="51" t="s">
        <v>49</v>
      </c>
      <c r="S100" s="51" t="s">
        <v>50</v>
      </c>
      <c r="T100" s="51" t="s">
        <v>50</v>
      </c>
      <c r="U100" s="51" t="s">
        <v>50</v>
      </c>
      <c r="V100" s="51" t="s">
        <v>50</v>
      </c>
      <c r="W100" s="51" t="s">
        <v>50</v>
      </c>
      <c r="X100" s="51" t="s">
        <v>50</v>
      </c>
    </row>
    <row r="101" spans="1:25" x14ac:dyDescent="0.25">
      <c r="A101" s="821">
        <v>44181</v>
      </c>
      <c r="B101" s="51" t="s">
        <v>87</v>
      </c>
      <c r="C101" s="51" t="s">
        <v>95</v>
      </c>
      <c r="D101" s="51">
        <v>38.023609999999998</v>
      </c>
      <c r="E101" s="51">
        <v>-121.79485</v>
      </c>
      <c r="F101" s="51" t="s">
        <v>213</v>
      </c>
      <c r="G101" s="51" t="s">
        <v>27</v>
      </c>
      <c r="H101" s="51" t="s">
        <v>95</v>
      </c>
      <c r="I101" s="66">
        <v>0.34791666666666665</v>
      </c>
      <c r="J101" s="51">
        <v>4627.5</v>
      </c>
      <c r="K101" s="51">
        <v>10.55</v>
      </c>
      <c r="L101" s="51">
        <v>14.53</v>
      </c>
      <c r="M101" s="51">
        <v>0.89</v>
      </c>
      <c r="N101" s="51">
        <v>11.32</v>
      </c>
      <c r="O101" s="51" t="s">
        <v>48</v>
      </c>
      <c r="P101" s="51">
        <v>4</v>
      </c>
      <c r="Q101" s="51">
        <v>10</v>
      </c>
      <c r="R101" s="51" t="s">
        <v>49</v>
      </c>
      <c r="S101" s="51" t="s">
        <v>50</v>
      </c>
      <c r="T101" s="51" t="s">
        <v>50</v>
      </c>
      <c r="U101" s="51" t="s">
        <v>50</v>
      </c>
      <c r="V101" s="51" t="s">
        <v>50</v>
      </c>
      <c r="W101" s="51" t="s">
        <v>50</v>
      </c>
      <c r="X101" s="51" t="s">
        <v>50</v>
      </c>
    </row>
    <row r="102" spans="1:25" x14ac:dyDescent="0.25">
      <c r="A102" s="821">
        <v>44181</v>
      </c>
      <c r="B102" s="51" t="s">
        <v>87</v>
      </c>
      <c r="C102" s="51" t="s">
        <v>78</v>
      </c>
      <c r="D102" s="51">
        <v>38.078609999999998</v>
      </c>
      <c r="E102" s="51">
        <v>-122.08701000000001</v>
      </c>
      <c r="F102" s="51" t="s">
        <v>214</v>
      </c>
      <c r="G102" s="51" t="s">
        <v>80</v>
      </c>
      <c r="H102" s="51" t="s">
        <v>81</v>
      </c>
      <c r="I102" s="66">
        <v>0.34027777777777773</v>
      </c>
      <c r="J102" s="51">
        <v>22461.25</v>
      </c>
      <c r="K102" s="51">
        <v>10.9</v>
      </c>
      <c r="L102" s="51">
        <v>28.13</v>
      </c>
      <c r="M102" s="51">
        <v>0.57999999999999996</v>
      </c>
      <c r="N102" s="51">
        <v>4.1500000000000004</v>
      </c>
      <c r="O102" s="51" t="s">
        <v>48</v>
      </c>
      <c r="P102" s="51">
        <v>4</v>
      </c>
      <c r="Q102" s="51">
        <v>10</v>
      </c>
      <c r="R102" s="51" t="s">
        <v>49</v>
      </c>
      <c r="S102" s="51" t="s">
        <v>50</v>
      </c>
      <c r="T102" s="51" t="s">
        <v>50</v>
      </c>
      <c r="U102" s="51" t="s">
        <v>50</v>
      </c>
      <c r="V102" s="51" t="s">
        <v>50</v>
      </c>
      <c r="W102" s="51" t="s">
        <v>50</v>
      </c>
      <c r="X102" s="51" t="s">
        <v>50</v>
      </c>
    </row>
    <row r="103" spans="1:25" x14ac:dyDescent="0.25">
      <c r="A103" s="821">
        <v>44181</v>
      </c>
      <c r="B103" s="51" t="s">
        <v>87</v>
      </c>
      <c r="C103" s="51" t="s">
        <v>78</v>
      </c>
      <c r="D103" s="51">
        <v>38.076120000000003</v>
      </c>
      <c r="E103" s="51">
        <v>-122.08378</v>
      </c>
      <c r="F103" s="51" t="s">
        <v>215</v>
      </c>
      <c r="G103" s="51" t="s">
        <v>80</v>
      </c>
      <c r="H103" s="51" t="s">
        <v>81</v>
      </c>
      <c r="I103" s="66">
        <v>0.38472222222222219</v>
      </c>
      <c r="J103" s="51">
        <v>22366.75</v>
      </c>
      <c r="K103" s="51">
        <v>10.85</v>
      </c>
      <c r="L103" s="51">
        <v>31.78</v>
      </c>
      <c r="M103" s="51">
        <v>0.55000000000000004</v>
      </c>
      <c r="N103" s="51">
        <v>5.08</v>
      </c>
      <c r="O103" s="51" t="s">
        <v>48</v>
      </c>
      <c r="P103" s="51">
        <v>4</v>
      </c>
      <c r="Q103" s="51">
        <v>10</v>
      </c>
      <c r="R103" s="51" t="s">
        <v>49</v>
      </c>
      <c r="S103" s="51" t="s">
        <v>50</v>
      </c>
      <c r="T103" s="51" t="s">
        <v>50</v>
      </c>
      <c r="U103" s="51" t="s">
        <v>50</v>
      </c>
      <c r="V103" s="51" t="s">
        <v>50</v>
      </c>
      <c r="W103" s="51" t="s">
        <v>50</v>
      </c>
      <c r="X103" s="51" t="s">
        <v>50</v>
      </c>
    </row>
    <row r="104" spans="1:25" x14ac:dyDescent="0.25">
      <c r="A104" s="821">
        <v>44181</v>
      </c>
      <c r="B104" s="51" t="s">
        <v>87</v>
      </c>
      <c r="C104" s="51" t="s">
        <v>78</v>
      </c>
      <c r="D104" s="51">
        <v>38.049419999999998</v>
      </c>
      <c r="E104" s="51">
        <v>-121.90546999999999</v>
      </c>
      <c r="F104" s="51" t="s">
        <v>216</v>
      </c>
      <c r="G104" s="51" t="s">
        <v>27</v>
      </c>
      <c r="H104" s="51" t="s">
        <v>101</v>
      </c>
      <c r="I104" s="66">
        <v>0.45069444444444445</v>
      </c>
      <c r="J104" s="51">
        <v>10156.25</v>
      </c>
      <c r="K104" s="51">
        <v>10.83</v>
      </c>
      <c r="L104" s="51">
        <v>28.8</v>
      </c>
      <c r="M104" s="51">
        <v>0.66</v>
      </c>
      <c r="N104" s="51">
        <v>10.65</v>
      </c>
      <c r="O104" s="51" t="s">
        <v>48</v>
      </c>
      <c r="P104" s="51">
        <v>4</v>
      </c>
      <c r="Q104" s="51">
        <v>10</v>
      </c>
      <c r="R104" s="51" t="s">
        <v>49</v>
      </c>
      <c r="S104" s="51" t="s">
        <v>50</v>
      </c>
      <c r="T104" s="51" t="s">
        <v>50</v>
      </c>
      <c r="U104" s="51" t="s">
        <v>50</v>
      </c>
      <c r="V104" s="51" t="s">
        <v>50</v>
      </c>
      <c r="W104" s="51" t="s">
        <v>50</v>
      </c>
      <c r="X104" s="51" t="s">
        <v>50</v>
      </c>
    </row>
    <row r="105" spans="1:25" s="857" customFormat="1" x14ac:dyDescent="0.25">
      <c r="A105" s="446">
        <v>44182</v>
      </c>
      <c r="B105" s="424" t="s">
        <v>105</v>
      </c>
      <c r="C105" s="424" t="s">
        <v>217</v>
      </c>
      <c r="D105" s="424">
        <v>38.349800000000002</v>
      </c>
      <c r="E105" s="424">
        <v>-121.64491</v>
      </c>
      <c r="F105" s="424" t="s">
        <v>218</v>
      </c>
      <c r="G105" s="424" t="s">
        <v>90</v>
      </c>
      <c r="H105" s="424" t="s">
        <v>126</v>
      </c>
      <c r="I105" s="425">
        <v>0.39444444444444443</v>
      </c>
      <c r="J105" s="424" t="s">
        <v>50</v>
      </c>
      <c r="K105" s="424" t="s">
        <v>50</v>
      </c>
      <c r="L105" s="424" t="s">
        <v>50</v>
      </c>
      <c r="M105" s="424" t="s">
        <v>50</v>
      </c>
      <c r="N105" s="424" t="s">
        <v>50</v>
      </c>
      <c r="O105" s="424" t="s">
        <v>48</v>
      </c>
      <c r="P105" s="424">
        <v>0</v>
      </c>
      <c r="Q105" s="424" t="s">
        <v>50</v>
      </c>
      <c r="R105" s="424" t="s">
        <v>50</v>
      </c>
      <c r="S105" s="424" t="s">
        <v>50</v>
      </c>
      <c r="T105" s="424" t="s">
        <v>50</v>
      </c>
      <c r="U105" s="424" t="s">
        <v>50</v>
      </c>
      <c r="V105" s="424" t="s">
        <v>50</v>
      </c>
      <c r="W105" s="424" t="s">
        <v>50</v>
      </c>
      <c r="X105" s="424" t="s">
        <v>50</v>
      </c>
      <c r="Y105" s="491" t="s">
        <v>219</v>
      </c>
    </row>
    <row r="106" spans="1:25" x14ac:dyDescent="0.25">
      <c r="A106" s="821">
        <v>44182</v>
      </c>
      <c r="B106" s="51" t="s">
        <v>105</v>
      </c>
      <c r="C106" s="51" t="s">
        <v>217</v>
      </c>
      <c r="D106" s="51">
        <v>38.250109999999999</v>
      </c>
      <c r="E106" s="51">
        <v>-121.71196</v>
      </c>
      <c r="F106" s="51" t="s">
        <v>220</v>
      </c>
      <c r="G106" s="51" t="s">
        <v>90</v>
      </c>
      <c r="H106" s="51" t="s">
        <v>126</v>
      </c>
      <c r="I106" s="66">
        <v>0.32708333333333334</v>
      </c>
      <c r="J106" s="51">
        <v>139.5</v>
      </c>
      <c r="K106" s="51">
        <v>9.6999999999999993</v>
      </c>
      <c r="L106" s="51">
        <v>9.92</v>
      </c>
      <c r="M106" s="51">
        <v>1.44</v>
      </c>
      <c r="N106" s="51">
        <v>5.08</v>
      </c>
      <c r="O106" s="51" t="s">
        <v>48</v>
      </c>
      <c r="P106" s="51">
        <v>4</v>
      </c>
      <c r="Q106" s="51">
        <v>10</v>
      </c>
      <c r="R106" s="51" t="s">
        <v>49</v>
      </c>
      <c r="S106" s="51" t="s">
        <v>50</v>
      </c>
      <c r="T106" s="51" t="s">
        <v>50</v>
      </c>
      <c r="U106" s="51" t="s">
        <v>50</v>
      </c>
      <c r="V106" s="51" t="s">
        <v>50</v>
      </c>
      <c r="W106" s="51" t="s">
        <v>50</v>
      </c>
      <c r="X106" s="51" t="s">
        <v>50</v>
      </c>
      <c r="Y106" s="441" t="s">
        <v>124</v>
      </c>
    </row>
    <row r="107" spans="1:25" x14ac:dyDescent="0.25">
      <c r="A107" s="821">
        <v>44182</v>
      </c>
      <c r="B107" s="51" t="s">
        <v>105</v>
      </c>
      <c r="C107" s="51" t="s">
        <v>217</v>
      </c>
      <c r="D107" s="51">
        <v>38.251959999999997</v>
      </c>
      <c r="E107" s="51">
        <v>-121.67258</v>
      </c>
      <c r="F107" s="51" t="s">
        <v>221</v>
      </c>
      <c r="G107" s="51" t="s">
        <v>90</v>
      </c>
      <c r="H107" s="51" t="s">
        <v>126</v>
      </c>
      <c r="I107" s="66">
        <v>0.45763888888888887</v>
      </c>
      <c r="J107" s="51">
        <v>134.65</v>
      </c>
      <c r="K107" s="51">
        <v>9.9</v>
      </c>
      <c r="L107" s="51">
        <v>12.15</v>
      </c>
      <c r="M107" s="51">
        <v>1.49</v>
      </c>
      <c r="N107" s="51">
        <v>5.15</v>
      </c>
      <c r="O107" s="51" t="s">
        <v>48</v>
      </c>
      <c r="P107" s="51">
        <v>4</v>
      </c>
      <c r="Q107" s="51">
        <v>10</v>
      </c>
      <c r="R107" s="51" t="s">
        <v>49</v>
      </c>
      <c r="S107" s="51" t="s">
        <v>50</v>
      </c>
      <c r="T107" s="51" t="s">
        <v>50</v>
      </c>
      <c r="U107" s="51" t="s">
        <v>50</v>
      </c>
      <c r="V107" s="51" t="s">
        <v>50</v>
      </c>
      <c r="W107" s="51" t="s">
        <v>50</v>
      </c>
      <c r="X107" s="51" t="s">
        <v>50</v>
      </c>
      <c r="Y107" s="52" t="s">
        <v>124</v>
      </c>
    </row>
    <row r="108" spans="1:25" x14ac:dyDescent="0.25">
      <c r="A108" s="821">
        <v>44182</v>
      </c>
      <c r="B108" s="51" t="s">
        <v>105</v>
      </c>
      <c r="C108" s="51" t="s">
        <v>217</v>
      </c>
      <c r="D108" s="51">
        <v>38.261670000000002</v>
      </c>
      <c r="E108" s="51">
        <v>-121.67034</v>
      </c>
      <c r="F108" s="51" t="s">
        <v>222</v>
      </c>
      <c r="G108" s="51" t="s">
        <v>90</v>
      </c>
      <c r="H108" s="51" t="s">
        <v>126</v>
      </c>
      <c r="I108" s="66">
        <v>0.41041666666666665</v>
      </c>
      <c r="J108" s="51">
        <v>133.41999999999999</v>
      </c>
      <c r="K108" s="51">
        <v>9.9</v>
      </c>
      <c r="L108" s="51">
        <v>11.2</v>
      </c>
      <c r="M108" s="51">
        <v>1.63</v>
      </c>
      <c r="N108" s="51">
        <v>7.67</v>
      </c>
      <c r="O108" s="51" t="s">
        <v>48</v>
      </c>
      <c r="P108" s="51">
        <v>4</v>
      </c>
      <c r="Q108" s="51">
        <v>10</v>
      </c>
      <c r="R108" s="51" t="s">
        <v>49</v>
      </c>
      <c r="S108" s="51" t="s">
        <v>50</v>
      </c>
      <c r="T108" s="51" t="s">
        <v>50</v>
      </c>
      <c r="U108" s="51" t="s">
        <v>50</v>
      </c>
      <c r="V108" s="51" t="s">
        <v>50</v>
      </c>
      <c r="W108" s="51" t="s">
        <v>50</v>
      </c>
      <c r="X108" s="51" t="s">
        <v>50</v>
      </c>
    </row>
    <row r="109" spans="1:25" x14ac:dyDescent="0.25">
      <c r="A109" s="821">
        <v>44182</v>
      </c>
      <c r="B109" s="51" t="s">
        <v>105</v>
      </c>
      <c r="C109" s="51" t="s">
        <v>95</v>
      </c>
      <c r="D109" s="51">
        <v>38.061030000000002</v>
      </c>
      <c r="E109" s="51">
        <v>-121.68393</v>
      </c>
      <c r="F109" s="51" t="s">
        <v>223</v>
      </c>
      <c r="G109" s="51" t="s">
        <v>46</v>
      </c>
      <c r="H109" s="51" t="s">
        <v>97</v>
      </c>
      <c r="I109" s="66">
        <v>0.44375000000000003</v>
      </c>
      <c r="J109" s="51">
        <v>1629.5</v>
      </c>
      <c r="K109" s="51">
        <v>10.6</v>
      </c>
      <c r="L109" s="51">
        <v>10.39</v>
      </c>
      <c r="M109" s="51">
        <v>1</v>
      </c>
      <c r="N109" s="51">
        <v>4.0999999999999996</v>
      </c>
      <c r="O109" s="51" t="s">
        <v>48</v>
      </c>
      <c r="P109" s="51">
        <v>4</v>
      </c>
      <c r="Q109" s="51">
        <v>10</v>
      </c>
      <c r="R109" s="51" t="s">
        <v>49</v>
      </c>
      <c r="S109" s="51" t="s">
        <v>50</v>
      </c>
      <c r="T109" s="51" t="s">
        <v>50</v>
      </c>
      <c r="U109" s="51" t="s">
        <v>50</v>
      </c>
      <c r="V109" s="51" t="s">
        <v>50</v>
      </c>
      <c r="W109" s="51" t="s">
        <v>50</v>
      </c>
      <c r="X109" s="51" t="s">
        <v>50</v>
      </c>
    </row>
    <row r="110" spans="1:25" x14ac:dyDescent="0.25">
      <c r="A110" s="821">
        <v>44182</v>
      </c>
      <c r="B110" s="51" t="s">
        <v>105</v>
      </c>
      <c r="C110" s="51" t="s">
        <v>95</v>
      </c>
      <c r="D110" s="51">
        <v>38.044930000000001</v>
      </c>
      <c r="E110" s="51">
        <v>-121.70489999999999</v>
      </c>
      <c r="F110" s="51" t="s">
        <v>224</v>
      </c>
      <c r="G110" s="51" t="s">
        <v>27</v>
      </c>
      <c r="H110" s="51" t="s">
        <v>95</v>
      </c>
      <c r="I110" s="66">
        <v>0.39513888888888887</v>
      </c>
      <c r="J110" s="51">
        <v>2232</v>
      </c>
      <c r="K110" s="51">
        <v>10.6</v>
      </c>
      <c r="L110" s="51">
        <v>9.64</v>
      </c>
      <c r="M110" s="51">
        <v>1.02</v>
      </c>
      <c r="N110" s="51">
        <v>8.1199999999999992</v>
      </c>
      <c r="O110" s="51" t="s">
        <v>48</v>
      </c>
      <c r="P110" s="51">
        <v>4</v>
      </c>
      <c r="Q110" s="51">
        <v>10</v>
      </c>
      <c r="R110" s="51" t="s">
        <v>49</v>
      </c>
      <c r="S110" s="51" t="s">
        <v>50</v>
      </c>
      <c r="T110" s="51" t="s">
        <v>50</v>
      </c>
      <c r="U110" s="51" t="s">
        <v>50</v>
      </c>
      <c r="V110" s="51" t="s">
        <v>50</v>
      </c>
      <c r="W110" s="51" t="s">
        <v>50</v>
      </c>
      <c r="X110" s="51" t="s">
        <v>50</v>
      </c>
      <c r="Y110" s="52" t="s">
        <v>124</v>
      </c>
    </row>
    <row r="111" spans="1:25" x14ac:dyDescent="0.25">
      <c r="A111" s="821">
        <v>44182</v>
      </c>
      <c r="B111" s="51" t="s">
        <v>105</v>
      </c>
      <c r="C111" s="51" t="s">
        <v>95</v>
      </c>
      <c r="D111" s="51">
        <v>38.025860000000002</v>
      </c>
      <c r="E111" s="51">
        <v>-121.72162</v>
      </c>
      <c r="F111" s="51" t="s">
        <v>225</v>
      </c>
      <c r="G111" s="51" t="s">
        <v>27</v>
      </c>
      <c r="H111" s="51" t="s">
        <v>95</v>
      </c>
      <c r="I111" s="66">
        <v>0.33888888888888885</v>
      </c>
      <c r="J111" s="51">
        <v>1894.75</v>
      </c>
      <c r="K111" s="51">
        <v>10.55</v>
      </c>
      <c r="L111" s="51">
        <v>8.5399999999999991</v>
      </c>
      <c r="M111" s="51">
        <v>1.1599999999999999</v>
      </c>
      <c r="N111" s="51">
        <v>5.28</v>
      </c>
      <c r="O111" s="51" t="s">
        <v>48</v>
      </c>
      <c r="P111" s="51">
        <v>4</v>
      </c>
      <c r="Q111" s="51">
        <v>10</v>
      </c>
      <c r="R111" s="51" t="s">
        <v>49</v>
      </c>
      <c r="S111" s="51" t="s">
        <v>50</v>
      </c>
      <c r="T111" s="51" t="s">
        <v>50</v>
      </c>
      <c r="U111" s="51" t="s">
        <v>50</v>
      </c>
      <c r="V111" s="51" t="s">
        <v>50</v>
      </c>
      <c r="W111" s="51" t="s">
        <v>50</v>
      </c>
      <c r="X111" s="51" t="s">
        <v>50</v>
      </c>
      <c r="Y111" s="52" t="s">
        <v>148</v>
      </c>
    </row>
    <row r="112" spans="1:25" s="856" customFormat="1" x14ac:dyDescent="0.25">
      <c r="A112" s="855">
        <v>44182</v>
      </c>
      <c r="B112" s="450" t="s">
        <v>105</v>
      </c>
      <c r="C112" s="450" t="s">
        <v>62</v>
      </c>
      <c r="D112" s="450">
        <v>38.105539999999998</v>
      </c>
      <c r="E112" s="450">
        <v>-122.04864000000001</v>
      </c>
      <c r="F112" s="450" t="s">
        <v>226</v>
      </c>
      <c r="G112" s="450" t="s">
        <v>27</v>
      </c>
      <c r="H112" s="450" t="s">
        <v>173</v>
      </c>
      <c r="I112" s="451">
        <v>0.33402777777777781</v>
      </c>
      <c r="J112" s="450">
        <v>19828</v>
      </c>
      <c r="K112" s="450">
        <v>10.83</v>
      </c>
      <c r="L112" s="450">
        <v>36.380000000000003</v>
      </c>
      <c r="M112" s="450">
        <v>0.41</v>
      </c>
      <c r="N112" s="450">
        <v>2.7</v>
      </c>
      <c r="O112" s="450" t="s">
        <v>48</v>
      </c>
      <c r="P112" s="450">
        <v>4</v>
      </c>
      <c r="Q112" s="450">
        <v>10</v>
      </c>
      <c r="R112" s="450" t="s">
        <v>49</v>
      </c>
      <c r="S112" s="858" t="s">
        <v>31</v>
      </c>
      <c r="T112" s="450">
        <v>5</v>
      </c>
      <c r="U112" s="450" t="s">
        <v>227</v>
      </c>
      <c r="V112" s="450" t="s">
        <v>66</v>
      </c>
      <c r="W112" s="450" t="s">
        <v>50</v>
      </c>
      <c r="X112" s="450" t="s">
        <v>228</v>
      </c>
      <c r="Y112" s="453"/>
    </row>
    <row r="113" spans="1:25" x14ac:dyDescent="0.25">
      <c r="A113" s="821">
        <v>44182</v>
      </c>
      <c r="B113" s="51" t="s">
        <v>105</v>
      </c>
      <c r="C113" s="51" t="s">
        <v>62</v>
      </c>
      <c r="D113" s="51">
        <v>38.072769999999998</v>
      </c>
      <c r="E113" s="51">
        <v>-121.87739999999999</v>
      </c>
      <c r="F113" s="51" t="s">
        <v>229</v>
      </c>
      <c r="G113" s="51" t="s">
        <v>27</v>
      </c>
      <c r="H113" s="51" t="s">
        <v>62</v>
      </c>
      <c r="I113" s="66">
        <v>0.48125000000000001</v>
      </c>
      <c r="J113" s="51">
        <v>13160.25</v>
      </c>
      <c r="K113" s="51">
        <v>11.05</v>
      </c>
      <c r="L113" s="51">
        <v>40.4</v>
      </c>
      <c r="M113" s="51">
        <v>0.43</v>
      </c>
      <c r="N113" s="51">
        <v>8.07</v>
      </c>
      <c r="O113" s="51" t="s">
        <v>48</v>
      </c>
      <c r="P113" s="51">
        <v>4</v>
      </c>
      <c r="Q113" s="51">
        <v>10</v>
      </c>
      <c r="R113" s="51" t="s">
        <v>49</v>
      </c>
      <c r="S113" s="51" t="s">
        <v>50</v>
      </c>
      <c r="T113" s="51" t="s">
        <v>50</v>
      </c>
      <c r="U113" s="51" t="s">
        <v>50</v>
      </c>
      <c r="V113" s="51" t="s">
        <v>50</v>
      </c>
      <c r="W113" s="51" t="s">
        <v>50</v>
      </c>
      <c r="X113" s="51" t="s">
        <v>50</v>
      </c>
    </row>
    <row r="114" spans="1:25" s="74" customFormat="1" x14ac:dyDescent="0.25">
      <c r="A114" s="853">
        <v>44182</v>
      </c>
      <c r="B114" s="74" t="s">
        <v>105</v>
      </c>
      <c r="C114" s="74" t="s">
        <v>62</v>
      </c>
      <c r="D114" s="74">
        <v>38.168570000000003</v>
      </c>
      <c r="E114" s="74">
        <v>-121.93232</v>
      </c>
      <c r="F114" s="74" t="s">
        <v>230</v>
      </c>
      <c r="G114" s="74" t="s">
        <v>27</v>
      </c>
      <c r="H114" s="74" t="s">
        <v>62</v>
      </c>
      <c r="I114" s="73">
        <v>0.40138888888888885</v>
      </c>
      <c r="J114" s="74">
        <v>12748.25</v>
      </c>
      <c r="K114" s="74">
        <v>10.63</v>
      </c>
      <c r="L114" s="74">
        <v>33.85</v>
      </c>
      <c r="M114" s="74">
        <v>0.46</v>
      </c>
      <c r="N114" s="74">
        <v>7.28</v>
      </c>
      <c r="O114" s="74" t="s">
        <v>48</v>
      </c>
      <c r="P114" s="74">
        <v>4</v>
      </c>
      <c r="Q114" s="74">
        <v>10</v>
      </c>
      <c r="R114" s="74" t="s">
        <v>49</v>
      </c>
      <c r="S114" s="74" t="s">
        <v>50</v>
      </c>
      <c r="T114" s="74" t="s">
        <v>50</v>
      </c>
      <c r="U114" s="74" t="s">
        <v>50</v>
      </c>
      <c r="V114" s="74" t="s">
        <v>50</v>
      </c>
      <c r="W114" s="74" t="s">
        <v>50</v>
      </c>
      <c r="X114" s="74" t="s">
        <v>50</v>
      </c>
    </row>
    <row r="115" spans="1:25" x14ac:dyDescent="0.25">
      <c r="A115" s="821">
        <v>44188</v>
      </c>
      <c r="B115" s="51" t="s">
        <v>87</v>
      </c>
      <c r="C115" s="51" t="s">
        <v>88</v>
      </c>
      <c r="D115" s="51">
        <v>38.1785</v>
      </c>
      <c r="E115" s="51">
        <v>-121.66831999999999</v>
      </c>
      <c r="F115" s="51" t="s">
        <v>231</v>
      </c>
      <c r="G115" s="51" t="s">
        <v>90</v>
      </c>
      <c r="H115" s="51" t="s">
        <v>91</v>
      </c>
      <c r="I115" s="66">
        <v>0.34791666666666665</v>
      </c>
      <c r="J115" s="51">
        <v>135.69999999999999</v>
      </c>
      <c r="K115" s="51">
        <v>9.4</v>
      </c>
      <c r="L115" s="51" t="s">
        <v>50</v>
      </c>
      <c r="M115" s="51">
        <v>1.68</v>
      </c>
      <c r="N115" s="51">
        <v>14.97</v>
      </c>
      <c r="O115" s="51" t="s">
        <v>48</v>
      </c>
      <c r="P115" s="51">
        <v>4</v>
      </c>
      <c r="Q115" s="51">
        <v>10</v>
      </c>
      <c r="R115" s="51" t="s">
        <v>64</v>
      </c>
      <c r="S115" s="51" t="s">
        <v>50</v>
      </c>
      <c r="T115" s="51" t="s">
        <v>50</v>
      </c>
      <c r="U115" s="51" t="s">
        <v>50</v>
      </c>
      <c r="V115" s="51" t="s">
        <v>50</v>
      </c>
      <c r="W115" s="51" t="s">
        <v>50</v>
      </c>
      <c r="X115" s="51" t="s">
        <v>50</v>
      </c>
      <c r="Y115" s="52" t="s">
        <v>232</v>
      </c>
    </row>
    <row r="116" spans="1:25" x14ac:dyDescent="0.25">
      <c r="A116" s="821">
        <v>44188</v>
      </c>
      <c r="B116" s="51" t="s">
        <v>87</v>
      </c>
      <c r="C116" s="51" t="s">
        <v>95</v>
      </c>
      <c r="D116" s="51">
        <v>38.089219999999997</v>
      </c>
      <c r="E116" s="51">
        <v>-121.62958999999999</v>
      </c>
      <c r="F116" s="51" t="s">
        <v>233</v>
      </c>
      <c r="G116" s="51" t="s">
        <v>46</v>
      </c>
      <c r="H116" s="51" t="s">
        <v>97</v>
      </c>
      <c r="I116" s="66">
        <v>0.35416666666666669</v>
      </c>
      <c r="J116" s="51">
        <v>460.95</v>
      </c>
      <c r="K116" s="51">
        <v>9.83</v>
      </c>
      <c r="L116" s="51">
        <v>3.89</v>
      </c>
      <c r="M116" s="51">
        <v>1.8</v>
      </c>
      <c r="N116" s="51">
        <v>6.5</v>
      </c>
      <c r="O116" s="51" t="s">
        <v>48</v>
      </c>
      <c r="P116" s="51">
        <v>4</v>
      </c>
      <c r="Q116" s="51">
        <v>10</v>
      </c>
      <c r="R116" s="51" t="s">
        <v>64</v>
      </c>
      <c r="S116" s="51" t="s">
        <v>50</v>
      </c>
      <c r="T116" s="51" t="s">
        <v>50</v>
      </c>
      <c r="U116" s="51" t="s">
        <v>50</v>
      </c>
      <c r="V116" s="51" t="s">
        <v>50</v>
      </c>
      <c r="W116" s="51" t="s">
        <v>50</v>
      </c>
      <c r="X116" s="51" t="s">
        <v>50</v>
      </c>
    </row>
    <row r="117" spans="1:25" x14ac:dyDescent="0.25">
      <c r="A117" s="821">
        <v>44188</v>
      </c>
      <c r="B117" s="51" t="s">
        <v>87</v>
      </c>
      <c r="C117" s="51" t="s">
        <v>177</v>
      </c>
      <c r="D117" s="51">
        <v>38.202869999999997</v>
      </c>
      <c r="E117" s="51">
        <v>-121.65779000000001</v>
      </c>
      <c r="F117" s="51" t="s">
        <v>234</v>
      </c>
      <c r="G117" s="51" t="s">
        <v>90</v>
      </c>
      <c r="H117" s="97" t="s">
        <v>108</v>
      </c>
      <c r="I117" s="66">
        <v>0.39861111111111108</v>
      </c>
      <c r="J117" s="51">
        <v>137.25</v>
      </c>
      <c r="K117" s="51">
        <v>9.4</v>
      </c>
      <c r="L117" s="51" t="s">
        <v>50</v>
      </c>
      <c r="M117" s="51">
        <v>1.61</v>
      </c>
      <c r="N117" s="51">
        <v>9.07</v>
      </c>
      <c r="O117" s="51" t="s">
        <v>48</v>
      </c>
      <c r="P117" s="51">
        <v>4</v>
      </c>
      <c r="Q117" s="51">
        <v>10</v>
      </c>
      <c r="R117" s="51" t="s">
        <v>64</v>
      </c>
      <c r="S117" s="51" t="s">
        <v>50</v>
      </c>
      <c r="T117" s="51" t="s">
        <v>50</v>
      </c>
      <c r="U117" s="51" t="s">
        <v>50</v>
      </c>
      <c r="V117" s="51" t="s">
        <v>50</v>
      </c>
      <c r="W117" s="51" t="s">
        <v>50</v>
      </c>
      <c r="X117" s="51" t="s">
        <v>50</v>
      </c>
      <c r="Y117" s="52" t="s">
        <v>232</v>
      </c>
    </row>
    <row r="118" spans="1:25" x14ac:dyDescent="0.25">
      <c r="A118" s="821">
        <v>44188</v>
      </c>
      <c r="B118" s="51" t="s">
        <v>87</v>
      </c>
      <c r="C118" s="51" t="s">
        <v>177</v>
      </c>
      <c r="D118" s="51">
        <v>38.261319999999998</v>
      </c>
      <c r="E118" s="51">
        <v>-121.66646</v>
      </c>
      <c r="F118" s="51" t="s">
        <v>235</v>
      </c>
      <c r="G118" s="51" t="s">
        <v>90</v>
      </c>
      <c r="H118" s="97" t="s">
        <v>108</v>
      </c>
      <c r="I118" s="66">
        <v>0.45</v>
      </c>
      <c r="J118" s="51">
        <v>140.94999999999999</v>
      </c>
      <c r="K118" s="51">
        <v>9.25</v>
      </c>
      <c r="L118" s="51" t="s">
        <v>50</v>
      </c>
      <c r="M118" s="51">
        <v>1.1599999999999999</v>
      </c>
      <c r="N118" s="51">
        <v>4.95</v>
      </c>
      <c r="O118" s="51" t="s">
        <v>48</v>
      </c>
      <c r="P118" s="51">
        <v>4</v>
      </c>
      <c r="Q118" s="51">
        <v>10</v>
      </c>
      <c r="R118" s="51" t="s">
        <v>64</v>
      </c>
      <c r="S118" s="51" t="s">
        <v>50</v>
      </c>
      <c r="T118" s="51" t="s">
        <v>50</v>
      </c>
      <c r="U118" s="51" t="s">
        <v>50</v>
      </c>
      <c r="V118" s="51" t="s">
        <v>50</v>
      </c>
      <c r="W118" s="51" t="s">
        <v>50</v>
      </c>
      <c r="X118" s="51" t="s">
        <v>50</v>
      </c>
      <c r="Y118" s="52" t="s">
        <v>232</v>
      </c>
    </row>
    <row r="119" spans="1:25" x14ac:dyDescent="0.25">
      <c r="A119" s="821">
        <v>44188</v>
      </c>
      <c r="B119" s="51" t="s">
        <v>87</v>
      </c>
      <c r="C119" s="51" t="s">
        <v>177</v>
      </c>
      <c r="D119" s="51">
        <v>38.379480000000001</v>
      </c>
      <c r="E119" s="51">
        <v>-121.6275</v>
      </c>
      <c r="F119" s="51" t="s">
        <v>236</v>
      </c>
      <c r="G119" s="51" t="s">
        <v>90</v>
      </c>
      <c r="H119" s="97" t="s">
        <v>108</v>
      </c>
      <c r="I119" s="66">
        <v>0.5083333333333333</v>
      </c>
      <c r="J119" s="51">
        <v>253.97</v>
      </c>
      <c r="K119" s="51">
        <v>9.57</v>
      </c>
      <c r="L119" s="51" t="s">
        <v>50</v>
      </c>
      <c r="M119" s="51">
        <v>0.18</v>
      </c>
      <c r="N119" s="51">
        <v>9.8699999999999992</v>
      </c>
      <c r="O119" s="51" t="s">
        <v>48</v>
      </c>
      <c r="P119" s="51">
        <v>3</v>
      </c>
      <c r="Q119" s="51">
        <v>10</v>
      </c>
      <c r="R119" s="51" t="s">
        <v>64</v>
      </c>
      <c r="S119" s="51" t="s">
        <v>50</v>
      </c>
      <c r="T119" s="51" t="s">
        <v>50</v>
      </c>
      <c r="U119" s="51" t="s">
        <v>50</v>
      </c>
      <c r="V119" s="51" t="s">
        <v>50</v>
      </c>
      <c r="W119" s="51" t="s">
        <v>50</v>
      </c>
      <c r="X119" s="51" t="s">
        <v>50</v>
      </c>
      <c r="Y119" s="52" t="s">
        <v>237</v>
      </c>
    </row>
    <row r="120" spans="1:25" s="857" customFormat="1" x14ac:dyDescent="0.25">
      <c r="A120" s="446">
        <v>44188</v>
      </c>
      <c r="B120" s="424" t="s">
        <v>87</v>
      </c>
      <c r="C120" s="424" t="s">
        <v>44</v>
      </c>
      <c r="D120" s="424">
        <v>38.043100000000003</v>
      </c>
      <c r="E120" s="424">
        <v>-121.59318</v>
      </c>
      <c r="F120" s="424" t="s">
        <v>238</v>
      </c>
      <c r="G120" s="424" t="s">
        <v>46</v>
      </c>
      <c r="H120" s="424" t="s">
        <v>47</v>
      </c>
      <c r="I120" s="425">
        <v>0.32430555555555557</v>
      </c>
      <c r="J120" s="424" t="s">
        <v>50</v>
      </c>
      <c r="K120" s="424" t="s">
        <v>50</v>
      </c>
      <c r="L120" s="424" t="s">
        <v>50</v>
      </c>
      <c r="M120" s="424" t="s">
        <v>50</v>
      </c>
      <c r="N120" s="424" t="s">
        <v>50</v>
      </c>
      <c r="O120" s="424" t="s">
        <v>48</v>
      </c>
      <c r="P120" s="424">
        <v>0</v>
      </c>
      <c r="Q120" s="424" t="s">
        <v>50</v>
      </c>
      <c r="R120" s="424" t="s">
        <v>50</v>
      </c>
      <c r="S120" s="424" t="s">
        <v>50</v>
      </c>
      <c r="T120" s="424" t="s">
        <v>50</v>
      </c>
      <c r="U120" s="424" t="s">
        <v>50</v>
      </c>
      <c r="V120" s="424" t="s">
        <v>50</v>
      </c>
      <c r="W120" s="424" t="s">
        <v>50</v>
      </c>
      <c r="X120" s="424" t="s">
        <v>50</v>
      </c>
      <c r="Y120" s="426" t="s">
        <v>239</v>
      </c>
    </row>
    <row r="121" spans="1:25" x14ac:dyDescent="0.25">
      <c r="A121" s="821">
        <v>44188</v>
      </c>
      <c r="B121" s="51" t="s">
        <v>87</v>
      </c>
      <c r="C121" s="51" t="s">
        <v>44</v>
      </c>
      <c r="D121" s="51">
        <v>37.999279999999999</v>
      </c>
      <c r="E121" s="51">
        <v>-121.56935</v>
      </c>
      <c r="F121" s="51" t="s">
        <v>240</v>
      </c>
      <c r="G121" s="51" t="s">
        <v>46</v>
      </c>
      <c r="H121" s="51" t="s">
        <v>74</v>
      </c>
      <c r="I121" s="66">
        <v>0.42430555555555555</v>
      </c>
      <c r="J121" s="51">
        <v>653.5</v>
      </c>
      <c r="K121" s="51">
        <v>9.27</v>
      </c>
      <c r="L121" s="51">
        <v>2.85</v>
      </c>
      <c r="M121" s="51">
        <v>1.8</v>
      </c>
      <c r="N121" s="51">
        <v>8.1999999999999993</v>
      </c>
      <c r="O121" s="51" t="s">
        <v>48</v>
      </c>
      <c r="P121" s="51">
        <v>4</v>
      </c>
      <c r="Q121" s="51">
        <v>10</v>
      </c>
      <c r="R121" s="51" t="s">
        <v>64</v>
      </c>
      <c r="S121" s="51" t="s">
        <v>50</v>
      </c>
      <c r="T121" s="51" t="s">
        <v>50</v>
      </c>
      <c r="U121" s="51" t="s">
        <v>50</v>
      </c>
      <c r="V121" s="51" t="s">
        <v>50</v>
      </c>
      <c r="W121" s="51" t="s">
        <v>50</v>
      </c>
      <c r="X121" s="51" t="s">
        <v>50</v>
      </c>
      <c r="Y121" s="52" t="s">
        <v>241</v>
      </c>
    </row>
    <row r="122" spans="1:25" s="857" customFormat="1" x14ac:dyDescent="0.25">
      <c r="A122" s="446">
        <v>44188</v>
      </c>
      <c r="B122" s="424" t="s">
        <v>87</v>
      </c>
      <c r="C122" s="424" t="s">
        <v>44</v>
      </c>
      <c r="D122" s="424">
        <v>37.977600000000002</v>
      </c>
      <c r="E122" s="424">
        <v>-121.51922</v>
      </c>
      <c r="F122" s="424" t="s">
        <v>242</v>
      </c>
      <c r="G122" s="424" t="s">
        <v>46</v>
      </c>
      <c r="H122" s="424" t="s">
        <v>59</v>
      </c>
      <c r="I122" s="425">
        <v>0.50069444444444444</v>
      </c>
      <c r="J122" s="424" t="s">
        <v>50</v>
      </c>
      <c r="K122" s="424" t="s">
        <v>50</v>
      </c>
      <c r="L122" s="424" t="s">
        <v>50</v>
      </c>
      <c r="M122" s="424" t="s">
        <v>50</v>
      </c>
      <c r="N122" s="424" t="s">
        <v>50</v>
      </c>
      <c r="O122" s="424" t="s">
        <v>48</v>
      </c>
      <c r="P122" s="424">
        <v>0</v>
      </c>
      <c r="Q122" s="424" t="s">
        <v>50</v>
      </c>
      <c r="R122" s="424" t="s">
        <v>50</v>
      </c>
      <c r="S122" s="424" t="s">
        <v>50</v>
      </c>
      <c r="T122" s="424" t="s">
        <v>50</v>
      </c>
      <c r="U122" s="424" t="s">
        <v>50</v>
      </c>
      <c r="V122" s="424" t="s">
        <v>50</v>
      </c>
      <c r="W122" s="424" t="s">
        <v>50</v>
      </c>
      <c r="X122" s="424" t="s">
        <v>50</v>
      </c>
      <c r="Y122" s="426" t="s">
        <v>243</v>
      </c>
    </row>
    <row r="123" spans="1:25" x14ac:dyDescent="0.25">
      <c r="A123" s="821">
        <v>44188</v>
      </c>
      <c r="B123" s="51" t="s">
        <v>87</v>
      </c>
      <c r="C123" s="51" t="s">
        <v>44</v>
      </c>
      <c r="D123" s="51">
        <v>37.968440000000001</v>
      </c>
      <c r="E123" s="51">
        <v>-121.57374</v>
      </c>
      <c r="F123" s="51" t="s">
        <v>244</v>
      </c>
      <c r="G123" s="51" t="s">
        <v>46</v>
      </c>
      <c r="H123" s="51" t="s">
        <v>199</v>
      </c>
      <c r="I123" s="66">
        <v>0.47916666666666669</v>
      </c>
      <c r="J123" s="51">
        <v>703.25</v>
      </c>
      <c r="K123" s="51">
        <v>9.25</v>
      </c>
      <c r="L123" s="51">
        <v>4.8099999999999996</v>
      </c>
      <c r="M123" s="51">
        <v>1.8</v>
      </c>
      <c r="N123" s="51">
        <v>8.6999999999999993</v>
      </c>
      <c r="O123" s="51" t="s">
        <v>48</v>
      </c>
      <c r="P123" s="51">
        <v>4</v>
      </c>
      <c r="Q123" s="51">
        <v>10</v>
      </c>
      <c r="R123" s="51" t="s">
        <v>64</v>
      </c>
      <c r="S123" s="51" t="s">
        <v>50</v>
      </c>
      <c r="T123" s="51" t="s">
        <v>50</v>
      </c>
      <c r="U123" s="51" t="s">
        <v>50</v>
      </c>
      <c r="V123" s="51" t="s">
        <v>50</v>
      </c>
      <c r="W123" s="51" t="s">
        <v>50</v>
      </c>
      <c r="X123" s="51" t="s">
        <v>50</v>
      </c>
    </row>
    <row r="124" spans="1:25" x14ac:dyDescent="0.25">
      <c r="A124" s="821">
        <v>44188</v>
      </c>
      <c r="B124" s="51" t="s">
        <v>87</v>
      </c>
      <c r="C124" s="51" t="s">
        <v>78</v>
      </c>
      <c r="D124" s="51">
        <v>38.096850000000003</v>
      </c>
      <c r="E124" s="51">
        <v>-122.04795</v>
      </c>
      <c r="F124" s="51" t="s">
        <v>245</v>
      </c>
      <c r="G124" s="51" t="s">
        <v>27</v>
      </c>
      <c r="H124" s="51" t="s">
        <v>86</v>
      </c>
      <c r="I124" s="66">
        <v>0.3743055555555555</v>
      </c>
      <c r="J124" s="51">
        <v>18450.25</v>
      </c>
      <c r="K124" s="51">
        <v>10.220000000000001</v>
      </c>
      <c r="L124" s="51">
        <v>11.12</v>
      </c>
      <c r="M124" s="51">
        <v>0.91</v>
      </c>
      <c r="N124" s="51">
        <v>6.53</v>
      </c>
      <c r="O124" s="51" t="s">
        <v>48</v>
      </c>
      <c r="P124" s="51">
        <v>4</v>
      </c>
      <c r="Q124" s="51">
        <v>10</v>
      </c>
      <c r="R124" s="51" t="s">
        <v>64</v>
      </c>
      <c r="S124" s="51" t="s">
        <v>50</v>
      </c>
      <c r="T124" s="51" t="s">
        <v>50</v>
      </c>
      <c r="U124" s="51" t="s">
        <v>50</v>
      </c>
      <c r="V124" s="51" t="s">
        <v>50</v>
      </c>
      <c r="W124" s="51" t="s">
        <v>50</v>
      </c>
      <c r="X124" s="51" t="s">
        <v>50</v>
      </c>
    </row>
    <row r="125" spans="1:25" x14ac:dyDescent="0.25">
      <c r="A125" s="821">
        <v>44188</v>
      </c>
      <c r="B125" s="51" t="s">
        <v>87</v>
      </c>
      <c r="C125" s="51" t="s">
        <v>62</v>
      </c>
      <c r="D125" s="51">
        <v>38.121110000000002</v>
      </c>
      <c r="E125" s="51">
        <v>-122.07225</v>
      </c>
      <c r="F125" s="51" t="s">
        <v>246</v>
      </c>
      <c r="G125" s="51" t="s">
        <v>27</v>
      </c>
      <c r="H125" s="51" t="s">
        <v>62</v>
      </c>
      <c r="I125" s="66">
        <v>0.43541666666666662</v>
      </c>
      <c r="J125" s="51">
        <v>15982.5</v>
      </c>
      <c r="K125" s="51">
        <v>10.130000000000001</v>
      </c>
      <c r="L125" s="51">
        <v>28.72</v>
      </c>
      <c r="M125" s="51">
        <v>0.49</v>
      </c>
      <c r="N125" s="51">
        <v>3.15</v>
      </c>
      <c r="O125" s="51" t="s">
        <v>48</v>
      </c>
      <c r="P125" s="51">
        <v>4</v>
      </c>
      <c r="Q125" s="51">
        <v>10</v>
      </c>
      <c r="R125" s="51" t="s">
        <v>64</v>
      </c>
      <c r="S125" s="51" t="s">
        <v>50</v>
      </c>
      <c r="T125" s="51" t="s">
        <v>50</v>
      </c>
      <c r="U125" s="51" t="s">
        <v>50</v>
      </c>
      <c r="V125" s="51" t="s">
        <v>50</v>
      </c>
      <c r="W125" s="51" t="s">
        <v>50</v>
      </c>
      <c r="X125" s="51" t="s">
        <v>50</v>
      </c>
    </row>
    <row r="126" spans="1:25" x14ac:dyDescent="0.25">
      <c r="A126" s="821">
        <v>44188</v>
      </c>
      <c r="B126" s="51" t="s">
        <v>87</v>
      </c>
      <c r="C126" s="51" t="s">
        <v>62</v>
      </c>
      <c r="D126" s="51">
        <v>38.15475</v>
      </c>
      <c r="E126" s="51">
        <v>-122.05150999999999</v>
      </c>
      <c r="F126" s="51" t="s">
        <v>247</v>
      </c>
      <c r="G126" s="51" t="s">
        <v>27</v>
      </c>
      <c r="H126" s="51" t="s">
        <v>62</v>
      </c>
      <c r="I126" s="66">
        <v>0.50208333333333333</v>
      </c>
      <c r="J126" s="51">
        <v>14485</v>
      </c>
      <c r="K126" s="51">
        <v>12.6</v>
      </c>
      <c r="L126" s="51">
        <v>18.670000000000002</v>
      </c>
      <c r="M126" s="51">
        <v>0.59</v>
      </c>
      <c r="N126" s="51">
        <v>8.9</v>
      </c>
      <c r="O126" s="51" t="s">
        <v>48</v>
      </c>
      <c r="P126" s="51">
        <v>4</v>
      </c>
      <c r="Q126" s="51">
        <v>10</v>
      </c>
      <c r="R126" s="51" t="s">
        <v>49</v>
      </c>
      <c r="S126" s="51" t="s">
        <v>50</v>
      </c>
      <c r="T126" s="51" t="s">
        <v>50</v>
      </c>
      <c r="U126" s="51" t="s">
        <v>50</v>
      </c>
      <c r="V126" s="51" t="s">
        <v>50</v>
      </c>
      <c r="W126" s="51" t="s">
        <v>50</v>
      </c>
      <c r="X126" s="51" t="s">
        <v>50</v>
      </c>
      <c r="Y126" s="52" t="s">
        <v>248</v>
      </c>
    </row>
    <row r="127" spans="1:25" x14ac:dyDescent="0.25">
      <c r="A127" s="821">
        <v>44189</v>
      </c>
      <c r="B127" s="51" t="s">
        <v>105</v>
      </c>
      <c r="C127" s="51" t="s">
        <v>88</v>
      </c>
      <c r="D127" s="51">
        <v>38.127740000000003</v>
      </c>
      <c r="E127" s="51">
        <v>-121.68994000000001</v>
      </c>
      <c r="F127" s="51" t="s">
        <v>249</v>
      </c>
      <c r="G127" s="51" t="s">
        <v>90</v>
      </c>
      <c r="H127" s="51" t="s">
        <v>91</v>
      </c>
      <c r="I127" s="66">
        <v>0.35833333333333334</v>
      </c>
      <c r="J127" s="51">
        <v>200.8</v>
      </c>
      <c r="K127" s="51">
        <v>9.2200000000000006</v>
      </c>
      <c r="L127" s="51">
        <v>5.5</v>
      </c>
      <c r="M127" s="51">
        <v>1.74</v>
      </c>
      <c r="N127" s="51">
        <v>2.75</v>
      </c>
      <c r="O127" s="51" t="s">
        <v>48</v>
      </c>
      <c r="P127" s="51">
        <v>4</v>
      </c>
      <c r="Q127" s="51">
        <v>10</v>
      </c>
      <c r="R127" s="51" t="s">
        <v>64</v>
      </c>
      <c r="S127" s="51" t="s">
        <v>50</v>
      </c>
      <c r="T127" s="51" t="s">
        <v>50</v>
      </c>
      <c r="U127" s="51" t="s">
        <v>50</v>
      </c>
      <c r="V127" s="51" t="s">
        <v>50</v>
      </c>
      <c r="W127" s="51" t="s">
        <v>50</v>
      </c>
      <c r="X127" s="51" t="s">
        <v>50</v>
      </c>
    </row>
    <row r="128" spans="1:25" x14ac:dyDescent="0.25">
      <c r="A128" s="821">
        <v>44189</v>
      </c>
      <c r="B128" s="51" t="s">
        <v>105</v>
      </c>
      <c r="C128" s="51" t="s">
        <v>88</v>
      </c>
      <c r="D128" s="51">
        <v>38.069310000000002</v>
      </c>
      <c r="E128" s="51">
        <v>-121.78233</v>
      </c>
      <c r="F128" s="51" t="s">
        <v>250</v>
      </c>
      <c r="G128" s="51" t="s">
        <v>27</v>
      </c>
      <c r="H128" s="51" t="s">
        <v>25</v>
      </c>
      <c r="I128" s="66">
        <v>0.4152777777777778</v>
      </c>
      <c r="J128" s="51">
        <v>3569.75</v>
      </c>
      <c r="K128" s="51">
        <v>9.6999999999999993</v>
      </c>
      <c r="L128" s="51">
        <v>30.68</v>
      </c>
      <c r="M128" s="51">
        <v>0.44</v>
      </c>
      <c r="N128" s="51">
        <v>9.43</v>
      </c>
      <c r="O128" s="51" t="s">
        <v>48</v>
      </c>
      <c r="P128" s="51">
        <v>4</v>
      </c>
      <c r="Q128" s="51">
        <v>10</v>
      </c>
      <c r="R128" s="51" t="s">
        <v>64</v>
      </c>
      <c r="S128" s="51" t="s">
        <v>50</v>
      </c>
      <c r="T128" s="51" t="s">
        <v>50</v>
      </c>
      <c r="U128" s="51" t="s">
        <v>50</v>
      </c>
      <c r="V128" s="51" t="s">
        <v>50</v>
      </c>
      <c r="W128" s="51" t="s">
        <v>50</v>
      </c>
      <c r="X128" s="51" t="s">
        <v>50</v>
      </c>
    </row>
    <row r="129" spans="1:25" x14ac:dyDescent="0.25">
      <c r="A129" s="821">
        <v>44189</v>
      </c>
      <c r="B129" s="51" t="s">
        <v>105</v>
      </c>
      <c r="C129" s="51" t="s">
        <v>88</v>
      </c>
      <c r="D129" s="51">
        <v>38.055810000000001</v>
      </c>
      <c r="E129" s="51">
        <v>-121.80412</v>
      </c>
      <c r="F129" s="51" t="s">
        <v>251</v>
      </c>
      <c r="G129" s="51" t="s">
        <v>27</v>
      </c>
      <c r="H129" s="51" t="s">
        <v>25</v>
      </c>
      <c r="I129" s="66">
        <v>0.47152777777777777</v>
      </c>
      <c r="J129" s="51">
        <v>5036.25</v>
      </c>
      <c r="K129" s="51">
        <v>9.8699999999999992</v>
      </c>
      <c r="L129" s="51">
        <v>16.32</v>
      </c>
      <c r="M129" s="51">
        <v>0.72</v>
      </c>
      <c r="N129" s="51">
        <v>9.57</v>
      </c>
      <c r="O129" s="51" t="s">
        <v>48</v>
      </c>
      <c r="P129" s="51">
        <v>4</v>
      </c>
      <c r="Q129" s="51">
        <v>10</v>
      </c>
      <c r="R129" s="51" t="s">
        <v>64</v>
      </c>
      <c r="S129" s="51" t="s">
        <v>50</v>
      </c>
      <c r="T129" s="51" t="s">
        <v>50</v>
      </c>
      <c r="U129" s="51" t="s">
        <v>50</v>
      </c>
      <c r="V129" s="51" t="s">
        <v>50</v>
      </c>
      <c r="W129" s="51" t="s">
        <v>50</v>
      </c>
      <c r="X129" s="51" t="s">
        <v>50</v>
      </c>
    </row>
    <row r="130" spans="1:25" x14ac:dyDescent="0.25">
      <c r="A130" s="821">
        <v>44189</v>
      </c>
      <c r="B130" s="51" t="s">
        <v>105</v>
      </c>
      <c r="C130" s="51" t="s">
        <v>78</v>
      </c>
      <c r="D130" s="51">
        <v>38.05921</v>
      </c>
      <c r="E130" s="51">
        <v>-122.10159</v>
      </c>
      <c r="F130" s="51" t="s">
        <v>252</v>
      </c>
      <c r="G130" s="51" t="s">
        <v>80</v>
      </c>
      <c r="H130" s="51" t="s">
        <v>81</v>
      </c>
      <c r="I130" s="66">
        <v>0.40138888888888885</v>
      </c>
      <c r="J130" s="51">
        <v>27033</v>
      </c>
      <c r="K130" s="51">
        <v>10.62</v>
      </c>
      <c r="L130" s="51">
        <v>16.3</v>
      </c>
      <c r="M130" s="51">
        <v>0.77</v>
      </c>
      <c r="N130" s="51">
        <v>6.58</v>
      </c>
      <c r="O130" s="51" t="s">
        <v>48</v>
      </c>
      <c r="P130" s="51">
        <v>4</v>
      </c>
      <c r="Q130" s="51">
        <v>10</v>
      </c>
      <c r="R130" s="51" t="s">
        <v>64</v>
      </c>
      <c r="S130" s="51" t="s">
        <v>50</v>
      </c>
      <c r="T130" s="51" t="s">
        <v>50</v>
      </c>
      <c r="U130" s="51" t="s">
        <v>50</v>
      </c>
      <c r="V130" s="51" t="s">
        <v>50</v>
      </c>
      <c r="W130" s="51" t="s">
        <v>50</v>
      </c>
      <c r="X130" s="51" t="s">
        <v>50</v>
      </c>
    </row>
    <row r="131" spans="1:25" s="856" customFormat="1" x14ac:dyDescent="0.25">
      <c r="A131" s="855">
        <v>44189</v>
      </c>
      <c r="B131" s="450" t="s">
        <v>105</v>
      </c>
      <c r="C131" s="450" t="s">
        <v>78</v>
      </c>
      <c r="D131" s="450">
        <v>38.07452</v>
      </c>
      <c r="E131" s="450">
        <v>-122.02364</v>
      </c>
      <c r="F131" s="450" t="s">
        <v>253</v>
      </c>
      <c r="G131" s="450" t="s">
        <v>27</v>
      </c>
      <c r="H131" s="450" t="s">
        <v>86</v>
      </c>
      <c r="I131" s="451">
        <v>0.3430555555555555</v>
      </c>
      <c r="J131" s="450">
        <v>15214</v>
      </c>
      <c r="K131" s="450">
        <v>9.42</v>
      </c>
      <c r="L131" s="450">
        <v>15.35</v>
      </c>
      <c r="M131" s="450">
        <v>0.56999999999999995</v>
      </c>
      <c r="N131" s="450">
        <v>7.7</v>
      </c>
      <c r="O131" s="450" t="s">
        <v>48</v>
      </c>
      <c r="P131" s="450">
        <v>4</v>
      </c>
      <c r="Q131" s="450">
        <v>10</v>
      </c>
      <c r="R131" s="450" t="s">
        <v>64</v>
      </c>
      <c r="S131" s="858" t="s">
        <v>31</v>
      </c>
      <c r="T131" s="450">
        <v>1</v>
      </c>
      <c r="U131" s="859">
        <v>74</v>
      </c>
      <c r="V131" s="450" t="s">
        <v>66</v>
      </c>
      <c r="W131" s="450" t="s">
        <v>50</v>
      </c>
      <c r="X131" s="450" t="s">
        <v>228</v>
      </c>
      <c r="Y131" s="453"/>
    </row>
    <row r="132" spans="1:25" s="854" customFormat="1" x14ac:dyDescent="0.25">
      <c r="A132" s="853">
        <v>44189</v>
      </c>
      <c r="B132" s="74" t="s">
        <v>105</v>
      </c>
      <c r="C132" s="74" t="s">
        <v>62</v>
      </c>
      <c r="D132" s="74">
        <v>38.173450000000003</v>
      </c>
      <c r="E132" s="74">
        <v>-121.94772</v>
      </c>
      <c r="F132" s="74" t="s">
        <v>254</v>
      </c>
      <c r="G132" s="74" t="s">
        <v>27</v>
      </c>
      <c r="H132" s="74" t="s">
        <v>62</v>
      </c>
      <c r="I132" s="73">
        <v>0.48819444444444443</v>
      </c>
      <c r="J132" s="74">
        <v>6968.25</v>
      </c>
      <c r="K132" s="74">
        <v>9.33</v>
      </c>
      <c r="L132" s="74">
        <v>18.43</v>
      </c>
      <c r="M132" s="74">
        <v>0.59</v>
      </c>
      <c r="N132" s="74">
        <v>8.9499999999999993</v>
      </c>
      <c r="O132" s="74" t="s">
        <v>48</v>
      </c>
      <c r="P132" s="74">
        <v>4</v>
      </c>
      <c r="Q132" s="74">
        <v>10</v>
      </c>
      <c r="R132" s="74" t="s">
        <v>49</v>
      </c>
      <c r="S132" s="74" t="s">
        <v>50</v>
      </c>
      <c r="T132" s="74" t="s">
        <v>50</v>
      </c>
      <c r="U132" s="74" t="s">
        <v>50</v>
      </c>
      <c r="V132" s="74" t="s">
        <v>50</v>
      </c>
      <c r="W132" s="74" t="s">
        <v>50</v>
      </c>
      <c r="X132" s="74" t="s">
        <v>50</v>
      </c>
      <c r="Y132" s="77" t="s">
        <v>255</v>
      </c>
    </row>
    <row r="133" spans="1:25" x14ac:dyDescent="0.25">
      <c r="A133" s="821">
        <v>44193</v>
      </c>
      <c r="B133" s="51" t="s">
        <v>43</v>
      </c>
      <c r="C133" s="51" t="s">
        <v>217</v>
      </c>
      <c r="D133" s="51">
        <v>38.285710000000002</v>
      </c>
      <c r="E133" s="51">
        <v>-121.66513999999999</v>
      </c>
      <c r="F133" s="51" t="s">
        <v>256</v>
      </c>
      <c r="G133" s="51" t="s">
        <v>90</v>
      </c>
      <c r="H133" s="51" t="s">
        <v>126</v>
      </c>
      <c r="I133" s="66">
        <v>0.46597222222222223</v>
      </c>
      <c r="J133" s="51">
        <v>202.33</v>
      </c>
      <c r="K133" s="51">
        <v>9.0500000000000007</v>
      </c>
      <c r="L133" s="51">
        <v>7.04</v>
      </c>
      <c r="M133" s="51">
        <v>1.69</v>
      </c>
      <c r="N133" s="51">
        <v>7.28</v>
      </c>
      <c r="O133" s="51" t="s">
        <v>48</v>
      </c>
      <c r="P133" s="51">
        <v>4</v>
      </c>
      <c r="Q133" s="51">
        <v>10</v>
      </c>
      <c r="R133" s="51" t="s">
        <v>64</v>
      </c>
      <c r="S133" s="51" t="s">
        <v>50</v>
      </c>
      <c r="T133" s="51" t="s">
        <v>50</v>
      </c>
      <c r="U133" s="51" t="s">
        <v>50</v>
      </c>
      <c r="V133" s="51" t="s">
        <v>50</v>
      </c>
      <c r="W133" s="51" t="s">
        <v>50</v>
      </c>
      <c r="X133" s="51" t="s">
        <v>50</v>
      </c>
      <c r="Y133" s="52" t="s">
        <v>257</v>
      </c>
    </row>
    <row r="134" spans="1:25" x14ac:dyDescent="0.25">
      <c r="A134" s="821">
        <v>44193</v>
      </c>
      <c r="B134" s="51" t="s">
        <v>43</v>
      </c>
      <c r="C134" s="51" t="s">
        <v>217</v>
      </c>
      <c r="D134" s="51">
        <v>38.250309999999999</v>
      </c>
      <c r="E134" s="51">
        <v>-121.68762</v>
      </c>
      <c r="F134" s="51" t="s">
        <v>258</v>
      </c>
      <c r="G134" s="51" t="s">
        <v>90</v>
      </c>
      <c r="H134" s="51" t="s">
        <v>126</v>
      </c>
      <c r="I134" s="66">
        <v>0.39999999999999997</v>
      </c>
      <c r="J134" s="51">
        <v>195.83</v>
      </c>
      <c r="K134" s="51">
        <v>9.27</v>
      </c>
      <c r="L134" s="51">
        <v>7.42</v>
      </c>
      <c r="M134" s="51">
        <v>1.64</v>
      </c>
      <c r="N134" s="51">
        <v>9.5299999999999994</v>
      </c>
      <c r="O134" s="51" t="s">
        <v>48</v>
      </c>
      <c r="P134" s="51">
        <v>4</v>
      </c>
      <c r="Q134" s="51">
        <v>10</v>
      </c>
      <c r="R134" s="51" t="s">
        <v>49</v>
      </c>
      <c r="S134" s="51" t="s">
        <v>50</v>
      </c>
      <c r="T134" s="51" t="s">
        <v>50</v>
      </c>
      <c r="U134" s="51" t="s">
        <v>50</v>
      </c>
      <c r="V134" s="51" t="s">
        <v>50</v>
      </c>
      <c r="W134" s="51" t="s">
        <v>50</v>
      </c>
      <c r="X134" s="51" t="s">
        <v>50</v>
      </c>
      <c r="Y134" s="52" t="s">
        <v>259</v>
      </c>
    </row>
    <row r="135" spans="1:25" x14ac:dyDescent="0.25">
      <c r="A135" s="821">
        <v>44193</v>
      </c>
      <c r="B135" s="51" t="s">
        <v>43</v>
      </c>
      <c r="C135" s="51" t="s">
        <v>217</v>
      </c>
      <c r="D135" s="51">
        <v>38.30048</v>
      </c>
      <c r="E135" s="51">
        <v>-121.72965000000001</v>
      </c>
      <c r="F135" s="51" t="s">
        <v>260</v>
      </c>
      <c r="G135" s="51" t="s">
        <v>90</v>
      </c>
      <c r="H135" s="51" t="s">
        <v>126</v>
      </c>
      <c r="I135" s="66">
        <v>0.3444444444444445</v>
      </c>
      <c r="J135" s="51">
        <v>435.5</v>
      </c>
      <c r="K135" s="51">
        <v>8.5299999999999994</v>
      </c>
      <c r="L135" s="51">
        <v>4.26</v>
      </c>
      <c r="M135" s="51">
        <v>1.71</v>
      </c>
      <c r="N135" s="51">
        <v>5.08</v>
      </c>
      <c r="O135" s="51" t="s">
        <v>48</v>
      </c>
      <c r="P135" s="51">
        <v>3</v>
      </c>
      <c r="Q135" s="51">
        <v>10</v>
      </c>
      <c r="R135" s="51" t="s">
        <v>49</v>
      </c>
      <c r="S135" s="51" t="s">
        <v>50</v>
      </c>
      <c r="T135" s="51" t="s">
        <v>50</v>
      </c>
      <c r="U135" s="51" t="s">
        <v>50</v>
      </c>
      <c r="V135" s="51" t="s">
        <v>50</v>
      </c>
      <c r="W135" s="51" t="s">
        <v>50</v>
      </c>
      <c r="X135" s="51" t="s">
        <v>50</v>
      </c>
      <c r="Y135" s="52" t="s">
        <v>261</v>
      </c>
    </row>
    <row r="136" spans="1:25" x14ac:dyDescent="0.25">
      <c r="A136" s="821">
        <v>44193</v>
      </c>
      <c r="B136" s="51" t="s">
        <v>43</v>
      </c>
      <c r="C136" s="51" t="s">
        <v>62</v>
      </c>
      <c r="D136" s="51">
        <v>38.192450000000001</v>
      </c>
      <c r="E136" s="51">
        <v>-121.92966</v>
      </c>
      <c r="F136" s="51" t="s">
        <v>262</v>
      </c>
      <c r="G136" s="51" t="s">
        <v>27</v>
      </c>
      <c r="H136" s="51" t="s">
        <v>62</v>
      </c>
      <c r="I136" s="66">
        <v>0.3833333333333333</v>
      </c>
      <c r="J136" s="51">
        <v>4665.5</v>
      </c>
      <c r="K136" s="51">
        <v>8.98</v>
      </c>
      <c r="L136" s="51" t="s">
        <v>50</v>
      </c>
      <c r="M136" s="51">
        <v>0.55000000000000004</v>
      </c>
      <c r="N136" s="51">
        <v>5.8</v>
      </c>
      <c r="O136" s="51" t="s">
        <v>48</v>
      </c>
      <c r="P136" s="51">
        <v>4</v>
      </c>
      <c r="Q136" s="51">
        <v>10</v>
      </c>
      <c r="R136" s="51" t="s">
        <v>64</v>
      </c>
      <c r="S136" s="51" t="s">
        <v>50</v>
      </c>
      <c r="T136" s="51" t="s">
        <v>50</v>
      </c>
      <c r="U136" s="51" t="s">
        <v>50</v>
      </c>
      <c r="V136" s="51" t="s">
        <v>50</v>
      </c>
      <c r="W136" s="51" t="s">
        <v>50</v>
      </c>
      <c r="X136" s="51" t="s">
        <v>50</v>
      </c>
      <c r="Y136" s="52" t="s">
        <v>263</v>
      </c>
    </row>
    <row r="137" spans="1:25" s="856" customFormat="1" x14ac:dyDescent="0.25">
      <c r="A137" s="855">
        <v>44193</v>
      </c>
      <c r="B137" s="450" t="s">
        <v>43</v>
      </c>
      <c r="C137" s="450" t="s">
        <v>62</v>
      </c>
      <c r="D137" s="450">
        <v>38.190809999999999</v>
      </c>
      <c r="E137" s="450">
        <v>-122.03812000000001</v>
      </c>
      <c r="F137" s="450" t="s">
        <v>264</v>
      </c>
      <c r="G137" s="450" t="s">
        <v>27</v>
      </c>
      <c r="H137" s="450" t="s">
        <v>62</v>
      </c>
      <c r="I137" s="451">
        <v>0.4680555555555555</v>
      </c>
      <c r="J137" s="450">
        <v>11235</v>
      </c>
      <c r="K137" s="450">
        <v>9.58</v>
      </c>
      <c r="L137" s="450" t="s">
        <v>50</v>
      </c>
      <c r="M137" s="450">
        <v>0.28999999999999998</v>
      </c>
      <c r="N137" s="450">
        <v>9.32</v>
      </c>
      <c r="O137" s="450" t="s">
        <v>48</v>
      </c>
      <c r="P137" s="450">
        <v>4</v>
      </c>
      <c r="Q137" s="450">
        <v>10</v>
      </c>
      <c r="R137" s="450" t="s">
        <v>64</v>
      </c>
      <c r="S137" s="858" t="s">
        <v>31</v>
      </c>
      <c r="T137" s="450">
        <v>16</v>
      </c>
      <c r="U137" s="450" t="s">
        <v>265</v>
      </c>
      <c r="V137" s="450" t="s">
        <v>66</v>
      </c>
      <c r="W137" s="450" t="s">
        <v>50</v>
      </c>
      <c r="X137" s="450" t="s">
        <v>228</v>
      </c>
      <c r="Y137" s="453" t="s">
        <v>266</v>
      </c>
    </row>
    <row r="138" spans="1:25" x14ac:dyDescent="0.25">
      <c r="A138" s="821">
        <v>44193</v>
      </c>
      <c r="B138" s="51" t="s">
        <v>43</v>
      </c>
      <c r="C138" s="51" t="s">
        <v>62</v>
      </c>
      <c r="D138" s="51">
        <v>38.161189999999998</v>
      </c>
      <c r="E138" s="51">
        <v>-122.04765</v>
      </c>
      <c r="F138" s="51" t="s">
        <v>267</v>
      </c>
      <c r="G138" s="51" t="s">
        <v>27</v>
      </c>
      <c r="H138" s="51" t="s">
        <v>62</v>
      </c>
      <c r="I138" s="66">
        <v>0.53333333333333333</v>
      </c>
      <c r="J138" s="51">
        <v>15297.5</v>
      </c>
      <c r="K138" s="51">
        <v>9.8000000000000007</v>
      </c>
      <c r="L138" s="51" t="s">
        <v>50</v>
      </c>
      <c r="M138" s="51">
        <v>0.52</v>
      </c>
      <c r="N138" s="51">
        <v>7.6</v>
      </c>
      <c r="O138" s="51" t="s">
        <v>48</v>
      </c>
      <c r="P138" s="51">
        <v>4</v>
      </c>
      <c r="Q138" s="51">
        <v>10</v>
      </c>
      <c r="R138" s="51" t="s">
        <v>49</v>
      </c>
      <c r="S138" s="51" t="s">
        <v>50</v>
      </c>
      <c r="T138" s="51" t="s">
        <v>50</v>
      </c>
      <c r="U138" s="51" t="s">
        <v>50</v>
      </c>
      <c r="V138" s="51" t="s">
        <v>50</v>
      </c>
      <c r="W138" s="51" t="s">
        <v>50</v>
      </c>
      <c r="X138" s="51" t="s">
        <v>50</v>
      </c>
      <c r="Y138" s="327" t="s">
        <v>268</v>
      </c>
    </row>
    <row r="139" spans="1:25" x14ac:dyDescent="0.25">
      <c r="A139" s="711">
        <v>44194</v>
      </c>
      <c r="B139" s="37" t="s">
        <v>70</v>
      </c>
      <c r="C139" s="51" t="s">
        <v>177</v>
      </c>
      <c r="D139" s="37">
        <v>38.429400000000001</v>
      </c>
      <c r="E139" s="37">
        <v>-121.60339</v>
      </c>
      <c r="F139" s="37" t="s">
        <v>269</v>
      </c>
      <c r="G139" s="37" t="s">
        <v>90</v>
      </c>
      <c r="H139" s="97" t="s">
        <v>108</v>
      </c>
      <c r="I139" s="837">
        <v>0.40763888888888888</v>
      </c>
      <c r="J139" s="37">
        <v>543.75</v>
      </c>
      <c r="K139" s="37">
        <v>9.1999999999999993</v>
      </c>
      <c r="L139" s="37">
        <v>1.63</v>
      </c>
      <c r="M139" s="37">
        <v>0.2</v>
      </c>
      <c r="N139" s="37">
        <v>7.8</v>
      </c>
      <c r="O139" s="37" t="s">
        <v>48</v>
      </c>
      <c r="P139" s="37">
        <v>4</v>
      </c>
      <c r="Q139" s="37">
        <v>10</v>
      </c>
      <c r="R139" s="37" t="s">
        <v>49</v>
      </c>
      <c r="S139" s="51" t="s">
        <v>50</v>
      </c>
      <c r="T139" s="51" t="s">
        <v>50</v>
      </c>
      <c r="U139" s="51" t="s">
        <v>50</v>
      </c>
      <c r="V139" s="51" t="s">
        <v>50</v>
      </c>
      <c r="W139" s="51" t="s">
        <v>50</v>
      </c>
      <c r="X139" s="51" t="s">
        <v>50</v>
      </c>
      <c r="Y139" s="52" t="s">
        <v>270</v>
      </c>
    </row>
    <row r="140" spans="1:25" x14ac:dyDescent="0.25">
      <c r="A140" s="711">
        <v>44194</v>
      </c>
      <c r="B140" s="37" t="s">
        <v>70</v>
      </c>
      <c r="C140" s="51" t="s">
        <v>177</v>
      </c>
      <c r="D140" s="37">
        <v>38.313699999999997</v>
      </c>
      <c r="E140" s="37">
        <v>-121.65194</v>
      </c>
      <c r="F140" s="37" t="s">
        <v>271</v>
      </c>
      <c r="G140" s="37" t="s">
        <v>90</v>
      </c>
      <c r="H140" s="97" t="s">
        <v>108</v>
      </c>
      <c r="I140" s="837">
        <v>0.33263888888888887</v>
      </c>
      <c r="J140" s="37">
        <v>254.33</v>
      </c>
      <c r="K140" s="37">
        <v>9.1999999999999993</v>
      </c>
      <c r="L140" s="37">
        <v>46.08</v>
      </c>
      <c r="M140" s="37">
        <v>0.31</v>
      </c>
      <c r="N140" s="37">
        <v>11.12</v>
      </c>
      <c r="O140" s="37" t="s">
        <v>48</v>
      </c>
      <c r="P140" s="37">
        <v>4</v>
      </c>
      <c r="Q140" s="37">
        <v>10</v>
      </c>
      <c r="R140" s="37" t="s">
        <v>49</v>
      </c>
      <c r="S140" s="51" t="s">
        <v>50</v>
      </c>
      <c r="T140" s="51" t="s">
        <v>50</v>
      </c>
      <c r="U140" s="51" t="s">
        <v>50</v>
      </c>
      <c r="V140" s="51" t="s">
        <v>50</v>
      </c>
      <c r="W140" s="51" t="s">
        <v>50</v>
      </c>
      <c r="X140" s="51" t="s">
        <v>50</v>
      </c>
      <c r="Y140" s="52" t="s">
        <v>272</v>
      </c>
    </row>
    <row r="141" spans="1:25" x14ac:dyDescent="0.25">
      <c r="A141" s="711">
        <v>44194</v>
      </c>
      <c r="B141" s="37" t="s">
        <v>70</v>
      </c>
      <c r="C141" s="51" t="s">
        <v>177</v>
      </c>
      <c r="D141" s="37">
        <v>38.326459999999997</v>
      </c>
      <c r="E141" s="37">
        <v>-121.64928999999999</v>
      </c>
      <c r="F141" s="37" t="s">
        <v>273</v>
      </c>
      <c r="G141" s="37" t="s">
        <v>90</v>
      </c>
      <c r="H141" s="97" t="s">
        <v>108</v>
      </c>
      <c r="I141" s="837">
        <v>0.4770833333333333</v>
      </c>
      <c r="J141" s="37">
        <v>278.52999999999997</v>
      </c>
      <c r="K141" s="37">
        <v>9.35</v>
      </c>
      <c r="L141" s="37">
        <v>56.7</v>
      </c>
      <c r="M141" s="37">
        <v>0.26</v>
      </c>
      <c r="N141" s="37">
        <v>11.12</v>
      </c>
      <c r="O141" s="37" t="s">
        <v>48</v>
      </c>
      <c r="P141" s="37">
        <v>4</v>
      </c>
      <c r="Q141" s="37">
        <v>10</v>
      </c>
      <c r="R141" s="37" t="s">
        <v>64</v>
      </c>
      <c r="S141" s="51" t="s">
        <v>50</v>
      </c>
      <c r="T141" s="51" t="s">
        <v>50</v>
      </c>
      <c r="U141" s="51" t="s">
        <v>50</v>
      </c>
      <c r="V141" s="51" t="s">
        <v>50</v>
      </c>
      <c r="W141" s="51" t="s">
        <v>50</v>
      </c>
      <c r="X141" s="51" t="s">
        <v>50</v>
      </c>
      <c r="Y141" s="52" t="s">
        <v>274</v>
      </c>
    </row>
    <row r="142" spans="1:25" x14ac:dyDescent="0.25">
      <c r="A142" s="711">
        <v>44194</v>
      </c>
      <c r="B142" s="37" t="s">
        <v>70</v>
      </c>
      <c r="C142" s="37" t="s">
        <v>78</v>
      </c>
      <c r="D142" s="37">
        <v>38.068890000000003</v>
      </c>
      <c r="E142" s="37">
        <v>-122.08981</v>
      </c>
      <c r="F142" s="37" t="s">
        <v>275</v>
      </c>
      <c r="G142" s="37" t="s">
        <v>80</v>
      </c>
      <c r="H142" s="37" t="s">
        <v>81</v>
      </c>
      <c r="I142" s="837">
        <v>0.41805555555555557</v>
      </c>
      <c r="J142" s="37">
        <v>22409.33</v>
      </c>
      <c r="K142" s="37">
        <v>9.8000000000000007</v>
      </c>
      <c r="L142" s="37">
        <v>16.27</v>
      </c>
      <c r="M142" s="37">
        <v>0.53</v>
      </c>
      <c r="N142" s="37">
        <v>3.87</v>
      </c>
      <c r="O142" s="37" t="s">
        <v>48</v>
      </c>
      <c r="P142" s="37">
        <v>3</v>
      </c>
      <c r="Q142" s="37">
        <v>10</v>
      </c>
      <c r="R142" s="37" t="s">
        <v>64</v>
      </c>
      <c r="S142" s="51" t="s">
        <v>50</v>
      </c>
      <c r="T142" s="51" t="s">
        <v>50</v>
      </c>
      <c r="U142" s="51" t="s">
        <v>50</v>
      </c>
      <c r="V142" s="51" t="s">
        <v>50</v>
      </c>
      <c r="W142" s="51" t="s">
        <v>50</v>
      </c>
      <c r="X142" s="51" t="s">
        <v>50</v>
      </c>
      <c r="Y142" s="52" t="s">
        <v>276</v>
      </c>
    </row>
    <row r="143" spans="1:25" x14ac:dyDescent="0.25">
      <c r="A143" s="711">
        <v>44194</v>
      </c>
      <c r="B143" s="37" t="s">
        <v>70</v>
      </c>
      <c r="C143" s="37" t="s">
        <v>78</v>
      </c>
      <c r="D143" s="37">
        <v>38.060609999999997</v>
      </c>
      <c r="E143" s="37">
        <v>-121.85368</v>
      </c>
      <c r="F143" s="37" t="s">
        <v>277</v>
      </c>
      <c r="G143" s="37" t="s">
        <v>27</v>
      </c>
      <c r="H143" s="37" t="s">
        <v>101</v>
      </c>
      <c r="I143" s="837">
        <v>0.50486111111111109</v>
      </c>
      <c r="J143" s="37">
        <v>11565.25</v>
      </c>
      <c r="K143" s="37">
        <v>10</v>
      </c>
      <c r="L143" s="37">
        <v>17.850000000000001</v>
      </c>
      <c r="M143" s="37">
        <v>0.66</v>
      </c>
      <c r="N143" s="37">
        <v>10.07</v>
      </c>
      <c r="O143" s="37" t="s">
        <v>48</v>
      </c>
      <c r="P143" s="37">
        <v>4</v>
      </c>
      <c r="Q143" s="37">
        <v>10</v>
      </c>
      <c r="R143" s="37" t="s">
        <v>64</v>
      </c>
      <c r="S143" s="51" t="s">
        <v>50</v>
      </c>
      <c r="T143" s="51" t="s">
        <v>50</v>
      </c>
      <c r="U143" s="51" t="s">
        <v>50</v>
      </c>
      <c r="V143" s="51" t="s">
        <v>50</v>
      </c>
      <c r="W143" s="51" t="s">
        <v>50</v>
      </c>
      <c r="X143" s="51" t="s">
        <v>50</v>
      </c>
    </row>
    <row r="144" spans="1:25" x14ac:dyDescent="0.25">
      <c r="A144" s="711">
        <v>44194</v>
      </c>
      <c r="B144" s="37" t="s">
        <v>70</v>
      </c>
      <c r="C144" s="37" t="s">
        <v>78</v>
      </c>
      <c r="D144" s="37">
        <v>38.094340000000003</v>
      </c>
      <c r="E144" s="37">
        <v>-122.04155</v>
      </c>
      <c r="F144" s="37" t="s">
        <v>278</v>
      </c>
      <c r="G144" s="37" t="s">
        <v>27</v>
      </c>
      <c r="H144" s="37" t="s">
        <v>86</v>
      </c>
      <c r="I144" s="837">
        <v>0.35138888888888892</v>
      </c>
      <c r="J144" s="37">
        <v>20159.75</v>
      </c>
      <c r="K144" s="37">
        <v>11.72</v>
      </c>
      <c r="L144" s="37">
        <v>18.149999999999999</v>
      </c>
      <c r="M144" s="37">
        <v>0.49</v>
      </c>
      <c r="N144" s="37">
        <v>6.25</v>
      </c>
      <c r="O144" s="37" t="s">
        <v>48</v>
      </c>
      <c r="P144" s="37">
        <v>4</v>
      </c>
      <c r="Q144" s="37">
        <v>10</v>
      </c>
      <c r="R144" s="37" t="s">
        <v>49</v>
      </c>
      <c r="S144" s="51" t="s">
        <v>50</v>
      </c>
      <c r="T144" s="51" t="s">
        <v>50</v>
      </c>
      <c r="U144" s="51" t="s">
        <v>50</v>
      </c>
      <c r="V144" s="51" t="s">
        <v>50</v>
      </c>
      <c r="W144" s="51" t="s">
        <v>50</v>
      </c>
      <c r="X144" s="51" t="s">
        <v>50</v>
      </c>
      <c r="Y144" s="52" t="s">
        <v>279</v>
      </c>
    </row>
    <row r="145" spans="1:25" x14ac:dyDescent="0.25">
      <c r="A145" s="711">
        <v>44195</v>
      </c>
      <c r="B145" s="37" t="s">
        <v>87</v>
      </c>
      <c r="C145" s="37" t="s">
        <v>44</v>
      </c>
      <c r="D145" s="37">
        <v>38.034739999999999</v>
      </c>
      <c r="E145" s="37">
        <v>-121.57088</v>
      </c>
      <c r="F145" s="37" t="s">
        <v>280</v>
      </c>
      <c r="G145" s="37" t="s">
        <v>46</v>
      </c>
      <c r="H145" s="37" t="s">
        <v>74</v>
      </c>
      <c r="I145" s="712">
        <v>0.50208333333333333</v>
      </c>
      <c r="J145" s="37">
        <v>598</v>
      </c>
      <c r="K145" s="37">
        <v>9.1999999999999993</v>
      </c>
      <c r="L145" s="37">
        <v>4.26</v>
      </c>
      <c r="M145" s="37">
        <v>1.8</v>
      </c>
      <c r="N145" s="37">
        <v>6.2</v>
      </c>
      <c r="O145" s="37" t="s">
        <v>48</v>
      </c>
      <c r="P145" s="37">
        <v>4</v>
      </c>
      <c r="Q145" s="37">
        <v>10</v>
      </c>
      <c r="R145" s="37" t="s">
        <v>64</v>
      </c>
      <c r="S145" s="51" t="s">
        <v>50</v>
      </c>
      <c r="T145" s="51" t="s">
        <v>50</v>
      </c>
      <c r="U145" s="51" t="s">
        <v>50</v>
      </c>
      <c r="V145" s="51" t="s">
        <v>50</v>
      </c>
      <c r="W145" s="51" t="s">
        <v>50</v>
      </c>
      <c r="X145" s="51" t="s">
        <v>50</v>
      </c>
    </row>
    <row r="146" spans="1:25" x14ac:dyDescent="0.25">
      <c r="A146" s="711">
        <v>44195</v>
      </c>
      <c r="B146" s="37" t="s">
        <v>87</v>
      </c>
      <c r="C146" s="37" t="s">
        <v>44</v>
      </c>
      <c r="D146" s="37">
        <v>37.971440000000001</v>
      </c>
      <c r="E146" s="37">
        <v>-121.49518</v>
      </c>
      <c r="F146" s="37" t="s">
        <v>281</v>
      </c>
      <c r="G146" s="37" t="s">
        <v>46</v>
      </c>
      <c r="H146" s="37" t="s">
        <v>59</v>
      </c>
      <c r="I146" s="712">
        <v>0.3298611111111111</v>
      </c>
      <c r="J146" s="37">
        <v>541.75</v>
      </c>
      <c r="K146" s="37">
        <v>9.25</v>
      </c>
      <c r="L146" s="37">
        <v>3.02</v>
      </c>
      <c r="M146" s="37">
        <v>1.8</v>
      </c>
      <c r="N146" s="37">
        <v>6.22</v>
      </c>
      <c r="O146" s="37" t="s">
        <v>48</v>
      </c>
      <c r="P146" s="37">
        <v>4</v>
      </c>
      <c r="Q146" s="37">
        <v>10</v>
      </c>
      <c r="R146" s="37" t="s">
        <v>49</v>
      </c>
      <c r="S146" s="51" t="s">
        <v>50</v>
      </c>
      <c r="T146" s="51" t="s">
        <v>50</v>
      </c>
      <c r="U146" s="51" t="s">
        <v>50</v>
      </c>
      <c r="V146" s="51" t="s">
        <v>50</v>
      </c>
      <c r="W146" s="51" t="s">
        <v>50</v>
      </c>
      <c r="X146" s="51" t="s">
        <v>50</v>
      </c>
    </row>
    <row r="147" spans="1:25" x14ac:dyDescent="0.25">
      <c r="A147" s="711">
        <v>44195</v>
      </c>
      <c r="B147" s="37" t="s">
        <v>87</v>
      </c>
      <c r="C147" s="37" t="s">
        <v>44</v>
      </c>
      <c r="D147" s="37">
        <v>38.00506</v>
      </c>
      <c r="E147" s="37">
        <v>-121.5476</v>
      </c>
      <c r="F147" s="37" t="s">
        <v>282</v>
      </c>
      <c r="G147" s="37" t="s">
        <v>46</v>
      </c>
      <c r="H147" s="37" t="s">
        <v>59</v>
      </c>
      <c r="I147" s="712">
        <v>0.44375000000000003</v>
      </c>
      <c r="J147" s="37">
        <v>530</v>
      </c>
      <c r="K147" s="37">
        <v>9.1999999999999993</v>
      </c>
      <c r="L147" s="37">
        <v>4.3099999999999996</v>
      </c>
      <c r="M147" s="37">
        <v>1.8</v>
      </c>
      <c r="N147" s="37">
        <v>5.65</v>
      </c>
      <c r="O147" s="37" t="s">
        <v>48</v>
      </c>
      <c r="P147" s="37">
        <v>4</v>
      </c>
      <c r="Q147" s="37">
        <v>10</v>
      </c>
      <c r="R147" s="37" t="s">
        <v>49</v>
      </c>
      <c r="S147" s="51" t="s">
        <v>50</v>
      </c>
      <c r="T147" s="51" t="s">
        <v>50</v>
      </c>
      <c r="U147" s="51" t="s">
        <v>50</v>
      </c>
      <c r="V147" s="51" t="s">
        <v>50</v>
      </c>
      <c r="W147" s="51" t="s">
        <v>50</v>
      </c>
      <c r="X147" s="51" t="s">
        <v>50</v>
      </c>
    </row>
    <row r="148" spans="1:25" x14ac:dyDescent="0.25">
      <c r="A148" s="711">
        <v>44195</v>
      </c>
      <c r="B148" s="37" t="s">
        <v>87</v>
      </c>
      <c r="C148" s="37" t="s">
        <v>44</v>
      </c>
      <c r="D148" s="37">
        <v>37.97307</v>
      </c>
      <c r="E148" s="37">
        <v>-121.5757</v>
      </c>
      <c r="F148" s="37" t="s">
        <v>283</v>
      </c>
      <c r="G148" s="37" t="s">
        <v>46</v>
      </c>
      <c r="H148" s="37" t="s">
        <v>199</v>
      </c>
      <c r="I148" s="712">
        <v>0.3888888888888889</v>
      </c>
      <c r="J148" s="37">
        <v>673</v>
      </c>
      <c r="K148" s="37">
        <v>9</v>
      </c>
      <c r="L148" s="37">
        <v>3</v>
      </c>
      <c r="M148" s="37">
        <v>1.8</v>
      </c>
      <c r="N148" s="37">
        <v>6.6</v>
      </c>
      <c r="O148" s="37" t="s">
        <v>48</v>
      </c>
      <c r="P148" s="37">
        <v>4</v>
      </c>
      <c r="Q148" s="37">
        <v>10</v>
      </c>
      <c r="R148" s="37" t="s">
        <v>49</v>
      </c>
      <c r="S148" s="51" t="s">
        <v>50</v>
      </c>
      <c r="T148" s="51" t="s">
        <v>50</v>
      </c>
      <c r="U148" s="51" t="s">
        <v>50</v>
      </c>
      <c r="V148" s="51" t="s">
        <v>50</v>
      </c>
      <c r="W148" s="51" t="s">
        <v>50</v>
      </c>
      <c r="X148" s="51" t="s">
        <v>50</v>
      </c>
    </row>
    <row r="149" spans="1:25" x14ac:dyDescent="0.25">
      <c r="A149" s="711">
        <v>44195</v>
      </c>
      <c r="B149" s="37" t="s">
        <v>87</v>
      </c>
      <c r="C149" s="37" t="s">
        <v>118</v>
      </c>
      <c r="D149" s="37">
        <v>38.043770000000002</v>
      </c>
      <c r="E149" s="37">
        <v>-122.30312000000001</v>
      </c>
      <c r="F149" s="37" t="s">
        <v>284</v>
      </c>
      <c r="G149" s="37" t="s">
        <v>80</v>
      </c>
      <c r="H149" s="37" t="s">
        <v>123</v>
      </c>
      <c r="I149" s="712">
        <v>0.3666666666666667</v>
      </c>
      <c r="J149" s="37">
        <v>32352.25</v>
      </c>
      <c r="K149" s="37">
        <v>10.28</v>
      </c>
      <c r="L149" s="37">
        <v>7.92</v>
      </c>
      <c r="M149" s="37">
        <v>1.37</v>
      </c>
      <c r="N149" s="37">
        <v>9.57</v>
      </c>
      <c r="O149" s="37" t="s">
        <v>48</v>
      </c>
      <c r="P149" s="37">
        <v>4</v>
      </c>
      <c r="Q149" s="37">
        <v>10</v>
      </c>
      <c r="R149" s="37" t="s">
        <v>64</v>
      </c>
      <c r="S149" s="51" t="s">
        <v>50</v>
      </c>
      <c r="T149" s="51" t="s">
        <v>50</v>
      </c>
      <c r="U149" s="51" t="s">
        <v>50</v>
      </c>
      <c r="V149" s="51" t="s">
        <v>50</v>
      </c>
      <c r="W149" s="51" t="s">
        <v>50</v>
      </c>
      <c r="X149" s="51" t="s">
        <v>50</v>
      </c>
    </row>
    <row r="150" spans="1:25" x14ac:dyDescent="0.25">
      <c r="A150" s="711">
        <v>44195</v>
      </c>
      <c r="B150" s="37" t="s">
        <v>87</v>
      </c>
      <c r="C150" s="37" t="s">
        <v>118</v>
      </c>
      <c r="D150" s="37">
        <v>38.058210000000003</v>
      </c>
      <c r="E150" s="37">
        <v>-122.27422</v>
      </c>
      <c r="F150" s="37" t="s">
        <v>285</v>
      </c>
      <c r="G150" s="37" t="s">
        <v>80</v>
      </c>
      <c r="H150" s="37" t="s">
        <v>123</v>
      </c>
      <c r="I150" s="712">
        <v>0.42708333333333331</v>
      </c>
      <c r="J150" s="37">
        <v>27365.25</v>
      </c>
      <c r="K150" s="37">
        <v>10.33</v>
      </c>
      <c r="L150" s="37">
        <v>6.87</v>
      </c>
      <c r="M150" s="37">
        <v>1.36</v>
      </c>
      <c r="N150" s="37">
        <v>21.82</v>
      </c>
      <c r="O150" s="37" t="s">
        <v>48</v>
      </c>
      <c r="P150" s="37">
        <v>4</v>
      </c>
      <c r="Q150" s="37">
        <v>10</v>
      </c>
      <c r="R150" s="37" t="s">
        <v>64</v>
      </c>
      <c r="S150" s="51" t="s">
        <v>50</v>
      </c>
      <c r="T150" s="51" t="s">
        <v>50</v>
      </c>
      <c r="U150" s="51" t="s">
        <v>50</v>
      </c>
      <c r="V150" s="51" t="s">
        <v>50</v>
      </c>
      <c r="W150" s="51" t="s">
        <v>50</v>
      </c>
      <c r="X150" s="51" t="s">
        <v>50</v>
      </c>
      <c r="Y150" s="52" t="s">
        <v>124</v>
      </c>
    </row>
    <row r="151" spans="1:25" x14ac:dyDescent="0.25">
      <c r="A151" s="711">
        <v>44195</v>
      </c>
      <c r="B151" s="37" t="s">
        <v>87</v>
      </c>
      <c r="C151" s="37" t="s">
        <v>118</v>
      </c>
      <c r="D151" s="37">
        <v>38.147689999999997</v>
      </c>
      <c r="E151" s="37">
        <v>-122.28883</v>
      </c>
      <c r="F151" s="37" t="s">
        <v>286</v>
      </c>
      <c r="G151" s="37" t="s">
        <v>80</v>
      </c>
      <c r="H151" s="37" t="s">
        <v>191</v>
      </c>
      <c r="I151" s="712">
        <v>0.51180555555555551</v>
      </c>
      <c r="J151" s="37">
        <v>28236.75</v>
      </c>
      <c r="K151" s="37">
        <v>10.53</v>
      </c>
      <c r="L151" s="37">
        <v>19.829999999999998</v>
      </c>
      <c r="M151" s="37">
        <v>0.6</v>
      </c>
      <c r="N151" s="37">
        <v>8.0299999999999994</v>
      </c>
      <c r="O151" s="37" t="s">
        <v>48</v>
      </c>
      <c r="P151" s="37">
        <v>4</v>
      </c>
      <c r="Q151" s="37">
        <v>10</v>
      </c>
      <c r="R151" s="37" t="s">
        <v>64</v>
      </c>
      <c r="S151" s="51" t="s">
        <v>50</v>
      </c>
      <c r="T151" s="51" t="s">
        <v>50</v>
      </c>
      <c r="U151" s="51" t="s">
        <v>50</v>
      </c>
      <c r="V151" s="51" t="s">
        <v>50</v>
      </c>
      <c r="W151" s="51" t="s">
        <v>50</v>
      </c>
      <c r="X151" s="51" t="s">
        <v>50</v>
      </c>
    </row>
    <row r="152" spans="1:25" x14ac:dyDescent="0.25">
      <c r="A152" s="711">
        <v>44196</v>
      </c>
      <c r="B152" s="37" t="s">
        <v>105</v>
      </c>
      <c r="C152" s="37" t="s">
        <v>88</v>
      </c>
      <c r="D152" s="37">
        <v>38.109679999999997</v>
      </c>
      <c r="E152" s="37">
        <v>-121.71346</v>
      </c>
      <c r="F152" s="37" t="s">
        <v>287</v>
      </c>
      <c r="G152" s="37" t="s">
        <v>90</v>
      </c>
      <c r="H152" s="37" t="s">
        <v>91</v>
      </c>
      <c r="I152" s="712">
        <v>0.4291666666666667</v>
      </c>
      <c r="J152" s="37">
        <v>1080</v>
      </c>
      <c r="K152" s="37">
        <v>9.4</v>
      </c>
      <c r="L152" s="37">
        <v>10.26</v>
      </c>
      <c r="M152" s="37">
        <v>1.05</v>
      </c>
      <c r="N152" s="37">
        <v>7.85</v>
      </c>
      <c r="O152" s="37" t="s">
        <v>48</v>
      </c>
      <c r="P152" s="37">
        <v>4</v>
      </c>
      <c r="Q152" s="37">
        <v>10</v>
      </c>
      <c r="R152" s="37" t="s">
        <v>49</v>
      </c>
      <c r="S152" s="51" t="s">
        <v>50</v>
      </c>
      <c r="T152" s="51" t="s">
        <v>50</v>
      </c>
      <c r="U152" s="51" t="s">
        <v>50</v>
      </c>
      <c r="V152" s="51" t="s">
        <v>50</v>
      </c>
      <c r="W152" s="51" t="s">
        <v>50</v>
      </c>
      <c r="X152" s="51" t="s">
        <v>50</v>
      </c>
    </row>
    <row r="153" spans="1:25" x14ac:dyDescent="0.25">
      <c r="A153" s="711">
        <v>44196</v>
      </c>
      <c r="B153" s="37" t="s">
        <v>105</v>
      </c>
      <c r="C153" s="37" t="s">
        <v>88</v>
      </c>
      <c r="D153" s="37">
        <v>38.088729999999998</v>
      </c>
      <c r="E153" s="37">
        <v>-121.73316</v>
      </c>
      <c r="F153" s="37" t="s">
        <v>288</v>
      </c>
      <c r="G153" s="37" t="s">
        <v>90</v>
      </c>
      <c r="H153" s="37" t="s">
        <v>91</v>
      </c>
      <c r="I153" s="712">
        <v>0.37916666666666665</v>
      </c>
      <c r="J153" s="37">
        <v>2620</v>
      </c>
      <c r="K153" s="37">
        <v>9.4700000000000006</v>
      </c>
      <c r="L153" s="37">
        <v>12.23</v>
      </c>
      <c r="M153" s="37">
        <v>0.9</v>
      </c>
      <c r="N153" s="37">
        <v>6.2</v>
      </c>
      <c r="O153" s="37" t="s">
        <v>48</v>
      </c>
      <c r="P153" s="37">
        <v>4</v>
      </c>
      <c r="Q153" s="37">
        <v>10</v>
      </c>
      <c r="R153" s="37" t="s">
        <v>49</v>
      </c>
      <c r="S153" s="51" t="s">
        <v>50</v>
      </c>
      <c r="T153" s="51" t="s">
        <v>50</v>
      </c>
      <c r="U153" s="51" t="s">
        <v>50</v>
      </c>
      <c r="V153" s="51" t="s">
        <v>50</v>
      </c>
      <c r="W153" s="51" t="s">
        <v>50</v>
      </c>
      <c r="X153" s="51" t="s">
        <v>50</v>
      </c>
    </row>
    <row r="154" spans="1:25" x14ac:dyDescent="0.25">
      <c r="A154" s="711">
        <v>44196</v>
      </c>
      <c r="B154" s="37" t="s">
        <v>105</v>
      </c>
      <c r="C154" s="37" t="s">
        <v>88</v>
      </c>
      <c r="D154" s="37">
        <v>38.057160000000003</v>
      </c>
      <c r="E154" s="37">
        <v>-121.8105</v>
      </c>
      <c r="F154" s="37" t="s">
        <v>289</v>
      </c>
      <c r="G154" s="37" t="s">
        <v>27</v>
      </c>
      <c r="H154" s="37" t="s">
        <v>25</v>
      </c>
      <c r="I154" s="712">
        <v>0.32708333333333334</v>
      </c>
      <c r="J154" s="37">
        <v>7712.5</v>
      </c>
      <c r="K154" s="37">
        <v>9.6999999999999993</v>
      </c>
      <c r="L154" s="37">
        <v>10.14</v>
      </c>
      <c r="M154" s="37">
        <v>0.84</v>
      </c>
      <c r="N154" s="37">
        <v>9.35</v>
      </c>
      <c r="O154" s="37" t="s">
        <v>48</v>
      </c>
      <c r="P154" s="37">
        <v>4</v>
      </c>
      <c r="Q154" s="37">
        <v>10</v>
      </c>
      <c r="R154" s="37" t="s">
        <v>49</v>
      </c>
      <c r="S154" s="51" t="s">
        <v>50</v>
      </c>
      <c r="T154" s="51" t="s">
        <v>50</v>
      </c>
      <c r="U154" s="51" t="s">
        <v>50</v>
      </c>
      <c r="V154" s="51" t="s">
        <v>50</v>
      </c>
      <c r="W154" s="51" t="s">
        <v>50</v>
      </c>
      <c r="X154" s="51" t="s">
        <v>50</v>
      </c>
    </row>
    <row r="155" spans="1:25" x14ac:dyDescent="0.25">
      <c r="A155" s="711">
        <v>44196</v>
      </c>
      <c r="B155" s="37" t="s">
        <v>105</v>
      </c>
      <c r="C155" s="37" t="s">
        <v>95</v>
      </c>
      <c r="D155" s="37">
        <v>38.08314</v>
      </c>
      <c r="E155" s="37">
        <v>-121.57326999999999</v>
      </c>
      <c r="F155" s="37" t="s">
        <v>290</v>
      </c>
      <c r="G155" s="37" t="s">
        <v>46</v>
      </c>
      <c r="H155" s="37" t="s">
        <v>115</v>
      </c>
      <c r="I155" s="712">
        <v>0.35902777777777778</v>
      </c>
      <c r="J155" s="37">
        <v>457.38</v>
      </c>
      <c r="K155" s="37">
        <v>9.4</v>
      </c>
      <c r="L155" s="37">
        <v>5.52</v>
      </c>
      <c r="M155" s="37">
        <v>1.69</v>
      </c>
      <c r="N155" s="37">
        <v>13.2</v>
      </c>
      <c r="O155" s="37" t="s">
        <v>48</v>
      </c>
      <c r="P155" s="37">
        <v>4</v>
      </c>
      <c r="Q155" s="37">
        <v>10</v>
      </c>
      <c r="R155" s="37" t="s">
        <v>49</v>
      </c>
      <c r="S155" s="51" t="s">
        <v>50</v>
      </c>
      <c r="T155" s="51" t="s">
        <v>50</v>
      </c>
      <c r="U155" s="51" t="s">
        <v>50</v>
      </c>
      <c r="V155" s="51" t="s">
        <v>50</v>
      </c>
      <c r="W155" s="51" t="s">
        <v>50</v>
      </c>
      <c r="X155" s="51" t="s">
        <v>50</v>
      </c>
      <c r="Y155" s="52" t="s">
        <v>259</v>
      </c>
    </row>
    <row r="156" spans="1:25" x14ac:dyDescent="0.25">
      <c r="A156" s="711">
        <v>44196</v>
      </c>
      <c r="B156" s="37" t="s">
        <v>105</v>
      </c>
      <c r="C156" s="37" t="s">
        <v>95</v>
      </c>
      <c r="D156" s="37">
        <v>38.100439999999999</v>
      </c>
      <c r="E156" s="37">
        <v>-121.59412</v>
      </c>
      <c r="F156" s="37" t="s">
        <v>291</v>
      </c>
      <c r="G156" s="37" t="s">
        <v>46</v>
      </c>
      <c r="H156" s="37" t="s">
        <v>115</v>
      </c>
      <c r="I156" s="712">
        <v>0.41875000000000001</v>
      </c>
      <c r="J156" s="37">
        <v>498.75</v>
      </c>
      <c r="K156" s="37">
        <v>9.4</v>
      </c>
      <c r="L156" s="37">
        <v>5.0199999999999996</v>
      </c>
      <c r="M156" s="37">
        <v>1.59</v>
      </c>
      <c r="N156" s="37">
        <v>13.68</v>
      </c>
      <c r="O156" s="37" t="s">
        <v>48</v>
      </c>
      <c r="P156" s="37">
        <v>4</v>
      </c>
      <c r="Q156" s="37">
        <v>10</v>
      </c>
      <c r="R156" s="37" t="s">
        <v>49</v>
      </c>
      <c r="S156" s="51" t="s">
        <v>50</v>
      </c>
      <c r="T156" s="51" t="s">
        <v>50</v>
      </c>
      <c r="U156" s="51" t="s">
        <v>50</v>
      </c>
      <c r="V156" s="51" t="s">
        <v>50</v>
      </c>
      <c r="W156" s="51" t="s">
        <v>50</v>
      </c>
      <c r="X156" s="51" t="s">
        <v>50</v>
      </c>
    </row>
    <row r="157" spans="1:25" s="854" customFormat="1" x14ac:dyDescent="0.25">
      <c r="A157" s="798">
        <v>44196</v>
      </c>
      <c r="B157" s="759" t="s">
        <v>105</v>
      </c>
      <c r="C157" s="759" t="s">
        <v>95</v>
      </c>
      <c r="D157" s="759">
        <v>38.03134</v>
      </c>
      <c r="E157" s="759">
        <v>-121.72517999999999</v>
      </c>
      <c r="F157" s="759" t="s">
        <v>292</v>
      </c>
      <c r="G157" s="759" t="s">
        <v>27</v>
      </c>
      <c r="H157" s="759" t="s">
        <v>95</v>
      </c>
      <c r="I157" s="800">
        <v>0.48680555555555555</v>
      </c>
      <c r="J157" s="759">
        <v>2508.5</v>
      </c>
      <c r="K157" s="759">
        <v>9.5500000000000007</v>
      </c>
      <c r="L157" s="759">
        <v>6.23</v>
      </c>
      <c r="M157" s="759">
        <v>1.1200000000000001</v>
      </c>
      <c r="N157" s="759">
        <v>12.45</v>
      </c>
      <c r="O157" s="759" t="s">
        <v>48</v>
      </c>
      <c r="P157" s="759">
        <v>4</v>
      </c>
      <c r="Q157" s="759">
        <v>10</v>
      </c>
      <c r="R157" s="759" t="s">
        <v>49</v>
      </c>
      <c r="S157" s="74" t="s">
        <v>50</v>
      </c>
      <c r="T157" s="74" t="s">
        <v>50</v>
      </c>
      <c r="U157" s="74" t="s">
        <v>50</v>
      </c>
      <c r="V157" s="74" t="s">
        <v>50</v>
      </c>
      <c r="W157" s="74" t="s">
        <v>50</v>
      </c>
      <c r="X157" s="74" t="s">
        <v>50</v>
      </c>
      <c r="Y157" s="77"/>
    </row>
    <row r="158" spans="1:25" x14ac:dyDescent="0.25">
      <c r="A158" s="821">
        <v>44200</v>
      </c>
      <c r="B158" s="51" t="s">
        <v>43</v>
      </c>
      <c r="C158" s="51" t="s">
        <v>44</v>
      </c>
      <c r="D158" s="51">
        <v>37.982239999999997</v>
      </c>
      <c r="E158" s="51">
        <v>-121.62246</v>
      </c>
      <c r="F158" s="51" t="s">
        <v>293</v>
      </c>
      <c r="G158" s="51" t="s">
        <v>46</v>
      </c>
      <c r="H158" s="51" t="s">
        <v>47</v>
      </c>
      <c r="I158" s="66">
        <v>0.35486111111111113</v>
      </c>
      <c r="J158" s="51">
        <v>840.33</v>
      </c>
      <c r="K158" s="51">
        <v>9.5</v>
      </c>
      <c r="L158" s="51">
        <v>3.08</v>
      </c>
      <c r="M158" s="51">
        <v>1.75</v>
      </c>
      <c r="N158" s="51">
        <v>2.67</v>
      </c>
      <c r="O158" s="51" t="s">
        <v>48</v>
      </c>
      <c r="P158" s="51">
        <v>3</v>
      </c>
      <c r="Q158" s="51">
        <v>10</v>
      </c>
      <c r="R158" s="51" t="s">
        <v>64</v>
      </c>
      <c r="S158" s="71" t="s">
        <v>50</v>
      </c>
      <c r="T158" s="71" t="s">
        <v>50</v>
      </c>
      <c r="U158" s="71" t="s">
        <v>50</v>
      </c>
      <c r="V158" s="71" t="s">
        <v>50</v>
      </c>
      <c r="W158" s="71" t="s">
        <v>50</v>
      </c>
      <c r="X158" s="71" t="s">
        <v>50</v>
      </c>
      <c r="Y158" s="52" t="s">
        <v>294</v>
      </c>
    </row>
    <row r="159" spans="1:25" x14ac:dyDescent="0.25">
      <c r="A159" s="821">
        <v>44200</v>
      </c>
      <c r="B159" s="51" t="s">
        <v>43</v>
      </c>
      <c r="C159" s="51" t="s">
        <v>44</v>
      </c>
      <c r="D159" s="51">
        <v>38.06221</v>
      </c>
      <c r="E159" s="51">
        <v>-121.57237000000001</v>
      </c>
      <c r="F159" s="51" t="s">
        <v>295</v>
      </c>
      <c r="G159" s="51" t="s">
        <v>46</v>
      </c>
      <c r="H159" s="51" t="s">
        <v>74</v>
      </c>
      <c r="I159" s="66">
        <v>0.48888888888888887</v>
      </c>
      <c r="J159" s="51">
        <v>621</v>
      </c>
      <c r="K159" s="51">
        <v>9.6999999999999993</v>
      </c>
      <c r="L159" s="51">
        <v>4.12</v>
      </c>
      <c r="M159" s="51">
        <v>1.8</v>
      </c>
      <c r="N159" s="51">
        <v>8.93</v>
      </c>
      <c r="O159" s="51" t="s">
        <v>48</v>
      </c>
      <c r="P159" s="51">
        <v>4</v>
      </c>
      <c r="Q159" s="51">
        <v>10</v>
      </c>
      <c r="R159" s="51" t="s">
        <v>64</v>
      </c>
      <c r="S159" s="71" t="s">
        <v>50</v>
      </c>
      <c r="T159" s="71" t="s">
        <v>50</v>
      </c>
      <c r="U159" s="71" t="s">
        <v>50</v>
      </c>
      <c r="V159" s="71" t="s">
        <v>50</v>
      </c>
      <c r="W159" s="71" t="s">
        <v>50</v>
      </c>
      <c r="X159" s="71" t="s">
        <v>50</v>
      </c>
    </row>
    <row r="160" spans="1:25" x14ac:dyDescent="0.25">
      <c r="A160" s="821">
        <v>44200</v>
      </c>
      <c r="B160" s="51" t="s">
        <v>43</v>
      </c>
      <c r="C160" s="51" t="s">
        <v>44</v>
      </c>
      <c r="D160" s="51">
        <v>38.020940000000003</v>
      </c>
      <c r="E160" s="51">
        <v>-121.58264</v>
      </c>
      <c r="F160" s="51" t="s">
        <v>296</v>
      </c>
      <c r="G160" s="51" t="s">
        <v>46</v>
      </c>
      <c r="H160" s="51" t="s">
        <v>74</v>
      </c>
      <c r="I160" s="66">
        <v>0.43402777777777773</v>
      </c>
      <c r="J160" s="51">
        <v>800.75</v>
      </c>
      <c r="K160" s="51">
        <v>9.6999999999999993</v>
      </c>
      <c r="L160" s="51">
        <v>5.35</v>
      </c>
      <c r="M160" s="51">
        <v>1.4</v>
      </c>
      <c r="N160" s="51">
        <v>7.72</v>
      </c>
      <c r="O160" s="51" t="s">
        <v>48</v>
      </c>
      <c r="P160" s="51">
        <v>4</v>
      </c>
      <c r="Q160" s="51">
        <v>10</v>
      </c>
      <c r="R160" s="51" t="s">
        <v>64</v>
      </c>
      <c r="S160" s="71" t="s">
        <v>50</v>
      </c>
      <c r="T160" s="71" t="s">
        <v>50</v>
      </c>
      <c r="U160" s="71" t="s">
        <v>50</v>
      </c>
      <c r="V160" s="71" t="s">
        <v>50</v>
      </c>
      <c r="W160" s="71" t="s">
        <v>50</v>
      </c>
      <c r="X160" s="71" t="s">
        <v>50</v>
      </c>
    </row>
    <row r="161" spans="1:25" s="856" customFormat="1" x14ac:dyDescent="0.25">
      <c r="A161" s="855">
        <v>44200</v>
      </c>
      <c r="B161" s="450" t="s">
        <v>43</v>
      </c>
      <c r="C161" s="450" t="s">
        <v>62</v>
      </c>
      <c r="D161" s="450">
        <v>38.155239999999999</v>
      </c>
      <c r="E161" s="450">
        <v>-121.92273</v>
      </c>
      <c r="F161" s="450" t="s">
        <v>297</v>
      </c>
      <c r="G161" s="450" t="s">
        <v>27</v>
      </c>
      <c r="H161" s="450" t="s">
        <v>62</v>
      </c>
      <c r="I161" s="451">
        <v>0.4993055555555555</v>
      </c>
      <c r="J161" s="450">
        <v>19757.75</v>
      </c>
      <c r="K161" s="450">
        <v>10.08</v>
      </c>
      <c r="L161" s="450">
        <v>29.1</v>
      </c>
      <c r="M161" s="450">
        <v>0.54</v>
      </c>
      <c r="N161" s="450">
        <v>3.92</v>
      </c>
      <c r="O161" s="450" t="s">
        <v>48</v>
      </c>
      <c r="P161" s="450">
        <v>4</v>
      </c>
      <c r="Q161" s="450">
        <v>10</v>
      </c>
      <c r="R161" s="450" t="s">
        <v>49</v>
      </c>
      <c r="S161" s="858" t="s">
        <v>31</v>
      </c>
      <c r="T161" s="450">
        <v>1</v>
      </c>
      <c r="U161" s="450" t="s">
        <v>298</v>
      </c>
      <c r="V161" s="450" t="s">
        <v>66</v>
      </c>
      <c r="W161" s="450" t="s">
        <v>50</v>
      </c>
      <c r="X161" s="450" t="s">
        <v>228</v>
      </c>
      <c r="Y161" s="453" t="s">
        <v>299</v>
      </c>
    </row>
    <row r="162" spans="1:25" s="856" customFormat="1" x14ac:dyDescent="0.25">
      <c r="A162" s="855">
        <v>44200</v>
      </c>
      <c r="B162" s="450" t="s">
        <v>43</v>
      </c>
      <c r="C162" s="450" t="s">
        <v>62</v>
      </c>
      <c r="D162" s="450">
        <v>38.164140000000003</v>
      </c>
      <c r="E162" s="450">
        <v>-122.04546000000001</v>
      </c>
      <c r="F162" s="450" t="s">
        <v>300</v>
      </c>
      <c r="G162" s="450" t="s">
        <v>27</v>
      </c>
      <c r="H162" s="450" t="s">
        <v>62</v>
      </c>
      <c r="I162" s="451">
        <v>0.4375</v>
      </c>
      <c r="J162" s="450">
        <v>8511.5</v>
      </c>
      <c r="K162" s="450">
        <v>9.9</v>
      </c>
      <c r="L162" s="450">
        <v>34</v>
      </c>
      <c r="M162" s="450">
        <v>0.44</v>
      </c>
      <c r="N162" s="450">
        <v>7.55</v>
      </c>
      <c r="O162" s="450" t="s">
        <v>48</v>
      </c>
      <c r="P162" s="450">
        <v>4</v>
      </c>
      <c r="Q162" s="450">
        <v>10</v>
      </c>
      <c r="R162" s="450" t="s">
        <v>49</v>
      </c>
      <c r="S162" s="858" t="s">
        <v>31</v>
      </c>
      <c r="T162" s="450">
        <v>1</v>
      </c>
      <c r="U162" s="450" t="s">
        <v>301</v>
      </c>
      <c r="V162" s="450" t="s">
        <v>66</v>
      </c>
      <c r="W162" s="450" t="s">
        <v>50</v>
      </c>
      <c r="X162" s="450" t="s">
        <v>228</v>
      </c>
      <c r="Y162" s="453"/>
    </row>
    <row r="163" spans="1:25" s="856" customFormat="1" x14ac:dyDescent="0.25">
      <c r="A163" s="855">
        <v>44200</v>
      </c>
      <c r="B163" s="450" t="s">
        <v>43</v>
      </c>
      <c r="C163" s="450" t="s">
        <v>62</v>
      </c>
      <c r="D163" s="450">
        <v>38.144570000000002</v>
      </c>
      <c r="E163" s="450">
        <v>-122.06834000000001</v>
      </c>
      <c r="F163" s="450" t="s">
        <v>302</v>
      </c>
      <c r="G163" s="450" t="s">
        <v>27</v>
      </c>
      <c r="H163" s="450" t="s">
        <v>62</v>
      </c>
      <c r="I163" s="451">
        <v>0.35694444444444445</v>
      </c>
      <c r="J163" s="450">
        <v>11101</v>
      </c>
      <c r="K163" s="450">
        <v>9.9600000000000009</v>
      </c>
      <c r="L163" s="450">
        <v>29.06</v>
      </c>
      <c r="M163" s="450">
        <v>0.46</v>
      </c>
      <c r="N163" s="450">
        <v>3.08</v>
      </c>
      <c r="O163" s="450" t="s">
        <v>48</v>
      </c>
      <c r="P163" s="450">
        <v>5</v>
      </c>
      <c r="Q163" s="450">
        <v>10</v>
      </c>
      <c r="R163" s="450" t="s">
        <v>64</v>
      </c>
      <c r="S163" s="858" t="s">
        <v>31</v>
      </c>
      <c r="T163" s="450">
        <v>4</v>
      </c>
      <c r="U163" s="450" t="s">
        <v>303</v>
      </c>
      <c r="V163" s="450" t="s">
        <v>66</v>
      </c>
      <c r="W163" s="450" t="s">
        <v>50</v>
      </c>
      <c r="X163" s="450" t="s">
        <v>228</v>
      </c>
      <c r="Y163" s="453" t="s">
        <v>304</v>
      </c>
    </row>
    <row r="164" spans="1:25" s="51" customFormat="1" x14ac:dyDescent="0.25">
      <c r="A164" s="860">
        <v>44201</v>
      </c>
      <c r="B164" s="861" t="s">
        <v>70</v>
      </c>
      <c r="C164" s="861" t="s">
        <v>88</v>
      </c>
      <c r="D164" s="861">
        <v>38.169759999999997</v>
      </c>
      <c r="E164" s="863">
        <v>-121.67354</v>
      </c>
      <c r="F164" s="861" t="s">
        <v>305</v>
      </c>
      <c r="G164" s="861" t="s">
        <v>90</v>
      </c>
      <c r="H164" s="861" t="s">
        <v>91</v>
      </c>
      <c r="I164" s="862">
        <v>0.40069444444444446</v>
      </c>
      <c r="J164" s="861">
        <v>424.78</v>
      </c>
      <c r="K164" s="861">
        <v>9.33</v>
      </c>
      <c r="L164" s="861">
        <v>5.05</v>
      </c>
      <c r="M164" s="861">
        <v>1.8</v>
      </c>
      <c r="N164" s="861">
        <v>9.5500000000000007</v>
      </c>
      <c r="O164" s="861" t="s">
        <v>48</v>
      </c>
      <c r="P164" s="861">
        <v>4</v>
      </c>
      <c r="Q164" s="861">
        <v>10</v>
      </c>
      <c r="R164" s="861" t="s">
        <v>64</v>
      </c>
      <c r="S164" s="861" t="s">
        <v>50</v>
      </c>
      <c r="T164" s="861" t="s">
        <v>50</v>
      </c>
      <c r="U164" s="861" t="s">
        <v>50</v>
      </c>
      <c r="V164" s="861" t="s">
        <v>50</v>
      </c>
      <c r="W164" s="861" t="s">
        <v>50</v>
      </c>
      <c r="X164" s="861" t="s">
        <v>50</v>
      </c>
      <c r="Y164" s="52" t="s">
        <v>306</v>
      </c>
    </row>
    <row r="165" spans="1:25" s="51" customFormat="1" x14ac:dyDescent="0.25">
      <c r="A165" s="860">
        <v>44201</v>
      </c>
      <c r="B165" s="861" t="s">
        <v>70</v>
      </c>
      <c r="C165" s="861" t="s">
        <v>88</v>
      </c>
      <c r="D165" s="861">
        <v>38.110230000000001</v>
      </c>
      <c r="E165" s="863">
        <v>-121.70977999999999</v>
      </c>
      <c r="F165" s="861" t="s">
        <v>307</v>
      </c>
      <c r="G165" s="861" t="s">
        <v>90</v>
      </c>
      <c r="H165" s="861" t="s">
        <v>91</v>
      </c>
      <c r="I165" s="862">
        <v>0.44930555555555557</v>
      </c>
      <c r="J165" s="861">
        <v>1942.5</v>
      </c>
      <c r="K165" s="861">
        <v>9.5299999999999994</v>
      </c>
      <c r="L165" s="861">
        <v>12</v>
      </c>
      <c r="M165" s="861">
        <v>0.99</v>
      </c>
      <c r="N165" s="861">
        <v>6.55</v>
      </c>
      <c r="O165" s="861" t="s">
        <v>48</v>
      </c>
      <c r="P165" s="861">
        <v>4</v>
      </c>
      <c r="Q165" s="861">
        <v>10</v>
      </c>
      <c r="R165" s="861" t="s">
        <v>49</v>
      </c>
      <c r="S165" s="861" t="s">
        <v>50</v>
      </c>
      <c r="T165" s="861" t="s">
        <v>50</v>
      </c>
      <c r="U165" s="861" t="s">
        <v>50</v>
      </c>
      <c r="V165" s="861" t="s">
        <v>50</v>
      </c>
      <c r="W165" s="861" t="s">
        <v>50</v>
      </c>
      <c r="X165" s="861" t="s">
        <v>50</v>
      </c>
      <c r="Y165" s="52"/>
    </row>
    <row r="166" spans="1:25" s="51" customFormat="1" x14ac:dyDescent="0.25">
      <c r="A166" s="860">
        <v>44201</v>
      </c>
      <c r="B166" s="861" t="s">
        <v>70</v>
      </c>
      <c r="C166" s="861" t="s">
        <v>88</v>
      </c>
      <c r="D166" s="861">
        <v>38.058869999999999</v>
      </c>
      <c r="E166" s="863">
        <v>-121.80515</v>
      </c>
      <c r="F166" s="861" t="s">
        <v>308</v>
      </c>
      <c r="G166" s="861" t="s">
        <v>27</v>
      </c>
      <c r="H166" s="861" t="s">
        <v>25</v>
      </c>
      <c r="I166" s="862">
        <v>0.5</v>
      </c>
      <c r="J166" s="861">
        <v>6281.25</v>
      </c>
      <c r="K166" s="861">
        <v>9.9700000000000006</v>
      </c>
      <c r="L166" s="861">
        <v>16.75</v>
      </c>
      <c r="M166" s="861">
        <v>0.82</v>
      </c>
      <c r="N166" s="861">
        <v>9.1</v>
      </c>
      <c r="O166" s="861" t="s">
        <v>48</v>
      </c>
      <c r="P166" s="861">
        <v>4</v>
      </c>
      <c r="Q166" s="861">
        <v>10</v>
      </c>
      <c r="R166" s="861" t="s">
        <v>49</v>
      </c>
      <c r="S166" s="861" t="s">
        <v>50</v>
      </c>
      <c r="T166" s="861" t="s">
        <v>50</v>
      </c>
      <c r="U166" s="861" t="s">
        <v>50</v>
      </c>
      <c r="V166" s="861" t="s">
        <v>50</v>
      </c>
      <c r="W166" s="861" t="s">
        <v>50</v>
      </c>
      <c r="X166" s="861" t="s">
        <v>50</v>
      </c>
      <c r="Y166" s="52"/>
    </row>
    <row r="167" spans="1:25" s="51" customFormat="1" x14ac:dyDescent="0.25">
      <c r="A167" s="860">
        <v>44201</v>
      </c>
      <c r="B167" s="861" t="s">
        <v>70</v>
      </c>
      <c r="C167" s="861" t="s">
        <v>44</v>
      </c>
      <c r="D167" s="861">
        <v>38.02646</v>
      </c>
      <c r="E167" s="863">
        <v>-121.52311</v>
      </c>
      <c r="F167" s="861" t="s">
        <v>309</v>
      </c>
      <c r="G167" s="861" t="s">
        <v>46</v>
      </c>
      <c r="H167" s="861" t="s">
        <v>59</v>
      </c>
      <c r="I167" s="862">
        <v>0.39027777777777778</v>
      </c>
      <c r="J167" s="861">
        <v>454.22</v>
      </c>
      <c r="K167" s="861">
        <v>12.1</v>
      </c>
      <c r="L167" s="861">
        <v>3.7</v>
      </c>
      <c r="M167" s="861">
        <v>1.8</v>
      </c>
      <c r="N167" s="861">
        <v>5.88</v>
      </c>
      <c r="O167" s="861" t="s">
        <v>48</v>
      </c>
      <c r="P167" s="861">
        <v>4</v>
      </c>
      <c r="Q167" s="861">
        <v>10</v>
      </c>
      <c r="R167" s="861" t="s">
        <v>64</v>
      </c>
      <c r="S167" s="861" t="s">
        <v>50</v>
      </c>
      <c r="T167" s="861" t="s">
        <v>50</v>
      </c>
      <c r="U167" s="861" t="s">
        <v>50</v>
      </c>
      <c r="V167" s="861" t="s">
        <v>50</v>
      </c>
      <c r="W167" s="861" t="s">
        <v>50</v>
      </c>
      <c r="X167" s="861" t="s">
        <v>50</v>
      </c>
      <c r="Y167" s="52"/>
    </row>
    <row r="168" spans="1:25" s="51" customFormat="1" x14ac:dyDescent="0.25">
      <c r="A168" s="860">
        <v>44201</v>
      </c>
      <c r="B168" s="861" t="s">
        <v>70</v>
      </c>
      <c r="C168" s="861" t="s">
        <v>44</v>
      </c>
      <c r="D168" s="861">
        <v>37.988149999999997</v>
      </c>
      <c r="E168" s="863">
        <v>-121.51309999999999</v>
      </c>
      <c r="F168" s="861" t="s">
        <v>310</v>
      </c>
      <c r="G168" s="861" t="s">
        <v>46</v>
      </c>
      <c r="H168" s="861" t="s">
        <v>59</v>
      </c>
      <c r="I168" s="862">
        <v>0.44513888888888892</v>
      </c>
      <c r="J168" s="861">
        <v>480</v>
      </c>
      <c r="K168" s="861">
        <v>9.6</v>
      </c>
      <c r="L168" s="861">
        <v>3.54</v>
      </c>
      <c r="M168" s="861">
        <v>1.8</v>
      </c>
      <c r="N168" s="861">
        <v>6.2</v>
      </c>
      <c r="O168" s="861" t="s">
        <v>48</v>
      </c>
      <c r="P168" s="861">
        <v>4</v>
      </c>
      <c r="Q168" s="861">
        <v>10</v>
      </c>
      <c r="R168" s="861" t="s">
        <v>64</v>
      </c>
      <c r="S168" s="861" t="s">
        <v>50</v>
      </c>
      <c r="T168" s="861" t="s">
        <v>50</v>
      </c>
      <c r="U168" s="861" t="s">
        <v>50</v>
      </c>
      <c r="V168" s="861" t="s">
        <v>50</v>
      </c>
      <c r="W168" s="861" t="s">
        <v>50</v>
      </c>
      <c r="X168" s="861" t="s">
        <v>50</v>
      </c>
      <c r="Y168" s="52" t="s">
        <v>311</v>
      </c>
    </row>
    <row r="169" spans="1:25" s="51" customFormat="1" x14ac:dyDescent="0.25">
      <c r="A169" s="860">
        <v>44201</v>
      </c>
      <c r="B169" s="861" t="s">
        <v>70</v>
      </c>
      <c r="C169" s="861" t="s">
        <v>44</v>
      </c>
      <c r="D169" s="861">
        <v>37.970269999999999</v>
      </c>
      <c r="E169" s="863">
        <v>-121.53691000000001</v>
      </c>
      <c r="F169" s="861" t="s">
        <v>312</v>
      </c>
      <c r="G169" s="861" t="s">
        <v>46</v>
      </c>
      <c r="H169" s="861" t="s">
        <v>59</v>
      </c>
      <c r="I169" s="862">
        <v>0.4993055555555555</v>
      </c>
      <c r="J169" s="861">
        <v>523</v>
      </c>
      <c r="K169" s="861">
        <v>9.6</v>
      </c>
      <c r="L169" s="861">
        <v>2.63</v>
      </c>
      <c r="M169" s="861">
        <v>1.8</v>
      </c>
      <c r="N169" s="861">
        <v>7.55</v>
      </c>
      <c r="O169" s="861" t="s">
        <v>48</v>
      </c>
      <c r="P169" s="861">
        <v>4</v>
      </c>
      <c r="Q169" s="861">
        <v>10</v>
      </c>
      <c r="R169" s="861" t="s">
        <v>64</v>
      </c>
      <c r="S169" s="861" t="s">
        <v>50</v>
      </c>
      <c r="T169" s="861" t="s">
        <v>50</v>
      </c>
      <c r="U169" s="861" t="s">
        <v>50</v>
      </c>
      <c r="V169" s="861" t="s">
        <v>50</v>
      </c>
      <c r="W169" s="861" t="s">
        <v>50</v>
      </c>
      <c r="X169" s="861" t="s">
        <v>50</v>
      </c>
      <c r="Y169" s="52" t="s">
        <v>313</v>
      </c>
    </row>
    <row r="170" spans="1:25" s="51" customFormat="1" x14ac:dyDescent="0.25">
      <c r="A170" s="860">
        <v>44201</v>
      </c>
      <c r="B170" s="861" t="s">
        <v>70</v>
      </c>
      <c r="C170" s="861" t="s">
        <v>78</v>
      </c>
      <c r="D170" s="861">
        <v>38.02872</v>
      </c>
      <c r="E170" s="863">
        <v>-121.84875</v>
      </c>
      <c r="F170" s="861" t="s">
        <v>314</v>
      </c>
      <c r="G170" s="861" t="s">
        <v>27</v>
      </c>
      <c r="H170" s="861" t="s">
        <v>101</v>
      </c>
      <c r="I170" s="862">
        <v>0.45833333333333331</v>
      </c>
      <c r="J170" s="861">
        <v>5943</v>
      </c>
      <c r="K170" s="861">
        <v>10.029999999999999</v>
      </c>
      <c r="L170" s="861">
        <v>15.03</v>
      </c>
      <c r="M170" s="861">
        <v>0.82</v>
      </c>
      <c r="N170" s="861">
        <v>16.649999999999999</v>
      </c>
      <c r="O170" s="861" t="s">
        <v>48</v>
      </c>
      <c r="P170" s="861">
        <v>4</v>
      </c>
      <c r="Q170" s="861">
        <v>10</v>
      </c>
      <c r="R170" s="861" t="s">
        <v>49</v>
      </c>
      <c r="S170" s="861" t="s">
        <v>50</v>
      </c>
      <c r="T170" s="861" t="s">
        <v>50</v>
      </c>
      <c r="U170" s="861" t="s">
        <v>50</v>
      </c>
      <c r="V170" s="861" t="s">
        <v>50</v>
      </c>
      <c r="W170" s="861" t="s">
        <v>50</v>
      </c>
      <c r="X170" s="861" t="s">
        <v>50</v>
      </c>
      <c r="Y170" s="52"/>
    </row>
    <row r="171" spans="1:25" s="51" customFormat="1" x14ac:dyDescent="0.25">
      <c r="A171" s="860">
        <v>44201</v>
      </c>
      <c r="B171" s="861" t="s">
        <v>70</v>
      </c>
      <c r="C171" s="861" t="s">
        <v>78</v>
      </c>
      <c r="D171" s="861">
        <v>38.047190000000001</v>
      </c>
      <c r="E171" s="863">
        <v>-121.8944</v>
      </c>
      <c r="F171" s="861" t="s">
        <v>315</v>
      </c>
      <c r="G171" s="861" t="s">
        <v>27</v>
      </c>
      <c r="H171" s="861" t="s">
        <v>101</v>
      </c>
      <c r="I171" s="862">
        <v>0.34027777777777773</v>
      </c>
      <c r="J171" s="861">
        <v>9518</v>
      </c>
      <c r="K171" s="861">
        <v>9.9700000000000006</v>
      </c>
      <c r="L171" s="861">
        <v>20.18</v>
      </c>
      <c r="M171" s="861">
        <v>0.56000000000000005</v>
      </c>
      <c r="N171" s="861">
        <v>11.43</v>
      </c>
      <c r="O171" s="861" t="s">
        <v>48</v>
      </c>
      <c r="P171" s="861">
        <v>4</v>
      </c>
      <c r="Q171" s="861">
        <v>10</v>
      </c>
      <c r="R171" s="861" t="s">
        <v>64</v>
      </c>
      <c r="S171" s="861" t="s">
        <v>50</v>
      </c>
      <c r="T171" s="861" t="s">
        <v>50</v>
      </c>
      <c r="U171" s="861" t="s">
        <v>50</v>
      </c>
      <c r="V171" s="861" t="s">
        <v>50</v>
      </c>
      <c r="W171" s="861" t="s">
        <v>50</v>
      </c>
      <c r="X171" s="861" t="s">
        <v>50</v>
      </c>
      <c r="Y171" s="52"/>
    </row>
    <row r="172" spans="1:25" s="51" customFormat="1" x14ac:dyDescent="0.25">
      <c r="A172" s="860">
        <v>44201</v>
      </c>
      <c r="B172" s="861" t="s">
        <v>70</v>
      </c>
      <c r="C172" s="861" t="s">
        <v>78</v>
      </c>
      <c r="D172" s="861">
        <v>38.069960000000002</v>
      </c>
      <c r="E172" s="863">
        <v>-121.97271000000001</v>
      </c>
      <c r="F172" s="861" t="s">
        <v>316</v>
      </c>
      <c r="G172" s="861" t="s">
        <v>27</v>
      </c>
      <c r="H172" s="861" t="s">
        <v>86</v>
      </c>
      <c r="I172" s="862">
        <v>0.3979166666666667</v>
      </c>
      <c r="J172" s="861">
        <v>12124</v>
      </c>
      <c r="K172" s="861">
        <v>10.08</v>
      </c>
      <c r="L172" s="861">
        <v>25.8</v>
      </c>
      <c r="M172" s="861">
        <v>0.56000000000000005</v>
      </c>
      <c r="N172" s="861">
        <v>5.17</v>
      </c>
      <c r="O172" s="861" t="s">
        <v>48</v>
      </c>
      <c r="P172" s="861">
        <v>4</v>
      </c>
      <c r="Q172" s="861">
        <v>10</v>
      </c>
      <c r="R172" s="861" t="s">
        <v>49</v>
      </c>
      <c r="S172" s="861" t="s">
        <v>50</v>
      </c>
      <c r="T172" s="861" t="s">
        <v>50</v>
      </c>
      <c r="U172" s="861" t="s">
        <v>50</v>
      </c>
      <c r="V172" s="861" t="s">
        <v>50</v>
      </c>
      <c r="W172" s="861" t="s">
        <v>50</v>
      </c>
      <c r="X172" s="861" t="s">
        <v>50</v>
      </c>
      <c r="Y172" s="52"/>
    </row>
    <row r="173" spans="1:25" x14ac:dyDescent="0.25">
      <c r="A173" s="860">
        <v>44202</v>
      </c>
      <c r="B173" s="861" t="s">
        <v>87</v>
      </c>
      <c r="C173" s="861" t="s">
        <v>95</v>
      </c>
      <c r="D173" s="861">
        <v>38.079709999999999</v>
      </c>
      <c r="E173" s="863">
        <v>-121.57109</v>
      </c>
      <c r="F173" s="861" t="s">
        <v>317</v>
      </c>
      <c r="G173" s="861" t="s">
        <v>46</v>
      </c>
      <c r="H173" s="861" t="s">
        <v>115</v>
      </c>
      <c r="I173" s="862">
        <v>0.42222222222222222</v>
      </c>
      <c r="J173" s="861">
        <v>437.85</v>
      </c>
      <c r="K173" s="861">
        <v>9.6</v>
      </c>
      <c r="L173" s="861">
        <v>5.9</v>
      </c>
      <c r="M173" s="861">
        <v>1.69</v>
      </c>
      <c r="N173" s="861">
        <v>15.12</v>
      </c>
      <c r="O173" s="861" t="s">
        <v>48</v>
      </c>
      <c r="P173" s="861">
        <v>4</v>
      </c>
      <c r="Q173" s="861">
        <v>10</v>
      </c>
      <c r="R173" s="861" t="s">
        <v>64</v>
      </c>
      <c r="S173" s="861" t="s">
        <v>50</v>
      </c>
      <c r="T173" s="861" t="s">
        <v>50</v>
      </c>
      <c r="U173" s="861" t="s">
        <v>50</v>
      </c>
      <c r="V173" s="861" t="s">
        <v>50</v>
      </c>
      <c r="W173" s="861" t="s">
        <v>50</v>
      </c>
      <c r="X173" s="861" t="s">
        <v>50</v>
      </c>
    </row>
    <row r="174" spans="1:25" x14ac:dyDescent="0.25">
      <c r="A174" s="860">
        <v>44202</v>
      </c>
      <c r="B174" s="861" t="s">
        <v>87</v>
      </c>
      <c r="C174" s="861" t="s">
        <v>95</v>
      </c>
      <c r="D174" s="861">
        <v>38.099449999999997</v>
      </c>
      <c r="E174" s="863">
        <v>-121.59950000000001</v>
      </c>
      <c r="F174" s="861" t="s">
        <v>318</v>
      </c>
      <c r="G174" s="861" t="s">
        <v>46</v>
      </c>
      <c r="H174" s="861" t="s">
        <v>115</v>
      </c>
      <c r="I174" s="862">
        <v>0.47569444444444442</v>
      </c>
      <c r="J174" s="861">
        <v>525.75</v>
      </c>
      <c r="K174" s="861">
        <v>9.65</v>
      </c>
      <c r="L174" s="861">
        <v>5.55</v>
      </c>
      <c r="M174" s="861">
        <v>1.66</v>
      </c>
      <c r="N174" s="861">
        <v>6.17</v>
      </c>
      <c r="O174" s="861" t="s">
        <v>48</v>
      </c>
      <c r="P174" s="861">
        <v>4</v>
      </c>
      <c r="Q174" s="861">
        <v>10</v>
      </c>
      <c r="R174" s="861" t="s">
        <v>64</v>
      </c>
      <c r="S174" s="861" t="s">
        <v>50</v>
      </c>
      <c r="T174" s="861" t="s">
        <v>50</v>
      </c>
      <c r="U174" s="861" t="s">
        <v>50</v>
      </c>
      <c r="V174" s="861" t="s">
        <v>50</v>
      </c>
      <c r="W174" s="861" t="s">
        <v>50</v>
      </c>
      <c r="X174" s="861" t="s">
        <v>50</v>
      </c>
      <c r="Y174" s="52" t="s">
        <v>319</v>
      </c>
    </row>
    <row r="175" spans="1:25" x14ac:dyDescent="0.25">
      <c r="A175" s="860">
        <v>44202</v>
      </c>
      <c r="B175" s="861" t="s">
        <v>87</v>
      </c>
      <c r="C175" s="861" t="s">
        <v>95</v>
      </c>
      <c r="D175" s="861">
        <v>38.075020000000002</v>
      </c>
      <c r="E175" s="863">
        <v>-121.56117</v>
      </c>
      <c r="F175" s="861" t="s">
        <v>320</v>
      </c>
      <c r="G175" s="861" t="s">
        <v>46</v>
      </c>
      <c r="H175" s="861" t="s">
        <v>115</v>
      </c>
      <c r="I175" s="862">
        <v>0.37291666666666662</v>
      </c>
      <c r="J175" s="861">
        <v>406.93</v>
      </c>
      <c r="K175" s="861">
        <v>9.5299999999999994</v>
      </c>
      <c r="L175" s="861">
        <v>4.5199999999999996</v>
      </c>
      <c r="M175" s="861">
        <v>1.79</v>
      </c>
      <c r="N175" s="861">
        <v>11.2</v>
      </c>
      <c r="O175" s="861" t="s">
        <v>48</v>
      </c>
      <c r="P175" s="861">
        <v>4</v>
      </c>
      <c r="Q175" s="861">
        <v>10</v>
      </c>
      <c r="R175" s="861" t="s">
        <v>64</v>
      </c>
      <c r="S175" s="861" t="s">
        <v>50</v>
      </c>
      <c r="T175" s="861" t="s">
        <v>50</v>
      </c>
      <c r="U175" s="861" t="s">
        <v>50</v>
      </c>
      <c r="V175" s="861" t="s">
        <v>50</v>
      </c>
      <c r="W175" s="861" t="s">
        <v>50</v>
      </c>
      <c r="X175" s="861" t="s">
        <v>50</v>
      </c>
    </row>
    <row r="176" spans="1:25" ht="15.75" customHeight="1" x14ac:dyDescent="0.25">
      <c r="A176" s="860">
        <v>44202</v>
      </c>
      <c r="B176" s="861" t="s">
        <v>87</v>
      </c>
      <c r="C176" s="861" t="s">
        <v>177</v>
      </c>
      <c r="D176" s="861">
        <v>38.212820000000001</v>
      </c>
      <c r="E176" s="863">
        <v>-121.66674</v>
      </c>
      <c r="F176" s="861" t="s">
        <v>321</v>
      </c>
      <c r="G176" s="861" t="s">
        <v>90</v>
      </c>
      <c r="H176" s="861" t="s">
        <v>108</v>
      </c>
      <c r="I176" s="862">
        <v>0.38055555555555554</v>
      </c>
      <c r="J176" s="861">
        <v>592.73</v>
      </c>
      <c r="K176" s="861">
        <v>9.5</v>
      </c>
      <c r="L176" s="861">
        <v>5.0199999999999996</v>
      </c>
      <c r="M176" s="861">
        <v>1.8</v>
      </c>
      <c r="N176" s="861">
        <v>16.52</v>
      </c>
      <c r="O176" s="861" t="s">
        <v>48</v>
      </c>
      <c r="P176" s="861">
        <v>4</v>
      </c>
      <c r="Q176" s="861">
        <v>10</v>
      </c>
      <c r="R176" s="861" t="s">
        <v>64</v>
      </c>
      <c r="S176" s="861" t="s">
        <v>50</v>
      </c>
      <c r="T176" s="861" t="s">
        <v>50</v>
      </c>
      <c r="U176" s="861" t="s">
        <v>50</v>
      </c>
      <c r="V176" s="861" t="s">
        <v>50</v>
      </c>
      <c r="W176" s="861" t="s">
        <v>50</v>
      </c>
      <c r="X176" s="861" t="s">
        <v>50</v>
      </c>
    </row>
    <row r="177" spans="1:25" s="868" customFormat="1" x14ac:dyDescent="0.25">
      <c r="A177" s="864">
        <v>44202</v>
      </c>
      <c r="B177" s="865" t="s">
        <v>87</v>
      </c>
      <c r="C177" s="865" t="s">
        <v>177</v>
      </c>
      <c r="D177" s="865">
        <v>38.50958</v>
      </c>
      <c r="E177" s="869">
        <v>-121.58432999999999</v>
      </c>
      <c r="F177" s="865" t="s">
        <v>322</v>
      </c>
      <c r="G177" s="865" t="s">
        <v>90</v>
      </c>
      <c r="H177" s="865" t="s">
        <v>158</v>
      </c>
      <c r="I177" s="866">
        <v>0.45624999999999999</v>
      </c>
      <c r="J177" s="865">
        <v>772.67</v>
      </c>
      <c r="K177" s="865">
        <v>9.5</v>
      </c>
      <c r="L177" s="865">
        <v>24.1</v>
      </c>
      <c r="M177" s="865">
        <v>0.48</v>
      </c>
      <c r="N177" s="865">
        <v>11.3</v>
      </c>
      <c r="O177" s="865" t="s">
        <v>48</v>
      </c>
      <c r="P177" s="865">
        <v>3</v>
      </c>
      <c r="Q177" s="865">
        <v>10</v>
      </c>
      <c r="R177" s="865" t="s">
        <v>64</v>
      </c>
      <c r="S177" s="867" t="s">
        <v>323</v>
      </c>
      <c r="T177" s="865">
        <v>1</v>
      </c>
      <c r="U177" s="865" t="s">
        <v>324</v>
      </c>
      <c r="V177" s="865" t="s">
        <v>66</v>
      </c>
      <c r="W177" s="865" t="s">
        <v>50</v>
      </c>
      <c r="X177" s="865" t="s">
        <v>50</v>
      </c>
      <c r="Y177" s="448"/>
    </row>
    <row r="178" spans="1:25" x14ac:dyDescent="0.25">
      <c r="A178" s="860">
        <v>44202</v>
      </c>
      <c r="B178" s="861" t="s">
        <v>87</v>
      </c>
      <c r="C178" s="861" t="s">
        <v>177</v>
      </c>
      <c r="D178" s="861">
        <v>38.55932</v>
      </c>
      <c r="E178" s="863">
        <v>-121.56699999999999</v>
      </c>
      <c r="F178" s="861" t="s">
        <v>325</v>
      </c>
      <c r="G178" s="861" t="s">
        <v>90</v>
      </c>
      <c r="H178" s="861" t="s">
        <v>158</v>
      </c>
      <c r="I178" s="862">
        <v>0.52222222222222225</v>
      </c>
      <c r="J178" s="861">
        <v>1043.25</v>
      </c>
      <c r="K178" s="861">
        <v>10.199999999999999</v>
      </c>
      <c r="L178" s="861">
        <v>5.1100000000000003</v>
      </c>
      <c r="M178" s="861">
        <v>1.8</v>
      </c>
      <c r="N178" s="861">
        <v>11.82</v>
      </c>
      <c r="O178" s="861" t="s">
        <v>48</v>
      </c>
      <c r="P178" s="861">
        <v>4</v>
      </c>
      <c r="Q178" s="861">
        <v>10</v>
      </c>
      <c r="R178" s="861" t="s">
        <v>64</v>
      </c>
      <c r="S178" s="861" t="s">
        <v>50</v>
      </c>
      <c r="T178" s="861" t="s">
        <v>50</v>
      </c>
      <c r="U178" s="861" t="s">
        <v>50</v>
      </c>
      <c r="V178" s="861" t="s">
        <v>50</v>
      </c>
      <c r="W178" s="861" t="s">
        <v>50</v>
      </c>
      <c r="X178" s="861" t="s">
        <v>50</v>
      </c>
      <c r="Y178" s="52" t="s">
        <v>326</v>
      </c>
    </row>
    <row r="179" spans="1:25" x14ac:dyDescent="0.25">
      <c r="A179" s="860">
        <v>44202</v>
      </c>
      <c r="B179" s="861" t="s">
        <v>87</v>
      </c>
      <c r="C179" s="861" t="s">
        <v>78</v>
      </c>
      <c r="D179" s="861">
        <v>38.048430000000003</v>
      </c>
      <c r="E179" s="863">
        <v>-122.11462</v>
      </c>
      <c r="F179" s="861" t="s">
        <v>327</v>
      </c>
      <c r="G179" s="861" t="s">
        <v>80</v>
      </c>
      <c r="H179" s="861" t="s">
        <v>81</v>
      </c>
      <c r="I179" s="862">
        <v>0.3666666666666667</v>
      </c>
      <c r="J179" s="861">
        <v>21131.75</v>
      </c>
      <c r="K179" s="861">
        <v>10.5</v>
      </c>
      <c r="L179" s="861">
        <v>14.23</v>
      </c>
      <c r="M179" s="861">
        <v>0.98</v>
      </c>
      <c r="N179" s="861">
        <v>12.12</v>
      </c>
      <c r="O179" s="861" t="s">
        <v>48</v>
      </c>
      <c r="P179" s="861">
        <v>4</v>
      </c>
      <c r="Q179" s="861">
        <v>10</v>
      </c>
      <c r="R179" s="861" t="s">
        <v>64</v>
      </c>
      <c r="S179" s="861" t="s">
        <v>50</v>
      </c>
      <c r="T179" s="861" t="s">
        <v>50</v>
      </c>
      <c r="U179" s="861" t="s">
        <v>50</v>
      </c>
      <c r="V179" s="861" t="s">
        <v>50</v>
      </c>
      <c r="W179" s="861" t="s">
        <v>50</v>
      </c>
      <c r="X179" s="861" t="s">
        <v>50</v>
      </c>
    </row>
    <row r="180" spans="1:25" x14ac:dyDescent="0.25">
      <c r="A180" s="860">
        <v>44202</v>
      </c>
      <c r="B180" s="861" t="s">
        <v>87</v>
      </c>
      <c r="C180" s="861" t="s">
        <v>78</v>
      </c>
      <c r="D180" s="861">
        <v>38.064480000000003</v>
      </c>
      <c r="E180" s="863">
        <v>-122.05388000000001</v>
      </c>
      <c r="F180" s="861" t="s">
        <v>328</v>
      </c>
      <c r="G180" s="861" t="s">
        <v>80</v>
      </c>
      <c r="H180" s="861" t="s">
        <v>81</v>
      </c>
      <c r="I180" s="862">
        <v>0.42222222222222222</v>
      </c>
      <c r="J180" s="861">
        <v>16261</v>
      </c>
      <c r="K180" s="861">
        <v>10.33</v>
      </c>
      <c r="L180" s="861">
        <v>17.03</v>
      </c>
      <c r="M180" s="861">
        <v>0.72</v>
      </c>
      <c r="N180" s="861">
        <v>7.37</v>
      </c>
      <c r="O180" s="861" t="s">
        <v>48</v>
      </c>
      <c r="P180" s="861">
        <v>4</v>
      </c>
      <c r="Q180" s="861">
        <v>10</v>
      </c>
      <c r="R180" s="861" t="s">
        <v>49</v>
      </c>
      <c r="S180" s="861" t="s">
        <v>50</v>
      </c>
      <c r="T180" s="861" t="s">
        <v>50</v>
      </c>
      <c r="U180" s="861" t="s">
        <v>50</v>
      </c>
      <c r="V180" s="861" t="s">
        <v>50</v>
      </c>
      <c r="W180" s="861" t="s">
        <v>50</v>
      </c>
      <c r="X180" s="861" t="s">
        <v>50</v>
      </c>
    </row>
    <row r="181" spans="1:25" x14ac:dyDescent="0.25">
      <c r="A181" s="860">
        <v>44202</v>
      </c>
      <c r="B181" s="861" t="s">
        <v>87</v>
      </c>
      <c r="C181" s="861" t="s">
        <v>78</v>
      </c>
      <c r="D181" s="861">
        <v>38.057130000000001</v>
      </c>
      <c r="E181" s="863">
        <v>-121.98233</v>
      </c>
      <c r="F181" s="861" t="s">
        <v>329</v>
      </c>
      <c r="G181" s="861" t="s">
        <v>80</v>
      </c>
      <c r="H181" s="861" t="s">
        <v>81</v>
      </c>
      <c r="I181" s="862">
        <v>0.4770833333333333</v>
      </c>
      <c r="J181" s="861">
        <v>39589.75</v>
      </c>
      <c r="K181" s="861">
        <v>11.05</v>
      </c>
      <c r="L181" s="861">
        <v>15.72</v>
      </c>
      <c r="M181" s="861">
        <v>0.62</v>
      </c>
      <c r="N181" s="861">
        <v>7.12</v>
      </c>
      <c r="O181" s="861" t="s">
        <v>48</v>
      </c>
      <c r="P181" s="861">
        <v>4</v>
      </c>
      <c r="Q181" s="861">
        <v>10</v>
      </c>
      <c r="R181" s="861" t="s">
        <v>49</v>
      </c>
      <c r="S181" s="861" t="s">
        <v>50</v>
      </c>
      <c r="T181" s="861" t="s">
        <v>50</v>
      </c>
      <c r="U181" s="861" t="s">
        <v>50</v>
      </c>
      <c r="V181" s="861" t="s">
        <v>50</v>
      </c>
      <c r="W181" s="861" t="s">
        <v>50</v>
      </c>
      <c r="X181" s="861" t="s">
        <v>50</v>
      </c>
    </row>
    <row r="182" spans="1:25" x14ac:dyDescent="0.25">
      <c r="A182" s="821">
        <v>44203</v>
      </c>
      <c r="B182" s="51" t="s">
        <v>105</v>
      </c>
      <c r="C182" s="51" t="s">
        <v>162</v>
      </c>
      <c r="D182" s="870">
        <v>38.251100000000001</v>
      </c>
      <c r="E182" s="870">
        <v>-121.72311000000001</v>
      </c>
      <c r="F182" s="51" t="s">
        <v>330</v>
      </c>
      <c r="G182" s="51" t="s">
        <v>90</v>
      </c>
      <c r="H182" s="51" t="s">
        <v>126</v>
      </c>
      <c r="I182" s="66">
        <v>0.34027777777777773</v>
      </c>
      <c r="J182" s="51">
        <v>199.15</v>
      </c>
      <c r="K182" s="51">
        <v>9.17</v>
      </c>
      <c r="L182" s="51">
        <v>273.04000000000002</v>
      </c>
      <c r="M182" s="51">
        <v>1.8</v>
      </c>
      <c r="N182" s="51">
        <v>15.45</v>
      </c>
      <c r="O182" s="51" t="s">
        <v>48</v>
      </c>
      <c r="P182" s="51">
        <v>4</v>
      </c>
      <c r="Q182" s="873">
        <v>10</v>
      </c>
      <c r="R182" s="51" t="s">
        <v>64</v>
      </c>
      <c r="S182" s="861" t="s">
        <v>50</v>
      </c>
      <c r="T182" s="861" t="s">
        <v>50</v>
      </c>
      <c r="U182" s="861" t="s">
        <v>50</v>
      </c>
      <c r="V182" s="861" t="s">
        <v>50</v>
      </c>
      <c r="W182" s="861" t="s">
        <v>50</v>
      </c>
      <c r="X182" s="861" t="s">
        <v>50</v>
      </c>
    </row>
    <row r="183" spans="1:25" x14ac:dyDescent="0.25">
      <c r="A183" s="821">
        <v>44203</v>
      </c>
      <c r="B183" s="51" t="s">
        <v>105</v>
      </c>
      <c r="C183" s="51" t="s">
        <v>162</v>
      </c>
      <c r="D183" s="870">
        <v>38.248449999999998</v>
      </c>
      <c r="E183" s="870">
        <v>-121.70904</v>
      </c>
      <c r="F183" s="51" t="s">
        <v>331</v>
      </c>
      <c r="G183" s="51" t="s">
        <v>90</v>
      </c>
      <c r="H183" s="51" t="s">
        <v>126</v>
      </c>
      <c r="I183" s="66">
        <v>0.38055555555555554</v>
      </c>
      <c r="J183" s="51">
        <v>201.48</v>
      </c>
      <c r="K183" s="51">
        <v>9.33</v>
      </c>
      <c r="L183" s="51">
        <v>8.52</v>
      </c>
      <c r="M183" s="51">
        <v>1.68</v>
      </c>
      <c r="N183" s="51">
        <v>3.77</v>
      </c>
      <c r="O183" s="51" t="s">
        <v>48</v>
      </c>
      <c r="P183" s="51">
        <v>4</v>
      </c>
      <c r="Q183" s="51">
        <v>10</v>
      </c>
      <c r="R183" s="51" t="s">
        <v>64</v>
      </c>
      <c r="S183" s="861" t="s">
        <v>50</v>
      </c>
      <c r="T183" s="861" t="s">
        <v>50</v>
      </c>
      <c r="U183" s="861" t="s">
        <v>50</v>
      </c>
      <c r="V183" s="861" t="s">
        <v>50</v>
      </c>
      <c r="W183" s="861" t="s">
        <v>50</v>
      </c>
      <c r="X183" s="861" t="s">
        <v>50</v>
      </c>
      <c r="Y183" s="52" t="s">
        <v>332</v>
      </c>
    </row>
    <row r="184" spans="1:25" s="857" customFormat="1" x14ac:dyDescent="0.25">
      <c r="A184" s="446">
        <v>44203</v>
      </c>
      <c r="B184" s="424" t="s">
        <v>105</v>
      </c>
      <c r="C184" s="424" t="s">
        <v>162</v>
      </c>
      <c r="D184" s="871">
        <v>38.285600000000002</v>
      </c>
      <c r="E184" s="871">
        <v>-121.71708</v>
      </c>
      <c r="F184" s="424" t="s">
        <v>333</v>
      </c>
      <c r="G184" s="424" t="s">
        <v>90</v>
      </c>
      <c r="H184" s="424" t="s">
        <v>126</v>
      </c>
      <c r="I184" s="425">
        <v>0.32777777777777778</v>
      </c>
      <c r="J184" s="424" t="s">
        <v>50</v>
      </c>
      <c r="K184" s="424" t="s">
        <v>50</v>
      </c>
      <c r="L184" s="424" t="s">
        <v>50</v>
      </c>
      <c r="M184" s="424" t="s">
        <v>50</v>
      </c>
      <c r="N184" s="424" t="s">
        <v>50</v>
      </c>
      <c r="O184" s="424" t="s">
        <v>48</v>
      </c>
      <c r="P184" s="424">
        <v>0</v>
      </c>
      <c r="Q184" s="424" t="s">
        <v>50</v>
      </c>
      <c r="R184" s="424" t="s">
        <v>50</v>
      </c>
      <c r="S184" s="872" t="s">
        <v>50</v>
      </c>
      <c r="T184" s="872" t="s">
        <v>50</v>
      </c>
      <c r="U184" s="872" t="s">
        <v>50</v>
      </c>
      <c r="V184" s="872" t="s">
        <v>50</v>
      </c>
      <c r="W184" s="872" t="s">
        <v>50</v>
      </c>
      <c r="X184" s="872" t="s">
        <v>50</v>
      </c>
      <c r="Y184" s="426" t="s">
        <v>72</v>
      </c>
    </row>
    <row r="185" spans="1:25" x14ac:dyDescent="0.25">
      <c r="A185" s="821">
        <v>44203</v>
      </c>
      <c r="B185" s="51" t="s">
        <v>105</v>
      </c>
      <c r="C185" s="51" t="s">
        <v>162</v>
      </c>
      <c r="D185" s="870">
        <v>38.255989999999997</v>
      </c>
      <c r="E185" s="870">
        <v>-121.67162999999999</v>
      </c>
      <c r="F185" s="51" t="s">
        <v>334</v>
      </c>
      <c r="G185" s="51" t="s">
        <v>90</v>
      </c>
      <c r="H185" s="51" t="s">
        <v>126</v>
      </c>
      <c r="I185" s="66">
        <v>0.44791666666666669</v>
      </c>
      <c r="J185" s="51">
        <v>184.17</v>
      </c>
      <c r="K185" s="51">
        <v>9.5</v>
      </c>
      <c r="L185" s="51">
        <v>7.7</v>
      </c>
      <c r="M185" s="51">
        <v>1.8</v>
      </c>
      <c r="N185" s="51">
        <v>10.53</v>
      </c>
      <c r="O185" s="51" t="s">
        <v>48</v>
      </c>
      <c r="P185" s="51">
        <v>4</v>
      </c>
      <c r="Q185" s="51">
        <v>10</v>
      </c>
      <c r="R185" s="51" t="s">
        <v>64</v>
      </c>
      <c r="S185" s="861" t="s">
        <v>50</v>
      </c>
      <c r="T185" s="861" t="s">
        <v>50</v>
      </c>
      <c r="U185" s="861" t="s">
        <v>50</v>
      </c>
      <c r="V185" s="861" t="s">
        <v>50</v>
      </c>
      <c r="W185" s="861" t="s">
        <v>50</v>
      </c>
      <c r="X185" s="861" t="s">
        <v>50</v>
      </c>
    </row>
    <row r="186" spans="1:25" x14ac:dyDescent="0.25">
      <c r="A186" s="821">
        <v>44203</v>
      </c>
      <c r="B186" s="51" t="s">
        <v>105</v>
      </c>
      <c r="C186" s="51" t="s">
        <v>95</v>
      </c>
      <c r="D186" s="870">
        <v>38.102429999999998</v>
      </c>
      <c r="E186" s="870">
        <v>-121.62451</v>
      </c>
      <c r="F186" s="51" t="s">
        <v>335</v>
      </c>
      <c r="G186" s="51" t="s">
        <v>46</v>
      </c>
      <c r="H186" s="51" t="s">
        <v>97</v>
      </c>
      <c r="I186" s="66">
        <v>0.3444444444444445</v>
      </c>
      <c r="J186" s="51">
        <v>507</v>
      </c>
      <c r="K186" s="51">
        <v>9.6</v>
      </c>
      <c r="L186" s="51">
        <v>5.05</v>
      </c>
      <c r="M186" s="51">
        <v>1.59</v>
      </c>
      <c r="N186" s="51">
        <v>15</v>
      </c>
      <c r="O186" s="51" t="s">
        <v>48</v>
      </c>
      <c r="P186" s="51">
        <v>4</v>
      </c>
      <c r="Q186" s="51">
        <v>10</v>
      </c>
      <c r="R186" s="51" t="s">
        <v>64</v>
      </c>
      <c r="S186" s="861" t="s">
        <v>50</v>
      </c>
      <c r="T186" s="861" t="s">
        <v>50</v>
      </c>
      <c r="U186" s="861" t="s">
        <v>50</v>
      </c>
      <c r="V186" s="861" t="s">
        <v>50</v>
      </c>
      <c r="W186" s="861" t="s">
        <v>50</v>
      </c>
      <c r="X186" s="861" t="s">
        <v>50</v>
      </c>
    </row>
    <row r="187" spans="1:25" x14ac:dyDescent="0.25">
      <c r="A187" s="821">
        <v>44203</v>
      </c>
      <c r="B187" s="51" t="s">
        <v>105</v>
      </c>
      <c r="C187" s="51" t="s">
        <v>95</v>
      </c>
      <c r="D187" s="870">
        <v>38.093470000000003</v>
      </c>
      <c r="E187" s="870">
        <v>-121.65461000000001</v>
      </c>
      <c r="F187" s="51" t="s">
        <v>336</v>
      </c>
      <c r="G187" s="51" t="s">
        <v>46</v>
      </c>
      <c r="H187" s="51" t="s">
        <v>97</v>
      </c>
      <c r="I187" s="822">
        <v>0.39444444444444443</v>
      </c>
      <c r="J187" s="51">
        <v>871.5</v>
      </c>
      <c r="K187" s="51">
        <v>9.6</v>
      </c>
      <c r="L187" s="51">
        <v>7.48</v>
      </c>
      <c r="M187" s="51">
        <v>1.46</v>
      </c>
      <c r="N187" s="51">
        <v>5.5</v>
      </c>
      <c r="O187" s="51" t="s">
        <v>48</v>
      </c>
      <c r="P187" s="51">
        <v>4</v>
      </c>
      <c r="Q187" s="51">
        <v>10</v>
      </c>
      <c r="R187" s="51" t="s">
        <v>64</v>
      </c>
      <c r="S187" s="861" t="s">
        <v>50</v>
      </c>
      <c r="T187" s="861" t="s">
        <v>50</v>
      </c>
      <c r="U187" s="861" t="s">
        <v>50</v>
      </c>
      <c r="V187" s="861" t="s">
        <v>50</v>
      </c>
      <c r="W187" s="861" t="s">
        <v>50</v>
      </c>
      <c r="X187" s="861" t="s">
        <v>50</v>
      </c>
      <c r="Y187" s="52" t="s">
        <v>337</v>
      </c>
    </row>
    <row r="188" spans="1:25" x14ac:dyDescent="0.25">
      <c r="A188" s="821">
        <v>44203</v>
      </c>
      <c r="B188" s="51" t="s">
        <v>105</v>
      </c>
      <c r="C188" s="51" t="s">
        <v>95</v>
      </c>
      <c r="D188" s="870">
        <v>38.028880000000001</v>
      </c>
      <c r="E188" s="870">
        <v>-121.75461</v>
      </c>
      <c r="F188" s="51" t="s">
        <v>338</v>
      </c>
      <c r="G188" s="51" t="s">
        <v>27</v>
      </c>
      <c r="H188" s="51" t="s">
        <v>95</v>
      </c>
      <c r="I188" s="66">
        <v>0.46180555555555558</v>
      </c>
      <c r="J188" s="51">
        <v>4503</v>
      </c>
      <c r="K188" s="51">
        <v>9.92</v>
      </c>
      <c r="L188" s="51">
        <v>17.100000000000001</v>
      </c>
      <c r="M188" s="51">
        <v>1.71</v>
      </c>
      <c r="N188" s="51">
        <v>11.18</v>
      </c>
      <c r="O188" s="51" t="s">
        <v>48</v>
      </c>
      <c r="P188" s="51">
        <v>4</v>
      </c>
      <c r="Q188" s="51">
        <v>10</v>
      </c>
      <c r="R188" s="51" t="s">
        <v>64</v>
      </c>
      <c r="S188" s="861" t="s">
        <v>50</v>
      </c>
      <c r="T188" s="861" t="s">
        <v>50</v>
      </c>
      <c r="U188" s="861" t="s">
        <v>50</v>
      </c>
      <c r="V188" s="861" t="s">
        <v>50</v>
      </c>
      <c r="W188" s="861" t="s">
        <v>50</v>
      </c>
      <c r="X188" s="861" t="s">
        <v>50</v>
      </c>
    </row>
    <row r="189" spans="1:25" x14ac:dyDescent="0.25">
      <c r="A189" s="821">
        <v>44203</v>
      </c>
      <c r="B189" s="51" t="s">
        <v>105</v>
      </c>
      <c r="C189" s="51" t="s">
        <v>118</v>
      </c>
      <c r="D189" s="870">
        <v>38.034050000000001</v>
      </c>
      <c r="E189" s="870">
        <v>-122.30444</v>
      </c>
      <c r="F189" s="51" t="s">
        <v>339</v>
      </c>
      <c r="G189" s="51" t="s">
        <v>80</v>
      </c>
      <c r="H189" s="51" t="s">
        <v>123</v>
      </c>
      <c r="I189" s="66">
        <v>0.36319444444444443</v>
      </c>
      <c r="J189" s="51">
        <v>27729</v>
      </c>
      <c r="K189" s="51">
        <v>10.8</v>
      </c>
      <c r="L189" s="51">
        <v>11.15</v>
      </c>
      <c r="M189" s="51">
        <v>0.98</v>
      </c>
      <c r="N189" s="51">
        <v>3.85</v>
      </c>
      <c r="O189" s="51" t="s">
        <v>48</v>
      </c>
      <c r="P189" s="51">
        <v>4</v>
      </c>
      <c r="Q189" s="51">
        <v>10</v>
      </c>
      <c r="R189" s="51" t="s">
        <v>49</v>
      </c>
      <c r="S189" s="861" t="s">
        <v>50</v>
      </c>
      <c r="T189" s="861" t="s">
        <v>50</v>
      </c>
      <c r="U189" s="861" t="s">
        <v>50</v>
      </c>
      <c r="V189" s="861" t="s">
        <v>50</v>
      </c>
      <c r="W189" s="861" t="s">
        <v>50</v>
      </c>
      <c r="X189" s="861" t="s">
        <v>50</v>
      </c>
    </row>
    <row r="190" spans="1:25" x14ac:dyDescent="0.25">
      <c r="A190" s="821">
        <v>44203</v>
      </c>
      <c r="B190" s="51" t="s">
        <v>105</v>
      </c>
      <c r="C190" s="51" t="s">
        <v>118</v>
      </c>
      <c r="D190" s="870">
        <v>38.062150000000003</v>
      </c>
      <c r="E190" s="870">
        <v>-122.31063</v>
      </c>
      <c r="F190" s="51" t="s">
        <v>340</v>
      </c>
      <c r="G190" s="51" t="s">
        <v>80</v>
      </c>
      <c r="H190" s="51" t="s">
        <v>123</v>
      </c>
      <c r="I190" s="66">
        <v>0.43958333333333338</v>
      </c>
      <c r="J190" s="51">
        <v>27636</v>
      </c>
      <c r="K190" s="51">
        <v>10.85</v>
      </c>
      <c r="L190" s="51">
        <v>10.37</v>
      </c>
      <c r="M190" s="51">
        <v>1.08</v>
      </c>
      <c r="N190" s="51">
        <v>5.6</v>
      </c>
      <c r="O190" s="51" t="s">
        <v>48</v>
      </c>
      <c r="P190" s="51">
        <v>4</v>
      </c>
      <c r="Q190" s="51">
        <v>10</v>
      </c>
      <c r="R190" s="51" t="s">
        <v>49</v>
      </c>
      <c r="S190" s="861" t="s">
        <v>50</v>
      </c>
      <c r="T190" s="861" t="s">
        <v>50</v>
      </c>
      <c r="U190" s="861" t="s">
        <v>50</v>
      </c>
      <c r="V190" s="861" t="s">
        <v>50</v>
      </c>
      <c r="W190" s="861" t="s">
        <v>50</v>
      </c>
      <c r="X190" s="861" t="s">
        <v>50</v>
      </c>
    </row>
    <row r="191" spans="1:25" x14ac:dyDescent="0.25">
      <c r="A191" s="821">
        <v>44203</v>
      </c>
      <c r="B191" s="51" t="s">
        <v>105</v>
      </c>
      <c r="C191" s="51" t="s">
        <v>118</v>
      </c>
      <c r="D191" s="870">
        <v>38.053780000000003</v>
      </c>
      <c r="E191" s="870">
        <v>-122.30670000000001</v>
      </c>
      <c r="F191" s="51" t="s">
        <v>341</v>
      </c>
      <c r="G191" s="51" t="s">
        <v>80</v>
      </c>
      <c r="H191" s="51" t="s">
        <v>123</v>
      </c>
      <c r="I191" s="66">
        <v>0.49305555555555558</v>
      </c>
      <c r="J191" s="51">
        <v>25671</v>
      </c>
      <c r="K191" s="51">
        <v>10.9</v>
      </c>
      <c r="L191" s="51">
        <v>12.58</v>
      </c>
      <c r="M191" s="51">
        <v>0.99</v>
      </c>
      <c r="N191" s="51">
        <v>10.6</v>
      </c>
      <c r="O191" s="51" t="s">
        <v>48</v>
      </c>
      <c r="P191" s="51">
        <v>4</v>
      </c>
      <c r="Q191" s="51">
        <v>10</v>
      </c>
      <c r="R191" s="51" t="s">
        <v>49</v>
      </c>
      <c r="S191" s="861" t="s">
        <v>50</v>
      </c>
      <c r="T191" s="861" t="s">
        <v>50</v>
      </c>
      <c r="U191" s="861" t="s">
        <v>50</v>
      </c>
      <c r="V191" s="861" t="s">
        <v>50</v>
      </c>
      <c r="W191" s="861" t="s">
        <v>50</v>
      </c>
      <c r="X191" s="861" t="s">
        <v>50</v>
      </c>
      <c r="Y191" s="874" t="s">
        <v>342</v>
      </c>
    </row>
    <row r="192" spans="1:25" s="875" customFormat="1" x14ac:dyDescent="0.25">
      <c r="A192" s="821">
        <v>44204</v>
      </c>
      <c r="B192" s="51" t="s">
        <v>125</v>
      </c>
      <c r="C192" s="51" t="s">
        <v>88</v>
      </c>
      <c r="D192" s="51">
        <v>38.075040000000001</v>
      </c>
      <c r="E192" s="51">
        <v>-121.76599</v>
      </c>
      <c r="F192" s="51" t="s">
        <v>343</v>
      </c>
      <c r="G192" s="51" t="s">
        <v>27</v>
      </c>
      <c r="H192" s="51" t="s">
        <v>25</v>
      </c>
      <c r="I192" s="66">
        <v>0.36944444444444446</v>
      </c>
      <c r="J192" s="51">
        <v>3021.5</v>
      </c>
      <c r="K192" s="51">
        <v>9.5</v>
      </c>
      <c r="L192" s="51">
        <v>16.399999999999999</v>
      </c>
      <c r="M192" s="51">
        <v>0.69</v>
      </c>
      <c r="N192" s="51">
        <v>9.9499999999999993</v>
      </c>
      <c r="O192" s="51" t="s">
        <v>48</v>
      </c>
      <c r="P192" s="51">
        <v>4</v>
      </c>
      <c r="Q192" s="51">
        <v>10</v>
      </c>
      <c r="R192" s="51" t="s">
        <v>64</v>
      </c>
      <c r="S192" s="861" t="s">
        <v>50</v>
      </c>
      <c r="T192" s="861" t="s">
        <v>50</v>
      </c>
      <c r="U192" s="861" t="s">
        <v>50</v>
      </c>
      <c r="V192" s="861" t="s">
        <v>50</v>
      </c>
      <c r="W192" s="861" t="s">
        <v>50</v>
      </c>
      <c r="X192" s="861" t="s">
        <v>50</v>
      </c>
      <c r="Y192" s="52"/>
    </row>
    <row r="193" spans="1:25" s="875" customFormat="1" x14ac:dyDescent="0.25">
      <c r="A193" s="821">
        <v>44204</v>
      </c>
      <c r="B193" s="51" t="s">
        <v>125</v>
      </c>
      <c r="C193" s="51" t="s">
        <v>88</v>
      </c>
      <c r="D193" s="51">
        <v>38.065510000000003</v>
      </c>
      <c r="E193" s="51">
        <v>-121.77651</v>
      </c>
      <c r="F193" s="51" t="s">
        <v>344</v>
      </c>
      <c r="G193" s="51" t="s">
        <v>27</v>
      </c>
      <c r="H193" s="51" t="s">
        <v>25</v>
      </c>
      <c r="I193" s="66">
        <v>0.41250000000000003</v>
      </c>
      <c r="J193" s="51">
        <v>5896.75</v>
      </c>
      <c r="K193" s="51">
        <v>9.73</v>
      </c>
      <c r="L193" s="51">
        <v>25.82</v>
      </c>
      <c r="M193" s="51">
        <v>0.63</v>
      </c>
      <c r="N193" s="51">
        <v>9.35</v>
      </c>
      <c r="O193" s="51" t="s">
        <v>48</v>
      </c>
      <c r="P193" s="51">
        <v>4</v>
      </c>
      <c r="Q193" s="51">
        <v>10</v>
      </c>
      <c r="R193" s="51" t="s">
        <v>64</v>
      </c>
      <c r="S193" s="861" t="s">
        <v>50</v>
      </c>
      <c r="T193" s="861" t="s">
        <v>50</v>
      </c>
      <c r="U193" s="861" t="s">
        <v>50</v>
      </c>
      <c r="V193" s="861" t="s">
        <v>50</v>
      </c>
      <c r="W193" s="861" t="s">
        <v>50</v>
      </c>
      <c r="X193" s="861" t="s">
        <v>50</v>
      </c>
      <c r="Y193" s="52"/>
    </row>
    <row r="194" spans="1:25" s="880" customFormat="1" x14ac:dyDescent="0.25">
      <c r="A194" s="853">
        <v>44204</v>
      </c>
      <c r="B194" s="74" t="s">
        <v>125</v>
      </c>
      <c r="C194" s="74" t="s">
        <v>88</v>
      </c>
      <c r="D194" s="74">
        <v>38.063929999999999</v>
      </c>
      <c r="E194" s="74">
        <v>-121.83195000000001</v>
      </c>
      <c r="F194" s="74" t="s">
        <v>345</v>
      </c>
      <c r="G194" s="74" t="s">
        <v>27</v>
      </c>
      <c r="H194" s="74" t="s">
        <v>25</v>
      </c>
      <c r="I194" s="73">
        <v>0.45902777777777781</v>
      </c>
      <c r="J194" s="74">
        <v>11974.75</v>
      </c>
      <c r="K194" s="74">
        <v>10</v>
      </c>
      <c r="L194" s="74">
        <v>26.3</v>
      </c>
      <c r="M194" s="74">
        <v>0.64</v>
      </c>
      <c r="N194" s="74">
        <v>11.82</v>
      </c>
      <c r="O194" s="74" t="s">
        <v>48</v>
      </c>
      <c r="P194" s="74">
        <v>4</v>
      </c>
      <c r="Q194" s="74">
        <v>10</v>
      </c>
      <c r="R194" s="74" t="s">
        <v>64</v>
      </c>
      <c r="S194" s="879" t="s">
        <v>50</v>
      </c>
      <c r="T194" s="879" t="s">
        <v>50</v>
      </c>
      <c r="U194" s="879" t="s">
        <v>50</v>
      </c>
      <c r="V194" s="879" t="s">
        <v>50</v>
      </c>
      <c r="W194" s="879" t="s">
        <v>50</v>
      </c>
      <c r="X194" s="879" t="s">
        <v>50</v>
      </c>
      <c r="Y194" s="77" t="s">
        <v>346</v>
      </c>
    </row>
    <row r="195" spans="1:25" s="878" customFormat="1" x14ac:dyDescent="0.25">
      <c r="A195" s="876">
        <v>44216</v>
      </c>
      <c r="B195" s="437" t="s">
        <v>87</v>
      </c>
      <c r="C195" s="437" t="s">
        <v>88</v>
      </c>
      <c r="D195" s="437">
        <v>38.111170000000001</v>
      </c>
      <c r="E195" s="437">
        <v>-121.70759</v>
      </c>
      <c r="F195" s="437" t="s">
        <v>347</v>
      </c>
      <c r="G195" s="437" t="s">
        <v>90</v>
      </c>
      <c r="H195" s="437" t="s">
        <v>91</v>
      </c>
      <c r="I195" s="438">
        <v>0.43194444444444446</v>
      </c>
      <c r="J195" s="437">
        <v>2320.75</v>
      </c>
      <c r="K195" s="437">
        <v>10.1</v>
      </c>
      <c r="L195" s="437">
        <v>23.45</v>
      </c>
      <c r="M195" s="437">
        <v>0.46</v>
      </c>
      <c r="N195" s="437">
        <v>6.47</v>
      </c>
      <c r="O195" s="437" t="s">
        <v>48</v>
      </c>
      <c r="P195" s="437">
        <v>4</v>
      </c>
      <c r="Q195" s="437">
        <v>10</v>
      </c>
      <c r="R195" s="437" t="s">
        <v>64</v>
      </c>
      <c r="S195" s="877" t="s">
        <v>348</v>
      </c>
      <c r="T195" s="437">
        <v>1</v>
      </c>
      <c r="U195" s="437" t="s">
        <v>349</v>
      </c>
      <c r="V195" s="437" t="s">
        <v>50</v>
      </c>
      <c r="W195" s="437" t="s">
        <v>350</v>
      </c>
      <c r="X195" s="437" t="s">
        <v>351</v>
      </c>
      <c r="Y195" s="440" t="s">
        <v>352</v>
      </c>
    </row>
    <row r="196" spans="1:25" x14ac:dyDescent="0.25">
      <c r="A196" s="821">
        <v>44216</v>
      </c>
      <c r="B196" s="51" t="s">
        <v>87</v>
      </c>
      <c r="C196" s="51" t="s">
        <v>88</v>
      </c>
      <c r="D196" s="51">
        <v>38.058320000000002</v>
      </c>
      <c r="E196" s="51">
        <v>-121.81017</v>
      </c>
      <c r="F196" s="51" t="s">
        <v>353</v>
      </c>
      <c r="G196" s="51" t="s">
        <v>27</v>
      </c>
      <c r="H196" s="51" t="s">
        <v>25</v>
      </c>
      <c r="I196" s="66">
        <v>0.33194444444444443</v>
      </c>
      <c r="J196" s="51">
        <v>8067.25</v>
      </c>
      <c r="K196" s="51">
        <v>10.199999999999999</v>
      </c>
      <c r="L196" s="51">
        <v>40.43</v>
      </c>
      <c r="M196" s="51">
        <v>0.41</v>
      </c>
      <c r="N196" s="51">
        <v>9.68</v>
      </c>
      <c r="O196" s="51" t="s">
        <v>48</v>
      </c>
      <c r="P196" s="51">
        <v>4</v>
      </c>
      <c r="Q196" s="51">
        <v>10</v>
      </c>
      <c r="R196" s="51" t="s">
        <v>64</v>
      </c>
      <c r="S196" s="51" t="s">
        <v>50</v>
      </c>
      <c r="T196" s="51" t="s">
        <v>50</v>
      </c>
      <c r="U196" s="51" t="s">
        <v>50</v>
      </c>
      <c r="V196" s="51" t="s">
        <v>50</v>
      </c>
      <c r="W196" s="51" t="s">
        <v>50</v>
      </c>
      <c r="X196" s="51" t="s">
        <v>50</v>
      </c>
    </row>
    <row r="197" spans="1:25" s="856" customFormat="1" x14ac:dyDescent="0.25">
      <c r="A197" s="855">
        <v>44216</v>
      </c>
      <c r="B197" s="450" t="s">
        <v>87</v>
      </c>
      <c r="C197" s="450" t="s">
        <v>88</v>
      </c>
      <c r="D197" s="450">
        <v>38.083669999999998</v>
      </c>
      <c r="E197" s="450">
        <v>-121.75248000000001</v>
      </c>
      <c r="F197" s="450" t="s">
        <v>354</v>
      </c>
      <c r="G197" s="450" t="s">
        <v>27</v>
      </c>
      <c r="H197" s="450" t="s">
        <v>25</v>
      </c>
      <c r="I197" s="451">
        <v>0.38194444444444442</v>
      </c>
      <c r="J197" s="450">
        <v>4562</v>
      </c>
      <c r="K197" s="450">
        <v>10.050000000000001</v>
      </c>
      <c r="L197" s="450">
        <v>29.5</v>
      </c>
      <c r="M197" s="450">
        <v>0.45</v>
      </c>
      <c r="N197" s="450">
        <v>9.6199999999999992</v>
      </c>
      <c r="O197" s="450" t="s">
        <v>48</v>
      </c>
      <c r="P197" s="450">
        <v>4</v>
      </c>
      <c r="Q197" s="450">
        <v>10</v>
      </c>
      <c r="R197" s="450" t="s">
        <v>64</v>
      </c>
      <c r="S197" s="858" t="s">
        <v>31</v>
      </c>
      <c r="T197" s="450">
        <v>1</v>
      </c>
      <c r="U197" s="450" t="s">
        <v>301</v>
      </c>
      <c r="V197" s="450" t="s">
        <v>355</v>
      </c>
      <c r="W197" s="450" t="s">
        <v>50</v>
      </c>
      <c r="X197" s="450" t="s">
        <v>228</v>
      </c>
      <c r="Y197" s="453" t="s">
        <v>356</v>
      </c>
    </row>
    <row r="198" spans="1:25" x14ac:dyDescent="0.25">
      <c r="A198" s="821">
        <v>44216</v>
      </c>
      <c r="B198" s="51" t="s">
        <v>87</v>
      </c>
      <c r="C198" s="51" t="s">
        <v>78</v>
      </c>
      <c r="D198" s="51">
        <v>38.045839999999998</v>
      </c>
      <c r="E198" s="51">
        <v>-121.89336</v>
      </c>
      <c r="F198" s="51" t="s">
        <v>357</v>
      </c>
      <c r="G198" s="51" t="s">
        <v>27</v>
      </c>
      <c r="H198" s="51" t="s">
        <v>101</v>
      </c>
      <c r="I198" s="66">
        <v>0.45277777777777778</v>
      </c>
      <c r="J198" s="51">
        <v>10013.799999999999</v>
      </c>
      <c r="K198" s="51">
        <v>10.38</v>
      </c>
      <c r="L198" s="51">
        <v>21.55</v>
      </c>
      <c r="M198" s="51">
        <v>0.51</v>
      </c>
      <c r="N198" s="51">
        <v>28.95</v>
      </c>
      <c r="O198" s="51" t="s">
        <v>48</v>
      </c>
      <c r="P198" s="51">
        <v>4</v>
      </c>
      <c r="Q198" s="51">
        <v>10</v>
      </c>
      <c r="R198" s="51" t="s">
        <v>49</v>
      </c>
      <c r="S198" s="51" t="s">
        <v>50</v>
      </c>
      <c r="T198" s="51" t="s">
        <v>50</v>
      </c>
      <c r="U198" s="51" t="s">
        <v>50</v>
      </c>
      <c r="V198" s="51" t="s">
        <v>50</v>
      </c>
      <c r="W198" s="51" t="s">
        <v>50</v>
      </c>
      <c r="X198" s="51" t="s">
        <v>50</v>
      </c>
    </row>
    <row r="199" spans="1:25" x14ac:dyDescent="0.25">
      <c r="A199" s="821">
        <v>44216</v>
      </c>
      <c r="B199" s="51" t="s">
        <v>87</v>
      </c>
      <c r="C199" s="51" t="s">
        <v>78</v>
      </c>
      <c r="D199" s="51">
        <v>38.050800000000002</v>
      </c>
      <c r="E199" s="51">
        <v>-121.97528</v>
      </c>
      <c r="F199" s="51" t="s">
        <v>358</v>
      </c>
      <c r="G199" s="51" t="s">
        <v>27</v>
      </c>
      <c r="H199" s="51" t="s">
        <v>86</v>
      </c>
      <c r="I199" s="66">
        <v>0.39097222222222222</v>
      </c>
      <c r="J199" s="51">
        <v>18513</v>
      </c>
      <c r="K199" s="51">
        <v>10.42</v>
      </c>
      <c r="L199" s="51">
        <v>19.68</v>
      </c>
      <c r="M199" s="51">
        <v>0.56999999999999995</v>
      </c>
      <c r="N199" s="51">
        <v>3.65</v>
      </c>
      <c r="O199" s="51" t="s">
        <v>48</v>
      </c>
      <c r="P199" s="51">
        <v>4</v>
      </c>
      <c r="Q199" s="51">
        <v>10</v>
      </c>
      <c r="R199" s="51" t="s">
        <v>64</v>
      </c>
      <c r="S199" s="51" t="s">
        <v>50</v>
      </c>
      <c r="T199" s="51" t="s">
        <v>50</v>
      </c>
      <c r="U199" s="51" t="s">
        <v>50</v>
      </c>
      <c r="V199" s="51" t="s">
        <v>50</v>
      </c>
      <c r="W199" s="51" t="s">
        <v>50</v>
      </c>
      <c r="X199" s="51" t="s">
        <v>50</v>
      </c>
    </row>
    <row r="200" spans="1:25" x14ac:dyDescent="0.25">
      <c r="A200" s="821">
        <v>44216</v>
      </c>
      <c r="B200" s="51" t="s">
        <v>87</v>
      </c>
      <c r="C200" s="51" t="s">
        <v>78</v>
      </c>
      <c r="D200" s="51">
        <v>38.058349999999997</v>
      </c>
      <c r="E200" s="51">
        <v>-121.99893</v>
      </c>
      <c r="F200" s="51" t="s">
        <v>359</v>
      </c>
      <c r="G200" s="51" t="s">
        <v>27</v>
      </c>
      <c r="H200" s="51" t="s">
        <v>86</v>
      </c>
      <c r="I200" s="66">
        <v>0.3354166666666667</v>
      </c>
      <c r="J200" s="51">
        <v>20626.5</v>
      </c>
      <c r="K200" s="51">
        <v>10.02</v>
      </c>
      <c r="L200" s="51">
        <v>18.22</v>
      </c>
      <c r="M200" s="51">
        <v>0.6</v>
      </c>
      <c r="N200" s="51">
        <v>15.65</v>
      </c>
      <c r="O200" s="51" t="s">
        <v>48</v>
      </c>
      <c r="P200" s="51">
        <v>4</v>
      </c>
      <c r="Q200" s="51">
        <v>10</v>
      </c>
      <c r="R200" s="51" t="s">
        <v>64</v>
      </c>
      <c r="S200" s="51" t="s">
        <v>50</v>
      </c>
      <c r="T200" s="51" t="s">
        <v>50</v>
      </c>
      <c r="U200" s="51" t="s">
        <v>50</v>
      </c>
      <c r="V200" s="51" t="s">
        <v>50</v>
      </c>
      <c r="W200" s="51" t="s">
        <v>50</v>
      </c>
      <c r="X200" s="51" t="s">
        <v>50</v>
      </c>
      <c r="Y200" s="52" t="s">
        <v>360</v>
      </c>
    </row>
    <row r="201" spans="1:25" s="441" customFormat="1" x14ac:dyDescent="0.25">
      <c r="A201" s="821">
        <v>44217</v>
      </c>
      <c r="B201" s="51" t="s">
        <v>105</v>
      </c>
      <c r="C201" s="51" t="s">
        <v>88</v>
      </c>
      <c r="D201" s="870">
        <v>38.195099999999996</v>
      </c>
      <c r="E201" s="870">
        <v>-121.65612</v>
      </c>
      <c r="F201" s="51" t="s">
        <v>361</v>
      </c>
      <c r="G201" s="51" t="s">
        <v>90</v>
      </c>
      <c r="H201" s="51" t="s">
        <v>362</v>
      </c>
      <c r="I201" s="66">
        <v>0.4597222222222222</v>
      </c>
      <c r="J201" s="51">
        <v>227.1</v>
      </c>
      <c r="K201" s="51">
        <v>10.33</v>
      </c>
      <c r="L201" s="51">
        <v>16.05</v>
      </c>
      <c r="M201" s="51">
        <v>0.83</v>
      </c>
      <c r="N201" s="51">
        <v>16.23</v>
      </c>
      <c r="O201" s="51" t="s">
        <v>48</v>
      </c>
      <c r="P201" s="51">
        <v>4</v>
      </c>
      <c r="Q201" s="51">
        <v>10</v>
      </c>
      <c r="R201" s="51" t="s">
        <v>64</v>
      </c>
      <c r="S201" s="51" t="s">
        <v>50</v>
      </c>
      <c r="T201" s="51" t="s">
        <v>50</v>
      </c>
      <c r="U201" s="51" t="s">
        <v>50</v>
      </c>
      <c r="V201" s="51" t="s">
        <v>50</v>
      </c>
      <c r="W201" s="51" t="s">
        <v>50</v>
      </c>
      <c r="X201" s="51" t="s">
        <v>50</v>
      </c>
      <c r="Y201" s="52"/>
    </row>
    <row r="202" spans="1:25" s="441" customFormat="1" x14ac:dyDescent="0.25">
      <c r="A202" s="821">
        <v>44217</v>
      </c>
      <c r="B202" s="51" t="s">
        <v>105</v>
      </c>
      <c r="C202" s="51" t="s">
        <v>88</v>
      </c>
      <c r="D202" s="870">
        <v>38.207689999999999</v>
      </c>
      <c r="E202" s="870">
        <v>-121.65703000000001</v>
      </c>
      <c r="F202" s="51" t="s">
        <v>363</v>
      </c>
      <c r="G202" s="51" t="s">
        <v>90</v>
      </c>
      <c r="H202" s="51" t="s">
        <v>362</v>
      </c>
      <c r="I202" s="66">
        <v>0.41388888888888892</v>
      </c>
      <c r="J202" s="51">
        <v>221.17</v>
      </c>
      <c r="K202" s="51">
        <v>10.3</v>
      </c>
      <c r="L202" s="51">
        <v>28.03</v>
      </c>
      <c r="M202" s="51">
        <v>0.71</v>
      </c>
      <c r="N202" s="51">
        <v>11.2</v>
      </c>
      <c r="O202" s="51" t="s">
        <v>48</v>
      </c>
      <c r="P202" s="51">
        <v>3</v>
      </c>
      <c r="Q202" s="51">
        <v>10</v>
      </c>
      <c r="R202" s="51" t="s">
        <v>64</v>
      </c>
      <c r="S202" s="51" t="s">
        <v>50</v>
      </c>
      <c r="T202" s="51" t="s">
        <v>50</v>
      </c>
      <c r="U202" s="51" t="s">
        <v>50</v>
      </c>
      <c r="V202" s="51" t="s">
        <v>50</v>
      </c>
      <c r="W202" s="51" t="s">
        <v>50</v>
      </c>
      <c r="X202" s="51" t="s">
        <v>50</v>
      </c>
      <c r="Y202" s="52"/>
    </row>
    <row r="203" spans="1:25" s="441" customFormat="1" x14ac:dyDescent="0.25">
      <c r="A203" s="821">
        <v>44217</v>
      </c>
      <c r="B203" s="51" t="s">
        <v>105</v>
      </c>
      <c r="C203" s="51" t="s">
        <v>88</v>
      </c>
      <c r="D203" s="870">
        <v>38.40851</v>
      </c>
      <c r="E203" s="870">
        <v>-121.61348</v>
      </c>
      <c r="F203" s="51" t="s">
        <v>364</v>
      </c>
      <c r="G203" s="51" t="s">
        <v>90</v>
      </c>
      <c r="H203" s="51" t="s">
        <v>362</v>
      </c>
      <c r="I203" s="66">
        <v>0.34652777777777777</v>
      </c>
      <c r="J203" s="51">
        <v>458.78</v>
      </c>
      <c r="K203" s="51">
        <v>9.4700000000000006</v>
      </c>
      <c r="L203" s="51">
        <v>145.75</v>
      </c>
      <c r="M203" s="51">
        <v>0.17</v>
      </c>
      <c r="N203" s="51">
        <v>11.28</v>
      </c>
      <c r="O203" s="51" t="s">
        <v>48</v>
      </c>
      <c r="P203" s="51">
        <v>4</v>
      </c>
      <c r="Q203" s="51">
        <v>10</v>
      </c>
      <c r="R203" s="51" t="s">
        <v>64</v>
      </c>
      <c r="S203" s="51" t="s">
        <v>50</v>
      </c>
      <c r="T203" s="51" t="s">
        <v>50</v>
      </c>
      <c r="U203" s="51" t="s">
        <v>50</v>
      </c>
      <c r="V203" s="51" t="s">
        <v>50</v>
      </c>
      <c r="W203" s="51" t="s">
        <v>50</v>
      </c>
      <c r="X203" s="51" t="s">
        <v>50</v>
      </c>
      <c r="Y203" s="52" t="s">
        <v>365</v>
      </c>
    </row>
    <row r="204" spans="1:25" s="441" customFormat="1" x14ac:dyDescent="0.25">
      <c r="A204" s="821">
        <v>44217</v>
      </c>
      <c r="B204" s="51" t="s">
        <v>105</v>
      </c>
      <c r="C204" s="51" t="s">
        <v>62</v>
      </c>
      <c r="D204" s="870">
        <v>38.157159999999998</v>
      </c>
      <c r="E204" s="870">
        <v>-122.05096</v>
      </c>
      <c r="F204" s="51" t="s">
        <v>366</v>
      </c>
      <c r="G204" s="51" t="s">
        <v>27</v>
      </c>
      <c r="H204" s="51" t="s">
        <v>62</v>
      </c>
      <c r="I204" s="66">
        <v>0.41111111111111115</v>
      </c>
      <c r="J204" s="51">
        <v>15422.75</v>
      </c>
      <c r="K204" s="51">
        <v>9.8699999999999992</v>
      </c>
      <c r="L204" s="51">
        <v>16.829999999999998</v>
      </c>
      <c r="M204" s="51">
        <v>0.71</v>
      </c>
      <c r="N204" s="51">
        <v>7.7</v>
      </c>
      <c r="O204" s="51" t="s">
        <v>48</v>
      </c>
      <c r="P204" s="51">
        <v>4</v>
      </c>
      <c r="Q204" s="51">
        <v>10</v>
      </c>
      <c r="R204" s="51" t="s">
        <v>49</v>
      </c>
      <c r="S204" s="51" t="s">
        <v>50</v>
      </c>
      <c r="T204" s="51" t="s">
        <v>50</v>
      </c>
      <c r="U204" s="51" t="s">
        <v>50</v>
      </c>
      <c r="V204" s="51" t="s">
        <v>50</v>
      </c>
      <c r="W204" s="51" t="s">
        <v>50</v>
      </c>
      <c r="X204" s="51" t="s">
        <v>50</v>
      </c>
      <c r="Y204" s="52" t="s">
        <v>356</v>
      </c>
    </row>
    <row r="205" spans="1:25" s="441" customFormat="1" x14ac:dyDescent="0.25">
      <c r="A205" s="821">
        <v>44217</v>
      </c>
      <c r="B205" s="51" t="s">
        <v>105</v>
      </c>
      <c r="C205" s="51" t="s">
        <v>62</v>
      </c>
      <c r="D205" s="870">
        <v>38.144500000000001</v>
      </c>
      <c r="E205" s="870">
        <v>-122.05985</v>
      </c>
      <c r="F205" s="51" t="s">
        <v>367</v>
      </c>
      <c r="G205" s="51" t="s">
        <v>27</v>
      </c>
      <c r="H205" s="51" t="s">
        <v>62</v>
      </c>
      <c r="I205" s="66">
        <v>0.35000000000000003</v>
      </c>
      <c r="J205" s="51">
        <v>17438.75</v>
      </c>
      <c r="K205" s="51">
        <v>9.9700000000000006</v>
      </c>
      <c r="L205" s="51">
        <v>19</v>
      </c>
      <c r="M205" s="51">
        <v>0.61</v>
      </c>
      <c r="N205" s="51">
        <v>10.35</v>
      </c>
      <c r="O205" s="51" t="s">
        <v>48</v>
      </c>
      <c r="P205" s="51">
        <v>4</v>
      </c>
      <c r="Q205" s="51">
        <v>10</v>
      </c>
      <c r="R205" s="51" t="s">
        <v>64</v>
      </c>
      <c r="S205" s="51" t="s">
        <v>50</v>
      </c>
      <c r="T205" s="51" t="s">
        <v>50</v>
      </c>
      <c r="U205" s="51" t="s">
        <v>50</v>
      </c>
      <c r="V205" s="51" t="s">
        <v>50</v>
      </c>
      <c r="W205" s="51" t="s">
        <v>50</v>
      </c>
      <c r="X205" s="51" t="s">
        <v>50</v>
      </c>
      <c r="Y205" s="52"/>
    </row>
    <row r="206" spans="1:25" s="830" customFormat="1" x14ac:dyDescent="0.25">
      <c r="A206" s="855">
        <v>44217</v>
      </c>
      <c r="B206" s="450" t="s">
        <v>105</v>
      </c>
      <c r="C206" s="450" t="s">
        <v>62</v>
      </c>
      <c r="D206" s="881">
        <v>38.182639999999999</v>
      </c>
      <c r="E206" s="881">
        <v>-121.99121</v>
      </c>
      <c r="F206" s="450" t="s">
        <v>368</v>
      </c>
      <c r="G206" s="450" t="s">
        <v>27</v>
      </c>
      <c r="H206" s="450" t="s">
        <v>62</v>
      </c>
      <c r="I206" s="451">
        <v>0.46458333333333335</v>
      </c>
      <c r="J206" s="450">
        <v>11451</v>
      </c>
      <c r="K206" s="450">
        <v>10.17</v>
      </c>
      <c r="L206" s="450">
        <v>22.23</v>
      </c>
      <c r="M206" s="450">
        <v>0.65</v>
      </c>
      <c r="N206" s="450">
        <v>12.05</v>
      </c>
      <c r="O206" s="450" t="s">
        <v>48</v>
      </c>
      <c r="P206" s="450">
        <v>4</v>
      </c>
      <c r="Q206" s="450">
        <v>10</v>
      </c>
      <c r="R206" s="450" t="s">
        <v>49</v>
      </c>
      <c r="S206" s="858" t="s">
        <v>31</v>
      </c>
      <c r="T206" s="450">
        <v>2</v>
      </c>
      <c r="U206" s="450" t="s">
        <v>369</v>
      </c>
      <c r="V206" s="450" t="s">
        <v>66</v>
      </c>
      <c r="W206" s="450" t="s">
        <v>50</v>
      </c>
      <c r="X206" s="450" t="s">
        <v>228</v>
      </c>
      <c r="Y206" s="453"/>
    </row>
    <row r="207" spans="1:25" x14ac:dyDescent="0.25">
      <c r="A207" s="821">
        <v>44218</v>
      </c>
      <c r="B207" s="51" t="s">
        <v>125</v>
      </c>
      <c r="C207" s="51" t="s">
        <v>95</v>
      </c>
      <c r="D207" s="51">
        <v>38.090269999999997</v>
      </c>
      <c r="E207" s="51">
        <v>-121.6414</v>
      </c>
      <c r="F207" s="51" t="s">
        <v>370</v>
      </c>
      <c r="G207" s="51" t="s">
        <v>46</v>
      </c>
      <c r="H207" s="51" t="s">
        <v>97</v>
      </c>
      <c r="I207" s="66">
        <v>0.4236111111111111</v>
      </c>
      <c r="J207" s="51">
        <v>1148</v>
      </c>
      <c r="K207" s="51">
        <v>10</v>
      </c>
      <c r="L207" s="51">
        <v>12.88</v>
      </c>
      <c r="M207" s="51">
        <v>0.94</v>
      </c>
      <c r="N207" s="51">
        <v>8.85</v>
      </c>
      <c r="O207" s="51" t="s">
        <v>48</v>
      </c>
      <c r="P207" s="51">
        <v>4</v>
      </c>
      <c r="Q207" s="51">
        <v>10</v>
      </c>
      <c r="R207" s="51" t="s">
        <v>64</v>
      </c>
      <c r="S207" s="51" t="s">
        <v>50</v>
      </c>
      <c r="T207" s="51" t="s">
        <v>50</v>
      </c>
      <c r="U207" s="51" t="s">
        <v>50</v>
      </c>
      <c r="V207" s="51" t="s">
        <v>50</v>
      </c>
      <c r="W207" s="51" t="s">
        <v>50</v>
      </c>
      <c r="X207" s="51" t="s">
        <v>50</v>
      </c>
      <c r="Y207" s="441"/>
    </row>
    <row r="208" spans="1:25" x14ac:dyDescent="0.25">
      <c r="A208" s="821">
        <v>44218</v>
      </c>
      <c r="B208" s="51" t="s">
        <v>125</v>
      </c>
      <c r="C208" s="51" t="s">
        <v>95</v>
      </c>
      <c r="D208" s="51">
        <v>38.035919999999997</v>
      </c>
      <c r="E208" s="51">
        <v>-121.71532000000001</v>
      </c>
      <c r="F208" s="51" t="s">
        <v>371</v>
      </c>
      <c r="G208" s="51" t="s">
        <v>27</v>
      </c>
      <c r="H208" s="51" t="s">
        <v>95</v>
      </c>
      <c r="I208" s="66">
        <v>0.38263888888888892</v>
      </c>
      <c r="J208" s="51">
        <v>4298.25</v>
      </c>
      <c r="K208" s="51">
        <v>10.1</v>
      </c>
      <c r="L208" s="51">
        <v>23.8</v>
      </c>
      <c r="M208" s="51">
        <v>0.52</v>
      </c>
      <c r="N208" s="51">
        <v>8.2799999999999994</v>
      </c>
      <c r="O208" s="51" t="s">
        <v>48</v>
      </c>
      <c r="P208" s="51">
        <v>4</v>
      </c>
      <c r="Q208" s="51">
        <v>10</v>
      </c>
      <c r="R208" s="51" t="s">
        <v>64</v>
      </c>
      <c r="S208" s="51" t="s">
        <v>50</v>
      </c>
      <c r="T208" s="51" t="s">
        <v>50</v>
      </c>
      <c r="U208" s="51" t="s">
        <v>50</v>
      </c>
      <c r="V208" s="51" t="s">
        <v>50</v>
      </c>
      <c r="W208" s="51" t="s">
        <v>50</v>
      </c>
      <c r="X208" s="51" t="s">
        <v>50</v>
      </c>
      <c r="Y208" s="441"/>
    </row>
    <row r="209" spans="1:25" x14ac:dyDescent="0.25">
      <c r="A209" s="821">
        <v>44218</v>
      </c>
      <c r="B209" s="51" t="s">
        <v>125</v>
      </c>
      <c r="C209" s="51" t="s">
        <v>95</v>
      </c>
      <c r="D209" s="51">
        <v>38.024059999999999</v>
      </c>
      <c r="E209" s="51">
        <v>-121.79474</v>
      </c>
      <c r="F209" s="51" t="s">
        <v>372</v>
      </c>
      <c r="G209" s="51" t="s">
        <v>27</v>
      </c>
      <c r="H209" s="51" t="s">
        <v>95</v>
      </c>
      <c r="I209" s="66">
        <v>0.32569444444444445</v>
      </c>
      <c r="J209" s="51">
        <v>5970</v>
      </c>
      <c r="K209" s="51">
        <v>10.050000000000001</v>
      </c>
      <c r="L209" s="51">
        <v>22.5</v>
      </c>
      <c r="M209" s="51">
        <v>0.54</v>
      </c>
      <c r="N209" s="51">
        <v>12.38</v>
      </c>
      <c r="O209" s="51" t="s">
        <v>48</v>
      </c>
      <c r="P209" s="51">
        <v>4</v>
      </c>
      <c r="Q209" s="51">
        <v>10</v>
      </c>
      <c r="R209" s="51" t="s">
        <v>64</v>
      </c>
      <c r="S209" s="51" t="s">
        <v>50</v>
      </c>
      <c r="T209" s="51" t="s">
        <v>50</v>
      </c>
      <c r="U209" s="51" t="s">
        <v>50</v>
      </c>
      <c r="V209" s="51" t="s">
        <v>50</v>
      </c>
      <c r="W209" s="51" t="s">
        <v>50</v>
      </c>
      <c r="X209" s="51" t="s">
        <v>50</v>
      </c>
      <c r="Y209" s="441"/>
    </row>
    <row r="210" spans="1:25" s="857" customFormat="1" x14ac:dyDescent="0.25">
      <c r="A210" s="446">
        <v>44218</v>
      </c>
      <c r="B210" s="424" t="s">
        <v>125</v>
      </c>
      <c r="C210" s="424" t="s">
        <v>44</v>
      </c>
      <c r="D210" s="871">
        <v>38.040109999999999</v>
      </c>
      <c r="E210" s="871">
        <v>-121.5919</v>
      </c>
      <c r="F210" s="424" t="s">
        <v>373</v>
      </c>
      <c r="G210" s="424" t="s">
        <v>46</v>
      </c>
      <c r="H210" s="424" t="s">
        <v>47</v>
      </c>
      <c r="I210" s="425">
        <v>0.32847222222222222</v>
      </c>
      <c r="J210" s="424" t="s">
        <v>50</v>
      </c>
      <c r="K210" s="424" t="s">
        <v>50</v>
      </c>
      <c r="L210" s="424" t="s">
        <v>50</v>
      </c>
      <c r="M210" s="424" t="s">
        <v>50</v>
      </c>
      <c r="N210" s="424" t="s">
        <v>50</v>
      </c>
      <c r="O210" s="424" t="s">
        <v>48</v>
      </c>
      <c r="P210" s="424">
        <v>0</v>
      </c>
      <c r="Q210" s="424" t="s">
        <v>50</v>
      </c>
      <c r="R210" s="424" t="s">
        <v>50</v>
      </c>
      <c r="S210" s="424" t="s">
        <v>50</v>
      </c>
      <c r="T210" s="424" t="s">
        <v>50</v>
      </c>
      <c r="U210" s="424" t="s">
        <v>50</v>
      </c>
      <c r="V210" s="424" t="s">
        <v>50</v>
      </c>
      <c r="W210" s="424" t="s">
        <v>50</v>
      </c>
      <c r="X210" s="424" t="s">
        <v>50</v>
      </c>
      <c r="Y210" s="426" t="s">
        <v>239</v>
      </c>
    </row>
    <row r="211" spans="1:25" s="857" customFormat="1" x14ac:dyDescent="0.25">
      <c r="A211" s="446">
        <v>44218</v>
      </c>
      <c r="B211" s="424" t="s">
        <v>125</v>
      </c>
      <c r="C211" s="424" t="s">
        <v>44</v>
      </c>
      <c r="D211" s="871">
        <v>38.027729999999998</v>
      </c>
      <c r="E211" s="871">
        <v>-121.60925</v>
      </c>
      <c r="F211" s="424" t="s">
        <v>374</v>
      </c>
      <c r="G211" s="424" t="s">
        <v>46</v>
      </c>
      <c r="H211" s="424" t="s">
        <v>47</v>
      </c>
      <c r="I211" s="425">
        <v>0.32916666666666666</v>
      </c>
      <c r="J211" s="424" t="s">
        <v>50</v>
      </c>
      <c r="K211" s="424" t="s">
        <v>50</v>
      </c>
      <c r="L211" s="424" t="s">
        <v>50</v>
      </c>
      <c r="M211" s="424" t="s">
        <v>50</v>
      </c>
      <c r="N211" s="424" t="s">
        <v>50</v>
      </c>
      <c r="O211" s="424" t="s">
        <v>48</v>
      </c>
      <c r="P211" s="424">
        <v>0</v>
      </c>
      <c r="Q211" s="424" t="s">
        <v>50</v>
      </c>
      <c r="R211" s="424" t="s">
        <v>50</v>
      </c>
      <c r="S211" s="424" t="s">
        <v>50</v>
      </c>
      <c r="T211" s="424" t="s">
        <v>50</v>
      </c>
      <c r="U211" s="424" t="s">
        <v>50</v>
      </c>
      <c r="V211" s="424" t="s">
        <v>50</v>
      </c>
      <c r="W211" s="424" t="s">
        <v>50</v>
      </c>
      <c r="X211" s="424" t="s">
        <v>50</v>
      </c>
      <c r="Y211" s="426" t="s">
        <v>239</v>
      </c>
    </row>
    <row r="212" spans="1:25" x14ac:dyDescent="0.25">
      <c r="A212" s="821">
        <v>44218</v>
      </c>
      <c r="B212" s="51" t="s">
        <v>125</v>
      </c>
      <c r="C212" s="51" t="s">
        <v>44</v>
      </c>
      <c r="D212" s="870">
        <v>37.820030000000003</v>
      </c>
      <c r="E212" s="870">
        <v>-121.54881</v>
      </c>
      <c r="F212" s="51" t="s">
        <v>375</v>
      </c>
      <c r="G212" s="51" t="s">
        <v>46</v>
      </c>
      <c r="H212" s="51" t="s">
        <v>376</v>
      </c>
      <c r="I212" s="66">
        <v>0.3743055555555555</v>
      </c>
      <c r="J212" s="51">
        <v>727</v>
      </c>
      <c r="K212" s="51">
        <v>10.199999999999999</v>
      </c>
      <c r="L212" s="51">
        <v>4.6900000000000004</v>
      </c>
      <c r="M212" s="51">
        <v>1.8</v>
      </c>
      <c r="N212" s="51">
        <v>6.12</v>
      </c>
      <c r="O212" s="51" t="s">
        <v>48</v>
      </c>
      <c r="P212" s="51">
        <v>4</v>
      </c>
      <c r="Q212" s="51">
        <v>10</v>
      </c>
      <c r="R212" s="51" t="s">
        <v>64</v>
      </c>
      <c r="S212" s="51" t="s">
        <v>50</v>
      </c>
      <c r="T212" s="51" t="s">
        <v>50</v>
      </c>
      <c r="U212" s="51" t="s">
        <v>50</v>
      </c>
      <c r="V212" s="51" t="s">
        <v>50</v>
      </c>
      <c r="W212" s="51" t="s">
        <v>50</v>
      </c>
      <c r="X212" s="51" t="s">
        <v>50</v>
      </c>
      <c r="Y212" s="441" t="s">
        <v>377</v>
      </c>
    </row>
    <row r="213" spans="1:25" x14ac:dyDescent="0.25">
      <c r="A213" s="821">
        <v>44218</v>
      </c>
      <c r="B213" s="51" t="s">
        <v>125</v>
      </c>
      <c r="C213" s="51" t="s">
        <v>44</v>
      </c>
      <c r="D213" s="870">
        <v>37.921599999999998</v>
      </c>
      <c r="E213" s="870">
        <v>-121.51860000000001</v>
      </c>
      <c r="F213" s="51" t="s">
        <v>378</v>
      </c>
      <c r="G213" s="51" t="s">
        <v>46</v>
      </c>
      <c r="H213" s="51" t="s">
        <v>56</v>
      </c>
      <c r="I213" s="66">
        <v>0.5180555555555556</v>
      </c>
      <c r="J213" s="51">
        <v>575.25</v>
      </c>
      <c r="K213" s="51">
        <v>10.1</v>
      </c>
      <c r="L213" s="51">
        <v>6.32</v>
      </c>
      <c r="M213" s="51">
        <v>1.8</v>
      </c>
      <c r="N213" s="51">
        <v>6.28</v>
      </c>
      <c r="O213" s="51" t="s">
        <v>48</v>
      </c>
      <c r="P213" s="51">
        <v>4</v>
      </c>
      <c r="Q213" s="51">
        <v>10</v>
      </c>
      <c r="R213" s="51" t="s">
        <v>64</v>
      </c>
      <c r="S213" s="51" t="s">
        <v>50</v>
      </c>
      <c r="T213" s="51" t="s">
        <v>50</v>
      </c>
      <c r="U213" s="51" t="s">
        <v>50</v>
      </c>
      <c r="V213" s="51" t="s">
        <v>50</v>
      </c>
      <c r="W213" s="51" t="s">
        <v>50</v>
      </c>
      <c r="X213" s="51" t="s">
        <v>50</v>
      </c>
      <c r="Y213" s="441"/>
    </row>
    <row r="214" spans="1:25" s="857" customFormat="1" x14ac:dyDescent="0.25">
      <c r="A214" s="446">
        <v>44218</v>
      </c>
      <c r="B214" s="424" t="s">
        <v>125</v>
      </c>
      <c r="C214" s="424" t="s">
        <v>44</v>
      </c>
      <c r="D214" s="871">
        <v>37.989730000000002</v>
      </c>
      <c r="E214" s="871">
        <v>-121.51443</v>
      </c>
      <c r="F214" s="424" t="s">
        <v>379</v>
      </c>
      <c r="G214" s="424" t="s">
        <v>46</v>
      </c>
      <c r="H214" s="424" t="s">
        <v>59</v>
      </c>
      <c r="I214" s="425">
        <v>0.3298611111111111</v>
      </c>
      <c r="J214" s="424" t="s">
        <v>50</v>
      </c>
      <c r="K214" s="424" t="s">
        <v>50</v>
      </c>
      <c r="L214" s="424" t="s">
        <v>50</v>
      </c>
      <c r="M214" s="424" t="s">
        <v>50</v>
      </c>
      <c r="N214" s="424" t="s">
        <v>50</v>
      </c>
      <c r="O214" s="424" t="s">
        <v>48</v>
      </c>
      <c r="P214" s="424">
        <v>0</v>
      </c>
      <c r="Q214" s="424" t="s">
        <v>50</v>
      </c>
      <c r="R214" s="424" t="s">
        <v>50</v>
      </c>
      <c r="S214" s="424" t="s">
        <v>50</v>
      </c>
      <c r="T214" s="424" t="s">
        <v>50</v>
      </c>
      <c r="U214" s="424" t="s">
        <v>50</v>
      </c>
      <c r="V214" s="424" t="s">
        <v>50</v>
      </c>
      <c r="W214" s="424" t="s">
        <v>50</v>
      </c>
      <c r="X214" s="424" t="s">
        <v>50</v>
      </c>
      <c r="Y214" s="491" t="s">
        <v>72</v>
      </c>
    </row>
    <row r="215" spans="1:25" s="854" customFormat="1" x14ac:dyDescent="0.25">
      <c r="A215" s="853">
        <v>44218</v>
      </c>
      <c r="B215" s="74" t="s">
        <v>125</v>
      </c>
      <c r="C215" s="74" t="s">
        <v>44</v>
      </c>
      <c r="D215" s="882">
        <v>37.857480000000002</v>
      </c>
      <c r="E215" s="882">
        <v>-121.54105</v>
      </c>
      <c r="F215" s="74" t="s">
        <v>380</v>
      </c>
      <c r="G215" s="74" t="s">
        <v>46</v>
      </c>
      <c r="H215" s="74" t="s">
        <v>202</v>
      </c>
      <c r="I215" s="73">
        <v>0.43124999999999997</v>
      </c>
      <c r="J215" s="74">
        <v>607</v>
      </c>
      <c r="K215" s="74">
        <v>10.08</v>
      </c>
      <c r="L215" s="74">
        <v>7.24</v>
      </c>
      <c r="M215" s="74">
        <v>1.8</v>
      </c>
      <c r="N215" s="74">
        <v>3.38</v>
      </c>
      <c r="O215" s="74" t="s">
        <v>48</v>
      </c>
      <c r="P215" s="74">
        <v>4</v>
      </c>
      <c r="Q215" s="74">
        <v>10</v>
      </c>
      <c r="R215" s="74" t="s">
        <v>64</v>
      </c>
      <c r="S215" s="74" t="s">
        <v>50</v>
      </c>
      <c r="T215" s="74" t="s">
        <v>50</v>
      </c>
      <c r="U215" s="74" t="s">
        <v>50</v>
      </c>
      <c r="V215" s="74" t="s">
        <v>50</v>
      </c>
      <c r="W215" s="74" t="s">
        <v>50</v>
      </c>
      <c r="X215" s="74" t="s">
        <v>50</v>
      </c>
      <c r="Y215" s="492" t="s">
        <v>381</v>
      </c>
    </row>
    <row r="216" spans="1:25" x14ac:dyDescent="0.25">
      <c r="A216" s="821">
        <v>44221</v>
      </c>
      <c r="B216" s="51" t="s">
        <v>43</v>
      </c>
      <c r="C216" s="51" t="s">
        <v>217</v>
      </c>
      <c r="D216" s="870">
        <v>38.30639</v>
      </c>
      <c r="E216" s="870">
        <v>-121.73223</v>
      </c>
      <c r="F216" s="51" t="s">
        <v>382</v>
      </c>
      <c r="G216" s="51" t="s">
        <v>90</v>
      </c>
      <c r="H216" s="51" t="s">
        <v>126</v>
      </c>
      <c r="I216" s="66">
        <v>0.41319444444444442</v>
      </c>
      <c r="J216" s="51">
        <v>584.25</v>
      </c>
      <c r="K216" s="51">
        <v>7.52</v>
      </c>
      <c r="L216" s="51">
        <v>3.98</v>
      </c>
      <c r="M216" s="51">
        <v>1.8</v>
      </c>
      <c r="N216" s="51">
        <v>3.35</v>
      </c>
      <c r="O216" s="51" t="s">
        <v>48</v>
      </c>
      <c r="P216" s="51">
        <v>4</v>
      </c>
      <c r="Q216" s="51">
        <v>10</v>
      </c>
      <c r="R216" s="51" t="s">
        <v>64</v>
      </c>
      <c r="S216" s="51" t="s">
        <v>50</v>
      </c>
      <c r="T216" s="51" t="s">
        <v>50</v>
      </c>
      <c r="U216" s="51" t="s">
        <v>50</v>
      </c>
      <c r="V216" s="51" t="s">
        <v>50</v>
      </c>
      <c r="W216" s="51" t="s">
        <v>50</v>
      </c>
      <c r="X216" s="51" t="s">
        <v>50</v>
      </c>
      <c r="Y216" s="52" t="s">
        <v>383</v>
      </c>
    </row>
    <row r="217" spans="1:25" x14ac:dyDescent="0.25">
      <c r="A217" s="821">
        <v>44221</v>
      </c>
      <c r="B217" s="51" t="s">
        <v>43</v>
      </c>
      <c r="C217" s="51" t="s">
        <v>217</v>
      </c>
      <c r="D217" s="870">
        <v>38.254060000000003</v>
      </c>
      <c r="E217" s="870">
        <v>-121.72369999999999</v>
      </c>
      <c r="F217" s="51" t="s">
        <v>384</v>
      </c>
      <c r="G217" s="51" t="s">
        <v>90</v>
      </c>
      <c r="H217" s="51" t="s">
        <v>126</v>
      </c>
      <c r="I217" s="66">
        <v>0.34583333333333338</v>
      </c>
      <c r="J217" s="51">
        <v>233.58</v>
      </c>
      <c r="K217" s="51">
        <v>9.25</v>
      </c>
      <c r="L217" s="51">
        <v>7.42</v>
      </c>
      <c r="M217" s="51">
        <v>1.1399999999999999</v>
      </c>
      <c r="N217" s="51">
        <v>4.0999999999999996</v>
      </c>
      <c r="O217" s="51" t="s">
        <v>48</v>
      </c>
      <c r="P217" s="51">
        <v>4</v>
      </c>
      <c r="Q217" s="51">
        <v>10</v>
      </c>
      <c r="R217" s="51" t="s">
        <v>64</v>
      </c>
      <c r="S217" s="51" t="s">
        <v>50</v>
      </c>
      <c r="T217" s="51" t="s">
        <v>50</v>
      </c>
      <c r="U217" s="51" t="s">
        <v>50</v>
      </c>
      <c r="V217" s="51" t="s">
        <v>50</v>
      </c>
      <c r="W217" s="51" t="s">
        <v>50</v>
      </c>
      <c r="X217" s="51" t="s">
        <v>50</v>
      </c>
    </row>
    <row r="218" spans="1:25" x14ac:dyDescent="0.25">
      <c r="A218" s="821">
        <v>44221</v>
      </c>
      <c r="B218" s="51" t="s">
        <v>43</v>
      </c>
      <c r="C218" s="51" t="s">
        <v>217</v>
      </c>
      <c r="D218" s="870">
        <v>38.271769999999997</v>
      </c>
      <c r="E218" s="870">
        <v>-121.69349</v>
      </c>
      <c r="F218" s="51" t="s">
        <v>385</v>
      </c>
      <c r="G218" s="51" t="s">
        <v>90</v>
      </c>
      <c r="H218" s="51" t="s">
        <v>126</v>
      </c>
      <c r="I218" s="66">
        <v>0.47361111111111115</v>
      </c>
      <c r="J218" s="51">
        <v>228.7</v>
      </c>
      <c r="K218" s="51">
        <v>9.8800000000000008</v>
      </c>
      <c r="L218" s="51">
        <v>13.17</v>
      </c>
      <c r="M218" s="51">
        <v>1</v>
      </c>
      <c r="N218" s="51">
        <v>6.6</v>
      </c>
      <c r="O218" s="51" t="s">
        <v>48</v>
      </c>
      <c r="P218" s="51">
        <v>4</v>
      </c>
      <c r="Q218" s="51">
        <v>10</v>
      </c>
      <c r="R218" s="51" t="s">
        <v>49</v>
      </c>
      <c r="S218" s="51" t="s">
        <v>50</v>
      </c>
      <c r="T218" s="51" t="s">
        <v>50</v>
      </c>
      <c r="U218" s="51" t="s">
        <v>50</v>
      </c>
      <c r="V218" s="51" t="s">
        <v>50</v>
      </c>
      <c r="W218" s="51" t="s">
        <v>50</v>
      </c>
      <c r="X218" s="51" t="s">
        <v>50</v>
      </c>
      <c r="Y218" s="52" t="s">
        <v>386</v>
      </c>
    </row>
    <row r="219" spans="1:25" x14ac:dyDescent="0.25">
      <c r="A219" s="821">
        <v>44221</v>
      </c>
      <c r="B219" s="51" t="s">
        <v>43</v>
      </c>
      <c r="C219" s="51" t="s">
        <v>95</v>
      </c>
      <c r="D219" s="870">
        <v>38.084870000000002</v>
      </c>
      <c r="E219" s="870">
        <v>-121.67843999999999</v>
      </c>
      <c r="F219" s="51" t="s">
        <v>387</v>
      </c>
      <c r="G219" s="51" t="s">
        <v>46</v>
      </c>
      <c r="H219" s="51" t="s">
        <v>97</v>
      </c>
      <c r="I219" s="66">
        <v>0.3756944444444445</v>
      </c>
      <c r="J219" s="51">
        <v>1292.75</v>
      </c>
      <c r="K219" s="51">
        <v>9.67</v>
      </c>
      <c r="L219" s="51">
        <v>8.7799999999999994</v>
      </c>
      <c r="M219" s="51">
        <v>1.26</v>
      </c>
      <c r="N219" s="51">
        <v>13.65</v>
      </c>
      <c r="O219" s="51" t="s">
        <v>48</v>
      </c>
      <c r="P219" s="51">
        <v>4</v>
      </c>
      <c r="Q219" s="51">
        <v>10</v>
      </c>
      <c r="R219" s="51" t="s">
        <v>64</v>
      </c>
      <c r="S219" s="51" t="s">
        <v>50</v>
      </c>
      <c r="T219" s="51" t="s">
        <v>50</v>
      </c>
      <c r="U219" s="51" t="s">
        <v>50</v>
      </c>
      <c r="V219" s="51" t="s">
        <v>50</v>
      </c>
      <c r="W219" s="51" t="s">
        <v>50</v>
      </c>
      <c r="X219" s="51" t="s">
        <v>50</v>
      </c>
      <c r="Y219" s="52" t="s">
        <v>388</v>
      </c>
    </row>
    <row r="220" spans="1:25" x14ac:dyDescent="0.25">
      <c r="A220" s="821">
        <v>44221</v>
      </c>
      <c r="B220" s="51" t="s">
        <v>43</v>
      </c>
      <c r="C220" s="51" t="s">
        <v>95</v>
      </c>
      <c r="D220" s="870">
        <v>38.054270000000002</v>
      </c>
      <c r="E220" s="870">
        <v>-121.68667000000001</v>
      </c>
      <c r="F220" s="51" t="s">
        <v>389</v>
      </c>
      <c r="G220" s="51" t="s">
        <v>46</v>
      </c>
      <c r="H220" s="51" t="s">
        <v>97</v>
      </c>
      <c r="I220" s="66">
        <v>0.4861111111111111</v>
      </c>
      <c r="J220" s="51">
        <v>3060</v>
      </c>
      <c r="K220" s="51">
        <v>9.8699999999999992</v>
      </c>
      <c r="L220" s="51">
        <v>18.03</v>
      </c>
      <c r="M220" s="51">
        <v>0.74</v>
      </c>
      <c r="N220" s="51">
        <v>12.32</v>
      </c>
      <c r="O220" s="51" t="s">
        <v>48</v>
      </c>
      <c r="P220" s="51">
        <v>4</v>
      </c>
      <c r="Q220" s="51">
        <v>10</v>
      </c>
      <c r="R220" s="51" t="s">
        <v>64</v>
      </c>
      <c r="S220" s="51" t="s">
        <v>50</v>
      </c>
      <c r="T220" s="51" t="s">
        <v>50</v>
      </c>
      <c r="U220" s="51" t="s">
        <v>50</v>
      </c>
      <c r="V220" s="51" t="s">
        <v>50</v>
      </c>
      <c r="W220" s="51" t="s">
        <v>50</v>
      </c>
      <c r="X220" s="51" t="s">
        <v>50</v>
      </c>
    </row>
    <row r="221" spans="1:25" x14ac:dyDescent="0.25">
      <c r="A221" s="821">
        <v>44221</v>
      </c>
      <c r="B221" s="51" t="s">
        <v>43</v>
      </c>
      <c r="C221" s="51" t="s">
        <v>95</v>
      </c>
      <c r="D221" s="870">
        <v>38.068680000000001</v>
      </c>
      <c r="E221" s="870">
        <v>-121.67632999999999</v>
      </c>
      <c r="F221" s="51" t="s">
        <v>390</v>
      </c>
      <c r="G221" s="51" t="s">
        <v>46</v>
      </c>
      <c r="H221" s="51" t="s">
        <v>97</v>
      </c>
      <c r="I221" s="66">
        <v>0.43055555555555558</v>
      </c>
      <c r="J221" s="51">
        <v>1855.75</v>
      </c>
      <c r="K221" s="51">
        <v>9.8699999999999992</v>
      </c>
      <c r="L221" s="51">
        <v>11.88</v>
      </c>
      <c r="M221" s="51">
        <v>0.93</v>
      </c>
      <c r="N221" s="51">
        <v>12.62</v>
      </c>
      <c r="O221" s="51" t="s">
        <v>48</v>
      </c>
      <c r="P221" s="51">
        <v>4</v>
      </c>
      <c r="Q221" s="51">
        <v>10</v>
      </c>
      <c r="R221" s="51" t="s">
        <v>64</v>
      </c>
      <c r="S221" s="51" t="s">
        <v>50</v>
      </c>
      <c r="T221" s="51" t="s">
        <v>50</v>
      </c>
      <c r="U221" s="51" t="s">
        <v>50</v>
      </c>
      <c r="V221" s="51" t="s">
        <v>50</v>
      </c>
      <c r="W221" s="51" t="s">
        <v>50</v>
      </c>
      <c r="X221" s="51" t="s">
        <v>50</v>
      </c>
      <c r="Y221" s="52" t="s">
        <v>391</v>
      </c>
    </row>
    <row r="222" spans="1:25" x14ac:dyDescent="0.25">
      <c r="A222" s="821">
        <v>44222</v>
      </c>
      <c r="B222" s="51" t="s">
        <v>70</v>
      </c>
      <c r="C222" s="51" t="s">
        <v>95</v>
      </c>
      <c r="D222" s="870">
        <v>38.043950000000002</v>
      </c>
      <c r="E222" s="870">
        <v>-121.53138</v>
      </c>
      <c r="F222" s="51" t="s">
        <v>392</v>
      </c>
      <c r="G222" s="51" t="s">
        <v>46</v>
      </c>
      <c r="H222" s="51" t="s">
        <v>115</v>
      </c>
      <c r="I222" s="66">
        <v>0.46666666666666662</v>
      </c>
      <c r="J222" s="51">
        <v>535.25</v>
      </c>
      <c r="K222" s="51">
        <v>9.6</v>
      </c>
      <c r="L222" s="51">
        <v>5.77</v>
      </c>
      <c r="M222" s="51">
        <v>1.8</v>
      </c>
      <c r="N222" s="51">
        <v>12.22</v>
      </c>
      <c r="O222" s="51" t="s">
        <v>48</v>
      </c>
      <c r="P222" s="51">
        <v>4</v>
      </c>
      <c r="Q222" s="51">
        <v>10</v>
      </c>
      <c r="R222" s="51" t="s">
        <v>64</v>
      </c>
      <c r="S222" s="51" t="s">
        <v>50</v>
      </c>
      <c r="T222" s="51" t="s">
        <v>50</v>
      </c>
      <c r="U222" s="51" t="s">
        <v>50</v>
      </c>
      <c r="V222" s="51" t="s">
        <v>50</v>
      </c>
      <c r="W222" s="51" t="s">
        <v>50</v>
      </c>
      <c r="X222" s="51" t="s">
        <v>50</v>
      </c>
    </row>
    <row r="223" spans="1:25" x14ac:dyDescent="0.25">
      <c r="A223" s="821">
        <v>44222</v>
      </c>
      <c r="B223" s="51" t="s">
        <v>70</v>
      </c>
      <c r="C223" s="51" t="s">
        <v>95</v>
      </c>
      <c r="D223" s="870">
        <v>38.065100000000001</v>
      </c>
      <c r="E223" s="870">
        <v>-121.56171000000001</v>
      </c>
      <c r="F223" s="51" t="s">
        <v>393</v>
      </c>
      <c r="G223" s="51" t="s">
        <v>46</v>
      </c>
      <c r="H223" s="51" t="s">
        <v>115</v>
      </c>
      <c r="I223" s="66">
        <v>0.41041666666666665</v>
      </c>
      <c r="J223" s="51">
        <v>536.25</v>
      </c>
      <c r="K223" s="51">
        <v>9.6</v>
      </c>
      <c r="L223" s="51">
        <v>7.24</v>
      </c>
      <c r="M223" s="51">
        <v>1.5</v>
      </c>
      <c r="N223" s="51">
        <v>12.22</v>
      </c>
      <c r="O223" s="51" t="s">
        <v>48</v>
      </c>
      <c r="P223" s="51">
        <v>4</v>
      </c>
      <c r="Q223" s="51">
        <v>10</v>
      </c>
      <c r="R223" s="51" t="s">
        <v>49</v>
      </c>
      <c r="S223" s="51" t="s">
        <v>50</v>
      </c>
      <c r="T223" s="51" t="s">
        <v>50</v>
      </c>
      <c r="U223" s="51" t="s">
        <v>50</v>
      </c>
      <c r="V223" s="51" t="s">
        <v>50</v>
      </c>
      <c r="W223" s="51" t="s">
        <v>50</v>
      </c>
      <c r="X223" s="51" t="s">
        <v>50</v>
      </c>
      <c r="Y223" s="52" t="s">
        <v>394</v>
      </c>
    </row>
    <row r="224" spans="1:25" x14ac:dyDescent="0.25">
      <c r="A224" s="821">
        <v>44222</v>
      </c>
      <c r="B224" s="51" t="s">
        <v>70</v>
      </c>
      <c r="C224" s="51" t="s">
        <v>95</v>
      </c>
      <c r="D224" s="870">
        <v>38.01746</v>
      </c>
      <c r="E224" s="870">
        <v>-121.78203000000001</v>
      </c>
      <c r="F224" s="51" t="s">
        <v>395</v>
      </c>
      <c r="G224" s="51" t="s">
        <v>27</v>
      </c>
      <c r="H224" s="51" t="s">
        <v>95</v>
      </c>
      <c r="I224" s="66">
        <v>0.3430555555555555</v>
      </c>
      <c r="J224" s="51">
        <v>3889.75</v>
      </c>
      <c r="K224" s="51">
        <v>9.4499999999999993</v>
      </c>
      <c r="L224" s="51">
        <v>15.5</v>
      </c>
      <c r="M224" s="51">
        <v>0.71</v>
      </c>
      <c r="N224" s="51">
        <v>7.65</v>
      </c>
      <c r="O224" s="51" t="s">
        <v>48</v>
      </c>
      <c r="P224" s="51">
        <v>4</v>
      </c>
      <c r="Q224" s="51">
        <v>10</v>
      </c>
      <c r="R224" s="51" t="s">
        <v>49</v>
      </c>
      <c r="S224" s="51" t="s">
        <v>50</v>
      </c>
      <c r="T224" s="51" t="s">
        <v>50</v>
      </c>
      <c r="U224" s="51" t="s">
        <v>50</v>
      </c>
      <c r="V224" s="51" t="s">
        <v>50</v>
      </c>
      <c r="W224" s="51" t="s">
        <v>50</v>
      </c>
      <c r="X224" s="51" t="s">
        <v>50</v>
      </c>
    </row>
    <row r="225" spans="1:25" x14ac:dyDescent="0.25">
      <c r="A225" s="821">
        <v>44222</v>
      </c>
      <c r="B225" s="51" t="s">
        <v>70</v>
      </c>
      <c r="C225" s="51" t="s">
        <v>106</v>
      </c>
      <c r="D225" s="870">
        <v>38.213149999999999</v>
      </c>
      <c r="E225" s="870">
        <v>-121.66801</v>
      </c>
      <c r="F225" s="51" t="s">
        <v>396</v>
      </c>
      <c r="G225" s="51" t="s">
        <v>90</v>
      </c>
      <c r="H225" s="51" t="s">
        <v>108</v>
      </c>
      <c r="I225" s="66">
        <v>0.3666666666666667</v>
      </c>
      <c r="J225" s="51">
        <v>221.95</v>
      </c>
      <c r="K225" s="51">
        <v>9.7799999999999994</v>
      </c>
      <c r="L225" s="51">
        <v>15.6</v>
      </c>
      <c r="M225" s="51">
        <v>1.21</v>
      </c>
      <c r="N225" s="51">
        <v>12.35</v>
      </c>
      <c r="O225" s="51" t="s">
        <v>48</v>
      </c>
      <c r="P225" s="51">
        <v>4</v>
      </c>
      <c r="Q225" s="51">
        <v>10</v>
      </c>
      <c r="R225" s="51" t="s">
        <v>49</v>
      </c>
      <c r="S225" s="51" t="s">
        <v>50</v>
      </c>
      <c r="T225" s="51" t="s">
        <v>50</v>
      </c>
      <c r="U225" s="51" t="s">
        <v>50</v>
      </c>
      <c r="V225" s="51" t="s">
        <v>50</v>
      </c>
      <c r="W225" s="51" t="s">
        <v>50</v>
      </c>
      <c r="X225" s="51" t="s">
        <v>50</v>
      </c>
    </row>
    <row r="226" spans="1:25" x14ac:dyDescent="0.25">
      <c r="A226" s="821">
        <v>44222</v>
      </c>
      <c r="B226" s="51" t="s">
        <v>70</v>
      </c>
      <c r="C226" s="51" t="s">
        <v>106</v>
      </c>
      <c r="D226" s="870">
        <v>38.180169999999997</v>
      </c>
      <c r="E226" s="870">
        <v>-121.66647</v>
      </c>
      <c r="F226" s="51" t="s">
        <v>397</v>
      </c>
      <c r="G226" s="51" t="s">
        <v>90</v>
      </c>
      <c r="H226" s="51" t="s">
        <v>108</v>
      </c>
      <c r="I226" s="66">
        <v>0.32222222222222224</v>
      </c>
      <c r="J226" s="51">
        <v>218.55</v>
      </c>
      <c r="K226" s="51">
        <v>9.9</v>
      </c>
      <c r="L226" s="51">
        <v>11.13</v>
      </c>
      <c r="M226" s="51">
        <v>1.23</v>
      </c>
      <c r="N226" s="51">
        <v>14.22</v>
      </c>
      <c r="O226" s="51" t="s">
        <v>48</v>
      </c>
      <c r="P226" s="51">
        <v>4</v>
      </c>
      <c r="Q226" s="51">
        <v>10</v>
      </c>
      <c r="R226" s="51" t="s">
        <v>49</v>
      </c>
      <c r="S226" s="51" t="s">
        <v>50</v>
      </c>
      <c r="T226" s="51" t="s">
        <v>50</v>
      </c>
      <c r="U226" s="51" t="s">
        <v>50</v>
      </c>
      <c r="V226" s="51" t="s">
        <v>50</v>
      </c>
      <c r="W226" s="51" t="s">
        <v>50</v>
      </c>
      <c r="X226" s="51" t="s">
        <v>50</v>
      </c>
    </row>
    <row r="227" spans="1:25" s="888" customFormat="1" x14ac:dyDescent="0.25">
      <c r="A227" s="883">
        <v>44222</v>
      </c>
      <c r="B227" s="884" t="s">
        <v>70</v>
      </c>
      <c r="C227" s="884" t="s">
        <v>106</v>
      </c>
      <c r="D227" s="889">
        <v>38.555430000000001</v>
      </c>
      <c r="E227" s="889">
        <v>-121.57634</v>
      </c>
      <c r="F227" s="884" t="s">
        <v>398</v>
      </c>
      <c r="G227" s="884" t="s">
        <v>90</v>
      </c>
      <c r="H227" s="884" t="s">
        <v>158</v>
      </c>
      <c r="I227" s="885">
        <v>0.44861111111111113</v>
      </c>
      <c r="J227" s="884">
        <v>1097.25</v>
      </c>
      <c r="K227" s="884">
        <v>9.7799999999999994</v>
      </c>
      <c r="L227" s="884">
        <v>32</v>
      </c>
      <c r="M227" s="884">
        <v>0.55000000000000004</v>
      </c>
      <c r="N227" s="884">
        <v>9.8000000000000007</v>
      </c>
      <c r="O227" s="884" t="s">
        <v>48</v>
      </c>
      <c r="P227" s="884">
        <v>4</v>
      </c>
      <c r="Q227" s="884">
        <v>10</v>
      </c>
      <c r="R227" s="884" t="s">
        <v>64</v>
      </c>
      <c r="S227" s="886" t="s">
        <v>323</v>
      </c>
      <c r="T227" s="884">
        <v>1</v>
      </c>
      <c r="U227" s="884" t="s">
        <v>399</v>
      </c>
      <c r="V227" s="884" t="s">
        <v>50</v>
      </c>
      <c r="W227" s="884" t="s">
        <v>50</v>
      </c>
      <c r="X227" s="884" t="s">
        <v>228</v>
      </c>
      <c r="Y227" s="887" t="s">
        <v>400</v>
      </c>
    </row>
    <row r="228" spans="1:25" x14ac:dyDescent="0.25">
      <c r="A228" s="821">
        <v>44224</v>
      </c>
      <c r="B228" s="890" t="s">
        <v>105</v>
      </c>
      <c r="C228" s="890" t="s">
        <v>88</v>
      </c>
      <c r="D228" s="892">
        <v>38.116219999999998</v>
      </c>
      <c r="E228" s="892">
        <v>-121.70657</v>
      </c>
      <c r="F228" s="890" t="s">
        <v>401</v>
      </c>
      <c r="G228" s="890" t="s">
        <v>90</v>
      </c>
      <c r="H228" s="890" t="s">
        <v>91</v>
      </c>
      <c r="I228" s="891">
        <v>0.32777777777777778</v>
      </c>
      <c r="J228" s="890">
        <v>1034.5</v>
      </c>
      <c r="K228" s="890">
        <v>9.25</v>
      </c>
      <c r="L228" s="890">
        <v>24.78</v>
      </c>
      <c r="M228" s="890">
        <v>0.61</v>
      </c>
      <c r="N228" s="890">
        <v>7.35</v>
      </c>
      <c r="O228" s="890" t="s">
        <v>48</v>
      </c>
      <c r="P228" s="890">
        <v>4</v>
      </c>
      <c r="Q228" s="890">
        <v>10</v>
      </c>
      <c r="R228" s="890" t="s">
        <v>49</v>
      </c>
      <c r="S228" s="890" t="s">
        <v>50</v>
      </c>
      <c r="T228" s="890" t="s">
        <v>50</v>
      </c>
      <c r="U228" s="890" t="s">
        <v>50</v>
      </c>
      <c r="V228" s="890" t="s">
        <v>50</v>
      </c>
      <c r="W228" s="890" t="s">
        <v>50</v>
      </c>
      <c r="X228" s="890" t="s">
        <v>50</v>
      </c>
      <c r="Y228" s="893"/>
    </row>
    <row r="229" spans="1:25" x14ac:dyDescent="0.25">
      <c r="A229" s="821">
        <v>44224</v>
      </c>
      <c r="B229" s="890" t="s">
        <v>105</v>
      </c>
      <c r="C229" s="890" t="s">
        <v>88</v>
      </c>
      <c r="D229" s="892">
        <v>38.113230000000001</v>
      </c>
      <c r="E229" s="892">
        <v>-121.70218</v>
      </c>
      <c r="F229" s="890" t="s">
        <v>402</v>
      </c>
      <c r="G229" s="890" t="s">
        <v>90</v>
      </c>
      <c r="H229" s="890" t="s">
        <v>91</v>
      </c>
      <c r="I229" s="891">
        <v>0.37638888888888888</v>
      </c>
      <c r="J229" s="890">
        <v>740</v>
      </c>
      <c r="K229" s="890">
        <v>9.3000000000000007</v>
      </c>
      <c r="L229" s="890">
        <v>25.07</v>
      </c>
      <c r="M229" s="890">
        <v>0.7</v>
      </c>
      <c r="N229" s="890">
        <v>6.58</v>
      </c>
      <c r="O229" s="890" t="s">
        <v>48</v>
      </c>
      <c r="P229" s="890">
        <v>4</v>
      </c>
      <c r="Q229" s="890">
        <v>10</v>
      </c>
      <c r="R229" s="890" t="s">
        <v>49</v>
      </c>
      <c r="S229" s="890" t="s">
        <v>50</v>
      </c>
      <c r="T229" s="890" t="s">
        <v>50</v>
      </c>
      <c r="U229" s="890" t="s">
        <v>50</v>
      </c>
      <c r="V229" s="890" t="s">
        <v>50</v>
      </c>
      <c r="W229" s="890" t="s">
        <v>50</v>
      </c>
      <c r="X229" s="890" t="s">
        <v>50</v>
      </c>
      <c r="Y229" s="893" t="s">
        <v>403</v>
      </c>
    </row>
    <row r="230" spans="1:25" x14ac:dyDescent="0.25">
      <c r="A230" s="821">
        <v>44224</v>
      </c>
      <c r="B230" s="890" t="s">
        <v>105</v>
      </c>
      <c r="C230" s="890" t="s">
        <v>88</v>
      </c>
      <c r="D230" s="892">
        <v>38.082999999999998</v>
      </c>
      <c r="E230" s="892">
        <v>-121.74326000000001</v>
      </c>
      <c r="F230" s="890" t="s">
        <v>404</v>
      </c>
      <c r="G230" s="890" t="s">
        <v>27</v>
      </c>
      <c r="H230" s="890" t="s">
        <v>25</v>
      </c>
      <c r="I230" s="891">
        <v>0.42708333333333331</v>
      </c>
      <c r="J230" s="890">
        <v>2639.75</v>
      </c>
      <c r="K230" s="890">
        <v>9.1999999999999993</v>
      </c>
      <c r="L230" s="890">
        <v>37.75</v>
      </c>
      <c r="M230" s="890">
        <v>0.52</v>
      </c>
      <c r="N230" s="890">
        <v>10.6</v>
      </c>
      <c r="O230" s="890" t="s">
        <v>48</v>
      </c>
      <c r="P230" s="890">
        <v>4</v>
      </c>
      <c r="Q230" s="890">
        <v>10</v>
      </c>
      <c r="R230" s="890" t="s">
        <v>64</v>
      </c>
      <c r="S230" s="890" t="s">
        <v>50</v>
      </c>
      <c r="T230" s="890" t="s">
        <v>50</v>
      </c>
      <c r="U230" s="890" t="s">
        <v>50</v>
      </c>
      <c r="V230" s="890" t="s">
        <v>50</v>
      </c>
      <c r="W230" s="890" t="s">
        <v>50</v>
      </c>
      <c r="X230" s="890" t="s">
        <v>50</v>
      </c>
      <c r="Y230" s="893"/>
    </row>
    <row r="231" spans="1:25" s="857" customFormat="1" x14ac:dyDescent="0.25">
      <c r="A231" s="446">
        <v>44224</v>
      </c>
      <c r="B231" s="424" t="s">
        <v>105</v>
      </c>
      <c r="C231" s="424" t="s">
        <v>44</v>
      </c>
      <c r="D231" s="871">
        <v>38.05095</v>
      </c>
      <c r="E231" s="871">
        <v>-121.60097</v>
      </c>
      <c r="F231" s="424" t="s">
        <v>405</v>
      </c>
      <c r="G231" s="424" t="s">
        <v>46</v>
      </c>
      <c r="H231" s="424" t="s">
        <v>47</v>
      </c>
      <c r="I231" s="425">
        <v>0.35694444444444445</v>
      </c>
      <c r="J231" s="424" t="s">
        <v>50</v>
      </c>
      <c r="K231" s="424" t="s">
        <v>50</v>
      </c>
      <c r="L231" s="424" t="s">
        <v>50</v>
      </c>
      <c r="M231" s="424" t="s">
        <v>50</v>
      </c>
      <c r="N231" s="424" t="s">
        <v>50</v>
      </c>
      <c r="O231" s="424" t="s">
        <v>50</v>
      </c>
      <c r="P231" s="424" t="s">
        <v>50</v>
      </c>
      <c r="Q231" s="424" t="s">
        <v>50</v>
      </c>
      <c r="R231" s="424" t="s">
        <v>50</v>
      </c>
      <c r="S231" s="424" t="s">
        <v>50</v>
      </c>
      <c r="T231" s="424" t="s">
        <v>50</v>
      </c>
      <c r="U231" s="424" t="s">
        <v>50</v>
      </c>
      <c r="V231" s="424" t="s">
        <v>50</v>
      </c>
      <c r="W231" s="424" t="s">
        <v>50</v>
      </c>
      <c r="X231" s="424" t="s">
        <v>50</v>
      </c>
      <c r="Y231" s="426" t="s">
        <v>239</v>
      </c>
    </row>
    <row r="232" spans="1:25" x14ac:dyDescent="0.25">
      <c r="A232" s="821">
        <v>44224</v>
      </c>
      <c r="B232" s="890" t="s">
        <v>105</v>
      </c>
      <c r="C232" s="890" t="s">
        <v>44</v>
      </c>
      <c r="D232" s="892">
        <v>38.035029999999999</v>
      </c>
      <c r="E232" s="892">
        <v>-121.61492</v>
      </c>
      <c r="F232" s="890" t="s">
        <v>406</v>
      </c>
      <c r="G232" s="890" t="s">
        <v>46</v>
      </c>
      <c r="H232" s="890" t="s">
        <v>47</v>
      </c>
      <c r="I232" s="891">
        <v>0.3756944444444445</v>
      </c>
      <c r="J232" s="890">
        <v>1010</v>
      </c>
      <c r="K232" s="890">
        <v>8.2200000000000006</v>
      </c>
      <c r="L232" s="890">
        <v>119.75</v>
      </c>
      <c r="M232" s="890">
        <v>0.21</v>
      </c>
      <c r="N232" s="890">
        <v>2.48</v>
      </c>
      <c r="O232" s="890" t="s">
        <v>48</v>
      </c>
      <c r="P232" s="890">
        <v>4</v>
      </c>
      <c r="Q232" s="890">
        <v>10</v>
      </c>
      <c r="R232" s="890" t="s">
        <v>49</v>
      </c>
      <c r="S232" s="890" t="s">
        <v>50</v>
      </c>
      <c r="T232" s="890" t="s">
        <v>50</v>
      </c>
      <c r="U232" s="890" t="s">
        <v>50</v>
      </c>
      <c r="V232" s="890" t="s">
        <v>50</v>
      </c>
      <c r="W232" s="890" t="s">
        <v>50</v>
      </c>
      <c r="X232" s="890" t="s">
        <v>50</v>
      </c>
      <c r="Y232" s="893"/>
    </row>
    <row r="233" spans="1:25" x14ac:dyDescent="0.25">
      <c r="A233" s="821">
        <v>44224</v>
      </c>
      <c r="B233" s="890" t="s">
        <v>105</v>
      </c>
      <c r="C233" s="890" t="s">
        <v>44</v>
      </c>
      <c r="D233" s="892">
        <v>38.01193</v>
      </c>
      <c r="E233" s="892">
        <v>-121.63763</v>
      </c>
      <c r="F233" s="890" t="s">
        <v>407</v>
      </c>
      <c r="G233" s="890" t="s">
        <v>46</v>
      </c>
      <c r="H233" s="890" t="s">
        <v>47</v>
      </c>
      <c r="I233" s="891">
        <v>0.4694444444444445</v>
      </c>
      <c r="J233" s="890">
        <v>1299.5</v>
      </c>
      <c r="K233" s="890">
        <v>8.4</v>
      </c>
      <c r="L233" s="890">
        <v>22.37</v>
      </c>
      <c r="M233" s="890">
        <v>0.56999999999999995</v>
      </c>
      <c r="N233" s="890">
        <v>8.5299999999999994</v>
      </c>
      <c r="O233" s="890" t="s">
        <v>48</v>
      </c>
      <c r="P233" s="890">
        <v>4</v>
      </c>
      <c r="Q233" s="890">
        <v>10</v>
      </c>
      <c r="R233" s="890" t="s">
        <v>64</v>
      </c>
      <c r="S233" s="890" t="s">
        <v>50</v>
      </c>
      <c r="T233" s="890" t="s">
        <v>50</v>
      </c>
      <c r="U233" s="890" t="s">
        <v>50</v>
      </c>
      <c r="V233" s="890" t="s">
        <v>50</v>
      </c>
      <c r="W233" s="890" t="s">
        <v>50</v>
      </c>
      <c r="X233" s="890" t="s">
        <v>50</v>
      </c>
      <c r="Y233" s="893"/>
    </row>
    <row r="234" spans="1:25" x14ac:dyDescent="0.25">
      <c r="A234" s="821">
        <v>44224</v>
      </c>
      <c r="B234" s="890" t="s">
        <v>105</v>
      </c>
      <c r="C234" s="890" t="s">
        <v>44</v>
      </c>
      <c r="D234" s="892">
        <v>38.053049999999999</v>
      </c>
      <c r="E234" s="892">
        <v>-121.58126</v>
      </c>
      <c r="F234" s="890" t="s">
        <v>408</v>
      </c>
      <c r="G234" s="890" t="s">
        <v>46</v>
      </c>
      <c r="H234" s="890" t="s">
        <v>74</v>
      </c>
      <c r="I234" s="891">
        <v>0.32361111111111113</v>
      </c>
      <c r="J234" s="890">
        <v>673.25</v>
      </c>
      <c r="K234" s="890">
        <v>8.9499999999999993</v>
      </c>
      <c r="L234" s="890">
        <v>30.47</v>
      </c>
      <c r="M234" s="890">
        <v>0.4</v>
      </c>
      <c r="N234" s="890">
        <v>4.8499999999999996</v>
      </c>
      <c r="O234" s="890" t="s">
        <v>48</v>
      </c>
      <c r="P234" s="890">
        <v>4</v>
      </c>
      <c r="Q234" s="890">
        <v>10</v>
      </c>
      <c r="R234" s="890" t="s">
        <v>49</v>
      </c>
      <c r="S234" s="890" t="s">
        <v>50</v>
      </c>
      <c r="T234" s="890" t="s">
        <v>50</v>
      </c>
      <c r="U234" s="890" t="s">
        <v>50</v>
      </c>
      <c r="V234" s="890" t="s">
        <v>50</v>
      </c>
      <c r="W234" s="890" t="s">
        <v>50</v>
      </c>
      <c r="X234" s="890" t="s">
        <v>50</v>
      </c>
      <c r="Y234" s="893"/>
    </row>
    <row r="235" spans="1:25" x14ac:dyDescent="0.25">
      <c r="A235" s="821">
        <v>44224</v>
      </c>
      <c r="B235" s="890" t="s">
        <v>105</v>
      </c>
      <c r="C235" s="890" t="s">
        <v>62</v>
      </c>
      <c r="D235" s="892">
        <v>38.106430000000003</v>
      </c>
      <c r="E235" s="892">
        <v>-122.04107999999999</v>
      </c>
      <c r="F235" s="890" t="s">
        <v>409</v>
      </c>
      <c r="G235" s="890" t="s">
        <v>27</v>
      </c>
      <c r="H235" s="890" t="s">
        <v>173</v>
      </c>
      <c r="I235" s="891">
        <v>0.4916666666666667</v>
      </c>
      <c r="J235" s="890">
        <v>24047.5</v>
      </c>
      <c r="K235" s="890">
        <v>9.5500000000000007</v>
      </c>
      <c r="L235" s="890">
        <v>19.47</v>
      </c>
      <c r="M235" s="890">
        <v>0.59</v>
      </c>
      <c r="N235" s="890">
        <v>3.85</v>
      </c>
      <c r="O235" s="890" t="s">
        <v>48</v>
      </c>
      <c r="P235" s="890">
        <v>4</v>
      </c>
      <c r="Q235" s="890">
        <v>10</v>
      </c>
      <c r="R235" s="890" t="s">
        <v>64</v>
      </c>
      <c r="S235" s="890" t="s">
        <v>50</v>
      </c>
      <c r="T235" s="890" t="s">
        <v>50</v>
      </c>
      <c r="U235" s="890" t="s">
        <v>50</v>
      </c>
      <c r="V235" s="890" t="s">
        <v>50</v>
      </c>
      <c r="W235" s="890" t="s">
        <v>50</v>
      </c>
      <c r="X235" s="890" t="s">
        <v>50</v>
      </c>
      <c r="Y235" s="893"/>
    </row>
    <row r="236" spans="1:25" x14ac:dyDescent="0.25">
      <c r="A236" s="821">
        <v>44224</v>
      </c>
      <c r="B236" s="890" t="s">
        <v>105</v>
      </c>
      <c r="C236" s="890" t="s">
        <v>62</v>
      </c>
      <c r="D236" s="892">
        <v>38.114849999999997</v>
      </c>
      <c r="E236" s="892">
        <v>-122.05506</v>
      </c>
      <c r="F236" s="890" t="s">
        <v>410</v>
      </c>
      <c r="G236" s="890" t="s">
        <v>27</v>
      </c>
      <c r="H236" s="890" t="s">
        <v>173</v>
      </c>
      <c r="I236" s="891">
        <v>0.44166666666666665</v>
      </c>
      <c r="J236" s="890">
        <v>65461</v>
      </c>
      <c r="K236" s="890">
        <v>9.3000000000000007</v>
      </c>
      <c r="L236" s="890">
        <v>23.88</v>
      </c>
      <c r="M236" s="890">
        <v>0.65</v>
      </c>
      <c r="N236" s="890">
        <v>4.4000000000000004</v>
      </c>
      <c r="O236" s="890" t="s">
        <v>48</v>
      </c>
      <c r="P236" s="890">
        <v>4</v>
      </c>
      <c r="Q236" s="890">
        <v>10</v>
      </c>
      <c r="R236" s="890" t="s">
        <v>64</v>
      </c>
      <c r="S236" s="890" t="s">
        <v>50</v>
      </c>
      <c r="T236" s="890" t="s">
        <v>50</v>
      </c>
      <c r="U236" s="890" t="s">
        <v>50</v>
      </c>
      <c r="V236" s="890" t="s">
        <v>50</v>
      </c>
      <c r="W236" s="890" t="s">
        <v>50</v>
      </c>
      <c r="X236" s="890" t="s">
        <v>50</v>
      </c>
      <c r="Y236" s="893"/>
    </row>
    <row r="237" spans="1:25" x14ac:dyDescent="0.25">
      <c r="A237" s="821">
        <v>44224</v>
      </c>
      <c r="B237" s="890" t="s">
        <v>105</v>
      </c>
      <c r="C237" s="890" t="s">
        <v>62</v>
      </c>
      <c r="D237" s="892">
        <v>38.168109999999999</v>
      </c>
      <c r="E237" s="892">
        <v>-121.94544</v>
      </c>
      <c r="F237" s="890" t="s">
        <v>411</v>
      </c>
      <c r="G237" s="890" t="s">
        <v>27</v>
      </c>
      <c r="H237" s="890" t="s">
        <v>62</v>
      </c>
      <c r="I237" s="891">
        <v>0.37291666666666662</v>
      </c>
      <c r="J237" s="890">
        <v>9969.25</v>
      </c>
      <c r="K237" s="890">
        <v>8.6999999999999993</v>
      </c>
      <c r="L237" s="890">
        <v>30.1</v>
      </c>
      <c r="M237" s="890">
        <v>0.56000000000000005</v>
      </c>
      <c r="N237" s="890">
        <v>9.1999999999999993</v>
      </c>
      <c r="O237" s="890" t="s">
        <v>48</v>
      </c>
      <c r="P237" s="890">
        <v>4</v>
      </c>
      <c r="Q237" s="890">
        <v>10</v>
      </c>
      <c r="R237" s="890" t="s">
        <v>49</v>
      </c>
      <c r="S237" s="890" t="s">
        <v>50</v>
      </c>
      <c r="T237" s="890" t="s">
        <v>50</v>
      </c>
      <c r="U237" s="890" t="s">
        <v>50</v>
      </c>
      <c r="V237" s="890" t="s">
        <v>50</v>
      </c>
      <c r="W237" s="890" t="s">
        <v>50</v>
      </c>
      <c r="X237" s="890" t="s">
        <v>50</v>
      </c>
      <c r="Y237" s="893"/>
    </row>
    <row r="238" spans="1:25" x14ac:dyDescent="0.25">
      <c r="A238" s="821">
        <v>44225</v>
      </c>
      <c r="B238" s="51" t="s">
        <v>125</v>
      </c>
      <c r="C238" s="51" t="s">
        <v>88</v>
      </c>
      <c r="D238" s="870">
        <v>38.124139999999997</v>
      </c>
      <c r="E238" s="870">
        <v>-121.69557</v>
      </c>
      <c r="F238" s="51" t="s">
        <v>412</v>
      </c>
      <c r="G238" s="51" t="s">
        <v>90</v>
      </c>
      <c r="H238" s="51" t="s">
        <v>91</v>
      </c>
      <c r="I238" s="66">
        <v>0.43472222222222223</v>
      </c>
      <c r="J238" s="51">
        <v>284.98</v>
      </c>
      <c r="K238" s="51">
        <v>9.17</v>
      </c>
      <c r="L238" s="51" t="s">
        <v>50</v>
      </c>
      <c r="M238" s="51">
        <v>0.7</v>
      </c>
      <c r="N238" s="51">
        <v>5.25</v>
      </c>
      <c r="O238" s="51" t="s">
        <v>48</v>
      </c>
      <c r="P238" s="51">
        <v>4</v>
      </c>
      <c r="Q238" s="51">
        <v>10</v>
      </c>
      <c r="R238" s="51" t="s">
        <v>49</v>
      </c>
      <c r="S238" s="890" t="s">
        <v>50</v>
      </c>
      <c r="T238" s="890" t="s">
        <v>50</v>
      </c>
      <c r="U238" s="890" t="s">
        <v>50</v>
      </c>
      <c r="V238" s="890" t="s">
        <v>50</v>
      </c>
      <c r="W238" s="890" t="s">
        <v>50</v>
      </c>
      <c r="X238" s="890" t="s">
        <v>50</v>
      </c>
      <c r="Y238" s="52" t="s">
        <v>263</v>
      </c>
    </row>
    <row r="239" spans="1:25" x14ac:dyDescent="0.25">
      <c r="A239" s="821">
        <v>44225</v>
      </c>
      <c r="B239" s="51" t="s">
        <v>125</v>
      </c>
      <c r="C239" s="51" t="s">
        <v>88</v>
      </c>
      <c r="D239" s="870">
        <v>38.109560000000002</v>
      </c>
      <c r="E239" s="870">
        <v>-121.70596</v>
      </c>
      <c r="F239" s="51" t="s">
        <v>413</v>
      </c>
      <c r="G239" s="51" t="s">
        <v>90</v>
      </c>
      <c r="H239" s="51" t="s">
        <v>91</v>
      </c>
      <c r="I239" s="822">
        <v>0.38472222222222219</v>
      </c>
      <c r="J239" s="51">
        <v>873</v>
      </c>
      <c r="K239" s="51">
        <v>9.15</v>
      </c>
      <c r="L239" s="51" t="s">
        <v>50</v>
      </c>
      <c r="M239" s="51">
        <v>0.49</v>
      </c>
      <c r="N239" s="51">
        <v>4.45</v>
      </c>
      <c r="O239" s="51" t="s">
        <v>48</v>
      </c>
      <c r="P239" s="51">
        <v>4</v>
      </c>
      <c r="Q239" s="51">
        <v>10</v>
      </c>
      <c r="R239" s="51" t="s">
        <v>49</v>
      </c>
      <c r="S239" s="890" t="s">
        <v>50</v>
      </c>
      <c r="T239" s="890" t="s">
        <v>50</v>
      </c>
      <c r="U239" s="890" t="s">
        <v>50</v>
      </c>
      <c r="V239" s="890" t="s">
        <v>50</v>
      </c>
      <c r="W239" s="890" t="s">
        <v>50</v>
      </c>
      <c r="X239" s="890" t="s">
        <v>50</v>
      </c>
      <c r="Y239" s="52" t="s">
        <v>263</v>
      </c>
    </row>
    <row r="240" spans="1:25" x14ac:dyDescent="0.25">
      <c r="A240" s="821">
        <v>44225</v>
      </c>
      <c r="B240" s="51" t="s">
        <v>125</v>
      </c>
      <c r="C240" s="51" t="s">
        <v>88</v>
      </c>
      <c r="D240" s="870">
        <v>38.066929999999999</v>
      </c>
      <c r="E240" s="870">
        <v>-121.83304</v>
      </c>
      <c r="F240" s="51" t="s">
        <v>414</v>
      </c>
      <c r="G240" s="51" t="s">
        <v>27</v>
      </c>
      <c r="H240" s="51" t="s">
        <v>25</v>
      </c>
      <c r="I240" s="822">
        <v>0.32916666666666666</v>
      </c>
      <c r="J240" s="51">
        <v>8772.25</v>
      </c>
      <c r="K240" s="51">
        <v>9.15</v>
      </c>
      <c r="L240" s="51">
        <v>24.7</v>
      </c>
      <c r="M240" s="51">
        <v>0.61</v>
      </c>
      <c r="N240" s="51">
        <v>7.58</v>
      </c>
      <c r="O240" s="51" t="s">
        <v>48</v>
      </c>
      <c r="P240" s="51">
        <v>4</v>
      </c>
      <c r="Q240" s="51">
        <v>10</v>
      </c>
      <c r="R240" s="51" t="s">
        <v>49</v>
      </c>
      <c r="S240" s="890" t="s">
        <v>50</v>
      </c>
      <c r="T240" s="890" t="s">
        <v>50</v>
      </c>
      <c r="U240" s="890" t="s">
        <v>50</v>
      </c>
      <c r="V240" s="890" t="s">
        <v>50</v>
      </c>
      <c r="W240" s="890" t="s">
        <v>50</v>
      </c>
      <c r="X240" s="890" t="s">
        <v>50</v>
      </c>
    </row>
    <row r="241" spans="1:25" s="424" customFormat="1" x14ac:dyDescent="0.25">
      <c r="A241" s="446">
        <v>44225</v>
      </c>
      <c r="B241" s="424" t="s">
        <v>125</v>
      </c>
      <c r="C241" s="424" t="s">
        <v>44</v>
      </c>
      <c r="D241" s="424">
        <v>38.037140000000001</v>
      </c>
      <c r="E241" s="424">
        <v>-121.60102000000001</v>
      </c>
      <c r="F241" s="424" t="s">
        <v>415</v>
      </c>
      <c r="G241" s="424" t="s">
        <v>46</v>
      </c>
      <c r="H241" s="424" t="s">
        <v>47</v>
      </c>
      <c r="I241" s="425">
        <v>0.33333333333333331</v>
      </c>
      <c r="J241" s="424" t="s">
        <v>50</v>
      </c>
      <c r="K241" s="424" t="s">
        <v>50</v>
      </c>
      <c r="L241" s="424" t="s">
        <v>50</v>
      </c>
      <c r="M241" s="424" t="s">
        <v>50</v>
      </c>
      <c r="N241" s="424" t="s">
        <v>50</v>
      </c>
      <c r="O241" s="424" t="s">
        <v>48</v>
      </c>
      <c r="P241" s="424">
        <v>0</v>
      </c>
      <c r="Q241" s="424" t="s">
        <v>50</v>
      </c>
      <c r="R241" s="424" t="s">
        <v>50</v>
      </c>
      <c r="S241" s="424" t="s">
        <v>50</v>
      </c>
      <c r="T241" s="424" t="s">
        <v>50</v>
      </c>
      <c r="U241" s="424" t="s">
        <v>50</v>
      </c>
      <c r="V241" s="424" t="s">
        <v>50</v>
      </c>
      <c r="W241" s="424" t="s">
        <v>50</v>
      </c>
      <c r="X241" s="424" t="s">
        <v>50</v>
      </c>
      <c r="Y241" s="426" t="s">
        <v>239</v>
      </c>
    </row>
    <row r="242" spans="1:25" s="424" customFormat="1" x14ac:dyDescent="0.25">
      <c r="A242" s="446">
        <v>44225</v>
      </c>
      <c r="B242" s="424" t="s">
        <v>125</v>
      </c>
      <c r="C242" s="424" t="s">
        <v>44</v>
      </c>
      <c r="D242" s="424">
        <v>38.055250000000001</v>
      </c>
      <c r="E242" s="424">
        <v>-121.61578</v>
      </c>
      <c r="F242" s="424" t="s">
        <v>416</v>
      </c>
      <c r="G242" s="424" t="s">
        <v>46</v>
      </c>
      <c r="H242" s="424" t="s">
        <v>47</v>
      </c>
      <c r="I242" s="425">
        <v>0.33402777777777781</v>
      </c>
      <c r="J242" s="424" t="s">
        <v>50</v>
      </c>
      <c r="K242" s="424" t="s">
        <v>50</v>
      </c>
      <c r="L242" s="424" t="s">
        <v>50</v>
      </c>
      <c r="M242" s="424" t="s">
        <v>50</v>
      </c>
      <c r="N242" s="424" t="s">
        <v>50</v>
      </c>
      <c r="O242" s="424" t="s">
        <v>48</v>
      </c>
      <c r="P242" s="424">
        <v>0</v>
      </c>
      <c r="Q242" s="424" t="s">
        <v>50</v>
      </c>
      <c r="R242" s="424" t="s">
        <v>50</v>
      </c>
      <c r="S242" s="424" t="s">
        <v>50</v>
      </c>
      <c r="T242" s="424" t="s">
        <v>50</v>
      </c>
      <c r="U242" s="424" t="s">
        <v>50</v>
      </c>
      <c r="V242" s="424" t="s">
        <v>50</v>
      </c>
      <c r="W242" s="424" t="s">
        <v>50</v>
      </c>
      <c r="X242" s="424" t="s">
        <v>50</v>
      </c>
      <c r="Y242" s="426" t="s">
        <v>239</v>
      </c>
    </row>
    <row r="243" spans="1:25" x14ac:dyDescent="0.25">
      <c r="A243" s="821">
        <v>44225</v>
      </c>
      <c r="B243" s="51" t="s">
        <v>125</v>
      </c>
      <c r="C243" s="51" t="s">
        <v>44</v>
      </c>
      <c r="D243" s="870">
        <v>38.000210000000003</v>
      </c>
      <c r="E243" s="870">
        <v>-121.56863</v>
      </c>
      <c r="F243" s="51" t="s">
        <v>417</v>
      </c>
      <c r="G243" s="51" t="s">
        <v>46</v>
      </c>
      <c r="H243" s="51" t="s">
        <v>74</v>
      </c>
      <c r="I243" s="822">
        <v>0.44861111111111113</v>
      </c>
      <c r="J243" s="51">
        <v>748.5</v>
      </c>
      <c r="K243" s="51">
        <v>8.6300000000000008</v>
      </c>
      <c r="L243" s="51">
        <v>17.329999999999998</v>
      </c>
      <c r="M243" s="51">
        <v>0.52</v>
      </c>
      <c r="N243" s="51">
        <v>7.92</v>
      </c>
      <c r="O243" s="51" t="s">
        <v>48</v>
      </c>
      <c r="P243" s="51">
        <v>4</v>
      </c>
      <c r="Q243" s="51">
        <v>10</v>
      </c>
      <c r="R243" s="51" t="s">
        <v>49</v>
      </c>
      <c r="S243" s="890" t="s">
        <v>50</v>
      </c>
      <c r="T243" s="890" t="s">
        <v>50</v>
      </c>
      <c r="U243" s="890" t="s">
        <v>50</v>
      </c>
      <c r="V243" s="890" t="s">
        <v>50</v>
      </c>
      <c r="W243" s="890" t="s">
        <v>50</v>
      </c>
      <c r="X243" s="890" t="s">
        <v>50</v>
      </c>
    </row>
    <row r="244" spans="1:25" s="857" customFormat="1" x14ac:dyDescent="0.25">
      <c r="A244" s="446">
        <v>44225</v>
      </c>
      <c r="B244" s="424" t="s">
        <v>125</v>
      </c>
      <c r="C244" s="424" t="s">
        <v>44</v>
      </c>
      <c r="D244" s="871">
        <v>37.973280000000003</v>
      </c>
      <c r="E244" s="871">
        <v>-121.51658999999999</v>
      </c>
      <c r="F244" s="424" t="s">
        <v>418</v>
      </c>
      <c r="G244" s="424" t="s">
        <v>46</v>
      </c>
      <c r="H244" s="424" t="s">
        <v>59</v>
      </c>
      <c r="I244" s="820">
        <v>0.50694444444444442</v>
      </c>
      <c r="J244" s="424" t="s">
        <v>50</v>
      </c>
      <c r="K244" s="424" t="s">
        <v>50</v>
      </c>
      <c r="L244" s="424" t="s">
        <v>50</v>
      </c>
      <c r="M244" s="424" t="s">
        <v>50</v>
      </c>
      <c r="N244" s="424" t="s">
        <v>50</v>
      </c>
      <c r="O244" s="424" t="s">
        <v>48</v>
      </c>
      <c r="P244" s="424">
        <v>0</v>
      </c>
      <c r="Q244" s="424" t="s">
        <v>50</v>
      </c>
      <c r="R244" s="424" t="s">
        <v>50</v>
      </c>
      <c r="S244" s="424" t="s">
        <v>50</v>
      </c>
      <c r="T244" s="424" t="s">
        <v>50</v>
      </c>
      <c r="U244" s="424" t="s">
        <v>50</v>
      </c>
      <c r="V244" s="424" t="s">
        <v>50</v>
      </c>
      <c r="W244" s="424" t="s">
        <v>50</v>
      </c>
      <c r="X244" s="424" t="s">
        <v>50</v>
      </c>
      <c r="Y244" s="426" t="s">
        <v>419</v>
      </c>
    </row>
    <row r="245" spans="1:25" s="424" customFormat="1" x14ac:dyDescent="0.25">
      <c r="A245" s="446">
        <v>44225</v>
      </c>
      <c r="B245" s="424" t="s">
        <v>125</v>
      </c>
      <c r="C245" s="424" t="s">
        <v>44</v>
      </c>
      <c r="D245" s="424">
        <v>37.992530000000002</v>
      </c>
      <c r="E245" s="424">
        <v>-121.52025</v>
      </c>
      <c r="F245" s="424" t="s">
        <v>420</v>
      </c>
      <c r="G245" s="424" t="s">
        <v>46</v>
      </c>
      <c r="H245" s="424" t="s">
        <v>59</v>
      </c>
      <c r="I245" s="425">
        <v>0.40625</v>
      </c>
      <c r="J245" s="424" t="s">
        <v>50</v>
      </c>
      <c r="K245" s="424" t="s">
        <v>50</v>
      </c>
      <c r="L245" s="424" t="s">
        <v>50</v>
      </c>
      <c r="M245" s="424" t="s">
        <v>50</v>
      </c>
      <c r="N245" s="424" t="s">
        <v>50</v>
      </c>
      <c r="O245" s="424" t="s">
        <v>48</v>
      </c>
      <c r="P245" s="424">
        <v>0</v>
      </c>
      <c r="Q245" s="424" t="s">
        <v>50</v>
      </c>
      <c r="R245" s="424" t="s">
        <v>50</v>
      </c>
      <c r="S245" s="424" t="s">
        <v>50</v>
      </c>
      <c r="T245" s="424" t="s">
        <v>50</v>
      </c>
      <c r="U245" s="424" t="s">
        <v>50</v>
      </c>
      <c r="V245" s="424" t="s">
        <v>50</v>
      </c>
      <c r="W245" s="424" t="s">
        <v>50</v>
      </c>
      <c r="X245" s="424" t="s">
        <v>50</v>
      </c>
      <c r="Y245" s="426" t="s">
        <v>419</v>
      </c>
    </row>
    <row r="246" spans="1:25" x14ac:dyDescent="0.25">
      <c r="A246" s="821">
        <v>44225</v>
      </c>
      <c r="B246" s="51" t="s">
        <v>125</v>
      </c>
      <c r="C246" s="51" t="s">
        <v>44</v>
      </c>
      <c r="D246" s="870">
        <v>37.919600000000003</v>
      </c>
      <c r="E246" s="870">
        <v>-121.56386999999999</v>
      </c>
      <c r="F246" s="51" t="s">
        <v>421</v>
      </c>
      <c r="G246" s="51" t="s">
        <v>46</v>
      </c>
      <c r="H246" s="51" t="s">
        <v>199</v>
      </c>
      <c r="I246" s="822">
        <v>0.34722222222222227</v>
      </c>
      <c r="J246" s="51">
        <v>707.75</v>
      </c>
      <c r="K246" s="51">
        <v>8.5500000000000007</v>
      </c>
      <c r="L246" s="51">
        <v>6.38</v>
      </c>
      <c r="M246" s="51">
        <v>1.18</v>
      </c>
      <c r="N246" s="51">
        <v>6.35</v>
      </c>
      <c r="O246" s="51" t="s">
        <v>48</v>
      </c>
      <c r="P246" s="51">
        <v>4</v>
      </c>
      <c r="Q246" s="51">
        <v>10</v>
      </c>
      <c r="R246" s="51" t="s">
        <v>49</v>
      </c>
      <c r="S246" s="890" t="s">
        <v>50</v>
      </c>
      <c r="T246" s="890" t="s">
        <v>50</v>
      </c>
      <c r="U246" s="890" t="s">
        <v>50</v>
      </c>
      <c r="V246" s="890" t="s">
        <v>50</v>
      </c>
      <c r="W246" s="890" t="s">
        <v>50</v>
      </c>
      <c r="X246" s="890" t="s">
        <v>50</v>
      </c>
    </row>
    <row r="247" spans="1:25" x14ac:dyDescent="0.25">
      <c r="A247" s="821">
        <v>44225</v>
      </c>
      <c r="B247" s="51" t="s">
        <v>125</v>
      </c>
      <c r="C247" s="51" t="s">
        <v>44</v>
      </c>
      <c r="D247" s="870">
        <v>37.976129999999998</v>
      </c>
      <c r="E247" s="870">
        <v>-121.60886000000001</v>
      </c>
      <c r="F247" s="51" t="s">
        <v>422</v>
      </c>
      <c r="G247" s="51" t="s">
        <v>46</v>
      </c>
      <c r="H247" s="51" t="s">
        <v>423</v>
      </c>
      <c r="I247" s="822">
        <v>0.41111111111111115</v>
      </c>
      <c r="J247" s="51">
        <v>775</v>
      </c>
      <c r="K247" s="51">
        <v>8.3000000000000007</v>
      </c>
      <c r="L247" s="51">
        <v>4.4400000000000004</v>
      </c>
      <c r="M247" s="51">
        <v>1.5</v>
      </c>
      <c r="N247" s="51">
        <v>2.9</v>
      </c>
      <c r="O247" s="51" t="s">
        <v>48</v>
      </c>
      <c r="P247" s="51">
        <v>1</v>
      </c>
      <c r="Q247" s="51">
        <v>10</v>
      </c>
      <c r="R247" s="51" t="s">
        <v>49</v>
      </c>
      <c r="S247" s="890" t="s">
        <v>50</v>
      </c>
      <c r="T247" s="890" t="s">
        <v>50</v>
      </c>
      <c r="U247" s="890" t="s">
        <v>50</v>
      </c>
      <c r="V247" s="890" t="s">
        <v>50</v>
      </c>
      <c r="W247" s="890" t="s">
        <v>50</v>
      </c>
      <c r="X247" s="890" t="s">
        <v>50</v>
      </c>
      <c r="Y247" s="52" t="s">
        <v>424</v>
      </c>
    </row>
    <row r="248" spans="1:25" x14ac:dyDescent="0.25">
      <c r="A248" s="821">
        <v>44225</v>
      </c>
      <c r="B248" s="51" t="s">
        <v>125</v>
      </c>
      <c r="C248" s="51" t="s">
        <v>78</v>
      </c>
      <c r="D248" s="870">
        <v>38.09169</v>
      </c>
      <c r="E248" s="870">
        <v>-122.07163</v>
      </c>
      <c r="F248" s="51" t="s">
        <v>425</v>
      </c>
      <c r="G248" s="51" t="s">
        <v>80</v>
      </c>
      <c r="H248" s="51" t="s">
        <v>81</v>
      </c>
      <c r="I248" s="822">
        <v>0.34861111111111115</v>
      </c>
      <c r="J248" s="51">
        <v>19419.25</v>
      </c>
      <c r="K248" s="51">
        <v>9.2200000000000006</v>
      </c>
      <c r="L248" s="51">
        <v>35.17</v>
      </c>
      <c r="M248" s="51">
        <v>0.38</v>
      </c>
      <c r="N248" s="51">
        <v>12.2</v>
      </c>
      <c r="O248" s="51" t="s">
        <v>48</v>
      </c>
      <c r="P248" s="51">
        <v>4</v>
      </c>
      <c r="Q248" s="51">
        <v>10</v>
      </c>
      <c r="R248" s="51" t="s">
        <v>49</v>
      </c>
      <c r="S248" s="890" t="s">
        <v>50</v>
      </c>
      <c r="T248" s="890" t="s">
        <v>50</v>
      </c>
      <c r="U248" s="890" t="s">
        <v>50</v>
      </c>
      <c r="V248" s="890" t="s">
        <v>50</v>
      </c>
      <c r="W248" s="890" t="s">
        <v>50</v>
      </c>
      <c r="X248" s="890" t="s">
        <v>50</v>
      </c>
    </row>
    <row r="249" spans="1:25" x14ac:dyDescent="0.25">
      <c r="A249" s="821">
        <v>44225</v>
      </c>
      <c r="B249" s="51" t="s">
        <v>125</v>
      </c>
      <c r="C249" s="51" t="s">
        <v>78</v>
      </c>
      <c r="D249" s="870">
        <v>38.059600000000003</v>
      </c>
      <c r="E249" s="870">
        <v>-121.87354000000001</v>
      </c>
      <c r="F249" s="51" t="s">
        <v>426</v>
      </c>
      <c r="G249" s="51" t="s">
        <v>27</v>
      </c>
      <c r="H249" s="51" t="s">
        <v>101</v>
      </c>
      <c r="I249" s="822">
        <v>0.4680555555555555</v>
      </c>
      <c r="J249" s="51">
        <v>9359.25</v>
      </c>
      <c r="K249" s="51">
        <v>9.35</v>
      </c>
      <c r="L249" s="51">
        <v>25.82</v>
      </c>
      <c r="M249" s="51">
        <v>0.61</v>
      </c>
      <c r="N249" s="51">
        <v>20.100000000000001</v>
      </c>
      <c r="O249" s="51" t="s">
        <v>48</v>
      </c>
      <c r="P249" s="51">
        <v>4</v>
      </c>
      <c r="Q249" s="51">
        <v>10</v>
      </c>
      <c r="R249" s="51" t="s">
        <v>64</v>
      </c>
      <c r="S249" s="890" t="s">
        <v>50</v>
      </c>
      <c r="T249" s="890" t="s">
        <v>50</v>
      </c>
      <c r="U249" s="890" t="s">
        <v>50</v>
      </c>
      <c r="V249" s="890" t="s">
        <v>50</v>
      </c>
      <c r="W249" s="890" t="s">
        <v>50</v>
      </c>
      <c r="X249" s="890" t="s">
        <v>50</v>
      </c>
    </row>
    <row r="250" spans="1:25" s="854" customFormat="1" x14ac:dyDescent="0.25">
      <c r="A250" s="853">
        <v>44225</v>
      </c>
      <c r="B250" s="74" t="s">
        <v>125</v>
      </c>
      <c r="C250" s="74" t="s">
        <v>78</v>
      </c>
      <c r="D250" s="882">
        <v>38.068210000000001</v>
      </c>
      <c r="E250" s="882">
        <v>-121.95801</v>
      </c>
      <c r="F250" s="74" t="s">
        <v>427</v>
      </c>
      <c r="G250" s="74" t="s">
        <v>27</v>
      </c>
      <c r="H250" s="74" t="s">
        <v>170</v>
      </c>
      <c r="I250" s="894">
        <v>0.41250000000000003</v>
      </c>
      <c r="J250" s="74">
        <v>14574.5</v>
      </c>
      <c r="K250" s="74">
        <v>9.42</v>
      </c>
      <c r="L250" s="74">
        <v>24.98</v>
      </c>
      <c r="M250" s="74">
        <v>0.56000000000000005</v>
      </c>
      <c r="N250" s="74">
        <v>3.02</v>
      </c>
      <c r="O250" s="74" t="s">
        <v>48</v>
      </c>
      <c r="P250" s="74">
        <v>4</v>
      </c>
      <c r="Q250" s="74">
        <v>10</v>
      </c>
      <c r="R250" s="74" t="s">
        <v>64</v>
      </c>
      <c r="S250" s="895" t="s">
        <v>50</v>
      </c>
      <c r="T250" s="895" t="s">
        <v>50</v>
      </c>
      <c r="U250" s="895" t="s">
        <v>50</v>
      </c>
      <c r="V250" s="895" t="s">
        <v>50</v>
      </c>
      <c r="W250" s="895" t="s">
        <v>50</v>
      </c>
      <c r="X250" s="895" t="s">
        <v>50</v>
      </c>
      <c r="Y250" s="77"/>
    </row>
    <row r="251" spans="1:25" x14ac:dyDescent="0.25">
      <c r="A251" s="821">
        <v>44228</v>
      </c>
      <c r="B251" s="51" t="s">
        <v>43</v>
      </c>
      <c r="C251" s="51" t="s">
        <v>106</v>
      </c>
      <c r="D251" s="870">
        <v>38.316949999999999</v>
      </c>
      <c r="E251" s="870">
        <v>-121.65101</v>
      </c>
      <c r="F251" s="51" t="s">
        <v>428</v>
      </c>
      <c r="G251" s="51" t="s">
        <v>90</v>
      </c>
      <c r="H251" s="51" t="s">
        <v>108</v>
      </c>
      <c r="I251" s="66">
        <v>0.34722222222222227</v>
      </c>
      <c r="J251" s="51">
        <v>270.39999999999998</v>
      </c>
      <c r="K251" s="51">
        <v>9.4700000000000006</v>
      </c>
      <c r="L251" s="51">
        <v>62.8</v>
      </c>
      <c r="M251" s="51">
        <v>0.24</v>
      </c>
      <c r="N251" s="51">
        <v>10</v>
      </c>
      <c r="O251" s="51" t="s">
        <v>48</v>
      </c>
      <c r="P251" s="51">
        <v>4</v>
      </c>
      <c r="Q251" s="51">
        <v>10</v>
      </c>
      <c r="R251" s="51" t="s">
        <v>64</v>
      </c>
      <c r="S251" s="51" t="s">
        <v>50</v>
      </c>
      <c r="T251" s="51" t="s">
        <v>50</v>
      </c>
      <c r="U251" s="51" t="s">
        <v>50</v>
      </c>
      <c r="V251" s="51" t="s">
        <v>50</v>
      </c>
      <c r="W251" s="51" t="s">
        <v>50</v>
      </c>
      <c r="X251" s="51" t="s">
        <v>50</v>
      </c>
      <c r="Y251" s="52" t="s">
        <v>429</v>
      </c>
    </row>
    <row r="252" spans="1:25" x14ac:dyDescent="0.25">
      <c r="A252" s="821">
        <v>44228</v>
      </c>
      <c r="B252" s="51" t="s">
        <v>43</v>
      </c>
      <c r="C252" s="51" t="s">
        <v>106</v>
      </c>
      <c r="D252" s="870">
        <v>38.561369999999997</v>
      </c>
      <c r="E252" s="870">
        <v>-121.55804999999999</v>
      </c>
      <c r="F252" s="51" t="s">
        <v>430</v>
      </c>
      <c r="G252" s="51" t="s">
        <v>90</v>
      </c>
      <c r="H252" s="51" t="s">
        <v>158</v>
      </c>
      <c r="I252" s="66">
        <v>0.42986111111111108</v>
      </c>
      <c r="J252" s="51">
        <v>1130</v>
      </c>
      <c r="K252" s="51">
        <v>10.130000000000001</v>
      </c>
      <c r="L252" s="51">
        <v>19.95</v>
      </c>
      <c r="M252" s="51">
        <v>0.92</v>
      </c>
      <c r="N252" s="51">
        <v>11.82</v>
      </c>
      <c r="O252" s="51" t="s">
        <v>48</v>
      </c>
      <c r="P252" s="51">
        <v>4</v>
      </c>
      <c r="Q252" s="51">
        <v>10</v>
      </c>
      <c r="R252" s="51" t="s">
        <v>64</v>
      </c>
      <c r="S252" s="51" t="s">
        <v>50</v>
      </c>
      <c r="T252" s="51" t="s">
        <v>50</v>
      </c>
      <c r="U252" s="51" t="s">
        <v>50</v>
      </c>
      <c r="V252" s="51" t="s">
        <v>50</v>
      </c>
      <c r="W252" s="51" t="s">
        <v>50</v>
      </c>
      <c r="X252" s="51" t="s">
        <v>50</v>
      </c>
      <c r="Y252" s="52" t="s">
        <v>431</v>
      </c>
    </row>
    <row r="253" spans="1:25" x14ac:dyDescent="0.25">
      <c r="A253" s="821">
        <v>44228</v>
      </c>
      <c r="B253" s="51" t="s">
        <v>43</v>
      </c>
      <c r="C253" s="51" t="s">
        <v>106</v>
      </c>
      <c r="D253" s="870">
        <v>38.500920000000001</v>
      </c>
      <c r="E253" s="870">
        <v>-121.58417</v>
      </c>
      <c r="F253" s="51" t="s">
        <v>432</v>
      </c>
      <c r="G253" s="51" t="s">
        <v>90</v>
      </c>
      <c r="H253" s="51" t="s">
        <v>158</v>
      </c>
      <c r="I253" s="66">
        <v>0.48958333333333331</v>
      </c>
      <c r="J253" s="51">
        <v>844.25</v>
      </c>
      <c r="K253" s="51">
        <v>9.5</v>
      </c>
      <c r="L253" s="51">
        <v>71.150000000000006</v>
      </c>
      <c r="M253" s="51">
        <v>0.23</v>
      </c>
      <c r="N253" s="51">
        <v>10.85</v>
      </c>
      <c r="O253" s="51" t="s">
        <v>48</v>
      </c>
      <c r="P253" s="51">
        <v>4</v>
      </c>
      <c r="Q253" s="51">
        <v>10</v>
      </c>
      <c r="R253" s="51" t="s">
        <v>49</v>
      </c>
      <c r="S253" s="51" t="s">
        <v>50</v>
      </c>
      <c r="T253" s="51" t="s">
        <v>50</v>
      </c>
      <c r="U253" s="51" t="s">
        <v>50</v>
      </c>
      <c r="V253" s="51" t="s">
        <v>50</v>
      </c>
      <c r="W253" s="51" t="s">
        <v>50</v>
      </c>
      <c r="X253" s="51" t="s">
        <v>50</v>
      </c>
    </row>
    <row r="254" spans="1:25" x14ac:dyDescent="0.25">
      <c r="A254" s="821">
        <v>44228</v>
      </c>
      <c r="B254" s="51" t="s">
        <v>43</v>
      </c>
      <c r="C254" s="51" t="s">
        <v>44</v>
      </c>
      <c r="D254" s="870">
        <v>38.004260000000002</v>
      </c>
      <c r="E254" s="870">
        <v>-121.5124</v>
      </c>
      <c r="F254" s="51" t="s">
        <v>433</v>
      </c>
      <c r="G254" s="51" t="s">
        <v>46</v>
      </c>
      <c r="H254" s="51" t="s">
        <v>59</v>
      </c>
      <c r="I254" s="66">
        <v>0.36041666666666666</v>
      </c>
      <c r="J254" s="51">
        <v>565</v>
      </c>
      <c r="K254" s="51">
        <v>9.5</v>
      </c>
      <c r="L254" s="51">
        <v>5.33</v>
      </c>
      <c r="M254" s="51">
        <v>1.44</v>
      </c>
      <c r="N254" s="51">
        <v>8.31</v>
      </c>
      <c r="O254" s="51" t="s">
        <v>48</v>
      </c>
      <c r="P254" s="51">
        <v>4</v>
      </c>
      <c r="Q254" s="51">
        <v>10</v>
      </c>
      <c r="R254" s="51" t="s">
        <v>64</v>
      </c>
      <c r="S254" s="51" t="s">
        <v>50</v>
      </c>
      <c r="T254" s="51" t="s">
        <v>50</v>
      </c>
      <c r="U254" s="51" t="s">
        <v>50</v>
      </c>
      <c r="V254" s="51" t="s">
        <v>50</v>
      </c>
      <c r="W254" s="51" t="s">
        <v>50</v>
      </c>
      <c r="X254" s="51" t="s">
        <v>50</v>
      </c>
    </row>
    <row r="255" spans="1:25" x14ac:dyDescent="0.25">
      <c r="A255" s="821">
        <v>44228</v>
      </c>
      <c r="B255" s="51" t="s">
        <v>43</v>
      </c>
      <c r="C255" s="51" t="s">
        <v>44</v>
      </c>
      <c r="D255" s="870">
        <v>37.96116</v>
      </c>
      <c r="E255" s="870">
        <v>-121.56757</v>
      </c>
      <c r="F255" s="51" t="s">
        <v>434</v>
      </c>
      <c r="G255" s="51" t="s">
        <v>46</v>
      </c>
      <c r="H255" s="51" t="s">
        <v>199</v>
      </c>
      <c r="I255" s="66">
        <v>0.50763888888888886</v>
      </c>
      <c r="J255" s="51">
        <v>757.5</v>
      </c>
      <c r="K255" s="51">
        <v>9.6</v>
      </c>
      <c r="L255" s="51">
        <v>7.29</v>
      </c>
      <c r="M255" s="51">
        <v>1.29</v>
      </c>
      <c r="N255" s="51">
        <v>8.15</v>
      </c>
      <c r="O255" s="51" t="s">
        <v>48</v>
      </c>
      <c r="P255" s="51">
        <v>2</v>
      </c>
      <c r="Q255" s="51">
        <v>10</v>
      </c>
      <c r="R255" s="51" t="s">
        <v>49</v>
      </c>
      <c r="S255" s="51" t="s">
        <v>50</v>
      </c>
      <c r="T255" s="51" t="s">
        <v>50</v>
      </c>
      <c r="U255" s="51" t="s">
        <v>50</v>
      </c>
      <c r="V255" s="51" t="s">
        <v>50</v>
      </c>
      <c r="W255" s="51" t="s">
        <v>50</v>
      </c>
      <c r="X255" s="51" t="s">
        <v>50</v>
      </c>
      <c r="Y255" s="52" t="s">
        <v>435</v>
      </c>
    </row>
    <row r="256" spans="1:25" x14ac:dyDescent="0.25">
      <c r="A256" s="821">
        <v>44228</v>
      </c>
      <c r="B256" s="51" t="s">
        <v>43</v>
      </c>
      <c r="C256" s="51" t="s">
        <v>44</v>
      </c>
      <c r="D256" s="870">
        <v>37.887889999999999</v>
      </c>
      <c r="E256" s="870">
        <v>-121.49259000000001</v>
      </c>
      <c r="F256" s="51" t="s">
        <v>436</v>
      </c>
      <c r="G256" s="51" t="s">
        <v>46</v>
      </c>
      <c r="H256" s="51" t="s">
        <v>202</v>
      </c>
      <c r="I256" s="66">
        <v>0.43124999999999997</v>
      </c>
      <c r="J256" s="51">
        <v>635.25</v>
      </c>
      <c r="K256" s="51">
        <v>9.6300000000000008</v>
      </c>
      <c r="L256" s="51">
        <v>5.32</v>
      </c>
      <c r="M256" s="51">
        <v>1.7</v>
      </c>
      <c r="N256" s="51">
        <v>5.33</v>
      </c>
      <c r="O256" s="51" t="s">
        <v>48</v>
      </c>
      <c r="P256" s="51">
        <v>4</v>
      </c>
      <c r="Q256" s="51">
        <v>10</v>
      </c>
      <c r="R256" s="51" t="s">
        <v>64</v>
      </c>
      <c r="S256" s="51" t="s">
        <v>50</v>
      </c>
      <c r="T256" s="51" t="s">
        <v>50</v>
      </c>
      <c r="U256" s="51" t="s">
        <v>50</v>
      </c>
      <c r="V256" s="51" t="s">
        <v>50</v>
      </c>
      <c r="W256" s="51" t="s">
        <v>50</v>
      </c>
      <c r="X256" s="51" t="s">
        <v>50</v>
      </c>
      <c r="Y256" s="52" t="s">
        <v>437</v>
      </c>
    </row>
    <row r="257" spans="1:25" x14ac:dyDescent="0.25">
      <c r="A257" s="821">
        <v>44228</v>
      </c>
      <c r="B257" s="51" t="s">
        <v>43</v>
      </c>
      <c r="C257" s="51" t="s">
        <v>118</v>
      </c>
      <c r="D257" s="870">
        <v>38.037439999999997</v>
      </c>
      <c r="E257" s="870">
        <v>-122.16468</v>
      </c>
      <c r="F257" s="51" t="s">
        <v>438</v>
      </c>
      <c r="G257" s="51" t="s">
        <v>80</v>
      </c>
      <c r="H257" s="51" t="s">
        <v>120</v>
      </c>
      <c r="I257" s="66">
        <v>0.51736111111111105</v>
      </c>
      <c r="J257" s="51">
        <v>21073.75</v>
      </c>
      <c r="K257" s="51">
        <v>10.4</v>
      </c>
      <c r="L257" s="51">
        <v>19.850000000000001</v>
      </c>
      <c r="M257" s="51">
        <v>0.53</v>
      </c>
      <c r="N257" s="51">
        <v>9.43</v>
      </c>
      <c r="O257" s="51" t="s">
        <v>48</v>
      </c>
      <c r="P257" s="51">
        <v>4</v>
      </c>
      <c r="Q257" s="51">
        <v>10</v>
      </c>
      <c r="R257" s="51" t="s">
        <v>64</v>
      </c>
      <c r="S257" s="51" t="s">
        <v>50</v>
      </c>
      <c r="T257" s="51" t="s">
        <v>50</v>
      </c>
      <c r="U257" s="51" t="s">
        <v>50</v>
      </c>
      <c r="V257" s="51" t="s">
        <v>50</v>
      </c>
      <c r="W257" s="51" t="s">
        <v>50</v>
      </c>
      <c r="X257" s="51" t="s">
        <v>50</v>
      </c>
      <c r="Y257" s="52" t="s">
        <v>439</v>
      </c>
    </row>
    <row r="258" spans="1:25" x14ac:dyDescent="0.25">
      <c r="A258" s="821">
        <v>44228</v>
      </c>
      <c r="B258" s="51" t="s">
        <v>43</v>
      </c>
      <c r="C258" s="51" t="s">
        <v>118</v>
      </c>
      <c r="D258" s="870">
        <v>38.043889999999998</v>
      </c>
      <c r="E258" s="870">
        <v>-122.32151</v>
      </c>
      <c r="F258" s="51" t="s">
        <v>440</v>
      </c>
      <c r="G258" s="51" t="s">
        <v>80</v>
      </c>
      <c r="H258" s="51" t="s">
        <v>123</v>
      </c>
      <c r="I258" s="66">
        <v>0.3659722222222222</v>
      </c>
      <c r="J258" s="51">
        <v>31232</v>
      </c>
      <c r="K258" s="51">
        <v>10.47</v>
      </c>
      <c r="L258" s="51">
        <v>14.9</v>
      </c>
      <c r="M258" s="51">
        <v>0.81</v>
      </c>
      <c r="N258" s="51">
        <v>9.8000000000000007</v>
      </c>
      <c r="O258" s="51" t="s">
        <v>48</v>
      </c>
      <c r="P258" s="51">
        <v>4</v>
      </c>
      <c r="Q258" s="51">
        <v>10</v>
      </c>
      <c r="R258" s="51" t="s">
        <v>49</v>
      </c>
      <c r="S258" s="51" t="s">
        <v>50</v>
      </c>
      <c r="T258" s="51" t="s">
        <v>50</v>
      </c>
      <c r="U258" s="51" t="s">
        <v>50</v>
      </c>
      <c r="V258" s="51" t="s">
        <v>50</v>
      </c>
      <c r="W258" s="51" t="s">
        <v>50</v>
      </c>
      <c r="X258" s="51" t="s">
        <v>50</v>
      </c>
      <c r="Y258" s="52" t="s">
        <v>441</v>
      </c>
    </row>
    <row r="259" spans="1:25" s="857" customFormat="1" x14ac:dyDescent="0.25">
      <c r="A259" s="446">
        <v>44228</v>
      </c>
      <c r="B259" s="424" t="s">
        <v>43</v>
      </c>
      <c r="C259" s="424" t="s">
        <v>118</v>
      </c>
      <c r="D259" s="871">
        <v>38.074249999999999</v>
      </c>
      <c r="E259" s="871">
        <v>-122.32428</v>
      </c>
      <c r="F259" s="424" t="s">
        <v>442</v>
      </c>
      <c r="G259" s="424" t="s">
        <v>80</v>
      </c>
      <c r="H259" s="424" t="s">
        <v>123</v>
      </c>
      <c r="I259" s="425">
        <v>0.41805555555555557</v>
      </c>
      <c r="J259" s="424" t="s">
        <v>50</v>
      </c>
      <c r="K259" s="424" t="s">
        <v>50</v>
      </c>
      <c r="L259" s="424" t="s">
        <v>50</v>
      </c>
      <c r="M259" s="424" t="s">
        <v>50</v>
      </c>
      <c r="N259" s="424" t="s">
        <v>50</v>
      </c>
      <c r="O259" s="424" t="s">
        <v>48</v>
      </c>
      <c r="P259" s="424">
        <v>0</v>
      </c>
      <c r="Q259" s="424" t="s">
        <v>50</v>
      </c>
      <c r="R259" s="424" t="s">
        <v>50</v>
      </c>
      <c r="S259" s="424" t="s">
        <v>50</v>
      </c>
      <c r="T259" s="424" t="s">
        <v>50</v>
      </c>
      <c r="U259" s="424" t="s">
        <v>50</v>
      </c>
      <c r="V259" s="424" t="s">
        <v>50</v>
      </c>
      <c r="W259" s="424" t="s">
        <v>50</v>
      </c>
      <c r="X259" s="424" t="s">
        <v>50</v>
      </c>
      <c r="Y259" s="426" t="s">
        <v>443</v>
      </c>
    </row>
    <row r="260" spans="1:25" s="51" customFormat="1" x14ac:dyDescent="0.25">
      <c r="A260" s="821">
        <v>44228</v>
      </c>
      <c r="B260" s="51" t="s">
        <v>43</v>
      </c>
      <c r="C260" s="51" t="s">
        <v>118</v>
      </c>
      <c r="D260" s="870">
        <v>38.152509999999999</v>
      </c>
      <c r="E260" s="870">
        <v>-122.29481</v>
      </c>
      <c r="F260" s="51" t="s">
        <v>444</v>
      </c>
      <c r="G260" s="51" t="s">
        <v>80</v>
      </c>
      <c r="H260" s="51" t="s">
        <v>191</v>
      </c>
      <c r="I260" s="66">
        <v>0.44444444444444442</v>
      </c>
      <c r="J260" s="51">
        <v>27693.75</v>
      </c>
      <c r="K260" s="51">
        <v>11.2</v>
      </c>
      <c r="L260" s="51">
        <v>26.25</v>
      </c>
      <c r="M260" s="51">
        <v>0.55000000000000004</v>
      </c>
      <c r="N260" s="51">
        <v>6.05</v>
      </c>
      <c r="O260" s="51" t="s">
        <v>48</v>
      </c>
      <c r="P260" s="51">
        <v>4</v>
      </c>
      <c r="Q260" s="51">
        <v>10</v>
      </c>
      <c r="R260" s="51" t="s">
        <v>64</v>
      </c>
      <c r="S260" s="51" t="s">
        <v>50</v>
      </c>
      <c r="T260" s="51" t="s">
        <v>50</v>
      </c>
      <c r="U260" s="51" t="s">
        <v>50</v>
      </c>
      <c r="V260" s="51" t="s">
        <v>50</v>
      </c>
      <c r="W260" s="51" t="s">
        <v>50</v>
      </c>
      <c r="X260" s="51" t="s">
        <v>50</v>
      </c>
    </row>
    <row r="261" spans="1:25" x14ac:dyDescent="0.25">
      <c r="A261" s="821">
        <v>44229</v>
      </c>
      <c r="B261" s="51" t="s">
        <v>70</v>
      </c>
      <c r="C261" s="51" t="s">
        <v>162</v>
      </c>
      <c r="D261" s="870">
        <v>38.44603</v>
      </c>
      <c r="E261" s="870">
        <v>-121.60082</v>
      </c>
      <c r="F261" s="51" t="s">
        <v>445</v>
      </c>
      <c r="G261" s="51" t="s">
        <v>90</v>
      </c>
      <c r="H261" s="51" t="s">
        <v>126</v>
      </c>
      <c r="I261" s="66">
        <v>0.35138888888888892</v>
      </c>
      <c r="J261" s="51">
        <v>634.5</v>
      </c>
      <c r="K261" s="51">
        <v>11.4</v>
      </c>
      <c r="L261" s="51">
        <v>45.85</v>
      </c>
      <c r="M261" s="51">
        <v>0.35</v>
      </c>
      <c r="N261" s="51">
        <v>2.7</v>
      </c>
      <c r="O261" s="51" t="s">
        <v>48</v>
      </c>
      <c r="P261" s="51">
        <v>4</v>
      </c>
      <c r="Q261" s="51">
        <v>10</v>
      </c>
      <c r="R261" s="51" t="s">
        <v>64</v>
      </c>
      <c r="S261" s="51" t="s">
        <v>50</v>
      </c>
      <c r="T261" s="51" t="s">
        <v>50</v>
      </c>
      <c r="U261" s="51" t="s">
        <v>50</v>
      </c>
      <c r="V261" s="51" t="s">
        <v>50</v>
      </c>
      <c r="W261" s="51" t="s">
        <v>50</v>
      </c>
      <c r="X261" s="51" t="s">
        <v>50</v>
      </c>
    </row>
    <row r="262" spans="1:25" x14ac:dyDescent="0.25">
      <c r="A262" s="821">
        <v>44229</v>
      </c>
      <c r="B262" s="51" t="s">
        <v>70</v>
      </c>
      <c r="C262" s="51" t="s">
        <v>162</v>
      </c>
      <c r="D262" s="870">
        <v>38.25526</v>
      </c>
      <c r="E262" s="870">
        <v>-121.68862</v>
      </c>
      <c r="F262" s="51" t="s">
        <v>446</v>
      </c>
      <c r="G262" s="51" t="s">
        <v>90</v>
      </c>
      <c r="H262" s="51" t="s">
        <v>126</v>
      </c>
      <c r="I262" s="66">
        <v>0.43124999999999997</v>
      </c>
      <c r="J262" s="51">
        <v>238.55</v>
      </c>
      <c r="K262" s="51">
        <v>10.029999999999999</v>
      </c>
      <c r="L262" s="51">
        <v>31.35</v>
      </c>
      <c r="M262" s="51">
        <v>0.9</v>
      </c>
      <c r="N262" s="51">
        <v>6.33</v>
      </c>
      <c r="O262" s="51" t="s">
        <v>48</v>
      </c>
      <c r="P262" s="51">
        <v>4</v>
      </c>
      <c r="Q262" s="51">
        <v>10</v>
      </c>
      <c r="R262" s="51" t="s">
        <v>49</v>
      </c>
      <c r="S262" s="51" t="s">
        <v>50</v>
      </c>
      <c r="T262" s="51" t="s">
        <v>50</v>
      </c>
      <c r="U262" s="51" t="s">
        <v>50</v>
      </c>
      <c r="V262" s="51" t="s">
        <v>50</v>
      </c>
      <c r="W262" s="51" t="s">
        <v>50</v>
      </c>
      <c r="X262" s="51" t="s">
        <v>50</v>
      </c>
      <c r="Y262" s="52" t="s">
        <v>447</v>
      </c>
    </row>
    <row r="263" spans="1:25" s="878" customFormat="1" x14ac:dyDescent="0.25">
      <c r="A263" s="876">
        <v>44229</v>
      </c>
      <c r="B263" s="437" t="s">
        <v>70</v>
      </c>
      <c r="C263" s="437" t="s">
        <v>162</v>
      </c>
      <c r="D263" s="897">
        <v>38.245159999999998</v>
      </c>
      <c r="E263" s="897">
        <v>-121.68819999999999</v>
      </c>
      <c r="F263" s="437" t="s">
        <v>448</v>
      </c>
      <c r="G263" s="437" t="s">
        <v>90</v>
      </c>
      <c r="H263" s="437" t="s">
        <v>126</v>
      </c>
      <c r="I263" s="438">
        <v>0.48194444444444445</v>
      </c>
      <c r="J263" s="437">
        <v>237.17</v>
      </c>
      <c r="K263" s="437">
        <v>10.050000000000001</v>
      </c>
      <c r="L263" s="437">
        <v>31.35</v>
      </c>
      <c r="M263" s="437">
        <v>0.82</v>
      </c>
      <c r="N263" s="437">
        <v>13.78</v>
      </c>
      <c r="O263" s="437" t="s">
        <v>48</v>
      </c>
      <c r="P263" s="437">
        <v>4</v>
      </c>
      <c r="Q263" s="437">
        <v>10</v>
      </c>
      <c r="R263" s="437" t="s">
        <v>49</v>
      </c>
      <c r="S263" s="877" t="s">
        <v>449</v>
      </c>
      <c r="T263" s="437">
        <v>2</v>
      </c>
      <c r="U263" s="437" t="s">
        <v>450</v>
      </c>
      <c r="V263" s="437" t="s">
        <v>50</v>
      </c>
      <c r="W263" s="896" t="s">
        <v>451</v>
      </c>
      <c r="X263" s="437" t="s">
        <v>351</v>
      </c>
      <c r="Y263" s="440" t="s">
        <v>452</v>
      </c>
    </row>
    <row r="264" spans="1:25" x14ac:dyDescent="0.25">
      <c r="A264" s="821">
        <v>44229</v>
      </c>
      <c r="B264" s="51" t="s">
        <v>70</v>
      </c>
      <c r="C264" s="51" t="s">
        <v>44</v>
      </c>
      <c r="D264" s="870">
        <v>38.048180000000002</v>
      </c>
      <c r="E264" s="870">
        <v>-121.62143</v>
      </c>
      <c r="F264" s="51" t="s">
        <v>453</v>
      </c>
      <c r="G264" s="51" t="s">
        <v>46</v>
      </c>
      <c r="H264" s="51" t="s">
        <v>47</v>
      </c>
      <c r="I264" s="66">
        <v>0.35069444444444442</v>
      </c>
      <c r="J264" s="51">
        <v>977</v>
      </c>
      <c r="K264" s="51">
        <v>9.8000000000000007</v>
      </c>
      <c r="L264" s="51">
        <v>16.670000000000002</v>
      </c>
      <c r="M264" s="51">
        <v>0.77</v>
      </c>
      <c r="N264" s="51">
        <v>6.96</v>
      </c>
      <c r="O264" s="51" t="s">
        <v>48</v>
      </c>
      <c r="P264" s="51">
        <v>4</v>
      </c>
      <c r="Q264" s="51">
        <v>10</v>
      </c>
      <c r="R264" s="51" t="s">
        <v>64</v>
      </c>
      <c r="S264" s="51" t="s">
        <v>50</v>
      </c>
      <c r="T264" s="51" t="s">
        <v>50</v>
      </c>
      <c r="U264" s="51" t="s">
        <v>50</v>
      </c>
      <c r="V264" s="51" t="s">
        <v>50</v>
      </c>
      <c r="W264" s="51" t="s">
        <v>50</v>
      </c>
      <c r="X264" s="51" t="s">
        <v>50</v>
      </c>
    </row>
    <row r="265" spans="1:25" x14ac:dyDescent="0.25">
      <c r="A265" s="821">
        <v>44229</v>
      </c>
      <c r="B265" s="51" t="s">
        <v>70</v>
      </c>
      <c r="C265" s="51" t="s">
        <v>44</v>
      </c>
      <c r="D265" s="870">
        <v>38.035490000000003</v>
      </c>
      <c r="E265" s="870">
        <v>-121.61266000000001</v>
      </c>
      <c r="F265" s="51" t="s">
        <v>454</v>
      </c>
      <c r="G265" s="51" t="s">
        <v>46</v>
      </c>
      <c r="H265" s="51" t="s">
        <v>47</v>
      </c>
      <c r="I265" s="66">
        <v>0.40416666666666662</v>
      </c>
      <c r="J265" s="51">
        <v>954.75</v>
      </c>
      <c r="K265" s="51">
        <v>10.119999999999999</v>
      </c>
      <c r="L265" s="51">
        <v>16.2</v>
      </c>
      <c r="M265" s="51">
        <v>0.64</v>
      </c>
      <c r="N265" s="51">
        <v>2.77</v>
      </c>
      <c r="O265" s="51" t="s">
        <v>48</v>
      </c>
      <c r="P265" s="51">
        <v>4</v>
      </c>
      <c r="Q265" s="51">
        <v>10</v>
      </c>
      <c r="R265" s="51" t="s">
        <v>49</v>
      </c>
      <c r="S265" s="51" t="s">
        <v>50</v>
      </c>
      <c r="T265" s="51" t="s">
        <v>50</v>
      </c>
      <c r="U265" s="51" t="s">
        <v>50</v>
      </c>
      <c r="V265" s="51" t="s">
        <v>50</v>
      </c>
      <c r="W265" s="51" t="s">
        <v>50</v>
      </c>
      <c r="X265" s="51" t="s">
        <v>50</v>
      </c>
    </row>
    <row r="266" spans="1:25" s="51" customFormat="1" x14ac:dyDescent="0.25">
      <c r="A266" s="821">
        <v>44229</v>
      </c>
      <c r="B266" s="51" t="s">
        <v>70</v>
      </c>
      <c r="C266" s="51" t="s">
        <v>44</v>
      </c>
      <c r="D266" s="51">
        <v>38.045520000000003</v>
      </c>
      <c r="E266" s="51">
        <v>-121.60782</v>
      </c>
      <c r="F266" s="51" t="s">
        <v>455</v>
      </c>
      <c r="G266" s="51" t="s">
        <v>46</v>
      </c>
      <c r="H266" s="51" t="s">
        <v>47</v>
      </c>
      <c r="I266" s="66">
        <v>0.4604166666666667</v>
      </c>
      <c r="J266" s="51">
        <v>880</v>
      </c>
      <c r="K266" s="51">
        <v>9.9</v>
      </c>
      <c r="L266" s="51">
        <v>14.4</v>
      </c>
      <c r="M266" s="51">
        <v>0.9</v>
      </c>
      <c r="N266" s="51">
        <v>2.4500000000000002</v>
      </c>
      <c r="O266" s="51" t="s">
        <v>48</v>
      </c>
      <c r="P266" s="51">
        <v>2</v>
      </c>
      <c r="Q266" s="51">
        <v>10</v>
      </c>
      <c r="R266" s="51" t="s">
        <v>49</v>
      </c>
      <c r="T266" s="51" t="s">
        <v>50</v>
      </c>
      <c r="U266" s="51" t="s">
        <v>50</v>
      </c>
      <c r="V266" s="51" t="s">
        <v>50</v>
      </c>
      <c r="W266" s="51" t="s">
        <v>50</v>
      </c>
      <c r="X266" s="51" t="s">
        <v>50</v>
      </c>
      <c r="Y266" s="52" t="s">
        <v>456</v>
      </c>
    </row>
    <row r="267" spans="1:25" s="856" customFormat="1" x14ac:dyDescent="0.25">
      <c r="A267" s="855">
        <v>44229</v>
      </c>
      <c r="B267" s="450" t="s">
        <v>70</v>
      </c>
      <c r="C267" s="450" t="s">
        <v>62</v>
      </c>
      <c r="D267" s="881">
        <v>38.104880000000001</v>
      </c>
      <c r="E267" s="881">
        <v>-122.03363</v>
      </c>
      <c r="F267" s="450" t="s">
        <v>457</v>
      </c>
      <c r="G267" s="450" t="s">
        <v>27</v>
      </c>
      <c r="H267" s="450" t="s">
        <v>173</v>
      </c>
      <c r="I267" s="451">
        <v>0.33819444444444446</v>
      </c>
      <c r="J267" s="450">
        <v>16003.75</v>
      </c>
      <c r="K267" s="450">
        <v>12.03</v>
      </c>
      <c r="L267" s="450">
        <v>26.2</v>
      </c>
      <c r="M267" s="450">
        <v>0.54</v>
      </c>
      <c r="N267" s="450">
        <v>2.85</v>
      </c>
      <c r="O267" s="450" t="s">
        <v>48</v>
      </c>
      <c r="P267" s="450">
        <v>4</v>
      </c>
      <c r="Q267" s="450">
        <v>10</v>
      </c>
      <c r="R267" s="450" t="s">
        <v>49</v>
      </c>
      <c r="S267" s="858" t="s">
        <v>31</v>
      </c>
      <c r="T267" s="450">
        <v>4</v>
      </c>
      <c r="U267" s="450" t="s">
        <v>458</v>
      </c>
      <c r="V267" s="450" t="s">
        <v>66</v>
      </c>
      <c r="W267" s="450" t="s">
        <v>50</v>
      </c>
      <c r="X267" s="450" t="s">
        <v>228</v>
      </c>
      <c r="Y267" s="453" t="s">
        <v>459</v>
      </c>
    </row>
    <row r="268" spans="1:25" s="856" customFormat="1" x14ac:dyDescent="0.25">
      <c r="A268" s="855">
        <v>44229</v>
      </c>
      <c r="B268" s="450" t="s">
        <v>70</v>
      </c>
      <c r="C268" s="450" t="s">
        <v>62</v>
      </c>
      <c r="D268" s="881">
        <v>38.116140000000001</v>
      </c>
      <c r="E268" s="881">
        <v>-122.06052</v>
      </c>
      <c r="F268" s="450" t="s">
        <v>460</v>
      </c>
      <c r="G268" s="450" t="s">
        <v>27</v>
      </c>
      <c r="H268" s="450" t="s">
        <v>62</v>
      </c>
      <c r="I268" s="451">
        <v>0.39999999999999997</v>
      </c>
      <c r="J268" s="450">
        <v>14601.75</v>
      </c>
      <c r="K268" s="450">
        <v>10.67</v>
      </c>
      <c r="L268" s="450">
        <v>78.95</v>
      </c>
      <c r="M268" s="450">
        <v>0.25</v>
      </c>
      <c r="N268" s="450">
        <v>4.0999999999999996</v>
      </c>
      <c r="O268" s="450" t="s">
        <v>48</v>
      </c>
      <c r="P268" s="450">
        <v>4</v>
      </c>
      <c r="Q268" s="450">
        <v>10</v>
      </c>
      <c r="R268" s="450" t="s">
        <v>49</v>
      </c>
      <c r="S268" s="858" t="s">
        <v>31</v>
      </c>
      <c r="T268" s="450">
        <v>3</v>
      </c>
      <c r="U268" s="450" t="s">
        <v>461</v>
      </c>
      <c r="V268" s="450" t="s">
        <v>66</v>
      </c>
      <c r="W268" s="450" t="s">
        <v>50</v>
      </c>
      <c r="X268" s="450" t="s">
        <v>228</v>
      </c>
      <c r="Y268" s="453"/>
    </row>
    <row r="269" spans="1:25" x14ac:dyDescent="0.25">
      <c r="A269" s="821">
        <v>44229</v>
      </c>
      <c r="B269" s="51" t="s">
        <v>70</v>
      </c>
      <c r="C269" s="51" t="s">
        <v>62</v>
      </c>
      <c r="D269" s="870">
        <v>38.17736</v>
      </c>
      <c r="E269" s="870">
        <v>-122.9629</v>
      </c>
      <c r="F269" s="51" t="s">
        <v>462</v>
      </c>
      <c r="G269" s="51" t="s">
        <v>27</v>
      </c>
      <c r="H269" s="51" t="s">
        <v>62</v>
      </c>
      <c r="I269" s="66">
        <v>0.46249999999999997</v>
      </c>
      <c r="J269" s="51">
        <v>7867.75</v>
      </c>
      <c r="K269" s="51">
        <v>10.65</v>
      </c>
      <c r="L269" s="51">
        <v>47.1</v>
      </c>
      <c r="M269" s="51">
        <v>0.44</v>
      </c>
      <c r="N269" s="51">
        <v>5.78</v>
      </c>
      <c r="O269" s="51" t="s">
        <v>48</v>
      </c>
      <c r="P269" s="51">
        <v>4</v>
      </c>
      <c r="Q269" s="51">
        <v>10</v>
      </c>
      <c r="R269" s="51" t="s">
        <v>49</v>
      </c>
      <c r="S269" s="51" t="s">
        <v>50</v>
      </c>
      <c r="T269" s="51" t="s">
        <v>50</v>
      </c>
      <c r="U269" s="51" t="s">
        <v>50</v>
      </c>
      <c r="V269" s="51" t="s">
        <v>50</v>
      </c>
      <c r="W269" s="51" t="s">
        <v>50</v>
      </c>
      <c r="X269" s="51" t="s">
        <v>50</v>
      </c>
    </row>
    <row r="270" spans="1:25" s="437" customFormat="1" x14ac:dyDescent="0.25">
      <c r="A270" s="876">
        <v>44230</v>
      </c>
      <c r="B270" s="437" t="s">
        <v>87</v>
      </c>
      <c r="C270" s="437" t="s">
        <v>88</v>
      </c>
      <c r="D270" s="897">
        <v>38.094299999999997</v>
      </c>
      <c r="E270" s="897">
        <v>-121.73443</v>
      </c>
      <c r="F270" s="437" t="s">
        <v>463</v>
      </c>
      <c r="G270" s="437" t="s">
        <v>90</v>
      </c>
      <c r="H270" s="437" t="s">
        <v>91</v>
      </c>
      <c r="I270" s="438">
        <v>0.4513888888888889</v>
      </c>
      <c r="J270" s="437">
        <v>904</v>
      </c>
      <c r="K270" s="437">
        <v>9.75</v>
      </c>
      <c r="L270" s="437">
        <v>50.52</v>
      </c>
      <c r="M270" s="437">
        <v>0.51</v>
      </c>
      <c r="N270" s="437">
        <v>10.029999999999999</v>
      </c>
      <c r="O270" s="437" t="s">
        <v>48</v>
      </c>
      <c r="P270" s="437">
        <v>4</v>
      </c>
      <c r="Q270" s="437">
        <v>10</v>
      </c>
      <c r="R270" s="437" t="s">
        <v>49</v>
      </c>
      <c r="S270" s="877" t="s">
        <v>449</v>
      </c>
      <c r="T270" s="437">
        <v>3</v>
      </c>
      <c r="U270" s="437" t="s">
        <v>464</v>
      </c>
      <c r="V270" s="437" t="s">
        <v>50</v>
      </c>
      <c r="W270" s="896" t="s">
        <v>451</v>
      </c>
      <c r="X270" s="437" t="s">
        <v>351</v>
      </c>
      <c r="Y270" s="440" t="s">
        <v>452</v>
      </c>
    </row>
    <row r="271" spans="1:25" s="437" customFormat="1" x14ac:dyDescent="0.25">
      <c r="A271" s="876">
        <v>44230</v>
      </c>
      <c r="B271" s="437" t="s">
        <v>87</v>
      </c>
      <c r="C271" s="437" t="s">
        <v>88</v>
      </c>
      <c r="D271" s="437">
        <v>38.076529999999998</v>
      </c>
      <c r="E271" s="437">
        <v>-121.76965</v>
      </c>
      <c r="F271" s="437" t="s">
        <v>465</v>
      </c>
      <c r="G271" s="437" t="s">
        <v>27</v>
      </c>
      <c r="H271" s="437" t="s">
        <v>25</v>
      </c>
      <c r="I271" s="438">
        <v>0.3888888888888889</v>
      </c>
      <c r="J271" s="437">
        <v>275.07</v>
      </c>
      <c r="K271" s="437">
        <v>9.9</v>
      </c>
      <c r="L271" s="437">
        <v>53.45</v>
      </c>
      <c r="M271" s="437">
        <v>0.46</v>
      </c>
      <c r="N271" s="437">
        <v>8.0500000000000007</v>
      </c>
      <c r="O271" s="437" t="s">
        <v>48</v>
      </c>
      <c r="P271" s="437">
        <v>4</v>
      </c>
      <c r="Q271" s="437">
        <v>10</v>
      </c>
      <c r="R271" s="437" t="s">
        <v>64</v>
      </c>
      <c r="S271" s="877" t="s">
        <v>348</v>
      </c>
      <c r="T271" s="437">
        <v>1</v>
      </c>
      <c r="U271" s="437" t="s">
        <v>466</v>
      </c>
      <c r="V271" s="437" t="s">
        <v>50</v>
      </c>
      <c r="W271" s="437" t="s">
        <v>350</v>
      </c>
      <c r="X271" s="437" t="s">
        <v>351</v>
      </c>
      <c r="Y271" s="440"/>
    </row>
    <row r="272" spans="1:25" s="437" customFormat="1" x14ac:dyDescent="0.25">
      <c r="A272" s="876">
        <v>44230</v>
      </c>
      <c r="B272" s="437" t="s">
        <v>87</v>
      </c>
      <c r="C272" s="437" t="s">
        <v>88</v>
      </c>
      <c r="D272" s="437">
        <v>38.076529999999998</v>
      </c>
      <c r="E272" s="437">
        <v>-121.76965</v>
      </c>
      <c r="F272" s="437" t="s">
        <v>465</v>
      </c>
      <c r="G272" s="437" t="s">
        <v>27</v>
      </c>
      <c r="H272" s="437" t="s">
        <v>25</v>
      </c>
      <c r="I272" s="438">
        <v>0.3888888888888889</v>
      </c>
      <c r="J272" s="437">
        <v>275.07</v>
      </c>
      <c r="K272" s="437">
        <v>9.9</v>
      </c>
      <c r="L272" s="437">
        <v>53.45</v>
      </c>
      <c r="M272" s="437">
        <v>0.46</v>
      </c>
      <c r="N272" s="437">
        <v>8.0500000000000007</v>
      </c>
      <c r="O272" s="437" t="s">
        <v>48</v>
      </c>
      <c r="P272" s="437">
        <v>4</v>
      </c>
      <c r="Q272" s="437">
        <v>10</v>
      </c>
      <c r="R272" s="437" t="s">
        <v>64</v>
      </c>
      <c r="S272" s="877" t="s">
        <v>467</v>
      </c>
      <c r="T272" s="437">
        <v>1</v>
      </c>
      <c r="U272" s="437" t="s">
        <v>468</v>
      </c>
      <c r="V272" s="437" t="s">
        <v>50</v>
      </c>
      <c r="W272" s="437" t="s">
        <v>350</v>
      </c>
      <c r="X272" s="437" t="s">
        <v>228</v>
      </c>
      <c r="Y272" s="440" t="s">
        <v>469</v>
      </c>
    </row>
    <row r="273" spans="1:25" s="437" customFormat="1" x14ac:dyDescent="0.25">
      <c r="A273" s="876">
        <v>44230</v>
      </c>
      <c r="B273" s="437" t="s">
        <v>87</v>
      </c>
      <c r="C273" s="437" t="s">
        <v>88</v>
      </c>
      <c r="D273" s="437">
        <v>38.076529999999998</v>
      </c>
      <c r="E273" s="437">
        <v>-121.76965</v>
      </c>
      <c r="F273" s="437" t="s">
        <v>465</v>
      </c>
      <c r="G273" s="437" t="s">
        <v>27</v>
      </c>
      <c r="H273" s="437" t="s">
        <v>25</v>
      </c>
      <c r="I273" s="438">
        <v>0.38888888888888901</v>
      </c>
      <c r="J273" s="437">
        <v>275.07</v>
      </c>
      <c r="K273" s="437">
        <v>9.9</v>
      </c>
      <c r="L273" s="437">
        <v>53.45</v>
      </c>
      <c r="M273" s="437">
        <v>0.46</v>
      </c>
      <c r="N273" s="437">
        <v>8.0500000000000007</v>
      </c>
      <c r="O273" s="437" t="s">
        <v>48</v>
      </c>
      <c r="P273" s="437">
        <v>4</v>
      </c>
      <c r="Q273" s="437">
        <v>10</v>
      </c>
      <c r="R273" s="437" t="s">
        <v>64</v>
      </c>
      <c r="S273" s="877" t="s">
        <v>449</v>
      </c>
      <c r="T273" s="437">
        <v>1</v>
      </c>
      <c r="U273" s="437" t="s">
        <v>50</v>
      </c>
      <c r="V273" s="437" t="s">
        <v>50</v>
      </c>
      <c r="W273" s="437" t="s">
        <v>50</v>
      </c>
      <c r="X273" s="437" t="s">
        <v>351</v>
      </c>
      <c r="Y273" s="440" t="s">
        <v>470</v>
      </c>
    </row>
    <row r="274" spans="1:25" s="51" customFormat="1" x14ac:dyDescent="0.25">
      <c r="A274" s="821">
        <v>44230</v>
      </c>
      <c r="B274" s="51" t="s">
        <v>87</v>
      </c>
      <c r="C274" s="51" t="s">
        <v>88</v>
      </c>
      <c r="D274" s="51">
        <v>38.062170000000002</v>
      </c>
      <c r="E274" s="51">
        <v>-121.81437</v>
      </c>
      <c r="F274" s="51" t="s">
        <v>471</v>
      </c>
      <c r="G274" s="51" t="s">
        <v>27</v>
      </c>
      <c r="H274" s="51" t="s">
        <v>25</v>
      </c>
      <c r="I274" s="66">
        <v>0.33819444444444446</v>
      </c>
      <c r="J274" s="51">
        <v>4744.5</v>
      </c>
      <c r="K274" s="51">
        <v>9.9</v>
      </c>
      <c r="L274" s="51">
        <v>40.380000000000003</v>
      </c>
      <c r="M274" s="51">
        <v>0.48</v>
      </c>
      <c r="N274" s="51">
        <v>11.25</v>
      </c>
      <c r="O274" s="51" t="s">
        <v>48</v>
      </c>
      <c r="P274" s="51">
        <v>4</v>
      </c>
      <c r="Q274" s="51">
        <v>10</v>
      </c>
      <c r="R274" s="51" t="s">
        <v>64</v>
      </c>
      <c r="S274" s="51" t="s">
        <v>50</v>
      </c>
      <c r="T274" s="51" t="s">
        <v>50</v>
      </c>
      <c r="U274" s="51" t="s">
        <v>50</v>
      </c>
      <c r="V274" s="51" t="s">
        <v>50</v>
      </c>
      <c r="W274" s="51" t="s">
        <v>50</v>
      </c>
      <c r="X274" s="51" t="s">
        <v>50</v>
      </c>
    </row>
    <row r="275" spans="1:25" s="878" customFormat="1" x14ac:dyDescent="0.25">
      <c r="A275" s="876">
        <v>44230</v>
      </c>
      <c r="B275" s="437" t="s">
        <v>87</v>
      </c>
      <c r="C275" s="437" t="s">
        <v>44</v>
      </c>
      <c r="D275" s="897">
        <v>38.067929999999997</v>
      </c>
      <c r="E275" s="897">
        <v>-121.53272</v>
      </c>
      <c r="F275" s="437" t="s">
        <v>472</v>
      </c>
      <c r="G275" s="437" t="s">
        <v>46</v>
      </c>
      <c r="H275" s="437" t="s">
        <v>115</v>
      </c>
      <c r="I275" s="438">
        <v>0.39652777777777781</v>
      </c>
      <c r="J275" s="437">
        <v>481.25</v>
      </c>
      <c r="K275" s="437">
        <v>9.8000000000000007</v>
      </c>
      <c r="L275" s="437">
        <v>10.07</v>
      </c>
      <c r="M275" s="437">
        <v>1.22</v>
      </c>
      <c r="N275" s="437">
        <v>11.32</v>
      </c>
      <c r="O275" s="437" t="s">
        <v>48</v>
      </c>
      <c r="P275" s="437">
        <v>4</v>
      </c>
      <c r="Q275" s="437">
        <v>10</v>
      </c>
      <c r="R275" s="437" t="s">
        <v>64</v>
      </c>
      <c r="S275" s="877" t="s">
        <v>449</v>
      </c>
      <c r="T275" s="437">
        <v>2</v>
      </c>
      <c r="U275" s="437" t="s">
        <v>473</v>
      </c>
      <c r="V275" s="437" t="s">
        <v>50</v>
      </c>
      <c r="W275" s="437" t="s">
        <v>350</v>
      </c>
      <c r="X275" s="437" t="s">
        <v>351</v>
      </c>
      <c r="Y275" s="440"/>
    </row>
    <row r="276" spans="1:25" x14ac:dyDescent="0.25">
      <c r="A276" s="821">
        <v>44230</v>
      </c>
      <c r="B276" s="51" t="s">
        <v>87</v>
      </c>
      <c r="C276" s="51" t="s">
        <v>44</v>
      </c>
      <c r="D276" s="870">
        <v>38.058450000000001</v>
      </c>
      <c r="E276" s="870">
        <v>-121.54895</v>
      </c>
      <c r="F276" s="51" t="s">
        <v>474</v>
      </c>
      <c r="G276" s="51" t="s">
        <v>46</v>
      </c>
      <c r="H276" s="51" t="s">
        <v>115</v>
      </c>
      <c r="I276" s="66">
        <v>0.4458333333333333</v>
      </c>
      <c r="J276" s="51">
        <v>433.1</v>
      </c>
      <c r="K276" s="51">
        <v>9.8000000000000007</v>
      </c>
      <c r="L276" s="51">
        <v>8.68</v>
      </c>
      <c r="M276" s="51">
        <v>1.2</v>
      </c>
      <c r="N276" s="51">
        <v>10.57</v>
      </c>
      <c r="O276" s="51" t="s">
        <v>48</v>
      </c>
      <c r="P276" s="51">
        <v>4</v>
      </c>
      <c r="Q276" s="51">
        <v>10</v>
      </c>
      <c r="R276" s="51" t="s">
        <v>64</v>
      </c>
      <c r="S276" s="51" t="s">
        <v>50</v>
      </c>
      <c r="T276" s="51" t="s">
        <v>50</v>
      </c>
      <c r="U276" s="51" t="s">
        <v>50</v>
      </c>
      <c r="V276" s="51" t="s">
        <v>50</v>
      </c>
      <c r="W276" s="51" t="s">
        <v>50</v>
      </c>
      <c r="X276" s="51" t="s">
        <v>50</v>
      </c>
      <c r="Y276" s="52" t="s">
        <v>475</v>
      </c>
    </row>
    <row r="277" spans="1:25" x14ac:dyDescent="0.25">
      <c r="A277" s="821">
        <v>44230</v>
      </c>
      <c r="B277" s="51" t="s">
        <v>87</v>
      </c>
      <c r="C277" s="51" t="s">
        <v>44</v>
      </c>
      <c r="D277" s="870">
        <v>38.059240000000003</v>
      </c>
      <c r="E277" s="870">
        <v>-121.68616</v>
      </c>
      <c r="F277" s="51" t="s">
        <v>476</v>
      </c>
      <c r="G277" s="51" t="s">
        <v>46</v>
      </c>
      <c r="H277" s="51" t="s">
        <v>97</v>
      </c>
      <c r="I277" s="66">
        <v>0.33749999999999997</v>
      </c>
      <c r="J277" s="51">
        <v>1137</v>
      </c>
      <c r="K277" s="51">
        <v>9.8000000000000007</v>
      </c>
      <c r="L277" s="51">
        <v>19.600000000000001</v>
      </c>
      <c r="M277" s="51">
        <v>0.59</v>
      </c>
      <c r="N277" s="51">
        <v>3.88</v>
      </c>
      <c r="O277" s="51" t="s">
        <v>48</v>
      </c>
      <c r="P277" s="51">
        <v>4</v>
      </c>
      <c r="Q277" s="51">
        <v>10</v>
      </c>
      <c r="R277" s="51" t="s">
        <v>64</v>
      </c>
      <c r="S277" s="51" t="s">
        <v>50</v>
      </c>
      <c r="T277" s="51" t="s">
        <v>50</v>
      </c>
      <c r="U277" s="51" t="s">
        <v>50</v>
      </c>
      <c r="V277" s="51" t="s">
        <v>50</v>
      </c>
      <c r="W277" s="51" t="s">
        <v>50</v>
      </c>
      <c r="X277" s="51" t="s">
        <v>50</v>
      </c>
    </row>
    <row r="278" spans="1:25" s="856" customFormat="1" x14ac:dyDescent="0.25">
      <c r="A278" s="855">
        <v>44230</v>
      </c>
      <c r="B278" s="450" t="s">
        <v>87</v>
      </c>
      <c r="C278" s="450" t="s">
        <v>78</v>
      </c>
      <c r="D278" s="881">
        <v>38.0822</v>
      </c>
      <c r="E278" s="881">
        <v>-122.09066</v>
      </c>
      <c r="F278" s="450" t="s">
        <v>477</v>
      </c>
      <c r="G278" s="450" t="s">
        <v>80</v>
      </c>
      <c r="H278" s="450" t="s">
        <v>81</v>
      </c>
      <c r="I278" s="451">
        <v>0.40625</v>
      </c>
      <c r="J278" s="450">
        <v>16376</v>
      </c>
      <c r="K278" s="450">
        <v>10.58</v>
      </c>
      <c r="L278" s="450">
        <v>83.55</v>
      </c>
      <c r="M278" s="450">
        <v>0.34</v>
      </c>
      <c r="N278" s="450">
        <v>6.55</v>
      </c>
      <c r="O278" s="450" t="s">
        <v>48</v>
      </c>
      <c r="P278" s="450">
        <v>4</v>
      </c>
      <c r="Q278" s="450">
        <v>10</v>
      </c>
      <c r="R278" s="450" t="s">
        <v>49</v>
      </c>
      <c r="S278" s="858" t="s">
        <v>31</v>
      </c>
      <c r="T278" s="450">
        <v>23</v>
      </c>
      <c r="U278" s="450" t="s">
        <v>478</v>
      </c>
      <c r="V278" s="450" t="s">
        <v>66</v>
      </c>
      <c r="W278" s="450" t="s">
        <v>50</v>
      </c>
      <c r="X278" s="450" t="s">
        <v>228</v>
      </c>
      <c r="Y278" s="453"/>
    </row>
    <row r="279" spans="1:25" x14ac:dyDescent="0.25">
      <c r="A279" s="821">
        <v>44230</v>
      </c>
      <c r="B279" s="51" t="s">
        <v>87</v>
      </c>
      <c r="C279" s="51" t="s">
        <v>78</v>
      </c>
      <c r="D279" s="870">
        <v>38.082720000000002</v>
      </c>
      <c r="E279" s="870">
        <v>-122.07969</v>
      </c>
      <c r="F279" s="51" t="s">
        <v>479</v>
      </c>
      <c r="G279" s="51" t="s">
        <v>80</v>
      </c>
      <c r="H279" s="51" t="s">
        <v>81</v>
      </c>
      <c r="I279" s="66">
        <v>0.46319444444444446</v>
      </c>
      <c r="J279" s="51">
        <v>15038.5</v>
      </c>
      <c r="K279" s="51">
        <v>10.6</v>
      </c>
      <c r="L279" s="51">
        <v>36.6</v>
      </c>
      <c r="M279" s="51">
        <v>0.33</v>
      </c>
      <c r="N279" s="51">
        <v>9.2799999999999994</v>
      </c>
      <c r="O279" s="51" t="s">
        <v>48</v>
      </c>
      <c r="P279" s="51">
        <v>4</v>
      </c>
      <c r="Q279" s="51">
        <v>10</v>
      </c>
      <c r="R279" s="51" t="s">
        <v>49</v>
      </c>
      <c r="S279" s="51" t="s">
        <v>50</v>
      </c>
      <c r="T279" s="51" t="s">
        <v>50</v>
      </c>
      <c r="U279" s="51" t="s">
        <v>50</v>
      </c>
      <c r="V279" s="51" t="s">
        <v>50</v>
      </c>
      <c r="W279" s="51" t="s">
        <v>50</v>
      </c>
      <c r="X279" s="51" t="s">
        <v>50</v>
      </c>
    </row>
    <row r="280" spans="1:25" x14ac:dyDescent="0.25">
      <c r="A280" s="821">
        <v>44230</v>
      </c>
      <c r="B280" s="51" t="s">
        <v>87</v>
      </c>
      <c r="C280" s="51" t="s">
        <v>78</v>
      </c>
      <c r="D280" s="870">
        <v>38.074159999999999</v>
      </c>
      <c r="E280" s="870">
        <v>-122.0155</v>
      </c>
      <c r="F280" s="51" t="s">
        <v>480</v>
      </c>
      <c r="G280" s="51" t="s">
        <v>27</v>
      </c>
      <c r="H280" s="51" t="s">
        <v>86</v>
      </c>
      <c r="I280" s="66">
        <v>0.34027777777777773</v>
      </c>
      <c r="J280" s="51">
        <v>14030.25</v>
      </c>
      <c r="K280" s="51">
        <v>10.23</v>
      </c>
      <c r="L280" s="51">
        <v>25.22</v>
      </c>
      <c r="M280" s="51">
        <v>0.45</v>
      </c>
      <c r="N280" s="51">
        <v>6.72</v>
      </c>
      <c r="O280" s="51" t="s">
        <v>48</v>
      </c>
      <c r="P280" s="51">
        <v>4</v>
      </c>
      <c r="Q280" s="51">
        <v>10</v>
      </c>
      <c r="R280" s="51" t="s">
        <v>64</v>
      </c>
      <c r="S280" s="51" t="s">
        <v>50</v>
      </c>
      <c r="T280" s="51" t="s">
        <v>50</v>
      </c>
      <c r="U280" s="51" t="s">
        <v>50</v>
      </c>
      <c r="V280" s="51" t="s">
        <v>50</v>
      </c>
      <c r="W280" s="51" t="s">
        <v>50</v>
      </c>
      <c r="X280" s="51" t="s">
        <v>50</v>
      </c>
      <c r="Y280" s="52" t="s">
        <v>481</v>
      </c>
    </row>
    <row r="281" spans="1:25" s="51" customFormat="1" x14ac:dyDescent="0.25">
      <c r="A281" s="821">
        <v>44231</v>
      </c>
      <c r="B281" s="51" t="s">
        <v>105</v>
      </c>
      <c r="C281" s="51" t="s">
        <v>88</v>
      </c>
      <c r="D281" s="870">
        <v>38.11721</v>
      </c>
      <c r="E281" s="870">
        <v>-121.69728000000001</v>
      </c>
      <c r="F281" s="51" t="s">
        <v>482</v>
      </c>
      <c r="G281" s="51" t="s">
        <v>90</v>
      </c>
      <c r="H281" s="51" t="s">
        <v>91</v>
      </c>
      <c r="I281" s="66">
        <v>0.37152777777777773</v>
      </c>
      <c r="J281" s="51">
        <v>348.27</v>
      </c>
      <c r="K281" s="51">
        <v>9.6999999999999993</v>
      </c>
      <c r="L281" s="51">
        <v>26.2</v>
      </c>
      <c r="M281" s="51">
        <v>0.85</v>
      </c>
      <c r="N281" s="51">
        <v>3.75</v>
      </c>
      <c r="O281" s="51" t="s">
        <v>48</v>
      </c>
      <c r="P281" s="51">
        <v>4</v>
      </c>
      <c r="Q281" s="51">
        <v>10</v>
      </c>
      <c r="R281" s="51" t="s">
        <v>64</v>
      </c>
      <c r="S281" s="51" t="s">
        <v>50</v>
      </c>
      <c r="T281" s="51" t="s">
        <v>50</v>
      </c>
      <c r="U281" s="51" t="s">
        <v>50</v>
      </c>
      <c r="V281" s="51" t="s">
        <v>50</v>
      </c>
      <c r="W281" s="51" t="s">
        <v>50</v>
      </c>
      <c r="X281" s="51" t="s">
        <v>50</v>
      </c>
      <c r="Y281" s="52"/>
    </row>
    <row r="282" spans="1:25" s="51" customFormat="1" x14ac:dyDescent="0.25">
      <c r="A282" s="821">
        <v>44231</v>
      </c>
      <c r="B282" s="51" t="s">
        <v>105</v>
      </c>
      <c r="C282" s="51" t="s">
        <v>88</v>
      </c>
      <c r="D282" s="870">
        <v>38.106389999999998</v>
      </c>
      <c r="E282" s="870">
        <v>-121.71508</v>
      </c>
      <c r="F282" s="51" t="s">
        <v>483</v>
      </c>
      <c r="G282" s="51" t="s">
        <v>90</v>
      </c>
      <c r="H282" s="51" t="s">
        <v>91</v>
      </c>
      <c r="I282" s="66">
        <v>0.3215277777777778</v>
      </c>
      <c r="J282" s="51">
        <v>314.35000000000002</v>
      </c>
      <c r="K282" s="51">
        <v>9.6999999999999993</v>
      </c>
      <c r="L282" s="51">
        <v>24.35</v>
      </c>
      <c r="M282" s="51">
        <v>0.66</v>
      </c>
      <c r="N282" s="51">
        <v>5.7</v>
      </c>
      <c r="O282" s="51" t="s">
        <v>48</v>
      </c>
      <c r="P282" s="51">
        <v>4</v>
      </c>
      <c r="Q282" s="51">
        <v>10</v>
      </c>
      <c r="R282" s="51" t="s">
        <v>64</v>
      </c>
      <c r="S282" s="51" t="s">
        <v>50</v>
      </c>
      <c r="T282" s="51" t="s">
        <v>50</v>
      </c>
      <c r="U282" s="51" t="s">
        <v>50</v>
      </c>
      <c r="V282" s="51" t="s">
        <v>50</v>
      </c>
      <c r="W282" s="51" t="s">
        <v>50</v>
      </c>
      <c r="X282" s="51" t="s">
        <v>50</v>
      </c>
      <c r="Y282" s="52"/>
    </row>
    <row r="283" spans="1:25" s="51" customFormat="1" x14ac:dyDescent="0.25">
      <c r="A283" s="821">
        <v>44231</v>
      </c>
      <c r="B283" s="51" t="s">
        <v>105</v>
      </c>
      <c r="C283" s="51" t="s">
        <v>88</v>
      </c>
      <c r="D283" s="870">
        <v>38.124670000000002</v>
      </c>
      <c r="E283" s="870">
        <v>-121.69159000000001</v>
      </c>
      <c r="F283" s="51" t="s">
        <v>484</v>
      </c>
      <c r="G283" s="51" t="s">
        <v>90</v>
      </c>
      <c r="H283" s="51" t="s">
        <v>91</v>
      </c>
      <c r="I283" s="66">
        <v>0.4284722222222222</v>
      </c>
      <c r="J283" s="51">
        <v>364.18</v>
      </c>
      <c r="K283" s="51">
        <v>9.6999999999999993</v>
      </c>
      <c r="L283" s="51">
        <v>24.47</v>
      </c>
      <c r="M283" s="51">
        <v>0.91</v>
      </c>
      <c r="N283" s="51">
        <v>2.98</v>
      </c>
      <c r="O283" s="51" t="s">
        <v>48</v>
      </c>
      <c r="P283" s="51">
        <v>4</v>
      </c>
      <c r="Q283" s="51">
        <v>10</v>
      </c>
      <c r="R283" s="51" t="s">
        <v>49</v>
      </c>
      <c r="S283" s="51" t="s">
        <v>50</v>
      </c>
      <c r="T283" s="51" t="s">
        <v>50</v>
      </c>
      <c r="U283" s="51" t="s">
        <v>50</v>
      </c>
      <c r="V283" s="51" t="s">
        <v>50</v>
      </c>
      <c r="W283" s="51" t="s">
        <v>50</v>
      </c>
      <c r="X283" s="51" t="s">
        <v>50</v>
      </c>
      <c r="Y283" s="52" t="s">
        <v>386</v>
      </c>
    </row>
    <row r="284" spans="1:25" s="51" customFormat="1" x14ac:dyDescent="0.25">
      <c r="A284" s="821">
        <v>44231</v>
      </c>
      <c r="B284" s="51" t="s">
        <v>105</v>
      </c>
      <c r="C284" s="51" t="s">
        <v>95</v>
      </c>
      <c r="D284" s="870">
        <v>38.029949999999999</v>
      </c>
      <c r="E284" s="870">
        <v>-121.72646</v>
      </c>
      <c r="F284" s="51" t="s">
        <v>485</v>
      </c>
      <c r="G284" s="51" t="s">
        <v>27</v>
      </c>
      <c r="H284" s="51" t="s">
        <v>95</v>
      </c>
      <c r="I284" s="66">
        <v>0.40486111111111112</v>
      </c>
      <c r="J284" s="51">
        <v>1751.5</v>
      </c>
      <c r="K284" s="51">
        <v>9.85</v>
      </c>
      <c r="L284" s="51">
        <v>23.2</v>
      </c>
      <c r="M284" s="51">
        <v>0.56000000000000005</v>
      </c>
      <c r="N284" s="51">
        <v>9.75</v>
      </c>
      <c r="O284" s="51" t="s">
        <v>48</v>
      </c>
      <c r="P284" s="51">
        <v>4</v>
      </c>
      <c r="Q284" s="51">
        <v>10</v>
      </c>
      <c r="R284" s="51" t="s">
        <v>64</v>
      </c>
      <c r="S284" s="51" t="s">
        <v>50</v>
      </c>
      <c r="T284" s="51" t="s">
        <v>50</v>
      </c>
      <c r="U284" s="51" t="s">
        <v>50</v>
      </c>
      <c r="V284" s="51" t="s">
        <v>50</v>
      </c>
      <c r="W284" s="51" t="s">
        <v>50</v>
      </c>
      <c r="X284" s="51" t="s">
        <v>50</v>
      </c>
      <c r="Y284" s="52"/>
    </row>
    <row r="285" spans="1:25" s="51" customFormat="1" x14ac:dyDescent="0.25">
      <c r="A285" s="821">
        <v>44231</v>
      </c>
      <c r="B285" s="51" t="s">
        <v>105</v>
      </c>
      <c r="C285" s="51" t="s">
        <v>95</v>
      </c>
      <c r="D285" s="870">
        <v>38.016849999999998</v>
      </c>
      <c r="E285" s="870">
        <v>-121.78462</v>
      </c>
      <c r="F285" s="51" t="s">
        <v>486</v>
      </c>
      <c r="G285" s="51" t="s">
        <v>27</v>
      </c>
      <c r="H285" s="51" t="s">
        <v>95</v>
      </c>
      <c r="I285" s="66">
        <v>0.35138888888888892</v>
      </c>
      <c r="J285" s="51">
        <v>2281.75</v>
      </c>
      <c r="K285" s="51">
        <v>9.9</v>
      </c>
      <c r="L285" s="51">
        <v>21.68</v>
      </c>
      <c r="M285" s="51">
        <v>0.53</v>
      </c>
      <c r="N285" s="51">
        <v>11.35</v>
      </c>
      <c r="O285" s="51" t="s">
        <v>48</v>
      </c>
      <c r="P285" s="51">
        <v>4</v>
      </c>
      <c r="Q285" s="51">
        <v>10</v>
      </c>
      <c r="R285" s="51" t="s">
        <v>64</v>
      </c>
      <c r="S285" s="51" t="s">
        <v>50</v>
      </c>
      <c r="T285" s="51" t="s">
        <v>50</v>
      </c>
      <c r="U285" s="51" t="s">
        <v>50</v>
      </c>
      <c r="V285" s="51" t="s">
        <v>50</v>
      </c>
      <c r="W285" s="51" t="s">
        <v>50</v>
      </c>
      <c r="X285" s="51" t="s">
        <v>50</v>
      </c>
      <c r="Y285" s="52"/>
    </row>
    <row r="286" spans="1:25" s="450" customFormat="1" x14ac:dyDescent="0.25">
      <c r="A286" s="855">
        <v>44231</v>
      </c>
      <c r="B286" s="450" t="s">
        <v>105</v>
      </c>
      <c r="C286" s="450" t="s">
        <v>95</v>
      </c>
      <c r="D286" s="881">
        <v>38.040300000000002</v>
      </c>
      <c r="E286" s="881">
        <v>-121.72314</v>
      </c>
      <c r="F286" s="450" t="s">
        <v>487</v>
      </c>
      <c r="G286" s="450" t="s">
        <v>27</v>
      </c>
      <c r="H286" s="450" t="s">
        <v>95</v>
      </c>
      <c r="I286" s="451">
        <v>0.45208333333333334</v>
      </c>
      <c r="J286" s="450">
        <v>1577.75</v>
      </c>
      <c r="K286" s="450">
        <v>9.85</v>
      </c>
      <c r="L286" s="450">
        <v>26.3</v>
      </c>
      <c r="M286" s="450">
        <v>0.49</v>
      </c>
      <c r="N286" s="450">
        <v>7.9</v>
      </c>
      <c r="O286" s="450" t="s">
        <v>48</v>
      </c>
      <c r="P286" s="450">
        <v>4</v>
      </c>
      <c r="Q286" s="450">
        <v>10</v>
      </c>
      <c r="R286" s="450" t="s">
        <v>64</v>
      </c>
      <c r="S286" s="858" t="s">
        <v>31</v>
      </c>
      <c r="T286" s="450">
        <v>1</v>
      </c>
      <c r="U286" s="450" t="s">
        <v>488</v>
      </c>
      <c r="V286" s="450" t="s">
        <v>355</v>
      </c>
      <c r="W286" s="450" t="s">
        <v>50</v>
      </c>
      <c r="X286" s="450" t="s">
        <v>228</v>
      </c>
      <c r="Y286" s="453"/>
    </row>
    <row r="287" spans="1:25" s="450" customFormat="1" x14ac:dyDescent="0.25">
      <c r="A287" s="855">
        <v>44231</v>
      </c>
      <c r="B287" s="450" t="s">
        <v>105</v>
      </c>
      <c r="C287" s="450" t="s">
        <v>95</v>
      </c>
      <c r="D287" s="881">
        <v>38.040300000000002</v>
      </c>
      <c r="E287" s="881">
        <v>-121.72314</v>
      </c>
      <c r="F287" s="450" t="s">
        <v>487</v>
      </c>
      <c r="G287" s="450" t="s">
        <v>27</v>
      </c>
      <c r="H287" s="450" t="s">
        <v>95</v>
      </c>
      <c r="I287" s="451">
        <v>0.45208333333333334</v>
      </c>
      <c r="J287" s="450">
        <v>1577.75</v>
      </c>
      <c r="K287" s="450">
        <v>9.85</v>
      </c>
      <c r="L287" s="450">
        <v>26.3</v>
      </c>
      <c r="M287" s="450">
        <v>0.49</v>
      </c>
      <c r="N287" s="450">
        <v>7.9</v>
      </c>
      <c r="O287" s="450" t="s">
        <v>48</v>
      </c>
      <c r="P287" s="450">
        <v>4</v>
      </c>
      <c r="Q287" s="450">
        <v>10</v>
      </c>
      <c r="R287" s="450" t="s">
        <v>64</v>
      </c>
      <c r="S287" s="858" t="s">
        <v>31</v>
      </c>
      <c r="T287" s="450">
        <v>1</v>
      </c>
      <c r="U287" s="450" t="s">
        <v>488</v>
      </c>
      <c r="V287" s="450" t="s">
        <v>66</v>
      </c>
      <c r="W287" s="450" t="s">
        <v>50</v>
      </c>
      <c r="X287" s="450" t="s">
        <v>228</v>
      </c>
      <c r="Y287" s="453"/>
    </row>
    <row r="288" spans="1:25" s="51" customFormat="1" x14ac:dyDescent="0.25">
      <c r="A288" s="821">
        <v>44231</v>
      </c>
      <c r="B288" s="51" t="s">
        <v>105</v>
      </c>
      <c r="C288" s="51" t="s">
        <v>78</v>
      </c>
      <c r="D288" s="870">
        <v>38.048439999999999</v>
      </c>
      <c r="E288" s="870">
        <v>-122.11637</v>
      </c>
      <c r="F288" s="51" t="s">
        <v>489</v>
      </c>
      <c r="G288" s="51" t="s">
        <v>80</v>
      </c>
      <c r="H288" s="51" t="s">
        <v>81</v>
      </c>
      <c r="I288" s="66">
        <v>0.47430555555555554</v>
      </c>
      <c r="J288" s="51">
        <v>19807.5</v>
      </c>
      <c r="K288" s="51">
        <v>10.7</v>
      </c>
      <c r="L288" s="51">
        <v>31.12</v>
      </c>
      <c r="M288" s="51">
        <v>11.81</v>
      </c>
      <c r="N288" s="51">
        <v>12.88</v>
      </c>
      <c r="O288" s="51" t="s">
        <v>48</v>
      </c>
      <c r="P288" s="51">
        <v>4</v>
      </c>
      <c r="Q288" s="51">
        <v>10</v>
      </c>
      <c r="R288" s="51" t="s">
        <v>49</v>
      </c>
      <c r="S288" s="51" t="s">
        <v>50</v>
      </c>
      <c r="T288" s="51" t="s">
        <v>50</v>
      </c>
      <c r="U288" s="51" t="s">
        <v>50</v>
      </c>
      <c r="V288" s="51" t="s">
        <v>50</v>
      </c>
      <c r="W288" s="51" t="s">
        <v>50</v>
      </c>
      <c r="X288" s="51" t="s">
        <v>50</v>
      </c>
      <c r="Y288" s="52"/>
    </row>
    <row r="289" spans="1:25" s="450" customFormat="1" x14ac:dyDescent="0.25">
      <c r="A289" s="855">
        <v>44231</v>
      </c>
      <c r="B289" s="450" t="s">
        <v>105</v>
      </c>
      <c r="C289" s="450" t="s">
        <v>78</v>
      </c>
      <c r="D289" s="881">
        <v>38.05312</v>
      </c>
      <c r="E289" s="881">
        <v>-121.93634</v>
      </c>
      <c r="F289" s="450" t="s">
        <v>490</v>
      </c>
      <c r="G289" s="450" t="s">
        <v>27</v>
      </c>
      <c r="H289" s="450" t="s">
        <v>170</v>
      </c>
      <c r="I289" s="451">
        <v>0.34722222222222227</v>
      </c>
      <c r="J289" s="450">
        <v>9695</v>
      </c>
      <c r="K289" s="450">
        <v>10.1</v>
      </c>
      <c r="L289" s="450">
        <v>50.75</v>
      </c>
      <c r="M289" s="450">
        <v>0.33</v>
      </c>
      <c r="N289" s="450">
        <v>14.88</v>
      </c>
      <c r="O289" s="450" t="s">
        <v>48</v>
      </c>
      <c r="P289" s="450">
        <v>4</v>
      </c>
      <c r="Q289" s="450">
        <v>10</v>
      </c>
      <c r="R289" s="450" t="s">
        <v>64</v>
      </c>
      <c r="S289" s="858" t="s">
        <v>31</v>
      </c>
      <c r="T289" s="450">
        <v>1</v>
      </c>
      <c r="U289" s="450" t="s">
        <v>488</v>
      </c>
      <c r="V289" s="450" t="s">
        <v>355</v>
      </c>
      <c r="W289" s="450" t="s">
        <v>50</v>
      </c>
      <c r="X289" s="450" t="s">
        <v>228</v>
      </c>
      <c r="Y289" s="453"/>
    </row>
    <row r="290" spans="1:25" s="450" customFormat="1" x14ac:dyDescent="0.25">
      <c r="A290" s="855">
        <v>44231</v>
      </c>
      <c r="B290" s="450" t="s">
        <v>105</v>
      </c>
      <c r="C290" s="450" t="s">
        <v>78</v>
      </c>
      <c r="D290" s="881">
        <v>38.05312</v>
      </c>
      <c r="E290" s="881">
        <v>-121.93634</v>
      </c>
      <c r="F290" s="450" t="s">
        <v>490</v>
      </c>
      <c r="G290" s="450" t="s">
        <v>27</v>
      </c>
      <c r="H290" s="450" t="s">
        <v>170</v>
      </c>
      <c r="I290" s="451">
        <v>0.34722222222222227</v>
      </c>
      <c r="J290" s="450">
        <v>9695</v>
      </c>
      <c r="K290" s="450">
        <v>10.1</v>
      </c>
      <c r="L290" s="450">
        <v>50.75</v>
      </c>
      <c r="M290" s="450">
        <v>0.33</v>
      </c>
      <c r="N290" s="450">
        <v>14.88</v>
      </c>
      <c r="O290" s="450" t="s">
        <v>48</v>
      </c>
      <c r="P290" s="450">
        <v>4</v>
      </c>
      <c r="Q290" s="450">
        <v>10</v>
      </c>
      <c r="R290" s="450" t="s">
        <v>64</v>
      </c>
      <c r="S290" s="858" t="s">
        <v>31</v>
      </c>
      <c r="T290" s="450">
        <v>1</v>
      </c>
      <c r="U290" s="450" t="s">
        <v>488</v>
      </c>
      <c r="V290" s="450" t="s">
        <v>66</v>
      </c>
      <c r="W290" s="450" t="s">
        <v>50</v>
      </c>
      <c r="X290" s="450" t="s">
        <v>228</v>
      </c>
      <c r="Y290" s="453"/>
    </row>
    <row r="291" spans="1:25" s="74" customFormat="1" x14ac:dyDescent="0.25">
      <c r="A291" s="853">
        <v>44231</v>
      </c>
      <c r="B291" s="74" t="s">
        <v>105</v>
      </c>
      <c r="C291" s="74" t="s">
        <v>78</v>
      </c>
      <c r="D291" s="882">
        <v>38.096559999999997</v>
      </c>
      <c r="E291" s="882">
        <v>-122.05637</v>
      </c>
      <c r="F291" s="74" t="s">
        <v>491</v>
      </c>
      <c r="G291" s="74" t="s">
        <v>27</v>
      </c>
      <c r="H291" s="74" t="s">
        <v>86</v>
      </c>
      <c r="I291" s="73">
        <v>0.41180555555555554</v>
      </c>
      <c r="J291" s="74">
        <v>16202.25</v>
      </c>
      <c r="K291" s="74">
        <v>10.58</v>
      </c>
      <c r="L291" s="74">
        <v>34.25</v>
      </c>
      <c r="M291" s="74">
        <v>0.42</v>
      </c>
      <c r="N291" s="74">
        <v>6.8</v>
      </c>
      <c r="O291" s="74" t="s">
        <v>48</v>
      </c>
      <c r="P291" s="74">
        <v>4</v>
      </c>
      <c r="Q291" s="74">
        <v>10</v>
      </c>
      <c r="R291" s="74" t="s">
        <v>49</v>
      </c>
      <c r="S291" s="74" t="s">
        <v>50</v>
      </c>
      <c r="T291" s="74" t="s">
        <v>50</v>
      </c>
      <c r="U291" s="74" t="s">
        <v>50</v>
      </c>
      <c r="V291" s="74" t="s">
        <v>50</v>
      </c>
      <c r="W291" s="74" t="s">
        <v>50</v>
      </c>
      <c r="X291" s="74" t="s">
        <v>50</v>
      </c>
    </row>
    <row r="292" spans="1:25" x14ac:dyDescent="0.25">
      <c r="A292" s="821">
        <v>44235</v>
      </c>
      <c r="B292" s="51" t="s">
        <v>43</v>
      </c>
      <c r="C292" s="51" t="s">
        <v>88</v>
      </c>
      <c r="D292" s="870">
        <v>38.031059999999997</v>
      </c>
      <c r="E292" s="870">
        <v>-121.7835</v>
      </c>
      <c r="F292" s="51" t="s">
        <v>492</v>
      </c>
      <c r="G292" s="51" t="s">
        <v>27</v>
      </c>
      <c r="H292" s="51" t="s">
        <v>25</v>
      </c>
      <c r="I292" s="66">
        <v>0.46527777777777773</v>
      </c>
      <c r="J292" s="51">
        <v>1304.75</v>
      </c>
      <c r="K292" s="51">
        <v>10.5</v>
      </c>
      <c r="L292" s="51">
        <v>30.25</v>
      </c>
      <c r="M292" s="51">
        <v>0.4</v>
      </c>
      <c r="N292" s="51">
        <v>5.72</v>
      </c>
      <c r="O292" s="51" t="s">
        <v>48</v>
      </c>
      <c r="P292" s="51">
        <v>4</v>
      </c>
      <c r="Q292" s="51">
        <v>10</v>
      </c>
      <c r="R292" s="51" t="s">
        <v>64</v>
      </c>
      <c r="S292" s="51" t="s">
        <v>50</v>
      </c>
      <c r="T292" s="51" t="s">
        <v>50</v>
      </c>
      <c r="U292" s="51" t="s">
        <v>50</v>
      </c>
      <c r="V292" s="51" t="s">
        <v>50</v>
      </c>
      <c r="W292" s="51" t="s">
        <v>50</v>
      </c>
      <c r="X292" s="51" t="s">
        <v>50</v>
      </c>
    </row>
    <row r="293" spans="1:25" x14ac:dyDescent="0.25">
      <c r="A293" s="821">
        <v>44235</v>
      </c>
      <c r="B293" s="51" t="s">
        <v>43</v>
      </c>
      <c r="C293" s="51" t="s">
        <v>95</v>
      </c>
      <c r="D293" s="870">
        <v>38.023090000000003</v>
      </c>
      <c r="E293" s="870">
        <v>-121.80415000000001</v>
      </c>
      <c r="F293" s="51" t="s">
        <v>493</v>
      </c>
      <c r="G293" s="51" t="s">
        <v>27</v>
      </c>
      <c r="H293" s="51" t="s">
        <v>95</v>
      </c>
      <c r="I293" s="66">
        <v>0.41180555555555554</v>
      </c>
      <c r="J293" s="51">
        <v>1987.25</v>
      </c>
      <c r="K293" s="51">
        <v>10.45</v>
      </c>
      <c r="L293" s="51">
        <v>20.7</v>
      </c>
      <c r="M293" s="51">
        <v>0.5</v>
      </c>
      <c r="N293" s="51">
        <v>13.05</v>
      </c>
      <c r="O293" s="51" t="s">
        <v>48</v>
      </c>
      <c r="P293" s="51">
        <v>4</v>
      </c>
      <c r="Q293" s="51">
        <v>10</v>
      </c>
      <c r="R293" s="51" t="s">
        <v>64</v>
      </c>
      <c r="S293" s="51" t="s">
        <v>50</v>
      </c>
      <c r="T293" s="51" t="s">
        <v>50</v>
      </c>
      <c r="U293" s="51" t="s">
        <v>50</v>
      </c>
      <c r="V293" s="51" t="s">
        <v>50</v>
      </c>
      <c r="W293" s="51" t="s">
        <v>50</v>
      </c>
      <c r="X293" s="51" t="s">
        <v>50</v>
      </c>
    </row>
    <row r="294" spans="1:25" x14ac:dyDescent="0.25">
      <c r="A294" s="821">
        <v>44235</v>
      </c>
      <c r="B294" s="51" t="s">
        <v>43</v>
      </c>
      <c r="C294" s="51" t="s">
        <v>95</v>
      </c>
      <c r="D294" s="870">
        <v>38.022410000000001</v>
      </c>
      <c r="E294" s="870">
        <v>-121.75565</v>
      </c>
      <c r="F294" s="51" t="s">
        <v>494</v>
      </c>
      <c r="G294" s="51" t="s">
        <v>27</v>
      </c>
      <c r="H294" s="51" t="s">
        <v>95</v>
      </c>
      <c r="I294" s="66">
        <v>0.51597222222222217</v>
      </c>
      <c r="J294" s="51">
        <v>2281.75</v>
      </c>
      <c r="K294" s="51">
        <v>10.6</v>
      </c>
      <c r="L294" s="51">
        <v>28.33</v>
      </c>
      <c r="M294" s="51">
        <v>0.48</v>
      </c>
      <c r="N294" s="51">
        <v>4.6900000000000004</v>
      </c>
      <c r="O294" s="51" t="s">
        <v>48</v>
      </c>
      <c r="P294" s="51">
        <v>4</v>
      </c>
      <c r="Q294" s="51">
        <v>10</v>
      </c>
      <c r="R294" s="51" t="s">
        <v>64</v>
      </c>
      <c r="S294" s="51" t="s">
        <v>50</v>
      </c>
      <c r="T294" s="51" t="s">
        <v>50</v>
      </c>
      <c r="U294" s="51" t="s">
        <v>50</v>
      </c>
      <c r="V294" s="51" t="s">
        <v>50</v>
      </c>
      <c r="W294" s="51" t="s">
        <v>50</v>
      </c>
      <c r="X294" s="51" t="s">
        <v>50</v>
      </c>
      <c r="Y294" s="52" t="s">
        <v>495</v>
      </c>
    </row>
    <row r="295" spans="1:25" x14ac:dyDescent="0.25">
      <c r="A295" s="821">
        <v>44236</v>
      </c>
      <c r="B295" s="51" t="s">
        <v>70</v>
      </c>
      <c r="C295" s="51" t="s">
        <v>162</v>
      </c>
      <c r="D295" s="51">
        <v>38.242440000000002</v>
      </c>
      <c r="E295" s="51">
        <v>-121.68335</v>
      </c>
      <c r="F295" s="51" t="s">
        <v>496</v>
      </c>
      <c r="G295" s="51" t="s">
        <v>90</v>
      </c>
      <c r="H295" s="51" t="s">
        <v>126</v>
      </c>
      <c r="I295" s="66">
        <v>0.45</v>
      </c>
      <c r="J295" s="51">
        <v>233.12</v>
      </c>
      <c r="K295" s="51">
        <v>11.32</v>
      </c>
      <c r="L295" s="51">
        <v>12.8</v>
      </c>
      <c r="M295" s="51">
        <v>0.92</v>
      </c>
      <c r="N295" s="51">
        <v>9.24</v>
      </c>
      <c r="O295" s="51" t="s">
        <v>48</v>
      </c>
      <c r="P295" s="51">
        <v>5</v>
      </c>
      <c r="Q295" s="51">
        <v>10</v>
      </c>
      <c r="R295" s="51" t="s">
        <v>64</v>
      </c>
      <c r="S295" s="51" t="s">
        <v>50</v>
      </c>
      <c r="T295" s="51" t="s">
        <v>50</v>
      </c>
      <c r="U295" s="51" t="s">
        <v>50</v>
      </c>
      <c r="V295" s="51" t="s">
        <v>50</v>
      </c>
      <c r="W295" s="51" t="s">
        <v>50</v>
      </c>
      <c r="X295" s="51" t="s">
        <v>50</v>
      </c>
      <c r="Y295" s="52" t="s">
        <v>497</v>
      </c>
    </row>
    <row r="296" spans="1:25" x14ac:dyDescent="0.25">
      <c r="A296" s="821">
        <v>44236</v>
      </c>
      <c r="B296" s="51" t="s">
        <v>70</v>
      </c>
      <c r="C296" s="51" t="s">
        <v>162</v>
      </c>
      <c r="D296" s="51">
        <v>38.251820000000002</v>
      </c>
      <c r="E296" s="51">
        <v>-121.68724</v>
      </c>
      <c r="F296" s="51" t="s">
        <v>498</v>
      </c>
      <c r="G296" s="51" t="s">
        <v>90</v>
      </c>
      <c r="H296" s="51" t="s">
        <v>126</v>
      </c>
      <c r="I296" s="66">
        <v>0.39999999999999997</v>
      </c>
      <c r="J296" s="51">
        <v>255.9</v>
      </c>
      <c r="K296" s="51">
        <v>11.4</v>
      </c>
      <c r="L296" s="51">
        <v>10.25</v>
      </c>
      <c r="M296" s="51">
        <v>1.02</v>
      </c>
      <c r="N296" s="51">
        <v>9.93</v>
      </c>
      <c r="O296" s="51" t="s">
        <v>48</v>
      </c>
      <c r="P296" s="51">
        <v>4</v>
      </c>
      <c r="Q296" s="51">
        <v>10</v>
      </c>
      <c r="R296" s="51" t="s">
        <v>64</v>
      </c>
      <c r="S296" s="51" t="s">
        <v>50</v>
      </c>
      <c r="T296" s="51" t="s">
        <v>50</v>
      </c>
      <c r="U296" s="51" t="s">
        <v>50</v>
      </c>
      <c r="V296" s="51" t="s">
        <v>50</v>
      </c>
      <c r="W296" s="51" t="s">
        <v>50</v>
      </c>
      <c r="X296" s="51" t="s">
        <v>50</v>
      </c>
    </row>
    <row r="297" spans="1:25" x14ac:dyDescent="0.25">
      <c r="A297" s="821">
        <v>44236</v>
      </c>
      <c r="B297" s="51" t="s">
        <v>70</v>
      </c>
      <c r="C297" s="51" t="s">
        <v>162</v>
      </c>
      <c r="D297" s="51">
        <v>38.309640000000002</v>
      </c>
      <c r="E297" s="51">
        <v>-121.6926</v>
      </c>
      <c r="F297" s="51" t="s">
        <v>499</v>
      </c>
      <c r="G297" s="51" t="s">
        <v>90</v>
      </c>
      <c r="H297" s="51" t="s">
        <v>126</v>
      </c>
      <c r="I297" s="66">
        <v>0.34166666666666662</v>
      </c>
      <c r="J297" s="51">
        <v>387.4</v>
      </c>
      <c r="K297" s="51">
        <v>10.8</v>
      </c>
      <c r="L297" s="51">
        <v>7.54</v>
      </c>
      <c r="M297" s="51">
        <v>1.27</v>
      </c>
      <c r="N297" s="51">
        <v>5.75</v>
      </c>
      <c r="O297" s="51" t="s">
        <v>48</v>
      </c>
      <c r="P297" s="51">
        <v>4</v>
      </c>
      <c r="Q297" s="51">
        <v>10</v>
      </c>
      <c r="R297" s="51" t="s">
        <v>49</v>
      </c>
      <c r="S297" s="51" t="s">
        <v>50</v>
      </c>
      <c r="T297" s="51" t="s">
        <v>50</v>
      </c>
      <c r="U297" s="51" t="s">
        <v>50</v>
      </c>
      <c r="V297" s="51" t="s">
        <v>50</v>
      </c>
      <c r="W297" s="51" t="s">
        <v>50</v>
      </c>
      <c r="X297" s="51" t="s">
        <v>50</v>
      </c>
      <c r="Y297" s="52" t="s">
        <v>500</v>
      </c>
    </row>
    <row r="298" spans="1:25" x14ac:dyDescent="0.25">
      <c r="A298" s="821">
        <v>44236</v>
      </c>
      <c r="B298" s="51" t="s">
        <v>70</v>
      </c>
      <c r="C298" s="51" t="s">
        <v>95</v>
      </c>
      <c r="D298" s="51">
        <v>38.100679999999997</v>
      </c>
      <c r="E298" s="51">
        <v>-121.58684</v>
      </c>
      <c r="F298" s="51" t="s">
        <v>501</v>
      </c>
      <c r="G298" s="51" t="s">
        <v>46</v>
      </c>
      <c r="H298" s="51" t="s">
        <v>115</v>
      </c>
      <c r="I298" s="66">
        <v>0.3520833333333333</v>
      </c>
      <c r="J298" s="51">
        <v>308.88</v>
      </c>
      <c r="K298" s="51">
        <v>10.85</v>
      </c>
      <c r="L298" s="51">
        <v>7.63</v>
      </c>
      <c r="M298" s="51">
        <v>1.42</v>
      </c>
      <c r="N298" s="51">
        <v>3.92</v>
      </c>
      <c r="O298" s="51" t="s">
        <v>48</v>
      </c>
      <c r="P298" s="51">
        <v>4</v>
      </c>
      <c r="Q298" s="51">
        <v>10</v>
      </c>
      <c r="R298" s="51" t="s">
        <v>49</v>
      </c>
      <c r="S298" s="51" t="s">
        <v>50</v>
      </c>
      <c r="T298" s="51" t="s">
        <v>50</v>
      </c>
      <c r="U298" s="51" t="s">
        <v>50</v>
      </c>
      <c r="V298" s="51" t="s">
        <v>50</v>
      </c>
      <c r="W298" s="51" t="s">
        <v>50</v>
      </c>
      <c r="X298" s="51" t="s">
        <v>50</v>
      </c>
      <c r="Y298" s="52" t="s">
        <v>502</v>
      </c>
    </row>
    <row r="299" spans="1:25" x14ac:dyDescent="0.25">
      <c r="A299" s="821">
        <v>44236</v>
      </c>
      <c r="B299" s="51" t="s">
        <v>70</v>
      </c>
      <c r="C299" s="51" t="s">
        <v>95</v>
      </c>
      <c r="D299" s="51">
        <v>38.09731</v>
      </c>
      <c r="E299" s="51">
        <v>-121.66543</v>
      </c>
      <c r="F299" s="51" t="s">
        <v>503</v>
      </c>
      <c r="G299" s="51" t="s">
        <v>46</v>
      </c>
      <c r="H299" s="51" t="s">
        <v>97</v>
      </c>
      <c r="I299" s="66">
        <v>0.41250000000000003</v>
      </c>
      <c r="J299" s="51">
        <v>527.25</v>
      </c>
      <c r="K299" s="51">
        <v>10.68</v>
      </c>
      <c r="L299" s="51">
        <v>9.74</v>
      </c>
      <c r="M299" s="51">
        <v>1.1599999999999999</v>
      </c>
      <c r="N299" s="51">
        <v>13.88</v>
      </c>
      <c r="O299" s="51" t="s">
        <v>48</v>
      </c>
      <c r="P299" s="51">
        <v>4</v>
      </c>
      <c r="Q299" s="51">
        <v>10</v>
      </c>
      <c r="R299" s="51" t="s">
        <v>64</v>
      </c>
      <c r="S299" s="51" t="s">
        <v>50</v>
      </c>
      <c r="T299" s="51" t="s">
        <v>50</v>
      </c>
      <c r="U299" s="51" t="s">
        <v>50</v>
      </c>
      <c r="V299" s="51" t="s">
        <v>50</v>
      </c>
      <c r="W299" s="51" t="s">
        <v>50</v>
      </c>
      <c r="X299" s="51" t="s">
        <v>50</v>
      </c>
    </row>
    <row r="300" spans="1:25" x14ac:dyDescent="0.25">
      <c r="A300" s="821">
        <v>44236</v>
      </c>
      <c r="B300" s="51" t="s">
        <v>70</v>
      </c>
      <c r="C300" s="51" t="s">
        <v>95</v>
      </c>
      <c r="D300" s="51">
        <v>38.016680000000001</v>
      </c>
      <c r="E300" s="51">
        <v>-121.77715999999999</v>
      </c>
      <c r="F300" s="51" t="s">
        <v>504</v>
      </c>
      <c r="G300" s="51" t="s">
        <v>27</v>
      </c>
      <c r="H300" s="51" t="s">
        <v>95</v>
      </c>
      <c r="I300" s="66">
        <v>0.47291666666666665</v>
      </c>
      <c r="J300" s="51">
        <v>1812</v>
      </c>
      <c r="K300" s="51">
        <v>10.75</v>
      </c>
      <c r="L300" s="51">
        <v>22.78</v>
      </c>
      <c r="M300" s="51">
        <v>0.56000000000000005</v>
      </c>
      <c r="N300" s="51">
        <v>12.23</v>
      </c>
      <c r="O300" s="51" t="s">
        <v>48</v>
      </c>
      <c r="P300" s="51">
        <v>4</v>
      </c>
      <c r="Q300" s="51">
        <v>10</v>
      </c>
      <c r="R300" s="51" t="s">
        <v>64</v>
      </c>
      <c r="S300" s="51" t="s">
        <v>50</v>
      </c>
      <c r="T300" s="51" t="s">
        <v>50</v>
      </c>
      <c r="U300" s="51" t="s">
        <v>50</v>
      </c>
      <c r="V300" s="51" t="s">
        <v>50</v>
      </c>
      <c r="W300" s="51" t="s">
        <v>50</v>
      </c>
      <c r="X300" s="51" t="s">
        <v>50</v>
      </c>
      <c r="Y300" s="52" t="s">
        <v>505</v>
      </c>
    </row>
    <row r="301" spans="1:25" x14ac:dyDescent="0.25">
      <c r="A301" s="821">
        <v>44237</v>
      </c>
      <c r="B301" s="51" t="s">
        <v>87</v>
      </c>
      <c r="C301" s="51" t="s">
        <v>106</v>
      </c>
      <c r="D301" s="870">
        <v>38.394750000000002</v>
      </c>
      <c r="E301" s="870">
        <v>-121.61966</v>
      </c>
      <c r="F301" s="51" t="s">
        <v>506</v>
      </c>
      <c r="G301" s="51" t="s">
        <v>90</v>
      </c>
      <c r="H301" s="51" t="s">
        <v>108</v>
      </c>
      <c r="I301" s="66">
        <v>0.34861111111111115</v>
      </c>
      <c r="J301" s="51">
        <v>490</v>
      </c>
      <c r="K301" s="51">
        <v>10.33</v>
      </c>
      <c r="L301" s="51">
        <v>168.5</v>
      </c>
      <c r="M301" s="51">
        <v>0.17</v>
      </c>
      <c r="N301" s="51">
        <v>9</v>
      </c>
      <c r="O301" s="51" t="s">
        <v>48</v>
      </c>
      <c r="P301" s="51">
        <v>4</v>
      </c>
      <c r="Q301" s="51">
        <v>10</v>
      </c>
      <c r="R301" s="51" t="s">
        <v>49</v>
      </c>
      <c r="S301" s="51" t="s">
        <v>50</v>
      </c>
      <c r="T301" s="51" t="s">
        <v>50</v>
      </c>
      <c r="U301" s="51" t="s">
        <v>50</v>
      </c>
      <c r="V301" s="51" t="s">
        <v>50</v>
      </c>
      <c r="W301" s="51" t="s">
        <v>50</v>
      </c>
      <c r="X301" s="51" t="s">
        <v>50</v>
      </c>
      <c r="Y301" s="52" t="s">
        <v>507</v>
      </c>
    </row>
    <row r="302" spans="1:25" s="878" customFormat="1" x14ac:dyDescent="0.25">
      <c r="A302" s="876">
        <v>44237</v>
      </c>
      <c r="B302" s="437" t="s">
        <v>87</v>
      </c>
      <c r="C302" s="437" t="s">
        <v>106</v>
      </c>
      <c r="D302" s="897">
        <v>38.271099999999997</v>
      </c>
      <c r="E302" s="897">
        <v>-121.66271999999999</v>
      </c>
      <c r="F302" s="437" t="s">
        <v>508</v>
      </c>
      <c r="G302" s="437" t="s">
        <v>90</v>
      </c>
      <c r="H302" s="437" t="s">
        <v>108</v>
      </c>
      <c r="I302" s="438">
        <v>0.41388888888888892</v>
      </c>
      <c r="J302" s="437">
        <v>273.2</v>
      </c>
      <c r="K302" s="437">
        <v>11.05</v>
      </c>
      <c r="L302" s="437">
        <v>45.15</v>
      </c>
      <c r="M302" s="437">
        <v>0.42</v>
      </c>
      <c r="N302" s="437">
        <v>11.3</v>
      </c>
      <c r="O302" s="437" t="s">
        <v>48</v>
      </c>
      <c r="P302" s="437">
        <v>2</v>
      </c>
      <c r="Q302" s="437">
        <v>10</v>
      </c>
      <c r="R302" s="437" t="s">
        <v>64</v>
      </c>
      <c r="S302" s="877" t="s">
        <v>449</v>
      </c>
      <c r="T302" s="437">
        <v>1</v>
      </c>
      <c r="U302" s="437" t="s">
        <v>509</v>
      </c>
      <c r="V302" s="437" t="s">
        <v>50</v>
      </c>
      <c r="W302" s="437" t="s">
        <v>350</v>
      </c>
      <c r="X302" s="437" t="s">
        <v>351</v>
      </c>
      <c r="Y302" s="440" t="s">
        <v>510</v>
      </c>
    </row>
    <row r="303" spans="1:25" x14ac:dyDescent="0.25">
      <c r="A303" s="821">
        <v>44237</v>
      </c>
      <c r="B303" s="51" t="s">
        <v>87</v>
      </c>
      <c r="C303" s="51" t="s">
        <v>78</v>
      </c>
      <c r="D303" s="870">
        <v>38.061210000000003</v>
      </c>
      <c r="E303" s="870">
        <v>-121.99906</v>
      </c>
      <c r="F303" s="51" t="s">
        <v>511</v>
      </c>
      <c r="G303" s="51" t="s">
        <v>27</v>
      </c>
      <c r="H303" s="51" t="s">
        <v>86</v>
      </c>
      <c r="I303" s="66">
        <v>0.44027777777777777</v>
      </c>
      <c r="J303" s="51">
        <v>11931.75</v>
      </c>
      <c r="K303" s="51">
        <v>11.1</v>
      </c>
      <c r="L303" s="51">
        <v>17.57</v>
      </c>
      <c r="M303" s="51">
        <v>0.56000000000000005</v>
      </c>
      <c r="N303" s="51">
        <v>16.23</v>
      </c>
      <c r="O303" s="51" t="s">
        <v>48</v>
      </c>
      <c r="P303" s="51">
        <v>4</v>
      </c>
      <c r="Q303" s="51">
        <v>10</v>
      </c>
      <c r="R303" s="51" t="s">
        <v>64</v>
      </c>
      <c r="S303" s="51" t="s">
        <v>50</v>
      </c>
      <c r="T303" s="51" t="s">
        <v>50</v>
      </c>
      <c r="U303" s="51" t="s">
        <v>50</v>
      </c>
      <c r="V303" s="51" t="s">
        <v>50</v>
      </c>
      <c r="W303" s="51" t="s">
        <v>50</v>
      </c>
      <c r="X303" s="51" t="s">
        <v>50</v>
      </c>
    </row>
    <row r="304" spans="1:25" x14ac:dyDescent="0.25">
      <c r="A304" s="821">
        <v>44237</v>
      </c>
      <c r="B304" s="51" t="s">
        <v>87</v>
      </c>
      <c r="C304" s="51" t="s">
        <v>78</v>
      </c>
      <c r="D304" s="870">
        <v>38.0672</v>
      </c>
      <c r="E304" s="870">
        <v>-122.02806</v>
      </c>
      <c r="F304" s="51" t="s">
        <v>512</v>
      </c>
      <c r="G304" s="51" t="s">
        <v>27</v>
      </c>
      <c r="H304" s="51" t="s">
        <v>86</v>
      </c>
      <c r="I304" s="66">
        <v>0.39374999999999999</v>
      </c>
      <c r="J304" s="51">
        <v>10511.25</v>
      </c>
      <c r="K304" s="51">
        <v>10.92</v>
      </c>
      <c r="L304" s="51">
        <v>16.18</v>
      </c>
      <c r="M304" s="51">
        <v>0.54</v>
      </c>
      <c r="N304" s="51">
        <v>8.5299999999999994</v>
      </c>
      <c r="O304" s="51" t="s">
        <v>48</v>
      </c>
      <c r="P304" s="51">
        <v>4</v>
      </c>
      <c r="Q304" s="51">
        <v>9.5</v>
      </c>
      <c r="R304" s="51" t="s">
        <v>64</v>
      </c>
      <c r="S304" s="51" t="s">
        <v>50</v>
      </c>
      <c r="T304" s="51" t="s">
        <v>50</v>
      </c>
      <c r="U304" s="51" t="s">
        <v>50</v>
      </c>
      <c r="V304" s="51" t="s">
        <v>50</v>
      </c>
      <c r="W304" s="51" t="s">
        <v>50</v>
      </c>
      <c r="X304" s="51" t="s">
        <v>50</v>
      </c>
      <c r="Y304" s="52" t="s">
        <v>513</v>
      </c>
    </row>
    <row r="305" spans="1:25" x14ac:dyDescent="0.25">
      <c r="A305" s="821">
        <v>44237</v>
      </c>
      <c r="B305" s="51" t="s">
        <v>87</v>
      </c>
      <c r="C305" s="51" t="s">
        <v>78</v>
      </c>
      <c r="D305" s="870">
        <v>38.045639999999999</v>
      </c>
      <c r="E305" s="870">
        <v>-121.88120000000001</v>
      </c>
      <c r="F305" s="51" t="s">
        <v>514</v>
      </c>
      <c r="G305" s="51" t="s">
        <v>27</v>
      </c>
      <c r="H305" s="51" t="s">
        <v>101</v>
      </c>
      <c r="I305" s="66">
        <v>0.32500000000000001</v>
      </c>
      <c r="J305" s="51">
        <v>4618.5</v>
      </c>
      <c r="K305" s="51">
        <v>10.7</v>
      </c>
      <c r="L305" s="51">
        <v>20.45</v>
      </c>
      <c r="M305" s="51">
        <v>0.49</v>
      </c>
      <c r="N305" s="51">
        <v>7.08</v>
      </c>
      <c r="O305" s="51" t="s">
        <v>48</v>
      </c>
      <c r="P305" s="51">
        <v>4</v>
      </c>
      <c r="Q305" s="51">
        <v>10</v>
      </c>
      <c r="R305" s="51" t="s">
        <v>49</v>
      </c>
      <c r="S305" s="51" t="s">
        <v>50</v>
      </c>
      <c r="T305" s="51" t="s">
        <v>50</v>
      </c>
      <c r="U305" s="51" t="s">
        <v>50</v>
      </c>
      <c r="V305" s="51" t="s">
        <v>50</v>
      </c>
      <c r="W305" s="51" t="s">
        <v>50</v>
      </c>
      <c r="X305" s="51" t="s">
        <v>50</v>
      </c>
    </row>
    <row r="306" spans="1:25" x14ac:dyDescent="0.25">
      <c r="A306" s="821">
        <v>44238</v>
      </c>
      <c r="B306" s="51" t="s">
        <v>105</v>
      </c>
      <c r="C306" s="51" t="s">
        <v>88</v>
      </c>
      <c r="D306" s="870">
        <v>38.133209999999998</v>
      </c>
      <c r="E306" s="870">
        <v>-121.69007999999999</v>
      </c>
      <c r="F306" s="51" t="s">
        <v>515</v>
      </c>
      <c r="G306" s="51" t="s">
        <v>90</v>
      </c>
      <c r="H306" s="51" t="s">
        <v>91</v>
      </c>
      <c r="I306" s="66">
        <v>0.37986111111111115</v>
      </c>
      <c r="J306" s="51">
        <v>211.98</v>
      </c>
      <c r="K306" s="51">
        <v>11.3</v>
      </c>
      <c r="L306" s="51">
        <v>36.119999999999997</v>
      </c>
      <c r="M306" s="51">
        <v>1.2</v>
      </c>
      <c r="N306" s="51">
        <v>4.08</v>
      </c>
      <c r="O306" s="51" t="s">
        <v>48</v>
      </c>
      <c r="P306" s="51">
        <v>4</v>
      </c>
      <c r="Q306" s="51">
        <v>10</v>
      </c>
      <c r="R306" s="51" t="s">
        <v>49</v>
      </c>
      <c r="S306" s="51" t="s">
        <v>50</v>
      </c>
      <c r="T306" s="51" t="s">
        <v>50</v>
      </c>
      <c r="U306" s="51" t="s">
        <v>50</v>
      </c>
      <c r="V306" s="51" t="s">
        <v>50</v>
      </c>
      <c r="W306" s="51" t="s">
        <v>50</v>
      </c>
      <c r="X306" s="51" t="s">
        <v>50</v>
      </c>
    </row>
    <row r="307" spans="1:25" x14ac:dyDescent="0.25">
      <c r="A307" s="821">
        <v>44238</v>
      </c>
      <c r="B307" s="51" t="s">
        <v>105</v>
      </c>
      <c r="C307" s="51" t="s">
        <v>88</v>
      </c>
      <c r="D307" s="870">
        <v>38.067059999999998</v>
      </c>
      <c r="E307" s="870">
        <v>-121.83642</v>
      </c>
      <c r="F307" s="51" t="s">
        <v>516</v>
      </c>
      <c r="G307" s="51" t="s">
        <v>27</v>
      </c>
      <c r="H307" s="51" t="s">
        <v>25</v>
      </c>
      <c r="I307" s="66">
        <v>0.48680555555555555</v>
      </c>
      <c r="J307" s="51">
        <v>2682.75</v>
      </c>
      <c r="K307" s="51">
        <v>11</v>
      </c>
      <c r="L307" s="51">
        <v>30.1</v>
      </c>
      <c r="M307" s="51">
        <v>0.53</v>
      </c>
      <c r="N307" s="51">
        <v>8.4700000000000006</v>
      </c>
      <c r="O307" s="51" t="s">
        <v>48</v>
      </c>
      <c r="P307" s="51">
        <v>4</v>
      </c>
      <c r="Q307" s="51">
        <v>10</v>
      </c>
      <c r="R307" s="51" t="s">
        <v>64</v>
      </c>
      <c r="S307" s="51" t="s">
        <v>50</v>
      </c>
      <c r="T307" s="51" t="s">
        <v>50</v>
      </c>
      <c r="U307" s="51" t="s">
        <v>50</v>
      </c>
      <c r="V307" s="51" t="s">
        <v>50</v>
      </c>
      <c r="W307" s="51" t="s">
        <v>50</v>
      </c>
      <c r="X307" s="51" t="s">
        <v>50</v>
      </c>
    </row>
    <row r="308" spans="1:25" x14ac:dyDescent="0.25">
      <c r="A308" s="821">
        <v>44238</v>
      </c>
      <c r="B308" s="51" t="s">
        <v>105</v>
      </c>
      <c r="C308" s="51" t="s">
        <v>88</v>
      </c>
      <c r="D308" s="870">
        <v>38.077269999999999</v>
      </c>
      <c r="E308" s="870">
        <v>-121.76615</v>
      </c>
      <c r="F308" s="51" t="s">
        <v>517</v>
      </c>
      <c r="G308" s="51" t="s">
        <v>27</v>
      </c>
      <c r="H308" s="51" t="s">
        <v>25</v>
      </c>
      <c r="I308" s="66">
        <v>0.43472222222222223</v>
      </c>
      <c r="J308" s="51">
        <v>369.62</v>
      </c>
      <c r="K308" s="51">
        <v>11.2</v>
      </c>
      <c r="L308" s="51">
        <v>17.28</v>
      </c>
      <c r="M308" s="51">
        <v>0.84</v>
      </c>
      <c r="N308" s="51">
        <v>9.85</v>
      </c>
      <c r="O308" s="51" t="s">
        <v>48</v>
      </c>
      <c r="P308" s="51">
        <v>4</v>
      </c>
      <c r="Q308" s="51">
        <v>10</v>
      </c>
      <c r="R308" s="51" t="s">
        <v>64</v>
      </c>
      <c r="S308" s="51" t="s">
        <v>50</v>
      </c>
      <c r="T308" s="51" t="s">
        <v>50</v>
      </c>
      <c r="U308" s="51" t="s">
        <v>50</v>
      </c>
      <c r="V308" s="51" t="s">
        <v>50</v>
      </c>
      <c r="W308" s="51" t="s">
        <v>50</v>
      </c>
      <c r="X308" s="51" t="s">
        <v>50</v>
      </c>
    </row>
    <row r="309" spans="1:25" x14ac:dyDescent="0.25">
      <c r="A309" s="821">
        <v>44238</v>
      </c>
      <c r="B309" s="51" t="s">
        <v>105</v>
      </c>
      <c r="C309" s="51" t="s">
        <v>177</v>
      </c>
      <c r="D309" s="870">
        <v>38.203699999999998</v>
      </c>
      <c r="E309" s="870">
        <v>-121.65561</v>
      </c>
      <c r="F309" s="51" t="s">
        <v>518</v>
      </c>
      <c r="G309" s="51" t="s">
        <v>90</v>
      </c>
      <c r="H309" s="51" t="s">
        <v>519</v>
      </c>
      <c r="I309" s="66">
        <v>0.32569444444444445</v>
      </c>
      <c r="J309" s="51">
        <v>217.83</v>
      </c>
      <c r="K309" s="51">
        <v>11.5</v>
      </c>
      <c r="L309" s="51">
        <v>10.95</v>
      </c>
      <c r="M309" s="51">
        <v>1.1499999999999999</v>
      </c>
      <c r="N309" s="51">
        <v>6.03</v>
      </c>
      <c r="O309" s="51" t="s">
        <v>48</v>
      </c>
      <c r="P309" s="51">
        <v>4</v>
      </c>
      <c r="Q309" s="51">
        <v>9.5</v>
      </c>
      <c r="R309" s="51" t="s">
        <v>49</v>
      </c>
      <c r="S309" s="51" t="s">
        <v>50</v>
      </c>
      <c r="T309" s="51" t="s">
        <v>50</v>
      </c>
      <c r="U309" s="51" t="s">
        <v>50</v>
      </c>
      <c r="V309" s="51" t="s">
        <v>50</v>
      </c>
      <c r="W309" s="51" t="s">
        <v>50</v>
      </c>
      <c r="X309" s="51" t="s">
        <v>50</v>
      </c>
      <c r="Y309" s="52" t="s">
        <v>520</v>
      </c>
    </row>
    <row r="310" spans="1:25" x14ac:dyDescent="0.25">
      <c r="A310" s="821">
        <v>44238</v>
      </c>
      <c r="B310" s="51" t="s">
        <v>105</v>
      </c>
      <c r="C310" s="51" t="s">
        <v>78</v>
      </c>
      <c r="D310" s="870">
        <v>38.088859999999997</v>
      </c>
      <c r="E310" s="870">
        <v>-122.07843</v>
      </c>
      <c r="F310" s="51" t="s">
        <v>521</v>
      </c>
      <c r="G310" s="51" t="s">
        <v>80</v>
      </c>
      <c r="H310" s="51" t="s">
        <v>81</v>
      </c>
      <c r="I310" s="66">
        <v>0.3611111111111111</v>
      </c>
      <c r="J310" s="51">
        <v>12406</v>
      </c>
      <c r="K310" s="51">
        <v>11.2</v>
      </c>
      <c r="L310" s="51">
        <v>42.25</v>
      </c>
      <c r="M310" s="51">
        <v>0.38</v>
      </c>
      <c r="N310" s="51">
        <v>9.82</v>
      </c>
      <c r="O310" s="51" t="s">
        <v>48</v>
      </c>
      <c r="P310" s="51">
        <v>4</v>
      </c>
      <c r="Q310" s="51">
        <v>10</v>
      </c>
      <c r="R310" s="51" t="s">
        <v>49</v>
      </c>
      <c r="S310" s="51" t="s">
        <v>50</v>
      </c>
      <c r="T310" s="51" t="s">
        <v>50</v>
      </c>
      <c r="U310" s="51" t="s">
        <v>50</v>
      </c>
      <c r="V310" s="51" t="s">
        <v>50</v>
      </c>
      <c r="W310" s="51" t="s">
        <v>50</v>
      </c>
      <c r="X310" s="51" t="s">
        <v>50</v>
      </c>
    </row>
    <row r="311" spans="1:25" x14ac:dyDescent="0.25">
      <c r="A311" s="821">
        <v>44238</v>
      </c>
      <c r="B311" s="51" t="s">
        <v>105</v>
      </c>
      <c r="C311" s="51" t="s">
        <v>62</v>
      </c>
      <c r="D311" s="870">
        <v>38.105350000000001</v>
      </c>
      <c r="E311" s="870">
        <v>-122.03243000000001</v>
      </c>
      <c r="F311" s="51" t="s">
        <v>522</v>
      </c>
      <c r="G311" s="51" t="s">
        <v>27</v>
      </c>
      <c r="H311" s="51" t="s">
        <v>173</v>
      </c>
      <c r="I311" s="66">
        <v>0.4694444444444445</v>
      </c>
      <c r="J311" s="51">
        <v>13941.25</v>
      </c>
      <c r="K311" s="51">
        <v>11.35</v>
      </c>
      <c r="L311" s="51">
        <v>40.85</v>
      </c>
      <c r="M311" s="51">
        <v>0.37</v>
      </c>
      <c r="N311" s="51">
        <v>3.83</v>
      </c>
      <c r="O311" s="51" t="s">
        <v>48</v>
      </c>
      <c r="P311" s="51">
        <v>4</v>
      </c>
      <c r="Q311" s="51">
        <v>10</v>
      </c>
      <c r="R311" s="51" t="s">
        <v>64</v>
      </c>
      <c r="S311" s="51" t="s">
        <v>50</v>
      </c>
      <c r="T311" s="51" t="s">
        <v>50</v>
      </c>
      <c r="U311" s="51" t="s">
        <v>50</v>
      </c>
      <c r="V311" s="51" t="s">
        <v>50</v>
      </c>
      <c r="W311" s="51" t="s">
        <v>50</v>
      </c>
      <c r="X311" s="51" t="s">
        <v>50</v>
      </c>
    </row>
    <row r="312" spans="1:25" x14ac:dyDescent="0.25">
      <c r="A312" s="821">
        <v>44238</v>
      </c>
      <c r="B312" s="51" t="s">
        <v>105</v>
      </c>
      <c r="C312" s="51" t="s">
        <v>78</v>
      </c>
      <c r="D312" s="870">
        <v>38.091749999999998</v>
      </c>
      <c r="E312" s="870">
        <v>-122.05868</v>
      </c>
      <c r="F312" s="51" t="s">
        <v>523</v>
      </c>
      <c r="G312" s="51" t="s">
        <v>27</v>
      </c>
      <c r="H312" s="51" t="s">
        <v>86</v>
      </c>
      <c r="I312" s="66">
        <v>0.41736111111111113</v>
      </c>
      <c r="J312" s="51">
        <v>12427.5</v>
      </c>
      <c r="K312" s="51">
        <v>11.13</v>
      </c>
      <c r="L312" s="51">
        <v>32.020000000000003</v>
      </c>
      <c r="M312" s="51">
        <v>0.44</v>
      </c>
      <c r="N312" s="51">
        <v>4.83</v>
      </c>
      <c r="O312" s="51" t="s">
        <v>48</v>
      </c>
      <c r="P312" s="51">
        <v>4</v>
      </c>
      <c r="Q312" s="51">
        <v>10</v>
      </c>
      <c r="R312" s="51" t="s">
        <v>64</v>
      </c>
      <c r="S312" s="51" t="s">
        <v>50</v>
      </c>
      <c r="T312" s="51" t="s">
        <v>50</v>
      </c>
      <c r="U312" s="51" t="s">
        <v>50</v>
      </c>
      <c r="V312" s="51" t="s">
        <v>50</v>
      </c>
      <c r="W312" s="51" t="s">
        <v>50</v>
      </c>
      <c r="X312" s="51" t="s">
        <v>50</v>
      </c>
    </row>
    <row r="313" spans="1:25" s="424" customFormat="1" x14ac:dyDescent="0.25">
      <c r="A313" s="446">
        <v>44239</v>
      </c>
      <c r="B313" s="424" t="s">
        <v>125</v>
      </c>
      <c r="C313" s="424" t="s">
        <v>44</v>
      </c>
      <c r="D313" s="424">
        <v>38.026789999999998</v>
      </c>
      <c r="E313" s="424">
        <v>-121.60673</v>
      </c>
      <c r="F313" s="424" t="s">
        <v>524</v>
      </c>
      <c r="G313" s="424" t="s">
        <v>46</v>
      </c>
      <c r="H313" s="424" t="s">
        <v>47</v>
      </c>
      <c r="I313" s="425">
        <v>0.51736111111111105</v>
      </c>
      <c r="J313" s="424" t="s">
        <v>50</v>
      </c>
      <c r="K313" s="424" t="s">
        <v>50</v>
      </c>
      <c r="L313" s="424" t="s">
        <v>50</v>
      </c>
      <c r="M313" s="424" t="s">
        <v>50</v>
      </c>
      <c r="N313" s="424" t="s">
        <v>50</v>
      </c>
      <c r="O313" s="424" t="s">
        <v>48</v>
      </c>
      <c r="P313" s="424">
        <v>0</v>
      </c>
      <c r="Q313" s="424" t="s">
        <v>50</v>
      </c>
      <c r="R313" s="424" t="s">
        <v>50</v>
      </c>
      <c r="S313" s="424" t="s">
        <v>50</v>
      </c>
      <c r="T313" s="424" t="s">
        <v>50</v>
      </c>
      <c r="U313" s="424" t="s">
        <v>50</v>
      </c>
      <c r="V313" s="424" t="s">
        <v>50</v>
      </c>
      <c r="W313" s="424" t="s">
        <v>50</v>
      </c>
      <c r="X313" s="424" t="s">
        <v>50</v>
      </c>
      <c r="Y313" s="426" t="s">
        <v>72</v>
      </c>
    </row>
    <row r="314" spans="1:25" s="51" customFormat="1" x14ac:dyDescent="0.25">
      <c r="A314" s="821">
        <v>44239</v>
      </c>
      <c r="B314" s="51" t="s">
        <v>125</v>
      </c>
      <c r="C314" s="51" t="s">
        <v>44</v>
      </c>
      <c r="D314" s="51">
        <v>37.820180000000001</v>
      </c>
      <c r="E314" s="51">
        <v>-121.4832</v>
      </c>
      <c r="F314" s="51" t="s">
        <v>525</v>
      </c>
      <c r="G314" s="51" t="s">
        <v>46</v>
      </c>
      <c r="H314" s="51" t="s">
        <v>376</v>
      </c>
      <c r="I314" s="66">
        <v>0.37847222222222227</v>
      </c>
      <c r="J314" s="51">
        <v>1124.25</v>
      </c>
      <c r="K314" s="51">
        <v>12.63</v>
      </c>
      <c r="L314" s="51">
        <v>6.08</v>
      </c>
      <c r="M314" s="51">
        <v>1.76</v>
      </c>
      <c r="N314" s="51">
        <v>3.23</v>
      </c>
      <c r="O314" s="51" t="s">
        <v>48</v>
      </c>
      <c r="P314" s="51">
        <v>4</v>
      </c>
      <c r="Q314" s="51">
        <v>10</v>
      </c>
      <c r="R314" s="51" t="s">
        <v>64</v>
      </c>
      <c r="S314" s="51" t="s">
        <v>50</v>
      </c>
      <c r="T314" s="51" t="s">
        <v>50</v>
      </c>
      <c r="U314" s="51" t="s">
        <v>50</v>
      </c>
      <c r="V314" s="51" t="s">
        <v>50</v>
      </c>
      <c r="W314" s="51" t="s">
        <v>50</v>
      </c>
      <c r="X314" s="51" t="s">
        <v>50</v>
      </c>
      <c r="Y314" s="52" t="s">
        <v>526</v>
      </c>
    </row>
    <row r="315" spans="1:25" s="424" customFormat="1" x14ac:dyDescent="0.25">
      <c r="A315" s="446">
        <v>44239</v>
      </c>
      <c r="B315" s="424" t="s">
        <v>125</v>
      </c>
      <c r="C315" s="424" t="s">
        <v>44</v>
      </c>
      <c r="D315" s="424">
        <v>38.00752</v>
      </c>
      <c r="E315" s="424">
        <v>-121.56291</v>
      </c>
      <c r="F315" s="424" t="s">
        <v>527</v>
      </c>
      <c r="G315" s="424" t="s">
        <v>46</v>
      </c>
      <c r="H315" s="424" t="s">
        <v>74</v>
      </c>
      <c r="I315" s="425">
        <v>0.51666666666666672</v>
      </c>
      <c r="J315" s="424" t="s">
        <v>50</v>
      </c>
      <c r="K315" s="424" t="s">
        <v>50</v>
      </c>
      <c r="L315" s="424" t="s">
        <v>50</v>
      </c>
      <c r="M315" s="424" t="s">
        <v>50</v>
      </c>
      <c r="N315" s="424" t="s">
        <v>50</v>
      </c>
      <c r="O315" s="424" t="s">
        <v>48</v>
      </c>
      <c r="P315" s="424">
        <v>0</v>
      </c>
      <c r="Q315" s="424" t="s">
        <v>50</v>
      </c>
      <c r="R315" s="424" t="s">
        <v>50</v>
      </c>
      <c r="S315" s="424" t="s">
        <v>50</v>
      </c>
      <c r="T315" s="424" t="s">
        <v>50</v>
      </c>
      <c r="U315" s="424" t="s">
        <v>50</v>
      </c>
      <c r="V315" s="424" t="s">
        <v>50</v>
      </c>
      <c r="W315" s="424" t="s">
        <v>50</v>
      </c>
      <c r="X315" s="424" t="s">
        <v>50</v>
      </c>
      <c r="Y315" s="426" t="s">
        <v>528</v>
      </c>
    </row>
    <row r="316" spans="1:25" s="51" customFormat="1" x14ac:dyDescent="0.25">
      <c r="A316" s="821">
        <v>44239</v>
      </c>
      <c r="B316" s="51" t="s">
        <v>125</v>
      </c>
      <c r="C316" s="51" t="s">
        <v>44</v>
      </c>
      <c r="D316" s="51">
        <v>38.02505</v>
      </c>
      <c r="E316" s="51">
        <v>-121.58323</v>
      </c>
      <c r="F316" s="51" t="s">
        <v>529</v>
      </c>
      <c r="G316" s="51" t="s">
        <v>46</v>
      </c>
      <c r="H316" s="51" t="s">
        <v>74</v>
      </c>
      <c r="I316" s="66">
        <v>0.53263888888888888</v>
      </c>
      <c r="J316" s="51">
        <v>653</v>
      </c>
      <c r="K316" s="51">
        <v>11.45</v>
      </c>
      <c r="L316" s="51">
        <v>11.16</v>
      </c>
      <c r="M316" s="51">
        <v>0.78</v>
      </c>
      <c r="N316" s="51">
        <v>8.32</v>
      </c>
      <c r="O316" s="51" t="s">
        <v>48</v>
      </c>
      <c r="P316" s="51">
        <v>4</v>
      </c>
      <c r="Q316" s="51">
        <v>10</v>
      </c>
      <c r="R316" s="51" t="s">
        <v>49</v>
      </c>
      <c r="S316" s="51" t="s">
        <v>50</v>
      </c>
      <c r="T316" s="51" t="s">
        <v>50</v>
      </c>
      <c r="U316" s="51" t="s">
        <v>50</v>
      </c>
      <c r="V316" s="51" t="s">
        <v>50</v>
      </c>
      <c r="W316" s="51" t="s">
        <v>50</v>
      </c>
      <c r="X316" s="51" t="s">
        <v>50</v>
      </c>
    </row>
    <row r="317" spans="1:25" s="424" customFormat="1" x14ac:dyDescent="0.25">
      <c r="A317" s="446">
        <v>44239</v>
      </c>
      <c r="B317" s="424" t="s">
        <v>125</v>
      </c>
      <c r="C317" s="424" t="s">
        <v>44</v>
      </c>
      <c r="D317" s="424">
        <v>37.985950000000003</v>
      </c>
      <c r="E317" s="424">
        <v>-121.51994999999999</v>
      </c>
      <c r="F317" s="424" t="s">
        <v>530</v>
      </c>
      <c r="G317" s="424" t="s">
        <v>46</v>
      </c>
      <c r="H317" s="424" t="s">
        <v>59</v>
      </c>
      <c r="I317" s="425">
        <v>0.5180555555555556</v>
      </c>
      <c r="J317" s="424" t="s">
        <v>50</v>
      </c>
      <c r="K317" s="424" t="s">
        <v>50</v>
      </c>
      <c r="L317" s="424" t="s">
        <v>50</v>
      </c>
      <c r="M317" s="424" t="s">
        <v>50</v>
      </c>
      <c r="N317" s="424" t="s">
        <v>50</v>
      </c>
      <c r="O317" s="424" t="s">
        <v>48</v>
      </c>
      <c r="P317" s="424">
        <v>0</v>
      </c>
      <c r="Q317" s="424" t="s">
        <v>50</v>
      </c>
      <c r="R317" s="424" t="s">
        <v>50</v>
      </c>
      <c r="S317" s="424" t="s">
        <v>50</v>
      </c>
      <c r="T317" s="424" t="s">
        <v>50</v>
      </c>
      <c r="U317" s="424" t="s">
        <v>50</v>
      </c>
      <c r="V317" s="424" t="s">
        <v>50</v>
      </c>
      <c r="W317" s="424" t="s">
        <v>50</v>
      </c>
      <c r="X317" s="424" t="s">
        <v>50</v>
      </c>
      <c r="Y317" s="426" t="s">
        <v>72</v>
      </c>
    </row>
    <row r="318" spans="1:25" s="51" customFormat="1" x14ac:dyDescent="0.25">
      <c r="A318" s="821">
        <v>44239</v>
      </c>
      <c r="B318" s="51" t="s">
        <v>125</v>
      </c>
      <c r="C318" s="51" t="s">
        <v>44</v>
      </c>
      <c r="D318" s="51">
        <v>37.878219999999999</v>
      </c>
      <c r="E318" s="51">
        <v>-121.57675999999999</v>
      </c>
      <c r="F318" s="51" t="s">
        <v>531</v>
      </c>
      <c r="G318" s="51" t="s">
        <v>46</v>
      </c>
      <c r="H318" s="51" t="s">
        <v>202</v>
      </c>
      <c r="I318" s="66">
        <v>0.44861111111111113</v>
      </c>
      <c r="J318" s="51">
        <v>724.25</v>
      </c>
      <c r="K318" s="51">
        <v>11.4</v>
      </c>
      <c r="L318" s="51">
        <v>4.05</v>
      </c>
      <c r="M318" s="51">
        <v>1.76</v>
      </c>
      <c r="N318" s="51">
        <v>4.88</v>
      </c>
      <c r="O318" s="51" t="s">
        <v>48</v>
      </c>
      <c r="P318" s="51">
        <v>4</v>
      </c>
      <c r="Q318" s="51">
        <v>10</v>
      </c>
      <c r="R318" s="51" t="s">
        <v>49</v>
      </c>
      <c r="S318" s="51" t="s">
        <v>50</v>
      </c>
      <c r="T318" s="51" t="s">
        <v>50</v>
      </c>
      <c r="U318" s="51" t="s">
        <v>50</v>
      </c>
      <c r="V318" s="51" t="s">
        <v>50</v>
      </c>
      <c r="W318" s="51" t="s">
        <v>50</v>
      </c>
      <c r="X318" s="51" t="s">
        <v>50</v>
      </c>
    </row>
    <row r="319" spans="1:25" s="51" customFormat="1" x14ac:dyDescent="0.25">
      <c r="A319" s="821">
        <v>44239</v>
      </c>
      <c r="B319" s="51" t="s">
        <v>125</v>
      </c>
      <c r="C319" s="51" t="s">
        <v>78</v>
      </c>
      <c r="D319" s="51">
        <v>38.060470000000002</v>
      </c>
      <c r="E319" s="51">
        <v>-121.99342</v>
      </c>
      <c r="F319" s="51" t="s">
        <v>532</v>
      </c>
      <c r="G319" s="51" t="s">
        <v>27</v>
      </c>
      <c r="H319" s="51" t="s">
        <v>86</v>
      </c>
      <c r="I319" s="66">
        <v>0.48819444444444443</v>
      </c>
      <c r="J319" s="51">
        <v>8707.25</v>
      </c>
      <c r="K319" s="51">
        <v>11.25</v>
      </c>
      <c r="L319" s="51">
        <v>41.3</v>
      </c>
      <c r="M319" s="51">
        <v>0.44</v>
      </c>
      <c r="N319" s="51">
        <v>12.97</v>
      </c>
      <c r="O319" s="51" t="s">
        <v>48</v>
      </c>
      <c r="P319" s="51">
        <v>4</v>
      </c>
      <c r="Q319" s="51">
        <v>10</v>
      </c>
      <c r="R319" s="51" t="s">
        <v>64</v>
      </c>
      <c r="S319" s="51" t="s">
        <v>50</v>
      </c>
      <c r="T319" s="51" t="s">
        <v>50</v>
      </c>
      <c r="U319" s="51" t="s">
        <v>50</v>
      </c>
      <c r="V319" s="51" t="s">
        <v>50</v>
      </c>
      <c r="W319" s="51" t="s">
        <v>50</v>
      </c>
      <c r="X319" s="51" t="s">
        <v>50</v>
      </c>
    </row>
    <row r="320" spans="1:25" s="450" customFormat="1" x14ac:dyDescent="0.25">
      <c r="A320" s="855">
        <v>44239</v>
      </c>
      <c r="B320" s="450" t="s">
        <v>125</v>
      </c>
      <c r="C320" s="450" t="s">
        <v>62</v>
      </c>
      <c r="D320" s="450">
        <v>38.120629999999998</v>
      </c>
      <c r="E320" s="450">
        <v>-122.07207</v>
      </c>
      <c r="F320" s="450" t="s">
        <v>533</v>
      </c>
      <c r="G320" s="450" t="s">
        <v>27</v>
      </c>
      <c r="H320" s="450" t="s">
        <v>62</v>
      </c>
      <c r="I320" s="451">
        <v>0.42291666666666666</v>
      </c>
      <c r="J320" s="450">
        <v>9781</v>
      </c>
      <c r="K320" s="450">
        <v>11.2</v>
      </c>
      <c r="L320" s="450">
        <v>84.95</v>
      </c>
      <c r="M320" s="450">
        <v>0.22</v>
      </c>
      <c r="N320" s="450">
        <v>3.08</v>
      </c>
      <c r="O320" s="450" t="s">
        <v>48</v>
      </c>
      <c r="P320" s="450">
        <v>4</v>
      </c>
      <c r="Q320" s="450">
        <v>10</v>
      </c>
      <c r="R320" s="450" t="s">
        <v>64</v>
      </c>
      <c r="S320" s="858" t="s">
        <v>31</v>
      </c>
      <c r="T320" s="450">
        <v>11</v>
      </c>
      <c r="U320" s="450" t="s">
        <v>534</v>
      </c>
      <c r="V320" s="450" t="s">
        <v>66</v>
      </c>
      <c r="W320" s="450" t="s">
        <v>50</v>
      </c>
      <c r="X320" s="450" t="s">
        <v>228</v>
      </c>
    </row>
    <row r="321" spans="1:25" s="450" customFormat="1" x14ac:dyDescent="0.25">
      <c r="A321" s="855">
        <v>44239</v>
      </c>
      <c r="B321" s="450" t="s">
        <v>125</v>
      </c>
      <c r="C321" s="450" t="s">
        <v>62</v>
      </c>
      <c r="D321" s="450">
        <v>38.120629999999998</v>
      </c>
      <c r="E321" s="450">
        <v>-122.07207</v>
      </c>
      <c r="F321" s="450" t="s">
        <v>533</v>
      </c>
      <c r="G321" s="450" t="s">
        <v>27</v>
      </c>
      <c r="H321" s="450" t="s">
        <v>62</v>
      </c>
      <c r="I321" s="451">
        <v>0.42291666666666666</v>
      </c>
      <c r="J321" s="450">
        <v>9781</v>
      </c>
      <c r="K321" s="450">
        <v>11.2</v>
      </c>
      <c r="L321" s="450">
        <v>84.95</v>
      </c>
      <c r="M321" s="450">
        <v>0.22</v>
      </c>
      <c r="N321" s="450">
        <v>3.08</v>
      </c>
      <c r="O321" s="450" t="s">
        <v>48</v>
      </c>
      <c r="P321" s="450">
        <v>4</v>
      </c>
      <c r="Q321" s="450">
        <v>10</v>
      </c>
      <c r="R321" s="450" t="s">
        <v>64</v>
      </c>
      <c r="S321" s="858" t="s">
        <v>31</v>
      </c>
      <c r="T321" s="450">
        <v>1</v>
      </c>
      <c r="U321" s="450">
        <v>83</v>
      </c>
      <c r="V321" s="450" t="s">
        <v>355</v>
      </c>
      <c r="W321" s="450" t="s">
        <v>50</v>
      </c>
      <c r="X321" s="450" t="s">
        <v>228</v>
      </c>
      <c r="Y321" s="453" t="s">
        <v>535</v>
      </c>
    </row>
    <row r="322" spans="1:25" s="470" customFormat="1" x14ac:dyDescent="0.25">
      <c r="A322" s="898">
        <v>44239</v>
      </c>
      <c r="B322" s="470" t="s">
        <v>125</v>
      </c>
      <c r="C322" s="470" t="s">
        <v>62</v>
      </c>
      <c r="D322" s="470">
        <v>38.159269999999999</v>
      </c>
      <c r="E322" s="470">
        <v>-121.92796</v>
      </c>
      <c r="F322" s="470" t="s">
        <v>536</v>
      </c>
      <c r="G322" s="470" t="s">
        <v>27</v>
      </c>
      <c r="H322" s="470" t="s">
        <v>62</v>
      </c>
      <c r="I322" s="471">
        <v>0.35347222222222219</v>
      </c>
      <c r="J322" s="470">
        <v>3212.25</v>
      </c>
      <c r="K322" s="470">
        <v>10.78</v>
      </c>
      <c r="L322" s="470">
        <v>43.83</v>
      </c>
      <c r="M322" s="470">
        <v>0.28999999999999998</v>
      </c>
      <c r="N322" s="470">
        <v>4.47</v>
      </c>
      <c r="O322" s="470" t="s">
        <v>48</v>
      </c>
      <c r="P322" s="470">
        <v>4</v>
      </c>
      <c r="Q322" s="470">
        <v>10</v>
      </c>
      <c r="R322" s="470" t="s">
        <v>49</v>
      </c>
      <c r="S322" s="899" t="s">
        <v>31</v>
      </c>
      <c r="T322" s="470">
        <v>3</v>
      </c>
      <c r="U322" s="470" t="s">
        <v>537</v>
      </c>
      <c r="V322" s="470" t="s">
        <v>50</v>
      </c>
      <c r="W322" s="470" t="s">
        <v>50</v>
      </c>
      <c r="X322" s="470" t="s">
        <v>228</v>
      </c>
    </row>
    <row r="323" spans="1:25" x14ac:dyDescent="0.25">
      <c r="A323" s="821">
        <v>44243</v>
      </c>
      <c r="B323" s="51" t="s">
        <v>70</v>
      </c>
      <c r="C323" s="51" t="s">
        <v>162</v>
      </c>
      <c r="D323" s="870">
        <v>38.24709</v>
      </c>
      <c r="E323" s="870">
        <v>-121.70090999999999</v>
      </c>
      <c r="F323" s="51" t="s">
        <v>538</v>
      </c>
      <c r="G323" s="51" t="s">
        <v>90</v>
      </c>
      <c r="H323" s="51" t="s">
        <v>126</v>
      </c>
      <c r="I323" s="66">
        <v>0.33958333333333335</v>
      </c>
      <c r="J323" s="51">
        <v>267.60000000000002</v>
      </c>
      <c r="K323" s="51">
        <v>11.7</v>
      </c>
      <c r="L323" s="51">
        <v>11.24</v>
      </c>
      <c r="M323" s="51">
        <v>1.22</v>
      </c>
      <c r="N323" s="51">
        <v>5</v>
      </c>
      <c r="O323" s="51" t="s">
        <v>48</v>
      </c>
      <c r="P323" s="51">
        <v>2</v>
      </c>
      <c r="Q323" s="51">
        <v>10</v>
      </c>
      <c r="R323" s="51" t="s">
        <v>64</v>
      </c>
      <c r="S323" s="51" t="s">
        <v>50</v>
      </c>
      <c r="T323" s="51" t="s">
        <v>50</v>
      </c>
      <c r="U323" s="51" t="s">
        <v>50</v>
      </c>
      <c r="V323" s="51" t="s">
        <v>50</v>
      </c>
      <c r="W323" s="51" t="s">
        <v>50</v>
      </c>
      <c r="X323" s="51" t="s">
        <v>50</v>
      </c>
      <c r="Y323" s="52" t="s">
        <v>539</v>
      </c>
    </row>
    <row r="324" spans="1:25" s="857" customFormat="1" x14ac:dyDescent="0.25">
      <c r="A324" s="446">
        <v>44243</v>
      </c>
      <c r="B324" s="424" t="s">
        <v>70</v>
      </c>
      <c r="C324" s="424" t="s">
        <v>162</v>
      </c>
      <c r="D324" s="871">
        <v>38.279679999999999</v>
      </c>
      <c r="E324" s="871">
        <v>-121.71317999999999</v>
      </c>
      <c r="F324" s="424" t="s">
        <v>540</v>
      </c>
      <c r="G324" s="424" t="s">
        <v>90</v>
      </c>
      <c r="H324" s="424" t="s">
        <v>126</v>
      </c>
      <c r="I324" s="425">
        <v>0.38472222222222219</v>
      </c>
      <c r="J324" s="424" t="s">
        <v>50</v>
      </c>
      <c r="K324" s="424" t="s">
        <v>50</v>
      </c>
      <c r="L324" s="424" t="s">
        <v>50</v>
      </c>
      <c r="M324" s="424" t="s">
        <v>50</v>
      </c>
      <c r="N324" s="424" t="s">
        <v>50</v>
      </c>
      <c r="O324" s="424" t="s">
        <v>48</v>
      </c>
      <c r="P324" s="424">
        <v>0</v>
      </c>
      <c r="Q324" s="424" t="s">
        <v>50</v>
      </c>
      <c r="R324" s="424" t="s">
        <v>50</v>
      </c>
      <c r="S324" s="424" t="s">
        <v>50</v>
      </c>
      <c r="T324" s="424" t="s">
        <v>50</v>
      </c>
      <c r="U324" s="424" t="s">
        <v>50</v>
      </c>
      <c r="V324" s="424" t="s">
        <v>50</v>
      </c>
      <c r="W324" s="424" t="s">
        <v>50</v>
      </c>
      <c r="X324" s="424" t="s">
        <v>50</v>
      </c>
      <c r="Y324" s="426" t="s">
        <v>541</v>
      </c>
    </row>
    <row r="325" spans="1:25" x14ac:dyDescent="0.25">
      <c r="A325" s="821">
        <v>44243</v>
      </c>
      <c r="B325" s="51" t="s">
        <v>70</v>
      </c>
      <c r="C325" s="51" t="s">
        <v>162</v>
      </c>
      <c r="D325" s="870">
        <v>38.259950000000003</v>
      </c>
      <c r="E325" s="870">
        <v>-121.6703</v>
      </c>
      <c r="F325" s="51" t="s">
        <v>542</v>
      </c>
      <c r="G325" s="51" t="s">
        <v>90</v>
      </c>
      <c r="H325" s="51" t="s">
        <v>126</v>
      </c>
      <c r="I325" s="66">
        <v>0.3972222222222222</v>
      </c>
      <c r="J325" s="51">
        <v>268.14999999999998</v>
      </c>
      <c r="K325" s="51">
        <v>11.8</v>
      </c>
      <c r="L325" s="51">
        <v>8.25</v>
      </c>
      <c r="M325" s="51">
        <v>1.29</v>
      </c>
      <c r="N325" s="51">
        <v>7.38</v>
      </c>
      <c r="O325" s="51" t="s">
        <v>48</v>
      </c>
      <c r="P325" s="51">
        <v>4</v>
      </c>
      <c r="Q325" s="51">
        <v>10</v>
      </c>
      <c r="R325" s="51" t="s">
        <v>49</v>
      </c>
      <c r="S325" s="51" t="s">
        <v>50</v>
      </c>
      <c r="T325" s="51" t="s">
        <v>50</v>
      </c>
      <c r="U325" s="51" t="s">
        <v>50</v>
      </c>
      <c r="V325" s="51" t="s">
        <v>50</v>
      </c>
      <c r="W325" s="51" t="s">
        <v>50</v>
      </c>
      <c r="X325" s="51" t="s">
        <v>50</v>
      </c>
    </row>
    <row r="326" spans="1:25" s="878" customFormat="1" x14ac:dyDescent="0.25">
      <c r="A326" s="876">
        <v>44243</v>
      </c>
      <c r="B326" s="437" t="s">
        <v>70</v>
      </c>
      <c r="C326" s="437" t="s">
        <v>162</v>
      </c>
      <c r="D326" s="897">
        <v>38.242739999999998</v>
      </c>
      <c r="E326" s="897">
        <v>-121.67975</v>
      </c>
      <c r="F326" s="437" t="s">
        <v>543</v>
      </c>
      <c r="G326" s="437" t="s">
        <v>90</v>
      </c>
      <c r="H326" s="437" t="s">
        <v>126</v>
      </c>
      <c r="I326" s="438">
        <v>0.45</v>
      </c>
      <c r="J326" s="437">
        <v>273.38</v>
      </c>
      <c r="K326" s="437">
        <v>11.75</v>
      </c>
      <c r="L326" s="437">
        <v>8.24</v>
      </c>
      <c r="M326" s="437">
        <v>1.1200000000000001</v>
      </c>
      <c r="N326" s="437">
        <v>6.6</v>
      </c>
      <c r="O326" s="437" t="s">
        <v>48</v>
      </c>
      <c r="P326" s="437">
        <v>4</v>
      </c>
      <c r="Q326" s="437">
        <v>10</v>
      </c>
      <c r="R326" s="437" t="s">
        <v>49</v>
      </c>
      <c r="S326" s="877" t="s">
        <v>449</v>
      </c>
      <c r="T326" s="437">
        <v>1</v>
      </c>
      <c r="U326" s="437" t="s">
        <v>544</v>
      </c>
      <c r="V326" s="437" t="s">
        <v>50</v>
      </c>
      <c r="W326" s="437" t="s">
        <v>350</v>
      </c>
      <c r="X326" s="437" t="s">
        <v>351</v>
      </c>
      <c r="Y326" s="440" t="s">
        <v>545</v>
      </c>
    </row>
    <row r="327" spans="1:25" x14ac:dyDescent="0.25">
      <c r="A327" s="821">
        <v>44243</v>
      </c>
      <c r="B327" s="51" t="s">
        <v>70</v>
      </c>
      <c r="C327" s="51" t="s">
        <v>95</v>
      </c>
      <c r="D327" s="870">
        <v>38.102580000000003</v>
      </c>
      <c r="E327" s="870">
        <v>-121.59125</v>
      </c>
      <c r="F327" s="51" t="s">
        <v>546</v>
      </c>
      <c r="G327" s="51" t="s">
        <v>46</v>
      </c>
      <c r="H327" s="51" t="s">
        <v>115</v>
      </c>
      <c r="I327" s="66">
        <v>0.34166666666666662</v>
      </c>
      <c r="J327" s="51">
        <v>385.58</v>
      </c>
      <c r="K327" s="51">
        <v>11.4</v>
      </c>
      <c r="L327" s="51">
        <v>10.1</v>
      </c>
      <c r="M327" s="51">
        <v>1.1399999999999999</v>
      </c>
      <c r="N327" s="51">
        <v>7.3</v>
      </c>
      <c r="O327" s="51" t="s">
        <v>48</v>
      </c>
      <c r="P327" s="51">
        <v>4</v>
      </c>
      <c r="Q327" s="51">
        <v>10</v>
      </c>
      <c r="R327" s="51" t="s">
        <v>64</v>
      </c>
      <c r="S327" s="51" t="s">
        <v>50</v>
      </c>
      <c r="T327" s="51" t="s">
        <v>50</v>
      </c>
      <c r="U327" s="51" t="s">
        <v>50</v>
      </c>
      <c r="V327" s="51" t="s">
        <v>50</v>
      </c>
      <c r="W327" s="51" t="s">
        <v>50</v>
      </c>
      <c r="X327" s="51" t="s">
        <v>50</v>
      </c>
    </row>
    <row r="328" spans="1:25" s="878" customFormat="1" x14ac:dyDescent="0.25">
      <c r="A328" s="876">
        <v>44243</v>
      </c>
      <c r="B328" s="437" t="s">
        <v>70</v>
      </c>
      <c r="C328" s="437" t="s">
        <v>95</v>
      </c>
      <c r="D328" s="897">
        <v>38.096359999999997</v>
      </c>
      <c r="E328" s="897">
        <v>-121.65794</v>
      </c>
      <c r="F328" s="437" t="s">
        <v>547</v>
      </c>
      <c r="G328" s="437" t="s">
        <v>46</v>
      </c>
      <c r="H328" s="437" t="s">
        <v>97</v>
      </c>
      <c r="I328" s="438">
        <v>0.4694444444444445</v>
      </c>
      <c r="J328" s="437">
        <v>483</v>
      </c>
      <c r="K328" s="437">
        <v>11.4</v>
      </c>
      <c r="L328" s="437">
        <v>20</v>
      </c>
      <c r="M328" s="437">
        <v>1.07</v>
      </c>
      <c r="N328" s="437">
        <v>7.9</v>
      </c>
      <c r="O328" s="437" t="s">
        <v>48</v>
      </c>
      <c r="P328" s="437">
        <v>4</v>
      </c>
      <c r="Q328" s="437">
        <v>10</v>
      </c>
      <c r="R328" s="437" t="s">
        <v>49</v>
      </c>
      <c r="S328" s="877" t="s">
        <v>449</v>
      </c>
      <c r="T328" s="437">
        <v>1</v>
      </c>
      <c r="U328" s="437" t="s">
        <v>548</v>
      </c>
      <c r="V328" s="437" t="s">
        <v>50</v>
      </c>
      <c r="W328" s="437" t="s">
        <v>350</v>
      </c>
      <c r="X328" s="437" t="s">
        <v>351</v>
      </c>
      <c r="Y328" s="440"/>
    </row>
    <row r="329" spans="1:25" x14ac:dyDescent="0.25">
      <c r="A329" s="821">
        <v>44243</v>
      </c>
      <c r="B329" s="51" t="s">
        <v>70</v>
      </c>
      <c r="C329" s="51" t="s">
        <v>95</v>
      </c>
      <c r="D329" s="870">
        <v>38.019570000000002</v>
      </c>
      <c r="E329" s="870">
        <v>-121.73943</v>
      </c>
      <c r="F329" s="51" t="s">
        <v>549</v>
      </c>
      <c r="G329" s="51" t="s">
        <v>27</v>
      </c>
      <c r="H329" s="51" t="s">
        <v>95</v>
      </c>
      <c r="I329" s="66">
        <v>0.40625</v>
      </c>
      <c r="J329" s="51">
        <v>710.5</v>
      </c>
      <c r="K329" s="51">
        <v>11.1</v>
      </c>
      <c r="L329" s="51">
        <v>20.12</v>
      </c>
      <c r="M329" s="51">
        <v>0.68</v>
      </c>
      <c r="N329" s="51">
        <v>3.23</v>
      </c>
      <c r="O329" s="51" t="s">
        <v>48</v>
      </c>
      <c r="P329" s="51">
        <v>4</v>
      </c>
      <c r="Q329" s="51">
        <v>10</v>
      </c>
      <c r="R329" s="51" t="s">
        <v>49</v>
      </c>
      <c r="S329" s="51" t="s">
        <v>50</v>
      </c>
      <c r="T329" s="51" t="s">
        <v>50</v>
      </c>
      <c r="U329" s="51" t="s">
        <v>50</v>
      </c>
      <c r="V329" s="51" t="s">
        <v>50</v>
      </c>
      <c r="W329" s="51" t="s">
        <v>50</v>
      </c>
      <c r="X329" s="51" t="s">
        <v>50</v>
      </c>
    </row>
    <row r="330" spans="1:25" s="878" customFormat="1" x14ac:dyDescent="0.25">
      <c r="A330" s="876">
        <v>44243</v>
      </c>
      <c r="B330" s="437" t="s">
        <v>70</v>
      </c>
      <c r="C330" s="437" t="s">
        <v>118</v>
      </c>
      <c r="D330" s="897">
        <v>38.04842</v>
      </c>
      <c r="E330" s="897">
        <v>-122.29464</v>
      </c>
      <c r="F330" s="437" t="s">
        <v>550</v>
      </c>
      <c r="G330" s="437" t="s">
        <v>80</v>
      </c>
      <c r="H330" s="437" t="s">
        <v>123</v>
      </c>
      <c r="I330" s="438">
        <v>0.37291666666666662</v>
      </c>
      <c r="J330" s="437">
        <v>28333.33</v>
      </c>
      <c r="K330" s="437">
        <v>11.7</v>
      </c>
      <c r="L330" s="437">
        <v>9.41</v>
      </c>
      <c r="M330" s="437">
        <v>0.95</v>
      </c>
      <c r="N330" s="437">
        <v>10.27</v>
      </c>
      <c r="O330" s="437" t="s">
        <v>48</v>
      </c>
      <c r="P330" s="437">
        <v>3</v>
      </c>
      <c r="Q330" s="437">
        <v>10</v>
      </c>
      <c r="R330" s="437" t="s">
        <v>49</v>
      </c>
      <c r="S330" s="877" t="s">
        <v>449</v>
      </c>
      <c r="T330" s="437">
        <v>1</v>
      </c>
      <c r="U330" s="437" t="s">
        <v>551</v>
      </c>
      <c r="V330" s="437" t="s">
        <v>50</v>
      </c>
      <c r="W330" s="437" t="s">
        <v>350</v>
      </c>
      <c r="X330" s="437" t="s">
        <v>351</v>
      </c>
      <c r="Y330" s="440" t="s">
        <v>552</v>
      </c>
    </row>
    <row r="331" spans="1:25" s="437" customFormat="1" x14ac:dyDescent="0.25">
      <c r="A331" s="876">
        <v>44244</v>
      </c>
      <c r="B331" s="437" t="s">
        <v>87</v>
      </c>
      <c r="C331" s="437" t="s">
        <v>95</v>
      </c>
      <c r="D331" s="437">
        <v>38.036279999999998</v>
      </c>
      <c r="E331" s="437">
        <v>-121.7135</v>
      </c>
      <c r="F331" s="437" t="s">
        <v>553</v>
      </c>
      <c r="G331" s="437" t="s">
        <v>27</v>
      </c>
      <c r="H331" s="437" t="s">
        <v>95</v>
      </c>
      <c r="I331" s="438">
        <v>0.33958333333333335</v>
      </c>
      <c r="J331" s="437">
        <v>801.67</v>
      </c>
      <c r="K331" s="437">
        <v>11.23</v>
      </c>
      <c r="L331" s="437">
        <v>20.73</v>
      </c>
      <c r="M331" s="437">
        <v>0.61</v>
      </c>
      <c r="N331" s="437">
        <v>4.34</v>
      </c>
      <c r="O331" s="437" t="s">
        <v>48</v>
      </c>
      <c r="P331" s="437">
        <v>3</v>
      </c>
      <c r="Q331" s="437">
        <v>10</v>
      </c>
      <c r="R331" s="437" t="s">
        <v>64</v>
      </c>
      <c r="S331" s="877" t="s">
        <v>449</v>
      </c>
      <c r="T331" s="437">
        <v>1</v>
      </c>
      <c r="U331" s="437" t="s">
        <v>554</v>
      </c>
      <c r="V331" s="437" t="s">
        <v>50</v>
      </c>
      <c r="W331" s="437" t="s">
        <v>350</v>
      </c>
      <c r="X331" s="437" t="s">
        <v>351</v>
      </c>
      <c r="Y331" s="440" t="s">
        <v>555</v>
      </c>
    </row>
    <row r="332" spans="1:25" s="51" customFormat="1" x14ac:dyDescent="0.25">
      <c r="A332" s="821">
        <v>44244</v>
      </c>
      <c r="B332" s="51" t="s">
        <v>87</v>
      </c>
      <c r="C332" s="51" t="s">
        <v>106</v>
      </c>
      <c r="D332" s="51">
        <v>38.473439999999997</v>
      </c>
      <c r="E332" s="51">
        <v>-121.58439</v>
      </c>
      <c r="F332" s="51" t="s">
        <v>556</v>
      </c>
      <c r="G332" s="51" t="s">
        <v>90</v>
      </c>
      <c r="H332" s="51" t="s">
        <v>108</v>
      </c>
      <c r="I332" s="66">
        <v>0.45277777777777778</v>
      </c>
      <c r="J332" s="51">
        <v>764.25</v>
      </c>
      <c r="K332" s="51">
        <v>11</v>
      </c>
      <c r="L332" s="51">
        <v>59.6</v>
      </c>
      <c r="M332" s="51">
        <v>0.39</v>
      </c>
      <c r="N332" s="51">
        <v>9.6</v>
      </c>
      <c r="O332" s="51" t="s">
        <v>48</v>
      </c>
      <c r="P332" s="51">
        <v>4</v>
      </c>
      <c r="Q332" s="51">
        <v>10</v>
      </c>
      <c r="R332" s="51" t="s">
        <v>49</v>
      </c>
      <c r="S332" s="51" t="s">
        <v>50</v>
      </c>
      <c r="T332" s="51" t="s">
        <v>50</v>
      </c>
      <c r="U332" s="51" t="s">
        <v>50</v>
      </c>
      <c r="V332" s="51" t="s">
        <v>50</v>
      </c>
      <c r="W332" s="51" t="s">
        <v>50</v>
      </c>
      <c r="X332" s="51" t="s">
        <v>50</v>
      </c>
      <c r="Y332" s="52" t="s">
        <v>557</v>
      </c>
    </row>
    <row r="333" spans="1:25" s="51" customFormat="1" x14ac:dyDescent="0.25">
      <c r="A333" s="821">
        <v>44244</v>
      </c>
      <c r="B333" s="51" t="s">
        <v>87</v>
      </c>
      <c r="C333" s="51" t="s">
        <v>106</v>
      </c>
      <c r="D333" s="51">
        <v>38.441330000000001</v>
      </c>
      <c r="E333" s="51">
        <v>-121.59783</v>
      </c>
      <c r="F333" s="51" t="s">
        <v>558</v>
      </c>
      <c r="G333" s="51" t="s">
        <v>90</v>
      </c>
      <c r="H333" s="51" t="s">
        <v>108</v>
      </c>
      <c r="I333" s="66">
        <v>0.52222222222222225</v>
      </c>
      <c r="J333" s="51">
        <v>643.75</v>
      </c>
      <c r="K333" s="51">
        <v>11.2</v>
      </c>
      <c r="L333" s="51">
        <v>180.75</v>
      </c>
      <c r="M333" s="51">
        <v>0.24</v>
      </c>
      <c r="N333" s="51">
        <v>5.0999999999999996</v>
      </c>
      <c r="O333" s="51" t="s">
        <v>48</v>
      </c>
      <c r="P333" s="51">
        <v>4</v>
      </c>
      <c r="Q333" s="51">
        <v>10</v>
      </c>
      <c r="R333" s="51" t="s">
        <v>49</v>
      </c>
      <c r="S333" s="51" t="s">
        <v>50</v>
      </c>
      <c r="T333" s="51" t="s">
        <v>50</v>
      </c>
      <c r="U333" s="51" t="s">
        <v>50</v>
      </c>
      <c r="V333" s="51" t="s">
        <v>50</v>
      </c>
      <c r="W333" s="51" t="s">
        <v>50</v>
      </c>
      <c r="X333" s="51" t="s">
        <v>50</v>
      </c>
      <c r="Y333" s="52" t="s">
        <v>559</v>
      </c>
    </row>
    <row r="334" spans="1:25" s="51" customFormat="1" x14ac:dyDescent="0.25">
      <c r="A334" s="821">
        <v>44244</v>
      </c>
      <c r="B334" s="51" t="s">
        <v>87</v>
      </c>
      <c r="C334" s="51" t="s">
        <v>106</v>
      </c>
      <c r="D334" s="51">
        <v>38.548250000000003</v>
      </c>
      <c r="E334" s="51">
        <v>-121.5814</v>
      </c>
      <c r="F334" s="51" t="s">
        <v>560</v>
      </c>
      <c r="G334" s="51" t="s">
        <v>90</v>
      </c>
      <c r="H334" s="51" t="s">
        <v>158</v>
      </c>
      <c r="I334" s="66">
        <v>0.36527777777777781</v>
      </c>
      <c r="J334" s="51">
        <v>1078.25</v>
      </c>
      <c r="K334" s="51">
        <v>11.1</v>
      </c>
      <c r="L334" s="51">
        <v>11.33</v>
      </c>
      <c r="M334" s="51">
        <v>0.73</v>
      </c>
      <c r="N334" s="51">
        <v>8.5299999999999994</v>
      </c>
      <c r="O334" s="51" t="s">
        <v>48</v>
      </c>
      <c r="P334" s="51">
        <v>4</v>
      </c>
      <c r="Q334" s="51">
        <v>10</v>
      </c>
      <c r="R334" s="51" t="s">
        <v>49</v>
      </c>
      <c r="S334" s="51" t="s">
        <v>50</v>
      </c>
      <c r="T334" s="51" t="s">
        <v>50</v>
      </c>
      <c r="U334" s="51" t="s">
        <v>50</v>
      </c>
      <c r="V334" s="51" t="s">
        <v>50</v>
      </c>
      <c r="W334" s="51" t="s">
        <v>50</v>
      </c>
      <c r="X334" s="51" t="s">
        <v>50</v>
      </c>
      <c r="Y334" s="52" t="s">
        <v>561</v>
      </c>
    </row>
    <row r="335" spans="1:25" s="437" customFormat="1" x14ac:dyDescent="0.25">
      <c r="A335" s="876">
        <v>44244</v>
      </c>
      <c r="B335" s="437" t="s">
        <v>87</v>
      </c>
      <c r="C335" s="437" t="s">
        <v>78</v>
      </c>
      <c r="D335" s="437">
        <v>38.05885</v>
      </c>
      <c r="E335" s="437">
        <v>-122.10722</v>
      </c>
      <c r="F335" s="437" t="s">
        <v>562</v>
      </c>
      <c r="G335" s="437" t="s">
        <v>80</v>
      </c>
      <c r="H335" s="437" t="s">
        <v>81</v>
      </c>
      <c r="I335" s="438">
        <v>0.50347222222222221</v>
      </c>
      <c r="J335" s="437">
        <v>11257</v>
      </c>
      <c r="K335" s="437">
        <v>11.67</v>
      </c>
      <c r="L335" s="437">
        <v>32.4</v>
      </c>
      <c r="M335" s="437">
        <v>0.54</v>
      </c>
      <c r="N335" s="437">
        <v>9.2799999999999994</v>
      </c>
      <c r="O335" s="437" t="s">
        <v>48</v>
      </c>
      <c r="P335" s="437">
        <v>4</v>
      </c>
      <c r="Q335" s="437">
        <v>10</v>
      </c>
      <c r="R335" s="437" t="s">
        <v>49</v>
      </c>
      <c r="S335" s="877" t="s">
        <v>449</v>
      </c>
      <c r="T335" s="437">
        <v>1</v>
      </c>
      <c r="U335" s="437" t="s">
        <v>563</v>
      </c>
      <c r="V335" s="437" t="s">
        <v>50</v>
      </c>
      <c r="W335" s="437" t="s">
        <v>350</v>
      </c>
      <c r="X335" s="437" t="s">
        <v>351</v>
      </c>
      <c r="Y335" s="440" t="s">
        <v>564</v>
      </c>
    </row>
    <row r="336" spans="1:25" s="51" customFormat="1" x14ac:dyDescent="0.25">
      <c r="A336" s="821">
        <v>44244</v>
      </c>
      <c r="B336" s="51" t="s">
        <v>87</v>
      </c>
      <c r="C336" s="51" t="s">
        <v>118</v>
      </c>
      <c r="D336" s="51">
        <v>38.061869999999999</v>
      </c>
      <c r="E336" s="51">
        <v>-122.21503</v>
      </c>
      <c r="F336" s="51" t="s">
        <v>565</v>
      </c>
      <c r="G336" s="51" t="s">
        <v>80</v>
      </c>
      <c r="H336" s="51" t="s">
        <v>120</v>
      </c>
      <c r="I336" s="66">
        <v>0.35972222222222222</v>
      </c>
      <c r="J336" s="51">
        <v>21941</v>
      </c>
      <c r="K336" s="51">
        <v>11.42</v>
      </c>
      <c r="L336" s="51">
        <v>12.62</v>
      </c>
      <c r="M336" s="51">
        <v>0.81</v>
      </c>
      <c r="N336" s="51">
        <v>23.6</v>
      </c>
      <c r="O336" s="51" t="s">
        <v>48</v>
      </c>
      <c r="P336" s="51">
        <v>4</v>
      </c>
      <c r="Q336" s="51">
        <v>10</v>
      </c>
      <c r="R336" s="51" t="s">
        <v>49</v>
      </c>
      <c r="S336" s="51" t="s">
        <v>50</v>
      </c>
      <c r="T336" s="51" t="s">
        <v>50</v>
      </c>
      <c r="U336" s="51" t="s">
        <v>50</v>
      </c>
      <c r="V336" s="51" t="s">
        <v>50</v>
      </c>
      <c r="W336" s="51" t="s">
        <v>50</v>
      </c>
      <c r="X336" s="51" t="s">
        <v>50</v>
      </c>
    </row>
    <row r="337" spans="1:25" s="51" customFormat="1" x14ac:dyDescent="0.25">
      <c r="A337" s="821">
        <v>44244</v>
      </c>
      <c r="B337" s="51" t="s">
        <v>87</v>
      </c>
      <c r="C337" s="51" t="s">
        <v>118</v>
      </c>
      <c r="D337" s="51">
        <v>38.057690000000001</v>
      </c>
      <c r="E337" s="51">
        <v>-122.20977000000001</v>
      </c>
      <c r="F337" s="51" t="s">
        <v>566</v>
      </c>
      <c r="G337" s="51" t="s">
        <v>80</v>
      </c>
      <c r="H337" s="51" t="s">
        <v>120</v>
      </c>
      <c r="I337" s="66">
        <v>0.41666666666666669</v>
      </c>
      <c r="J337" s="51">
        <v>23130</v>
      </c>
      <c r="K337" s="51">
        <v>11.68</v>
      </c>
      <c r="L337" s="51">
        <v>16.27</v>
      </c>
      <c r="M337" s="51">
        <v>0.8</v>
      </c>
      <c r="N337" s="51">
        <v>22.6</v>
      </c>
      <c r="O337" s="51" t="s">
        <v>48</v>
      </c>
      <c r="P337" s="51">
        <v>4</v>
      </c>
      <c r="Q337" s="51">
        <v>10</v>
      </c>
      <c r="R337" s="51" t="s">
        <v>49</v>
      </c>
      <c r="S337" s="51" t="s">
        <v>50</v>
      </c>
      <c r="T337" s="51" t="s">
        <v>50</v>
      </c>
      <c r="U337" s="51" t="s">
        <v>50</v>
      </c>
      <c r="V337" s="51" t="s">
        <v>50</v>
      </c>
      <c r="W337" s="51" t="s">
        <v>50</v>
      </c>
      <c r="X337" s="51" t="s">
        <v>50</v>
      </c>
      <c r="Y337" s="52" t="s">
        <v>279</v>
      </c>
    </row>
    <row r="338" spans="1:25" x14ac:dyDescent="0.25">
      <c r="A338" s="821">
        <v>44246</v>
      </c>
      <c r="B338" s="51" t="s">
        <v>125</v>
      </c>
      <c r="C338" s="51" t="s">
        <v>88</v>
      </c>
      <c r="D338" s="870">
        <v>38.106850000000001</v>
      </c>
      <c r="E338" s="870">
        <v>-121.70283999999999</v>
      </c>
      <c r="F338" s="51" t="s">
        <v>567</v>
      </c>
      <c r="G338" s="51" t="s">
        <v>90</v>
      </c>
      <c r="H338" s="51" t="s">
        <v>91</v>
      </c>
      <c r="I338" s="66">
        <v>0.46180555555555558</v>
      </c>
      <c r="J338" s="51">
        <v>271.2</v>
      </c>
      <c r="K338" s="51">
        <v>11.85</v>
      </c>
      <c r="L338" s="51">
        <v>8.6300000000000008</v>
      </c>
      <c r="M338" s="51">
        <v>1.75</v>
      </c>
      <c r="N338" s="51">
        <v>5.9</v>
      </c>
      <c r="O338" s="51" t="s">
        <v>48</v>
      </c>
      <c r="P338" s="51">
        <v>2</v>
      </c>
      <c r="Q338" s="51">
        <v>10</v>
      </c>
      <c r="R338" s="51" t="s">
        <v>49</v>
      </c>
      <c r="S338" s="51" t="s">
        <v>50</v>
      </c>
      <c r="T338" s="51" t="s">
        <v>50</v>
      </c>
      <c r="U338" s="51" t="s">
        <v>50</v>
      </c>
      <c r="V338" s="51" t="s">
        <v>50</v>
      </c>
      <c r="W338" s="51" t="s">
        <v>50</v>
      </c>
      <c r="X338" s="51" t="s">
        <v>50</v>
      </c>
      <c r="Y338" s="52" t="s">
        <v>568</v>
      </c>
    </row>
    <row r="339" spans="1:25" x14ac:dyDescent="0.25">
      <c r="A339" s="821">
        <v>44246</v>
      </c>
      <c r="B339" s="51" t="s">
        <v>125</v>
      </c>
      <c r="C339" s="51" t="s">
        <v>88</v>
      </c>
      <c r="D339" s="870">
        <v>38.116900000000001</v>
      </c>
      <c r="E339" s="870">
        <v>-121.6979</v>
      </c>
      <c r="F339" s="51" t="s">
        <v>569</v>
      </c>
      <c r="G339" s="51" t="s">
        <v>90</v>
      </c>
      <c r="H339" s="51" t="s">
        <v>91</v>
      </c>
      <c r="I339" s="66">
        <v>0.48819444444444443</v>
      </c>
      <c r="J339" s="51">
        <v>283.2</v>
      </c>
      <c r="K339" s="51">
        <v>11.85</v>
      </c>
      <c r="L339" s="51">
        <v>8.6199999999999992</v>
      </c>
      <c r="M339" s="51">
        <v>1.73</v>
      </c>
      <c r="N339" s="51">
        <v>4.7</v>
      </c>
      <c r="O339" s="51" t="s">
        <v>48</v>
      </c>
      <c r="P339" s="51">
        <v>2</v>
      </c>
      <c r="Q339" s="51">
        <v>10</v>
      </c>
      <c r="R339" s="51" t="s">
        <v>49</v>
      </c>
      <c r="S339" s="51" t="s">
        <v>50</v>
      </c>
      <c r="T339" s="51" t="s">
        <v>50</v>
      </c>
      <c r="U339" s="51" t="s">
        <v>50</v>
      </c>
      <c r="V339" s="51" t="s">
        <v>50</v>
      </c>
      <c r="W339" s="51" t="s">
        <v>50</v>
      </c>
      <c r="X339" s="51" t="s">
        <v>50</v>
      </c>
      <c r="Y339" s="52" t="s">
        <v>570</v>
      </c>
    </row>
    <row r="340" spans="1:25" x14ac:dyDescent="0.25">
      <c r="A340" s="821">
        <v>44246</v>
      </c>
      <c r="B340" s="51" t="s">
        <v>125</v>
      </c>
      <c r="C340" s="51" t="s">
        <v>88</v>
      </c>
      <c r="D340" s="870">
        <v>38.039099999999998</v>
      </c>
      <c r="E340" s="870">
        <v>-121.78516</v>
      </c>
      <c r="F340" s="51" t="s">
        <v>571</v>
      </c>
      <c r="G340" s="51" t="s">
        <v>27</v>
      </c>
      <c r="H340" s="51" t="s">
        <v>25</v>
      </c>
      <c r="I340" s="66">
        <v>0.34236111111111112</v>
      </c>
      <c r="J340" s="51">
        <v>559.75</v>
      </c>
      <c r="K340" s="51">
        <v>11.55</v>
      </c>
      <c r="L340" s="51">
        <v>20</v>
      </c>
      <c r="M340" s="51">
        <v>0.55000000000000004</v>
      </c>
      <c r="N340" s="51">
        <v>10.25</v>
      </c>
      <c r="O340" s="51" t="s">
        <v>48</v>
      </c>
      <c r="P340" s="51">
        <v>2</v>
      </c>
      <c r="Q340" s="51">
        <v>10</v>
      </c>
      <c r="R340" s="51" t="s">
        <v>64</v>
      </c>
      <c r="S340" s="51" t="s">
        <v>50</v>
      </c>
      <c r="T340" s="51" t="s">
        <v>50</v>
      </c>
      <c r="U340" s="51" t="s">
        <v>50</v>
      </c>
      <c r="V340" s="51" t="s">
        <v>50</v>
      </c>
      <c r="W340" s="51" t="s">
        <v>50</v>
      </c>
      <c r="X340" s="51" t="s">
        <v>50</v>
      </c>
    </row>
    <row r="341" spans="1:25" s="878" customFormat="1" x14ac:dyDescent="0.25">
      <c r="A341" s="876">
        <v>44246</v>
      </c>
      <c r="B341" s="437" t="s">
        <v>125</v>
      </c>
      <c r="C341" s="437" t="s">
        <v>88</v>
      </c>
      <c r="D341" s="897">
        <v>38.0824</v>
      </c>
      <c r="E341" s="897">
        <v>-121.75829</v>
      </c>
      <c r="F341" s="437" t="s">
        <v>572</v>
      </c>
      <c r="G341" s="437" t="s">
        <v>27</v>
      </c>
      <c r="H341" s="437" t="s">
        <v>25</v>
      </c>
      <c r="I341" s="438">
        <v>0.4284722222222222</v>
      </c>
      <c r="J341" s="437">
        <v>592</v>
      </c>
      <c r="K341" s="437">
        <v>11.65</v>
      </c>
      <c r="L341" s="437">
        <v>24.65</v>
      </c>
      <c r="M341" s="437">
        <v>0.45</v>
      </c>
      <c r="N341" s="437">
        <v>8.0500000000000007</v>
      </c>
      <c r="O341" s="437" t="s">
        <v>48</v>
      </c>
      <c r="P341" s="437">
        <v>2</v>
      </c>
      <c r="Q341" s="437">
        <v>10</v>
      </c>
      <c r="R341" s="437" t="s">
        <v>49</v>
      </c>
      <c r="S341" s="877" t="s">
        <v>348</v>
      </c>
      <c r="T341" s="437">
        <v>1</v>
      </c>
      <c r="U341" s="437" t="s">
        <v>573</v>
      </c>
      <c r="V341" s="437" t="s">
        <v>50</v>
      </c>
      <c r="W341" s="437" t="s">
        <v>574</v>
      </c>
      <c r="X341" s="437" t="s">
        <v>351</v>
      </c>
      <c r="Y341" s="440" t="s">
        <v>575</v>
      </c>
    </row>
    <row r="342" spans="1:25" s="878" customFormat="1" x14ac:dyDescent="0.25">
      <c r="A342" s="876">
        <v>44246</v>
      </c>
      <c r="B342" s="437" t="s">
        <v>125</v>
      </c>
      <c r="C342" s="437" t="s">
        <v>88</v>
      </c>
      <c r="D342" s="897">
        <v>38.0824</v>
      </c>
      <c r="E342" s="897">
        <v>-121.75829</v>
      </c>
      <c r="F342" s="437" t="s">
        <v>572</v>
      </c>
      <c r="G342" s="437" t="s">
        <v>27</v>
      </c>
      <c r="H342" s="437" t="s">
        <v>25</v>
      </c>
      <c r="I342" s="438">
        <v>0.4284722222222222</v>
      </c>
      <c r="J342" s="437">
        <v>592</v>
      </c>
      <c r="K342" s="437">
        <v>11.65</v>
      </c>
      <c r="L342" s="437">
        <v>24.65</v>
      </c>
      <c r="M342" s="437">
        <v>0.45</v>
      </c>
      <c r="N342" s="437">
        <v>8.0500000000000007</v>
      </c>
      <c r="O342" s="437" t="s">
        <v>48</v>
      </c>
      <c r="P342" s="437">
        <v>2</v>
      </c>
      <c r="Q342" s="437">
        <v>10</v>
      </c>
      <c r="R342" s="437" t="s">
        <v>49</v>
      </c>
      <c r="S342" s="877" t="s">
        <v>449</v>
      </c>
      <c r="T342" s="437">
        <v>1</v>
      </c>
      <c r="U342" s="437" t="s">
        <v>576</v>
      </c>
      <c r="V342" s="437" t="s">
        <v>50</v>
      </c>
      <c r="W342" s="437" t="s">
        <v>350</v>
      </c>
      <c r="X342" s="437" t="s">
        <v>351</v>
      </c>
      <c r="Y342" s="440" t="s">
        <v>564</v>
      </c>
    </row>
    <row r="343" spans="1:25" x14ac:dyDescent="0.25">
      <c r="A343" s="821">
        <v>44246</v>
      </c>
      <c r="B343" s="51" t="s">
        <v>125</v>
      </c>
      <c r="C343" s="51" t="s">
        <v>88</v>
      </c>
      <c r="D343" s="870">
        <v>38.063609999999997</v>
      </c>
      <c r="E343" s="870">
        <v>-121.79498</v>
      </c>
      <c r="F343" s="51" t="s">
        <v>577</v>
      </c>
      <c r="G343" s="51" t="s">
        <v>27</v>
      </c>
      <c r="H343" s="51" t="s">
        <v>25</v>
      </c>
      <c r="I343" s="66">
        <v>0.39930555555555558</v>
      </c>
      <c r="J343" s="51">
        <v>1128.5</v>
      </c>
      <c r="K343" s="51">
        <v>11.5</v>
      </c>
      <c r="L343" s="51">
        <v>27.35</v>
      </c>
      <c r="M343" s="51">
        <v>0.41</v>
      </c>
      <c r="N343" s="51">
        <v>8.4499999999999993</v>
      </c>
      <c r="O343" s="51" t="s">
        <v>48</v>
      </c>
      <c r="P343" s="51">
        <v>2</v>
      </c>
      <c r="Q343" s="51">
        <v>10</v>
      </c>
      <c r="R343" s="51" t="s">
        <v>49</v>
      </c>
      <c r="S343" s="51" t="s">
        <v>50</v>
      </c>
      <c r="T343" s="51" t="s">
        <v>50</v>
      </c>
      <c r="U343" s="51" t="s">
        <v>50</v>
      </c>
      <c r="V343" s="51" t="s">
        <v>50</v>
      </c>
      <c r="W343" s="51" t="s">
        <v>50</v>
      </c>
      <c r="X343" s="51" t="s">
        <v>50</v>
      </c>
    </row>
    <row r="344" spans="1:25" s="878" customFormat="1" x14ac:dyDescent="0.25">
      <c r="A344" s="876">
        <v>44246</v>
      </c>
      <c r="B344" s="437" t="s">
        <v>125</v>
      </c>
      <c r="C344" s="437" t="s">
        <v>88</v>
      </c>
      <c r="D344" s="897">
        <v>38.05612</v>
      </c>
      <c r="E344" s="897">
        <v>-121.80762</v>
      </c>
      <c r="F344" s="437" t="s">
        <v>578</v>
      </c>
      <c r="G344" s="437" t="s">
        <v>27</v>
      </c>
      <c r="H344" s="437" t="s">
        <v>25</v>
      </c>
      <c r="I344" s="438">
        <v>0.37083333333333335</v>
      </c>
      <c r="J344" s="437">
        <v>1841</v>
      </c>
      <c r="K344" s="437">
        <v>11.4</v>
      </c>
      <c r="L344" s="437">
        <v>23.4</v>
      </c>
      <c r="M344" s="437">
        <v>0.47</v>
      </c>
      <c r="N344" s="437">
        <v>9.6</v>
      </c>
      <c r="O344" s="437" t="s">
        <v>48</v>
      </c>
      <c r="P344" s="437">
        <v>2</v>
      </c>
      <c r="Q344" s="437">
        <v>10</v>
      </c>
      <c r="R344" s="437" t="s">
        <v>64</v>
      </c>
      <c r="S344" s="877" t="s">
        <v>449</v>
      </c>
      <c r="T344" s="437">
        <v>2</v>
      </c>
      <c r="U344" s="437" t="s">
        <v>579</v>
      </c>
      <c r="V344" s="437" t="s">
        <v>50</v>
      </c>
      <c r="W344" s="437" t="s">
        <v>574</v>
      </c>
      <c r="X344" s="437" t="s">
        <v>351</v>
      </c>
      <c r="Y344" s="440" t="s">
        <v>580</v>
      </c>
    </row>
    <row r="345" spans="1:25" s="878" customFormat="1" x14ac:dyDescent="0.25">
      <c r="A345" s="876">
        <v>44246</v>
      </c>
      <c r="B345" s="437" t="s">
        <v>125</v>
      </c>
      <c r="C345" s="437" t="s">
        <v>95</v>
      </c>
      <c r="D345" s="897">
        <v>38.076120000000003</v>
      </c>
      <c r="E345" s="897">
        <v>-121.57079</v>
      </c>
      <c r="F345" s="437" t="s">
        <v>581</v>
      </c>
      <c r="G345" s="437" t="s">
        <v>46</v>
      </c>
      <c r="H345" s="437" t="s">
        <v>582</v>
      </c>
      <c r="I345" s="438">
        <v>0.47569444444444442</v>
      </c>
      <c r="J345" s="437">
        <v>366.55</v>
      </c>
      <c r="K345" s="437">
        <v>11.7</v>
      </c>
      <c r="L345" s="437">
        <v>22.8</v>
      </c>
      <c r="M345" s="437">
        <v>1.35</v>
      </c>
      <c r="N345" s="437">
        <v>9.35</v>
      </c>
      <c r="O345" s="437" t="s">
        <v>48</v>
      </c>
      <c r="P345" s="437">
        <v>2</v>
      </c>
      <c r="Q345" s="437">
        <v>10</v>
      </c>
      <c r="R345" s="437" t="s">
        <v>64</v>
      </c>
      <c r="S345" s="877" t="s">
        <v>449</v>
      </c>
      <c r="T345" s="437">
        <v>1</v>
      </c>
      <c r="U345" s="437" t="s">
        <v>583</v>
      </c>
      <c r="V345" s="437" t="s">
        <v>50</v>
      </c>
      <c r="W345" s="437" t="s">
        <v>350</v>
      </c>
      <c r="X345" s="437" t="s">
        <v>351</v>
      </c>
      <c r="Y345" s="440" t="s">
        <v>564</v>
      </c>
    </row>
    <row r="346" spans="1:25" x14ac:dyDescent="0.25">
      <c r="A346" s="821">
        <v>44246</v>
      </c>
      <c r="B346" s="51" t="s">
        <v>125</v>
      </c>
      <c r="C346" s="51" t="s">
        <v>44</v>
      </c>
      <c r="D346" s="870">
        <v>38.062359999999998</v>
      </c>
      <c r="E346" s="870">
        <v>-121.60063</v>
      </c>
      <c r="F346" s="51" t="s">
        <v>584</v>
      </c>
      <c r="G346" s="51" t="s">
        <v>46</v>
      </c>
      <c r="H346" s="51" t="s">
        <v>47</v>
      </c>
      <c r="I346" s="66">
        <v>0.44722222222222219</v>
      </c>
      <c r="J346" s="51">
        <v>475</v>
      </c>
      <c r="K346" s="51">
        <v>11.5</v>
      </c>
      <c r="L346" s="51">
        <v>23.6</v>
      </c>
      <c r="M346" s="51">
        <v>1.33</v>
      </c>
      <c r="N346" s="51">
        <v>9.3000000000000007</v>
      </c>
      <c r="O346" s="51" t="s">
        <v>48</v>
      </c>
      <c r="P346" s="51">
        <v>2</v>
      </c>
      <c r="Q346" s="51">
        <v>10</v>
      </c>
      <c r="R346" s="51" t="s">
        <v>64</v>
      </c>
      <c r="S346" s="51" t="s">
        <v>50</v>
      </c>
      <c r="T346" s="51" t="s">
        <v>50</v>
      </c>
      <c r="U346" s="51" t="s">
        <v>50</v>
      </c>
      <c r="V346" s="51" t="s">
        <v>50</v>
      </c>
      <c r="W346" s="51" t="s">
        <v>50</v>
      </c>
      <c r="X346" s="51" t="s">
        <v>50</v>
      </c>
    </row>
    <row r="347" spans="1:25" x14ac:dyDescent="0.25">
      <c r="A347" s="821">
        <v>44246</v>
      </c>
      <c r="B347" s="51" t="s">
        <v>125</v>
      </c>
      <c r="C347" s="51" t="s">
        <v>44</v>
      </c>
      <c r="D347" s="870">
        <v>38.024720000000002</v>
      </c>
      <c r="E347" s="870">
        <v>-121.50830000000001</v>
      </c>
      <c r="F347" s="51" t="s">
        <v>585</v>
      </c>
      <c r="G347" s="51" t="s">
        <v>46</v>
      </c>
      <c r="H347" s="51" t="s">
        <v>59</v>
      </c>
      <c r="I347" s="66">
        <v>0.32708333333333334</v>
      </c>
      <c r="J347" s="51">
        <v>450.5</v>
      </c>
      <c r="K347" s="51">
        <v>11.55</v>
      </c>
      <c r="L347" s="51">
        <v>17.8</v>
      </c>
      <c r="M347" s="51">
        <v>1.79</v>
      </c>
      <c r="N347" s="51">
        <v>6.25</v>
      </c>
      <c r="O347" s="51" t="s">
        <v>48</v>
      </c>
      <c r="P347" s="51">
        <v>2</v>
      </c>
      <c r="Q347" s="51">
        <v>8</v>
      </c>
      <c r="R347" s="51" t="s">
        <v>64</v>
      </c>
      <c r="S347" s="51" t="s">
        <v>50</v>
      </c>
      <c r="T347" s="51" t="s">
        <v>50</v>
      </c>
      <c r="U347" s="51" t="s">
        <v>50</v>
      </c>
      <c r="V347" s="51" t="s">
        <v>50</v>
      </c>
      <c r="W347" s="51" t="s">
        <v>50</v>
      </c>
      <c r="X347" s="51" t="s">
        <v>50</v>
      </c>
      <c r="Y347" s="52" t="s">
        <v>586</v>
      </c>
    </row>
    <row r="348" spans="1:25" s="878" customFormat="1" x14ac:dyDescent="0.25">
      <c r="A348" s="876">
        <v>44246</v>
      </c>
      <c r="B348" s="437" t="s">
        <v>125</v>
      </c>
      <c r="C348" s="437" t="s">
        <v>44</v>
      </c>
      <c r="D348" s="897">
        <v>383.01011999999997</v>
      </c>
      <c r="E348" s="897">
        <v>-121.51752</v>
      </c>
      <c r="F348" s="437" t="s">
        <v>587</v>
      </c>
      <c r="G348" s="437" t="s">
        <v>46</v>
      </c>
      <c r="H348" s="437" t="s">
        <v>59</v>
      </c>
      <c r="I348" s="438">
        <v>0.35416666666666669</v>
      </c>
      <c r="J348" s="437">
        <v>439.15</v>
      </c>
      <c r="K348" s="437">
        <v>11.7</v>
      </c>
      <c r="L348" s="437">
        <v>19.600000000000001</v>
      </c>
      <c r="M348" s="437">
        <v>1.55</v>
      </c>
      <c r="N348" s="437">
        <v>7.4</v>
      </c>
      <c r="O348" s="437" t="s">
        <v>48</v>
      </c>
      <c r="P348" s="437">
        <v>2</v>
      </c>
      <c r="Q348" s="437">
        <v>10</v>
      </c>
      <c r="R348" s="437" t="s">
        <v>64</v>
      </c>
      <c r="S348" s="877" t="s">
        <v>449</v>
      </c>
      <c r="T348" s="437">
        <v>1</v>
      </c>
      <c r="U348" s="437">
        <v>238</v>
      </c>
      <c r="V348" s="437" t="s">
        <v>50</v>
      </c>
      <c r="W348" s="437">
        <v>5</v>
      </c>
      <c r="X348" s="437" t="s">
        <v>351</v>
      </c>
      <c r="Y348" s="440" t="s">
        <v>564</v>
      </c>
    </row>
    <row r="349" spans="1:25" x14ac:dyDescent="0.25">
      <c r="A349" s="821">
        <v>44246</v>
      </c>
      <c r="B349" s="51" t="s">
        <v>125</v>
      </c>
      <c r="C349" s="51" t="s">
        <v>44</v>
      </c>
      <c r="D349" s="870">
        <v>37.913089999999997</v>
      </c>
      <c r="E349" s="870">
        <v>-121.55717</v>
      </c>
      <c r="F349" s="51" t="s">
        <v>588</v>
      </c>
      <c r="G349" s="51" t="s">
        <v>46</v>
      </c>
      <c r="H349" s="51" t="s">
        <v>199</v>
      </c>
      <c r="I349" s="66">
        <v>0.3972222222222222</v>
      </c>
      <c r="J349" s="51">
        <v>588</v>
      </c>
      <c r="K349" s="51">
        <v>11.7</v>
      </c>
      <c r="L349" s="51">
        <v>20.8</v>
      </c>
      <c r="M349" s="51">
        <v>1.45</v>
      </c>
      <c r="N349" s="51">
        <v>2.25</v>
      </c>
      <c r="O349" s="51" t="s">
        <v>48</v>
      </c>
      <c r="P349" s="51">
        <v>2</v>
      </c>
      <c r="Q349" s="51">
        <v>10</v>
      </c>
      <c r="R349" s="51" t="s">
        <v>64</v>
      </c>
      <c r="S349" s="51" t="s">
        <v>50</v>
      </c>
      <c r="T349" s="51" t="s">
        <v>50</v>
      </c>
      <c r="U349" s="51" t="s">
        <v>50</v>
      </c>
      <c r="V349" s="51" t="s">
        <v>50</v>
      </c>
      <c r="W349" s="51" t="s">
        <v>50</v>
      </c>
      <c r="X349" s="51" t="s">
        <v>50</v>
      </c>
    </row>
    <row r="350" spans="1:25" x14ac:dyDescent="0.25">
      <c r="A350" s="821">
        <v>44246</v>
      </c>
      <c r="B350" s="51" t="s">
        <v>125</v>
      </c>
      <c r="C350" s="51" t="s">
        <v>78</v>
      </c>
      <c r="D350" s="870">
        <v>38.052140000000001</v>
      </c>
      <c r="E350" s="870">
        <v>-122.11528</v>
      </c>
      <c r="F350" s="51" t="s">
        <v>589</v>
      </c>
      <c r="G350" s="51" t="s">
        <v>80</v>
      </c>
      <c r="H350" s="51" t="s">
        <v>81</v>
      </c>
      <c r="I350" s="66">
        <v>0.36180555555555555</v>
      </c>
      <c r="J350" s="51">
        <v>20231.5</v>
      </c>
      <c r="K350" s="51">
        <v>11.65</v>
      </c>
      <c r="L350" s="51">
        <v>10.8</v>
      </c>
      <c r="M350" s="51">
        <v>0.84</v>
      </c>
      <c r="N350" s="51">
        <v>12.6</v>
      </c>
      <c r="O350" s="51" t="s">
        <v>48</v>
      </c>
      <c r="P350" s="51">
        <v>2</v>
      </c>
      <c r="Q350" s="51">
        <v>10</v>
      </c>
      <c r="R350" s="51" t="s">
        <v>64</v>
      </c>
      <c r="S350" s="51" t="s">
        <v>50</v>
      </c>
      <c r="T350" s="51" t="s">
        <v>50</v>
      </c>
      <c r="U350" s="51" t="s">
        <v>50</v>
      </c>
      <c r="V350" s="51" t="s">
        <v>50</v>
      </c>
      <c r="W350" s="51" t="s">
        <v>50</v>
      </c>
      <c r="X350" s="51" t="s">
        <v>50</v>
      </c>
    </row>
    <row r="351" spans="1:25" s="905" customFormat="1" x14ac:dyDescent="0.25">
      <c r="A351" s="900">
        <v>44246</v>
      </c>
      <c r="B351" s="901" t="s">
        <v>125</v>
      </c>
      <c r="C351" s="901" t="s">
        <v>78</v>
      </c>
      <c r="D351" s="902">
        <v>38.059440000000002</v>
      </c>
      <c r="E351" s="902">
        <v>-121.96299</v>
      </c>
      <c r="F351" s="901" t="s">
        <v>590</v>
      </c>
      <c r="G351" s="901" t="s">
        <v>27</v>
      </c>
      <c r="H351" s="901" t="s">
        <v>170</v>
      </c>
      <c r="I351" s="903">
        <v>0.32916666666666666</v>
      </c>
      <c r="J351" s="901" t="s">
        <v>50</v>
      </c>
      <c r="K351" s="901" t="s">
        <v>50</v>
      </c>
      <c r="L351" s="901" t="s">
        <v>50</v>
      </c>
      <c r="M351" s="901" t="s">
        <v>50</v>
      </c>
      <c r="N351" s="901" t="s">
        <v>50</v>
      </c>
      <c r="O351" s="901" t="s">
        <v>48</v>
      </c>
      <c r="P351" s="901">
        <v>0</v>
      </c>
      <c r="Q351" s="901" t="s">
        <v>50</v>
      </c>
      <c r="R351" s="901" t="s">
        <v>50</v>
      </c>
      <c r="S351" s="901" t="s">
        <v>50</v>
      </c>
      <c r="T351" s="901" t="s">
        <v>50</v>
      </c>
      <c r="U351" s="901" t="s">
        <v>50</v>
      </c>
      <c r="V351" s="901" t="s">
        <v>50</v>
      </c>
      <c r="W351" s="901" t="s">
        <v>50</v>
      </c>
      <c r="X351" s="901" t="s">
        <v>50</v>
      </c>
      <c r="Y351" s="904" t="s">
        <v>591</v>
      </c>
    </row>
    <row r="352" spans="1:25" s="905" customFormat="1" x14ac:dyDescent="0.25">
      <c r="A352" s="900">
        <v>44246</v>
      </c>
      <c r="B352" s="901" t="s">
        <v>125</v>
      </c>
      <c r="C352" s="901" t="s">
        <v>78</v>
      </c>
      <c r="D352" s="902">
        <v>38.065950000000001</v>
      </c>
      <c r="E352" s="902">
        <v>-121.98452</v>
      </c>
      <c r="F352" s="901" t="s">
        <v>592</v>
      </c>
      <c r="G352" s="901" t="s">
        <v>27</v>
      </c>
      <c r="H352" s="901" t="s">
        <v>86</v>
      </c>
      <c r="I352" s="903">
        <v>0.33680555555555558</v>
      </c>
      <c r="J352" s="901" t="s">
        <v>50</v>
      </c>
      <c r="K352" s="901" t="s">
        <v>50</v>
      </c>
      <c r="L352" s="901" t="s">
        <v>50</v>
      </c>
      <c r="M352" s="901" t="s">
        <v>50</v>
      </c>
      <c r="N352" s="901" t="s">
        <v>50</v>
      </c>
      <c r="O352" s="901" t="s">
        <v>48</v>
      </c>
      <c r="P352" s="901">
        <v>0</v>
      </c>
      <c r="Q352" s="901" t="s">
        <v>50</v>
      </c>
      <c r="R352" s="901" t="s">
        <v>50</v>
      </c>
      <c r="S352" s="901" t="s">
        <v>50</v>
      </c>
      <c r="T352" s="901" t="s">
        <v>50</v>
      </c>
      <c r="U352" s="901" t="s">
        <v>50</v>
      </c>
      <c r="V352" s="901" t="s">
        <v>50</v>
      </c>
      <c r="W352" s="901" t="s">
        <v>50</v>
      </c>
      <c r="X352" s="901" t="s">
        <v>50</v>
      </c>
      <c r="Y352" s="904" t="s">
        <v>72</v>
      </c>
    </row>
    <row r="353" spans="1:25" s="905" customFormat="1" x14ac:dyDescent="0.25">
      <c r="A353" s="900">
        <v>44246</v>
      </c>
      <c r="B353" s="901" t="s">
        <v>125</v>
      </c>
      <c r="C353" s="901" t="s">
        <v>78</v>
      </c>
      <c r="D353" s="902">
        <v>38.05865</v>
      </c>
      <c r="E353" s="902">
        <v>-122.01864</v>
      </c>
      <c r="F353" s="901" t="s">
        <v>593</v>
      </c>
      <c r="G353" s="901" t="s">
        <v>27</v>
      </c>
      <c r="H353" s="901" t="s">
        <v>86</v>
      </c>
      <c r="I353" s="903">
        <v>0.32291666666666669</v>
      </c>
      <c r="J353" s="901" t="s">
        <v>50</v>
      </c>
      <c r="K353" s="901" t="s">
        <v>50</v>
      </c>
      <c r="L353" s="901" t="s">
        <v>50</v>
      </c>
      <c r="M353" s="901" t="s">
        <v>50</v>
      </c>
      <c r="N353" s="901" t="s">
        <v>50</v>
      </c>
      <c r="O353" s="901" t="s">
        <v>48</v>
      </c>
      <c r="P353" s="901">
        <v>0</v>
      </c>
      <c r="Q353" s="901" t="s">
        <v>50</v>
      </c>
      <c r="R353" s="901" t="s">
        <v>50</v>
      </c>
      <c r="S353" s="901" t="s">
        <v>50</v>
      </c>
      <c r="T353" s="901" t="s">
        <v>50</v>
      </c>
      <c r="U353" s="901" t="s">
        <v>50</v>
      </c>
      <c r="V353" s="901" t="s">
        <v>50</v>
      </c>
      <c r="W353" s="901" t="s">
        <v>50</v>
      </c>
      <c r="X353" s="901" t="s">
        <v>50</v>
      </c>
      <c r="Y353" s="904" t="s">
        <v>594</v>
      </c>
    </row>
    <row r="354" spans="1:25" s="905" customFormat="1" x14ac:dyDescent="0.25">
      <c r="A354" s="900">
        <v>44246</v>
      </c>
      <c r="B354" s="901" t="s">
        <v>125</v>
      </c>
      <c r="C354" s="901" t="s">
        <v>78</v>
      </c>
      <c r="D354" s="902">
        <v>38.072040000000001</v>
      </c>
      <c r="E354" s="902">
        <v>-122.01369</v>
      </c>
      <c r="F354" s="901" t="s">
        <v>595</v>
      </c>
      <c r="G354" s="901" t="s">
        <v>27</v>
      </c>
      <c r="H354" s="901" t="s">
        <v>86</v>
      </c>
      <c r="I354" s="903">
        <v>0.34166666666666662</v>
      </c>
      <c r="J354" s="901" t="s">
        <v>50</v>
      </c>
      <c r="K354" s="901" t="s">
        <v>50</v>
      </c>
      <c r="L354" s="901" t="s">
        <v>50</v>
      </c>
      <c r="M354" s="901" t="s">
        <v>50</v>
      </c>
      <c r="N354" s="901" t="s">
        <v>50</v>
      </c>
      <c r="O354" s="901" t="s">
        <v>48</v>
      </c>
      <c r="P354" s="901">
        <v>0</v>
      </c>
      <c r="Q354" s="901" t="s">
        <v>50</v>
      </c>
      <c r="R354" s="901" t="s">
        <v>50</v>
      </c>
      <c r="S354" s="901" t="s">
        <v>50</v>
      </c>
      <c r="T354" s="901" t="s">
        <v>50</v>
      </c>
      <c r="U354" s="901" t="s">
        <v>50</v>
      </c>
      <c r="V354" s="901" t="s">
        <v>50</v>
      </c>
      <c r="W354" s="901" t="s">
        <v>50</v>
      </c>
      <c r="X354" s="901" t="s">
        <v>50</v>
      </c>
      <c r="Y354" s="904" t="s">
        <v>72</v>
      </c>
    </row>
    <row r="355" spans="1:25" x14ac:dyDescent="0.25">
      <c r="A355" s="821">
        <v>44246</v>
      </c>
      <c r="B355" s="51" t="s">
        <v>125</v>
      </c>
      <c r="C355" s="51" t="s">
        <v>78</v>
      </c>
      <c r="D355" s="870">
        <v>38.094430000000003</v>
      </c>
      <c r="E355" s="870">
        <v>-122.02081</v>
      </c>
      <c r="F355" s="51" t="s">
        <v>596</v>
      </c>
      <c r="G355" s="51" t="s">
        <v>27</v>
      </c>
      <c r="H355" s="51" t="s">
        <v>86</v>
      </c>
      <c r="I355" s="66">
        <v>0.4069444444444445</v>
      </c>
      <c r="J355" s="51">
        <v>10021</v>
      </c>
      <c r="K355" s="51">
        <v>11.5</v>
      </c>
      <c r="L355" s="51">
        <v>17.55</v>
      </c>
      <c r="M355" s="51">
        <v>0.72</v>
      </c>
      <c r="N355" s="51">
        <v>10.55</v>
      </c>
      <c r="O355" s="51" t="s">
        <v>48</v>
      </c>
      <c r="P355" s="51">
        <v>2</v>
      </c>
      <c r="Q355" s="51">
        <v>10</v>
      </c>
      <c r="R355" s="51" t="s">
        <v>49</v>
      </c>
      <c r="S355" s="51" t="s">
        <v>50</v>
      </c>
      <c r="T355" s="51" t="s">
        <v>50</v>
      </c>
      <c r="U355" s="51" t="s">
        <v>50</v>
      </c>
      <c r="V355" s="51" t="s">
        <v>50</v>
      </c>
      <c r="W355" s="51" t="s">
        <v>50</v>
      </c>
      <c r="X355" s="51" t="s">
        <v>50</v>
      </c>
    </row>
    <row r="356" spans="1:25" s="911" customFormat="1" x14ac:dyDescent="0.25">
      <c r="A356" s="906">
        <v>44246</v>
      </c>
      <c r="B356" s="907" t="s">
        <v>125</v>
      </c>
      <c r="C356" s="907" t="s">
        <v>62</v>
      </c>
      <c r="D356" s="908">
        <v>38.132289999999998</v>
      </c>
      <c r="E356" s="908">
        <v>-122.05859</v>
      </c>
      <c r="F356" s="907" t="s">
        <v>597</v>
      </c>
      <c r="G356" s="907" t="s">
        <v>27</v>
      </c>
      <c r="H356" s="907" t="s">
        <v>62</v>
      </c>
      <c r="I356" s="909">
        <v>0.44097222222222227</v>
      </c>
      <c r="J356" s="907">
        <v>7286</v>
      </c>
      <c r="K356" s="907">
        <v>11.8</v>
      </c>
      <c r="L356" s="907">
        <v>25.8</v>
      </c>
      <c r="M356" s="907">
        <v>0.56000000000000005</v>
      </c>
      <c r="N356" s="907">
        <v>3.6</v>
      </c>
      <c r="O356" s="907" t="s">
        <v>48</v>
      </c>
      <c r="P356" s="907">
        <v>1</v>
      </c>
      <c r="Q356" s="907">
        <v>10</v>
      </c>
      <c r="R356" s="907" t="s">
        <v>49</v>
      </c>
      <c r="S356" s="907" t="s">
        <v>50</v>
      </c>
      <c r="T356" s="907" t="s">
        <v>50</v>
      </c>
      <c r="U356" s="907" t="s">
        <v>50</v>
      </c>
      <c r="V356" s="907" t="s">
        <v>50</v>
      </c>
      <c r="W356" s="907" t="s">
        <v>50</v>
      </c>
      <c r="X356" s="907" t="s">
        <v>50</v>
      </c>
      <c r="Y356" s="910" t="s">
        <v>598</v>
      </c>
    </row>
    <row r="357" spans="1:25" s="857" customFormat="1" x14ac:dyDescent="0.25">
      <c r="A357" s="446">
        <v>44249</v>
      </c>
      <c r="B357" s="424" t="s">
        <v>43</v>
      </c>
      <c r="C357" s="424" t="s">
        <v>162</v>
      </c>
      <c r="D357" s="871">
        <v>38.335650000000001</v>
      </c>
      <c r="E357" s="871">
        <v>-121.65976000000001</v>
      </c>
      <c r="F357" s="424" t="s">
        <v>599</v>
      </c>
      <c r="G357" s="424" t="s">
        <v>90</v>
      </c>
      <c r="H357" s="424" t="s">
        <v>126</v>
      </c>
      <c r="I357" s="425">
        <v>0.34722222222222227</v>
      </c>
      <c r="J357" s="424" t="s">
        <v>50</v>
      </c>
      <c r="K357" s="424" t="s">
        <v>50</v>
      </c>
      <c r="L357" s="424" t="s">
        <v>50</v>
      </c>
      <c r="M357" s="424" t="s">
        <v>50</v>
      </c>
      <c r="N357" s="424" t="s">
        <v>50</v>
      </c>
      <c r="O357" s="424" t="s">
        <v>48</v>
      </c>
      <c r="P357" s="424">
        <v>0</v>
      </c>
      <c r="Q357" s="424" t="s">
        <v>50</v>
      </c>
      <c r="R357" s="424" t="s">
        <v>50</v>
      </c>
      <c r="S357" s="424" t="s">
        <v>50</v>
      </c>
      <c r="T357" s="424" t="s">
        <v>50</v>
      </c>
      <c r="U357" s="424" t="s">
        <v>50</v>
      </c>
      <c r="V357" s="424" t="s">
        <v>50</v>
      </c>
      <c r="W357" s="424" t="s">
        <v>50</v>
      </c>
      <c r="X357" s="424" t="s">
        <v>50</v>
      </c>
      <c r="Y357" s="426" t="s">
        <v>600</v>
      </c>
    </row>
    <row r="358" spans="1:25" x14ac:dyDescent="0.25">
      <c r="A358" s="821">
        <v>44249</v>
      </c>
      <c r="B358" s="51" t="s">
        <v>43</v>
      </c>
      <c r="C358" s="51" t="s">
        <v>162</v>
      </c>
      <c r="D358" s="870">
        <v>38.234160000000003</v>
      </c>
      <c r="E358" s="870">
        <v>-121.67909</v>
      </c>
      <c r="F358" s="51" t="s">
        <v>601</v>
      </c>
      <c r="G358" s="51" t="s">
        <v>90</v>
      </c>
      <c r="H358" s="51" t="s">
        <v>126</v>
      </c>
      <c r="I358" s="66">
        <v>0.47361111111111115</v>
      </c>
      <c r="J358" s="51">
        <v>231.65</v>
      </c>
      <c r="K358" s="51">
        <v>11.85</v>
      </c>
      <c r="L358" s="51">
        <v>8.3000000000000007</v>
      </c>
      <c r="M358" s="51">
        <v>1.18</v>
      </c>
      <c r="N358" s="51">
        <v>13</v>
      </c>
      <c r="O358" s="51" t="s">
        <v>48</v>
      </c>
      <c r="P358" s="51">
        <v>4</v>
      </c>
      <c r="Q358" s="51">
        <v>10</v>
      </c>
      <c r="R358" s="51" t="s">
        <v>64</v>
      </c>
      <c r="S358" s="51" t="s">
        <v>50</v>
      </c>
      <c r="T358" s="51" t="s">
        <v>50</v>
      </c>
      <c r="U358" s="51" t="s">
        <v>50</v>
      </c>
      <c r="V358" s="51" t="s">
        <v>50</v>
      </c>
      <c r="W358" s="51" t="s">
        <v>50</v>
      </c>
      <c r="X358" s="51" t="s">
        <v>50</v>
      </c>
    </row>
    <row r="359" spans="1:25" s="857" customFormat="1" x14ac:dyDescent="0.25">
      <c r="A359" s="446">
        <v>44249</v>
      </c>
      <c r="B359" s="424" t="s">
        <v>43</v>
      </c>
      <c r="C359" s="424" t="s">
        <v>162</v>
      </c>
      <c r="D359" s="871">
        <v>38.285710000000002</v>
      </c>
      <c r="E359" s="871">
        <v>-121.72073</v>
      </c>
      <c r="F359" s="424" t="s">
        <v>602</v>
      </c>
      <c r="G359" s="424" t="s">
        <v>90</v>
      </c>
      <c r="H359" s="424" t="s">
        <v>126</v>
      </c>
      <c r="I359" s="425">
        <v>0.3611111111111111</v>
      </c>
      <c r="J359" s="424" t="s">
        <v>50</v>
      </c>
      <c r="K359" s="424" t="s">
        <v>50</v>
      </c>
      <c r="L359" s="424" t="s">
        <v>50</v>
      </c>
      <c r="M359" s="424" t="s">
        <v>50</v>
      </c>
      <c r="N359" s="424" t="s">
        <v>50</v>
      </c>
      <c r="O359" s="424" t="s">
        <v>48</v>
      </c>
      <c r="P359" s="424">
        <v>0</v>
      </c>
      <c r="Q359" s="424" t="s">
        <v>50</v>
      </c>
      <c r="R359" s="424" t="s">
        <v>50</v>
      </c>
      <c r="S359" s="424" t="s">
        <v>50</v>
      </c>
      <c r="T359" s="424" t="s">
        <v>50</v>
      </c>
      <c r="U359" s="424" t="s">
        <v>50</v>
      </c>
      <c r="V359" s="424" t="s">
        <v>50</v>
      </c>
      <c r="W359" s="424" t="s">
        <v>50</v>
      </c>
      <c r="X359" s="424" t="s">
        <v>50</v>
      </c>
      <c r="Y359" s="426" t="s">
        <v>61</v>
      </c>
    </row>
    <row r="360" spans="1:25" s="878" customFormat="1" x14ac:dyDescent="0.25">
      <c r="A360" s="876">
        <v>44249</v>
      </c>
      <c r="B360" s="437" t="s">
        <v>43</v>
      </c>
      <c r="C360" s="437" t="s">
        <v>162</v>
      </c>
      <c r="D360" s="897">
        <v>38.256970000000003</v>
      </c>
      <c r="E360" s="897">
        <v>-121.73241</v>
      </c>
      <c r="F360" s="437" t="s">
        <v>603</v>
      </c>
      <c r="G360" s="437" t="s">
        <v>90</v>
      </c>
      <c r="H360" s="437" t="s">
        <v>126</v>
      </c>
      <c r="I360" s="438">
        <v>0.4236111111111111</v>
      </c>
      <c r="J360" s="437">
        <v>276.75</v>
      </c>
      <c r="K360" s="437">
        <v>11.7</v>
      </c>
      <c r="L360" s="437">
        <v>6.6</v>
      </c>
      <c r="M360" s="437">
        <v>1.24</v>
      </c>
      <c r="N360" s="437">
        <v>5.95</v>
      </c>
      <c r="O360" s="437" t="s">
        <v>48</v>
      </c>
      <c r="P360" s="437">
        <v>4</v>
      </c>
      <c r="Q360" s="437">
        <v>10</v>
      </c>
      <c r="R360" s="437" t="s">
        <v>64</v>
      </c>
      <c r="S360" s="877" t="s">
        <v>449</v>
      </c>
      <c r="T360" s="437">
        <v>1</v>
      </c>
      <c r="U360" s="437" t="s">
        <v>604</v>
      </c>
      <c r="V360" s="437" t="s">
        <v>50</v>
      </c>
      <c r="W360" s="437" t="s">
        <v>605</v>
      </c>
      <c r="X360" s="437" t="s">
        <v>351</v>
      </c>
      <c r="Y360" s="440"/>
    </row>
    <row r="361" spans="1:25" x14ac:dyDescent="0.25">
      <c r="A361" s="821">
        <v>44249</v>
      </c>
      <c r="B361" s="51" t="s">
        <v>43</v>
      </c>
      <c r="C361" s="51" t="s">
        <v>162</v>
      </c>
      <c r="D361" s="870">
        <v>38.272379999999998</v>
      </c>
      <c r="E361" s="870">
        <v>-121.69461</v>
      </c>
      <c r="F361" s="51" t="s">
        <v>606</v>
      </c>
      <c r="G361" s="51" t="s">
        <v>90</v>
      </c>
      <c r="H361" s="51" t="s">
        <v>126</v>
      </c>
      <c r="I361" s="66">
        <v>0.36944444444444446</v>
      </c>
      <c r="J361" s="51">
        <v>285.68</v>
      </c>
      <c r="K361" s="51">
        <v>11.92</v>
      </c>
      <c r="L361" s="51">
        <v>6.48</v>
      </c>
      <c r="M361" s="51">
        <v>1.26</v>
      </c>
      <c r="N361" s="51">
        <v>4.67</v>
      </c>
      <c r="O361" s="51" t="s">
        <v>48</v>
      </c>
      <c r="P361" s="51">
        <v>4</v>
      </c>
      <c r="Q361" s="51">
        <v>10</v>
      </c>
      <c r="R361" s="51" t="s">
        <v>64</v>
      </c>
      <c r="S361" s="51" t="s">
        <v>50</v>
      </c>
      <c r="T361" s="51" t="s">
        <v>50</v>
      </c>
      <c r="U361" s="51" t="s">
        <v>50</v>
      </c>
      <c r="V361" s="51" t="s">
        <v>50</v>
      </c>
      <c r="W361" s="51" t="s">
        <v>50</v>
      </c>
      <c r="X361" s="51" t="s">
        <v>50</v>
      </c>
    </row>
    <row r="362" spans="1:25" x14ac:dyDescent="0.25">
      <c r="A362" s="821">
        <v>44249</v>
      </c>
      <c r="B362" s="51" t="s">
        <v>43</v>
      </c>
      <c r="C362" s="51" t="s">
        <v>95</v>
      </c>
      <c r="D362" s="870">
        <v>38.034109999999998</v>
      </c>
      <c r="E362" s="870">
        <v>-121.72123999999999</v>
      </c>
      <c r="F362" s="51" t="s">
        <v>607</v>
      </c>
      <c r="G362" s="51" t="s">
        <v>27</v>
      </c>
      <c r="H362" s="51" t="s">
        <v>95</v>
      </c>
      <c r="I362" s="66">
        <v>0.39999999999999997</v>
      </c>
      <c r="J362" s="51">
        <v>721.5</v>
      </c>
      <c r="K362" s="51">
        <v>11.85</v>
      </c>
      <c r="L362" s="51">
        <v>84.65</v>
      </c>
      <c r="M362" s="51">
        <v>0.78</v>
      </c>
      <c r="N362" s="51">
        <v>14.43</v>
      </c>
      <c r="O362" s="51" t="s">
        <v>48</v>
      </c>
      <c r="P362" s="51">
        <v>4</v>
      </c>
      <c r="Q362" s="51">
        <v>10</v>
      </c>
      <c r="R362" s="51" t="s">
        <v>64</v>
      </c>
      <c r="S362" s="51" t="s">
        <v>50</v>
      </c>
      <c r="T362" s="51" t="s">
        <v>50</v>
      </c>
      <c r="U362" s="51" t="s">
        <v>50</v>
      </c>
      <c r="V362" s="51" t="s">
        <v>50</v>
      </c>
      <c r="W362" s="51" t="s">
        <v>50</v>
      </c>
      <c r="X362" s="51" t="s">
        <v>50</v>
      </c>
    </row>
    <row r="363" spans="1:25" x14ac:dyDescent="0.25">
      <c r="A363" s="821">
        <v>44249</v>
      </c>
      <c r="B363" s="51" t="s">
        <v>43</v>
      </c>
      <c r="C363" s="51" t="s">
        <v>95</v>
      </c>
      <c r="D363" s="870">
        <v>38.02496</v>
      </c>
      <c r="E363" s="870">
        <v>-121.78914</v>
      </c>
      <c r="F363" s="51" t="s">
        <v>608</v>
      </c>
      <c r="G363" s="51" t="s">
        <v>27</v>
      </c>
      <c r="H363" s="51" t="s">
        <v>95</v>
      </c>
      <c r="I363" s="66">
        <v>0.3444444444444445</v>
      </c>
      <c r="J363" s="51">
        <v>841</v>
      </c>
      <c r="K363" s="51">
        <v>11.62</v>
      </c>
      <c r="L363" s="51">
        <v>23.15</v>
      </c>
      <c r="M363" s="51">
        <v>0.73</v>
      </c>
      <c r="N363" s="51">
        <v>11.36</v>
      </c>
      <c r="O363" s="51" t="s">
        <v>48</v>
      </c>
      <c r="P363" s="51">
        <v>5</v>
      </c>
      <c r="Q363" s="51">
        <v>10</v>
      </c>
      <c r="R363" s="51" t="s">
        <v>64</v>
      </c>
      <c r="S363" s="51" t="s">
        <v>50</v>
      </c>
      <c r="T363" s="51" t="s">
        <v>50</v>
      </c>
      <c r="U363" s="51" t="s">
        <v>50</v>
      </c>
      <c r="V363" s="51" t="s">
        <v>50</v>
      </c>
      <c r="W363" s="51" t="s">
        <v>50</v>
      </c>
      <c r="X363" s="51" t="s">
        <v>50</v>
      </c>
      <c r="Y363" s="52" t="s">
        <v>609</v>
      </c>
    </row>
    <row r="364" spans="1:25" s="51" customFormat="1" x14ac:dyDescent="0.25">
      <c r="A364" s="821">
        <v>44249</v>
      </c>
      <c r="B364" s="51" t="s">
        <v>43</v>
      </c>
      <c r="C364" s="51" t="s">
        <v>95</v>
      </c>
      <c r="D364" s="51">
        <v>38.040590000000002</v>
      </c>
      <c r="E364" s="51">
        <v>-121.69908</v>
      </c>
      <c r="F364" s="51" t="s">
        <v>610</v>
      </c>
      <c r="G364" s="51" t="s">
        <v>27</v>
      </c>
      <c r="H364" s="51" t="s">
        <v>95</v>
      </c>
      <c r="I364" s="66">
        <v>0.45347222222222222</v>
      </c>
      <c r="J364" s="51">
        <v>711</v>
      </c>
      <c r="K364" s="51">
        <v>11.9</v>
      </c>
      <c r="L364" s="51">
        <v>26.47</v>
      </c>
      <c r="M364" s="51">
        <v>0.73</v>
      </c>
      <c r="N364" s="51">
        <v>9.8800000000000008</v>
      </c>
      <c r="O364" s="51" t="s">
        <v>48</v>
      </c>
      <c r="P364" s="51">
        <v>4</v>
      </c>
      <c r="Q364" s="51">
        <v>10</v>
      </c>
      <c r="R364" s="51" t="s">
        <v>64</v>
      </c>
      <c r="S364" s="51" t="s">
        <v>50</v>
      </c>
      <c r="T364" s="51" t="s">
        <v>50</v>
      </c>
      <c r="U364" s="51" t="s">
        <v>50</v>
      </c>
      <c r="V364" s="51" t="s">
        <v>50</v>
      </c>
      <c r="W364" s="51" t="s">
        <v>50</v>
      </c>
      <c r="X364" s="51" t="s">
        <v>50</v>
      </c>
    </row>
    <row r="365" spans="1:25" s="51" customFormat="1" x14ac:dyDescent="0.25">
      <c r="A365" s="821">
        <v>44249</v>
      </c>
      <c r="B365" s="51" t="s">
        <v>43</v>
      </c>
      <c r="C365" s="51" t="s">
        <v>118</v>
      </c>
      <c r="D365" s="870">
        <v>38.030250000000002</v>
      </c>
      <c r="E365" s="870">
        <v>-122.16030000000001</v>
      </c>
      <c r="F365" s="51" t="s">
        <v>611</v>
      </c>
      <c r="G365" s="51" t="s">
        <v>80</v>
      </c>
      <c r="H365" s="51" t="s">
        <v>120</v>
      </c>
      <c r="I365" s="66">
        <v>0.51458333333333328</v>
      </c>
      <c r="J365" s="51">
        <v>25229</v>
      </c>
      <c r="K365" s="51">
        <v>12.55</v>
      </c>
      <c r="L365" s="51">
        <v>9.81</v>
      </c>
      <c r="M365" s="51">
        <v>0.8</v>
      </c>
      <c r="N365" s="51">
        <v>18.350000000000001</v>
      </c>
      <c r="O365" s="51" t="s">
        <v>48</v>
      </c>
      <c r="P365" s="51">
        <v>4</v>
      </c>
      <c r="Q365" s="51">
        <v>10</v>
      </c>
      <c r="R365" s="51" t="s">
        <v>49</v>
      </c>
      <c r="S365" s="51" t="s">
        <v>50</v>
      </c>
      <c r="T365" s="51" t="s">
        <v>50</v>
      </c>
      <c r="U365" s="51" t="s">
        <v>50</v>
      </c>
      <c r="V365" s="51" t="s">
        <v>50</v>
      </c>
      <c r="W365" s="51" t="s">
        <v>50</v>
      </c>
      <c r="X365" s="51" t="s">
        <v>50</v>
      </c>
    </row>
    <row r="366" spans="1:25" s="856" customFormat="1" x14ac:dyDescent="0.25">
      <c r="A366" s="855">
        <v>44249</v>
      </c>
      <c r="B366" s="450" t="s">
        <v>43</v>
      </c>
      <c r="C366" s="450" t="s">
        <v>118</v>
      </c>
      <c r="D366" s="881">
        <v>38.05697</v>
      </c>
      <c r="E366" s="881">
        <v>-122.27029</v>
      </c>
      <c r="F366" s="450" t="s">
        <v>612</v>
      </c>
      <c r="G366" s="450" t="s">
        <v>80</v>
      </c>
      <c r="H366" s="450" t="s">
        <v>123</v>
      </c>
      <c r="I366" s="451">
        <v>0.45208333333333334</v>
      </c>
      <c r="J366" s="450">
        <v>30075.75</v>
      </c>
      <c r="K366" s="450">
        <v>11.97</v>
      </c>
      <c r="L366" s="450">
        <v>7.22</v>
      </c>
      <c r="M366" s="450">
        <v>0.97</v>
      </c>
      <c r="N366" s="450">
        <v>16.43</v>
      </c>
      <c r="O366" s="450" t="s">
        <v>48</v>
      </c>
      <c r="P366" s="450">
        <v>4</v>
      </c>
      <c r="Q366" s="450">
        <v>10</v>
      </c>
      <c r="R366" s="450" t="s">
        <v>49</v>
      </c>
      <c r="S366" s="858" t="s">
        <v>31</v>
      </c>
      <c r="T366" s="450">
        <v>1</v>
      </c>
      <c r="U366" s="450" t="s">
        <v>613</v>
      </c>
      <c r="V366" s="450" t="s">
        <v>66</v>
      </c>
      <c r="W366" s="450" t="s">
        <v>50</v>
      </c>
      <c r="X366" s="450" t="s">
        <v>228</v>
      </c>
      <c r="Y366" s="453"/>
    </row>
    <row r="367" spans="1:25" x14ac:dyDescent="0.25">
      <c r="A367" s="821">
        <v>44249</v>
      </c>
      <c r="B367" s="51" t="s">
        <v>43</v>
      </c>
      <c r="C367" s="51" t="s">
        <v>118</v>
      </c>
      <c r="D367" s="870">
        <v>38.180759999999999</v>
      </c>
      <c r="E367" s="870">
        <v>-122.30456</v>
      </c>
      <c r="F367" s="51" t="s">
        <v>614</v>
      </c>
      <c r="G367" s="51" t="s">
        <v>80</v>
      </c>
      <c r="H367" s="51" t="s">
        <v>191</v>
      </c>
      <c r="I367" s="66">
        <v>0.38263888888888892</v>
      </c>
      <c r="J367" s="51">
        <v>23765</v>
      </c>
      <c r="K367" s="51">
        <v>12.2</v>
      </c>
      <c r="L367" s="51">
        <v>8.92</v>
      </c>
      <c r="M367" s="51">
        <v>1.04</v>
      </c>
      <c r="N367" s="51">
        <v>6.6</v>
      </c>
      <c r="O367" s="51" t="s">
        <v>48</v>
      </c>
      <c r="P367" s="51">
        <v>4</v>
      </c>
      <c r="Q367" s="51">
        <v>10</v>
      </c>
      <c r="R367" s="51" t="s">
        <v>64</v>
      </c>
      <c r="S367" s="51" t="s">
        <v>50</v>
      </c>
      <c r="T367" s="51" t="s">
        <v>50</v>
      </c>
      <c r="U367" s="51" t="s">
        <v>50</v>
      </c>
      <c r="V367" s="51" t="s">
        <v>50</v>
      </c>
      <c r="W367" s="51" t="s">
        <v>50</v>
      </c>
      <c r="X367" s="51" t="s">
        <v>50</v>
      </c>
    </row>
    <row r="368" spans="1:25" x14ac:dyDescent="0.25">
      <c r="A368" s="821">
        <v>44250</v>
      </c>
      <c r="B368" s="51" t="s">
        <v>70</v>
      </c>
      <c r="C368" s="51" t="s">
        <v>95</v>
      </c>
      <c r="D368" s="870">
        <v>38.095750000000002</v>
      </c>
      <c r="E368" s="870">
        <v>-121.57693999999999</v>
      </c>
      <c r="F368" s="51" t="s">
        <v>615</v>
      </c>
      <c r="G368" s="51" t="s">
        <v>46</v>
      </c>
      <c r="H368" s="51" t="s">
        <v>582</v>
      </c>
      <c r="I368" s="66">
        <v>0.44305555555555554</v>
      </c>
      <c r="J368" s="51">
        <v>368.93</v>
      </c>
      <c r="K368" s="51">
        <v>12.15</v>
      </c>
      <c r="L368" s="51">
        <v>19.7</v>
      </c>
      <c r="M368" s="51">
        <v>1.2</v>
      </c>
      <c r="N368" s="51">
        <v>12.43</v>
      </c>
      <c r="O368" s="51" t="s">
        <v>48</v>
      </c>
      <c r="P368" s="51">
        <v>4</v>
      </c>
      <c r="Q368" s="51">
        <v>10</v>
      </c>
      <c r="R368" s="51" t="s">
        <v>64</v>
      </c>
      <c r="S368" s="51" t="s">
        <v>50</v>
      </c>
      <c r="T368" s="51" t="s">
        <v>50</v>
      </c>
      <c r="U368" s="51" t="s">
        <v>50</v>
      </c>
      <c r="V368" s="51" t="s">
        <v>50</v>
      </c>
      <c r="W368" s="51" t="s">
        <v>50</v>
      </c>
      <c r="X368" s="51" t="s">
        <v>50</v>
      </c>
      <c r="Y368" s="52" t="s">
        <v>616</v>
      </c>
    </row>
    <row r="369" spans="1:25" x14ac:dyDescent="0.25">
      <c r="A369" s="821">
        <v>44250</v>
      </c>
      <c r="B369" s="51" t="s">
        <v>70</v>
      </c>
      <c r="C369" s="51" t="s">
        <v>95</v>
      </c>
      <c r="D369" s="870">
        <v>38.060540000000003</v>
      </c>
      <c r="E369" s="870">
        <v>-121.67901999999999</v>
      </c>
      <c r="F369" s="51" t="s">
        <v>617</v>
      </c>
      <c r="G369" s="51" t="s">
        <v>46</v>
      </c>
      <c r="H369" s="51" t="s">
        <v>97</v>
      </c>
      <c r="I369" s="66">
        <v>0.33333333333333331</v>
      </c>
      <c r="J369" s="51">
        <v>498.5</v>
      </c>
      <c r="K369" s="51">
        <v>12.03</v>
      </c>
      <c r="L369" s="51">
        <v>16.95</v>
      </c>
      <c r="M369" s="51">
        <v>1.27</v>
      </c>
      <c r="N369" s="51">
        <v>13.02</v>
      </c>
      <c r="O369" s="51" t="s">
        <v>48</v>
      </c>
      <c r="P369" s="51">
        <v>4</v>
      </c>
      <c r="Q369" s="51">
        <v>10</v>
      </c>
      <c r="R369" s="51" t="s">
        <v>64</v>
      </c>
      <c r="S369" s="51" t="s">
        <v>50</v>
      </c>
      <c r="T369" s="51" t="s">
        <v>50</v>
      </c>
      <c r="U369" s="51" t="s">
        <v>50</v>
      </c>
      <c r="V369" s="51" t="s">
        <v>50</v>
      </c>
      <c r="W369" s="51" t="s">
        <v>50</v>
      </c>
      <c r="X369" s="51" t="s">
        <v>50</v>
      </c>
    </row>
    <row r="370" spans="1:25" x14ac:dyDescent="0.25">
      <c r="A370" s="821">
        <v>44250</v>
      </c>
      <c r="B370" s="51" t="s">
        <v>70</v>
      </c>
      <c r="C370" s="51" t="s">
        <v>95</v>
      </c>
      <c r="D370" s="870">
        <v>38.104550000000003</v>
      </c>
      <c r="E370" s="870">
        <v>-121.60603</v>
      </c>
      <c r="F370" s="51" t="s">
        <v>618</v>
      </c>
      <c r="G370" s="51" t="s">
        <v>46</v>
      </c>
      <c r="H370" s="51" t="s">
        <v>97</v>
      </c>
      <c r="I370" s="66">
        <v>0.3923611111111111</v>
      </c>
      <c r="J370" s="51">
        <v>376.9</v>
      </c>
      <c r="K370" s="51">
        <v>12.05</v>
      </c>
      <c r="L370" s="51">
        <v>20.12</v>
      </c>
      <c r="M370" s="51">
        <v>1.44</v>
      </c>
      <c r="N370" s="51">
        <v>11.75</v>
      </c>
      <c r="O370" s="51" t="s">
        <v>48</v>
      </c>
      <c r="P370" s="51">
        <v>4</v>
      </c>
      <c r="Q370" s="51">
        <v>10</v>
      </c>
      <c r="R370" s="51" t="s">
        <v>64</v>
      </c>
      <c r="S370" s="51" t="s">
        <v>50</v>
      </c>
      <c r="T370" s="51" t="s">
        <v>50</v>
      </c>
      <c r="U370" s="51" t="s">
        <v>50</v>
      </c>
      <c r="V370" s="51" t="s">
        <v>50</v>
      </c>
      <c r="W370" s="51" t="s">
        <v>50</v>
      </c>
      <c r="X370" s="51" t="s">
        <v>50</v>
      </c>
    </row>
    <row r="371" spans="1:25" s="878" customFormat="1" x14ac:dyDescent="0.25">
      <c r="A371" s="876">
        <v>44250</v>
      </c>
      <c r="B371" s="437" t="s">
        <v>70</v>
      </c>
      <c r="C371" s="437" t="s">
        <v>106</v>
      </c>
      <c r="D371" s="897">
        <v>38.371079999999999</v>
      </c>
      <c r="E371" s="897">
        <v>-121.63155999999999</v>
      </c>
      <c r="F371" s="437" t="s">
        <v>619</v>
      </c>
      <c r="G371" s="437" t="s">
        <v>90</v>
      </c>
      <c r="H371" s="437" t="s">
        <v>108</v>
      </c>
      <c r="I371" s="438">
        <v>0.41944444444444445</v>
      </c>
      <c r="J371" s="437">
        <v>422.38</v>
      </c>
      <c r="K371" s="437">
        <v>11.53</v>
      </c>
      <c r="L371" s="437">
        <v>154</v>
      </c>
      <c r="M371" s="437">
        <v>0.16</v>
      </c>
      <c r="N371" s="437">
        <v>9.3800000000000008</v>
      </c>
      <c r="O371" s="437" t="s">
        <v>48</v>
      </c>
      <c r="P371" s="437">
        <v>4</v>
      </c>
      <c r="Q371" s="437">
        <v>10</v>
      </c>
      <c r="R371" s="437" t="s">
        <v>64</v>
      </c>
      <c r="S371" s="877" t="s">
        <v>449</v>
      </c>
      <c r="T371" s="437">
        <v>3</v>
      </c>
      <c r="U371" s="437" t="s">
        <v>620</v>
      </c>
      <c r="V371" s="437" t="s">
        <v>50</v>
      </c>
      <c r="W371" s="437" t="s">
        <v>574</v>
      </c>
      <c r="X371" s="437" t="s">
        <v>351</v>
      </c>
      <c r="Y371" s="440" t="s">
        <v>621</v>
      </c>
    </row>
    <row r="372" spans="1:25" s="878" customFormat="1" x14ac:dyDescent="0.25">
      <c r="A372" s="876">
        <v>44250</v>
      </c>
      <c r="B372" s="437" t="s">
        <v>70</v>
      </c>
      <c r="C372" s="437" t="s">
        <v>106</v>
      </c>
      <c r="D372" s="897">
        <v>38.371079999999999</v>
      </c>
      <c r="E372" s="897">
        <v>-121.63155999999999</v>
      </c>
      <c r="F372" s="437" t="s">
        <v>619</v>
      </c>
      <c r="G372" s="437" t="s">
        <v>90</v>
      </c>
      <c r="H372" s="437" t="s">
        <v>108</v>
      </c>
      <c r="I372" s="438">
        <v>0.41944444444444445</v>
      </c>
      <c r="J372" s="437">
        <v>422.38</v>
      </c>
      <c r="K372" s="437">
        <v>11.53</v>
      </c>
      <c r="L372" s="437">
        <v>154</v>
      </c>
      <c r="M372" s="437">
        <v>0.16</v>
      </c>
      <c r="N372" s="437">
        <v>9.3800000000000008</v>
      </c>
      <c r="O372" s="437" t="s">
        <v>48</v>
      </c>
      <c r="P372" s="437">
        <v>4</v>
      </c>
      <c r="Q372" s="437">
        <v>10</v>
      </c>
      <c r="R372" s="437" t="s">
        <v>64</v>
      </c>
      <c r="S372" s="877" t="s">
        <v>622</v>
      </c>
      <c r="T372" s="437">
        <v>1</v>
      </c>
      <c r="U372" s="437" t="s">
        <v>554</v>
      </c>
      <c r="V372" s="437" t="s">
        <v>50</v>
      </c>
      <c r="W372" s="437" t="s">
        <v>574</v>
      </c>
      <c r="X372" s="437" t="s">
        <v>228</v>
      </c>
      <c r="Y372" s="440" t="s">
        <v>623</v>
      </c>
    </row>
    <row r="373" spans="1:25" s="878" customFormat="1" x14ac:dyDescent="0.25">
      <c r="A373" s="876">
        <v>44250</v>
      </c>
      <c r="B373" s="437" t="s">
        <v>70</v>
      </c>
      <c r="C373" s="437" t="s">
        <v>106</v>
      </c>
      <c r="D373" s="897">
        <v>38.371079999999999</v>
      </c>
      <c r="E373" s="897">
        <v>-121.63155999999999</v>
      </c>
      <c r="F373" s="437" t="s">
        <v>619</v>
      </c>
      <c r="G373" s="437" t="s">
        <v>90</v>
      </c>
      <c r="H373" s="437" t="s">
        <v>108</v>
      </c>
      <c r="I373" s="438">
        <v>0.41944444444444445</v>
      </c>
      <c r="J373" s="437">
        <v>422.38</v>
      </c>
      <c r="K373" s="437">
        <v>11.53</v>
      </c>
      <c r="L373" s="437">
        <v>154</v>
      </c>
      <c r="M373" s="437">
        <v>0.16</v>
      </c>
      <c r="N373" s="437">
        <v>9.3800000000000008</v>
      </c>
      <c r="O373" s="437" t="s">
        <v>48</v>
      </c>
      <c r="P373" s="437">
        <v>4</v>
      </c>
      <c r="Q373" s="437">
        <v>10</v>
      </c>
      <c r="R373" s="437" t="s">
        <v>64</v>
      </c>
      <c r="S373" s="877" t="s">
        <v>449</v>
      </c>
      <c r="T373" s="437">
        <v>1</v>
      </c>
      <c r="U373" s="437" t="s">
        <v>624</v>
      </c>
      <c r="V373" s="437" t="s">
        <v>50</v>
      </c>
      <c r="W373" s="437" t="s">
        <v>350</v>
      </c>
      <c r="X373" s="437" t="s">
        <v>351</v>
      </c>
      <c r="Y373" s="440" t="s">
        <v>625</v>
      </c>
    </row>
    <row r="374" spans="1:25" x14ac:dyDescent="0.25">
      <c r="A374" s="821">
        <v>44250</v>
      </c>
      <c r="B374" s="51" t="s">
        <v>70</v>
      </c>
      <c r="C374" s="51" t="s">
        <v>106</v>
      </c>
      <c r="D374" s="870">
        <v>38.26332</v>
      </c>
      <c r="E374" s="870">
        <v>-121.66451000000001</v>
      </c>
      <c r="F374" s="51" t="s">
        <v>626</v>
      </c>
      <c r="G374" s="51" t="s">
        <v>90</v>
      </c>
      <c r="H374" s="51" t="s">
        <v>108</v>
      </c>
      <c r="I374" s="66">
        <v>0.50486111111111109</v>
      </c>
      <c r="J374" s="51">
        <v>243.13</v>
      </c>
      <c r="K374" s="51">
        <v>12.17</v>
      </c>
      <c r="L374" s="51">
        <v>16.2</v>
      </c>
      <c r="M374" s="51">
        <v>0.87</v>
      </c>
      <c r="N374" s="51">
        <v>8.8000000000000007</v>
      </c>
      <c r="O374" s="51" t="s">
        <v>48</v>
      </c>
      <c r="P374" s="51">
        <v>3</v>
      </c>
      <c r="Q374" s="51">
        <v>10</v>
      </c>
      <c r="R374" s="51" t="s">
        <v>64</v>
      </c>
      <c r="S374" s="51" t="s">
        <v>50</v>
      </c>
      <c r="T374" s="51" t="s">
        <v>50</v>
      </c>
      <c r="U374" s="51" t="s">
        <v>50</v>
      </c>
      <c r="V374" s="51" t="s">
        <v>50</v>
      </c>
      <c r="W374" s="51" t="s">
        <v>50</v>
      </c>
      <c r="X374" s="51" t="s">
        <v>50</v>
      </c>
      <c r="Y374" s="52" t="s">
        <v>627</v>
      </c>
    </row>
    <row r="375" spans="1:25" s="878" customFormat="1" x14ac:dyDescent="0.25">
      <c r="A375" s="876">
        <v>44250</v>
      </c>
      <c r="B375" s="437" t="s">
        <v>70</v>
      </c>
      <c r="C375" s="437" t="s">
        <v>106</v>
      </c>
      <c r="D375" s="897">
        <v>38.456310000000002</v>
      </c>
      <c r="E375" s="897">
        <v>-121.59139999999999</v>
      </c>
      <c r="F375" s="437" t="s">
        <v>628</v>
      </c>
      <c r="G375" s="437" t="s">
        <v>90</v>
      </c>
      <c r="H375" s="437" t="s">
        <v>108</v>
      </c>
      <c r="I375" s="438">
        <v>0.34861111111111115</v>
      </c>
      <c r="J375" s="437">
        <v>707</v>
      </c>
      <c r="K375" s="437">
        <v>11.28</v>
      </c>
      <c r="L375" s="437">
        <v>136</v>
      </c>
      <c r="M375" s="437">
        <v>0.17</v>
      </c>
      <c r="N375" s="437">
        <v>8.57</v>
      </c>
      <c r="O375" s="437" t="s">
        <v>48</v>
      </c>
      <c r="P375" s="437">
        <v>4</v>
      </c>
      <c r="Q375" s="437">
        <v>10</v>
      </c>
      <c r="R375" s="437" t="s">
        <v>49</v>
      </c>
      <c r="S375" s="877" t="s">
        <v>449</v>
      </c>
      <c r="T375" s="437">
        <v>1</v>
      </c>
      <c r="U375" s="437" t="s">
        <v>629</v>
      </c>
      <c r="V375" s="437" t="s">
        <v>50</v>
      </c>
      <c r="W375" s="437" t="s">
        <v>605</v>
      </c>
      <c r="X375" s="437" t="s">
        <v>351</v>
      </c>
      <c r="Y375" s="440" t="s">
        <v>630</v>
      </c>
    </row>
    <row r="376" spans="1:25" s="878" customFormat="1" x14ac:dyDescent="0.25">
      <c r="A376" s="876">
        <v>44250</v>
      </c>
      <c r="B376" s="437" t="s">
        <v>70</v>
      </c>
      <c r="C376" s="437" t="s">
        <v>106</v>
      </c>
      <c r="D376" s="897">
        <v>38.456310000000002</v>
      </c>
      <c r="E376" s="897">
        <v>-121.59139999999999</v>
      </c>
      <c r="F376" s="437" t="s">
        <v>628</v>
      </c>
      <c r="G376" s="437" t="s">
        <v>90</v>
      </c>
      <c r="H376" s="437" t="s">
        <v>108</v>
      </c>
      <c r="I376" s="438">
        <v>0.34861111111111115</v>
      </c>
      <c r="J376" s="437">
        <v>707</v>
      </c>
      <c r="K376" s="437">
        <v>11.28</v>
      </c>
      <c r="L376" s="437">
        <v>136</v>
      </c>
      <c r="M376" s="437">
        <v>0.17</v>
      </c>
      <c r="N376" s="437">
        <v>8.57</v>
      </c>
      <c r="O376" s="437" t="s">
        <v>48</v>
      </c>
      <c r="P376" s="437">
        <v>4</v>
      </c>
      <c r="Q376" s="437">
        <v>10</v>
      </c>
      <c r="R376" s="437" t="s">
        <v>49</v>
      </c>
      <c r="S376" s="877" t="s">
        <v>449</v>
      </c>
      <c r="T376" s="437">
        <v>1</v>
      </c>
      <c r="U376" s="437" t="s">
        <v>583</v>
      </c>
      <c r="V376" s="437" t="s">
        <v>50</v>
      </c>
      <c r="W376" s="437" t="s">
        <v>574</v>
      </c>
      <c r="X376" s="437" t="s">
        <v>351</v>
      </c>
      <c r="Y376" s="440"/>
    </row>
    <row r="377" spans="1:25" x14ac:dyDescent="0.25">
      <c r="A377" s="821">
        <v>44250</v>
      </c>
      <c r="B377" s="51" t="s">
        <v>70</v>
      </c>
      <c r="C377" s="51" t="s">
        <v>62</v>
      </c>
      <c r="D377" s="870">
        <v>38.167099999999998</v>
      </c>
      <c r="E377" s="870">
        <v>-121.93351</v>
      </c>
      <c r="F377" s="51" t="s">
        <v>631</v>
      </c>
      <c r="G377" s="51" t="s">
        <v>27</v>
      </c>
      <c r="H377" s="51" t="s">
        <v>62</v>
      </c>
      <c r="I377" s="66">
        <v>0.48472222222222222</v>
      </c>
      <c r="J377" s="51">
        <v>1804.5</v>
      </c>
      <c r="K377" s="51">
        <v>12.4</v>
      </c>
      <c r="L377" s="51">
        <v>33.75</v>
      </c>
      <c r="M377" s="51">
        <v>0.37</v>
      </c>
      <c r="N377" s="51">
        <v>7.85</v>
      </c>
      <c r="O377" s="51" t="s">
        <v>48</v>
      </c>
      <c r="P377" s="51">
        <v>2</v>
      </c>
      <c r="Q377" s="51">
        <v>10</v>
      </c>
      <c r="R377" s="51" t="s">
        <v>49</v>
      </c>
      <c r="S377" s="51" t="s">
        <v>50</v>
      </c>
      <c r="T377" s="51" t="s">
        <v>50</v>
      </c>
      <c r="U377" s="51" t="s">
        <v>50</v>
      </c>
      <c r="V377" s="51" t="s">
        <v>50</v>
      </c>
      <c r="W377" s="51" t="s">
        <v>50</v>
      </c>
      <c r="X377" s="51" t="s">
        <v>50</v>
      </c>
      <c r="Y377" s="52" t="s">
        <v>632</v>
      </c>
    </row>
    <row r="378" spans="1:25" x14ac:dyDescent="0.25">
      <c r="A378" s="821">
        <v>44250</v>
      </c>
      <c r="B378" s="51" t="s">
        <v>70</v>
      </c>
      <c r="C378" s="51" t="s">
        <v>62</v>
      </c>
      <c r="D378" s="870">
        <v>38.141210000000001</v>
      </c>
      <c r="E378" s="870">
        <v>-122.06116</v>
      </c>
      <c r="F378" s="51" t="s">
        <v>633</v>
      </c>
      <c r="G378" s="51" t="s">
        <v>27</v>
      </c>
      <c r="H378" s="51" t="s">
        <v>62</v>
      </c>
      <c r="I378" s="66">
        <v>0.34930555555555554</v>
      </c>
      <c r="J378" s="51">
        <v>8378.25</v>
      </c>
      <c r="K378" s="51">
        <v>12.03</v>
      </c>
      <c r="L378" s="51">
        <v>23.7</v>
      </c>
      <c r="M378" s="51">
        <v>0.35</v>
      </c>
      <c r="N378" s="51">
        <v>12.02</v>
      </c>
      <c r="O378" s="51" t="s">
        <v>48</v>
      </c>
      <c r="P378" s="51">
        <v>4</v>
      </c>
      <c r="Q378" s="51">
        <v>10</v>
      </c>
      <c r="R378" s="51" t="s">
        <v>64</v>
      </c>
      <c r="S378" s="51" t="s">
        <v>50</v>
      </c>
      <c r="T378" s="51" t="s">
        <v>50</v>
      </c>
      <c r="U378" s="51" t="s">
        <v>50</v>
      </c>
      <c r="V378" s="51" t="s">
        <v>50</v>
      </c>
      <c r="W378" s="51" t="s">
        <v>50</v>
      </c>
      <c r="X378" s="51" t="s">
        <v>50</v>
      </c>
    </row>
    <row r="379" spans="1:25" x14ac:dyDescent="0.25">
      <c r="A379" s="821">
        <v>44250</v>
      </c>
      <c r="B379" s="51" t="s">
        <v>70</v>
      </c>
      <c r="C379" s="51" t="s">
        <v>62</v>
      </c>
      <c r="D379" s="870">
        <v>38.194119999999998</v>
      </c>
      <c r="E379" s="870">
        <v>-122.04147</v>
      </c>
      <c r="F379" s="51" t="s">
        <v>634</v>
      </c>
      <c r="G379" s="51" t="s">
        <v>27</v>
      </c>
      <c r="H379" s="51" t="s">
        <v>62</v>
      </c>
      <c r="I379" s="66">
        <v>0.41041666666666665</v>
      </c>
      <c r="J379" s="51">
        <v>5679.25</v>
      </c>
      <c r="K379" s="51">
        <v>12.4</v>
      </c>
      <c r="L379" s="51">
        <v>59.88</v>
      </c>
      <c r="M379" s="51">
        <v>0.23</v>
      </c>
      <c r="N379" s="51">
        <v>7.78</v>
      </c>
      <c r="O379" s="51" t="s">
        <v>48</v>
      </c>
      <c r="P379" s="51">
        <v>4</v>
      </c>
      <c r="Q379" s="51">
        <v>10</v>
      </c>
      <c r="R379" s="51" t="s">
        <v>64</v>
      </c>
      <c r="S379" s="51" t="s">
        <v>50</v>
      </c>
      <c r="T379" s="51" t="s">
        <v>50</v>
      </c>
      <c r="U379" s="51" t="s">
        <v>50</v>
      </c>
      <c r="V379" s="51" t="s">
        <v>50</v>
      </c>
      <c r="W379" s="51" t="s">
        <v>50</v>
      </c>
      <c r="X379" s="51" t="s">
        <v>50</v>
      </c>
    </row>
    <row r="380" spans="1:25" s="51" customFormat="1" x14ac:dyDescent="0.25">
      <c r="A380" s="821">
        <v>44251</v>
      </c>
      <c r="B380" s="51" t="s">
        <v>87</v>
      </c>
      <c r="C380" s="51" t="s">
        <v>88</v>
      </c>
      <c r="D380" s="870">
        <v>38.158180000000002</v>
      </c>
      <c r="E380" s="870">
        <v>-121.68631999999999</v>
      </c>
      <c r="F380" s="51" t="s">
        <v>635</v>
      </c>
      <c r="G380" s="51" t="s">
        <v>90</v>
      </c>
      <c r="H380" s="51" t="s">
        <v>91</v>
      </c>
      <c r="I380" s="66">
        <v>0.45347222222222222</v>
      </c>
      <c r="J380" s="51">
        <v>248.05</v>
      </c>
      <c r="K380" s="51">
        <v>11.97</v>
      </c>
      <c r="L380" s="51">
        <v>9.57</v>
      </c>
      <c r="M380" s="51">
        <v>0.86</v>
      </c>
      <c r="N380" s="51">
        <v>8.1</v>
      </c>
      <c r="O380" s="51" t="s">
        <v>48</v>
      </c>
      <c r="P380" s="51">
        <v>4</v>
      </c>
      <c r="Q380" s="51">
        <v>10</v>
      </c>
      <c r="R380" s="51" t="s">
        <v>64</v>
      </c>
      <c r="S380" s="51" t="s">
        <v>50</v>
      </c>
      <c r="T380" s="51" t="s">
        <v>50</v>
      </c>
      <c r="U380" s="51" t="s">
        <v>50</v>
      </c>
      <c r="V380" s="51" t="s">
        <v>50</v>
      </c>
      <c r="W380" s="51" t="s">
        <v>50</v>
      </c>
      <c r="X380" s="51" t="s">
        <v>50</v>
      </c>
      <c r="Y380" s="52"/>
    </row>
    <row r="381" spans="1:25" s="51" customFormat="1" x14ac:dyDescent="0.25">
      <c r="A381" s="821">
        <v>44251</v>
      </c>
      <c r="B381" s="51" t="s">
        <v>87</v>
      </c>
      <c r="C381" s="51" t="s">
        <v>88</v>
      </c>
      <c r="D381" s="870">
        <v>38.110950000000003</v>
      </c>
      <c r="E381" s="870">
        <v>-121.68337</v>
      </c>
      <c r="F381" s="51" t="s">
        <v>636</v>
      </c>
      <c r="G381" s="51" t="s">
        <v>90</v>
      </c>
      <c r="H381" s="51" t="s">
        <v>91</v>
      </c>
      <c r="I381" s="66">
        <v>0.38472222222222219</v>
      </c>
      <c r="J381" s="51">
        <v>415.3</v>
      </c>
      <c r="K381" s="51">
        <v>11.8</v>
      </c>
      <c r="L381" s="51">
        <v>6.66</v>
      </c>
      <c r="M381" s="51">
        <v>1.27</v>
      </c>
      <c r="N381" s="51">
        <v>7.45</v>
      </c>
      <c r="O381" s="51" t="s">
        <v>48</v>
      </c>
      <c r="P381" s="51">
        <v>4</v>
      </c>
      <c r="Q381" s="51">
        <v>10</v>
      </c>
      <c r="R381" s="51" t="s">
        <v>49</v>
      </c>
      <c r="S381" s="51" t="s">
        <v>50</v>
      </c>
      <c r="T381" s="51" t="s">
        <v>50</v>
      </c>
      <c r="U381" s="51" t="s">
        <v>50</v>
      </c>
      <c r="V381" s="51" t="s">
        <v>50</v>
      </c>
      <c r="W381" s="51" t="s">
        <v>50</v>
      </c>
      <c r="X381" s="51" t="s">
        <v>50</v>
      </c>
      <c r="Y381" s="52" t="s">
        <v>637</v>
      </c>
    </row>
    <row r="382" spans="1:25" s="51" customFormat="1" x14ac:dyDescent="0.25">
      <c r="A382" s="821">
        <v>44251</v>
      </c>
      <c r="B382" s="51" t="s">
        <v>87</v>
      </c>
      <c r="C382" s="51" t="s">
        <v>88</v>
      </c>
      <c r="D382" s="870">
        <v>38.119689999999999</v>
      </c>
      <c r="E382" s="870">
        <v>-121.70363</v>
      </c>
      <c r="F382" s="51" t="s">
        <v>638</v>
      </c>
      <c r="G382" s="51" t="s">
        <v>90</v>
      </c>
      <c r="H382" s="51" t="s">
        <v>91</v>
      </c>
      <c r="I382" s="66">
        <v>0.32708333333333334</v>
      </c>
      <c r="J382" s="51">
        <v>231.55</v>
      </c>
      <c r="K382" s="51">
        <v>11.9</v>
      </c>
      <c r="L382" s="51">
        <v>10.210000000000001</v>
      </c>
      <c r="M382" s="51">
        <v>1.06</v>
      </c>
      <c r="N382" s="51">
        <v>8.1199999999999992</v>
      </c>
      <c r="O382" s="51" t="s">
        <v>48</v>
      </c>
      <c r="P382" s="51">
        <v>4</v>
      </c>
      <c r="Q382" s="51">
        <v>10</v>
      </c>
      <c r="R382" s="51" t="s">
        <v>49</v>
      </c>
      <c r="S382" s="51" t="s">
        <v>50</v>
      </c>
      <c r="T382" s="51" t="s">
        <v>50</v>
      </c>
      <c r="U382" s="51" t="s">
        <v>50</v>
      </c>
      <c r="V382" s="51" t="s">
        <v>50</v>
      </c>
      <c r="W382" s="51" t="s">
        <v>50</v>
      </c>
      <c r="X382" s="51" t="s">
        <v>50</v>
      </c>
      <c r="Y382" s="52"/>
    </row>
    <row r="383" spans="1:25" s="51" customFormat="1" x14ac:dyDescent="0.25">
      <c r="A383" s="821">
        <v>44251</v>
      </c>
      <c r="B383" s="51" t="s">
        <v>87</v>
      </c>
      <c r="C383" s="51" t="s">
        <v>44</v>
      </c>
      <c r="D383" s="870">
        <v>37.896099999999997</v>
      </c>
      <c r="E383" s="870">
        <v>-121.49307</v>
      </c>
      <c r="F383" s="51" t="s">
        <v>639</v>
      </c>
      <c r="G383" s="51" t="s">
        <v>46</v>
      </c>
      <c r="H383" s="51" t="s">
        <v>56</v>
      </c>
      <c r="I383" s="66">
        <v>0.34791666666666665</v>
      </c>
      <c r="J383" s="51">
        <v>538.25</v>
      </c>
      <c r="K383" s="51">
        <v>12.37</v>
      </c>
      <c r="L383" s="51">
        <v>12.7</v>
      </c>
      <c r="M383" s="51">
        <v>1.65</v>
      </c>
      <c r="N383" s="51">
        <v>3.85</v>
      </c>
      <c r="O383" s="51" t="s">
        <v>48</v>
      </c>
      <c r="P383" s="51">
        <v>4</v>
      </c>
      <c r="Q383" s="51">
        <v>10</v>
      </c>
      <c r="R383" s="51" t="s">
        <v>49</v>
      </c>
      <c r="S383" s="51" t="s">
        <v>50</v>
      </c>
      <c r="T383" s="51" t="s">
        <v>50</v>
      </c>
      <c r="U383" s="51" t="s">
        <v>50</v>
      </c>
      <c r="V383" s="51" t="s">
        <v>50</v>
      </c>
      <c r="W383" s="51" t="s">
        <v>50</v>
      </c>
      <c r="X383" s="51" t="s">
        <v>50</v>
      </c>
      <c r="Y383" s="52" t="s">
        <v>640</v>
      </c>
    </row>
    <row r="384" spans="1:25" s="51" customFormat="1" x14ac:dyDescent="0.25">
      <c r="A384" s="821">
        <v>44251</v>
      </c>
      <c r="B384" s="51" t="s">
        <v>87</v>
      </c>
      <c r="C384" s="51" t="s">
        <v>44</v>
      </c>
      <c r="D384" s="870">
        <v>37.964889999999997</v>
      </c>
      <c r="E384" s="870">
        <v>-121.53213</v>
      </c>
      <c r="F384" s="51" t="s">
        <v>641</v>
      </c>
      <c r="G384" s="51" t="s">
        <v>46</v>
      </c>
      <c r="H384" s="51" t="s">
        <v>56</v>
      </c>
      <c r="I384" s="66">
        <v>0.39652777777777781</v>
      </c>
      <c r="J384" s="51">
        <v>501.75</v>
      </c>
      <c r="K384" s="51">
        <v>12.33</v>
      </c>
      <c r="L384" s="51">
        <v>15.98</v>
      </c>
      <c r="M384" s="51">
        <v>1.8</v>
      </c>
      <c r="N384" s="51">
        <v>5.65</v>
      </c>
      <c r="O384" s="51" t="s">
        <v>48</v>
      </c>
      <c r="P384" s="51">
        <v>4</v>
      </c>
      <c r="Q384" s="51">
        <v>10</v>
      </c>
      <c r="R384" s="51" t="s">
        <v>49</v>
      </c>
      <c r="S384" s="51" t="s">
        <v>50</v>
      </c>
      <c r="T384" s="51" t="s">
        <v>50</v>
      </c>
      <c r="U384" s="51" t="s">
        <v>50</v>
      </c>
      <c r="V384" s="51" t="s">
        <v>50</v>
      </c>
      <c r="W384" s="51" t="s">
        <v>50</v>
      </c>
      <c r="X384" s="51" t="s">
        <v>50</v>
      </c>
      <c r="Y384" s="52"/>
    </row>
    <row r="385" spans="1:25" s="51" customFormat="1" x14ac:dyDescent="0.25">
      <c r="A385" s="821">
        <v>44251</v>
      </c>
      <c r="B385" s="51" t="s">
        <v>87</v>
      </c>
      <c r="C385" s="51" t="s">
        <v>44</v>
      </c>
      <c r="D385" s="870">
        <v>38.004330000000003</v>
      </c>
      <c r="E385" s="870">
        <v>-121.51295</v>
      </c>
      <c r="F385" s="51" t="s">
        <v>642</v>
      </c>
      <c r="G385" s="51" t="s">
        <v>46</v>
      </c>
      <c r="H385" s="51" t="s">
        <v>59</v>
      </c>
      <c r="I385" s="66">
        <v>0.46666666666666662</v>
      </c>
      <c r="J385" s="51">
        <v>406.97</v>
      </c>
      <c r="K385" s="51">
        <v>12.37</v>
      </c>
      <c r="L385" s="51">
        <v>18.079999999999998</v>
      </c>
      <c r="M385" s="51">
        <v>1.53</v>
      </c>
      <c r="N385" s="51">
        <v>8.68</v>
      </c>
      <c r="O385" s="51" t="s">
        <v>48</v>
      </c>
      <c r="P385" s="51">
        <v>4</v>
      </c>
      <c r="Q385" s="51">
        <v>10</v>
      </c>
      <c r="R385" s="51" t="s">
        <v>64</v>
      </c>
      <c r="S385" s="51" t="s">
        <v>50</v>
      </c>
      <c r="T385" s="51" t="s">
        <v>50</v>
      </c>
      <c r="U385" s="51" t="s">
        <v>50</v>
      </c>
      <c r="V385" s="51" t="s">
        <v>50</v>
      </c>
      <c r="W385" s="51" t="s">
        <v>50</v>
      </c>
      <c r="X385" s="51" t="s">
        <v>50</v>
      </c>
      <c r="Y385" s="52"/>
    </row>
    <row r="386" spans="1:25" s="51" customFormat="1" x14ac:dyDescent="0.25">
      <c r="A386" s="821">
        <v>44251</v>
      </c>
      <c r="B386" s="51" t="s">
        <v>87</v>
      </c>
      <c r="C386" s="51" t="s">
        <v>78</v>
      </c>
      <c r="D386" s="870">
        <v>38.053139999999999</v>
      </c>
      <c r="E386" s="870">
        <v>-121.9361</v>
      </c>
      <c r="F386" s="51" t="s">
        <v>643</v>
      </c>
      <c r="G386" s="51" t="s">
        <v>27</v>
      </c>
      <c r="H386" s="51" t="s">
        <v>170</v>
      </c>
      <c r="I386" s="66">
        <v>0.33194444444444443</v>
      </c>
      <c r="J386" s="51">
        <v>5580.75</v>
      </c>
      <c r="K386" s="51">
        <v>11.9</v>
      </c>
      <c r="L386" s="51">
        <v>16.63</v>
      </c>
      <c r="M386" s="51">
        <v>0.66</v>
      </c>
      <c r="N386" s="51">
        <v>11.2</v>
      </c>
      <c r="O386" s="51" t="s">
        <v>48</v>
      </c>
      <c r="P386" s="51">
        <v>4</v>
      </c>
      <c r="Q386" s="51">
        <v>10</v>
      </c>
      <c r="R386" s="51" t="s">
        <v>49</v>
      </c>
      <c r="S386" s="51" t="s">
        <v>50</v>
      </c>
      <c r="T386" s="51" t="s">
        <v>50</v>
      </c>
      <c r="U386" s="51" t="s">
        <v>50</v>
      </c>
      <c r="V386" s="51" t="s">
        <v>50</v>
      </c>
      <c r="W386" s="51" t="s">
        <v>50</v>
      </c>
      <c r="X386" s="51" t="s">
        <v>50</v>
      </c>
      <c r="Y386" s="52" t="s">
        <v>644</v>
      </c>
    </row>
    <row r="387" spans="1:25" s="51" customFormat="1" x14ac:dyDescent="0.25">
      <c r="A387" s="821">
        <v>44251</v>
      </c>
      <c r="B387" s="51" t="s">
        <v>87</v>
      </c>
      <c r="C387" s="51" t="s">
        <v>78</v>
      </c>
      <c r="D387" s="870">
        <v>38.063879999999997</v>
      </c>
      <c r="E387" s="870">
        <v>-121.96019</v>
      </c>
      <c r="F387" s="51" t="s">
        <v>645</v>
      </c>
      <c r="G387" s="51" t="s">
        <v>27</v>
      </c>
      <c r="H387" s="51" t="s">
        <v>170</v>
      </c>
      <c r="I387" s="66">
        <v>0.38472222222222219</v>
      </c>
      <c r="J387" s="51">
        <v>6744.75</v>
      </c>
      <c r="K387" s="51">
        <v>12.15</v>
      </c>
      <c r="L387" s="51">
        <v>15.08</v>
      </c>
      <c r="M387" s="51">
        <v>0.78</v>
      </c>
      <c r="N387" s="51">
        <v>7.1</v>
      </c>
      <c r="O387" s="51" t="s">
        <v>48</v>
      </c>
      <c r="P387" s="51">
        <v>4</v>
      </c>
      <c r="Q387" s="51">
        <v>10</v>
      </c>
      <c r="R387" s="51" t="s">
        <v>64</v>
      </c>
      <c r="S387" s="51" t="s">
        <v>50</v>
      </c>
      <c r="T387" s="51" t="s">
        <v>50</v>
      </c>
      <c r="U387" s="51" t="s">
        <v>50</v>
      </c>
      <c r="V387" s="51" t="s">
        <v>50</v>
      </c>
      <c r="W387" s="51" t="s">
        <v>50</v>
      </c>
      <c r="X387" s="51" t="s">
        <v>50</v>
      </c>
      <c r="Y387" s="52"/>
    </row>
    <row r="388" spans="1:25" s="51" customFormat="1" x14ac:dyDescent="0.25">
      <c r="A388" s="821">
        <v>44251</v>
      </c>
      <c r="B388" s="51" t="s">
        <v>87</v>
      </c>
      <c r="C388" s="51" t="s">
        <v>78</v>
      </c>
      <c r="D388" s="870">
        <v>38.076779999999999</v>
      </c>
      <c r="E388" s="870">
        <v>-121.97801</v>
      </c>
      <c r="F388" s="51" t="s">
        <v>646</v>
      </c>
      <c r="G388" s="51" t="s">
        <v>27</v>
      </c>
      <c r="H388" s="51" t="s">
        <v>86</v>
      </c>
      <c r="I388" s="66">
        <v>0.43194444444444446</v>
      </c>
      <c r="J388" s="51">
        <v>11740</v>
      </c>
      <c r="K388" s="51">
        <v>12.23</v>
      </c>
      <c r="L388" s="51">
        <v>19.3</v>
      </c>
      <c r="M388" s="51">
        <v>0.67</v>
      </c>
      <c r="N388" s="51">
        <v>18.5</v>
      </c>
      <c r="O388" s="51" t="s">
        <v>48</v>
      </c>
      <c r="P388" s="51">
        <v>4</v>
      </c>
      <c r="Q388" s="51">
        <v>10</v>
      </c>
      <c r="R388" s="51" t="s">
        <v>64</v>
      </c>
      <c r="S388" s="51" t="s">
        <v>50</v>
      </c>
      <c r="T388" s="51" t="s">
        <v>50</v>
      </c>
      <c r="U388" s="51" t="s">
        <v>50</v>
      </c>
      <c r="V388" s="51" t="s">
        <v>50</v>
      </c>
      <c r="W388" s="51" t="s">
        <v>50</v>
      </c>
      <c r="X388" s="51" t="s">
        <v>50</v>
      </c>
      <c r="Y388" s="52"/>
    </row>
    <row r="389" spans="1:25" x14ac:dyDescent="0.25">
      <c r="A389" s="821">
        <v>44252</v>
      </c>
      <c r="B389" s="51" t="s">
        <v>105</v>
      </c>
      <c r="C389" s="51" t="s">
        <v>88</v>
      </c>
      <c r="D389" s="870">
        <v>38.10107</v>
      </c>
      <c r="E389" s="870">
        <v>-121.72150999999999</v>
      </c>
      <c r="F389" s="51" t="s">
        <v>647</v>
      </c>
      <c r="G389" s="51" t="s">
        <v>27</v>
      </c>
      <c r="H389" s="51" t="s">
        <v>91</v>
      </c>
      <c r="I389" s="66">
        <v>0.44930555555555557</v>
      </c>
      <c r="J389" s="51">
        <v>280.39999999999998</v>
      </c>
      <c r="K389" s="51">
        <v>11.42</v>
      </c>
      <c r="L389" s="51">
        <v>14.77</v>
      </c>
      <c r="M389" s="51">
        <v>1.06</v>
      </c>
      <c r="N389" s="51">
        <v>5.03</v>
      </c>
      <c r="O389" s="51" t="s">
        <v>48</v>
      </c>
      <c r="P389" s="51">
        <v>4</v>
      </c>
      <c r="Q389" s="51">
        <v>10</v>
      </c>
      <c r="R389" s="51" t="s">
        <v>64</v>
      </c>
      <c r="S389" s="51" t="s">
        <v>50</v>
      </c>
      <c r="T389" s="51" t="s">
        <v>50</v>
      </c>
      <c r="U389" s="51" t="s">
        <v>50</v>
      </c>
      <c r="V389" s="51" t="s">
        <v>50</v>
      </c>
      <c r="W389" s="51" t="s">
        <v>50</v>
      </c>
      <c r="X389" s="51" t="s">
        <v>50</v>
      </c>
    </row>
    <row r="390" spans="1:25" x14ac:dyDescent="0.25">
      <c r="A390" s="821">
        <v>44252</v>
      </c>
      <c r="B390" s="51" t="s">
        <v>105</v>
      </c>
      <c r="C390" s="51" t="s">
        <v>88</v>
      </c>
      <c r="D390" s="870">
        <v>38.062100000000001</v>
      </c>
      <c r="E390" s="870">
        <v>-121.78475</v>
      </c>
      <c r="F390" s="51" t="s">
        <v>648</v>
      </c>
      <c r="G390" s="51" t="s">
        <v>27</v>
      </c>
      <c r="H390" s="51" t="s">
        <v>25</v>
      </c>
      <c r="I390" s="66">
        <v>0.39652777777777781</v>
      </c>
      <c r="J390" s="51">
        <v>666.5</v>
      </c>
      <c r="K390" s="51">
        <v>11.58</v>
      </c>
      <c r="L390" s="51">
        <v>21.4</v>
      </c>
      <c r="M390" s="51">
        <v>0.63</v>
      </c>
      <c r="N390" s="51">
        <v>9.35</v>
      </c>
      <c r="O390" s="51" t="s">
        <v>48</v>
      </c>
      <c r="P390" s="51">
        <v>4</v>
      </c>
      <c r="Q390" s="51">
        <v>10</v>
      </c>
      <c r="R390" s="51" t="s">
        <v>64</v>
      </c>
      <c r="S390" s="51" t="s">
        <v>50</v>
      </c>
      <c r="T390" s="51" t="s">
        <v>50</v>
      </c>
      <c r="U390" s="51" t="s">
        <v>50</v>
      </c>
      <c r="V390" s="51" t="s">
        <v>50</v>
      </c>
      <c r="W390" s="51" t="s">
        <v>50</v>
      </c>
      <c r="X390" s="51" t="s">
        <v>50</v>
      </c>
    </row>
    <row r="391" spans="1:25" s="878" customFormat="1" x14ac:dyDescent="0.25">
      <c r="A391" s="876">
        <v>44252</v>
      </c>
      <c r="B391" s="437" t="s">
        <v>105</v>
      </c>
      <c r="C391" s="437" t="s">
        <v>88</v>
      </c>
      <c r="D391" s="897">
        <v>38.057310000000001</v>
      </c>
      <c r="E391" s="897">
        <v>-121.81224</v>
      </c>
      <c r="F391" s="437" t="s">
        <v>649</v>
      </c>
      <c r="G391" s="437" t="s">
        <v>27</v>
      </c>
      <c r="H391" s="437" t="s">
        <v>25</v>
      </c>
      <c r="I391" s="438">
        <v>0.33958333333333335</v>
      </c>
      <c r="J391" s="437">
        <v>1139</v>
      </c>
      <c r="K391" s="437">
        <v>14.65</v>
      </c>
      <c r="L391" s="437">
        <v>21.82</v>
      </c>
      <c r="M391" s="437">
        <v>0.47</v>
      </c>
      <c r="N391" s="437">
        <v>8.9700000000000006</v>
      </c>
      <c r="O391" s="437" t="s">
        <v>48</v>
      </c>
      <c r="P391" s="437">
        <v>4</v>
      </c>
      <c r="Q391" s="437">
        <v>10</v>
      </c>
      <c r="R391" s="437" t="s">
        <v>49</v>
      </c>
      <c r="S391" s="877" t="s">
        <v>449</v>
      </c>
      <c r="T391" s="437">
        <v>1</v>
      </c>
      <c r="U391" s="437" t="s">
        <v>650</v>
      </c>
      <c r="V391" s="437" t="s">
        <v>50</v>
      </c>
      <c r="W391" s="437" t="s">
        <v>574</v>
      </c>
      <c r="X391" s="437" t="s">
        <v>351</v>
      </c>
      <c r="Y391" s="440" t="s">
        <v>651</v>
      </c>
    </row>
    <row r="392" spans="1:25" s="857" customFormat="1" x14ac:dyDescent="0.25">
      <c r="A392" s="446">
        <v>44252</v>
      </c>
      <c r="B392" s="424" t="s">
        <v>105</v>
      </c>
      <c r="C392" s="51" t="s">
        <v>88</v>
      </c>
      <c r="D392" s="871">
        <v>38.042020000000001</v>
      </c>
      <c r="E392" s="871">
        <v>-121.82452000000001</v>
      </c>
      <c r="F392" s="424" t="s">
        <v>652</v>
      </c>
      <c r="G392" s="424" t="s">
        <v>27</v>
      </c>
      <c r="H392" s="424" t="s">
        <v>25</v>
      </c>
      <c r="I392" s="425">
        <v>0.3298611111111111</v>
      </c>
      <c r="J392" s="424" t="s">
        <v>50</v>
      </c>
      <c r="K392" s="424" t="s">
        <v>50</v>
      </c>
      <c r="L392" s="424" t="s">
        <v>50</v>
      </c>
      <c r="M392" s="424" t="s">
        <v>50</v>
      </c>
      <c r="N392" s="424" t="s">
        <v>50</v>
      </c>
      <c r="O392" s="424" t="s">
        <v>48</v>
      </c>
      <c r="P392" s="424">
        <v>0</v>
      </c>
      <c r="Q392" s="424" t="s">
        <v>50</v>
      </c>
      <c r="R392" s="424" t="s">
        <v>50</v>
      </c>
      <c r="S392" s="424" t="s">
        <v>50</v>
      </c>
      <c r="T392" s="424" t="s">
        <v>50</v>
      </c>
      <c r="U392" s="424" t="s">
        <v>50</v>
      </c>
      <c r="V392" s="424" t="s">
        <v>50</v>
      </c>
      <c r="W392" s="424" t="s">
        <v>50</v>
      </c>
      <c r="X392" s="424" t="s">
        <v>50</v>
      </c>
      <c r="Y392" s="426" t="s">
        <v>653</v>
      </c>
    </row>
    <row r="393" spans="1:25" x14ac:dyDescent="0.25">
      <c r="A393" s="821">
        <v>44252</v>
      </c>
      <c r="B393" s="51" t="s">
        <v>105</v>
      </c>
      <c r="C393" s="51" t="s">
        <v>44</v>
      </c>
      <c r="D393" s="870">
        <v>38.052239999999998</v>
      </c>
      <c r="E393" s="870">
        <v>-121.63578</v>
      </c>
      <c r="F393" s="51" t="s">
        <v>654</v>
      </c>
      <c r="G393" s="51" t="s">
        <v>46</v>
      </c>
      <c r="H393" s="51" t="s">
        <v>47</v>
      </c>
      <c r="I393" s="66">
        <v>0.3263888888888889</v>
      </c>
      <c r="J393" s="51">
        <v>446.87</v>
      </c>
      <c r="K393" s="51">
        <v>11.3</v>
      </c>
      <c r="L393" s="51">
        <v>27.1</v>
      </c>
      <c r="M393" s="51">
        <v>0.48</v>
      </c>
      <c r="N393" s="51">
        <v>5.62</v>
      </c>
      <c r="O393" s="51" t="s">
        <v>48</v>
      </c>
      <c r="P393" s="51">
        <v>4</v>
      </c>
      <c r="Q393" s="51">
        <v>10</v>
      </c>
      <c r="R393" s="51" t="s">
        <v>49</v>
      </c>
      <c r="S393" s="51" t="s">
        <v>50</v>
      </c>
      <c r="T393" s="51" t="s">
        <v>50</v>
      </c>
      <c r="U393" s="51" t="s">
        <v>50</v>
      </c>
      <c r="V393" s="51" t="s">
        <v>50</v>
      </c>
      <c r="W393" s="51" t="s">
        <v>50</v>
      </c>
      <c r="X393" s="51" t="s">
        <v>50</v>
      </c>
    </row>
    <row r="394" spans="1:25" x14ac:dyDescent="0.25">
      <c r="A394" s="821">
        <v>44252</v>
      </c>
      <c r="B394" s="51" t="s">
        <v>105</v>
      </c>
      <c r="C394" s="51" t="s">
        <v>44</v>
      </c>
      <c r="D394" s="870">
        <v>38.011850000000003</v>
      </c>
      <c r="E394" s="870">
        <v>-121.58078</v>
      </c>
      <c r="F394" s="51" t="s">
        <v>655</v>
      </c>
      <c r="G394" s="51" t="s">
        <v>46</v>
      </c>
      <c r="H394" s="51" t="s">
        <v>74</v>
      </c>
      <c r="I394" s="66">
        <v>0.43194444444444446</v>
      </c>
      <c r="J394" s="51">
        <v>503</v>
      </c>
      <c r="K394" s="51">
        <v>11.6</v>
      </c>
      <c r="L394" s="51">
        <v>31.75</v>
      </c>
      <c r="M394" s="51">
        <v>0.73</v>
      </c>
      <c r="N394" s="51">
        <v>7.5</v>
      </c>
      <c r="O394" s="51" t="s">
        <v>48</v>
      </c>
      <c r="P394" s="51">
        <v>4</v>
      </c>
      <c r="Q394" s="51">
        <v>10</v>
      </c>
      <c r="R394" s="51" t="s">
        <v>64</v>
      </c>
      <c r="S394" s="51" t="s">
        <v>50</v>
      </c>
      <c r="T394" s="51" t="s">
        <v>50</v>
      </c>
      <c r="U394" s="51" t="s">
        <v>50</v>
      </c>
      <c r="V394" s="51" t="s">
        <v>50</v>
      </c>
      <c r="W394" s="51" t="s">
        <v>50</v>
      </c>
      <c r="X394" s="51" t="s">
        <v>50</v>
      </c>
    </row>
    <row r="395" spans="1:25" x14ac:dyDescent="0.25">
      <c r="A395" s="821">
        <v>44252</v>
      </c>
      <c r="B395" s="51" t="s">
        <v>105</v>
      </c>
      <c r="C395" s="51" t="s">
        <v>44</v>
      </c>
      <c r="D395" s="870">
        <v>38.047440000000002</v>
      </c>
      <c r="E395" s="870">
        <v>-121.58056000000001</v>
      </c>
      <c r="F395" s="51" t="s">
        <v>656</v>
      </c>
      <c r="G395" s="51" t="s">
        <v>46</v>
      </c>
      <c r="H395" s="51" t="s">
        <v>74</v>
      </c>
      <c r="I395" s="66">
        <v>0.38125000000000003</v>
      </c>
      <c r="J395" s="51">
        <v>443.8</v>
      </c>
      <c r="K395" s="51">
        <v>11.53</v>
      </c>
      <c r="L395" s="51">
        <v>26.15</v>
      </c>
      <c r="M395" s="51">
        <v>0.78</v>
      </c>
      <c r="N395" s="51">
        <v>9.1999999999999993</v>
      </c>
      <c r="O395" s="51" t="s">
        <v>48</v>
      </c>
      <c r="P395" s="51">
        <v>4</v>
      </c>
      <c r="Q395" s="51">
        <v>10</v>
      </c>
      <c r="R395" s="51" t="s">
        <v>49</v>
      </c>
      <c r="S395" s="51" t="s">
        <v>50</v>
      </c>
      <c r="T395" s="51" t="s">
        <v>50</v>
      </c>
      <c r="U395" s="51" t="s">
        <v>50</v>
      </c>
      <c r="V395" s="51" t="s">
        <v>50</v>
      </c>
      <c r="W395" s="51" t="s">
        <v>50</v>
      </c>
      <c r="X395" s="51" t="s">
        <v>50</v>
      </c>
    </row>
    <row r="396" spans="1:25" x14ac:dyDescent="0.25">
      <c r="A396" s="821">
        <v>44252</v>
      </c>
      <c r="B396" s="51" t="s">
        <v>105</v>
      </c>
      <c r="C396" s="51" t="s">
        <v>78</v>
      </c>
      <c r="D396" s="870">
        <v>38.05106</v>
      </c>
      <c r="E396" s="870">
        <v>-122.08832</v>
      </c>
      <c r="F396" s="51" t="s">
        <v>657</v>
      </c>
      <c r="G396" s="51" t="s">
        <v>80</v>
      </c>
      <c r="H396" s="51" t="s">
        <v>81</v>
      </c>
      <c r="I396" s="66">
        <v>0.3444444444444445</v>
      </c>
      <c r="J396" s="51">
        <v>16844.75</v>
      </c>
      <c r="K396" s="51">
        <v>12.23</v>
      </c>
      <c r="L396" s="51">
        <v>12.85</v>
      </c>
      <c r="M396" s="51">
        <v>0.9</v>
      </c>
      <c r="N396" s="51">
        <v>12.22</v>
      </c>
      <c r="O396" s="51" t="s">
        <v>48</v>
      </c>
      <c r="P396" s="51">
        <v>4</v>
      </c>
      <c r="Q396" s="51">
        <v>10</v>
      </c>
      <c r="R396" s="51" t="s">
        <v>64</v>
      </c>
      <c r="S396" s="51" t="s">
        <v>50</v>
      </c>
      <c r="T396" s="51" t="s">
        <v>50</v>
      </c>
      <c r="U396" s="51" t="s">
        <v>50</v>
      </c>
      <c r="V396" s="51" t="s">
        <v>50</v>
      </c>
      <c r="W396" s="51" t="s">
        <v>50</v>
      </c>
      <c r="X396" s="51" t="s">
        <v>50</v>
      </c>
    </row>
    <row r="397" spans="1:25" s="878" customFormat="1" x14ac:dyDescent="0.25">
      <c r="A397" s="876">
        <v>44252</v>
      </c>
      <c r="B397" s="437" t="s">
        <v>105</v>
      </c>
      <c r="C397" s="437" t="s">
        <v>78</v>
      </c>
      <c r="D397" s="897">
        <v>38.079099999999997</v>
      </c>
      <c r="E397" s="897">
        <v>-122.07279</v>
      </c>
      <c r="F397" s="437" t="s">
        <v>658</v>
      </c>
      <c r="G397" s="437" t="s">
        <v>80</v>
      </c>
      <c r="H397" s="437" t="s">
        <v>81</v>
      </c>
      <c r="I397" s="438">
        <v>0.40069444444444446</v>
      </c>
      <c r="J397" s="437">
        <v>16912.25</v>
      </c>
      <c r="K397" s="437">
        <v>12.33</v>
      </c>
      <c r="L397" s="437">
        <v>30.83</v>
      </c>
      <c r="M397" s="437">
        <v>0.55000000000000004</v>
      </c>
      <c r="N397" s="437">
        <v>4.95</v>
      </c>
      <c r="O397" s="437" t="s">
        <v>48</v>
      </c>
      <c r="P397" s="437">
        <v>4</v>
      </c>
      <c r="Q397" s="437">
        <v>10</v>
      </c>
      <c r="R397" s="437" t="s">
        <v>64</v>
      </c>
      <c r="S397" s="877" t="s">
        <v>449</v>
      </c>
      <c r="T397" s="437">
        <v>1</v>
      </c>
      <c r="U397" s="437" t="s">
        <v>551</v>
      </c>
      <c r="V397" s="437" t="s">
        <v>50</v>
      </c>
      <c r="W397" s="437" t="s">
        <v>350</v>
      </c>
      <c r="X397" s="437" t="s">
        <v>351</v>
      </c>
      <c r="Y397" s="440"/>
    </row>
    <row r="398" spans="1:25" s="854" customFormat="1" x14ac:dyDescent="0.25">
      <c r="A398" s="853">
        <v>44252</v>
      </c>
      <c r="B398" s="74" t="s">
        <v>105</v>
      </c>
      <c r="C398" s="74" t="s">
        <v>78</v>
      </c>
      <c r="D398" s="882">
        <v>38.038310000000003</v>
      </c>
      <c r="E398" s="882">
        <v>-121.88166</v>
      </c>
      <c r="F398" s="74" t="s">
        <v>659</v>
      </c>
      <c r="G398" s="74" t="s">
        <v>27</v>
      </c>
      <c r="H398" s="74" t="s">
        <v>101</v>
      </c>
      <c r="I398" s="73">
        <v>0.46875</v>
      </c>
      <c r="J398" s="74">
        <v>5297.25</v>
      </c>
      <c r="K398" s="74">
        <v>12.1</v>
      </c>
      <c r="L398" s="74">
        <v>37.130000000000003</v>
      </c>
      <c r="M398" s="74">
        <v>0.44</v>
      </c>
      <c r="N398" s="74">
        <v>12.6</v>
      </c>
      <c r="O398" s="74" t="s">
        <v>48</v>
      </c>
      <c r="P398" s="74">
        <v>4</v>
      </c>
      <c r="Q398" s="74">
        <v>10</v>
      </c>
      <c r="R398" s="74" t="s">
        <v>64</v>
      </c>
      <c r="S398" s="74" t="s">
        <v>50</v>
      </c>
      <c r="T398" s="74" t="s">
        <v>50</v>
      </c>
      <c r="U398" s="74" t="s">
        <v>50</v>
      </c>
      <c r="V398" s="74" t="s">
        <v>50</v>
      </c>
      <c r="W398" s="74" t="s">
        <v>50</v>
      </c>
      <c r="X398" s="74" t="s">
        <v>50</v>
      </c>
      <c r="Y398" s="77" t="s">
        <v>660</v>
      </c>
    </row>
    <row r="399" spans="1:25" x14ac:dyDescent="0.25">
      <c r="A399" s="821">
        <v>44256</v>
      </c>
      <c r="B399" s="51" t="s">
        <v>43</v>
      </c>
      <c r="C399" s="51" t="s">
        <v>162</v>
      </c>
      <c r="D399" s="870">
        <v>38.280900000000003</v>
      </c>
      <c r="E399" s="870">
        <v>-121.69378</v>
      </c>
      <c r="F399" s="51" t="s">
        <v>661</v>
      </c>
      <c r="G399" s="51" t="s">
        <v>90</v>
      </c>
      <c r="H399" s="51" t="s">
        <v>126</v>
      </c>
      <c r="I399" s="66">
        <v>0.34583333333333338</v>
      </c>
      <c r="J399" s="51">
        <v>294.27999999999997</v>
      </c>
      <c r="K399" s="51">
        <v>11.55</v>
      </c>
      <c r="L399" s="51">
        <v>11.97</v>
      </c>
      <c r="M399" s="51">
        <v>0.67</v>
      </c>
      <c r="N399" s="51">
        <v>7.42</v>
      </c>
      <c r="O399" s="51" t="s">
        <v>48</v>
      </c>
      <c r="P399" s="51">
        <v>4</v>
      </c>
      <c r="Q399" s="51">
        <v>10</v>
      </c>
      <c r="R399" s="51" t="s">
        <v>49</v>
      </c>
      <c r="S399" s="51" t="s">
        <v>50</v>
      </c>
      <c r="T399" s="51" t="s">
        <v>50</v>
      </c>
      <c r="U399" s="51" t="s">
        <v>50</v>
      </c>
      <c r="V399" s="51" t="s">
        <v>50</v>
      </c>
      <c r="W399" s="51" t="s">
        <v>50</v>
      </c>
      <c r="X399" s="51" t="s">
        <v>50</v>
      </c>
    </row>
    <row r="400" spans="1:25" x14ac:dyDescent="0.25">
      <c r="A400" s="821">
        <v>44256</v>
      </c>
      <c r="B400" s="51" t="s">
        <v>43</v>
      </c>
      <c r="C400" s="51" t="s">
        <v>162</v>
      </c>
      <c r="D400" s="870">
        <v>38.26164</v>
      </c>
      <c r="E400" s="870">
        <v>-121.69125</v>
      </c>
      <c r="F400" s="51" t="s">
        <v>662</v>
      </c>
      <c r="G400" s="51" t="s">
        <v>90</v>
      </c>
      <c r="H400" s="51" t="s">
        <v>126</v>
      </c>
      <c r="I400" s="66">
        <v>0.39999999999999997</v>
      </c>
      <c r="J400" s="51">
        <v>281.55</v>
      </c>
      <c r="K400" s="51">
        <v>11.58</v>
      </c>
      <c r="L400" s="51">
        <v>13.57</v>
      </c>
      <c r="M400" s="51">
        <v>0.65</v>
      </c>
      <c r="N400" s="51">
        <v>6.51</v>
      </c>
      <c r="O400" s="51" t="s">
        <v>48</v>
      </c>
      <c r="P400" s="51">
        <v>4</v>
      </c>
      <c r="Q400" s="51">
        <v>10</v>
      </c>
      <c r="R400" s="51" t="s">
        <v>49</v>
      </c>
      <c r="S400" s="51" t="s">
        <v>50</v>
      </c>
      <c r="T400" s="51" t="s">
        <v>50</v>
      </c>
      <c r="U400" s="51" t="s">
        <v>50</v>
      </c>
      <c r="V400" s="51" t="s">
        <v>50</v>
      </c>
      <c r="W400" s="51" t="s">
        <v>50</v>
      </c>
      <c r="X400" s="51" t="s">
        <v>50</v>
      </c>
    </row>
    <row r="401" spans="1:25" x14ac:dyDescent="0.25">
      <c r="A401" s="821">
        <v>44256</v>
      </c>
      <c r="B401" s="51" t="s">
        <v>43</v>
      </c>
      <c r="C401" s="51" t="s">
        <v>162</v>
      </c>
      <c r="D401" s="870">
        <v>38.241059999999997</v>
      </c>
      <c r="E401" s="870">
        <v>-121.68539</v>
      </c>
      <c r="F401" s="51" t="s">
        <v>663</v>
      </c>
      <c r="G401" s="51" t="s">
        <v>90</v>
      </c>
      <c r="H401" s="51" t="s">
        <v>126</v>
      </c>
      <c r="I401" s="66">
        <v>0.45555555555555555</v>
      </c>
      <c r="J401" s="51">
        <v>276.88</v>
      </c>
      <c r="K401" s="51">
        <v>11.7</v>
      </c>
      <c r="L401" s="51">
        <v>13.97</v>
      </c>
      <c r="M401" s="51">
        <v>0.65</v>
      </c>
      <c r="N401" s="51">
        <v>11.07</v>
      </c>
      <c r="O401" s="51" t="s">
        <v>48</v>
      </c>
      <c r="P401" s="51">
        <v>4</v>
      </c>
      <c r="Q401" s="51">
        <v>10</v>
      </c>
      <c r="R401" s="51" t="s">
        <v>49</v>
      </c>
      <c r="S401" s="51" t="s">
        <v>50</v>
      </c>
      <c r="T401" s="51" t="s">
        <v>50</v>
      </c>
      <c r="U401" s="51" t="s">
        <v>50</v>
      </c>
      <c r="V401" s="51" t="s">
        <v>50</v>
      </c>
      <c r="W401" s="51" t="s">
        <v>50</v>
      </c>
      <c r="X401" s="51" t="s">
        <v>50</v>
      </c>
    </row>
    <row r="402" spans="1:25" s="878" customFormat="1" x14ac:dyDescent="0.25">
      <c r="A402" s="876">
        <v>44256</v>
      </c>
      <c r="B402" s="437" t="s">
        <v>43</v>
      </c>
      <c r="C402" s="437" t="s">
        <v>95</v>
      </c>
      <c r="D402" s="897">
        <v>38.095089999999999</v>
      </c>
      <c r="E402" s="897">
        <v>-121.62827</v>
      </c>
      <c r="F402" s="437" t="s">
        <v>664</v>
      </c>
      <c r="G402" s="437" t="s">
        <v>46</v>
      </c>
      <c r="H402" s="437" t="s">
        <v>97</v>
      </c>
      <c r="I402" s="438">
        <v>0.46249999999999997</v>
      </c>
      <c r="J402" s="437">
        <v>342.75</v>
      </c>
      <c r="K402" s="437">
        <v>12</v>
      </c>
      <c r="L402" s="437">
        <v>30.77</v>
      </c>
      <c r="M402" s="437">
        <v>0.75</v>
      </c>
      <c r="N402" s="437">
        <v>7.9</v>
      </c>
      <c r="O402" s="437" t="s">
        <v>48</v>
      </c>
      <c r="P402" s="437">
        <v>4</v>
      </c>
      <c r="Q402" s="437">
        <v>10</v>
      </c>
      <c r="R402" s="437" t="s">
        <v>49</v>
      </c>
      <c r="S402" s="877" t="s">
        <v>449</v>
      </c>
      <c r="T402" s="437">
        <v>1</v>
      </c>
      <c r="U402" s="437" t="s">
        <v>665</v>
      </c>
      <c r="V402" s="437" t="s">
        <v>50</v>
      </c>
      <c r="W402" s="437" t="s">
        <v>350</v>
      </c>
      <c r="X402" s="437" t="s">
        <v>351</v>
      </c>
      <c r="Y402" s="440" t="s">
        <v>651</v>
      </c>
    </row>
    <row r="403" spans="1:25" x14ac:dyDescent="0.25">
      <c r="A403" s="821">
        <v>44256</v>
      </c>
      <c r="B403" s="51" t="s">
        <v>43</v>
      </c>
      <c r="C403" s="51" t="s">
        <v>95</v>
      </c>
      <c r="D403" s="870">
        <v>38.096499999999999</v>
      </c>
      <c r="E403" s="870">
        <v>-121.65902</v>
      </c>
      <c r="F403" s="51" t="s">
        <v>666</v>
      </c>
      <c r="G403" s="51" t="s">
        <v>46</v>
      </c>
      <c r="H403" s="51" t="s">
        <v>97</v>
      </c>
      <c r="I403" s="66">
        <v>0.4055555555555555</v>
      </c>
      <c r="J403" s="51">
        <v>416.18</v>
      </c>
      <c r="K403" s="51">
        <v>11.92</v>
      </c>
      <c r="L403" s="51">
        <v>29.5</v>
      </c>
      <c r="M403" s="51">
        <v>0.94</v>
      </c>
      <c r="N403" s="51">
        <v>12.43</v>
      </c>
      <c r="O403" s="51" t="s">
        <v>48</v>
      </c>
      <c r="P403" s="51">
        <v>4</v>
      </c>
      <c r="Q403" s="51">
        <v>10</v>
      </c>
      <c r="R403" s="51" t="s">
        <v>49</v>
      </c>
      <c r="S403" s="51" t="s">
        <v>50</v>
      </c>
      <c r="T403" s="51" t="s">
        <v>50</v>
      </c>
      <c r="U403" s="51" t="s">
        <v>50</v>
      </c>
      <c r="V403" s="51" t="s">
        <v>50</v>
      </c>
      <c r="W403" s="51" t="s">
        <v>50</v>
      </c>
      <c r="X403" s="51" t="s">
        <v>50</v>
      </c>
    </row>
    <row r="404" spans="1:25" x14ac:dyDescent="0.25">
      <c r="A404" s="821">
        <v>44256</v>
      </c>
      <c r="B404" s="51" t="s">
        <v>43</v>
      </c>
      <c r="C404" s="51" t="s">
        <v>95</v>
      </c>
      <c r="D404" s="870">
        <v>38.04383</v>
      </c>
      <c r="E404" s="870">
        <v>-121.71093</v>
      </c>
      <c r="F404" s="51" t="s">
        <v>667</v>
      </c>
      <c r="G404" s="51" t="s">
        <v>27</v>
      </c>
      <c r="H404" s="51" t="s">
        <v>95</v>
      </c>
      <c r="I404" s="66">
        <v>0.34652777777777777</v>
      </c>
      <c r="J404" s="51">
        <v>635.25</v>
      </c>
      <c r="K404" s="51">
        <v>11.83</v>
      </c>
      <c r="L404" s="51">
        <v>31.55</v>
      </c>
      <c r="M404" s="51">
        <v>0.7</v>
      </c>
      <c r="N404" s="51">
        <v>6.78</v>
      </c>
      <c r="O404" s="51" t="s">
        <v>48</v>
      </c>
      <c r="P404" s="51">
        <v>4</v>
      </c>
      <c r="Q404" s="51">
        <v>10</v>
      </c>
      <c r="R404" s="51" t="s">
        <v>49</v>
      </c>
      <c r="S404" s="51" t="s">
        <v>50</v>
      </c>
      <c r="T404" s="51" t="s">
        <v>50</v>
      </c>
      <c r="U404" s="51" t="s">
        <v>50</v>
      </c>
      <c r="V404" s="51" t="s">
        <v>50</v>
      </c>
      <c r="W404" s="51" t="s">
        <v>50</v>
      </c>
      <c r="X404" s="51" t="s">
        <v>50</v>
      </c>
    </row>
    <row r="405" spans="1:25" s="878" customFormat="1" x14ac:dyDescent="0.25">
      <c r="A405" s="876">
        <v>44256</v>
      </c>
      <c r="B405" s="437" t="s">
        <v>43</v>
      </c>
      <c r="C405" s="437" t="s">
        <v>118</v>
      </c>
      <c r="D405" s="897">
        <v>38.059040000000003</v>
      </c>
      <c r="E405" s="897">
        <v>-122.19468000000001</v>
      </c>
      <c r="F405" s="437" t="s">
        <v>668</v>
      </c>
      <c r="G405" s="437" t="s">
        <v>80</v>
      </c>
      <c r="H405" s="437" t="s">
        <v>120</v>
      </c>
      <c r="I405" s="438">
        <v>0.42986111111111108</v>
      </c>
      <c r="J405" s="437">
        <v>19741.330000000002</v>
      </c>
      <c r="K405" s="437">
        <v>12.53</v>
      </c>
      <c r="L405" s="437">
        <v>28.13</v>
      </c>
      <c r="M405" s="437">
        <v>0.53</v>
      </c>
      <c r="N405" s="437">
        <v>30.9</v>
      </c>
      <c r="O405" s="437" t="s">
        <v>48</v>
      </c>
      <c r="P405" s="437">
        <v>3</v>
      </c>
      <c r="Q405" s="437">
        <v>10</v>
      </c>
      <c r="R405" s="437" t="s">
        <v>49</v>
      </c>
      <c r="S405" s="877" t="s">
        <v>669</v>
      </c>
      <c r="T405" s="437">
        <v>1</v>
      </c>
      <c r="U405" s="437" t="s">
        <v>670</v>
      </c>
      <c r="V405" s="437" t="s">
        <v>50</v>
      </c>
      <c r="W405" s="437" t="s">
        <v>50</v>
      </c>
      <c r="X405" s="437" t="s">
        <v>228</v>
      </c>
      <c r="Y405" s="440" t="s">
        <v>671</v>
      </c>
    </row>
    <row r="406" spans="1:25" s="878" customFormat="1" x14ac:dyDescent="0.25">
      <c r="A406" s="876">
        <v>44256</v>
      </c>
      <c r="B406" s="437" t="s">
        <v>43</v>
      </c>
      <c r="C406" s="437" t="s">
        <v>118</v>
      </c>
      <c r="D406" s="897">
        <v>38.059040000000003</v>
      </c>
      <c r="E406" s="897">
        <v>-122.19468000000001</v>
      </c>
      <c r="F406" s="437" t="s">
        <v>668</v>
      </c>
      <c r="G406" s="437" t="s">
        <v>80</v>
      </c>
      <c r="H406" s="437" t="s">
        <v>120</v>
      </c>
      <c r="I406" s="438">
        <v>0.42986111111111108</v>
      </c>
      <c r="J406" s="437">
        <v>19741.330000000002</v>
      </c>
      <c r="K406" s="437">
        <v>12.53</v>
      </c>
      <c r="L406" s="437">
        <v>28.13</v>
      </c>
      <c r="M406" s="437">
        <v>0.53</v>
      </c>
      <c r="N406" s="437">
        <v>30.9</v>
      </c>
      <c r="O406" s="437" t="s">
        <v>48</v>
      </c>
      <c r="P406" s="437">
        <v>3</v>
      </c>
      <c r="Q406" s="437">
        <v>10</v>
      </c>
      <c r="R406" s="437" t="s">
        <v>49</v>
      </c>
      <c r="S406" s="877" t="s">
        <v>449</v>
      </c>
      <c r="T406" s="437">
        <v>1</v>
      </c>
      <c r="U406" s="437" t="s">
        <v>583</v>
      </c>
      <c r="V406" s="437" t="s">
        <v>50</v>
      </c>
      <c r="W406" s="437" t="s">
        <v>350</v>
      </c>
      <c r="X406" s="437" t="s">
        <v>351</v>
      </c>
      <c r="Y406" s="440" t="s">
        <v>672</v>
      </c>
    </row>
    <row r="407" spans="1:25" s="856" customFormat="1" x14ac:dyDescent="0.25">
      <c r="A407" s="855">
        <v>44256</v>
      </c>
      <c r="B407" s="450" t="s">
        <v>43</v>
      </c>
      <c r="C407" s="450" t="s">
        <v>118</v>
      </c>
      <c r="D407" s="881">
        <v>38.112949999999998</v>
      </c>
      <c r="E407" s="881">
        <v>-122.27462</v>
      </c>
      <c r="F407" s="450" t="s">
        <v>673</v>
      </c>
      <c r="G407" s="450" t="s">
        <v>80</v>
      </c>
      <c r="H407" s="450" t="s">
        <v>191</v>
      </c>
      <c r="I407" s="451">
        <v>0.37222222222222223</v>
      </c>
      <c r="J407" s="450">
        <v>24635.25</v>
      </c>
      <c r="K407" s="450">
        <v>13.15</v>
      </c>
      <c r="L407" s="450">
        <v>25.27</v>
      </c>
      <c r="M407" s="450">
        <v>0.57999999999999996</v>
      </c>
      <c r="N407" s="450">
        <v>8.9</v>
      </c>
      <c r="O407" s="450" t="s">
        <v>48</v>
      </c>
      <c r="P407" s="450">
        <v>4</v>
      </c>
      <c r="Q407" s="450">
        <v>10</v>
      </c>
      <c r="R407" s="450" t="s">
        <v>49</v>
      </c>
      <c r="S407" s="858" t="s">
        <v>31</v>
      </c>
      <c r="T407" s="450">
        <v>1</v>
      </c>
      <c r="U407" s="450" t="s">
        <v>674</v>
      </c>
      <c r="V407" s="450" t="s">
        <v>50</v>
      </c>
      <c r="W407" s="450" t="s">
        <v>50</v>
      </c>
      <c r="X407" s="450" t="s">
        <v>228</v>
      </c>
      <c r="Y407" s="453"/>
    </row>
    <row r="408" spans="1:25" x14ac:dyDescent="0.25">
      <c r="A408" s="821">
        <v>44257</v>
      </c>
      <c r="B408" s="51" t="s">
        <v>70</v>
      </c>
      <c r="C408" s="51" t="s">
        <v>95</v>
      </c>
      <c r="D408" s="870">
        <v>38.099330000000002</v>
      </c>
      <c r="E408" s="870">
        <v>-121.58331</v>
      </c>
      <c r="F408" s="51" t="s">
        <v>675</v>
      </c>
      <c r="G408" s="51" t="s">
        <v>46</v>
      </c>
      <c r="H408" s="51" t="s">
        <v>582</v>
      </c>
      <c r="I408" s="66">
        <v>0.45624999999999999</v>
      </c>
      <c r="J408" s="51">
        <v>324.14999999999998</v>
      </c>
      <c r="K408" s="51">
        <v>12.25</v>
      </c>
      <c r="L408" s="51">
        <v>22.25</v>
      </c>
      <c r="M408" s="51">
        <v>0.97</v>
      </c>
      <c r="N408" s="51">
        <v>5.62</v>
      </c>
      <c r="O408" s="51" t="s">
        <v>48</v>
      </c>
      <c r="P408" s="51">
        <v>4</v>
      </c>
      <c r="Q408" s="51">
        <v>10</v>
      </c>
      <c r="R408" s="51" t="s">
        <v>49</v>
      </c>
      <c r="S408" s="51" t="s">
        <v>50</v>
      </c>
      <c r="T408" s="51" t="s">
        <v>50</v>
      </c>
      <c r="U408" s="51" t="s">
        <v>50</v>
      </c>
      <c r="V408" s="51" t="s">
        <v>50</v>
      </c>
      <c r="W408" s="51" t="s">
        <v>50</v>
      </c>
      <c r="X408" s="51" t="s">
        <v>50</v>
      </c>
    </row>
    <row r="409" spans="1:25" x14ac:dyDescent="0.25">
      <c r="A409" s="821">
        <v>44257</v>
      </c>
      <c r="B409" s="51" t="s">
        <v>70</v>
      </c>
      <c r="C409" s="51" t="s">
        <v>95</v>
      </c>
      <c r="D409" s="870">
        <v>38.052729999999997</v>
      </c>
      <c r="E409" s="870">
        <v>-121.51999000000001</v>
      </c>
      <c r="F409" s="51" t="s">
        <v>676</v>
      </c>
      <c r="G409" s="51" t="s">
        <v>46</v>
      </c>
      <c r="H409" s="51" t="s">
        <v>582</v>
      </c>
      <c r="I409" s="66">
        <v>0.3354166666666667</v>
      </c>
      <c r="J409" s="51">
        <v>372.72</v>
      </c>
      <c r="K409" s="51">
        <v>12.1</v>
      </c>
      <c r="L409" s="51">
        <v>17.899999999999999</v>
      </c>
      <c r="M409" s="51">
        <v>1.1100000000000001</v>
      </c>
      <c r="N409" s="51">
        <v>9.9700000000000006</v>
      </c>
      <c r="O409" s="51" t="s">
        <v>48</v>
      </c>
      <c r="P409" s="51">
        <v>4</v>
      </c>
      <c r="Q409" s="51">
        <v>10</v>
      </c>
      <c r="R409" s="51" t="s">
        <v>64</v>
      </c>
      <c r="S409" s="51" t="s">
        <v>50</v>
      </c>
      <c r="T409" s="51" t="s">
        <v>50</v>
      </c>
      <c r="U409" s="51" t="s">
        <v>50</v>
      </c>
      <c r="V409" s="51" t="s">
        <v>50</v>
      </c>
      <c r="W409" s="51" t="s">
        <v>50</v>
      </c>
      <c r="X409" s="51" t="s">
        <v>50</v>
      </c>
    </row>
    <row r="410" spans="1:25" x14ac:dyDescent="0.25">
      <c r="A410" s="821">
        <v>44257</v>
      </c>
      <c r="B410" s="51" t="s">
        <v>70</v>
      </c>
      <c r="C410" s="51" t="s">
        <v>95</v>
      </c>
      <c r="D410" s="870">
        <v>38.09055</v>
      </c>
      <c r="E410" s="870">
        <v>-121.5744</v>
      </c>
      <c r="F410" s="51" t="s">
        <v>677</v>
      </c>
      <c r="G410" s="51" t="s">
        <v>46</v>
      </c>
      <c r="H410" s="51" t="s">
        <v>582</v>
      </c>
      <c r="I410" s="66">
        <v>0.40486111111111112</v>
      </c>
      <c r="J410" s="51">
        <v>338</v>
      </c>
      <c r="K410" s="51">
        <v>12.17</v>
      </c>
      <c r="L410" s="51">
        <v>25.1</v>
      </c>
      <c r="M410" s="51">
        <v>1.1000000000000001</v>
      </c>
      <c r="N410" s="51">
        <v>11.65</v>
      </c>
      <c r="O410" s="51" t="s">
        <v>48</v>
      </c>
      <c r="P410" s="51">
        <v>4</v>
      </c>
      <c r="Q410" s="51">
        <v>10</v>
      </c>
      <c r="R410" s="51" t="s">
        <v>49</v>
      </c>
      <c r="S410" s="51" t="s">
        <v>50</v>
      </c>
      <c r="T410" s="51" t="s">
        <v>50</v>
      </c>
      <c r="U410" s="51" t="s">
        <v>50</v>
      </c>
      <c r="V410" s="51" t="s">
        <v>50</v>
      </c>
      <c r="W410" s="51" t="s">
        <v>50</v>
      </c>
      <c r="X410" s="51" t="s">
        <v>50</v>
      </c>
      <c r="Y410" s="52" t="s">
        <v>678</v>
      </c>
    </row>
    <row r="411" spans="1:25" x14ac:dyDescent="0.25">
      <c r="A411" s="821">
        <v>44257</v>
      </c>
      <c r="B411" s="51" t="s">
        <v>70</v>
      </c>
      <c r="C411" s="51" t="s">
        <v>106</v>
      </c>
      <c r="D411" s="870">
        <v>38.203249999999997</v>
      </c>
      <c r="E411" s="870">
        <v>-121.65611</v>
      </c>
      <c r="F411" s="51" t="s">
        <v>679</v>
      </c>
      <c r="G411" s="51" t="s">
        <v>90</v>
      </c>
      <c r="H411" s="51" t="s">
        <v>108</v>
      </c>
      <c r="I411" s="66">
        <v>0.32291666666666669</v>
      </c>
      <c r="J411" s="51">
        <v>237.5</v>
      </c>
      <c r="K411" s="51">
        <v>11.9</v>
      </c>
      <c r="L411" s="51">
        <v>9.33</v>
      </c>
      <c r="M411" s="51">
        <v>1.1299999999999999</v>
      </c>
      <c r="N411" s="51">
        <v>13.73</v>
      </c>
      <c r="O411" s="51" t="s">
        <v>48</v>
      </c>
      <c r="P411" s="51">
        <v>4</v>
      </c>
      <c r="Q411" s="51">
        <v>10</v>
      </c>
      <c r="R411" s="51" t="s">
        <v>49</v>
      </c>
      <c r="S411" s="51" t="s">
        <v>50</v>
      </c>
      <c r="T411" s="51" t="s">
        <v>50</v>
      </c>
      <c r="U411" s="51" t="s">
        <v>50</v>
      </c>
      <c r="V411" s="51" t="s">
        <v>50</v>
      </c>
      <c r="W411" s="51" t="s">
        <v>50</v>
      </c>
      <c r="X411" s="51" t="s">
        <v>50</v>
      </c>
      <c r="Y411" s="52" t="s">
        <v>678</v>
      </c>
    </row>
    <row r="412" spans="1:25" x14ac:dyDescent="0.25">
      <c r="A412" s="821">
        <v>44257</v>
      </c>
      <c r="B412" s="51" t="s">
        <v>70</v>
      </c>
      <c r="C412" s="51" t="s">
        <v>106</v>
      </c>
      <c r="D412" s="870">
        <v>38.559739999999998</v>
      </c>
      <c r="E412" s="870">
        <v>-121.56478</v>
      </c>
      <c r="F412" s="51" t="s">
        <v>680</v>
      </c>
      <c r="G412" s="51" t="s">
        <v>90</v>
      </c>
      <c r="H412" s="51" t="s">
        <v>158</v>
      </c>
      <c r="I412" s="66">
        <v>0.41736111111111113</v>
      </c>
      <c r="J412" s="51">
        <v>1159.25</v>
      </c>
      <c r="K412" s="51">
        <v>12.25</v>
      </c>
      <c r="L412" s="51">
        <v>7.91</v>
      </c>
      <c r="M412" s="51">
        <v>1</v>
      </c>
      <c r="N412" s="51">
        <v>10.07</v>
      </c>
      <c r="O412" s="51" t="s">
        <v>48</v>
      </c>
      <c r="P412" s="51">
        <v>4</v>
      </c>
      <c r="Q412" s="51">
        <v>10</v>
      </c>
      <c r="R412" s="51" t="s">
        <v>49</v>
      </c>
      <c r="S412" s="51" t="s">
        <v>50</v>
      </c>
      <c r="T412" s="51" t="s">
        <v>50</v>
      </c>
      <c r="U412" s="51" t="s">
        <v>50</v>
      </c>
      <c r="V412" s="51" t="s">
        <v>50</v>
      </c>
      <c r="W412" s="51" t="s">
        <v>50</v>
      </c>
      <c r="X412" s="51" t="s">
        <v>50</v>
      </c>
    </row>
    <row r="413" spans="1:25" x14ac:dyDescent="0.25">
      <c r="A413" s="821">
        <v>44257</v>
      </c>
      <c r="B413" s="51" t="s">
        <v>70</v>
      </c>
      <c r="C413" s="51" t="s">
        <v>106</v>
      </c>
      <c r="D413" s="870">
        <v>38.539670000000001</v>
      </c>
      <c r="E413" s="870">
        <v>-121.58461</v>
      </c>
      <c r="F413" s="51" t="s">
        <v>681</v>
      </c>
      <c r="G413" s="51" t="s">
        <v>90</v>
      </c>
      <c r="H413" s="51" t="s">
        <v>158</v>
      </c>
      <c r="I413" s="66">
        <v>0.47361111111111115</v>
      </c>
      <c r="J413" s="51">
        <v>1066.75</v>
      </c>
      <c r="K413" s="51">
        <v>11.85</v>
      </c>
      <c r="L413" s="51">
        <v>9.93</v>
      </c>
      <c r="M413" s="51">
        <v>0.64</v>
      </c>
      <c r="N413" s="51">
        <v>11.38</v>
      </c>
      <c r="O413" s="51" t="s">
        <v>48</v>
      </c>
      <c r="P413" s="51">
        <v>4</v>
      </c>
      <c r="Q413" s="51">
        <v>10</v>
      </c>
      <c r="R413" s="51" t="s">
        <v>49</v>
      </c>
      <c r="S413" s="51" t="s">
        <v>50</v>
      </c>
      <c r="T413" s="51" t="s">
        <v>50</v>
      </c>
      <c r="U413" s="51" t="s">
        <v>50</v>
      </c>
      <c r="V413" s="51" t="s">
        <v>50</v>
      </c>
      <c r="W413" s="51" t="s">
        <v>50</v>
      </c>
      <c r="X413" s="51" t="s">
        <v>50</v>
      </c>
    </row>
    <row r="414" spans="1:25" x14ac:dyDescent="0.25">
      <c r="A414" s="821">
        <v>44257</v>
      </c>
      <c r="B414" s="51" t="s">
        <v>70</v>
      </c>
      <c r="C414" s="51" t="s">
        <v>62</v>
      </c>
      <c r="D414" s="870">
        <v>38.113900000000001</v>
      </c>
      <c r="E414" s="870">
        <v>-122.05747</v>
      </c>
      <c r="F414" s="51" t="s">
        <v>682</v>
      </c>
      <c r="G414" s="51" t="s">
        <v>27</v>
      </c>
      <c r="H414" s="51" t="s">
        <v>173</v>
      </c>
      <c r="I414" s="66">
        <v>0.34236111111111112</v>
      </c>
      <c r="J414" s="51">
        <v>11421.5</v>
      </c>
      <c r="K414" s="51">
        <v>12.15</v>
      </c>
      <c r="L414" s="51">
        <v>110.5</v>
      </c>
      <c r="M414" s="51">
        <v>0.27</v>
      </c>
      <c r="N414" s="51">
        <v>2.35</v>
      </c>
      <c r="O414" s="51" t="s">
        <v>48</v>
      </c>
      <c r="P414" s="51">
        <v>2</v>
      </c>
      <c r="Q414" s="51">
        <v>10</v>
      </c>
      <c r="R414" s="51" t="s">
        <v>49</v>
      </c>
      <c r="S414" s="51" t="s">
        <v>50</v>
      </c>
      <c r="T414" s="51" t="s">
        <v>50</v>
      </c>
      <c r="U414" s="51" t="s">
        <v>50</v>
      </c>
      <c r="V414" s="51" t="s">
        <v>50</v>
      </c>
      <c r="W414" s="51" t="s">
        <v>50</v>
      </c>
      <c r="X414" s="51" t="s">
        <v>50</v>
      </c>
      <c r="Y414" s="52" t="s">
        <v>683</v>
      </c>
    </row>
    <row r="415" spans="1:25" s="856" customFormat="1" x14ac:dyDescent="0.25">
      <c r="A415" s="855">
        <v>44257</v>
      </c>
      <c r="B415" s="450" t="s">
        <v>70</v>
      </c>
      <c r="C415" s="450" t="s">
        <v>62</v>
      </c>
      <c r="D415" s="881">
        <v>38.113799999999998</v>
      </c>
      <c r="E415" s="881">
        <v>-121.89106</v>
      </c>
      <c r="F415" s="450" t="s">
        <v>684</v>
      </c>
      <c r="G415" s="450" t="s">
        <v>27</v>
      </c>
      <c r="H415" s="450" t="s">
        <v>62</v>
      </c>
      <c r="I415" s="451">
        <v>0.44930555555555557</v>
      </c>
      <c r="J415" s="450">
        <v>3840.5</v>
      </c>
      <c r="K415" s="450">
        <v>12.03</v>
      </c>
      <c r="L415" s="450">
        <v>58.1</v>
      </c>
      <c r="M415" s="450">
        <v>0.31</v>
      </c>
      <c r="N415" s="450">
        <v>4.05</v>
      </c>
      <c r="O415" s="450" t="s">
        <v>48</v>
      </c>
      <c r="P415" s="450">
        <v>4</v>
      </c>
      <c r="Q415" s="450">
        <v>10</v>
      </c>
      <c r="R415" s="450" t="s">
        <v>49</v>
      </c>
      <c r="S415" s="858" t="s">
        <v>31</v>
      </c>
      <c r="T415" s="450">
        <v>1</v>
      </c>
      <c r="U415" s="450" t="s">
        <v>685</v>
      </c>
      <c r="V415" s="450" t="s">
        <v>355</v>
      </c>
      <c r="W415" s="450" t="s">
        <v>50</v>
      </c>
      <c r="X415" s="450" t="s">
        <v>228</v>
      </c>
      <c r="Y415" s="453"/>
    </row>
    <row r="416" spans="1:25" s="856" customFormat="1" x14ac:dyDescent="0.25">
      <c r="A416" s="855">
        <v>44257</v>
      </c>
      <c r="B416" s="450" t="s">
        <v>70</v>
      </c>
      <c r="C416" s="450" t="s">
        <v>62</v>
      </c>
      <c r="D416" s="881">
        <v>38.113799999999998</v>
      </c>
      <c r="E416" s="881">
        <v>-121.89106</v>
      </c>
      <c r="F416" s="450" t="s">
        <v>684</v>
      </c>
      <c r="G416" s="450" t="s">
        <v>27</v>
      </c>
      <c r="H416" s="450" t="s">
        <v>62</v>
      </c>
      <c r="I416" s="451">
        <v>0.44930555555555557</v>
      </c>
      <c r="J416" s="450">
        <v>3840.5</v>
      </c>
      <c r="K416" s="450">
        <v>12.03</v>
      </c>
      <c r="L416" s="450">
        <v>58.1</v>
      </c>
      <c r="M416" s="450">
        <v>0.31</v>
      </c>
      <c r="N416" s="450">
        <v>4.05</v>
      </c>
      <c r="O416" s="450" t="s">
        <v>48</v>
      </c>
      <c r="P416" s="450">
        <v>4</v>
      </c>
      <c r="Q416" s="450">
        <v>10</v>
      </c>
      <c r="R416" s="450" t="s">
        <v>49</v>
      </c>
      <c r="S416" s="858" t="s">
        <v>31</v>
      </c>
      <c r="T416" s="450">
        <v>1</v>
      </c>
      <c r="U416" s="450" t="s">
        <v>686</v>
      </c>
      <c r="V416" s="450" t="s">
        <v>66</v>
      </c>
      <c r="W416" s="450" t="s">
        <v>50</v>
      </c>
      <c r="X416" s="450" t="s">
        <v>228</v>
      </c>
      <c r="Y416" s="453"/>
    </row>
    <row r="417" spans="1:25" s="856" customFormat="1" x14ac:dyDescent="0.25">
      <c r="A417" s="855">
        <v>44257</v>
      </c>
      <c r="B417" s="450" t="s">
        <v>70</v>
      </c>
      <c r="C417" s="450" t="s">
        <v>62</v>
      </c>
      <c r="D417" s="881">
        <v>38.126089999999998</v>
      </c>
      <c r="E417" s="881">
        <v>-122.05646</v>
      </c>
      <c r="F417" s="450" t="s">
        <v>687</v>
      </c>
      <c r="G417" s="450" t="s">
        <v>27</v>
      </c>
      <c r="H417" s="450" t="s">
        <v>62</v>
      </c>
      <c r="I417" s="451">
        <v>0.375</v>
      </c>
      <c r="J417" s="450">
        <v>9037.25</v>
      </c>
      <c r="K417" s="450">
        <v>12.3</v>
      </c>
      <c r="L417" s="450">
        <v>91.9</v>
      </c>
      <c r="M417" s="450">
        <v>0.25</v>
      </c>
      <c r="N417" s="450">
        <v>3.05</v>
      </c>
      <c r="O417" s="450" t="s">
        <v>48</v>
      </c>
      <c r="P417" s="450">
        <v>4</v>
      </c>
      <c r="Q417" s="450">
        <v>10</v>
      </c>
      <c r="R417" s="450" t="s">
        <v>49</v>
      </c>
      <c r="S417" s="858" t="s">
        <v>31</v>
      </c>
      <c r="T417" s="450">
        <v>2</v>
      </c>
      <c r="U417" s="450" t="s">
        <v>688</v>
      </c>
      <c r="V417" s="450" t="s">
        <v>66</v>
      </c>
      <c r="W417" s="450" t="s">
        <v>50</v>
      </c>
      <c r="X417" s="450" t="s">
        <v>228</v>
      </c>
      <c r="Y417" s="453"/>
    </row>
    <row r="418" spans="1:25" x14ac:dyDescent="0.25">
      <c r="A418" s="821">
        <v>44258</v>
      </c>
      <c r="B418" s="51" t="s">
        <v>87</v>
      </c>
      <c r="C418" s="51" t="s">
        <v>88</v>
      </c>
      <c r="D418" s="870">
        <v>38.167619999999999</v>
      </c>
      <c r="E418" s="870">
        <v>-121.67505</v>
      </c>
      <c r="F418" s="51" t="s">
        <v>689</v>
      </c>
      <c r="G418" s="51" t="s">
        <v>90</v>
      </c>
      <c r="H418" s="51" t="s">
        <v>91</v>
      </c>
      <c r="I418" s="66">
        <v>0.46527777777777773</v>
      </c>
      <c r="J418" s="51">
        <v>237.5</v>
      </c>
      <c r="K418" s="51">
        <v>12.1</v>
      </c>
      <c r="L418" s="51">
        <v>11.44</v>
      </c>
      <c r="M418" s="51">
        <v>1.27</v>
      </c>
      <c r="N418" s="51">
        <v>8.85</v>
      </c>
      <c r="O418" s="51" t="s">
        <v>48</v>
      </c>
      <c r="P418" s="51">
        <v>4</v>
      </c>
      <c r="Q418" s="51">
        <v>10</v>
      </c>
      <c r="R418" s="51" t="s">
        <v>49</v>
      </c>
      <c r="S418" s="51" t="s">
        <v>50</v>
      </c>
      <c r="T418" s="51" t="s">
        <v>50</v>
      </c>
      <c r="U418" s="51" t="s">
        <v>50</v>
      </c>
      <c r="V418" s="51" t="s">
        <v>50</v>
      </c>
      <c r="W418" s="51" t="s">
        <v>50</v>
      </c>
      <c r="X418" s="51" t="s">
        <v>50</v>
      </c>
    </row>
    <row r="419" spans="1:25" x14ac:dyDescent="0.25">
      <c r="A419" s="821">
        <v>44258</v>
      </c>
      <c r="B419" s="51" t="s">
        <v>87</v>
      </c>
      <c r="C419" s="51" t="s">
        <v>88</v>
      </c>
      <c r="D419" s="870">
        <v>38.105150000000002</v>
      </c>
      <c r="E419" s="870">
        <v>-121.71107000000001</v>
      </c>
      <c r="F419" s="51" t="s">
        <v>690</v>
      </c>
      <c r="G419" s="51" t="s">
        <v>90</v>
      </c>
      <c r="H419" s="51" t="s">
        <v>91</v>
      </c>
      <c r="I419" s="66">
        <v>0.40833333333333338</v>
      </c>
      <c r="J419" s="51">
        <v>422.25</v>
      </c>
      <c r="K419" s="51">
        <v>11.97</v>
      </c>
      <c r="L419" s="51">
        <v>7304.82</v>
      </c>
      <c r="M419" s="51">
        <v>0.54</v>
      </c>
      <c r="N419" s="51">
        <v>5.08</v>
      </c>
      <c r="O419" s="51" t="s">
        <v>48</v>
      </c>
      <c r="P419" s="51">
        <v>4</v>
      </c>
      <c r="Q419" s="51">
        <v>10</v>
      </c>
      <c r="R419" s="51" t="s">
        <v>49</v>
      </c>
      <c r="S419" s="51" t="s">
        <v>50</v>
      </c>
      <c r="T419" s="51" t="s">
        <v>50</v>
      </c>
      <c r="U419" s="51" t="s">
        <v>50</v>
      </c>
      <c r="V419" s="51" t="s">
        <v>50</v>
      </c>
      <c r="W419" s="51" t="s">
        <v>50</v>
      </c>
      <c r="X419" s="51" t="s">
        <v>50</v>
      </c>
    </row>
    <row r="420" spans="1:25" x14ac:dyDescent="0.25">
      <c r="A420" s="821">
        <v>44258</v>
      </c>
      <c r="B420" s="51" t="s">
        <v>87</v>
      </c>
      <c r="C420" s="51" t="s">
        <v>88</v>
      </c>
      <c r="D420" s="870">
        <v>38.057899999999997</v>
      </c>
      <c r="E420" s="870">
        <v>-121.79725000000001</v>
      </c>
      <c r="F420" s="51" t="s">
        <v>691</v>
      </c>
      <c r="G420" s="51" t="s">
        <v>27</v>
      </c>
      <c r="H420" s="51" t="s">
        <v>25</v>
      </c>
      <c r="I420" s="66">
        <v>0.34375</v>
      </c>
      <c r="J420" s="51">
        <v>3723.25</v>
      </c>
      <c r="K420" s="51">
        <v>12.17</v>
      </c>
      <c r="L420" s="51">
        <v>23.95</v>
      </c>
      <c r="M420" s="51">
        <v>0.5</v>
      </c>
      <c r="N420" s="51">
        <v>9.5</v>
      </c>
      <c r="O420" s="51" t="s">
        <v>48</v>
      </c>
      <c r="P420" s="51">
        <v>4</v>
      </c>
      <c r="Q420" s="51">
        <v>10</v>
      </c>
      <c r="R420" s="51" t="s">
        <v>49</v>
      </c>
      <c r="S420" s="51" t="s">
        <v>50</v>
      </c>
      <c r="T420" s="51" t="s">
        <v>50</v>
      </c>
      <c r="U420" s="51" t="s">
        <v>50</v>
      </c>
      <c r="V420" s="51" t="s">
        <v>50</v>
      </c>
      <c r="W420" s="51" t="s">
        <v>50</v>
      </c>
      <c r="X420" s="51" t="s">
        <v>50</v>
      </c>
    </row>
    <row r="421" spans="1:25" x14ac:dyDescent="0.25">
      <c r="A421" s="821">
        <v>44258</v>
      </c>
      <c r="B421" s="51" t="s">
        <v>87</v>
      </c>
      <c r="C421" s="51" t="s">
        <v>44</v>
      </c>
      <c r="D421" s="870">
        <v>38.058790000000002</v>
      </c>
      <c r="E421" s="870">
        <v>-121.59792</v>
      </c>
      <c r="F421" s="51" t="s">
        <v>692</v>
      </c>
      <c r="G421" s="51" t="s">
        <v>46</v>
      </c>
      <c r="H421" s="51" t="s">
        <v>47</v>
      </c>
      <c r="I421" s="66">
        <v>0.33958333333333335</v>
      </c>
      <c r="J421" s="51">
        <v>426.28</v>
      </c>
      <c r="K421" s="51">
        <v>12.17</v>
      </c>
      <c r="L421" s="51">
        <v>17.53</v>
      </c>
      <c r="M421" s="51">
        <v>1.33</v>
      </c>
      <c r="N421" s="51">
        <v>2.33</v>
      </c>
      <c r="O421" s="51" t="s">
        <v>48</v>
      </c>
      <c r="P421" s="51">
        <v>4</v>
      </c>
      <c r="Q421" s="51">
        <v>10</v>
      </c>
      <c r="R421" s="51" t="s">
        <v>64</v>
      </c>
      <c r="S421" s="51" t="s">
        <v>50</v>
      </c>
      <c r="T421" s="51" t="s">
        <v>50</v>
      </c>
      <c r="U421" s="51" t="s">
        <v>50</v>
      </c>
      <c r="V421" s="51" t="s">
        <v>50</v>
      </c>
      <c r="W421" s="51" t="s">
        <v>50</v>
      </c>
      <c r="X421" s="51" t="s">
        <v>50</v>
      </c>
      <c r="Y421" s="52" t="s">
        <v>693</v>
      </c>
    </row>
    <row r="422" spans="1:25" x14ac:dyDescent="0.25">
      <c r="A422" s="821">
        <v>44258</v>
      </c>
      <c r="B422" s="51" t="s">
        <v>87</v>
      </c>
      <c r="C422" s="51" t="s">
        <v>44</v>
      </c>
      <c r="D422" s="870">
        <v>38.045810000000003</v>
      </c>
      <c r="E422" s="870">
        <v>-121.61273</v>
      </c>
      <c r="F422" s="51" t="s">
        <v>694</v>
      </c>
      <c r="G422" s="51" t="s">
        <v>46</v>
      </c>
      <c r="H422" s="51" t="s">
        <v>47</v>
      </c>
      <c r="I422" s="66">
        <v>0.40138888888888885</v>
      </c>
      <c r="J422" s="51">
        <v>452.05</v>
      </c>
      <c r="K422" s="51">
        <v>12.22</v>
      </c>
      <c r="L422" s="51">
        <v>23.97</v>
      </c>
      <c r="M422" s="51">
        <v>1.33</v>
      </c>
      <c r="N422" s="51">
        <v>2.75</v>
      </c>
      <c r="O422" s="51" t="s">
        <v>48</v>
      </c>
      <c r="P422" s="51">
        <v>4</v>
      </c>
      <c r="Q422" s="51">
        <v>10</v>
      </c>
      <c r="R422" s="51" t="s">
        <v>49</v>
      </c>
      <c r="S422" s="51" t="s">
        <v>50</v>
      </c>
      <c r="T422" s="51" t="s">
        <v>50</v>
      </c>
      <c r="U422" s="51" t="s">
        <v>50</v>
      </c>
      <c r="V422" s="51" t="s">
        <v>50</v>
      </c>
      <c r="W422" s="51" t="s">
        <v>50</v>
      </c>
      <c r="X422" s="51" t="s">
        <v>50</v>
      </c>
      <c r="Y422" s="52" t="s">
        <v>695</v>
      </c>
    </row>
    <row r="423" spans="1:25" s="857" customFormat="1" x14ac:dyDescent="0.25">
      <c r="A423" s="446">
        <v>44258</v>
      </c>
      <c r="B423" s="424" t="s">
        <v>87</v>
      </c>
      <c r="C423" s="424" t="s">
        <v>44</v>
      </c>
      <c r="D423" s="871">
        <v>37.976329999999997</v>
      </c>
      <c r="E423" s="871">
        <v>-121.61499999999999</v>
      </c>
      <c r="F423" s="424" t="s">
        <v>696</v>
      </c>
      <c r="G423" s="424" t="s">
        <v>46</v>
      </c>
      <c r="H423" s="424" t="s">
        <v>423</v>
      </c>
      <c r="I423" s="425">
        <v>0.4861111111111111</v>
      </c>
      <c r="J423" s="424" t="s">
        <v>50</v>
      </c>
      <c r="K423" s="424" t="s">
        <v>50</v>
      </c>
      <c r="L423" s="424" t="s">
        <v>50</v>
      </c>
      <c r="M423" s="424" t="s">
        <v>50</v>
      </c>
      <c r="N423" s="424" t="s">
        <v>50</v>
      </c>
      <c r="O423" s="424" t="s">
        <v>48</v>
      </c>
      <c r="P423" s="424">
        <v>0</v>
      </c>
      <c r="Q423" s="424" t="s">
        <v>50</v>
      </c>
      <c r="R423" s="424" t="s">
        <v>50</v>
      </c>
      <c r="S423" s="424" t="s">
        <v>50</v>
      </c>
      <c r="T423" s="424" t="s">
        <v>50</v>
      </c>
      <c r="U423" s="424" t="s">
        <v>50</v>
      </c>
      <c r="V423" s="424" t="s">
        <v>50</v>
      </c>
      <c r="W423" s="424" t="s">
        <v>50</v>
      </c>
      <c r="X423" s="424" t="s">
        <v>50</v>
      </c>
      <c r="Y423" s="426" t="s">
        <v>697</v>
      </c>
    </row>
    <row r="424" spans="1:25" x14ac:dyDescent="0.25">
      <c r="A424" s="821">
        <v>44258</v>
      </c>
      <c r="B424" s="51" t="s">
        <v>87</v>
      </c>
      <c r="C424" s="51" t="s">
        <v>44</v>
      </c>
      <c r="D424" s="870">
        <v>37.971310000000003</v>
      </c>
      <c r="E424" s="870">
        <v>-121.59405</v>
      </c>
      <c r="F424" s="51" t="s">
        <v>698</v>
      </c>
      <c r="G424" s="51" t="s">
        <v>46</v>
      </c>
      <c r="H424" s="51" t="s">
        <v>423</v>
      </c>
      <c r="I424" s="66">
        <v>0.50694444444444442</v>
      </c>
      <c r="J424" s="51">
        <v>502</v>
      </c>
      <c r="K424" s="51">
        <v>12.67</v>
      </c>
      <c r="L424" s="51">
        <v>19</v>
      </c>
      <c r="M424" s="51">
        <v>1.73</v>
      </c>
      <c r="N424" s="51">
        <v>3.08</v>
      </c>
      <c r="O424" s="51" t="s">
        <v>48</v>
      </c>
      <c r="P424" s="51">
        <v>4</v>
      </c>
      <c r="Q424" s="51">
        <v>10</v>
      </c>
      <c r="R424" s="51" t="s">
        <v>49</v>
      </c>
      <c r="S424" s="51" t="s">
        <v>50</v>
      </c>
      <c r="T424" s="51" t="s">
        <v>50</v>
      </c>
      <c r="U424" s="51" t="s">
        <v>50</v>
      </c>
      <c r="V424" s="51" t="s">
        <v>50</v>
      </c>
      <c r="W424" s="51" t="s">
        <v>50</v>
      </c>
      <c r="X424" s="51" t="s">
        <v>50</v>
      </c>
      <c r="Y424" s="52" t="s">
        <v>699</v>
      </c>
    </row>
    <row r="425" spans="1:25" x14ac:dyDescent="0.25">
      <c r="A425" s="821">
        <v>44258</v>
      </c>
      <c r="B425" s="51" t="s">
        <v>87</v>
      </c>
      <c r="C425" s="51" t="s">
        <v>78</v>
      </c>
      <c r="D425" s="870">
        <v>38.08323</v>
      </c>
      <c r="E425" s="870">
        <v>-121.99894</v>
      </c>
      <c r="F425" s="51" t="s">
        <v>700</v>
      </c>
      <c r="G425" s="51" t="s">
        <v>27</v>
      </c>
      <c r="H425" s="51" t="s">
        <v>86</v>
      </c>
      <c r="I425" s="66">
        <v>0.34861111111111115</v>
      </c>
      <c r="J425" s="51">
        <v>14797.5</v>
      </c>
      <c r="K425" s="51">
        <v>12.38</v>
      </c>
      <c r="L425" s="51">
        <v>26.8</v>
      </c>
      <c r="M425" s="51">
        <v>0.49</v>
      </c>
      <c r="N425" s="51">
        <v>9.4499999999999993</v>
      </c>
      <c r="O425" s="51" t="s">
        <v>48</v>
      </c>
      <c r="P425" s="51">
        <v>4</v>
      </c>
      <c r="Q425" s="51">
        <v>10</v>
      </c>
      <c r="R425" s="51" t="s">
        <v>49</v>
      </c>
      <c r="S425" s="51" t="s">
        <v>50</v>
      </c>
      <c r="T425" s="51" t="s">
        <v>50</v>
      </c>
      <c r="U425" s="51" t="s">
        <v>50</v>
      </c>
      <c r="V425" s="51" t="s">
        <v>50</v>
      </c>
      <c r="W425" s="51" t="s">
        <v>50</v>
      </c>
      <c r="X425" s="51" t="s">
        <v>50</v>
      </c>
    </row>
    <row r="426" spans="1:25" s="878" customFormat="1" x14ac:dyDescent="0.25">
      <c r="A426" s="876">
        <v>44258</v>
      </c>
      <c r="B426" s="437" t="s">
        <v>87</v>
      </c>
      <c r="C426" s="437" t="s">
        <v>78</v>
      </c>
      <c r="D426" s="897">
        <v>38.056379999999997</v>
      </c>
      <c r="E426" s="897">
        <v>-122.04335</v>
      </c>
      <c r="F426" s="437" t="s">
        <v>701</v>
      </c>
      <c r="G426" s="437" t="s">
        <v>27</v>
      </c>
      <c r="H426" s="437" t="s">
        <v>86</v>
      </c>
      <c r="I426" s="438">
        <v>0.4694444444444445</v>
      </c>
      <c r="J426" s="437">
        <v>15127.75</v>
      </c>
      <c r="K426" s="437">
        <v>12.55</v>
      </c>
      <c r="L426" s="437">
        <v>34.97</v>
      </c>
      <c r="M426" s="437">
        <v>0.49</v>
      </c>
      <c r="N426" s="437">
        <v>9.5500000000000007</v>
      </c>
      <c r="O426" s="437" t="s">
        <v>48</v>
      </c>
      <c r="P426" s="437">
        <v>4</v>
      </c>
      <c r="Q426" s="437">
        <v>10</v>
      </c>
      <c r="R426" s="437" t="s">
        <v>49</v>
      </c>
      <c r="S426" s="877" t="s">
        <v>702</v>
      </c>
      <c r="T426" s="437">
        <v>1</v>
      </c>
      <c r="U426" s="437" t="s">
        <v>324</v>
      </c>
      <c r="V426" s="437" t="s">
        <v>50</v>
      </c>
      <c r="W426" s="437" t="s">
        <v>574</v>
      </c>
      <c r="X426" s="437" t="s">
        <v>228</v>
      </c>
      <c r="Y426" s="440"/>
    </row>
    <row r="427" spans="1:25" x14ac:dyDescent="0.25">
      <c r="A427" s="821">
        <v>44258</v>
      </c>
      <c r="B427" s="51" t="s">
        <v>87</v>
      </c>
      <c r="C427" s="51" t="s">
        <v>78</v>
      </c>
      <c r="D427" s="870">
        <v>38.096800000000002</v>
      </c>
      <c r="E427" s="870">
        <v>-122.06028999999999</v>
      </c>
      <c r="F427" s="51" t="s">
        <v>703</v>
      </c>
      <c r="G427" s="51" t="s">
        <v>27</v>
      </c>
      <c r="H427" s="51" t="s">
        <v>86</v>
      </c>
      <c r="I427" s="66">
        <v>0.4055555555555555</v>
      </c>
      <c r="J427" s="51">
        <v>13272.5</v>
      </c>
      <c r="K427" s="51">
        <v>12.35</v>
      </c>
      <c r="L427" s="51">
        <v>33</v>
      </c>
      <c r="M427" s="51">
        <v>0.45</v>
      </c>
      <c r="N427" s="51">
        <v>9.0500000000000007</v>
      </c>
      <c r="O427" s="51" t="s">
        <v>48</v>
      </c>
      <c r="P427" s="51">
        <v>4</v>
      </c>
      <c r="Q427" s="51">
        <v>10</v>
      </c>
      <c r="R427" s="51" t="s">
        <v>49</v>
      </c>
      <c r="S427" s="51" t="s">
        <v>50</v>
      </c>
      <c r="T427" s="51" t="s">
        <v>50</v>
      </c>
      <c r="U427" s="51" t="s">
        <v>50</v>
      </c>
      <c r="V427" s="51" t="s">
        <v>50</v>
      </c>
      <c r="W427" s="51" t="s">
        <v>50</v>
      </c>
      <c r="X427" s="51" t="s">
        <v>50</v>
      </c>
    </row>
    <row r="428" spans="1:25" x14ac:dyDescent="0.25">
      <c r="A428" s="821">
        <v>44259</v>
      </c>
      <c r="B428" s="51" t="s">
        <v>105</v>
      </c>
      <c r="C428" s="51" t="s">
        <v>88</v>
      </c>
      <c r="D428" s="870">
        <v>38.109070000000003</v>
      </c>
      <c r="E428" s="870">
        <v>-121.70264</v>
      </c>
      <c r="F428" s="51" t="s">
        <v>704</v>
      </c>
      <c r="G428" s="51" t="s">
        <v>90</v>
      </c>
      <c r="H428" s="51" t="s">
        <v>91</v>
      </c>
      <c r="I428" s="66">
        <v>0.44930555555555557</v>
      </c>
      <c r="J428" s="51">
        <v>351.53</v>
      </c>
      <c r="K428" s="51">
        <v>12.1</v>
      </c>
      <c r="L428" s="51">
        <v>11.25</v>
      </c>
      <c r="M428" s="51">
        <v>0.78</v>
      </c>
      <c r="N428" s="51">
        <v>8.07</v>
      </c>
      <c r="O428" s="51" t="s">
        <v>48</v>
      </c>
      <c r="P428" s="51">
        <v>4</v>
      </c>
      <c r="Q428" s="51">
        <v>10</v>
      </c>
      <c r="R428" s="51" t="s">
        <v>49</v>
      </c>
      <c r="S428" s="51" t="s">
        <v>50</v>
      </c>
      <c r="T428" s="51" t="s">
        <v>50</v>
      </c>
      <c r="U428" s="51" t="s">
        <v>50</v>
      </c>
      <c r="V428" s="51" t="s">
        <v>50</v>
      </c>
      <c r="W428" s="51" t="s">
        <v>50</v>
      </c>
      <c r="X428" s="51" t="s">
        <v>50</v>
      </c>
    </row>
    <row r="429" spans="1:25" x14ac:dyDescent="0.25">
      <c r="A429" s="821">
        <v>44259</v>
      </c>
      <c r="B429" s="51" t="s">
        <v>105</v>
      </c>
      <c r="C429" s="51" t="s">
        <v>88</v>
      </c>
      <c r="D429" s="870">
        <v>38.114910000000002</v>
      </c>
      <c r="E429" s="870">
        <v>-121.68348</v>
      </c>
      <c r="F429" s="51" t="s">
        <v>705</v>
      </c>
      <c r="G429" s="51" t="s">
        <v>90</v>
      </c>
      <c r="H429" s="51" t="s">
        <v>91</v>
      </c>
      <c r="I429" s="66">
        <v>0.3972222222222222</v>
      </c>
      <c r="J429" s="51">
        <v>382.35</v>
      </c>
      <c r="K429" s="51">
        <v>11.92</v>
      </c>
      <c r="L429" s="51">
        <v>12.45</v>
      </c>
      <c r="M429" s="51">
        <v>0.65</v>
      </c>
      <c r="N429" s="51">
        <v>18.12</v>
      </c>
      <c r="O429" s="51" t="s">
        <v>48</v>
      </c>
      <c r="P429" s="51">
        <v>4</v>
      </c>
      <c r="Q429" s="51">
        <v>10</v>
      </c>
      <c r="R429" s="51" t="s">
        <v>49</v>
      </c>
      <c r="S429" s="51" t="s">
        <v>50</v>
      </c>
      <c r="T429" s="51" t="s">
        <v>50</v>
      </c>
      <c r="U429" s="51" t="s">
        <v>50</v>
      </c>
      <c r="V429" s="51" t="s">
        <v>50</v>
      </c>
      <c r="W429" s="51" t="s">
        <v>50</v>
      </c>
      <c r="X429" s="51" t="s">
        <v>50</v>
      </c>
    </row>
    <row r="430" spans="1:25" x14ac:dyDescent="0.25">
      <c r="A430" s="821">
        <v>44259</v>
      </c>
      <c r="B430" s="51" t="s">
        <v>105</v>
      </c>
      <c r="C430" s="51" t="s">
        <v>88</v>
      </c>
      <c r="D430" s="870">
        <v>38.064689999999999</v>
      </c>
      <c r="E430" s="870">
        <v>-121.7787</v>
      </c>
      <c r="F430" s="51" t="s">
        <v>706</v>
      </c>
      <c r="G430" s="51" t="s">
        <v>27</v>
      </c>
      <c r="H430" s="51" t="s">
        <v>25</v>
      </c>
      <c r="I430" s="66">
        <v>0.33819444444444446</v>
      </c>
      <c r="J430" s="51">
        <v>4537.5</v>
      </c>
      <c r="K430" s="51">
        <v>12.1</v>
      </c>
      <c r="L430" s="51">
        <v>24.93</v>
      </c>
      <c r="M430" s="51">
        <v>0.36</v>
      </c>
      <c r="N430" s="51">
        <v>8.9700000000000006</v>
      </c>
      <c r="O430" s="51" t="s">
        <v>48</v>
      </c>
      <c r="P430" s="51">
        <v>4</v>
      </c>
      <c r="Q430" s="51">
        <v>10</v>
      </c>
      <c r="R430" s="51" t="s">
        <v>49</v>
      </c>
      <c r="S430" s="51" t="s">
        <v>50</v>
      </c>
      <c r="T430" s="51" t="s">
        <v>50</v>
      </c>
      <c r="U430" s="51" t="s">
        <v>50</v>
      </c>
      <c r="V430" s="51" t="s">
        <v>50</v>
      </c>
      <c r="W430" s="51" t="s">
        <v>50</v>
      </c>
      <c r="X430" s="51" t="s">
        <v>50</v>
      </c>
    </row>
    <row r="431" spans="1:25" x14ac:dyDescent="0.25">
      <c r="A431" s="821">
        <v>44259</v>
      </c>
      <c r="B431" s="51" t="s">
        <v>105</v>
      </c>
      <c r="C431" s="51" t="s">
        <v>44</v>
      </c>
      <c r="D431" s="870">
        <v>37.789560000000002</v>
      </c>
      <c r="E431" s="870">
        <v>-121.50617</v>
      </c>
      <c r="F431" s="51" t="s">
        <v>707</v>
      </c>
      <c r="G431" s="51" t="s">
        <v>46</v>
      </c>
      <c r="H431" s="51" t="s">
        <v>376</v>
      </c>
      <c r="I431" s="66">
        <v>0.44722222222222219</v>
      </c>
      <c r="J431" s="51">
        <v>979.33</v>
      </c>
      <c r="K431" s="51">
        <v>13.03</v>
      </c>
      <c r="L431" s="51">
        <v>20.73</v>
      </c>
      <c r="M431" s="51">
        <v>1.58</v>
      </c>
      <c r="N431" s="51">
        <v>3.3</v>
      </c>
      <c r="O431" s="51" t="s">
        <v>48</v>
      </c>
      <c r="P431" s="51">
        <v>3</v>
      </c>
      <c r="Q431" s="51">
        <v>10</v>
      </c>
      <c r="R431" s="51" t="s">
        <v>64</v>
      </c>
      <c r="S431" s="51" t="s">
        <v>50</v>
      </c>
      <c r="T431" s="51" t="s">
        <v>50</v>
      </c>
      <c r="U431" s="51" t="s">
        <v>50</v>
      </c>
      <c r="V431" s="51" t="s">
        <v>50</v>
      </c>
      <c r="W431" s="51" t="s">
        <v>50</v>
      </c>
      <c r="X431" s="51" t="s">
        <v>50</v>
      </c>
      <c r="Y431" s="52" t="s">
        <v>708</v>
      </c>
    </row>
    <row r="432" spans="1:25" x14ac:dyDescent="0.25">
      <c r="A432" s="821">
        <v>44259</v>
      </c>
      <c r="B432" s="51" t="s">
        <v>105</v>
      </c>
      <c r="C432" s="51" t="s">
        <v>44</v>
      </c>
      <c r="D432" s="870">
        <v>37.975169999999999</v>
      </c>
      <c r="E432" s="870">
        <v>-121.5141</v>
      </c>
      <c r="F432" s="51" t="s">
        <v>709</v>
      </c>
      <c r="G432" s="51" t="s">
        <v>46</v>
      </c>
      <c r="H432" s="51" t="s">
        <v>59</v>
      </c>
      <c r="I432" s="66">
        <v>0.35625000000000001</v>
      </c>
      <c r="J432" s="51">
        <v>454.92</v>
      </c>
      <c r="K432" s="51">
        <v>12.42</v>
      </c>
      <c r="L432" s="51">
        <v>17.57</v>
      </c>
      <c r="M432" s="51">
        <v>1.36</v>
      </c>
      <c r="N432" s="51">
        <v>5.42</v>
      </c>
      <c r="O432" s="51" t="s">
        <v>48</v>
      </c>
      <c r="P432" s="51">
        <v>4</v>
      </c>
      <c r="Q432" s="51">
        <v>10</v>
      </c>
      <c r="R432" s="51" t="s">
        <v>49</v>
      </c>
      <c r="S432" s="51" t="s">
        <v>50</v>
      </c>
      <c r="T432" s="51" t="s">
        <v>50</v>
      </c>
      <c r="U432" s="51" t="s">
        <v>50</v>
      </c>
      <c r="V432" s="51" t="s">
        <v>50</v>
      </c>
      <c r="W432" s="51" t="s">
        <v>50</v>
      </c>
      <c r="X432" s="51" t="s">
        <v>50</v>
      </c>
    </row>
    <row r="433" spans="1:25" x14ac:dyDescent="0.25">
      <c r="A433" s="821">
        <v>44259</v>
      </c>
      <c r="B433" s="51" t="s">
        <v>105</v>
      </c>
      <c r="C433" s="51" t="s">
        <v>78</v>
      </c>
      <c r="D433" s="870">
        <v>38.063540000000003</v>
      </c>
      <c r="E433" s="870">
        <v>-121.85939</v>
      </c>
      <c r="F433" s="51" t="s">
        <v>710</v>
      </c>
      <c r="G433" s="51" t="s">
        <v>27</v>
      </c>
      <c r="H433" s="51" t="s">
        <v>101</v>
      </c>
      <c r="I433" s="66">
        <v>0.46319444444444446</v>
      </c>
      <c r="J433" s="51">
        <v>5501.25</v>
      </c>
      <c r="K433" s="51">
        <v>12.35</v>
      </c>
      <c r="L433" s="51">
        <v>41.55</v>
      </c>
      <c r="M433" s="51">
        <v>0.39</v>
      </c>
      <c r="N433" s="51">
        <v>16.399999999999999</v>
      </c>
      <c r="O433" s="51" t="s">
        <v>48</v>
      </c>
      <c r="P433" s="51">
        <v>4</v>
      </c>
      <c r="Q433" s="51">
        <v>10</v>
      </c>
      <c r="R433" s="51" t="s">
        <v>49</v>
      </c>
      <c r="S433" s="51" t="s">
        <v>50</v>
      </c>
      <c r="T433" s="51" t="s">
        <v>50</v>
      </c>
      <c r="U433" s="51" t="s">
        <v>50</v>
      </c>
      <c r="V433" s="51" t="s">
        <v>50</v>
      </c>
      <c r="W433" s="51" t="s">
        <v>50</v>
      </c>
      <c r="X433" s="51" t="s">
        <v>50</v>
      </c>
    </row>
    <row r="434" spans="1:25" x14ac:dyDescent="0.25">
      <c r="A434" s="821">
        <v>44259</v>
      </c>
      <c r="B434" s="51" t="s">
        <v>105</v>
      </c>
      <c r="C434" s="51" t="s">
        <v>78</v>
      </c>
      <c r="D434" s="870">
        <v>38.04889</v>
      </c>
      <c r="E434" s="870">
        <v>-121.96581</v>
      </c>
      <c r="F434" s="51" t="s">
        <v>711</v>
      </c>
      <c r="G434" s="51" t="s">
        <v>27</v>
      </c>
      <c r="H434" s="51" t="s">
        <v>170</v>
      </c>
      <c r="I434" s="66">
        <v>0.3520833333333333</v>
      </c>
      <c r="J434" s="51">
        <v>14246</v>
      </c>
      <c r="K434" s="51">
        <v>12.28</v>
      </c>
      <c r="L434" s="51">
        <v>24.22</v>
      </c>
      <c r="M434" s="51">
        <v>0.49</v>
      </c>
      <c r="N434" s="51">
        <v>4.75</v>
      </c>
      <c r="O434" s="51" t="s">
        <v>48</v>
      </c>
      <c r="P434" s="51">
        <v>4</v>
      </c>
      <c r="Q434" s="51">
        <v>10</v>
      </c>
      <c r="R434" s="51" t="s">
        <v>49</v>
      </c>
      <c r="S434" s="51" t="s">
        <v>50</v>
      </c>
      <c r="T434" s="51" t="s">
        <v>50</v>
      </c>
      <c r="U434" s="51" t="s">
        <v>50</v>
      </c>
      <c r="V434" s="51" t="s">
        <v>50</v>
      </c>
      <c r="W434" s="51" t="s">
        <v>50</v>
      </c>
      <c r="X434" s="51" t="s">
        <v>50</v>
      </c>
    </row>
    <row r="435" spans="1:25" s="854" customFormat="1" x14ac:dyDescent="0.25">
      <c r="A435" s="853">
        <v>44259</v>
      </c>
      <c r="B435" s="74" t="s">
        <v>105</v>
      </c>
      <c r="C435" s="74" t="s">
        <v>78</v>
      </c>
      <c r="D435" s="882">
        <v>38.061610000000002</v>
      </c>
      <c r="E435" s="882">
        <v>-121.98059000000001</v>
      </c>
      <c r="F435" s="74" t="s">
        <v>712</v>
      </c>
      <c r="G435" s="74" t="s">
        <v>27</v>
      </c>
      <c r="H435" s="74" t="s">
        <v>86</v>
      </c>
      <c r="I435" s="73">
        <v>0.40486111111111112</v>
      </c>
      <c r="J435" s="74">
        <v>12161.5</v>
      </c>
      <c r="K435" s="74">
        <v>12.3</v>
      </c>
      <c r="L435" s="74">
        <v>28</v>
      </c>
      <c r="M435" s="74">
        <v>0.47</v>
      </c>
      <c r="N435" s="74">
        <v>14.8</v>
      </c>
      <c r="O435" s="74" t="s">
        <v>48</v>
      </c>
      <c r="P435" s="74">
        <v>4</v>
      </c>
      <c r="Q435" s="74">
        <v>10</v>
      </c>
      <c r="R435" s="74" t="s">
        <v>49</v>
      </c>
      <c r="S435" s="74" t="s">
        <v>50</v>
      </c>
      <c r="T435" s="74" t="s">
        <v>50</v>
      </c>
      <c r="U435" s="74" t="s">
        <v>50</v>
      </c>
      <c r="V435" s="74" t="s">
        <v>50</v>
      </c>
      <c r="W435" s="74" t="s">
        <v>50</v>
      </c>
      <c r="X435" s="74" t="s">
        <v>50</v>
      </c>
      <c r="Y435" s="77" t="s">
        <v>713</v>
      </c>
    </row>
    <row r="436" spans="1:25" x14ac:dyDescent="0.25">
      <c r="A436" s="821">
        <v>44263</v>
      </c>
      <c r="B436" s="51" t="s">
        <v>43</v>
      </c>
      <c r="C436" s="51" t="s">
        <v>95</v>
      </c>
      <c r="D436" s="870">
        <v>38.044179999999997</v>
      </c>
      <c r="E436" s="870">
        <v>-121.49918</v>
      </c>
      <c r="F436" s="51" t="s">
        <v>714</v>
      </c>
      <c r="G436" s="51" t="s">
        <v>46</v>
      </c>
      <c r="H436" s="51" t="s">
        <v>582</v>
      </c>
      <c r="I436" s="66">
        <v>0.34236111111111112</v>
      </c>
      <c r="J436" s="51">
        <v>403</v>
      </c>
      <c r="K436" s="51">
        <v>13.2</v>
      </c>
      <c r="L436" s="51">
        <v>9.27</v>
      </c>
      <c r="M436" s="51">
        <v>1.8</v>
      </c>
      <c r="N436" s="51">
        <v>9.6999999999999993</v>
      </c>
      <c r="O436" s="51" t="s">
        <v>48</v>
      </c>
      <c r="P436" s="51">
        <v>2</v>
      </c>
      <c r="Q436" s="51">
        <v>10</v>
      </c>
      <c r="R436" s="51" t="s">
        <v>64</v>
      </c>
      <c r="S436" s="51" t="s">
        <v>50</v>
      </c>
      <c r="T436" s="51" t="s">
        <v>50</v>
      </c>
      <c r="U436" s="51" t="s">
        <v>50</v>
      </c>
      <c r="V436" s="51" t="s">
        <v>50</v>
      </c>
      <c r="W436" s="51" t="s">
        <v>50</v>
      </c>
      <c r="X436" s="51" t="s">
        <v>50</v>
      </c>
      <c r="Y436" s="52" t="s">
        <v>678</v>
      </c>
    </row>
    <row r="437" spans="1:25" x14ac:dyDescent="0.25">
      <c r="A437" s="821">
        <v>44263</v>
      </c>
      <c r="B437" s="51" t="s">
        <v>43</v>
      </c>
      <c r="C437" s="51" t="s">
        <v>95</v>
      </c>
      <c r="D437" s="870">
        <v>38.082180000000001</v>
      </c>
      <c r="E437" s="870">
        <v>-121.57006</v>
      </c>
      <c r="F437" s="51" t="s">
        <v>715</v>
      </c>
      <c r="G437" s="51" t="s">
        <v>46</v>
      </c>
      <c r="H437" s="51" t="s">
        <v>582</v>
      </c>
      <c r="I437" s="66">
        <v>0.40138888888888885</v>
      </c>
      <c r="J437" s="51">
        <v>323</v>
      </c>
      <c r="K437" s="51">
        <v>12.95</v>
      </c>
      <c r="L437" s="51">
        <v>20.45</v>
      </c>
      <c r="M437" s="51">
        <v>1.8</v>
      </c>
      <c r="N437" s="51">
        <v>5.85</v>
      </c>
      <c r="O437" s="51" t="s">
        <v>48</v>
      </c>
      <c r="P437" s="51">
        <v>2</v>
      </c>
      <c r="Q437" s="51">
        <v>10</v>
      </c>
      <c r="R437" s="51" t="s">
        <v>64</v>
      </c>
      <c r="S437" s="51" t="s">
        <v>50</v>
      </c>
      <c r="T437" s="51" t="s">
        <v>50</v>
      </c>
      <c r="U437" s="51" t="s">
        <v>50</v>
      </c>
      <c r="V437" s="51" t="s">
        <v>50</v>
      </c>
      <c r="W437" s="51" t="s">
        <v>50</v>
      </c>
      <c r="X437" s="51" t="s">
        <v>50</v>
      </c>
      <c r="Y437" s="52" t="s">
        <v>716</v>
      </c>
    </row>
    <row r="438" spans="1:25" x14ac:dyDescent="0.25">
      <c r="A438" s="821">
        <v>44263</v>
      </c>
      <c r="B438" s="51" t="s">
        <v>43</v>
      </c>
      <c r="C438" s="51" t="s">
        <v>95</v>
      </c>
      <c r="D438" s="870">
        <v>38.051499999999997</v>
      </c>
      <c r="E438" s="870">
        <v>-121.50708</v>
      </c>
      <c r="F438" s="51" t="s">
        <v>717</v>
      </c>
      <c r="G438" s="51" t="s">
        <v>46</v>
      </c>
      <c r="H438" s="51" t="s">
        <v>582</v>
      </c>
      <c r="I438" s="66">
        <v>0.37013888888888885</v>
      </c>
      <c r="J438" s="51">
        <v>401.15</v>
      </c>
      <c r="K438" s="51">
        <v>13.1</v>
      </c>
      <c r="L438" s="51">
        <v>23.3</v>
      </c>
      <c r="M438" s="51">
        <v>1.8</v>
      </c>
      <c r="N438" s="51">
        <v>12.2</v>
      </c>
      <c r="O438" s="51" t="s">
        <v>48</v>
      </c>
      <c r="P438" s="51">
        <v>2</v>
      </c>
      <c r="Q438" s="51">
        <v>10</v>
      </c>
      <c r="R438" s="51" t="s">
        <v>64</v>
      </c>
      <c r="S438" s="51" t="s">
        <v>50</v>
      </c>
      <c r="T438" s="51" t="s">
        <v>50</v>
      </c>
      <c r="U438" s="51" t="s">
        <v>50</v>
      </c>
      <c r="V438" s="51" t="s">
        <v>50</v>
      </c>
      <c r="W438" s="51" t="s">
        <v>50</v>
      </c>
      <c r="X438" s="51" t="s">
        <v>50</v>
      </c>
    </row>
    <row r="439" spans="1:25" x14ac:dyDescent="0.25">
      <c r="A439" s="821">
        <v>44263</v>
      </c>
      <c r="B439" s="51" t="s">
        <v>43</v>
      </c>
      <c r="C439" s="51" t="s">
        <v>95</v>
      </c>
      <c r="D439" s="870">
        <v>38.064920000000001</v>
      </c>
      <c r="E439" s="870">
        <v>-121.67655999999999</v>
      </c>
      <c r="F439" s="51" t="s">
        <v>718</v>
      </c>
      <c r="G439" s="51" t="s">
        <v>46</v>
      </c>
      <c r="H439" s="51" t="s">
        <v>97</v>
      </c>
      <c r="I439" s="66">
        <v>0.5083333333333333</v>
      </c>
      <c r="J439" s="51">
        <v>740</v>
      </c>
      <c r="K439" s="51">
        <v>12.8</v>
      </c>
      <c r="L439" s="51">
        <v>28.3</v>
      </c>
      <c r="M439" s="51">
        <v>0.92</v>
      </c>
      <c r="N439" s="51">
        <v>10.85</v>
      </c>
      <c r="O439" s="51" t="s">
        <v>48</v>
      </c>
      <c r="P439" s="51">
        <v>2</v>
      </c>
      <c r="Q439" s="51">
        <v>10</v>
      </c>
      <c r="R439" s="51" t="s">
        <v>64</v>
      </c>
      <c r="S439" s="51" t="s">
        <v>50</v>
      </c>
      <c r="T439" s="51" t="s">
        <v>50</v>
      </c>
      <c r="U439" s="51" t="s">
        <v>50</v>
      </c>
      <c r="V439" s="51" t="s">
        <v>50</v>
      </c>
      <c r="W439" s="51" t="s">
        <v>50</v>
      </c>
      <c r="X439" s="51" t="s">
        <v>50</v>
      </c>
    </row>
    <row r="440" spans="1:25" x14ac:dyDescent="0.25">
      <c r="A440" s="821">
        <v>44263</v>
      </c>
      <c r="B440" s="51" t="s">
        <v>43</v>
      </c>
      <c r="C440" s="51" t="s">
        <v>95</v>
      </c>
      <c r="D440" s="870">
        <v>38.04636</v>
      </c>
      <c r="E440" s="870">
        <v>-121.69385</v>
      </c>
      <c r="F440" s="51" t="s">
        <v>719</v>
      </c>
      <c r="G440" s="51" t="s">
        <v>27</v>
      </c>
      <c r="H440" s="51" t="s">
        <v>95</v>
      </c>
      <c r="I440" s="66">
        <v>0.48125000000000001</v>
      </c>
      <c r="J440" s="51">
        <v>930.5</v>
      </c>
      <c r="K440" s="51">
        <v>12.8</v>
      </c>
      <c r="L440" s="51">
        <v>30.3</v>
      </c>
      <c r="M440" s="51">
        <v>1.03</v>
      </c>
      <c r="N440" s="51">
        <v>11.85</v>
      </c>
      <c r="O440" s="51" t="s">
        <v>48</v>
      </c>
      <c r="P440" s="51">
        <v>2</v>
      </c>
      <c r="Q440" s="51">
        <v>10</v>
      </c>
      <c r="R440" s="51" t="s">
        <v>64</v>
      </c>
      <c r="S440" s="51" t="s">
        <v>50</v>
      </c>
      <c r="T440" s="51" t="s">
        <v>50</v>
      </c>
      <c r="U440" s="51" t="s">
        <v>50</v>
      </c>
      <c r="V440" s="51" t="s">
        <v>50</v>
      </c>
      <c r="W440" s="51" t="s">
        <v>50</v>
      </c>
      <c r="X440" s="51" t="s">
        <v>50</v>
      </c>
      <c r="Y440" s="52" t="s">
        <v>386</v>
      </c>
    </row>
    <row r="441" spans="1:25" x14ac:dyDescent="0.25">
      <c r="A441" s="821">
        <v>44263</v>
      </c>
      <c r="B441" s="51" t="s">
        <v>43</v>
      </c>
      <c r="C441" s="51" t="s">
        <v>95</v>
      </c>
      <c r="D441" s="870">
        <v>38.026670000000003</v>
      </c>
      <c r="E441" s="870">
        <v>-121.78151</v>
      </c>
      <c r="F441" s="51" t="s">
        <v>720</v>
      </c>
      <c r="G441" s="51" t="s">
        <v>27</v>
      </c>
      <c r="H441" s="51" t="s">
        <v>95</v>
      </c>
      <c r="I441" s="66">
        <v>0.45069444444444445</v>
      </c>
      <c r="J441" s="51">
        <v>2227</v>
      </c>
      <c r="K441" s="51">
        <v>12.5</v>
      </c>
      <c r="L441" s="51">
        <v>42.5</v>
      </c>
      <c r="M441" s="51">
        <v>0.55000000000000004</v>
      </c>
      <c r="N441" s="51">
        <v>12.7</v>
      </c>
      <c r="O441" s="51" t="s">
        <v>48</v>
      </c>
      <c r="P441" s="51">
        <v>2</v>
      </c>
      <c r="Q441" s="51">
        <v>10</v>
      </c>
      <c r="R441" s="51" t="s">
        <v>64</v>
      </c>
      <c r="S441" s="51" t="s">
        <v>50</v>
      </c>
      <c r="T441" s="51" t="s">
        <v>50</v>
      </c>
      <c r="U441" s="51" t="s">
        <v>50</v>
      </c>
      <c r="V441" s="51" t="s">
        <v>50</v>
      </c>
      <c r="W441" s="51" t="s">
        <v>50</v>
      </c>
      <c r="X441" s="51" t="s">
        <v>50</v>
      </c>
    </row>
    <row r="442" spans="1:25" s="878" customFormat="1" x14ac:dyDescent="0.25">
      <c r="A442" s="876">
        <v>44263</v>
      </c>
      <c r="B442" s="437" t="s">
        <v>43</v>
      </c>
      <c r="C442" s="437" t="s">
        <v>106</v>
      </c>
      <c r="D442" s="897">
        <v>38.563569999999999</v>
      </c>
      <c r="E442" s="897">
        <v>-121.55314</v>
      </c>
      <c r="F442" s="437" t="s">
        <v>721</v>
      </c>
      <c r="G442" s="437" t="s">
        <v>90</v>
      </c>
      <c r="H442" s="437" t="s">
        <v>722</v>
      </c>
      <c r="I442" s="438">
        <v>0.37152777777777773</v>
      </c>
      <c r="J442" s="437">
        <v>1214</v>
      </c>
      <c r="K442" s="437">
        <v>12.75</v>
      </c>
      <c r="L442" s="437">
        <v>3.52</v>
      </c>
      <c r="M442" s="437">
        <v>1.4</v>
      </c>
      <c r="N442" s="437">
        <v>11.35</v>
      </c>
      <c r="O442" s="437" t="s">
        <v>48</v>
      </c>
      <c r="P442" s="437">
        <v>2</v>
      </c>
      <c r="Q442" s="437">
        <v>10</v>
      </c>
      <c r="R442" s="437" t="s">
        <v>64</v>
      </c>
      <c r="S442" s="877" t="s">
        <v>449</v>
      </c>
      <c r="T442" s="437">
        <v>1</v>
      </c>
      <c r="U442" s="437" t="s">
        <v>563</v>
      </c>
      <c r="V442" s="437" t="s">
        <v>50</v>
      </c>
      <c r="W442" s="437" t="s">
        <v>350</v>
      </c>
      <c r="X442" s="437" t="s">
        <v>351</v>
      </c>
      <c r="Y442" s="440" t="s">
        <v>723</v>
      </c>
    </row>
    <row r="443" spans="1:25" x14ac:dyDescent="0.25">
      <c r="A443" s="821">
        <v>44264</v>
      </c>
      <c r="B443" s="51" t="s">
        <v>70</v>
      </c>
      <c r="C443" s="51" t="s">
        <v>162</v>
      </c>
      <c r="D443" s="870">
        <v>38.277140000000003</v>
      </c>
      <c r="E443" s="870">
        <v>-121.69525</v>
      </c>
      <c r="F443" s="51" t="s">
        <v>724</v>
      </c>
      <c r="G443" s="51" t="s">
        <v>90</v>
      </c>
      <c r="H443" s="51" t="s">
        <v>126</v>
      </c>
      <c r="I443" s="66">
        <v>0.37986111111111115</v>
      </c>
      <c r="J443" s="51">
        <v>295.05</v>
      </c>
      <c r="K443" s="51">
        <v>12.6</v>
      </c>
      <c r="L443" s="51">
        <v>4.62</v>
      </c>
      <c r="M443" s="51">
        <v>1.8</v>
      </c>
      <c r="N443" s="51">
        <v>6.7</v>
      </c>
      <c r="O443" s="51" t="s">
        <v>48</v>
      </c>
      <c r="P443" s="51">
        <v>2</v>
      </c>
      <c r="Q443" s="51">
        <v>10</v>
      </c>
      <c r="R443" s="51" t="s">
        <v>64</v>
      </c>
      <c r="S443" s="51" t="s">
        <v>50</v>
      </c>
      <c r="T443" s="51" t="s">
        <v>50</v>
      </c>
      <c r="U443" s="51" t="s">
        <v>50</v>
      </c>
      <c r="V443" s="51" t="s">
        <v>50</v>
      </c>
      <c r="W443" s="51" t="s">
        <v>50</v>
      </c>
      <c r="X443" s="51" t="s">
        <v>50</v>
      </c>
      <c r="Y443" s="52" t="s">
        <v>570</v>
      </c>
    </row>
    <row r="444" spans="1:25" x14ac:dyDescent="0.25">
      <c r="A444" s="821">
        <v>44264</v>
      </c>
      <c r="B444" s="51" t="s">
        <v>70</v>
      </c>
      <c r="C444" s="51" t="s">
        <v>162</v>
      </c>
      <c r="D444" s="870">
        <v>38.232770000000002</v>
      </c>
      <c r="E444" s="870">
        <v>-121.67606000000001</v>
      </c>
      <c r="F444" s="51" t="s">
        <v>725</v>
      </c>
      <c r="G444" s="51" t="s">
        <v>90</v>
      </c>
      <c r="H444" s="51" t="s">
        <v>126</v>
      </c>
      <c r="I444" s="66">
        <v>0.32708333333333334</v>
      </c>
      <c r="J444" s="51">
        <v>260.85000000000002</v>
      </c>
      <c r="K444" s="51">
        <v>12.8</v>
      </c>
      <c r="L444" s="51">
        <v>5.33</v>
      </c>
      <c r="M444" s="51">
        <v>1.62</v>
      </c>
      <c r="N444" s="51">
        <v>11.4</v>
      </c>
      <c r="O444" s="51" t="s">
        <v>48</v>
      </c>
      <c r="P444" s="51">
        <v>2</v>
      </c>
      <c r="Q444" s="51">
        <v>10</v>
      </c>
      <c r="R444" s="51" t="s">
        <v>49</v>
      </c>
      <c r="S444" s="51" t="s">
        <v>50</v>
      </c>
      <c r="T444" s="51" t="s">
        <v>50</v>
      </c>
      <c r="U444" s="51" t="s">
        <v>50</v>
      </c>
      <c r="V444" s="51" t="s">
        <v>50</v>
      </c>
      <c r="W444" s="51" t="s">
        <v>50</v>
      </c>
      <c r="X444" s="51" t="s">
        <v>50</v>
      </c>
    </row>
    <row r="445" spans="1:25" x14ac:dyDescent="0.25">
      <c r="A445" s="821">
        <v>44264</v>
      </c>
      <c r="B445" s="51" t="s">
        <v>70</v>
      </c>
      <c r="C445" s="51" t="s">
        <v>162</v>
      </c>
      <c r="D445" s="870">
        <v>38.255719999999997</v>
      </c>
      <c r="E445" s="870">
        <v>-121.68891000000001</v>
      </c>
      <c r="F445" s="51" t="s">
        <v>726</v>
      </c>
      <c r="G445" s="51" t="s">
        <v>90</v>
      </c>
      <c r="H445" s="51" t="s">
        <v>126</v>
      </c>
      <c r="I445" s="66">
        <v>0.35347222222222219</v>
      </c>
      <c r="J445" s="51">
        <v>277.64999999999998</v>
      </c>
      <c r="K445" s="51">
        <v>12.75</v>
      </c>
      <c r="L445" s="51">
        <v>5.07</v>
      </c>
      <c r="M445" s="51">
        <v>1.71</v>
      </c>
      <c r="N445" s="51">
        <v>9.0500000000000007</v>
      </c>
      <c r="O445" s="51" t="s">
        <v>48</v>
      </c>
      <c r="P445" s="51">
        <v>2</v>
      </c>
      <c r="Q445" s="51">
        <v>10</v>
      </c>
      <c r="R445" s="51" t="s">
        <v>64</v>
      </c>
      <c r="S445" s="51" t="s">
        <v>50</v>
      </c>
      <c r="T445" s="51" t="s">
        <v>50</v>
      </c>
      <c r="U445" s="51" t="s">
        <v>50</v>
      </c>
      <c r="V445" s="51" t="s">
        <v>50</v>
      </c>
      <c r="W445" s="51" t="s">
        <v>50</v>
      </c>
      <c r="X445" s="51" t="s">
        <v>50</v>
      </c>
    </row>
    <row r="446" spans="1:25" x14ac:dyDescent="0.25">
      <c r="A446" s="821">
        <v>44264</v>
      </c>
      <c r="B446" s="51" t="s">
        <v>70</v>
      </c>
      <c r="C446" s="51" t="s">
        <v>88</v>
      </c>
      <c r="D446" s="870">
        <v>38.155920000000002</v>
      </c>
      <c r="E446" s="870">
        <v>-121.68334</v>
      </c>
      <c r="F446" s="51" t="s">
        <v>727</v>
      </c>
      <c r="G446" s="51" t="s">
        <v>90</v>
      </c>
      <c r="H446" s="51" t="s">
        <v>91</v>
      </c>
      <c r="I446" s="66">
        <v>0.41736111111111113</v>
      </c>
      <c r="J446" s="51">
        <v>237.25</v>
      </c>
      <c r="K446" s="51">
        <v>12.85</v>
      </c>
      <c r="L446" s="51">
        <v>4.26</v>
      </c>
      <c r="M446" s="51">
        <v>1.8</v>
      </c>
      <c r="N446" s="51">
        <v>6</v>
      </c>
      <c r="O446" s="51" t="s">
        <v>48</v>
      </c>
      <c r="P446" s="51">
        <v>2</v>
      </c>
      <c r="Q446" s="51">
        <v>10</v>
      </c>
      <c r="R446" s="51" t="s">
        <v>64</v>
      </c>
      <c r="S446" s="51" t="s">
        <v>50</v>
      </c>
      <c r="T446" s="51" t="s">
        <v>50</v>
      </c>
      <c r="U446" s="51" t="s">
        <v>50</v>
      </c>
      <c r="V446" s="51" t="s">
        <v>50</v>
      </c>
      <c r="W446" s="51" t="s">
        <v>50</v>
      </c>
      <c r="X446" s="51" t="s">
        <v>50</v>
      </c>
    </row>
    <row r="447" spans="1:25" s="878" customFormat="1" x14ac:dyDescent="0.25">
      <c r="A447" s="876">
        <v>44264</v>
      </c>
      <c r="B447" s="437" t="s">
        <v>70</v>
      </c>
      <c r="C447" s="437" t="s">
        <v>88</v>
      </c>
      <c r="D447" s="897">
        <v>38.063299999999998</v>
      </c>
      <c r="E447" s="897">
        <v>-121.82095</v>
      </c>
      <c r="F447" s="437" t="s">
        <v>728</v>
      </c>
      <c r="G447" s="437" t="s">
        <v>27</v>
      </c>
      <c r="H447" s="437" t="s">
        <v>25</v>
      </c>
      <c r="I447" s="438">
        <v>0.45555555555555555</v>
      </c>
      <c r="J447" s="437">
        <v>4473</v>
      </c>
      <c r="K447" s="437">
        <v>12.65</v>
      </c>
      <c r="L447" s="437">
        <v>24.45</v>
      </c>
      <c r="M447" s="437">
        <v>0.51</v>
      </c>
      <c r="N447" s="437">
        <v>11.5</v>
      </c>
      <c r="O447" s="437" t="s">
        <v>48</v>
      </c>
      <c r="P447" s="437">
        <v>2</v>
      </c>
      <c r="Q447" s="437">
        <v>10</v>
      </c>
      <c r="R447" s="437" t="s">
        <v>64</v>
      </c>
      <c r="S447" s="877" t="s">
        <v>449</v>
      </c>
      <c r="T447" s="437">
        <v>1</v>
      </c>
      <c r="U447" s="437" t="s">
        <v>729</v>
      </c>
      <c r="V447" s="437" t="s">
        <v>50</v>
      </c>
      <c r="W447" s="437" t="s">
        <v>350</v>
      </c>
      <c r="X447" s="437" t="s">
        <v>351</v>
      </c>
      <c r="Y447" s="440" t="s">
        <v>651</v>
      </c>
    </row>
    <row r="448" spans="1:25" x14ac:dyDescent="0.25">
      <c r="A448" s="821">
        <v>44264</v>
      </c>
      <c r="B448" s="51" t="s">
        <v>70</v>
      </c>
      <c r="C448" s="51" t="s">
        <v>44</v>
      </c>
      <c r="D448" s="870">
        <v>38.012349999999998</v>
      </c>
      <c r="E448" s="870">
        <v>-121.67374</v>
      </c>
      <c r="F448" s="51" t="s">
        <v>730</v>
      </c>
      <c r="G448" s="51" t="s">
        <v>46</v>
      </c>
      <c r="H448" s="51" t="s">
        <v>47</v>
      </c>
      <c r="I448" s="66">
        <v>0.36736111111111108</v>
      </c>
      <c r="J448" s="51">
        <v>550.5</v>
      </c>
      <c r="K448" s="51">
        <v>12.6</v>
      </c>
      <c r="L448" s="51">
        <v>14.3</v>
      </c>
      <c r="M448" s="51">
        <v>1.59</v>
      </c>
      <c r="N448" s="51">
        <v>6.5</v>
      </c>
      <c r="O448" s="51" t="s">
        <v>48</v>
      </c>
      <c r="P448" s="51">
        <v>2</v>
      </c>
      <c r="Q448" s="51">
        <v>10</v>
      </c>
      <c r="R448" s="51" t="s">
        <v>64</v>
      </c>
      <c r="S448" s="51" t="s">
        <v>50</v>
      </c>
      <c r="T448" s="51" t="s">
        <v>50</v>
      </c>
      <c r="U448" s="51" t="s">
        <v>50</v>
      </c>
      <c r="V448" s="51" t="s">
        <v>50</v>
      </c>
      <c r="W448" s="51" t="s">
        <v>50</v>
      </c>
      <c r="X448" s="51" t="s">
        <v>50</v>
      </c>
    </row>
    <row r="449" spans="1:25" x14ac:dyDescent="0.25">
      <c r="A449" s="821">
        <v>44264</v>
      </c>
      <c r="B449" s="51" t="s">
        <v>70</v>
      </c>
      <c r="C449" s="51" t="s">
        <v>44</v>
      </c>
      <c r="D449" s="870">
        <v>38.027529999999999</v>
      </c>
      <c r="E449" s="870">
        <v>-121.59896999999999</v>
      </c>
      <c r="F449" s="51" t="s">
        <v>731</v>
      </c>
      <c r="G449" s="51" t="s">
        <v>46</v>
      </c>
      <c r="H449" s="51" t="s">
        <v>47</v>
      </c>
      <c r="I449" s="66">
        <v>0.42430555555555555</v>
      </c>
      <c r="J449" s="51">
        <v>471.5</v>
      </c>
      <c r="K449" s="51">
        <v>12.4</v>
      </c>
      <c r="L449" s="51">
        <v>20.6</v>
      </c>
      <c r="M449" s="51">
        <v>1.43</v>
      </c>
      <c r="N449" s="51">
        <v>2.2999999999999998</v>
      </c>
      <c r="O449" s="51" t="s">
        <v>48</v>
      </c>
      <c r="P449" s="51">
        <v>2</v>
      </c>
      <c r="Q449" s="51">
        <v>10</v>
      </c>
      <c r="R449" s="51" t="s">
        <v>64</v>
      </c>
      <c r="S449" s="51" t="s">
        <v>50</v>
      </c>
      <c r="T449" s="51" t="s">
        <v>50</v>
      </c>
      <c r="U449" s="51" t="s">
        <v>50</v>
      </c>
      <c r="V449" s="51" t="s">
        <v>50</v>
      </c>
      <c r="W449" s="51" t="s">
        <v>50</v>
      </c>
      <c r="X449" s="51" t="s">
        <v>50</v>
      </c>
      <c r="Y449" s="52" t="s">
        <v>732</v>
      </c>
    </row>
    <row r="450" spans="1:25" s="857" customFormat="1" x14ac:dyDescent="0.25">
      <c r="A450" s="446">
        <v>44264</v>
      </c>
      <c r="B450" s="424" t="s">
        <v>70</v>
      </c>
      <c r="C450" s="424" t="s">
        <v>44</v>
      </c>
      <c r="D450" s="871">
        <v>37.992019999999997</v>
      </c>
      <c r="E450" s="871">
        <v>-121.52157</v>
      </c>
      <c r="F450" s="424" t="s">
        <v>733</v>
      </c>
      <c r="G450" s="424" t="s">
        <v>46</v>
      </c>
      <c r="H450" s="424" t="s">
        <v>59</v>
      </c>
      <c r="I450" s="425">
        <v>0.45833333333333331</v>
      </c>
      <c r="J450" s="424" t="s">
        <v>50</v>
      </c>
      <c r="K450" s="424" t="s">
        <v>50</v>
      </c>
      <c r="L450" s="424" t="s">
        <v>50</v>
      </c>
      <c r="M450" s="424" t="s">
        <v>50</v>
      </c>
      <c r="N450" s="424" t="s">
        <v>50</v>
      </c>
      <c r="O450" s="424" t="s">
        <v>48</v>
      </c>
      <c r="P450" s="424">
        <v>0</v>
      </c>
      <c r="Q450" s="424" t="s">
        <v>50</v>
      </c>
      <c r="R450" s="424" t="s">
        <v>50</v>
      </c>
      <c r="S450" s="424" t="s">
        <v>50</v>
      </c>
      <c r="T450" s="424" t="s">
        <v>50</v>
      </c>
      <c r="U450" s="424" t="s">
        <v>50</v>
      </c>
      <c r="V450" s="424" t="s">
        <v>50</v>
      </c>
      <c r="W450" s="424" t="s">
        <v>50</v>
      </c>
      <c r="X450" s="424" t="s">
        <v>50</v>
      </c>
      <c r="Y450" s="426" t="s">
        <v>734</v>
      </c>
    </row>
    <row r="451" spans="1:25" x14ac:dyDescent="0.25">
      <c r="A451" s="821">
        <v>44266</v>
      </c>
      <c r="B451" s="51" t="s">
        <v>105</v>
      </c>
      <c r="C451" s="51" t="s">
        <v>44</v>
      </c>
      <c r="D451" s="870">
        <v>38.044699999999999</v>
      </c>
      <c r="E451" s="870">
        <v>-121.58892</v>
      </c>
      <c r="F451" s="51" t="s">
        <v>735</v>
      </c>
      <c r="G451" s="51" t="s">
        <v>46</v>
      </c>
      <c r="H451" s="51" t="s">
        <v>47</v>
      </c>
      <c r="I451" s="66">
        <v>0.46458333333333335</v>
      </c>
      <c r="J451" s="51">
        <v>430.9</v>
      </c>
      <c r="K451" s="51">
        <v>12.25</v>
      </c>
      <c r="L451" s="51">
        <v>3.37</v>
      </c>
      <c r="M451" s="51">
        <v>1.73</v>
      </c>
      <c r="N451" s="51">
        <v>2.35</v>
      </c>
      <c r="O451" s="51" t="s">
        <v>48</v>
      </c>
      <c r="P451" s="51">
        <v>2</v>
      </c>
      <c r="Q451" s="51">
        <v>10</v>
      </c>
      <c r="R451" s="51" t="s">
        <v>64</v>
      </c>
      <c r="S451" s="51" t="s">
        <v>50</v>
      </c>
      <c r="T451" s="51" t="s">
        <v>50</v>
      </c>
      <c r="U451" s="51" t="s">
        <v>50</v>
      </c>
      <c r="V451" s="51" t="s">
        <v>50</v>
      </c>
      <c r="W451" s="51" t="s">
        <v>50</v>
      </c>
      <c r="X451" s="51" t="s">
        <v>50</v>
      </c>
      <c r="Y451" s="52" t="s">
        <v>736</v>
      </c>
    </row>
    <row r="452" spans="1:25" x14ac:dyDescent="0.25">
      <c r="A452" s="821">
        <v>44266</v>
      </c>
      <c r="B452" s="51" t="s">
        <v>105</v>
      </c>
      <c r="C452" s="51" t="s">
        <v>44</v>
      </c>
      <c r="D452" s="870">
        <v>38.013669999999998</v>
      </c>
      <c r="E452" s="870">
        <v>-121.61230999999999</v>
      </c>
      <c r="F452" s="51" t="s">
        <v>737</v>
      </c>
      <c r="G452" s="51" t="s">
        <v>46</v>
      </c>
      <c r="H452" s="51" t="s">
        <v>47</v>
      </c>
      <c r="I452" s="66">
        <v>0.4145833333333333</v>
      </c>
      <c r="J452" s="51">
        <v>487.5</v>
      </c>
      <c r="K452" s="51">
        <v>12</v>
      </c>
      <c r="L452" s="51">
        <v>4.07</v>
      </c>
      <c r="M452" s="51">
        <v>1.8</v>
      </c>
      <c r="N452" s="51">
        <v>3.2</v>
      </c>
      <c r="O452" s="51" t="s">
        <v>48</v>
      </c>
      <c r="P452" s="51">
        <v>2</v>
      </c>
      <c r="Q452" s="51">
        <v>10</v>
      </c>
      <c r="R452" s="51" t="s">
        <v>64</v>
      </c>
      <c r="S452" s="51" t="s">
        <v>50</v>
      </c>
      <c r="T452" s="51" t="s">
        <v>50</v>
      </c>
      <c r="U452" s="51" t="s">
        <v>50</v>
      </c>
      <c r="V452" s="51" t="s">
        <v>50</v>
      </c>
      <c r="W452" s="51" t="s">
        <v>50</v>
      </c>
      <c r="X452" s="51" t="s">
        <v>50</v>
      </c>
    </row>
    <row r="453" spans="1:25" x14ac:dyDescent="0.25">
      <c r="A453" s="821">
        <v>44266</v>
      </c>
      <c r="B453" s="51" t="s">
        <v>105</v>
      </c>
      <c r="C453" s="51" t="s">
        <v>44</v>
      </c>
      <c r="D453" s="870">
        <v>38.020769999999999</v>
      </c>
      <c r="E453" s="870">
        <v>-121.51949</v>
      </c>
      <c r="F453" s="51" t="s">
        <v>738</v>
      </c>
      <c r="G453" s="51" t="s">
        <v>46</v>
      </c>
      <c r="H453" s="51" t="s">
        <v>59</v>
      </c>
      <c r="I453" s="66">
        <v>0.33055555555555555</v>
      </c>
      <c r="J453" s="51">
        <v>353.3</v>
      </c>
      <c r="K453" s="51">
        <v>12.65</v>
      </c>
      <c r="L453" s="51">
        <v>4.21</v>
      </c>
      <c r="M453" s="51">
        <v>1.48</v>
      </c>
      <c r="N453" s="51">
        <v>5.55</v>
      </c>
      <c r="O453" s="51" t="s">
        <v>48</v>
      </c>
      <c r="P453" s="51">
        <v>2</v>
      </c>
      <c r="Q453" s="51">
        <v>10</v>
      </c>
      <c r="R453" s="51" t="s">
        <v>49</v>
      </c>
      <c r="S453" s="51" t="s">
        <v>50</v>
      </c>
      <c r="T453" s="51" t="s">
        <v>50</v>
      </c>
      <c r="U453" s="51" t="s">
        <v>50</v>
      </c>
      <c r="V453" s="51" t="s">
        <v>50</v>
      </c>
      <c r="W453" s="51" t="s">
        <v>50</v>
      </c>
      <c r="X453" s="51" t="s">
        <v>50</v>
      </c>
      <c r="Y453" s="52" t="s">
        <v>678</v>
      </c>
    </row>
    <row r="454" spans="1:25" x14ac:dyDescent="0.25">
      <c r="A454" s="821">
        <v>44266</v>
      </c>
      <c r="B454" s="51" t="s">
        <v>105</v>
      </c>
      <c r="C454" s="51" t="s">
        <v>44</v>
      </c>
      <c r="D454" s="870">
        <v>37.98516</v>
      </c>
      <c r="E454" s="870">
        <v>-121.51719</v>
      </c>
      <c r="F454" s="51" t="s">
        <v>739</v>
      </c>
      <c r="G454" s="51" t="s">
        <v>46</v>
      </c>
      <c r="H454" s="51" t="s">
        <v>59</v>
      </c>
      <c r="I454" s="66">
        <v>0.36458333333333331</v>
      </c>
      <c r="J454" s="51">
        <v>468.15</v>
      </c>
      <c r="K454" s="51">
        <v>12.6</v>
      </c>
      <c r="L454" s="51">
        <v>3.99</v>
      </c>
      <c r="M454" s="51">
        <v>1.8</v>
      </c>
      <c r="N454" s="51">
        <v>4.8</v>
      </c>
      <c r="O454" s="51" t="s">
        <v>48</v>
      </c>
      <c r="P454" s="51">
        <v>2</v>
      </c>
      <c r="Q454" s="51">
        <v>10</v>
      </c>
      <c r="R454" s="51" t="s">
        <v>49</v>
      </c>
      <c r="S454" s="51" t="s">
        <v>50</v>
      </c>
      <c r="T454" s="51" t="s">
        <v>50</v>
      </c>
      <c r="U454" s="51" t="s">
        <v>50</v>
      </c>
      <c r="V454" s="51" t="s">
        <v>50</v>
      </c>
      <c r="W454" s="51" t="s">
        <v>50</v>
      </c>
      <c r="X454" s="51" t="s">
        <v>50</v>
      </c>
      <c r="Y454" s="52" t="s">
        <v>740</v>
      </c>
    </row>
    <row r="455" spans="1:25" s="857" customFormat="1" x14ac:dyDescent="0.25">
      <c r="A455" s="446">
        <v>44267</v>
      </c>
      <c r="B455" s="424" t="s">
        <v>125</v>
      </c>
      <c r="C455" s="424" t="s">
        <v>78</v>
      </c>
      <c r="D455" s="424">
        <v>38.079239999999999</v>
      </c>
      <c r="E455" s="424">
        <v>-122.09836</v>
      </c>
      <c r="F455" s="424" t="s">
        <v>741</v>
      </c>
      <c r="G455" s="424" t="s">
        <v>80</v>
      </c>
      <c r="H455" s="424" t="s">
        <v>81</v>
      </c>
      <c r="I455" s="425">
        <v>0.46180555555555558</v>
      </c>
      <c r="J455" s="424" t="s">
        <v>50</v>
      </c>
      <c r="K455" s="424" t="s">
        <v>50</v>
      </c>
      <c r="L455" s="424" t="s">
        <v>50</v>
      </c>
      <c r="M455" s="424" t="s">
        <v>50</v>
      </c>
      <c r="N455" s="424" t="s">
        <v>50</v>
      </c>
      <c r="O455" s="424" t="s">
        <v>48</v>
      </c>
      <c r="P455" s="424">
        <v>0</v>
      </c>
      <c r="Q455" s="424" t="s">
        <v>50</v>
      </c>
      <c r="R455" s="424" t="s">
        <v>50</v>
      </c>
      <c r="S455" s="424" t="s">
        <v>50</v>
      </c>
      <c r="T455" s="424" t="s">
        <v>50</v>
      </c>
      <c r="U455" s="424" t="s">
        <v>50</v>
      </c>
      <c r="V455" s="424" t="s">
        <v>50</v>
      </c>
      <c r="W455" s="424" t="s">
        <v>50</v>
      </c>
      <c r="X455" s="424" t="s">
        <v>50</v>
      </c>
      <c r="Y455" s="426" t="s">
        <v>653</v>
      </c>
    </row>
    <row r="456" spans="1:25" x14ac:dyDescent="0.25">
      <c r="A456" s="821">
        <v>44267</v>
      </c>
      <c r="B456" s="51" t="s">
        <v>125</v>
      </c>
      <c r="C456" s="51" t="s">
        <v>78</v>
      </c>
      <c r="D456" s="51">
        <v>38.04278</v>
      </c>
      <c r="E456" s="51">
        <v>-122.11716</v>
      </c>
      <c r="F456" s="51" t="s">
        <v>742</v>
      </c>
      <c r="G456" s="51" t="s">
        <v>80</v>
      </c>
      <c r="H456" s="51" t="s">
        <v>81</v>
      </c>
      <c r="I456" s="66">
        <v>0.47291666666666665</v>
      </c>
      <c r="J456" s="51">
        <v>18505</v>
      </c>
      <c r="K456" s="51">
        <v>12.6</v>
      </c>
      <c r="L456" s="51">
        <v>36.049999999999997</v>
      </c>
      <c r="M456" s="51">
        <v>0.72</v>
      </c>
      <c r="N456" s="51">
        <v>11.15</v>
      </c>
      <c r="O456" s="51" t="s">
        <v>48</v>
      </c>
      <c r="P456" s="51">
        <v>2</v>
      </c>
      <c r="Q456" s="51">
        <v>10</v>
      </c>
      <c r="R456" s="51" t="s">
        <v>64</v>
      </c>
      <c r="S456" s="51" t="s">
        <v>50</v>
      </c>
      <c r="T456" s="51" t="s">
        <v>50</v>
      </c>
      <c r="U456" s="51" t="s">
        <v>50</v>
      </c>
      <c r="V456" s="51" t="s">
        <v>50</v>
      </c>
      <c r="W456" s="51" t="s">
        <v>50</v>
      </c>
      <c r="X456" s="51" t="s">
        <v>50</v>
      </c>
    </row>
    <row r="457" spans="1:25" x14ac:dyDescent="0.25">
      <c r="A457" s="821">
        <v>44267</v>
      </c>
      <c r="B457" s="51" t="s">
        <v>125</v>
      </c>
      <c r="C457" s="51" t="s">
        <v>78</v>
      </c>
      <c r="D457" s="51">
        <v>38.08267</v>
      </c>
      <c r="E457" s="51">
        <v>-122.05265</v>
      </c>
      <c r="F457" s="51" t="s">
        <v>743</v>
      </c>
      <c r="G457" s="51" t="s">
        <v>27</v>
      </c>
      <c r="H457" s="51" t="s">
        <v>86</v>
      </c>
      <c r="I457" s="66">
        <v>0.51388888888888895</v>
      </c>
      <c r="J457" s="51">
        <v>15766</v>
      </c>
      <c r="K457" s="51">
        <v>12.75</v>
      </c>
      <c r="L457" s="51">
        <v>43.6</v>
      </c>
      <c r="M457" s="51">
        <v>0.52</v>
      </c>
      <c r="N457" s="51">
        <v>5.2</v>
      </c>
      <c r="O457" s="51" t="s">
        <v>48</v>
      </c>
      <c r="P457" s="51">
        <v>2</v>
      </c>
      <c r="Q457" s="51">
        <v>10</v>
      </c>
      <c r="R457" s="51" t="s">
        <v>64</v>
      </c>
      <c r="S457" s="51" t="s">
        <v>50</v>
      </c>
      <c r="T457" s="51" t="s">
        <v>50</v>
      </c>
      <c r="U457" s="51" t="s">
        <v>50</v>
      </c>
      <c r="V457" s="51" t="s">
        <v>50</v>
      </c>
      <c r="W457" s="51" t="s">
        <v>50</v>
      </c>
      <c r="X457" s="51" t="s">
        <v>50</v>
      </c>
      <c r="Y457" s="52" t="s">
        <v>386</v>
      </c>
    </row>
    <row r="458" spans="1:25" x14ac:dyDescent="0.25">
      <c r="A458" s="821">
        <v>44267</v>
      </c>
      <c r="B458" s="51" t="s">
        <v>125</v>
      </c>
      <c r="C458" s="51" t="s">
        <v>62</v>
      </c>
      <c r="D458" s="51">
        <v>38.108609999999999</v>
      </c>
      <c r="E458" s="51">
        <v>-122.04093</v>
      </c>
      <c r="F458" s="51" t="s">
        <v>744</v>
      </c>
      <c r="G458" s="51" t="s">
        <v>27</v>
      </c>
      <c r="H458" s="51" t="s">
        <v>173</v>
      </c>
      <c r="I458" s="66">
        <v>0.42777777777777781</v>
      </c>
      <c r="J458" s="51">
        <v>13984</v>
      </c>
      <c r="K458" s="51">
        <v>12.3</v>
      </c>
      <c r="L458" s="51">
        <v>59.35</v>
      </c>
      <c r="M458" s="51">
        <v>0.43</v>
      </c>
      <c r="N458" s="51">
        <v>2.5</v>
      </c>
      <c r="O458" s="51" t="s">
        <v>48</v>
      </c>
      <c r="P458" s="51">
        <v>2</v>
      </c>
      <c r="Q458" s="51">
        <v>10</v>
      </c>
      <c r="R458" s="51" t="s">
        <v>64</v>
      </c>
      <c r="S458" s="51" t="s">
        <v>50</v>
      </c>
      <c r="T458" s="51" t="s">
        <v>50</v>
      </c>
      <c r="U458" s="51" t="s">
        <v>50</v>
      </c>
      <c r="V458" s="51" t="s">
        <v>50</v>
      </c>
      <c r="W458" s="51" t="s">
        <v>50</v>
      </c>
      <c r="X458" s="51" t="s">
        <v>50</v>
      </c>
    </row>
    <row r="459" spans="1:25" s="854" customFormat="1" x14ac:dyDescent="0.25">
      <c r="A459" s="853">
        <v>44267</v>
      </c>
      <c r="B459" s="74" t="s">
        <v>125</v>
      </c>
      <c r="C459" s="74" t="s">
        <v>62</v>
      </c>
      <c r="D459" s="74">
        <v>38.094749999999998</v>
      </c>
      <c r="E459" s="74">
        <v>-121.88901</v>
      </c>
      <c r="F459" s="74" t="s">
        <v>745</v>
      </c>
      <c r="G459" s="74" t="s">
        <v>27</v>
      </c>
      <c r="H459" s="74" t="s">
        <v>62</v>
      </c>
      <c r="I459" s="73">
        <v>0.3611111111111111</v>
      </c>
      <c r="J459" s="74">
        <v>2805</v>
      </c>
      <c r="K459" s="74">
        <v>12.1</v>
      </c>
      <c r="L459" s="74">
        <v>62.4</v>
      </c>
      <c r="M459" s="74">
        <v>0.36</v>
      </c>
      <c r="N459" s="74">
        <v>7.5</v>
      </c>
      <c r="O459" s="74" t="s">
        <v>48</v>
      </c>
      <c r="P459" s="74">
        <v>2</v>
      </c>
      <c r="Q459" s="74">
        <v>10</v>
      </c>
      <c r="R459" s="74" t="s">
        <v>49</v>
      </c>
      <c r="S459" s="74" t="s">
        <v>50</v>
      </c>
      <c r="T459" s="74" t="s">
        <v>50</v>
      </c>
      <c r="U459" s="74" t="s">
        <v>50</v>
      </c>
      <c r="V459" s="74" t="s">
        <v>50</v>
      </c>
      <c r="W459" s="74" t="s">
        <v>50</v>
      </c>
      <c r="X459" s="74" t="s">
        <v>50</v>
      </c>
      <c r="Y459" s="77" t="s">
        <v>746</v>
      </c>
    </row>
    <row r="460" spans="1:25" x14ac:dyDescent="0.25">
      <c r="A460" s="821">
        <v>44270</v>
      </c>
      <c r="B460" s="51" t="s">
        <v>43</v>
      </c>
      <c r="C460" s="51" t="s">
        <v>95</v>
      </c>
      <c r="D460" s="870">
        <v>38.071469999999998</v>
      </c>
      <c r="E460" s="870">
        <v>-121.5603</v>
      </c>
      <c r="F460" s="51" t="s">
        <v>747</v>
      </c>
      <c r="G460" s="51" t="s">
        <v>46</v>
      </c>
      <c r="H460" s="51" t="s">
        <v>582</v>
      </c>
      <c r="I460" s="66">
        <v>0.40416666666666662</v>
      </c>
      <c r="J460" s="51">
        <v>335.87</v>
      </c>
      <c r="K460" s="51">
        <v>12.7</v>
      </c>
      <c r="L460" s="51">
        <v>6.96</v>
      </c>
      <c r="M460" s="51">
        <v>1.64</v>
      </c>
      <c r="N460" s="51">
        <v>12</v>
      </c>
      <c r="O460" s="51" t="s">
        <v>48</v>
      </c>
      <c r="P460" s="51">
        <v>4</v>
      </c>
      <c r="Q460" s="51">
        <v>10</v>
      </c>
      <c r="R460" s="51" t="s">
        <v>49</v>
      </c>
      <c r="S460" s="51" t="s">
        <v>50</v>
      </c>
      <c r="T460" s="51" t="s">
        <v>50</v>
      </c>
      <c r="U460" s="51" t="s">
        <v>50</v>
      </c>
      <c r="V460" s="51" t="s">
        <v>50</v>
      </c>
      <c r="W460" s="51" t="s">
        <v>50</v>
      </c>
      <c r="X460" s="51" t="s">
        <v>50</v>
      </c>
    </row>
    <row r="461" spans="1:25" x14ac:dyDescent="0.25">
      <c r="A461" s="821">
        <v>44270</v>
      </c>
      <c r="B461" s="51" t="s">
        <v>43</v>
      </c>
      <c r="C461" s="51" t="s">
        <v>95</v>
      </c>
      <c r="D461" s="870">
        <v>38.04627</v>
      </c>
      <c r="E461" s="870">
        <v>-121.50226000000001</v>
      </c>
      <c r="F461" s="51" t="s">
        <v>748</v>
      </c>
      <c r="G461" s="51" t="s">
        <v>46</v>
      </c>
      <c r="H461" s="51" t="s">
        <v>582</v>
      </c>
      <c r="I461" s="66">
        <v>0.4548611111111111</v>
      </c>
      <c r="J461" s="51">
        <v>399.77</v>
      </c>
      <c r="K461" s="51">
        <v>12.8</v>
      </c>
      <c r="L461" s="51">
        <v>5.72</v>
      </c>
      <c r="M461" s="51">
        <v>3.85</v>
      </c>
      <c r="N461" s="51">
        <v>10.35</v>
      </c>
      <c r="O461" s="51" t="s">
        <v>48</v>
      </c>
      <c r="P461" s="51">
        <v>4</v>
      </c>
      <c r="Q461" s="51">
        <v>10</v>
      </c>
      <c r="R461" s="51" t="s">
        <v>49</v>
      </c>
      <c r="S461" s="51" t="s">
        <v>50</v>
      </c>
      <c r="T461" s="51" t="s">
        <v>50</v>
      </c>
      <c r="U461" s="51" t="s">
        <v>50</v>
      </c>
      <c r="V461" s="51" t="s">
        <v>50</v>
      </c>
      <c r="W461" s="51" t="s">
        <v>50</v>
      </c>
      <c r="X461" s="51" t="s">
        <v>50</v>
      </c>
    </row>
    <row r="462" spans="1:25" x14ac:dyDescent="0.25">
      <c r="A462" s="821">
        <v>44270</v>
      </c>
      <c r="B462" s="51" t="s">
        <v>43</v>
      </c>
      <c r="C462" s="51" t="s">
        <v>95</v>
      </c>
      <c r="D462" s="870">
        <v>38.093139999999998</v>
      </c>
      <c r="E462" s="870">
        <v>-121.62844</v>
      </c>
      <c r="F462" s="51" t="s">
        <v>749</v>
      </c>
      <c r="G462" s="51" t="s">
        <v>46</v>
      </c>
      <c r="H462" s="51" t="s">
        <v>97</v>
      </c>
      <c r="I462" s="66">
        <v>0.3444444444444445</v>
      </c>
      <c r="J462" s="51">
        <v>381.6</v>
      </c>
      <c r="K462" s="51">
        <v>12.6</v>
      </c>
      <c r="L462" s="51">
        <v>7.52</v>
      </c>
      <c r="M462" s="51">
        <v>1.27</v>
      </c>
      <c r="N462" s="51">
        <v>5.0999999999999996</v>
      </c>
      <c r="O462" s="51" t="s">
        <v>48</v>
      </c>
      <c r="P462" s="51">
        <v>4</v>
      </c>
      <c r="Q462" s="51">
        <v>10</v>
      </c>
      <c r="R462" s="51" t="s">
        <v>49</v>
      </c>
      <c r="S462" s="51" t="s">
        <v>50</v>
      </c>
      <c r="T462" s="51" t="s">
        <v>50</v>
      </c>
      <c r="U462" s="51" t="s">
        <v>50</v>
      </c>
      <c r="V462" s="51" t="s">
        <v>50</v>
      </c>
      <c r="W462" s="51" t="s">
        <v>50</v>
      </c>
      <c r="X462" s="51" t="s">
        <v>50</v>
      </c>
    </row>
    <row r="463" spans="1:25" x14ac:dyDescent="0.25">
      <c r="A463" s="821">
        <v>44270</v>
      </c>
      <c r="B463" s="51" t="s">
        <v>43</v>
      </c>
      <c r="C463" s="51" t="s">
        <v>106</v>
      </c>
      <c r="D463" s="870">
        <v>38.43965</v>
      </c>
      <c r="E463" s="870">
        <v>-121.59907</v>
      </c>
      <c r="F463" s="51" t="s">
        <v>750</v>
      </c>
      <c r="G463" s="51" t="s">
        <v>90</v>
      </c>
      <c r="H463" s="51" t="s">
        <v>108</v>
      </c>
      <c r="I463" s="66">
        <v>0.44444444444444442</v>
      </c>
      <c r="J463" s="51">
        <v>645.25</v>
      </c>
      <c r="K463" s="51">
        <v>11.8</v>
      </c>
      <c r="L463" s="51">
        <v>77.37</v>
      </c>
      <c r="M463" s="51">
        <v>0.2</v>
      </c>
      <c r="N463" s="51">
        <v>9.4</v>
      </c>
      <c r="O463" s="51" t="s">
        <v>48</v>
      </c>
      <c r="P463" s="51">
        <v>4</v>
      </c>
      <c r="Q463" s="51">
        <v>10</v>
      </c>
      <c r="R463" s="51" t="s">
        <v>49</v>
      </c>
      <c r="S463" s="51" t="s">
        <v>50</v>
      </c>
      <c r="T463" s="51" t="s">
        <v>50</v>
      </c>
      <c r="U463" s="51" t="s">
        <v>50</v>
      </c>
      <c r="V463" s="51" t="s">
        <v>50</v>
      </c>
      <c r="W463" s="51" t="s">
        <v>50</v>
      </c>
      <c r="X463" s="51" t="s">
        <v>50</v>
      </c>
      <c r="Y463" s="52" t="s">
        <v>751</v>
      </c>
    </row>
    <row r="464" spans="1:25" x14ac:dyDescent="0.25">
      <c r="A464" s="821">
        <v>44270</v>
      </c>
      <c r="B464" s="51" t="s">
        <v>43</v>
      </c>
      <c r="C464" s="51" t="s">
        <v>106</v>
      </c>
      <c r="D464" s="870">
        <v>38.34901</v>
      </c>
      <c r="E464" s="870">
        <v>-121.64134</v>
      </c>
      <c r="F464" s="51" t="s">
        <v>752</v>
      </c>
      <c r="G464" s="51" t="s">
        <v>90</v>
      </c>
      <c r="H464" s="51" t="s">
        <v>108</v>
      </c>
      <c r="I464" s="66">
        <v>0.51458333333333328</v>
      </c>
      <c r="J464" s="51">
        <v>433.22</v>
      </c>
      <c r="K464" s="51">
        <v>11.97</v>
      </c>
      <c r="L464" s="51">
        <v>81.900000000000006</v>
      </c>
      <c r="M464" s="51">
        <v>0.21</v>
      </c>
      <c r="N464" s="51">
        <v>10</v>
      </c>
      <c r="O464" s="51" t="s">
        <v>48</v>
      </c>
      <c r="P464" s="51">
        <v>4</v>
      </c>
      <c r="Q464" s="51">
        <v>10</v>
      </c>
      <c r="R464" s="51" t="s">
        <v>49</v>
      </c>
      <c r="S464" s="51" t="s">
        <v>50</v>
      </c>
      <c r="T464" s="51" t="s">
        <v>50</v>
      </c>
      <c r="U464" s="51" t="s">
        <v>50</v>
      </c>
      <c r="V464" s="51" t="s">
        <v>50</v>
      </c>
      <c r="W464" s="51" t="s">
        <v>50</v>
      </c>
      <c r="X464" s="51" t="s">
        <v>50</v>
      </c>
      <c r="Y464" s="52" t="s">
        <v>753</v>
      </c>
    </row>
    <row r="465" spans="1:25" x14ac:dyDescent="0.25">
      <c r="A465" s="821">
        <v>44270</v>
      </c>
      <c r="B465" s="51" t="s">
        <v>43</v>
      </c>
      <c r="C465" s="51" t="s">
        <v>106</v>
      </c>
      <c r="D465" s="870">
        <v>38.553930000000001</v>
      </c>
      <c r="E465" s="870">
        <v>-121.57693</v>
      </c>
      <c r="F465" s="51" t="s">
        <v>754</v>
      </c>
      <c r="G465" s="51" t="s">
        <v>90</v>
      </c>
      <c r="H465" s="51" t="s">
        <v>158</v>
      </c>
      <c r="I465" s="66">
        <v>0.37777777777777777</v>
      </c>
      <c r="J465" s="51">
        <v>1137.75</v>
      </c>
      <c r="K465" s="51">
        <v>12.08</v>
      </c>
      <c r="L465" s="51">
        <v>9.11</v>
      </c>
      <c r="M465" s="51">
        <v>1.02</v>
      </c>
      <c r="N465" s="51">
        <v>11.95</v>
      </c>
      <c r="O465" s="51" t="s">
        <v>48</v>
      </c>
      <c r="P465" s="51">
        <v>4</v>
      </c>
      <c r="Q465" s="51">
        <v>10</v>
      </c>
      <c r="R465" s="51" t="s">
        <v>64</v>
      </c>
      <c r="S465" s="51" t="s">
        <v>50</v>
      </c>
      <c r="T465" s="51" t="s">
        <v>50</v>
      </c>
      <c r="U465" s="51" t="s">
        <v>50</v>
      </c>
      <c r="V465" s="51" t="s">
        <v>50</v>
      </c>
      <c r="W465" s="51" t="s">
        <v>50</v>
      </c>
      <c r="X465" s="51" t="s">
        <v>50</v>
      </c>
    </row>
    <row r="466" spans="1:25" x14ac:dyDescent="0.25">
      <c r="A466" s="821">
        <v>44270</v>
      </c>
      <c r="B466" s="51" t="s">
        <v>43</v>
      </c>
      <c r="C466" s="51" t="s">
        <v>62</v>
      </c>
      <c r="D466" s="870">
        <v>38.15851</v>
      </c>
      <c r="E466" s="870">
        <v>-122.04823</v>
      </c>
      <c r="F466" s="51" t="s">
        <v>755</v>
      </c>
      <c r="G466" s="51" t="s">
        <v>27</v>
      </c>
      <c r="H466" s="51" t="s">
        <v>62</v>
      </c>
      <c r="I466" s="66">
        <v>0.44375000000000003</v>
      </c>
      <c r="J466" s="51">
        <v>4605.5</v>
      </c>
      <c r="K466" s="51">
        <v>12.15</v>
      </c>
      <c r="L466" s="51">
        <v>70.5</v>
      </c>
      <c r="M466" s="51">
        <v>0.26</v>
      </c>
      <c r="N466" s="51">
        <v>6.03</v>
      </c>
      <c r="O466" s="51" t="s">
        <v>48</v>
      </c>
      <c r="P466" s="51">
        <v>4</v>
      </c>
      <c r="Q466" s="51">
        <v>10</v>
      </c>
      <c r="R466" s="51" t="s">
        <v>49</v>
      </c>
      <c r="S466" s="51" t="s">
        <v>50</v>
      </c>
      <c r="T466" s="51" t="s">
        <v>50</v>
      </c>
      <c r="U466" s="51" t="s">
        <v>50</v>
      </c>
      <c r="V466" s="51" t="s">
        <v>50</v>
      </c>
      <c r="W466" s="51" t="s">
        <v>50</v>
      </c>
      <c r="X466" s="51" t="s">
        <v>50</v>
      </c>
    </row>
    <row r="467" spans="1:25" x14ac:dyDescent="0.25">
      <c r="A467" s="821">
        <v>44270</v>
      </c>
      <c r="B467" s="51" t="s">
        <v>43</v>
      </c>
      <c r="C467" s="51" t="s">
        <v>62</v>
      </c>
      <c r="D467" s="870">
        <v>38.187750000000001</v>
      </c>
      <c r="E467" s="870">
        <v>-122.05271999999999</v>
      </c>
      <c r="F467" s="51" t="s">
        <v>756</v>
      </c>
      <c r="G467" s="51" t="s">
        <v>27</v>
      </c>
      <c r="H467" s="51" t="s">
        <v>62</v>
      </c>
      <c r="I467" s="66">
        <v>0.38263888888888892</v>
      </c>
      <c r="J467" s="51">
        <v>6009.5</v>
      </c>
      <c r="K467" s="51">
        <v>12.23</v>
      </c>
      <c r="L467" s="51">
        <v>93.25</v>
      </c>
      <c r="M467" s="51">
        <v>0.19</v>
      </c>
      <c r="N467" s="51">
        <v>4.75</v>
      </c>
      <c r="O467" s="51" t="s">
        <v>48</v>
      </c>
      <c r="P467" s="51">
        <v>4</v>
      </c>
      <c r="Q467" s="51">
        <v>10</v>
      </c>
      <c r="R467" s="51" t="s">
        <v>49</v>
      </c>
      <c r="S467" s="51" t="s">
        <v>50</v>
      </c>
      <c r="T467" s="51" t="s">
        <v>50</v>
      </c>
      <c r="U467" s="51" t="s">
        <v>50</v>
      </c>
      <c r="V467" s="51" t="s">
        <v>50</v>
      </c>
      <c r="W467" s="51" t="s">
        <v>50</v>
      </c>
      <c r="X467" s="51" t="s">
        <v>50</v>
      </c>
    </row>
    <row r="468" spans="1:25" s="878" customFormat="1" x14ac:dyDescent="0.25">
      <c r="A468" s="876">
        <v>44270</v>
      </c>
      <c r="B468" s="437" t="s">
        <v>43</v>
      </c>
      <c r="C468" s="437" t="s">
        <v>62</v>
      </c>
      <c r="D468" s="897">
        <v>38.13747</v>
      </c>
      <c r="E468" s="897">
        <v>-121.91141</v>
      </c>
      <c r="F468" s="437" t="s">
        <v>757</v>
      </c>
      <c r="G468" s="437" t="s">
        <v>27</v>
      </c>
      <c r="H468" s="437" t="s">
        <v>62</v>
      </c>
      <c r="I468" s="438">
        <v>0.51458333333333328</v>
      </c>
      <c r="J468" s="437">
        <v>3179.25</v>
      </c>
      <c r="K468" s="437">
        <v>11.75</v>
      </c>
      <c r="L468" s="437">
        <v>46.27</v>
      </c>
      <c r="M468" s="437">
        <v>0.34</v>
      </c>
      <c r="N468" s="437">
        <v>6.85</v>
      </c>
      <c r="O468" s="437" t="s">
        <v>48</v>
      </c>
      <c r="P468" s="437">
        <v>4</v>
      </c>
      <c r="Q468" s="437">
        <v>10</v>
      </c>
      <c r="R468" s="437" t="s">
        <v>49</v>
      </c>
      <c r="S468" s="877" t="s">
        <v>758</v>
      </c>
      <c r="T468" s="437">
        <v>1</v>
      </c>
      <c r="U468" s="437" t="s">
        <v>759</v>
      </c>
      <c r="V468" s="437" t="s">
        <v>50</v>
      </c>
      <c r="W468" s="437" t="s">
        <v>350</v>
      </c>
      <c r="X468" s="437" t="s">
        <v>228</v>
      </c>
      <c r="Y468" s="440" t="s">
        <v>760</v>
      </c>
    </row>
    <row r="469" spans="1:25" x14ac:dyDescent="0.25">
      <c r="A469" s="821">
        <v>44271</v>
      </c>
      <c r="B469" s="51" t="s">
        <v>70</v>
      </c>
      <c r="C469" s="51" t="s">
        <v>88</v>
      </c>
      <c r="D469" s="870">
        <v>38.1599</v>
      </c>
      <c r="E469" s="870">
        <v>-121.68084</v>
      </c>
      <c r="F469" s="51" t="s">
        <v>761</v>
      </c>
      <c r="G469" s="51" t="s">
        <v>90</v>
      </c>
      <c r="H469" s="51" t="s">
        <v>91</v>
      </c>
      <c r="I469" s="66">
        <v>0.42083333333333334</v>
      </c>
      <c r="J469" s="51">
        <v>204.52</v>
      </c>
      <c r="K469" s="51">
        <v>12.17</v>
      </c>
      <c r="L469" s="51">
        <v>5.08</v>
      </c>
      <c r="M469" s="51">
        <v>1.8</v>
      </c>
      <c r="N469" s="51">
        <v>6.15</v>
      </c>
      <c r="O469" s="51" t="s">
        <v>48</v>
      </c>
      <c r="P469" s="51">
        <v>4</v>
      </c>
      <c r="Q469" s="51">
        <v>10</v>
      </c>
      <c r="R469" s="51" t="s">
        <v>49</v>
      </c>
      <c r="S469" s="51" t="s">
        <v>50</v>
      </c>
      <c r="T469" s="51" t="s">
        <v>50</v>
      </c>
      <c r="U469" s="51" t="s">
        <v>50</v>
      </c>
      <c r="V469" s="51" t="s">
        <v>50</v>
      </c>
      <c r="W469" s="51" t="s">
        <v>50</v>
      </c>
      <c r="X469" s="51" t="s">
        <v>50</v>
      </c>
      <c r="Y469" s="52" t="s">
        <v>762</v>
      </c>
    </row>
    <row r="470" spans="1:25" x14ac:dyDescent="0.25">
      <c r="A470" s="821">
        <v>44271</v>
      </c>
      <c r="B470" s="51" t="s">
        <v>70</v>
      </c>
      <c r="C470" s="51" t="s">
        <v>88</v>
      </c>
      <c r="D470" s="870">
        <v>38.130740000000003</v>
      </c>
      <c r="E470" s="870">
        <v>-121.69405</v>
      </c>
      <c r="F470" s="51" t="s">
        <v>763</v>
      </c>
      <c r="G470" s="51" t="s">
        <v>90</v>
      </c>
      <c r="H470" s="51" t="s">
        <v>91</v>
      </c>
      <c r="I470" s="66">
        <v>0.37291666666666662</v>
      </c>
      <c r="J470" s="51">
        <v>235.22</v>
      </c>
      <c r="K470" s="51">
        <v>12.47</v>
      </c>
      <c r="L470" s="51">
        <v>5.12</v>
      </c>
      <c r="M470" s="51">
        <v>1.8</v>
      </c>
      <c r="N470" s="51">
        <v>9.0500000000000007</v>
      </c>
      <c r="O470" s="51" t="s">
        <v>48</v>
      </c>
      <c r="P470" s="51">
        <v>4</v>
      </c>
      <c r="Q470" s="51">
        <v>10</v>
      </c>
      <c r="R470" s="51" t="s">
        <v>49</v>
      </c>
      <c r="S470" s="51" t="s">
        <v>50</v>
      </c>
      <c r="T470" s="51" t="s">
        <v>50</v>
      </c>
      <c r="U470" s="51" t="s">
        <v>50</v>
      </c>
      <c r="V470" s="51" t="s">
        <v>50</v>
      </c>
      <c r="W470" s="51" t="s">
        <v>50</v>
      </c>
      <c r="X470" s="51" t="s">
        <v>50</v>
      </c>
    </row>
    <row r="471" spans="1:25" x14ac:dyDescent="0.25">
      <c r="A471" s="821">
        <v>44271</v>
      </c>
      <c r="B471" s="51" t="s">
        <v>70</v>
      </c>
      <c r="C471" s="51" t="s">
        <v>88</v>
      </c>
      <c r="D471" s="870">
        <v>38.108170000000001</v>
      </c>
      <c r="E471" s="870">
        <v>-121.7157</v>
      </c>
      <c r="F471" s="51" t="s">
        <v>764</v>
      </c>
      <c r="G471" s="51" t="s">
        <v>90</v>
      </c>
      <c r="H471" s="51" t="s">
        <v>91</v>
      </c>
      <c r="I471" s="66">
        <v>0.3215277777777778</v>
      </c>
      <c r="J471" s="51">
        <v>258.55</v>
      </c>
      <c r="K471" s="51">
        <v>12.5</v>
      </c>
      <c r="L471" s="51">
        <v>12.8</v>
      </c>
      <c r="M471" s="51">
        <v>0.8</v>
      </c>
      <c r="N471" s="51">
        <v>10.119999999999999</v>
      </c>
      <c r="O471" s="51" t="s">
        <v>48</v>
      </c>
      <c r="P471" s="51">
        <v>4</v>
      </c>
      <c r="Q471" s="51">
        <v>10</v>
      </c>
      <c r="R471" s="51" t="s">
        <v>49</v>
      </c>
      <c r="S471" s="51" t="s">
        <v>50</v>
      </c>
      <c r="T471" s="51" t="s">
        <v>50</v>
      </c>
      <c r="U471" s="51" t="s">
        <v>50</v>
      </c>
      <c r="V471" s="51" t="s">
        <v>50</v>
      </c>
      <c r="W471" s="51" t="s">
        <v>50</v>
      </c>
      <c r="X471" s="51" t="s">
        <v>50</v>
      </c>
    </row>
    <row r="472" spans="1:25" x14ac:dyDescent="0.25">
      <c r="A472" s="821">
        <v>44271</v>
      </c>
      <c r="B472" s="51" t="s">
        <v>70</v>
      </c>
      <c r="C472" s="51" t="s">
        <v>95</v>
      </c>
      <c r="D472" s="870">
        <v>38.098939999999999</v>
      </c>
      <c r="E472" s="870">
        <v>-121.59036</v>
      </c>
      <c r="F472" s="51" t="s">
        <v>765</v>
      </c>
      <c r="G472" s="51" t="s">
        <v>46</v>
      </c>
      <c r="H472" s="51" t="s">
        <v>582</v>
      </c>
      <c r="I472" s="66">
        <v>0.45763888888888887</v>
      </c>
      <c r="J472" s="51">
        <v>321.35000000000002</v>
      </c>
      <c r="K472" s="51">
        <v>12.6</v>
      </c>
      <c r="L472" s="51" t="s">
        <v>50</v>
      </c>
      <c r="M472" s="51">
        <v>1.47</v>
      </c>
      <c r="N472" s="51">
        <v>11.43</v>
      </c>
      <c r="O472" s="51" t="s">
        <v>48</v>
      </c>
      <c r="P472" s="51">
        <v>4</v>
      </c>
      <c r="Q472" s="51">
        <v>10</v>
      </c>
      <c r="R472" s="51" t="s">
        <v>49</v>
      </c>
      <c r="S472" s="51" t="s">
        <v>50</v>
      </c>
      <c r="T472" s="51" t="s">
        <v>50</v>
      </c>
      <c r="U472" s="51" t="s">
        <v>50</v>
      </c>
      <c r="V472" s="51" t="s">
        <v>50</v>
      </c>
      <c r="W472" s="51" t="s">
        <v>50</v>
      </c>
      <c r="X472" s="51" t="s">
        <v>50</v>
      </c>
      <c r="Y472" s="52" t="s">
        <v>766</v>
      </c>
    </row>
    <row r="473" spans="1:25" x14ac:dyDescent="0.25">
      <c r="A473" s="821">
        <v>44271</v>
      </c>
      <c r="B473" s="51" t="s">
        <v>70</v>
      </c>
      <c r="C473" s="51" t="s">
        <v>95</v>
      </c>
      <c r="D473" s="870">
        <v>38.095640000000003</v>
      </c>
      <c r="E473" s="870">
        <v>-121.65866</v>
      </c>
      <c r="F473" s="51" t="s">
        <v>767</v>
      </c>
      <c r="G473" s="51" t="s">
        <v>46</v>
      </c>
      <c r="H473" s="51" t="s">
        <v>97</v>
      </c>
      <c r="I473" s="66">
        <v>0.39999999999999997</v>
      </c>
      <c r="J473" s="51">
        <v>380.78</v>
      </c>
      <c r="K473" s="51">
        <v>12.47</v>
      </c>
      <c r="L473" s="51">
        <v>16.7</v>
      </c>
      <c r="M473" s="51">
        <v>1.34</v>
      </c>
      <c r="N473" s="51">
        <v>13.47</v>
      </c>
      <c r="O473" s="51" t="s">
        <v>48</v>
      </c>
      <c r="P473" s="51">
        <v>4</v>
      </c>
      <c r="Q473" s="51">
        <v>10</v>
      </c>
      <c r="R473" s="51" t="s">
        <v>49</v>
      </c>
      <c r="S473" s="51" t="s">
        <v>50</v>
      </c>
      <c r="T473" s="51" t="s">
        <v>50</v>
      </c>
      <c r="U473" s="51" t="s">
        <v>50</v>
      </c>
      <c r="V473" s="51" t="s">
        <v>50</v>
      </c>
      <c r="W473" s="51" t="s">
        <v>50</v>
      </c>
      <c r="X473" s="51" t="s">
        <v>50</v>
      </c>
      <c r="Y473" s="52" t="s">
        <v>768</v>
      </c>
    </row>
    <row r="474" spans="1:25" s="878" customFormat="1" x14ac:dyDescent="0.25">
      <c r="A474" s="876">
        <v>44271</v>
      </c>
      <c r="B474" s="437" t="s">
        <v>70</v>
      </c>
      <c r="C474" s="437" t="s">
        <v>95</v>
      </c>
      <c r="D474" s="897">
        <v>38.037390000000002</v>
      </c>
      <c r="E474" s="897">
        <v>-121.70507000000001</v>
      </c>
      <c r="F474" s="437" t="s">
        <v>769</v>
      </c>
      <c r="G474" s="437" t="s">
        <v>27</v>
      </c>
      <c r="H474" s="437" t="s">
        <v>95</v>
      </c>
      <c r="I474" s="438">
        <v>0.33888888888888885</v>
      </c>
      <c r="J474" s="437">
        <v>661.5</v>
      </c>
      <c r="K474" s="437">
        <v>12.17</v>
      </c>
      <c r="L474" s="437">
        <v>17.079999999999998</v>
      </c>
      <c r="M474" s="437">
        <v>0.76</v>
      </c>
      <c r="N474" s="437">
        <v>9.65</v>
      </c>
      <c r="O474" s="437" t="s">
        <v>48</v>
      </c>
      <c r="P474" s="437">
        <v>4</v>
      </c>
      <c r="Q474" s="437">
        <v>10</v>
      </c>
      <c r="R474" s="437" t="s">
        <v>64</v>
      </c>
      <c r="S474" s="877" t="s">
        <v>449</v>
      </c>
      <c r="T474" s="437">
        <v>1</v>
      </c>
      <c r="U474" s="437" t="s">
        <v>770</v>
      </c>
      <c r="V474" s="437" t="s">
        <v>50</v>
      </c>
      <c r="W474" s="437" t="s">
        <v>350</v>
      </c>
      <c r="X474" s="437" t="s">
        <v>351</v>
      </c>
      <c r="Y474" s="440" t="s">
        <v>771</v>
      </c>
    </row>
    <row r="475" spans="1:25" x14ac:dyDescent="0.25">
      <c r="A475" s="821">
        <v>44272</v>
      </c>
      <c r="B475" s="51" t="s">
        <v>87</v>
      </c>
      <c r="C475" s="51" t="s">
        <v>88</v>
      </c>
      <c r="D475" s="870">
        <v>38.060580000000002</v>
      </c>
      <c r="E475" s="870">
        <v>-121.78955000000001</v>
      </c>
      <c r="F475" s="51" t="s">
        <v>772</v>
      </c>
      <c r="G475" s="51" t="s">
        <v>27</v>
      </c>
      <c r="H475" s="51" t="s">
        <v>25</v>
      </c>
      <c r="I475" s="66">
        <v>0.38819444444444445</v>
      </c>
      <c r="J475" s="51">
        <v>2047.75</v>
      </c>
      <c r="K475" s="51">
        <v>12.15</v>
      </c>
      <c r="L475" s="51">
        <v>26.55</v>
      </c>
      <c r="M475" s="51">
        <v>0.54</v>
      </c>
      <c r="N475" s="51">
        <v>8.65</v>
      </c>
      <c r="O475" s="51" t="s">
        <v>48</v>
      </c>
      <c r="P475" s="51">
        <v>4</v>
      </c>
      <c r="Q475" s="51">
        <v>10</v>
      </c>
      <c r="R475" s="51" t="s">
        <v>49</v>
      </c>
      <c r="S475" s="51" t="s">
        <v>50</v>
      </c>
      <c r="T475" s="51" t="s">
        <v>50</v>
      </c>
      <c r="U475" s="51" t="s">
        <v>50</v>
      </c>
      <c r="V475" s="51" t="s">
        <v>50</v>
      </c>
      <c r="W475" s="51" t="s">
        <v>50</v>
      </c>
      <c r="X475" s="51" t="s">
        <v>50</v>
      </c>
    </row>
    <row r="476" spans="1:25" s="856" customFormat="1" x14ac:dyDescent="0.25">
      <c r="A476" s="855">
        <v>44272</v>
      </c>
      <c r="B476" s="450" t="s">
        <v>87</v>
      </c>
      <c r="C476" s="450" t="s">
        <v>88</v>
      </c>
      <c r="D476" s="881">
        <v>38.069719999999997</v>
      </c>
      <c r="E476" s="881">
        <v>-121.77315</v>
      </c>
      <c r="F476" s="450" t="s">
        <v>773</v>
      </c>
      <c r="G476" s="450" t="s">
        <v>27</v>
      </c>
      <c r="H476" s="450" t="s">
        <v>25</v>
      </c>
      <c r="I476" s="451">
        <v>0.4368055555555555</v>
      </c>
      <c r="J476" s="450">
        <v>897.25</v>
      </c>
      <c r="K476" s="450">
        <v>12.35</v>
      </c>
      <c r="L476" s="450">
        <v>29.75</v>
      </c>
      <c r="M476" s="450">
        <v>0.51</v>
      </c>
      <c r="N476" s="450">
        <v>8.9499999999999993</v>
      </c>
      <c r="O476" s="450" t="s">
        <v>48</v>
      </c>
      <c r="P476" s="450">
        <v>4</v>
      </c>
      <c r="Q476" s="450">
        <v>10</v>
      </c>
      <c r="R476" s="450" t="s">
        <v>49</v>
      </c>
      <c r="S476" s="858" t="s">
        <v>31</v>
      </c>
      <c r="T476" s="450">
        <v>1</v>
      </c>
      <c r="U476" s="450" t="s">
        <v>774</v>
      </c>
      <c r="V476" s="450" t="s">
        <v>66</v>
      </c>
      <c r="W476" s="450" t="s">
        <v>50</v>
      </c>
      <c r="X476" s="450" t="s">
        <v>228</v>
      </c>
      <c r="Y476" s="453"/>
    </row>
    <row r="477" spans="1:25" x14ac:dyDescent="0.25">
      <c r="A477" s="821">
        <v>44272</v>
      </c>
      <c r="B477" s="51" t="s">
        <v>87</v>
      </c>
      <c r="C477" s="51" t="s">
        <v>88</v>
      </c>
      <c r="D477" s="870">
        <v>38.055660000000003</v>
      </c>
      <c r="E477" s="870">
        <v>-121.8053</v>
      </c>
      <c r="F477" s="51" t="s">
        <v>775</v>
      </c>
      <c r="G477" s="51" t="s">
        <v>27</v>
      </c>
      <c r="H477" s="51" t="s">
        <v>25</v>
      </c>
      <c r="I477" s="66">
        <v>0.33611111111111108</v>
      </c>
      <c r="J477" s="51">
        <v>2572.75</v>
      </c>
      <c r="K477" s="51">
        <v>12.03</v>
      </c>
      <c r="L477" s="51">
        <v>29.58</v>
      </c>
      <c r="M477" s="51">
        <v>0.54</v>
      </c>
      <c r="N477" s="51">
        <v>10.35</v>
      </c>
      <c r="O477" s="51" t="s">
        <v>48</v>
      </c>
      <c r="P477" s="51">
        <v>4</v>
      </c>
      <c r="Q477" s="51">
        <v>10</v>
      </c>
      <c r="R477" s="51" t="s">
        <v>49</v>
      </c>
      <c r="S477" s="51" t="s">
        <v>50</v>
      </c>
      <c r="T477" s="51" t="s">
        <v>50</v>
      </c>
      <c r="U477" s="51" t="s">
        <v>50</v>
      </c>
      <c r="V477" s="51" t="s">
        <v>50</v>
      </c>
      <c r="W477" s="51" t="s">
        <v>50</v>
      </c>
      <c r="X477" s="51" t="s">
        <v>50</v>
      </c>
    </row>
    <row r="478" spans="1:25" x14ac:dyDescent="0.25">
      <c r="A478" s="821">
        <v>44272</v>
      </c>
      <c r="B478" s="51" t="s">
        <v>87</v>
      </c>
      <c r="C478" s="51" t="s">
        <v>44</v>
      </c>
      <c r="D478" s="870">
        <v>37.992190000000001</v>
      </c>
      <c r="E478" s="870">
        <v>-121.58067</v>
      </c>
      <c r="F478" s="51" t="s">
        <v>776</v>
      </c>
      <c r="G478" s="51" t="s">
        <v>46</v>
      </c>
      <c r="H478" s="51" t="s">
        <v>74</v>
      </c>
      <c r="I478" s="66">
        <v>0.45902777777777781</v>
      </c>
      <c r="J478" s="51">
        <v>458.75</v>
      </c>
      <c r="K478" s="51">
        <v>12.6</v>
      </c>
      <c r="L478" s="51">
        <v>5.9</v>
      </c>
      <c r="M478" s="51">
        <v>1.8</v>
      </c>
      <c r="N478" s="51">
        <v>6.62</v>
      </c>
      <c r="O478" s="51" t="s">
        <v>48</v>
      </c>
      <c r="P478" s="51">
        <v>4</v>
      </c>
      <c r="Q478" s="51">
        <v>10</v>
      </c>
      <c r="R478" s="51" t="s">
        <v>49</v>
      </c>
      <c r="S478" s="51" t="s">
        <v>50</v>
      </c>
      <c r="T478" s="51" t="s">
        <v>50</v>
      </c>
      <c r="U478" s="51" t="s">
        <v>50</v>
      </c>
      <c r="V478" s="51" t="s">
        <v>50</v>
      </c>
      <c r="W478" s="51" t="s">
        <v>50</v>
      </c>
      <c r="X478" s="51" t="s">
        <v>50</v>
      </c>
    </row>
    <row r="479" spans="1:25" x14ac:dyDescent="0.25">
      <c r="A479" s="821">
        <v>44272</v>
      </c>
      <c r="B479" s="51" t="s">
        <v>87</v>
      </c>
      <c r="C479" s="51" t="s">
        <v>44</v>
      </c>
      <c r="D479" s="870">
        <v>37.971530000000001</v>
      </c>
      <c r="E479" s="870">
        <v>-121.58177999999999</v>
      </c>
      <c r="F479" s="51" t="s">
        <v>777</v>
      </c>
      <c r="G479" s="51" t="s">
        <v>46</v>
      </c>
      <c r="H479" s="51" t="s">
        <v>199</v>
      </c>
      <c r="I479" s="66">
        <v>0.40277777777777773</v>
      </c>
      <c r="J479" s="51">
        <v>462.75</v>
      </c>
      <c r="K479" s="51">
        <v>12.55</v>
      </c>
      <c r="L479" s="51">
        <v>5.48</v>
      </c>
      <c r="M479" s="51">
        <v>1.8</v>
      </c>
      <c r="N479" s="51">
        <v>4.47</v>
      </c>
      <c r="O479" s="51" t="s">
        <v>48</v>
      </c>
      <c r="P479" s="51">
        <v>4</v>
      </c>
      <c r="Q479" s="51">
        <v>10</v>
      </c>
      <c r="R479" s="51" t="s">
        <v>64</v>
      </c>
      <c r="S479" s="51" t="s">
        <v>50</v>
      </c>
      <c r="T479" s="51" t="s">
        <v>50</v>
      </c>
      <c r="U479" s="51" t="s">
        <v>50</v>
      </c>
      <c r="V479" s="51" t="s">
        <v>50</v>
      </c>
      <c r="W479" s="51" t="s">
        <v>50</v>
      </c>
      <c r="X479" s="51" t="s">
        <v>50</v>
      </c>
      <c r="Y479" s="52" t="s">
        <v>778</v>
      </c>
    </row>
    <row r="480" spans="1:25" x14ac:dyDescent="0.25">
      <c r="A480" s="821">
        <v>44272</v>
      </c>
      <c r="B480" s="51" t="s">
        <v>87</v>
      </c>
      <c r="C480" s="51" t="s">
        <v>44</v>
      </c>
      <c r="D480" s="870">
        <v>37.940579999999997</v>
      </c>
      <c r="E480" s="870">
        <v>-121.54702</v>
      </c>
      <c r="F480" s="51" t="s">
        <v>779</v>
      </c>
      <c r="G480" s="51" t="s">
        <v>46</v>
      </c>
      <c r="H480" s="51" t="s">
        <v>199</v>
      </c>
      <c r="I480" s="66">
        <v>0.34791666666666665</v>
      </c>
      <c r="J480" s="51">
        <v>487</v>
      </c>
      <c r="K480" s="51">
        <v>12.8</v>
      </c>
      <c r="L480" s="51">
        <v>2.93</v>
      </c>
      <c r="M480" s="51">
        <v>1.8</v>
      </c>
      <c r="N480" s="51">
        <v>3.6</v>
      </c>
      <c r="O480" s="51" t="s">
        <v>48</v>
      </c>
      <c r="P480" s="51">
        <v>4</v>
      </c>
      <c r="Q480" s="51">
        <v>10</v>
      </c>
      <c r="R480" s="51" t="s">
        <v>64</v>
      </c>
      <c r="S480" s="51" t="s">
        <v>50</v>
      </c>
      <c r="T480" s="51" t="s">
        <v>50</v>
      </c>
      <c r="U480" s="51" t="s">
        <v>50</v>
      </c>
      <c r="V480" s="51" t="s">
        <v>50</v>
      </c>
      <c r="W480" s="51" t="s">
        <v>50</v>
      </c>
      <c r="X480" s="51" t="s">
        <v>50</v>
      </c>
    </row>
    <row r="481" spans="1:25" s="878" customFormat="1" x14ac:dyDescent="0.25">
      <c r="A481" s="876">
        <v>44272</v>
      </c>
      <c r="B481" s="437" t="s">
        <v>87</v>
      </c>
      <c r="C481" s="437" t="s">
        <v>78</v>
      </c>
      <c r="D481" s="897">
        <v>38.06427</v>
      </c>
      <c r="E481" s="897">
        <v>-122.1006</v>
      </c>
      <c r="F481" s="437" t="s">
        <v>780</v>
      </c>
      <c r="G481" s="437" t="s">
        <v>80</v>
      </c>
      <c r="H481" s="437" t="s">
        <v>81</v>
      </c>
      <c r="I481" s="438">
        <v>0.35833333333333334</v>
      </c>
      <c r="J481" s="437">
        <v>15143.75</v>
      </c>
      <c r="K481" s="437">
        <v>11.7</v>
      </c>
      <c r="L481" s="437">
        <v>27.62</v>
      </c>
      <c r="M481" s="437">
        <v>0.52</v>
      </c>
      <c r="N481" s="437">
        <v>12.85</v>
      </c>
      <c r="O481" s="437" t="s">
        <v>48</v>
      </c>
      <c r="P481" s="437">
        <v>4</v>
      </c>
      <c r="Q481" s="437">
        <v>10</v>
      </c>
      <c r="R481" s="437" t="s">
        <v>49</v>
      </c>
      <c r="S481" s="877" t="s">
        <v>348</v>
      </c>
      <c r="T481" s="437">
        <v>1</v>
      </c>
      <c r="U481" s="437" t="s">
        <v>349</v>
      </c>
      <c r="V481" s="437" t="s">
        <v>50</v>
      </c>
      <c r="W481" s="437" t="s">
        <v>350</v>
      </c>
      <c r="X481" s="437" t="s">
        <v>351</v>
      </c>
      <c r="Y481" s="440"/>
    </row>
    <row r="482" spans="1:25" s="878" customFormat="1" x14ac:dyDescent="0.25">
      <c r="A482" s="876">
        <v>44272</v>
      </c>
      <c r="B482" s="437" t="s">
        <v>87</v>
      </c>
      <c r="C482" s="437" t="s">
        <v>78</v>
      </c>
      <c r="D482" s="897">
        <v>38.049210000000002</v>
      </c>
      <c r="E482" s="897">
        <v>-122.11411</v>
      </c>
      <c r="F482" s="437" t="s">
        <v>781</v>
      </c>
      <c r="G482" s="437" t="s">
        <v>80</v>
      </c>
      <c r="H482" s="437" t="s">
        <v>81</v>
      </c>
      <c r="I482" s="438">
        <v>0.4152777777777778</v>
      </c>
      <c r="J482" s="437">
        <v>15066</v>
      </c>
      <c r="K482" s="437">
        <v>11.8</v>
      </c>
      <c r="L482" s="437">
        <v>45</v>
      </c>
      <c r="M482" s="437">
        <v>0.35</v>
      </c>
      <c r="N482" s="437">
        <v>9.9499999999999993</v>
      </c>
      <c r="O482" s="437" t="s">
        <v>48</v>
      </c>
      <c r="P482" s="437">
        <v>4</v>
      </c>
      <c r="Q482" s="437">
        <v>10</v>
      </c>
      <c r="R482" s="437" t="s">
        <v>49</v>
      </c>
      <c r="S482" s="877" t="s">
        <v>348</v>
      </c>
      <c r="T482" s="437">
        <v>1</v>
      </c>
      <c r="U482" s="437" t="s">
        <v>759</v>
      </c>
      <c r="V482" s="437" t="s">
        <v>50</v>
      </c>
      <c r="W482" s="437" t="s">
        <v>350</v>
      </c>
      <c r="X482" s="437" t="s">
        <v>351</v>
      </c>
      <c r="Y482" s="440"/>
    </row>
    <row r="483" spans="1:25" x14ac:dyDescent="0.25">
      <c r="A483" s="821">
        <v>44272</v>
      </c>
      <c r="B483" s="51" t="s">
        <v>87</v>
      </c>
      <c r="C483" s="51" t="s">
        <v>78</v>
      </c>
      <c r="D483" s="870">
        <v>38.061079999999997</v>
      </c>
      <c r="E483" s="870">
        <v>-122.00314</v>
      </c>
      <c r="F483" s="51" t="s">
        <v>782</v>
      </c>
      <c r="G483" s="51" t="s">
        <v>27</v>
      </c>
      <c r="H483" s="51" t="s">
        <v>86</v>
      </c>
      <c r="I483" s="66">
        <v>0.47500000000000003</v>
      </c>
      <c r="J483" s="51">
        <v>6717.75</v>
      </c>
      <c r="K483" s="51">
        <v>12.08</v>
      </c>
      <c r="L483" s="51">
        <v>41.15</v>
      </c>
      <c r="M483" s="51">
        <v>0.35</v>
      </c>
      <c r="N483" s="51">
        <v>14</v>
      </c>
      <c r="O483" s="51" t="s">
        <v>48</v>
      </c>
      <c r="P483" s="51">
        <v>4</v>
      </c>
      <c r="Q483" s="51">
        <v>10</v>
      </c>
      <c r="R483" s="51" t="s">
        <v>49</v>
      </c>
      <c r="S483" s="51" t="s">
        <v>50</v>
      </c>
      <c r="T483" s="51" t="s">
        <v>50</v>
      </c>
      <c r="U483" s="51" t="s">
        <v>50</v>
      </c>
      <c r="V483" s="51" t="s">
        <v>50</v>
      </c>
      <c r="W483" s="51" t="s">
        <v>50</v>
      </c>
      <c r="X483" s="51" t="s">
        <v>50</v>
      </c>
    </row>
    <row r="484" spans="1:25" s="857" customFormat="1" x14ac:dyDescent="0.25">
      <c r="A484" s="446">
        <v>44273</v>
      </c>
      <c r="B484" s="424" t="s">
        <v>105</v>
      </c>
      <c r="C484" s="424" t="s">
        <v>162</v>
      </c>
      <c r="D484" s="871">
        <v>38.306330000000003</v>
      </c>
      <c r="E484" s="871">
        <v>-121.73213</v>
      </c>
      <c r="F484" s="424" t="s">
        <v>783</v>
      </c>
      <c r="G484" s="424" t="s">
        <v>90</v>
      </c>
      <c r="H484" s="424" t="s">
        <v>126</v>
      </c>
      <c r="I484" s="425">
        <v>0.33611111111111108</v>
      </c>
      <c r="J484" s="424" t="s">
        <v>50</v>
      </c>
      <c r="K484" s="424" t="s">
        <v>50</v>
      </c>
      <c r="L484" s="424" t="s">
        <v>50</v>
      </c>
      <c r="M484" s="424" t="s">
        <v>50</v>
      </c>
      <c r="N484" s="424" t="s">
        <v>50</v>
      </c>
      <c r="O484" s="424" t="s">
        <v>48</v>
      </c>
      <c r="P484" s="424">
        <v>0</v>
      </c>
      <c r="Q484" s="424" t="s">
        <v>50</v>
      </c>
      <c r="R484" s="424" t="s">
        <v>50</v>
      </c>
      <c r="S484" s="424" t="s">
        <v>50</v>
      </c>
      <c r="T484" s="424" t="s">
        <v>50</v>
      </c>
      <c r="U484" s="424" t="s">
        <v>50</v>
      </c>
      <c r="V484" s="424" t="s">
        <v>50</v>
      </c>
      <c r="W484" s="424" t="s">
        <v>50</v>
      </c>
      <c r="X484" s="424" t="s">
        <v>50</v>
      </c>
      <c r="Y484" s="426" t="s">
        <v>784</v>
      </c>
    </row>
    <row r="485" spans="1:25" x14ac:dyDescent="0.25">
      <c r="A485" s="821">
        <v>44273</v>
      </c>
      <c r="B485" s="51" t="s">
        <v>105</v>
      </c>
      <c r="C485" s="51" t="s">
        <v>44</v>
      </c>
      <c r="D485" s="870">
        <v>38.06006</v>
      </c>
      <c r="E485" s="870">
        <v>-121.58275</v>
      </c>
      <c r="F485" s="51" t="s">
        <v>785</v>
      </c>
      <c r="G485" s="51" t="s">
        <v>46</v>
      </c>
      <c r="H485" s="51" t="s">
        <v>47</v>
      </c>
      <c r="I485" s="66">
        <v>0.44513888888888892</v>
      </c>
      <c r="J485" s="51">
        <v>335.48</v>
      </c>
      <c r="K485" s="51">
        <v>12.85</v>
      </c>
      <c r="L485" s="51">
        <v>7.24</v>
      </c>
      <c r="M485" s="51">
        <v>1.7</v>
      </c>
      <c r="N485" s="51">
        <v>4.97</v>
      </c>
      <c r="O485" s="51" t="s">
        <v>48</v>
      </c>
      <c r="P485" s="51">
        <v>4</v>
      </c>
      <c r="Q485" s="51">
        <v>10</v>
      </c>
      <c r="R485" s="51" t="s">
        <v>49</v>
      </c>
      <c r="S485" s="51" t="s">
        <v>50</v>
      </c>
      <c r="T485" s="51" t="s">
        <v>50</v>
      </c>
      <c r="U485" s="51" t="s">
        <v>50</v>
      </c>
      <c r="V485" s="51" t="s">
        <v>50</v>
      </c>
      <c r="W485" s="51" t="s">
        <v>50</v>
      </c>
      <c r="X485" s="51" t="s">
        <v>50</v>
      </c>
    </row>
    <row r="486" spans="1:25" x14ac:dyDescent="0.25">
      <c r="A486" s="821">
        <v>44273</v>
      </c>
      <c r="B486" s="51" t="s">
        <v>105</v>
      </c>
      <c r="C486" s="51" t="s">
        <v>44</v>
      </c>
      <c r="D486" s="870">
        <v>38.041150000000002</v>
      </c>
      <c r="E486" s="870">
        <v>-121.59613</v>
      </c>
      <c r="F486" s="51" t="s">
        <v>786</v>
      </c>
      <c r="G486" s="51" t="s">
        <v>46</v>
      </c>
      <c r="H486" s="51" t="s">
        <v>47</v>
      </c>
      <c r="I486" s="66">
        <v>0.3888888888888889</v>
      </c>
      <c r="J486" s="51">
        <v>401</v>
      </c>
      <c r="K486" s="51">
        <v>12.53</v>
      </c>
      <c r="L486" s="51">
        <v>6.78</v>
      </c>
      <c r="M486" s="51">
        <v>1.76</v>
      </c>
      <c r="N486" s="51">
        <v>2.65</v>
      </c>
      <c r="O486" s="51" t="s">
        <v>48</v>
      </c>
      <c r="P486" s="51">
        <v>4</v>
      </c>
      <c r="Q486" s="51">
        <v>10</v>
      </c>
      <c r="R486" s="51" t="s">
        <v>49</v>
      </c>
      <c r="S486" s="51" t="s">
        <v>50</v>
      </c>
      <c r="T486" s="51" t="s">
        <v>50</v>
      </c>
      <c r="U486" s="51" t="s">
        <v>50</v>
      </c>
      <c r="V486" s="51" t="s">
        <v>50</v>
      </c>
      <c r="W486" s="51" t="s">
        <v>50</v>
      </c>
      <c r="X486" s="51" t="s">
        <v>50</v>
      </c>
    </row>
    <row r="487" spans="1:25" x14ac:dyDescent="0.25">
      <c r="A487" s="821">
        <v>44273</v>
      </c>
      <c r="B487" s="51" t="s">
        <v>105</v>
      </c>
      <c r="C487" s="51" t="s">
        <v>44</v>
      </c>
      <c r="D487" s="870">
        <v>38.02346</v>
      </c>
      <c r="E487" s="870">
        <v>-121.52</v>
      </c>
      <c r="F487" s="51" t="s">
        <v>787</v>
      </c>
      <c r="G487" s="51" t="s">
        <v>46</v>
      </c>
      <c r="H487" s="51" t="s">
        <v>59</v>
      </c>
      <c r="I487" s="66">
        <v>0.3298611111111111</v>
      </c>
      <c r="J487" s="51">
        <v>382.53</v>
      </c>
      <c r="K487" s="51">
        <v>12.9</v>
      </c>
      <c r="L487" s="51">
        <v>5.69</v>
      </c>
      <c r="M487" s="51">
        <v>1.8</v>
      </c>
      <c r="N487" s="51">
        <v>8.65</v>
      </c>
      <c r="O487" s="51" t="s">
        <v>48</v>
      </c>
      <c r="P487" s="51">
        <v>4</v>
      </c>
      <c r="Q487" s="51">
        <v>10</v>
      </c>
      <c r="R487" s="51" t="s">
        <v>64</v>
      </c>
      <c r="S487" s="51" t="s">
        <v>50</v>
      </c>
      <c r="T487" s="51" t="s">
        <v>50</v>
      </c>
      <c r="U487" s="51" t="s">
        <v>50</v>
      </c>
      <c r="V487" s="51" t="s">
        <v>50</v>
      </c>
      <c r="W487" s="51" t="s">
        <v>50</v>
      </c>
      <c r="X487" s="51" t="s">
        <v>50</v>
      </c>
    </row>
    <row r="488" spans="1:25" x14ac:dyDescent="0.25">
      <c r="A488" s="821">
        <v>44273</v>
      </c>
      <c r="B488" s="51" t="s">
        <v>105</v>
      </c>
      <c r="C488" s="51" t="s">
        <v>78</v>
      </c>
      <c r="D488" s="870">
        <v>38.05339</v>
      </c>
      <c r="E488" s="870">
        <v>-121.87612</v>
      </c>
      <c r="F488" s="51" t="s">
        <v>788</v>
      </c>
      <c r="G488" s="51" t="s">
        <v>27</v>
      </c>
      <c r="H488" s="51" t="s">
        <v>101</v>
      </c>
      <c r="I488" s="66">
        <v>0.39444444444444443</v>
      </c>
      <c r="J488" s="51">
        <v>5223.75</v>
      </c>
      <c r="K488" s="51">
        <v>12.1</v>
      </c>
      <c r="L488" s="51">
        <v>25.58</v>
      </c>
      <c r="M488" s="51">
        <v>0.56999999999999995</v>
      </c>
      <c r="N488" s="51">
        <v>13.3</v>
      </c>
      <c r="O488" s="51" t="s">
        <v>48</v>
      </c>
      <c r="P488" s="51">
        <v>4</v>
      </c>
      <c r="Q488" s="51">
        <v>10</v>
      </c>
      <c r="R488" s="51" t="s">
        <v>49</v>
      </c>
      <c r="S488" s="51" t="s">
        <v>50</v>
      </c>
      <c r="T488" s="51" t="s">
        <v>50</v>
      </c>
      <c r="U488" s="51" t="s">
        <v>50</v>
      </c>
      <c r="V488" s="51" t="s">
        <v>50</v>
      </c>
      <c r="W488" s="51" t="s">
        <v>50</v>
      </c>
      <c r="X488" s="51" t="s">
        <v>50</v>
      </c>
      <c r="Y488" s="52" t="s">
        <v>789</v>
      </c>
    </row>
    <row r="489" spans="1:25" x14ac:dyDescent="0.25">
      <c r="A489" s="821">
        <v>44273</v>
      </c>
      <c r="B489" s="51" t="s">
        <v>105</v>
      </c>
      <c r="C489" s="51" t="s">
        <v>78</v>
      </c>
      <c r="D489" s="870">
        <v>38.070540000000001</v>
      </c>
      <c r="E489" s="870">
        <v>-121.84435000000001</v>
      </c>
      <c r="F489" s="51" t="s">
        <v>790</v>
      </c>
      <c r="G489" s="51" t="s">
        <v>27</v>
      </c>
      <c r="H489" s="51" t="s">
        <v>101</v>
      </c>
      <c r="I489" s="66">
        <v>0.45208333333333334</v>
      </c>
      <c r="J489" s="51">
        <v>2637.5</v>
      </c>
      <c r="K489" s="51">
        <v>12.15</v>
      </c>
      <c r="L489" s="51">
        <v>46.95</v>
      </c>
      <c r="M489" s="51">
        <v>0.45</v>
      </c>
      <c r="N489" s="51">
        <v>6.95</v>
      </c>
      <c r="O489" s="51" t="s">
        <v>48</v>
      </c>
      <c r="P489" s="51">
        <v>4</v>
      </c>
      <c r="Q489" s="51">
        <v>10</v>
      </c>
      <c r="R489" s="51" t="s">
        <v>49</v>
      </c>
      <c r="S489" s="51" t="s">
        <v>50</v>
      </c>
      <c r="T489" s="51" t="s">
        <v>50</v>
      </c>
      <c r="U489" s="51" t="s">
        <v>50</v>
      </c>
      <c r="V489" s="51" t="s">
        <v>50</v>
      </c>
      <c r="W489" s="51" t="s">
        <v>50</v>
      </c>
      <c r="X489" s="51" t="s">
        <v>50</v>
      </c>
    </row>
    <row r="490" spans="1:25" x14ac:dyDescent="0.25">
      <c r="A490" s="821">
        <v>44273</v>
      </c>
      <c r="B490" s="51" t="s">
        <v>105</v>
      </c>
      <c r="C490" s="51" t="s">
        <v>78</v>
      </c>
      <c r="D490" s="870">
        <v>38.057180000000002</v>
      </c>
      <c r="E490" s="870">
        <v>-121.98193999999999</v>
      </c>
      <c r="F490" s="51" t="s">
        <v>791</v>
      </c>
      <c r="G490" s="51" t="s">
        <v>27</v>
      </c>
      <c r="H490" s="51" t="s">
        <v>86</v>
      </c>
      <c r="I490" s="66">
        <v>0.33402777777777781</v>
      </c>
      <c r="J490" s="51">
        <v>9457.25</v>
      </c>
      <c r="K490" s="51">
        <v>11.87</v>
      </c>
      <c r="L490" s="51">
        <v>20.68</v>
      </c>
      <c r="M490" s="51">
        <v>0.66</v>
      </c>
      <c r="N490" s="51">
        <v>8.7799999999999994</v>
      </c>
      <c r="O490" s="51" t="s">
        <v>48</v>
      </c>
      <c r="P490" s="51">
        <v>4</v>
      </c>
      <c r="Q490" s="51">
        <v>10</v>
      </c>
      <c r="R490" s="51" t="s">
        <v>49</v>
      </c>
      <c r="S490" s="51" t="s">
        <v>50</v>
      </c>
      <c r="T490" s="51" t="s">
        <v>50</v>
      </c>
      <c r="U490" s="51" t="s">
        <v>50</v>
      </c>
      <c r="V490" s="51" t="s">
        <v>50</v>
      </c>
      <c r="W490" s="51" t="s">
        <v>50</v>
      </c>
      <c r="X490" s="51" t="s">
        <v>50</v>
      </c>
    </row>
    <row r="491" spans="1:25" x14ac:dyDescent="0.25">
      <c r="A491" s="821">
        <v>44274</v>
      </c>
      <c r="B491" s="51" t="s">
        <v>125</v>
      </c>
      <c r="C491" s="51" t="s">
        <v>162</v>
      </c>
      <c r="D491" s="870">
        <v>38.332279999999997</v>
      </c>
      <c r="E491" s="870">
        <v>-121.65124</v>
      </c>
      <c r="F491" s="51" t="s">
        <v>792</v>
      </c>
      <c r="G491" s="51" t="s">
        <v>90</v>
      </c>
      <c r="H491" s="51" t="s">
        <v>126</v>
      </c>
      <c r="I491" s="66">
        <v>0.34375</v>
      </c>
      <c r="J491" s="51">
        <v>437.28</v>
      </c>
      <c r="K491" s="51">
        <v>12.33</v>
      </c>
      <c r="L491" s="51">
        <v>4.28</v>
      </c>
      <c r="M491" s="51">
        <v>1.8</v>
      </c>
      <c r="N491" s="51">
        <v>3.58</v>
      </c>
      <c r="O491" s="51" t="s">
        <v>48</v>
      </c>
      <c r="P491" s="51">
        <v>4</v>
      </c>
      <c r="Q491" s="51">
        <v>10</v>
      </c>
      <c r="R491" s="51" t="s">
        <v>64</v>
      </c>
      <c r="S491" s="51" t="s">
        <v>50</v>
      </c>
      <c r="T491" s="51" t="s">
        <v>50</v>
      </c>
      <c r="U491" s="51" t="s">
        <v>50</v>
      </c>
      <c r="V491" s="51" t="s">
        <v>50</v>
      </c>
      <c r="W491" s="51" t="s">
        <v>50</v>
      </c>
      <c r="X491" s="51" t="s">
        <v>50</v>
      </c>
    </row>
    <row r="492" spans="1:25" x14ac:dyDescent="0.25">
      <c r="A492" s="821">
        <v>44274</v>
      </c>
      <c r="B492" s="51" t="s">
        <v>125</v>
      </c>
      <c r="C492" s="51" t="s">
        <v>162</v>
      </c>
      <c r="D492" s="870">
        <v>38.262500000000003</v>
      </c>
      <c r="E492" s="870">
        <v>-121.69634000000001</v>
      </c>
      <c r="F492" s="51" t="s">
        <v>793</v>
      </c>
      <c r="G492" s="51" t="s">
        <v>90</v>
      </c>
      <c r="H492" s="51" t="s">
        <v>126</v>
      </c>
      <c r="I492" s="66">
        <v>0.40138888888888885</v>
      </c>
      <c r="J492" s="51">
        <v>225.4</v>
      </c>
      <c r="K492" s="51">
        <v>12.4</v>
      </c>
      <c r="L492" s="51">
        <v>4.96</v>
      </c>
      <c r="M492" s="51">
        <v>1.8</v>
      </c>
      <c r="N492" s="51">
        <v>4.88</v>
      </c>
      <c r="O492" s="51" t="s">
        <v>48</v>
      </c>
      <c r="P492" s="51">
        <v>4</v>
      </c>
      <c r="Q492" s="51">
        <v>10</v>
      </c>
      <c r="R492" s="51" t="s">
        <v>64</v>
      </c>
      <c r="S492" s="51" t="s">
        <v>50</v>
      </c>
      <c r="T492" s="51" t="s">
        <v>50</v>
      </c>
      <c r="U492" s="51" t="s">
        <v>50</v>
      </c>
      <c r="V492" s="51" t="s">
        <v>50</v>
      </c>
      <c r="W492" s="51" t="s">
        <v>50</v>
      </c>
      <c r="X492" s="51" t="s">
        <v>50</v>
      </c>
      <c r="Y492" s="52" t="s">
        <v>794</v>
      </c>
    </row>
    <row r="493" spans="1:25" x14ac:dyDescent="0.25">
      <c r="A493" s="821">
        <v>44274</v>
      </c>
      <c r="B493" s="51" t="s">
        <v>125</v>
      </c>
      <c r="C493" s="51" t="s">
        <v>162</v>
      </c>
      <c r="D493" s="870">
        <v>38.246459999999999</v>
      </c>
      <c r="E493" s="870">
        <v>-121.68702</v>
      </c>
      <c r="F493" s="51" t="s">
        <v>795</v>
      </c>
      <c r="G493" s="51" t="s">
        <v>90</v>
      </c>
      <c r="H493" s="51" t="s">
        <v>126</v>
      </c>
      <c r="I493" s="66">
        <v>0.46458333333333335</v>
      </c>
      <c r="J493" s="51">
        <v>221.22</v>
      </c>
      <c r="K493" s="51">
        <v>12.47</v>
      </c>
      <c r="L493" s="51">
        <v>4.5199999999999996</v>
      </c>
      <c r="M493" s="51">
        <v>1.8</v>
      </c>
      <c r="N493" s="51">
        <v>9.68</v>
      </c>
      <c r="O493" s="51" t="s">
        <v>48</v>
      </c>
      <c r="P493" s="51">
        <v>4</v>
      </c>
      <c r="Q493" s="51">
        <v>10</v>
      </c>
      <c r="R493" s="51" t="s">
        <v>49</v>
      </c>
      <c r="S493" s="51" t="s">
        <v>50</v>
      </c>
      <c r="T493" s="51" t="s">
        <v>50</v>
      </c>
      <c r="U493" s="51" t="s">
        <v>50</v>
      </c>
      <c r="V493" s="51" t="s">
        <v>50</v>
      </c>
      <c r="W493" s="51" t="s">
        <v>50</v>
      </c>
      <c r="X493" s="51" t="s">
        <v>50</v>
      </c>
    </row>
    <row r="494" spans="1:25" x14ac:dyDescent="0.25">
      <c r="A494" s="821">
        <v>44274</v>
      </c>
      <c r="B494" s="51" t="s">
        <v>125</v>
      </c>
      <c r="C494" s="51" t="s">
        <v>118</v>
      </c>
      <c r="D494" s="870">
        <v>38.030999999999999</v>
      </c>
      <c r="E494" s="870">
        <v>-122.15373</v>
      </c>
      <c r="F494" s="51" t="s">
        <v>796</v>
      </c>
      <c r="G494" s="51" t="s">
        <v>80</v>
      </c>
      <c r="H494" s="51" t="s">
        <v>120</v>
      </c>
      <c r="I494" s="66">
        <v>0.46736111111111112</v>
      </c>
      <c r="J494" s="51">
        <v>14591.5</v>
      </c>
      <c r="K494" s="51">
        <v>12.15</v>
      </c>
      <c r="L494" s="51">
        <v>22.15</v>
      </c>
      <c r="M494" s="51">
        <v>0.53</v>
      </c>
      <c r="N494" s="51">
        <v>14.15</v>
      </c>
      <c r="O494" s="51" t="s">
        <v>48</v>
      </c>
      <c r="P494" s="51">
        <v>2</v>
      </c>
      <c r="Q494" s="51">
        <v>10</v>
      </c>
      <c r="R494" s="51" t="s">
        <v>49</v>
      </c>
      <c r="S494" s="51" t="s">
        <v>50</v>
      </c>
      <c r="T494" s="51" t="s">
        <v>50</v>
      </c>
      <c r="U494" s="51" t="s">
        <v>50</v>
      </c>
      <c r="V494" s="51" t="s">
        <v>50</v>
      </c>
      <c r="W494" s="51" t="s">
        <v>50</v>
      </c>
      <c r="X494" s="51" t="s">
        <v>50</v>
      </c>
      <c r="Y494" s="52" t="s">
        <v>797</v>
      </c>
    </row>
    <row r="495" spans="1:25" x14ac:dyDescent="0.25">
      <c r="A495" s="821">
        <v>44274</v>
      </c>
      <c r="B495" s="51" t="s">
        <v>125</v>
      </c>
      <c r="C495" s="51" t="s">
        <v>118</v>
      </c>
      <c r="D495" s="870">
        <v>38.039760000000001</v>
      </c>
      <c r="E495" s="870">
        <v>-122.30358</v>
      </c>
      <c r="F495" s="51" t="s">
        <v>798</v>
      </c>
      <c r="G495" s="51" t="s">
        <v>80</v>
      </c>
      <c r="H495" s="51" t="s">
        <v>123</v>
      </c>
      <c r="I495" s="66">
        <v>0.35625000000000001</v>
      </c>
      <c r="J495" s="51">
        <v>27384.5</v>
      </c>
      <c r="K495" s="51">
        <v>12.1</v>
      </c>
      <c r="L495" s="51">
        <v>6.31</v>
      </c>
      <c r="M495" s="51">
        <v>1.35</v>
      </c>
      <c r="N495" s="51">
        <v>3.6</v>
      </c>
      <c r="O495" s="51" t="s">
        <v>48</v>
      </c>
      <c r="P495" s="51">
        <v>4</v>
      </c>
      <c r="Q495" s="51">
        <v>10</v>
      </c>
      <c r="R495" s="51" t="s">
        <v>49</v>
      </c>
      <c r="S495" s="51" t="s">
        <v>50</v>
      </c>
      <c r="T495" s="51" t="s">
        <v>50</v>
      </c>
      <c r="U495" s="51" t="s">
        <v>50</v>
      </c>
      <c r="V495" s="51" t="s">
        <v>50</v>
      </c>
      <c r="W495" s="51" t="s">
        <v>50</v>
      </c>
      <c r="X495" s="51" t="s">
        <v>50</v>
      </c>
    </row>
    <row r="496" spans="1:25" s="854" customFormat="1" x14ac:dyDescent="0.25">
      <c r="A496" s="853">
        <v>44274</v>
      </c>
      <c r="B496" s="74" t="s">
        <v>125</v>
      </c>
      <c r="C496" s="74" t="s">
        <v>118</v>
      </c>
      <c r="D496" s="882">
        <v>38.087719999999997</v>
      </c>
      <c r="E496" s="882">
        <v>-122.25134</v>
      </c>
      <c r="F496" s="74" t="s">
        <v>799</v>
      </c>
      <c r="G496" s="74" t="s">
        <v>80</v>
      </c>
      <c r="H496" s="74" t="s">
        <v>191</v>
      </c>
      <c r="I496" s="73">
        <v>0.41111111111111115</v>
      </c>
      <c r="J496" s="74">
        <v>24103.75</v>
      </c>
      <c r="K496" s="74">
        <v>12.13</v>
      </c>
      <c r="L496" s="74">
        <v>20.6</v>
      </c>
      <c r="M496" s="74">
        <v>0.63</v>
      </c>
      <c r="N496" s="74">
        <v>3.83</v>
      </c>
      <c r="O496" s="74" t="s">
        <v>48</v>
      </c>
      <c r="P496" s="74">
        <v>4</v>
      </c>
      <c r="Q496" s="74">
        <v>10</v>
      </c>
      <c r="R496" s="74" t="s">
        <v>49</v>
      </c>
      <c r="S496" s="74" t="s">
        <v>50</v>
      </c>
      <c r="T496" s="74" t="s">
        <v>50</v>
      </c>
      <c r="U496" s="74" t="s">
        <v>50</v>
      </c>
      <c r="V496" s="74" t="s">
        <v>50</v>
      </c>
      <c r="W496" s="74" t="s">
        <v>50</v>
      </c>
      <c r="X496" s="74" t="s">
        <v>50</v>
      </c>
      <c r="Y496" s="77"/>
    </row>
    <row r="497" spans="1:25" x14ac:dyDescent="0.25">
      <c r="A497" s="821">
        <v>44277</v>
      </c>
      <c r="B497" s="51" t="s">
        <v>43</v>
      </c>
      <c r="C497" s="51" t="s">
        <v>88</v>
      </c>
      <c r="D497" s="870">
        <v>38.064959999999999</v>
      </c>
      <c r="E497" s="870">
        <v>-121.78355999999999</v>
      </c>
      <c r="F497" s="51" t="s">
        <v>800</v>
      </c>
      <c r="G497" s="51" t="s">
        <v>27</v>
      </c>
      <c r="H497" s="51" t="s">
        <v>25</v>
      </c>
      <c r="I497" s="66">
        <v>0.39861111111111108</v>
      </c>
      <c r="J497" s="51">
        <v>1379.5</v>
      </c>
      <c r="K497" s="51">
        <v>12.72</v>
      </c>
      <c r="L497" s="51">
        <v>16.23</v>
      </c>
      <c r="M497" s="51">
        <v>0.69</v>
      </c>
      <c r="N497" s="51">
        <v>9.43</v>
      </c>
      <c r="O497" s="51" t="s">
        <v>48</v>
      </c>
      <c r="P497" s="51">
        <v>4</v>
      </c>
      <c r="Q497" s="51">
        <v>10</v>
      </c>
      <c r="R497" s="51" t="s">
        <v>64</v>
      </c>
      <c r="S497" s="51" t="s">
        <v>50</v>
      </c>
      <c r="T497" s="51" t="s">
        <v>50</v>
      </c>
      <c r="U497" s="51" t="s">
        <v>50</v>
      </c>
      <c r="V497" s="51" t="s">
        <v>50</v>
      </c>
      <c r="W497" s="51" t="s">
        <v>50</v>
      </c>
      <c r="X497" s="51" t="s">
        <v>50</v>
      </c>
    </row>
    <row r="498" spans="1:25" x14ac:dyDescent="0.25">
      <c r="A498" s="821">
        <v>44277</v>
      </c>
      <c r="B498" s="51" t="s">
        <v>43</v>
      </c>
      <c r="C498" s="51" t="s">
        <v>88</v>
      </c>
      <c r="D498" s="870">
        <v>38.06474</v>
      </c>
      <c r="E498" s="870">
        <v>-121.83368</v>
      </c>
      <c r="F498" s="51" t="s">
        <v>801</v>
      </c>
      <c r="G498" s="51" t="s">
        <v>27</v>
      </c>
      <c r="H498" s="51" t="s">
        <v>25</v>
      </c>
      <c r="I498" s="66">
        <v>0.34583333333333338</v>
      </c>
      <c r="J498" s="51">
        <v>2652.5</v>
      </c>
      <c r="K498" s="51">
        <v>12.67</v>
      </c>
      <c r="L498" s="51">
        <v>19.149999999999999</v>
      </c>
      <c r="M498" s="51">
        <v>0.64</v>
      </c>
      <c r="N498" s="51">
        <v>11.12</v>
      </c>
      <c r="O498" s="51" t="s">
        <v>48</v>
      </c>
      <c r="P498" s="51">
        <v>4</v>
      </c>
      <c r="Q498" s="51">
        <v>10</v>
      </c>
      <c r="R498" s="51" t="s">
        <v>64</v>
      </c>
      <c r="S498" s="51" t="s">
        <v>50</v>
      </c>
      <c r="T498" s="51" t="s">
        <v>50</v>
      </c>
      <c r="U498" s="51" t="s">
        <v>50</v>
      </c>
      <c r="V498" s="51" t="s">
        <v>50</v>
      </c>
      <c r="W498" s="51" t="s">
        <v>50</v>
      </c>
      <c r="X498" s="51" t="s">
        <v>50</v>
      </c>
    </row>
    <row r="499" spans="1:25" x14ac:dyDescent="0.25">
      <c r="A499" s="821">
        <v>44277</v>
      </c>
      <c r="B499" s="51" t="s">
        <v>43</v>
      </c>
      <c r="C499" s="51" t="s">
        <v>88</v>
      </c>
      <c r="D499" s="870">
        <v>38.070909999999998</v>
      </c>
      <c r="E499" s="870">
        <v>-121.77054</v>
      </c>
      <c r="F499" s="51" t="s">
        <v>802</v>
      </c>
      <c r="G499" s="51" t="s">
        <v>27</v>
      </c>
      <c r="H499" s="51" t="s">
        <v>25</v>
      </c>
      <c r="I499" s="66">
        <v>0.44861111111111113</v>
      </c>
      <c r="J499" s="51">
        <v>1287</v>
      </c>
      <c r="K499" s="51">
        <v>12.8</v>
      </c>
      <c r="L499" s="51">
        <v>15.98</v>
      </c>
      <c r="M499" s="51">
        <v>0.76</v>
      </c>
      <c r="N499" s="51">
        <v>9.6999999999999993</v>
      </c>
      <c r="O499" s="51" t="s">
        <v>48</v>
      </c>
      <c r="P499" s="51">
        <v>4</v>
      </c>
      <c r="Q499" s="51">
        <v>10</v>
      </c>
      <c r="R499" s="51" t="s">
        <v>64</v>
      </c>
      <c r="S499" s="51" t="s">
        <v>50</v>
      </c>
      <c r="T499" s="51" t="s">
        <v>50</v>
      </c>
      <c r="U499" s="51" t="s">
        <v>50</v>
      </c>
      <c r="V499" s="51" t="s">
        <v>50</v>
      </c>
      <c r="W499" s="51" t="s">
        <v>50</v>
      </c>
      <c r="X499" s="51" t="s">
        <v>50</v>
      </c>
      <c r="Y499" s="52" t="s">
        <v>803</v>
      </c>
    </row>
    <row r="500" spans="1:25" x14ac:dyDescent="0.25">
      <c r="A500" s="821">
        <v>44277</v>
      </c>
      <c r="B500" s="51" t="s">
        <v>43</v>
      </c>
      <c r="C500" s="51" t="s">
        <v>95</v>
      </c>
      <c r="D500" s="870">
        <v>38.085349999999998</v>
      </c>
      <c r="E500" s="870">
        <v>-121.67876</v>
      </c>
      <c r="F500" s="51" t="s">
        <v>804</v>
      </c>
      <c r="G500" s="51" t="s">
        <v>46</v>
      </c>
      <c r="H500" s="51" t="s">
        <v>97</v>
      </c>
      <c r="I500" s="66">
        <v>0.44027777777777777</v>
      </c>
      <c r="J500" s="51">
        <v>407.17</v>
      </c>
      <c r="K500" s="51">
        <v>12.97</v>
      </c>
      <c r="L500" s="51">
        <v>10.19</v>
      </c>
      <c r="M500" s="51">
        <v>1.71</v>
      </c>
      <c r="N500" s="51">
        <v>13.65</v>
      </c>
      <c r="O500" s="51" t="s">
        <v>48</v>
      </c>
      <c r="P500" s="51">
        <v>4</v>
      </c>
      <c r="Q500" s="51">
        <v>10</v>
      </c>
      <c r="R500" s="51" t="s">
        <v>64</v>
      </c>
      <c r="S500" s="51" t="s">
        <v>50</v>
      </c>
      <c r="T500" s="51" t="s">
        <v>50</v>
      </c>
      <c r="U500" s="51" t="s">
        <v>50</v>
      </c>
      <c r="V500" s="51" t="s">
        <v>50</v>
      </c>
      <c r="W500" s="51" t="s">
        <v>50</v>
      </c>
      <c r="X500" s="51" t="s">
        <v>50</v>
      </c>
    </row>
    <row r="501" spans="1:25" x14ac:dyDescent="0.25">
      <c r="A501" s="821">
        <v>44277</v>
      </c>
      <c r="B501" s="51" t="s">
        <v>43</v>
      </c>
      <c r="C501" s="51" t="s">
        <v>95</v>
      </c>
      <c r="D501" s="870">
        <v>38.026760000000003</v>
      </c>
      <c r="E501" s="870">
        <v>-121.75364999999999</v>
      </c>
      <c r="F501" s="51" t="s">
        <v>805</v>
      </c>
      <c r="G501" s="51" t="s">
        <v>27</v>
      </c>
      <c r="H501" s="51" t="s">
        <v>95</v>
      </c>
      <c r="I501" s="66">
        <v>0.38819444444444445</v>
      </c>
      <c r="J501" s="51">
        <v>691</v>
      </c>
      <c r="K501" s="51">
        <v>12.8</v>
      </c>
      <c r="L501" s="51">
        <v>10.37</v>
      </c>
      <c r="M501" s="51">
        <v>0.88</v>
      </c>
      <c r="N501" s="51">
        <v>11.05</v>
      </c>
      <c r="O501" s="51" t="s">
        <v>48</v>
      </c>
      <c r="P501" s="51">
        <v>4</v>
      </c>
      <c r="Q501" s="51">
        <v>10</v>
      </c>
      <c r="R501" s="51" t="s">
        <v>64</v>
      </c>
      <c r="S501" s="51" t="s">
        <v>50</v>
      </c>
      <c r="T501" s="51" t="s">
        <v>50</v>
      </c>
      <c r="U501" s="51" t="s">
        <v>50</v>
      </c>
      <c r="V501" s="51" t="s">
        <v>50</v>
      </c>
      <c r="W501" s="51" t="s">
        <v>50</v>
      </c>
      <c r="X501" s="51" t="s">
        <v>50</v>
      </c>
    </row>
    <row r="502" spans="1:25" x14ac:dyDescent="0.25">
      <c r="A502" s="821">
        <v>44277</v>
      </c>
      <c r="B502" s="51" t="s">
        <v>43</v>
      </c>
      <c r="C502" s="51" t="s">
        <v>95</v>
      </c>
      <c r="D502" s="870">
        <v>38.02223</v>
      </c>
      <c r="E502" s="870">
        <v>-121.75968</v>
      </c>
      <c r="F502" s="51" t="s">
        <v>806</v>
      </c>
      <c r="G502" s="51" t="s">
        <v>27</v>
      </c>
      <c r="H502" s="51" t="s">
        <v>95</v>
      </c>
      <c r="I502" s="66">
        <v>0.34375</v>
      </c>
      <c r="J502" s="51">
        <v>790</v>
      </c>
      <c r="K502" s="51">
        <v>12.78</v>
      </c>
      <c r="L502" s="51">
        <v>4.34</v>
      </c>
      <c r="M502" s="51">
        <v>0.95</v>
      </c>
      <c r="N502" s="51">
        <v>4.28</v>
      </c>
      <c r="O502" s="51" t="s">
        <v>48</v>
      </c>
      <c r="P502" s="51">
        <v>4</v>
      </c>
      <c r="Q502" s="51">
        <v>10</v>
      </c>
      <c r="R502" s="51" t="s">
        <v>64</v>
      </c>
      <c r="S502" s="51" t="s">
        <v>50</v>
      </c>
      <c r="T502" s="51" t="s">
        <v>50</v>
      </c>
      <c r="U502" s="51" t="s">
        <v>50</v>
      </c>
      <c r="V502" s="51" t="s">
        <v>50</v>
      </c>
      <c r="W502" s="51" t="s">
        <v>50</v>
      </c>
      <c r="X502" s="51" t="s">
        <v>50</v>
      </c>
    </row>
    <row r="503" spans="1:25" x14ac:dyDescent="0.25">
      <c r="A503" s="821">
        <v>44277</v>
      </c>
      <c r="B503" s="51" t="s">
        <v>43</v>
      </c>
      <c r="C503" s="51" t="s">
        <v>118</v>
      </c>
      <c r="D503" s="870">
        <v>38.030610000000003</v>
      </c>
      <c r="E503" s="870">
        <v>-122.15861</v>
      </c>
      <c r="F503" s="51" t="s">
        <v>807</v>
      </c>
      <c r="G503" s="51" t="s">
        <v>80</v>
      </c>
      <c r="H503" s="51" t="s">
        <v>120</v>
      </c>
      <c r="I503" s="66">
        <v>0.48194444444444445</v>
      </c>
      <c r="J503" s="51">
        <v>20068</v>
      </c>
      <c r="K503" s="51">
        <v>12.47</v>
      </c>
      <c r="L503" s="51">
        <v>7.82</v>
      </c>
      <c r="M503" s="51">
        <v>1.1599999999999999</v>
      </c>
      <c r="N503" s="51">
        <v>18.920000000000002</v>
      </c>
      <c r="O503" s="51" t="s">
        <v>48</v>
      </c>
      <c r="P503" s="51">
        <v>4</v>
      </c>
      <c r="Q503" s="51">
        <v>10</v>
      </c>
      <c r="R503" s="51" t="s">
        <v>49</v>
      </c>
      <c r="S503" s="51" t="s">
        <v>50</v>
      </c>
      <c r="T503" s="51" t="s">
        <v>50</v>
      </c>
      <c r="U503" s="51" t="s">
        <v>50</v>
      </c>
      <c r="V503" s="51" t="s">
        <v>50</v>
      </c>
      <c r="W503" s="51" t="s">
        <v>50</v>
      </c>
      <c r="X503" s="51" t="s">
        <v>50</v>
      </c>
    </row>
    <row r="504" spans="1:25" x14ac:dyDescent="0.25">
      <c r="A504" s="821">
        <v>44277</v>
      </c>
      <c r="B504" s="51" t="s">
        <v>43</v>
      </c>
      <c r="C504" s="51" t="s">
        <v>118</v>
      </c>
      <c r="D504" s="870">
        <v>38.062440000000002</v>
      </c>
      <c r="E504" s="870">
        <v>-122.23654999999999</v>
      </c>
      <c r="F504" s="51" t="s">
        <v>808</v>
      </c>
      <c r="G504" s="51" t="s">
        <v>80</v>
      </c>
      <c r="H504" s="51" t="s">
        <v>120</v>
      </c>
      <c r="I504" s="66">
        <v>0.41666666666666669</v>
      </c>
      <c r="J504" s="51">
        <v>23395.75</v>
      </c>
      <c r="K504" s="51">
        <v>12.28</v>
      </c>
      <c r="L504" s="51">
        <v>5.08</v>
      </c>
      <c r="M504" s="51">
        <v>1.34</v>
      </c>
      <c r="N504" s="51">
        <v>21.88</v>
      </c>
      <c r="O504" s="51" t="s">
        <v>48</v>
      </c>
      <c r="P504" s="51">
        <v>4</v>
      </c>
      <c r="Q504" s="51">
        <v>10</v>
      </c>
      <c r="R504" s="51" t="s">
        <v>64</v>
      </c>
      <c r="S504" s="51" t="s">
        <v>50</v>
      </c>
      <c r="T504" s="51" t="s">
        <v>50</v>
      </c>
      <c r="U504" s="51" t="s">
        <v>50</v>
      </c>
      <c r="V504" s="51" t="s">
        <v>50</v>
      </c>
      <c r="W504" s="51" t="s">
        <v>50</v>
      </c>
      <c r="X504" s="51" t="s">
        <v>50</v>
      </c>
      <c r="Y504" s="52" t="s">
        <v>809</v>
      </c>
    </row>
    <row r="505" spans="1:25" x14ac:dyDescent="0.25">
      <c r="A505" s="821">
        <v>44277</v>
      </c>
      <c r="B505" s="51" t="s">
        <v>43</v>
      </c>
      <c r="C505" s="51" t="s">
        <v>118</v>
      </c>
      <c r="D505" s="870">
        <v>38.050080000000001</v>
      </c>
      <c r="E505" s="870">
        <v>-122.28014</v>
      </c>
      <c r="F505" s="51" t="s">
        <v>810</v>
      </c>
      <c r="G505" s="51" t="s">
        <v>80</v>
      </c>
      <c r="H505" s="51" t="s">
        <v>123</v>
      </c>
      <c r="I505" s="66">
        <v>0.36319444444444443</v>
      </c>
      <c r="J505" s="51">
        <v>27795</v>
      </c>
      <c r="K505" s="51">
        <v>12.1</v>
      </c>
      <c r="L505" s="51">
        <v>5.96</v>
      </c>
      <c r="M505" s="51">
        <v>1.36</v>
      </c>
      <c r="N505" s="51">
        <v>7.65</v>
      </c>
      <c r="O505" s="51" t="s">
        <v>48</v>
      </c>
      <c r="P505" s="51">
        <v>4</v>
      </c>
      <c r="Q505" s="51">
        <v>10</v>
      </c>
      <c r="R505" s="51" t="s">
        <v>64</v>
      </c>
      <c r="S505" s="51" t="s">
        <v>50</v>
      </c>
      <c r="T505" s="51" t="s">
        <v>50</v>
      </c>
      <c r="U505" s="51" t="s">
        <v>50</v>
      </c>
      <c r="V505" s="51" t="s">
        <v>50</v>
      </c>
      <c r="W505" s="51" t="s">
        <v>50</v>
      </c>
      <c r="X505" s="51" t="s">
        <v>50</v>
      </c>
      <c r="Y505" s="52" t="s">
        <v>811</v>
      </c>
    </row>
    <row r="506" spans="1:25" s="37" customFormat="1" x14ac:dyDescent="0.25">
      <c r="A506" s="833">
        <v>44279</v>
      </c>
      <c r="B506" s="37" t="s">
        <v>87</v>
      </c>
      <c r="C506" s="37" t="s">
        <v>162</v>
      </c>
      <c r="D506" s="37">
        <v>38.300620000000002</v>
      </c>
      <c r="E506" s="37">
        <v>-121.73005000000001</v>
      </c>
      <c r="F506" s="37" t="s">
        <v>812</v>
      </c>
      <c r="G506" s="37" t="s">
        <v>90</v>
      </c>
      <c r="H506" s="37" t="s">
        <v>126</v>
      </c>
      <c r="I506" s="712">
        <v>0.48055555555555557</v>
      </c>
      <c r="J506" s="37">
        <v>668</v>
      </c>
      <c r="K506" s="37">
        <v>12.7</v>
      </c>
      <c r="L506" s="37">
        <v>6.24</v>
      </c>
      <c r="M506" s="37">
        <v>1.24</v>
      </c>
      <c r="N506" s="37">
        <v>3.2</v>
      </c>
      <c r="O506" s="37" t="s">
        <v>48</v>
      </c>
      <c r="P506" s="37">
        <v>2</v>
      </c>
      <c r="Q506" s="37">
        <v>10</v>
      </c>
      <c r="R506" s="37" t="s">
        <v>64</v>
      </c>
      <c r="S506" s="51" t="s">
        <v>50</v>
      </c>
      <c r="T506" s="51" t="s">
        <v>50</v>
      </c>
      <c r="U506" s="51" t="s">
        <v>50</v>
      </c>
      <c r="V506" s="51" t="s">
        <v>50</v>
      </c>
      <c r="W506" s="51" t="s">
        <v>50</v>
      </c>
      <c r="X506" s="51" t="s">
        <v>50</v>
      </c>
      <c r="Y506" s="698" t="s">
        <v>813</v>
      </c>
    </row>
    <row r="507" spans="1:25" s="37" customFormat="1" x14ac:dyDescent="0.25">
      <c r="A507" s="833">
        <v>44279</v>
      </c>
      <c r="B507" s="37" t="s">
        <v>87</v>
      </c>
      <c r="C507" s="37" t="s">
        <v>162</v>
      </c>
      <c r="D507" s="37">
        <v>38.260739999999998</v>
      </c>
      <c r="E507" s="37">
        <v>-121.75547</v>
      </c>
      <c r="F507" s="37" t="s">
        <v>814</v>
      </c>
      <c r="G507" s="37" t="s">
        <v>90</v>
      </c>
      <c r="H507" s="37" t="s">
        <v>126</v>
      </c>
      <c r="I507" s="712">
        <v>0.51736111111111105</v>
      </c>
      <c r="J507" s="37">
        <v>306.64999999999998</v>
      </c>
      <c r="K507" s="37">
        <v>12.85</v>
      </c>
      <c r="L507" s="37">
        <v>5.27</v>
      </c>
      <c r="M507" s="37">
        <v>1.36</v>
      </c>
      <c r="N507" s="37">
        <v>4.55</v>
      </c>
      <c r="O507" s="37" t="s">
        <v>48</v>
      </c>
      <c r="P507" s="37">
        <v>2</v>
      </c>
      <c r="Q507" s="37">
        <v>10</v>
      </c>
      <c r="R507" s="37" t="s">
        <v>64</v>
      </c>
      <c r="S507" s="51" t="s">
        <v>50</v>
      </c>
      <c r="T507" s="51" t="s">
        <v>50</v>
      </c>
      <c r="U507" s="51" t="s">
        <v>50</v>
      </c>
      <c r="V507" s="51" t="s">
        <v>50</v>
      </c>
      <c r="W507" s="51" t="s">
        <v>50</v>
      </c>
      <c r="X507" s="51" t="s">
        <v>50</v>
      </c>
      <c r="Y507" s="698" t="s">
        <v>815</v>
      </c>
    </row>
    <row r="508" spans="1:25" s="37" customFormat="1" x14ac:dyDescent="0.25">
      <c r="A508" s="833">
        <v>44279</v>
      </c>
      <c r="B508" s="37" t="s">
        <v>87</v>
      </c>
      <c r="C508" s="37" t="s">
        <v>106</v>
      </c>
      <c r="D508" s="37">
        <v>38.28257</v>
      </c>
      <c r="E508" s="37">
        <v>-121.69972</v>
      </c>
      <c r="F508" s="37" t="s">
        <v>816</v>
      </c>
      <c r="G508" s="37" t="s">
        <v>90</v>
      </c>
      <c r="H508" s="37" t="s">
        <v>108</v>
      </c>
      <c r="I508" s="712">
        <v>0.4368055555555555</v>
      </c>
      <c r="J508" s="37">
        <v>272.39999999999998</v>
      </c>
      <c r="K508" s="37">
        <v>12.9</v>
      </c>
      <c r="L508" s="37">
        <v>15.85</v>
      </c>
      <c r="M508" s="37">
        <v>0.57999999999999996</v>
      </c>
      <c r="N508" s="37">
        <v>11.1</v>
      </c>
      <c r="O508" s="37" t="s">
        <v>48</v>
      </c>
      <c r="P508" s="37">
        <v>2</v>
      </c>
      <c r="Q508" s="37">
        <v>10</v>
      </c>
      <c r="R508" s="37" t="s">
        <v>49</v>
      </c>
      <c r="S508" s="51" t="s">
        <v>50</v>
      </c>
      <c r="T508" s="51" t="s">
        <v>50</v>
      </c>
      <c r="U508" s="51" t="s">
        <v>50</v>
      </c>
      <c r="V508" s="51" t="s">
        <v>50</v>
      </c>
      <c r="W508" s="51" t="s">
        <v>50</v>
      </c>
      <c r="X508" s="51" t="s">
        <v>50</v>
      </c>
      <c r="Y508" s="698" t="s">
        <v>817</v>
      </c>
    </row>
    <row r="509" spans="1:25" s="37" customFormat="1" x14ac:dyDescent="0.25">
      <c r="A509" s="833">
        <v>44279</v>
      </c>
      <c r="B509" s="37" t="s">
        <v>87</v>
      </c>
      <c r="C509" s="37" t="s">
        <v>106</v>
      </c>
      <c r="D509" s="37">
        <v>38.561210000000003</v>
      </c>
      <c r="E509" s="37">
        <v>-121.55135</v>
      </c>
      <c r="F509" s="37" t="s">
        <v>818</v>
      </c>
      <c r="G509" s="37" t="s">
        <v>90</v>
      </c>
      <c r="H509" s="37" t="s">
        <v>158</v>
      </c>
      <c r="I509" s="712">
        <v>0.35833333333333334</v>
      </c>
      <c r="J509" s="37">
        <v>1219.5</v>
      </c>
      <c r="K509" s="37">
        <v>13.05</v>
      </c>
      <c r="L509" s="37">
        <v>5.04</v>
      </c>
      <c r="M509" s="37">
        <v>1.64</v>
      </c>
      <c r="N509" s="37">
        <v>11.1</v>
      </c>
      <c r="O509" s="37" t="s">
        <v>48</v>
      </c>
      <c r="P509" s="37">
        <v>2</v>
      </c>
      <c r="Q509" s="37">
        <v>10</v>
      </c>
      <c r="R509" s="37" t="s">
        <v>64</v>
      </c>
      <c r="S509" s="51" t="s">
        <v>50</v>
      </c>
      <c r="T509" s="51" t="s">
        <v>50</v>
      </c>
      <c r="U509" s="51" t="s">
        <v>50</v>
      </c>
      <c r="V509" s="51" t="s">
        <v>50</v>
      </c>
      <c r="W509" s="51" t="s">
        <v>50</v>
      </c>
      <c r="X509" s="51" t="s">
        <v>50</v>
      </c>
      <c r="Y509" s="52" t="s">
        <v>819</v>
      </c>
    </row>
    <row r="510" spans="1:25" s="37" customFormat="1" x14ac:dyDescent="0.25">
      <c r="A510" s="833">
        <v>44279</v>
      </c>
      <c r="B510" s="37" t="s">
        <v>87</v>
      </c>
      <c r="C510" s="37" t="s">
        <v>106</v>
      </c>
      <c r="D510" s="37">
        <v>38.526490000000003</v>
      </c>
      <c r="E510" s="37">
        <v>-121.58431</v>
      </c>
      <c r="F510" s="37" t="s">
        <v>820</v>
      </c>
      <c r="G510" s="37" t="s">
        <v>90</v>
      </c>
      <c r="H510" s="37" t="s">
        <v>158</v>
      </c>
      <c r="I510" s="712">
        <v>0.38819444444444445</v>
      </c>
      <c r="J510" s="37">
        <v>1091.5</v>
      </c>
      <c r="K510" s="37">
        <v>12.4</v>
      </c>
      <c r="L510" s="37">
        <v>14.5</v>
      </c>
      <c r="M510" s="37">
        <v>0.68</v>
      </c>
      <c r="N510" s="37">
        <v>10.35</v>
      </c>
      <c r="O510" s="37" t="s">
        <v>48</v>
      </c>
      <c r="P510" s="37">
        <v>2</v>
      </c>
      <c r="Q510" s="37">
        <v>10</v>
      </c>
      <c r="R510" s="37" t="s">
        <v>49</v>
      </c>
      <c r="S510" s="51" t="s">
        <v>50</v>
      </c>
      <c r="T510" s="51" t="s">
        <v>50</v>
      </c>
      <c r="U510" s="51" t="s">
        <v>50</v>
      </c>
      <c r="V510" s="51" t="s">
        <v>50</v>
      </c>
      <c r="W510" s="51" t="s">
        <v>50</v>
      </c>
      <c r="X510" s="51" t="s">
        <v>50</v>
      </c>
      <c r="Y510" s="698"/>
    </row>
    <row r="511" spans="1:25" s="37" customFormat="1" x14ac:dyDescent="0.25">
      <c r="A511" s="833">
        <v>44279</v>
      </c>
      <c r="B511" s="37" t="s">
        <v>87</v>
      </c>
      <c r="C511" s="37" t="s">
        <v>78</v>
      </c>
      <c r="D511" s="37">
        <v>38.094580000000001</v>
      </c>
      <c r="E511" s="37">
        <v>-122.06701</v>
      </c>
      <c r="F511" s="37" t="s">
        <v>821</v>
      </c>
      <c r="G511" s="37" t="s">
        <v>27</v>
      </c>
      <c r="H511" s="37" t="s">
        <v>86</v>
      </c>
      <c r="I511" s="712">
        <v>0.48333333333333334</v>
      </c>
      <c r="J511" s="37">
        <v>14569.5</v>
      </c>
      <c r="K511" s="37">
        <v>13.2</v>
      </c>
      <c r="L511" s="37">
        <v>14.9</v>
      </c>
      <c r="M511" s="37">
        <v>0.63</v>
      </c>
      <c r="N511" s="37">
        <v>11.95</v>
      </c>
      <c r="O511" s="37" t="s">
        <v>48</v>
      </c>
      <c r="P511" s="37">
        <v>2</v>
      </c>
      <c r="Q511" s="37">
        <v>10</v>
      </c>
      <c r="R511" s="37" t="s">
        <v>64</v>
      </c>
      <c r="S511" s="51" t="s">
        <v>50</v>
      </c>
      <c r="T511" s="51" t="s">
        <v>50</v>
      </c>
      <c r="U511" s="51" t="s">
        <v>50</v>
      </c>
      <c r="V511" s="51" t="s">
        <v>50</v>
      </c>
      <c r="W511" s="51" t="s">
        <v>50</v>
      </c>
      <c r="X511" s="51" t="s">
        <v>50</v>
      </c>
      <c r="Y511" s="698" t="s">
        <v>822</v>
      </c>
    </row>
    <row r="512" spans="1:25" s="516" customFormat="1" x14ac:dyDescent="0.25">
      <c r="A512" s="834">
        <v>44279</v>
      </c>
      <c r="B512" s="516" t="s">
        <v>87</v>
      </c>
      <c r="C512" s="516" t="s">
        <v>62</v>
      </c>
      <c r="D512" s="516">
        <v>38.172260000000001</v>
      </c>
      <c r="E512" s="516">
        <v>-122.06323</v>
      </c>
      <c r="F512" s="516" t="s">
        <v>823</v>
      </c>
      <c r="G512" s="516" t="s">
        <v>27</v>
      </c>
      <c r="H512" s="516" t="s">
        <v>62</v>
      </c>
      <c r="I512" s="537">
        <v>0.44166666666666665</v>
      </c>
      <c r="J512" s="516">
        <v>6963</v>
      </c>
      <c r="K512" s="516">
        <v>12.8</v>
      </c>
      <c r="L512" s="516">
        <v>29.01</v>
      </c>
      <c r="M512" s="516">
        <v>0.33</v>
      </c>
      <c r="N512" s="516">
        <v>6.8</v>
      </c>
      <c r="O512" s="516" t="s">
        <v>48</v>
      </c>
      <c r="P512" s="516">
        <v>2</v>
      </c>
      <c r="Q512" s="516">
        <v>10</v>
      </c>
      <c r="R512" s="516" t="s">
        <v>64</v>
      </c>
      <c r="S512" s="836" t="s">
        <v>31</v>
      </c>
      <c r="T512" s="516">
        <v>1</v>
      </c>
      <c r="U512" s="516" t="s">
        <v>824</v>
      </c>
      <c r="V512" s="516" t="s">
        <v>50</v>
      </c>
      <c r="W512" s="516" t="s">
        <v>50</v>
      </c>
      <c r="X512" s="516" t="s">
        <v>228</v>
      </c>
      <c r="Y512" s="367" t="s">
        <v>825</v>
      </c>
    </row>
    <row r="513" spans="1:25" s="516" customFormat="1" x14ac:dyDescent="0.25">
      <c r="A513" s="834">
        <v>44279</v>
      </c>
      <c r="B513" s="516" t="s">
        <v>87</v>
      </c>
      <c r="C513" s="516" t="s">
        <v>62</v>
      </c>
      <c r="D513" s="516">
        <v>38.167729999999999</v>
      </c>
      <c r="E513" s="516">
        <v>-122.06786</v>
      </c>
      <c r="F513" s="516" t="s">
        <v>826</v>
      </c>
      <c r="G513" s="516" t="s">
        <v>27</v>
      </c>
      <c r="H513" s="516" t="s">
        <v>62</v>
      </c>
      <c r="I513" s="537">
        <v>0.40972222222222227</v>
      </c>
      <c r="J513" s="516">
        <v>6736.5</v>
      </c>
      <c r="K513" s="516">
        <v>12.8</v>
      </c>
      <c r="L513" s="516">
        <v>44.2</v>
      </c>
      <c r="M513" s="516">
        <v>0.45</v>
      </c>
      <c r="N513" s="516">
        <v>9.6</v>
      </c>
      <c r="O513" s="516" t="s">
        <v>48</v>
      </c>
      <c r="P513" s="516">
        <v>2</v>
      </c>
      <c r="Q513" s="516">
        <v>10</v>
      </c>
      <c r="R513" s="516" t="s">
        <v>64</v>
      </c>
      <c r="S513" s="836" t="s">
        <v>31</v>
      </c>
      <c r="T513" s="516">
        <v>1</v>
      </c>
      <c r="U513" s="516" t="s">
        <v>827</v>
      </c>
      <c r="V513" s="516" t="s">
        <v>50</v>
      </c>
      <c r="W513" s="516" t="s">
        <v>50</v>
      </c>
      <c r="X513" s="516" t="s">
        <v>228</v>
      </c>
      <c r="Y513" s="367" t="s">
        <v>828</v>
      </c>
    </row>
    <row r="514" spans="1:25" s="37" customFormat="1" x14ac:dyDescent="0.25">
      <c r="A514" s="833">
        <v>44279</v>
      </c>
      <c r="B514" s="37" t="s">
        <v>87</v>
      </c>
      <c r="C514" s="37" t="s">
        <v>62</v>
      </c>
      <c r="D514" s="37">
        <v>38.167470000000002</v>
      </c>
      <c r="E514" s="37">
        <v>-121.93908</v>
      </c>
      <c r="F514" s="37" t="s">
        <v>829</v>
      </c>
      <c r="G514" s="37" t="s">
        <v>27</v>
      </c>
      <c r="H514" s="37" t="s">
        <v>62</v>
      </c>
      <c r="I514" s="712">
        <v>0.34930555555555554</v>
      </c>
      <c r="J514" s="37">
        <v>2667.75</v>
      </c>
      <c r="K514" s="37">
        <v>12.83</v>
      </c>
      <c r="L514" s="37">
        <v>30.5</v>
      </c>
      <c r="M514" s="37">
        <v>0.41</v>
      </c>
      <c r="N514" s="37">
        <v>10.18</v>
      </c>
      <c r="O514" s="37" t="s">
        <v>48</v>
      </c>
      <c r="P514" s="37">
        <v>4</v>
      </c>
      <c r="Q514" s="37">
        <v>10</v>
      </c>
      <c r="R514" s="37" t="s">
        <v>64</v>
      </c>
      <c r="S514" s="51" t="s">
        <v>50</v>
      </c>
      <c r="T514" s="51" t="s">
        <v>50</v>
      </c>
      <c r="U514" s="51" t="s">
        <v>50</v>
      </c>
      <c r="V514" s="51" t="s">
        <v>50</v>
      </c>
      <c r="W514" s="51" t="s">
        <v>50</v>
      </c>
      <c r="X514" s="51" t="s">
        <v>50</v>
      </c>
      <c r="Y514" s="698" t="s">
        <v>830</v>
      </c>
    </row>
    <row r="515" spans="1:25" x14ac:dyDescent="0.25">
      <c r="A515" s="821">
        <v>44280</v>
      </c>
      <c r="B515" s="51" t="s">
        <v>105</v>
      </c>
      <c r="C515" s="51" t="s">
        <v>78</v>
      </c>
      <c r="D515" s="870">
        <v>38.05574</v>
      </c>
      <c r="E515" s="870">
        <v>-122.07523</v>
      </c>
      <c r="F515" s="51" t="s">
        <v>831</v>
      </c>
      <c r="G515" s="51" t="s">
        <v>80</v>
      </c>
      <c r="H515" s="51" t="s">
        <v>81</v>
      </c>
      <c r="I515" s="66">
        <v>0.4680555555555555</v>
      </c>
      <c r="J515" s="51">
        <v>20332.5</v>
      </c>
      <c r="K515" s="51">
        <v>12.9</v>
      </c>
      <c r="L515" s="51">
        <v>11.85</v>
      </c>
      <c r="M515" s="51">
        <v>0.83</v>
      </c>
      <c r="N515" s="51">
        <v>11.7</v>
      </c>
      <c r="O515" s="51" t="s">
        <v>48</v>
      </c>
      <c r="P515" s="51">
        <v>2</v>
      </c>
      <c r="Q515" s="51">
        <v>10</v>
      </c>
      <c r="R515" s="51" t="s">
        <v>64</v>
      </c>
      <c r="S515" s="51" t="s">
        <v>50</v>
      </c>
      <c r="T515" s="51" t="s">
        <v>50</v>
      </c>
      <c r="U515" s="51" t="s">
        <v>50</v>
      </c>
      <c r="V515" s="51" t="s">
        <v>50</v>
      </c>
      <c r="W515" s="51" t="s">
        <v>50</v>
      </c>
      <c r="X515" s="51" t="s">
        <v>50</v>
      </c>
      <c r="Y515" s="52" t="s">
        <v>746</v>
      </c>
    </row>
    <row r="516" spans="1:25" x14ac:dyDescent="0.25">
      <c r="A516" s="821">
        <v>44280</v>
      </c>
      <c r="B516" s="51" t="s">
        <v>105</v>
      </c>
      <c r="C516" s="51" t="s">
        <v>78</v>
      </c>
      <c r="D516" s="870">
        <v>38.034030000000001</v>
      </c>
      <c r="E516" s="870">
        <v>-122.13339000000001</v>
      </c>
      <c r="F516" s="51" t="s">
        <v>832</v>
      </c>
      <c r="G516" s="51" t="s">
        <v>80</v>
      </c>
      <c r="H516" s="51" t="s">
        <v>81</v>
      </c>
      <c r="I516" s="66">
        <v>0.4201388888888889</v>
      </c>
      <c r="J516" s="51">
        <v>20940.5</v>
      </c>
      <c r="K516" s="51">
        <v>12.75</v>
      </c>
      <c r="L516" s="51">
        <v>9.2899999999999991</v>
      </c>
      <c r="M516" s="51">
        <v>0.94</v>
      </c>
      <c r="N516" s="51">
        <v>18.05</v>
      </c>
      <c r="O516" s="51" t="s">
        <v>48</v>
      </c>
      <c r="P516" s="51">
        <v>2</v>
      </c>
      <c r="Q516" s="51">
        <v>10</v>
      </c>
      <c r="R516" s="51" t="s">
        <v>64</v>
      </c>
      <c r="S516" s="51" t="s">
        <v>50</v>
      </c>
      <c r="T516" s="51" t="s">
        <v>50</v>
      </c>
      <c r="U516" s="51" t="s">
        <v>50</v>
      </c>
      <c r="V516" s="51" t="s">
        <v>50</v>
      </c>
      <c r="W516" s="51" t="s">
        <v>50</v>
      </c>
      <c r="X516" s="51" t="s">
        <v>50</v>
      </c>
    </row>
    <row r="517" spans="1:25" x14ac:dyDescent="0.25">
      <c r="A517" s="821">
        <v>44280</v>
      </c>
      <c r="B517" s="51" t="s">
        <v>105</v>
      </c>
      <c r="C517" s="51" t="s">
        <v>78</v>
      </c>
      <c r="D517" s="870">
        <v>38.070860000000003</v>
      </c>
      <c r="E517" s="870">
        <v>-122.08859</v>
      </c>
      <c r="F517" s="51" t="s">
        <v>833</v>
      </c>
      <c r="G517" s="51" t="s">
        <v>80</v>
      </c>
      <c r="H517" s="51" t="s">
        <v>81</v>
      </c>
      <c r="I517" s="66">
        <v>0.38680555555555557</v>
      </c>
      <c r="J517" s="51">
        <v>8861.5</v>
      </c>
      <c r="K517" s="51">
        <v>12.65</v>
      </c>
      <c r="L517" s="51">
        <v>23.35</v>
      </c>
      <c r="M517" s="51">
        <v>0.49</v>
      </c>
      <c r="N517" s="51">
        <v>7.05</v>
      </c>
      <c r="O517" s="51" t="s">
        <v>48</v>
      </c>
      <c r="P517" s="51">
        <v>2</v>
      </c>
      <c r="Q517" s="51">
        <v>10</v>
      </c>
      <c r="R517" s="51" t="s">
        <v>64</v>
      </c>
      <c r="S517" s="51" t="s">
        <v>50</v>
      </c>
      <c r="T517" s="51" t="s">
        <v>50</v>
      </c>
      <c r="U517" s="51" t="s">
        <v>50</v>
      </c>
      <c r="V517" s="51" t="s">
        <v>50</v>
      </c>
      <c r="W517" s="51" t="s">
        <v>50</v>
      </c>
      <c r="X517" s="51" t="s">
        <v>50</v>
      </c>
      <c r="Y517" s="52" t="s">
        <v>834</v>
      </c>
    </row>
    <row r="518" spans="1:25" x14ac:dyDescent="0.25">
      <c r="A518" s="821">
        <v>44280</v>
      </c>
      <c r="B518" s="51" t="s">
        <v>105</v>
      </c>
      <c r="C518" s="51" t="s">
        <v>78</v>
      </c>
      <c r="D518" s="870">
        <v>38.060189999999999</v>
      </c>
      <c r="E518" s="870">
        <v>-121.95527</v>
      </c>
      <c r="F518" s="51" t="s">
        <v>835</v>
      </c>
      <c r="G518" s="51" t="s">
        <v>27</v>
      </c>
      <c r="H518" s="51" t="s">
        <v>170</v>
      </c>
      <c r="I518" s="66">
        <v>0.3354166666666667</v>
      </c>
      <c r="J518" s="51">
        <v>5338.5</v>
      </c>
      <c r="K518" s="51">
        <v>12.45</v>
      </c>
      <c r="L518" s="51">
        <v>27.2</v>
      </c>
      <c r="M518" s="51">
        <v>0.45</v>
      </c>
      <c r="N518" s="51">
        <v>9.75</v>
      </c>
      <c r="O518" s="51" t="s">
        <v>48</v>
      </c>
      <c r="P518" s="51">
        <v>2</v>
      </c>
      <c r="Q518" s="51">
        <v>10</v>
      </c>
      <c r="R518" s="51" t="s">
        <v>49</v>
      </c>
      <c r="S518" s="51" t="s">
        <v>50</v>
      </c>
      <c r="T518" s="51" t="s">
        <v>50</v>
      </c>
      <c r="U518" s="51" t="s">
        <v>50</v>
      </c>
      <c r="V518" s="51" t="s">
        <v>50</v>
      </c>
      <c r="W518" s="51" t="s">
        <v>50</v>
      </c>
      <c r="X518" s="51" t="s">
        <v>50</v>
      </c>
    </row>
  </sheetData>
  <conditionalFormatting sqref="S3:X3">
    <cfRule type="cellIs" dxfId="4311" priority="2" operator="equal">
      <formula>"DSM"</formula>
    </cfRule>
  </conditionalFormatting>
  <conditionalFormatting sqref="S1:S2">
    <cfRule type="cellIs" dxfId="4310" priority="1" operator="equal">
      <formula>"DSM"</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tint="0.59999389629810485"/>
  </sheetPr>
  <dimension ref="A1:AE880"/>
  <sheetViews>
    <sheetView zoomScaleNormal="100" workbookViewId="0">
      <pane xSplit="3" ySplit="2" topLeftCell="Q505" activePane="bottomRight" state="frozen"/>
      <selection pane="topRight" activeCell="D1" sqref="D1"/>
      <selection pane="bottomLeft" activeCell="A4" sqref="A4"/>
      <selection pane="bottomRight" activeCell="Y522" sqref="Y522"/>
    </sheetView>
  </sheetViews>
  <sheetFormatPr defaultColWidth="9.140625" defaultRowHeight="15" x14ac:dyDescent="0.25"/>
  <cols>
    <col min="1" max="1" width="12.85546875" style="98" customWidth="1"/>
    <col min="2" max="2" width="9.140625" style="98" bestFit="1" customWidth="1"/>
    <col min="3" max="3" width="30.85546875" style="98" bestFit="1" customWidth="1"/>
    <col min="4" max="4" width="15.7109375" style="98" customWidth="1"/>
    <col min="5" max="5" width="14" style="98" bestFit="1" customWidth="1"/>
    <col min="6" max="6" width="14.85546875" style="98" customWidth="1"/>
    <col min="7" max="7" width="10.42578125" style="98" customWidth="1"/>
    <col min="8" max="8" width="43.7109375" style="98" customWidth="1"/>
    <col min="9" max="9" width="10.42578125" style="621" customWidth="1"/>
    <col min="10" max="14" width="20.7109375" style="98" customWidth="1"/>
    <col min="15" max="15" width="8" style="98" customWidth="1"/>
    <col min="16" max="16" width="15.7109375" style="98" customWidth="1"/>
    <col min="17" max="17" width="13" style="98" customWidth="1"/>
    <col min="18" max="18" width="13.42578125" style="98" customWidth="1"/>
    <col min="19" max="19" width="7.7109375" style="98" customWidth="1"/>
    <col min="20" max="20" width="6.85546875" style="98" customWidth="1"/>
    <col min="21" max="21" width="14.7109375" style="98" bestFit="1" customWidth="1"/>
    <col min="22" max="22" width="11.85546875" style="98" customWidth="1"/>
    <col min="23" max="23" width="6.85546875" style="98" customWidth="1"/>
    <col min="24" max="24" width="11.42578125" style="98" customWidth="1"/>
    <col min="25" max="25" width="61.7109375" style="622" customWidth="1"/>
    <col min="26" max="16384" width="9.140625" style="98"/>
  </cols>
  <sheetData>
    <row r="1" spans="1:25" s="631" customFormat="1" x14ac:dyDescent="0.25">
      <c r="A1" s="827" t="s">
        <v>33</v>
      </c>
      <c r="B1" s="147"/>
      <c r="C1" s="147"/>
      <c r="D1" s="147"/>
      <c r="E1" s="147"/>
      <c r="F1" s="147"/>
      <c r="G1" s="147"/>
      <c r="H1" s="147"/>
      <c r="I1" s="611"/>
      <c r="J1" s="147"/>
      <c r="K1" s="147"/>
      <c r="L1" s="147"/>
      <c r="M1" s="147"/>
      <c r="N1" s="147"/>
      <c r="O1" s="147"/>
      <c r="P1" s="147"/>
      <c r="Q1" s="147"/>
      <c r="R1" s="147"/>
      <c r="S1" s="147"/>
      <c r="T1" s="147"/>
      <c r="U1" s="147"/>
      <c r="V1" s="147"/>
      <c r="W1" s="146"/>
      <c r="X1" s="146"/>
      <c r="Y1" s="5"/>
    </row>
    <row r="2" spans="1:25" s="141" customFormat="1" ht="15.75" thickBot="1" x14ac:dyDescent="0.3">
      <c r="A2" s="140" t="s">
        <v>1</v>
      </c>
      <c r="B2" s="140" t="s">
        <v>2</v>
      </c>
      <c r="C2" s="141" t="s">
        <v>3</v>
      </c>
      <c r="D2" s="141" t="s">
        <v>4</v>
      </c>
      <c r="E2" s="141" t="s">
        <v>5</v>
      </c>
      <c r="F2" s="94" t="s">
        <v>6</v>
      </c>
      <c r="G2" s="141" t="s">
        <v>7</v>
      </c>
      <c r="H2" s="141" t="s">
        <v>8</v>
      </c>
      <c r="I2" s="612" t="s">
        <v>9</v>
      </c>
      <c r="J2" s="142" t="s">
        <v>34</v>
      </c>
      <c r="K2" s="143" t="s">
        <v>35</v>
      </c>
      <c r="L2" s="142" t="s">
        <v>36</v>
      </c>
      <c r="M2" s="95" t="s">
        <v>37</v>
      </c>
      <c r="N2" s="144" t="s">
        <v>38</v>
      </c>
      <c r="O2" s="140" t="s">
        <v>10</v>
      </c>
      <c r="P2" s="140" t="s">
        <v>13</v>
      </c>
      <c r="Q2" s="140" t="s">
        <v>14</v>
      </c>
      <c r="R2" s="140" t="s">
        <v>39</v>
      </c>
      <c r="S2" s="140" t="s">
        <v>19</v>
      </c>
      <c r="T2" s="140" t="s">
        <v>20</v>
      </c>
      <c r="U2" s="140" t="s">
        <v>21</v>
      </c>
      <c r="V2" s="140" t="s">
        <v>40</v>
      </c>
      <c r="W2" s="140" t="s">
        <v>41</v>
      </c>
      <c r="X2" s="140" t="s">
        <v>42</v>
      </c>
      <c r="Y2" s="145" t="s">
        <v>22</v>
      </c>
    </row>
    <row r="3" spans="1:25" s="97" customFormat="1" x14ac:dyDescent="0.25">
      <c r="A3" s="194">
        <v>44011</v>
      </c>
      <c r="B3" s="97" t="s">
        <v>43</v>
      </c>
      <c r="C3" s="97" t="s">
        <v>62</v>
      </c>
      <c r="D3" s="98">
        <v>38.784799999999997</v>
      </c>
      <c r="E3" s="98">
        <v>-122.00648</v>
      </c>
      <c r="F3" s="97" t="s">
        <v>836</v>
      </c>
      <c r="G3" s="97" t="s">
        <v>27</v>
      </c>
      <c r="H3" s="97" t="s">
        <v>62</v>
      </c>
      <c r="I3" s="621">
        <v>0.35625000000000001</v>
      </c>
      <c r="J3" s="100">
        <v>10646.5</v>
      </c>
      <c r="K3" s="100">
        <v>22.075000000000003</v>
      </c>
      <c r="L3" s="100">
        <v>26.024999999999999</v>
      </c>
      <c r="M3" s="100">
        <v>0.39499999999999996</v>
      </c>
      <c r="N3" s="101">
        <v>6.375</v>
      </c>
      <c r="O3" s="97" t="s">
        <v>48</v>
      </c>
      <c r="P3" s="97">
        <v>4</v>
      </c>
      <c r="Q3" s="97">
        <v>10</v>
      </c>
      <c r="R3" s="97" t="s">
        <v>64</v>
      </c>
      <c r="S3" s="97" t="s">
        <v>50</v>
      </c>
      <c r="T3" s="97" t="s">
        <v>50</v>
      </c>
      <c r="U3" s="97" t="s">
        <v>50</v>
      </c>
      <c r="V3" s="97" t="s">
        <v>50</v>
      </c>
      <c r="W3" s="97" t="s">
        <v>50</v>
      </c>
      <c r="X3" s="97" t="s">
        <v>50</v>
      </c>
      <c r="Y3" s="102" t="s">
        <v>139</v>
      </c>
    </row>
    <row r="4" spans="1:25" s="97" customFormat="1" x14ac:dyDescent="0.25">
      <c r="A4" s="194">
        <v>44011</v>
      </c>
      <c r="B4" s="97" t="s">
        <v>43</v>
      </c>
      <c r="C4" s="97" t="s">
        <v>62</v>
      </c>
      <c r="D4" s="98">
        <v>38.147150000000003</v>
      </c>
      <c r="E4" s="98">
        <v>-122.06892999999999</v>
      </c>
      <c r="F4" s="97" t="s">
        <v>837</v>
      </c>
      <c r="G4" s="97" t="s">
        <v>27</v>
      </c>
      <c r="H4" s="97" t="s">
        <v>62</v>
      </c>
      <c r="I4" s="621">
        <v>0.42777777777777781</v>
      </c>
      <c r="J4" s="100">
        <v>15095.75</v>
      </c>
      <c r="K4" s="100">
        <v>21.774999999999999</v>
      </c>
      <c r="L4" s="100">
        <v>25.524999999999999</v>
      </c>
      <c r="M4" s="100">
        <v>0.42499999999999999</v>
      </c>
      <c r="N4" s="101">
        <v>3.0999999999999996</v>
      </c>
      <c r="O4" s="97" t="s">
        <v>48</v>
      </c>
      <c r="P4" s="97">
        <v>4</v>
      </c>
      <c r="Q4" s="97">
        <v>10</v>
      </c>
      <c r="R4" s="97" t="s">
        <v>64</v>
      </c>
      <c r="S4" s="97" t="s">
        <v>50</v>
      </c>
      <c r="T4" s="97" t="s">
        <v>50</v>
      </c>
      <c r="U4" s="97" t="s">
        <v>50</v>
      </c>
      <c r="V4" s="97" t="s">
        <v>50</v>
      </c>
      <c r="W4" s="97" t="s">
        <v>50</v>
      </c>
      <c r="X4" s="97" t="s">
        <v>50</v>
      </c>
      <c r="Y4" s="102" t="s">
        <v>838</v>
      </c>
    </row>
    <row r="5" spans="1:25" s="97" customFormat="1" x14ac:dyDescent="0.25">
      <c r="A5" s="194">
        <v>44011</v>
      </c>
      <c r="B5" s="97" t="s">
        <v>43</v>
      </c>
      <c r="C5" s="97" t="s">
        <v>62</v>
      </c>
      <c r="D5" s="98">
        <v>38.100499999999997</v>
      </c>
      <c r="E5" s="98">
        <v>-122.05513999999999</v>
      </c>
      <c r="F5" s="97" t="s">
        <v>839</v>
      </c>
      <c r="G5" s="97" t="s">
        <v>27</v>
      </c>
      <c r="H5" s="97" t="s">
        <v>173</v>
      </c>
      <c r="I5" s="621">
        <v>0.49583333333333335</v>
      </c>
      <c r="J5" s="100">
        <v>15648</v>
      </c>
      <c r="K5" s="100">
        <v>21.2</v>
      </c>
      <c r="L5" s="100">
        <v>18.774999999999999</v>
      </c>
      <c r="M5" s="100">
        <v>0.51500000000000001</v>
      </c>
      <c r="N5" s="101">
        <v>4.95</v>
      </c>
      <c r="O5" s="97" t="s">
        <v>48</v>
      </c>
      <c r="P5" s="97">
        <v>4</v>
      </c>
      <c r="Q5" s="97">
        <v>10</v>
      </c>
      <c r="R5" s="97" t="s">
        <v>49</v>
      </c>
      <c r="S5" s="97" t="s">
        <v>50</v>
      </c>
      <c r="T5" s="97" t="s">
        <v>50</v>
      </c>
      <c r="U5" s="97" t="s">
        <v>50</v>
      </c>
      <c r="V5" s="97" t="s">
        <v>50</v>
      </c>
      <c r="W5" s="97" t="s">
        <v>50</v>
      </c>
      <c r="X5" s="97" t="s">
        <v>50</v>
      </c>
      <c r="Y5" s="102"/>
    </row>
    <row r="6" spans="1:25" s="97" customFormat="1" x14ac:dyDescent="0.25">
      <c r="A6" s="194">
        <v>44011</v>
      </c>
      <c r="B6" s="97" t="s">
        <v>43</v>
      </c>
      <c r="C6" s="97" t="s">
        <v>88</v>
      </c>
      <c r="D6" s="98">
        <v>38.07985</v>
      </c>
      <c r="E6" s="98">
        <v>-121.75668</v>
      </c>
      <c r="F6" s="97" t="s">
        <v>840</v>
      </c>
      <c r="G6" s="97" t="s">
        <v>27</v>
      </c>
      <c r="H6" s="97" t="s">
        <v>25</v>
      </c>
      <c r="I6" s="621">
        <v>0.3743055555555555</v>
      </c>
      <c r="J6" s="100">
        <v>240.4</v>
      </c>
      <c r="K6" s="100">
        <v>22.425000000000001</v>
      </c>
      <c r="L6" s="100">
        <v>9.9350000000000005</v>
      </c>
      <c r="M6" s="100">
        <v>0.86250000000000004</v>
      </c>
      <c r="N6" s="101">
        <v>9.7250000000000014</v>
      </c>
      <c r="O6" s="97" t="s">
        <v>48</v>
      </c>
      <c r="P6" s="97">
        <v>4</v>
      </c>
      <c r="Q6" s="97">
        <v>10</v>
      </c>
      <c r="R6" s="97" t="s">
        <v>64</v>
      </c>
      <c r="S6" s="97" t="s">
        <v>50</v>
      </c>
      <c r="T6" s="97" t="s">
        <v>50</v>
      </c>
      <c r="U6" s="97" t="s">
        <v>50</v>
      </c>
      <c r="V6" s="97" t="s">
        <v>50</v>
      </c>
      <c r="W6" s="97" t="s">
        <v>50</v>
      </c>
      <c r="X6" s="97" t="s">
        <v>50</v>
      </c>
      <c r="Y6" s="102"/>
    </row>
    <row r="7" spans="1:25" s="97" customFormat="1" x14ac:dyDescent="0.25">
      <c r="A7" s="194">
        <v>44011</v>
      </c>
      <c r="B7" s="97" t="s">
        <v>43</v>
      </c>
      <c r="C7" s="97" t="s">
        <v>88</v>
      </c>
      <c r="D7" s="98">
        <v>38.118589999999998</v>
      </c>
      <c r="E7" s="98">
        <v>-121.70141</v>
      </c>
      <c r="F7" s="97" t="s">
        <v>841</v>
      </c>
      <c r="G7" s="97" t="s">
        <v>90</v>
      </c>
      <c r="H7" s="97" t="s">
        <v>91</v>
      </c>
      <c r="I7" s="621">
        <v>0.43958333333333338</v>
      </c>
      <c r="J7" s="100">
        <v>176.75</v>
      </c>
      <c r="K7" s="100">
        <v>22.874999999999996</v>
      </c>
      <c r="L7" s="100">
        <v>8.33</v>
      </c>
      <c r="M7" s="100">
        <v>1.0725</v>
      </c>
      <c r="N7" s="101">
        <v>9.1750000000000007</v>
      </c>
      <c r="O7" s="97" t="s">
        <v>48</v>
      </c>
      <c r="P7" s="97">
        <v>4</v>
      </c>
      <c r="Q7" s="97">
        <v>10</v>
      </c>
      <c r="R7" s="97" t="s">
        <v>64</v>
      </c>
      <c r="S7" s="97" t="s">
        <v>50</v>
      </c>
      <c r="T7" s="97" t="s">
        <v>50</v>
      </c>
      <c r="U7" s="97" t="s">
        <v>50</v>
      </c>
      <c r="V7" s="97" t="s">
        <v>50</v>
      </c>
      <c r="W7" s="97" t="s">
        <v>50</v>
      </c>
      <c r="X7" s="97" t="s">
        <v>50</v>
      </c>
      <c r="Y7" s="102" t="s">
        <v>842</v>
      </c>
    </row>
    <row r="8" spans="1:25" s="97" customFormat="1" x14ac:dyDescent="0.25">
      <c r="A8" s="194">
        <v>44011</v>
      </c>
      <c r="B8" s="97" t="s">
        <v>43</v>
      </c>
      <c r="C8" s="97" t="s">
        <v>88</v>
      </c>
      <c r="D8" s="98">
        <v>38.136180000000003</v>
      </c>
      <c r="E8" s="98">
        <v>-121.68906</v>
      </c>
      <c r="F8" s="97" t="s">
        <v>843</v>
      </c>
      <c r="G8" s="97" t="s">
        <v>90</v>
      </c>
      <c r="H8" s="97" t="s">
        <v>91</v>
      </c>
      <c r="I8" s="621">
        <v>0.50208333333333333</v>
      </c>
      <c r="J8" s="103">
        <v>172.07499999999999</v>
      </c>
      <c r="K8" s="103">
        <v>22.85</v>
      </c>
      <c r="L8" s="103">
        <v>6.2874999999999996</v>
      </c>
      <c r="M8" s="103">
        <v>1.665</v>
      </c>
      <c r="N8" s="103">
        <v>4.9525000000000006</v>
      </c>
      <c r="O8" s="97" t="s">
        <v>48</v>
      </c>
      <c r="P8" s="97">
        <v>4</v>
      </c>
      <c r="Q8" s="97">
        <v>10</v>
      </c>
      <c r="R8" s="34" t="s">
        <v>49</v>
      </c>
      <c r="S8" s="97" t="s">
        <v>50</v>
      </c>
      <c r="T8" s="97" t="s">
        <v>50</v>
      </c>
      <c r="U8" s="97" t="s">
        <v>50</v>
      </c>
      <c r="V8" s="97" t="s">
        <v>50</v>
      </c>
      <c r="W8" s="97" t="s">
        <v>50</v>
      </c>
      <c r="X8" s="97" t="s">
        <v>50</v>
      </c>
      <c r="Y8" s="102"/>
    </row>
    <row r="9" spans="1:25" s="97" customFormat="1" x14ac:dyDescent="0.25">
      <c r="A9" s="194">
        <v>44011</v>
      </c>
      <c r="B9" s="97" t="s">
        <v>43</v>
      </c>
      <c r="C9" s="98" t="s">
        <v>126</v>
      </c>
      <c r="D9" s="98">
        <v>38.325850000000003</v>
      </c>
      <c r="E9" s="98">
        <v>-121.65277</v>
      </c>
      <c r="F9" s="97" t="s">
        <v>844</v>
      </c>
      <c r="G9" s="98" t="s">
        <v>90</v>
      </c>
      <c r="H9" s="98" t="s">
        <v>845</v>
      </c>
      <c r="I9" s="621">
        <v>0.5083333333333333</v>
      </c>
      <c r="J9" s="100">
        <v>175.82500000000002</v>
      </c>
      <c r="K9" s="100">
        <v>21.075000000000003</v>
      </c>
      <c r="L9" s="100">
        <v>17.725000000000001</v>
      </c>
      <c r="M9" s="100">
        <v>0.71750000000000003</v>
      </c>
      <c r="N9" s="100">
        <v>3.65</v>
      </c>
      <c r="O9" s="97" t="s">
        <v>48</v>
      </c>
      <c r="P9" s="97">
        <v>4</v>
      </c>
      <c r="Q9" s="97">
        <v>10</v>
      </c>
      <c r="R9" s="98" t="s">
        <v>64</v>
      </c>
      <c r="S9" s="97" t="s">
        <v>50</v>
      </c>
      <c r="T9" s="97" t="s">
        <v>50</v>
      </c>
      <c r="U9" s="97" t="s">
        <v>50</v>
      </c>
      <c r="V9" s="97" t="s">
        <v>50</v>
      </c>
      <c r="W9" s="97" t="s">
        <v>50</v>
      </c>
      <c r="X9" s="97" t="s">
        <v>50</v>
      </c>
      <c r="Y9" s="102"/>
    </row>
    <row r="10" spans="1:25" s="97" customFormat="1" x14ac:dyDescent="0.25">
      <c r="A10" s="194">
        <v>44011</v>
      </c>
      <c r="B10" s="97" t="s">
        <v>43</v>
      </c>
      <c r="C10" s="98" t="s">
        <v>126</v>
      </c>
      <c r="D10" s="98">
        <v>38.256900000000002</v>
      </c>
      <c r="E10" s="98">
        <v>-121.73551</v>
      </c>
      <c r="F10" s="97" t="s">
        <v>846</v>
      </c>
      <c r="G10" s="98" t="s">
        <v>90</v>
      </c>
      <c r="H10" s="98" t="s">
        <v>845</v>
      </c>
      <c r="I10" s="621">
        <v>0.36180555555555555</v>
      </c>
      <c r="J10" s="100">
        <v>171.375</v>
      </c>
      <c r="K10" s="100">
        <v>21.475000000000001</v>
      </c>
      <c r="L10" s="100">
        <v>7.6300000000000008</v>
      </c>
      <c r="M10" s="100">
        <v>1.2250000000000001</v>
      </c>
      <c r="N10" s="100">
        <v>4.3249999999999993</v>
      </c>
      <c r="O10" s="97" t="s">
        <v>48</v>
      </c>
      <c r="P10" s="97">
        <v>4</v>
      </c>
      <c r="Q10" s="97">
        <v>10</v>
      </c>
      <c r="R10" s="98" t="s">
        <v>49</v>
      </c>
      <c r="S10" s="97" t="s">
        <v>50</v>
      </c>
      <c r="T10" s="97" t="s">
        <v>50</v>
      </c>
      <c r="U10" s="97" t="s">
        <v>50</v>
      </c>
      <c r="V10" s="97" t="s">
        <v>50</v>
      </c>
      <c r="W10" s="97" t="s">
        <v>50</v>
      </c>
      <c r="X10" s="97" t="s">
        <v>50</v>
      </c>
      <c r="Y10" s="769" t="s">
        <v>847</v>
      </c>
    </row>
    <row r="11" spans="1:25" s="97" customFormat="1" x14ac:dyDescent="0.25">
      <c r="A11" s="194">
        <v>44011</v>
      </c>
      <c r="B11" s="97" t="s">
        <v>43</v>
      </c>
      <c r="C11" s="98" t="s">
        <v>126</v>
      </c>
      <c r="D11" s="98">
        <v>38.274180000000001</v>
      </c>
      <c r="E11" s="98">
        <v>-121.69443</v>
      </c>
      <c r="F11" s="97" t="s">
        <v>848</v>
      </c>
      <c r="G11" s="98" t="s">
        <v>90</v>
      </c>
      <c r="H11" s="98" t="s">
        <v>845</v>
      </c>
      <c r="I11" s="621">
        <v>0.4368055555555555</v>
      </c>
      <c r="J11" s="100">
        <v>158.9</v>
      </c>
      <c r="K11" s="100">
        <v>21.599999999999998</v>
      </c>
      <c r="L11" s="100">
        <v>9.3699999999999992</v>
      </c>
      <c r="M11" s="100">
        <v>1.0266666666666666</v>
      </c>
      <c r="N11" s="101">
        <v>5.4333333333333336</v>
      </c>
      <c r="O11" s="97" t="s">
        <v>48</v>
      </c>
      <c r="P11" s="97">
        <v>4</v>
      </c>
      <c r="Q11" s="97">
        <v>10</v>
      </c>
      <c r="R11" s="97" t="s">
        <v>64</v>
      </c>
      <c r="S11" s="97" t="s">
        <v>50</v>
      </c>
      <c r="T11" s="97" t="s">
        <v>50</v>
      </c>
      <c r="U11" s="97" t="s">
        <v>50</v>
      </c>
      <c r="V11" s="97" t="s">
        <v>50</v>
      </c>
      <c r="W11" s="97" t="s">
        <v>50</v>
      </c>
      <c r="X11" s="97" t="s">
        <v>50</v>
      </c>
      <c r="Y11" s="102"/>
    </row>
    <row r="12" spans="1:25" s="97" customFormat="1" x14ac:dyDescent="0.25">
      <c r="A12" s="194">
        <v>44012</v>
      </c>
      <c r="B12" s="97" t="s">
        <v>849</v>
      </c>
      <c r="C12" s="97" t="s">
        <v>88</v>
      </c>
      <c r="D12" s="98">
        <v>38.073880000000003</v>
      </c>
      <c r="E12" s="98">
        <v>-121.76615</v>
      </c>
      <c r="F12" s="97" t="s">
        <v>850</v>
      </c>
      <c r="G12" s="97" t="s">
        <v>27</v>
      </c>
      <c r="H12" s="97" t="s">
        <v>25</v>
      </c>
      <c r="I12" s="621">
        <v>0.36319444444444443</v>
      </c>
      <c r="J12" s="100">
        <v>206.22499999999999</v>
      </c>
      <c r="K12" s="100">
        <v>22.675000000000001</v>
      </c>
      <c r="L12" s="100">
        <v>7.4350000000000005</v>
      </c>
      <c r="M12" s="100">
        <v>1.2625</v>
      </c>
      <c r="N12" s="101">
        <v>9.4250000000000007</v>
      </c>
      <c r="O12" s="97" t="s">
        <v>48</v>
      </c>
      <c r="P12" s="97">
        <v>4</v>
      </c>
      <c r="Q12" s="97">
        <v>10</v>
      </c>
      <c r="R12" s="97" t="s">
        <v>64</v>
      </c>
      <c r="S12" s="97" t="s">
        <v>50</v>
      </c>
      <c r="T12" s="97" t="s">
        <v>50</v>
      </c>
      <c r="U12" s="97" t="s">
        <v>50</v>
      </c>
      <c r="V12" s="97" t="s">
        <v>50</v>
      </c>
      <c r="W12" s="97" t="s">
        <v>50</v>
      </c>
      <c r="X12" s="97" t="s">
        <v>50</v>
      </c>
      <c r="Y12" s="102"/>
    </row>
    <row r="13" spans="1:25" s="97" customFormat="1" x14ac:dyDescent="0.25">
      <c r="A13" s="194">
        <v>44012</v>
      </c>
      <c r="B13" s="97" t="s">
        <v>849</v>
      </c>
      <c r="C13" s="97" t="s">
        <v>88</v>
      </c>
      <c r="D13" s="98">
        <v>38.161430000000003</v>
      </c>
      <c r="E13" s="98">
        <v>-121.68271</v>
      </c>
      <c r="F13" s="97" t="s">
        <v>851</v>
      </c>
      <c r="G13" s="97" t="s">
        <v>90</v>
      </c>
      <c r="H13" s="97" t="s">
        <v>91</v>
      </c>
      <c r="I13" s="621">
        <v>0.4916666666666667</v>
      </c>
      <c r="J13" s="103">
        <v>141.875</v>
      </c>
      <c r="K13" s="103">
        <v>23.224999999999998</v>
      </c>
      <c r="L13" s="103">
        <v>7.839999999999999</v>
      </c>
      <c r="M13" s="103">
        <v>1.42</v>
      </c>
      <c r="N13" s="103">
        <v>10.3</v>
      </c>
      <c r="O13" s="34" t="s">
        <v>48</v>
      </c>
      <c r="P13" s="34">
        <v>4</v>
      </c>
      <c r="Q13" s="34">
        <v>10</v>
      </c>
      <c r="R13" s="34" t="s">
        <v>64</v>
      </c>
      <c r="S13" s="49" t="s">
        <v>50</v>
      </c>
      <c r="T13" s="49" t="s">
        <v>50</v>
      </c>
      <c r="U13" s="34" t="s">
        <v>50</v>
      </c>
      <c r="V13" s="49" t="s">
        <v>50</v>
      </c>
      <c r="W13" s="49" t="s">
        <v>50</v>
      </c>
      <c r="X13" s="34" t="s">
        <v>50</v>
      </c>
      <c r="Y13" s="102"/>
    </row>
    <row r="14" spans="1:25" s="97" customFormat="1" x14ac:dyDescent="0.25">
      <c r="A14" s="194">
        <v>44012</v>
      </c>
      <c r="B14" s="97" t="s">
        <v>849</v>
      </c>
      <c r="C14" s="97" t="s">
        <v>88</v>
      </c>
      <c r="D14" s="98">
        <v>38.093980000000002</v>
      </c>
      <c r="E14" s="98">
        <v>-121.73189000000001</v>
      </c>
      <c r="F14" s="97" t="s">
        <v>852</v>
      </c>
      <c r="G14" s="97" t="s">
        <v>90</v>
      </c>
      <c r="H14" s="97" t="s">
        <v>91</v>
      </c>
      <c r="I14" s="621">
        <v>0.42291666666666666</v>
      </c>
      <c r="J14" s="103">
        <v>166.05</v>
      </c>
      <c r="K14" s="103">
        <v>22.950000000000003</v>
      </c>
      <c r="L14" s="103">
        <v>7.03</v>
      </c>
      <c r="M14" s="103">
        <v>1.38</v>
      </c>
      <c r="N14" s="103">
        <v>8.0250000000000004</v>
      </c>
      <c r="O14" s="34" t="s">
        <v>48</v>
      </c>
      <c r="P14" s="34">
        <v>4</v>
      </c>
      <c r="Q14" s="34">
        <v>10</v>
      </c>
      <c r="R14" s="34" t="s">
        <v>64</v>
      </c>
      <c r="S14" s="49" t="s">
        <v>50</v>
      </c>
      <c r="T14" s="49" t="s">
        <v>50</v>
      </c>
      <c r="U14" s="34" t="s">
        <v>50</v>
      </c>
      <c r="V14" s="49" t="s">
        <v>50</v>
      </c>
      <c r="W14" s="49" t="s">
        <v>50</v>
      </c>
      <c r="X14" s="34" t="s">
        <v>50</v>
      </c>
      <c r="Y14" s="102"/>
    </row>
    <row r="15" spans="1:25" s="214" customFormat="1" x14ac:dyDescent="0.25">
      <c r="A15" s="645">
        <v>44012</v>
      </c>
      <c r="B15" s="214" t="s">
        <v>849</v>
      </c>
      <c r="C15" s="214" t="s">
        <v>62</v>
      </c>
      <c r="D15" s="646">
        <v>38.116970000000002</v>
      </c>
      <c r="E15" s="646">
        <v>-122.06106</v>
      </c>
      <c r="F15" s="214" t="s">
        <v>853</v>
      </c>
      <c r="G15" s="214" t="s">
        <v>27</v>
      </c>
      <c r="H15" s="214" t="s">
        <v>62</v>
      </c>
      <c r="I15" s="647">
        <v>0.34236111111111112</v>
      </c>
      <c r="J15" s="656">
        <v>13457.75</v>
      </c>
      <c r="K15" s="656">
        <v>21.074999999999999</v>
      </c>
      <c r="L15" s="656">
        <v>69.400000000000006</v>
      </c>
      <c r="M15" s="656">
        <v>0.245</v>
      </c>
      <c r="N15" s="656">
        <v>4.2</v>
      </c>
      <c r="O15" s="565" t="s">
        <v>48</v>
      </c>
      <c r="P15" s="565">
        <v>4</v>
      </c>
      <c r="Q15" s="565">
        <v>10</v>
      </c>
      <c r="R15" s="565" t="s">
        <v>64</v>
      </c>
      <c r="S15" s="572" t="s">
        <v>31</v>
      </c>
      <c r="T15" s="566">
        <v>1</v>
      </c>
      <c r="U15" s="565">
        <v>37</v>
      </c>
      <c r="V15" s="566" t="s">
        <v>50</v>
      </c>
      <c r="W15" s="566" t="s">
        <v>50</v>
      </c>
      <c r="X15" s="565" t="s">
        <v>50</v>
      </c>
      <c r="Y15" s="650"/>
    </row>
    <row r="16" spans="1:25" s="214" customFormat="1" x14ac:dyDescent="0.25">
      <c r="A16" s="645">
        <v>44012</v>
      </c>
      <c r="B16" s="214" t="s">
        <v>849</v>
      </c>
      <c r="C16" s="214" t="s">
        <v>62</v>
      </c>
      <c r="D16" s="646">
        <v>38.16066</v>
      </c>
      <c r="E16" s="646">
        <v>-122.04684</v>
      </c>
      <c r="F16" s="214" t="s">
        <v>854</v>
      </c>
      <c r="G16" s="214" t="s">
        <v>27</v>
      </c>
      <c r="H16" s="214" t="s">
        <v>62</v>
      </c>
      <c r="I16" s="647">
        <v>0.3979166666666667</v>
      </c>
      <c r="J16" s="656">
        <v>12939.25</v>
      </c>
      <c r="K16" s="656">
        <v>21.725000000000001</v>
      </c>
      <c r="L16" s="656">
        <v>47.75</v>
      </c>
      <c r="M16" s="656">
        <v>0.3075</v>
      </c>
      <c r="N16" s="656">
        <v>6.45</v>
      </c>
      <c r="O16" s="565" t="s">
        <v>48</v>
      </c>
      <c r="P16" s="565">
        <v>4</v>
      </c>
      <c r="Q16" s="565">
        <v>10</v>
      </c>
      <c r="R16" s="565" t="s">
        <v>64</v>
      </c>
      <c r="S16" s="572" t="s">
        <v>31</v>
      </c>
      <c r="T16" s="566">
        <v>1</v>
      </c>
      <c r="U16" s="565">
        <v>47</v>
      </c>
      <c r="V16" s="566" t="s">
        <v>50</v>
      </c>
      <c r="W16" s="566" t="s">
        <v>50</v>
      </c>
      <c r="X16" s="565" t="s">
        <v>50</v>
      </c>
      <c r="Y16" s="650" t="s">
        <v>139</v>
      </c>
    </row>
    <row r="17" spans="1:25" s="97" customFormat="1" x14ac:dyDescent="0.25">
      <c r="A17" s="194">
        <v>44012</v>
      </c>
      <c r="B17" s="97" t="s">
        <v>849</v>
      </c>
      <c r="C17" s="97" t="s">
        <v>62</v>
      </c>
      <c r="D17" s="98">
        <v>38.153170000000003</v>
      </c>
      <c r="E17" s="98">
        <v>-121.91988000000001</v>
      </c>
      <c r="F17" s="97" t="s">
        <v>855</v>
      </c>
      <c r="G17" s="97" t="s">
        <v>27</v>
      </c>
      <c r="H17" s="97" t="s">
        <v>62</v>
      </c>
      <c r="I17" s="621">
        <v>0.4604166666666667</v>
      </c>
      <c r="J17" s="100">
        <v>7124.5</v>
      </c>
      <c r="K17" s="100">
        <v>22.024999999999999</v>
      </c>
      <c r="L17" s="100">
        <v>31.55</v>
      </c>
      <c r="M17" s="100">
        <v>0.38750000000000007</v>
      </c>
      <c r="N17" s="100">
        <v>3.9749999999999996</v>
      </c>
      <c r="O17" s="34" t="s">
        <v>48</v>
      </c>
      <c r="P17" s="34">
        <v>4</v>
      </c>
      <c r="Q17" s="34">
        <v>10</v>
      </c>
      <c r="R17" s="97" t="s">
        <v>64</v>
      </c>
      <c r="S17" s="49" t="s">
        <v>50</v>
      </c>
      <c r="T17" s="49" t="s">
        <v>50</v>
      </c>
      <c r="U17" s="34" t="s">
        <v>50</v>
      </c>
      <c r="V17" s="49" t="s">
        <v>50</v>
      </c>
      <c r="W17" s="49" t="s">
        <v>50</v>
      </c>
      <c r="X17" s="34" t="s">
        <v>50</v>
      </c>
      <c r="Y17" s="102"/>
    </row>
    <row r="18" spans="1:25" s="97" customFormat="1" x14ac:dyDescent="0.25">
      <c r="A18" s="194">
        <v>44012</v>
      </c>
      <c r="B18" s="97" t="s">
        <v>849</v>
      </c>
      <c r="C18" s="230" t="s">
        <v>126</v>
      </c>
      <c r="D18" s="98">
        <v>38.24962</v>
      </c>
      <c r="E18" s="98">
        <v>-121.6743</v>
      </c>
      <c r="F18" s="97" t="s">
        <v>856</v>
      </c>
      <c r="G18" s="97" t="s">
        <v>90</v>
      </c>
      <c r="H18" s="97" t="s">
        <v>845</v>
      </c>
      <c r="I18" s="621">
        <v>0.3611111111111111</v>
      </c>
      <c r="J18" s="100">
        <v>161.82500000000002</v>
      </c>
      <c r="K18" s="100">
        <v>21.45</v>
      </c>
      <c r="L18" s="100">
        <v>12.975</v>
      </c>
      <c r="M18" s="100">
        <v>0.91250000000000009</v>
      </c>
      <c r="N18" s="101">
        <v>9.0749999999999993</v>
      </c>
      <c r="O18" s="34" t="s">
        <v>48</v>
      </c>
      <c r="P18" s="34">
        <v>4</v>
      </c>
      <c r="Q18" s="34">
        <v>10</v>
      </c>
      <c r="R18" s="97" t="s">
        <v>49</v>
      </c>
      <c r="S18" s="49" t="s">
        <v>50</v>
      </c>
      <c r="T18" s="49" t="s">
        <v>50</v>
      </c>
      <c r="U18" s="34" t="s">
        <v>50</v>
      </c>
      <c r="V18" s="49" t="s">
        <v>50</v>
      </c>
      <c r="W18" s="49" t="s">
        <v>50</v>
      </c>
      <c r="X18" s="34" t="s">
        <v>50</v>
      </c>
      <c r="Y18" s="102"/>
    </row>
    <row r="19" spans="1:25" s="153" customFormat="1" x14ac:dyDescent="0.25">
      <c r="A19" s="195">
        <v>44012</v>
      </c>
      <c r="B19" s="153" t="s">
        <v>849</v>
      </c>
      <c r="C19" s="153" t="s">
        <v>126</v>
      </c>
      <c r="D19" s="154">
        <v>38.285939999999997</v>
      </c>
      <c r="E19" s="154">
        <v>-121.71787</v>
      </c>
      <c r="F19" s="153" t="s">
        <v>857</v>
      </c>
      <c r="G19" s="153" t="s">
        <v>90</v>
      </c>
      <c r="H19" s="153" t="s">
        <v>845</v>
      </c>
      <c r="I19" s="636">
        <v>0.3444444444444445</v>
      </c>
      <c r="J19" s="156" t="s">
        <v>50</v>
      </c>
      <c r="K19" s="156" t="s">
        <v>50</v>
      </c>
      <c r="L19" s="156" t="s">
        <v>50</v>
      </c>
      <c r="M19" s="156" t="s">
        <v>50</v>
      </c>
      <c r="N19" s="156" t="s">
        <v>50</v>
      </c>
      <c r="O19" s="153" t="s">
        <v>48</v>
      </c>
      <c r="P19" s="153">
        <v>0</v>
      </c>
      <c r="Q19" s="153" t="s">
        <v>50</v>
      </c>
      <c r="R19" s="153" t="s">
        <v>50</v>
      </c>
      <c r="S19" s="158" t="s">
        <v>50</v>
      </c>
      <c r="T19" s="158" t="s">
        <v>50</v>
      </c>
      <c r="U19" s="157" t="s">
        <v>50</v>
      </c>
      <c r="V19" s="158" t="s">
        <v>50</v>
      </c>
      <c r="W19" s="158" t="s">
        <v>50</v>
      </c>
      <c r="X19" s="157" t="s">
        <v>50</v>
      </c>
      <c r="Y19" s="159" t="s">
        <v>858</v>
      </c>
    </row>
    <row r="20" spans="1:25" s="97" customFormat="1" x14ac:dyDescent="0.25">
      <c r="A20" s="194">
        <v>44012</v>
      </c>
      <c r="B20" s="97" t="s">
        <v>849</v>
      </c>
      <c r="C20" s="97" t="s">
        <v>126</v>
      </c>
      <c r="D20" s="98">
        <v>38.280070000000002</v>
      </c>
      <c r="E20" s="98">
        <v>-121.66555</v>
      </c>
      <c r="F20" s="97" t="s">
        <v>859</v>
      </c>
      <c r="G20" s="97" t="s">
        <v>90</v>
      </c>
      <c r="H20" s="97" t="s">
        <v>845</v>
      </c>
      <c r="I20" s="621">
        <v>0.41944444444444445</v>
      </c>
      <c r="J20" s="100">
        <v>172.67500000000001</v>
      </c>
      <c r="K20" s="100">
        <v>21.424999999999997</v>
      </c>
      <c r="L20" s="100">
        <v>12.35</v>
      </c>
      <c r="M20" s="100">
        <v>0.92500000000000004</v>
      </c>
      <c r="N20" s="101">
        <v>5.0750000000000002</v>
      </c>
      <c r="O20" s="34" t="s">
        <v>48</v>
      </c>
      <c r="P20" s="34">
        <v>4</v>
      </c>
      <c r="Q20" s="34">
        <v>10</v>
      </c>
      <c r="R20" s="97" t="s">
        <v>64</v>
      </c>
      <c r="S20" s="49" t="s">
        <v>50</v>
      </c>
      <c r="T20" s="49" t="s">
        <v>50</v>
      </c>
      <c r="U20" s="34" t="s">
        <v>50</v>
      </c>
      <c r="V20" s="49" t="s">
        <v>50</v>
      </c>
      <c r="W20" s="49" t="s">
        <v>50</v>
      </c>
      <c r="X20" s="34" t="s">
        <v>50</v>
      </c>
      <c r="Y20" s="102"/>
    </row>
    <row r="21" spans="1:25" s="97" customFormat="1" x14ac:dyDescent="0.25">
      <c r="A21" s="194">
        <v>44012</v>
      </c>
      <c r="B21" s="97" t="s">
        <v>849</v>
      </c>
      <c r="C21" s="97" t="s">
        <v>126</v>
      </c>
      <c r="D21" s="98">
        <v>38.372509999999998</v>
      </c>
      <c r="E21" s="98">
        <v>-121.63392</v>
      </c>
      <c r="F21" s="97" t="s">
        <v>860</v>
      </c>
      <c r="G21" s="97" t="s">
        <v>90</v>
      </c>
      <c r="H21" s="97" t="s">
        <v>845</v>
      </c>
      <c r="I21" s="621">
        <v>0.49652777777777773</v>
      </c>
      <c r="J21" s="100">
        <v>191.85000000000002</v>
      </c>
      <c r="K21" s="100">
        <v>23.7</v>
      </c>
      <c r="L21" s="100">
        <v>37.450000000000003</v>
      </c>
      <c r="M21" s="100">
        <v>0.33999999999999997</v>
      </c>
      <c r="N21" s="101">
        <v>2.9</v>
      </c>
      <c r="O21" s="34" t="s">
        <v>48</v>
      </c>
      <c r="P21" s="34">
        <v>4</v>
      </c>
      <c r="Q21" s="34">
        <v>10</v>
      </c>
      <c r="R21" s="97" t="s">
        <v>64</v>
      </c>
      <c r="S21" s="49" t="s">
        <v>50</v>
      </c>
      <c r="T21" s="49" t="s">
        <v>50</v>
      </c>
      <c r="U21" s="34" t="s">
        <v>50</v>
      </c>
      <c r="V21" s="49" t="s">
        <v>50</v>
      </c>
      <c r="W21" s="49" t="s">
        <v>50</v>
      </c>
      <c r="X21" s="34" t="s">
        <v>50</v>
      </c>
      <c r="Y21" s="102" t="s">
        <v>861</v>
      </c>
    </row>
    <row r="22" spans="1:25" s="97" customFormat="1" x14ac:dyDescent="0.25">
      <c r="A22" s="194">
        <v>44013</v>
      </c>
      <c r="B22" s="97" t="s">
        <v>87</v>
      </c>
      <c r="C22" s="97" t="s">
        <v>95</v>
      </c>
      <c r="D22" s="98">
        <v>38.025970000000001</v>
      </c>
      <c r="E22" s="98">
        <v>-121.74995</v>
      </c>
      <c r="F22" s="97" t="s">
        <v>862</v>
      </c>
      <c r="G22" s="97" t="s">
        <v>27</v>
      </c>
      <c r="H22" s="97" t="s">
        <v>863</v>
      </c>
      <c r="I22" s="621">
        <v>0.4152777777777778</v>
      </c>
      <c r="J22" s="103">
        <v>333.625</v>
      </c>
      <c r="K22" s="103">
        <v>23.299999999999997</v>
      </c>
      <c r="L22" s="103">
        <v>8.75</v>
      </c>
      <c r="M22" s="103">
        <v>1.3275000000000001</v>
      </c>
      <c r="N22" s="103">
        <v>8.8000000000000007</v>
      </c>
      <c r="O22" s="34" t="s">
        <v>48</v>
      </c>
      <c r="P22" s="34">
        <v>4</v>
      </c>
      <c r="Q22" s="34">
        <v>10</v>
      </c>
      <c r="R22" s="34" t="s">
        <v>49</v>
      </c>
      <c r="S22" s="49" t="s">
        <v>50</v>
      </c>
      <c r="T22" s="49" t="s">
        <v>50</v>
      </c>
      <c r="U22" s="34" t="s">
        <v>50</v>
      </c>
      <c r="V22" s="49" t="s">
        <v>50</v>
      </c>
      <c r="W22" s="49" t="s">
        <v>50</v>
      </c>
      <c r="X22" s="34" t="s">
        <v>50</v>
      </c>
      <c r="Y22" s="102" t="s">
        <v>139</v>
      </c>
    </row>
    <row r="23" spans="1:25" s="97" customFormat="1" x14ac:dyDescent="0.25">
      <c r="A23" s="194">
        <v>44013</v>
      </c>
      <c r="B23" s="97" t="s">
        <v>87</v>
      </c>
      <c r="C23" s="97" t="s">
        <v>95</v>
      </c>
      <c r="D23" s="98">
        <v>38.021479999999997</v>
      </c>
      <c r="E23" s="98">
        <v>-121.79801999999999</v>
      </c>
      <c r="F23" s="97" t="s">
        <v>864</v>
      </c>
      <c r="G23" s="97" t="s">
        <v>27</v>
      </c>
      <c r="H23" s="97" t="s">
        <v>863</v>
      </c>
      <c r="I23" s="621">
        <v>0.35833333333333334</v>
      </c>
      <c r="J23" s="100">
        <v>629</v>
      </c>
      <c r="K23" s="100">
        <v>23.049999999999997</v>
      </c>
      <c r="L23" s="100">
        <v>12.067499999999999</v>
      </c>
      <c r="M23" s="100">
        <v>0.97</v>
      </c>
      <c r="N23" s="101">
        <v>5.45</v>
      </c>
      <c r="O23" s="34" t="s">
        <v>48</v>
      </c>
      <c r="P23" s="34">
        <v>4</v>
      </c>
      <c r="Q23" s="34">
        <v>10</v>
      </c>
      <c r="R23" s="97" t="s">
        <v>64</v>
      </c>
      <c r="S23" s="49" t="s">
        <v>50</v>
      </c>
      <c r="T23" s="49" t="s">
        <v>50</v>
      </c>
      <c r="U23" s="34" t="s">
        <v>50</v>
      </c>
      <c r="V23" s="49" t="s">
        <v>50</v>
      </c>
      <c r="W23" s="49" t="s">
        <v>50</v>
      </c>
      <c r="X23" s="34" t="s">
        <v>50</v>
      </c>
      <c r="Y23" s="102"/>
    </row>
    <row r="24" spans="1:25" s="97" customFormat="1" x14ac:dyDescent="0.25">
      <c r="A24" s="194">
        <v>44013</v>
      </c>
      <c r="B24" s="97" t="s">
        <v>87</v>
      </c>
      <c r="C24" s="97" t="s">
        <v>95</v>
      </c>
      <c r="D24" s="98">
        <v>38.05086</v>
      </c>
      <c r="E24" s="98">
        <v>-121.69472</v>
      </c>
      <c r="F24" s="97" t="s">
        <v>865</v>
      </c>
      <c r="G24" s="97" t="s">
        <v>27</v>
      </c>
      <c r="H24" s="97" t="s">
        <v>863</v>
      </c>
      <c r="I24" s="621">
        <v>0.4777777777777778</v>
      </c>
      <c r="J24" s="100">
        <v>264.42500000000001</v>
      </c>
      <c r="K24" s="100">
        <v>23.700000000000003</v>
      </c>
      <c r="L24" s="100">
        <v>7.5449999999999999</v>
      </c>
      <c r="M24" s="100">
        <v>1.355</v>
      </c>
      <c r="N24" s="101">
        <v>13.075000000000001</v>
      </c>
      <c r="O24" s="34" t="s">
        <v>48</v>
      </c>
      <c r="P24" s="34">
        <v>4</v>
      </c>
      <c r="Q24" s="34">
        <v>10</v>
      </c>
      <c r="R24" s="97" t="s">
        <v>64</v>
      </c>
      <c r="S24" s="49" t="s">
        <v>50</v>
      </c>
      <c r="T24" s="49" t="s">
        <v>50</v>
      </c>
      <c r="U24" s="34" t="s">
        <v>50</v>
      </c>
      <c r="V24" s="49" t="s">
        <v>50</v>
      </c>
      <c r="W24" s="49" t="s">
        <v>50</v>
      </c>
      <c r="X24" s="34" t="s">
        <v>50</v>
      </c>
      <c r="Y24" s="35"/>
    </row>
    <row r="25" spans="1:25" s="591" customFormat="1" x14ac:dyDescent="0.25">
      <c r="A25" s="590">
        <v>44013</v>
      </c>
      <c r="B25" s="591" t="s">
        <v>87</v>
      </c>
      <c r="C25" s="591" t="s">
        <v>78</v>
      </c>
      <c r="D25" s="592">
        <v>38.070810000000002</v>
      </c>
      <c r="E25" s="592">
        <v>-121.84148999999999</v>
      </c>
      <c r="F25" s="591" t="s">
        <v>866</v>
      </c>
      <c r="G25" s="591" t="s">
        <v>27</v>
      </c>
      <c r="H25" s="591" t="s">
        <v>101</v>
      </c>
      <c r="I25" s="619">
        <v>0.46527777777777773</v>
      </c>
      <c r="J25" s="593">
        <v>1618.5</v>
      </c>
      <c r="K25" s="593">
        <v>21.9</v>
      </c>
      <c r="L25" s="593">
        <v>28.450000000000003</v>
      </c>
      <c r="M25" s="593">
        <v>0.47499999999999998</v>
      </c>
      <c r="N25" s="594">
        <v>6.1</v>
      </c>
      <c r="O25" s="568" t="s">
        <v>48</v>
      </c>
      <c r="P25" s="591">
        <v>2</v>
      </c>
      <c r="Q25" s="591">
        <v>10</v>
      </c>
      <c r="R25" s="591" t="s">
        <v>64</v>
      </c>
      <c r="S25" s="559" t="s">
        <v>323</v>
      </c>
      <c r="T25" s="560">
        <v>2</v>
      </c>
      <c r="U25" s="561" t="s">
        <v>867</v>
      </c>
      <c r="V25" s="560" t="s">
        <v>50</v>
      </c>
      <c r="W25" s="560" t="s">
        <v>50</v>
      </c>
      <c r="X25" s="561" t="s">
        <v>50</v>
      </c>
      <c r="Y25" s="455" t="s">
        <v>868</v>
      </c>
    </row>
    <row r="26" spans="1:25" s="97" customFormat="1" x14ac:dyDescent="0.25">
      <c r="A26" s="194">
        <v>44013</v>
      </c>
      <c r="B26" s="97" t="s">
        <v>87</v>
      </c>
      <c r="C26" s="97" t="s">
        <v>78</v>
      </c>
      <c r="D26" s="98">
        <v>38.049729999999997</v>
      </c>
      <c r="E26" s="98">
        <v>-121.94454</v>
      </c>
      <c r="F26" s="97" t="s">
        <v>869</v>
      </c>
      <c r="G26" s="97" t="s">
        <v>27</v>
      </c>
      <c r="H26" s="97" t="s">
        <v>170</v>
      </c>
      <c r="I26" s="621">
        <v>0.39999999999999997</v>
      </c>
      <c r="J26" s="100">
        <v>4846.25</v>
      </c>
      <c r="K26" s="100">
        <v>21.75</v>
      </c>
      <c r="L26" s="100">
        <v>24.049999999999997</v>
      </c>
      <c r="M26" s="100">
        <v>0.51749999999999996</v>
      </c>
      <c r="N26" s="101">
        <v>14.200000000000001</v>
      </c>
      <c r="O26" s="34" t="s">
        <v>48</v>
      </c>
      <c r="P26" s="34">
        <v>4</v>
      </c>
      <c r="Q26" s="34">
        <v>10</v>
      </c>
      <c r="R26" s="97" t="s">
        <v>64</v>
      </c>
      <c r="S26" s="49" t="s">
        <v>50</v>
      </c>
      <c r="T26" s="49" t="s">
        <v>50</v>
      </c>
      <c r="U26" s="34" t="s">
        <v>50</v>
      </c>
      <c r="V26" s="49" t="s">
        <v>50</v>
      </c>
      <c r="W26" s="49" t="s">
        <v>50</v>
      </c>
      <c r="X26" s="34" t="s">
        <v>50</v>
      </c>
      <c r="Y26" s="102"/>
    </row>
    <row r="27" spans="1:25" s="97" customFormat="1" x14ac:dyDescent="0.25">
      <c r="A27" s="194">
        <v>44013</v>
      </c>
      <c r="B27" s="97" t="s">
        <v>87</v>
      </c>
      <c r="C27" s="97" t="s">
        <v>78</v>
      </c>
      <c r="D27" s="98">
        <v>38.056649999999998</v>
      </c>
      <c r="E27" s="98">
        <v>-122.08449</v>
      </c>
      <c r="F27" s="97" t="s">
        <v>870</v>
      </c>
      <c r="G27" s="97" t="s">
        <v>80</v>
      </c>
      <c r="H27" s="97" t="s">
        <v>81</v>
      </c>
      <c r="I27" s="621">
        <v>0.33680555555555558</v>
      </c>
      <c r="J27" s="100">
        <v>14290</v>
      </c>
      <c r="K27" s="100">
        <v>21.075000000000003</v>
      </c>
      <c r="L27" s="100">
        <v>32.65</v>
      </c>
      <c r="M27" s="100">
        <v>0.46</v>
      </c>
      <c r="N27" s="101">
        <v>7.6999999999999993</v>
      </c>
      <c r="O27" s="34" t="s">
        <v>48</v>
      </c>
      <c r="P27" s="34">
        <v>4</v>
      </c>
      <c r="Q27" s="34">
        <v>10</v>
      </c>
      <c r="R27" s="97" t="s">
        <v>64</v>
      </c>
      <c r="S27" s="49" t="s">
        <v>50</v>
      </c>
      <c r="T27" s="49" t="s">
        <v>50</v>
      </c>
      <c r="U27" s="34" t="s">
        <v>50</v>
      </c>
      <c r="V27" s="49" t="s">
        <v>50</v>
      </c>
      <c r="W27" s="49" t="s">
        <v>50</v>
      </c>
      <c r="X27" s="34" t="s">
        <v>50</v>
      </c>
      <c r="Y27" s="102"/>
    </row>
    <row r="28" spans="1:25" s="97" customFormat="1" x14ac:dyDescent="0.25">
      <c r="A28" s="194">
        <v>44013</v>
      </c>
      <c r="B28" s="97" t="s">
        <v>87</v>
      </c>
      <c r="C28" s="71" t="s">
        <v>106</v>
      </c>
      <c r="D28" s="98">
        <v>38.209409999999998</v>
      </c>
      <c r="E28" s="98">
        <v>-121.66186999999999</v>
      </c>
      <c r="F28" s="97" t="s">
        <v>871</v>
      </c>
      <c r="G28" s="97" t="s">
        <v>90</v>
      </c>
      <c r="H28" s="97" t="s">
        <v>108</v>
      </c>
      <c r="I28" s="621">
        <v>0.33263888888888887</v>
      </c>
      <c r="J28" s="100">
        <v>143.69999999999999</v>
      </c>
      <c r="K28" s="100">
        <v>22.875</v>
      </c>
      <c r="L28" s="100">
        <v>7.97</v>
      </c>
      <c r="M28" s="100">
        <v>1.4675000000000002</v>
      </c>
      <c r="N28" s="101">
        <v>12.625</v>
      </c>
      <c r="O28" s="34" t="s">
        <v>48</v>
      </c>
      <c r="P28" s="34">
        <v>4</v>
      </c>
      <c r="Q28" s="34">
        <v>10</v>
      </c>
      <c r="R28" s="97" t="s">
        <v>49</v>
      </c>
      <c r="S28" s="49" t="s">
        <v>50</v>
      </c>
      <c r="T28" s="49" t="s">
        <v>50</v>
      </c>
      <c r="U28" s="34" t="s">
        <v>50</v>
      </c>
      <c r="V28" s="49" t="s">
        <v>50</v>
      </c>
      <c r="W28" s="49" t="s">
        <v>50</v>
      </c>
      <c r="X28" s="34" t="s">
        <v>50</v>
      </c>
      <c r="Y28" s="102"/>
    </row>
    <row r="29" spans="1:25" s="97" customFormat="1" x14ac:dyDescent="0.25">
      <c r="A29" s="194">
        <v>44013</v>
      </c>
      <c r="B29" s="97" t="s">
        <v>87</v>
      </c>
      <c r="C29" s="97" t="s">
        <v>106</v>
      </c>
      <c r="D29" s="98">
        <v>38.356929999999998</v>
      </c>
      <c r="E29" s="98">
        <v>-121.63733000000001</v>
      </c>
      <c r="F29" s="97" t="s">
        <v>872</v>
      </c>
      <c r="G29" s="97" t="s">
        <v>90</v>
      </c>
      <c r="H29" s="97" t="s">
        <v>108</v>
      </c>
      <c r="I29" s="621">
        <v>0.40138888888888885</v>
      </c>
      <c r="J29" s="100">
        <v>493.5</v>
      </c>
      <c r="K29" s="100">
        <v>22.675000000000001</v>
      </c>
      <c r="L29" s="100">
        <v>37.625</v>
      </c>
      <c r="M29" s="100">
        <v>0.29749999999999999</v>
      </c>
      <c r="N29" s="101">
        <v>9.9749999999999996</v>
      </c>
      <c r="O29" s="34" t="s">
        <v>48</v>
      </c>
      <c r="P29" s="34">
        <v>4</v>
      </c>
      <c r="Q29" s="34">
        <v>10</v>
      </c>
      <c r="R29" s="97" t="s">
        <v>64</v>
      </c>
      <c r="S29" s="49" t="s">
        <v>50</v>
      </c>
      <c r="T29" s="49" t="s">
        <v>50</v>
      </c>
      <c r="U29" s="34" t="s">
        <v>50</v>
      </c>
      <c r="V29" s="49" t="s">
        <v>50</v>
      </c>
      <c r="W29" s="49" t="s">
        <v>50</v>
      </c>
      <c r="X29" s="34" t="s">
        <v>50</v>
      </c>
      <c r="Y29" s="102" t="s">
        <v>873</v>
      </c>
    </row>
    <row r="30" spans="1:25" s="97" customFormat="1" x14ac:dyDescent="0.25">
      <c r="A30" s="194">
        <v>44013</v>
      </c>
      <c r="B30" s="97" t="s">
        <v>87</v>
      </c>
      <c r="C30" s="97" t="s">
        <v>106</v>
      </c>
      <c r="D30" s="98">
        <v>38.48283</v>
      </c>
      <c r="E30" s="98">
        <v>-121.58463999999999</v>
      </c>
      <c r="F30" s="97" t="s">
        <v>874</v>
      </c>
      <c r="G30" s="97" t="s">
        <v>90</v>
      </c>
      <c r="H30" s="97" t="s">
        <v>158</v>
      </c>
      <c r="I30" s="621">
        <v>0.47222222222222227</v>
      </c>
      <c r="J30" s="100">
        <v>910.75</v>
      </c>
      <c r="K30" s="100">
        <v>24</v>
      </c>
      <c r="L30" s="100">
        <v>16.45</v>
      </c>
      <c r="M30" s="100">
        <v>0.5675</v>
      </c>
      <c r="N30" s="101">
        <v>9.375</v>
      </c>
      <c r="O30" s="34" t="s">
        <v>48</v>
      </c>
      <c r="P30" s="34">
        <v>4</v>
      </c>
      <c r="Q30" s="34">
        <v>10</v>
      </c>
      <c r="R30" s="97" t="s">
        <v>64</v>
      </c>
      <c r="S30" s="49" t="s">
        <v>50</v>
      </c>
      <c r="T30" s="49" t="s">
        <v>50</v>
      </c>
      <c r="U30" s="34" t="s">
        <v>50</v>
      </c>
      <c r="V30" s="49" t="s">
        <v>50</v>
      </c>
      <c r="W30" s="49" t="s">
        <v>50</v>
      </c>
      <c r="X30" s="34" t="s">
        <v>50</v>
      </c>
      <c r="Y30" s="102"/>
    </row>
    <row r="31" spans="1:25" s="97" customFormat="1" x14ac:dyDescent="0.25">
      <c r="A31" s="194">
        <v>44013</v>
      </c>
      <c r="B31" s="97" t="s">
        <v>87</v>
      </c>
      <c r="C31" s="97" t="s">
        <v>106</v>
      </c>
      <c r="D31" s="98">
        <v>38.519970000000001</v>
      </c>
      <c r="E31" s="98">
        <v>-121.58454</v>
      </c>
      <c r="F31" s="97" t="s">
        <v>875</v>
      </c>
      <c r="G31" s="97" t="s">
        <v>90</v>
      </c>
      <c r="H31" s="97" t="s">
        <v>158</v>
      </c>
      <c r="I31" s="621">
        <v>0.52569444444444446</v>
      </c>
      <c r="J31" s="100">
        <v>986.5</v>
      </c>
      <c r="K31" s="100">
        <v>24.824999999999999</v>
      </c>
      <c r="L31" s="100">
        <v>11.05</v>
      </c>
      <c r="M31" s="100">
        <v>0.7975000000000001</v>
      </c>
      <c r="N31" s="101">
        <v>10.325000000000001</v>
      </c>
      <c r="O31" s="34" t="s">
        <v>48</v>
      </c>
      <c r="P31" s="34">
        <v>4</v>
      </c>
      <c r="Q31" s="34">
        <v>10</v>
      </c>
      <c r="R31" s="97" t="s">
        <v>64</v>
      </c>
      <c r="S31" s="49" t="s">
        <v>50</v>
      </c>
      <c r="T31" s="49" t="s">
        <v>50</v>
      </c>
      <c r="U31" s="34" t="s">
        <v>50</v>
      </c>
      <c r="V31" s="49" t="s">
        <v>50</v>
      </c>
      <c r="W31" s="49" t="s">
        <v>50</v>
      </c>
      <c r="X31" s="34" t="s">
        <v>50</v>
      </c>
      <c r="Y31" s="102"/>
    </row>
    <row r="32" spans="1:25" s="97" customFormat="1" x14ac:dyDescent="0.25">
      <c r="A32" s="194">
        <v>44014</v>
      </c>
      <c r="B32" s="97" t="s">
        <v>876</v>
      </c>
      <c r="C32" s="97" t="s">
        <v>78</v>
      </c>
      <c r="D32" s="98">
        <v>38.055340000000001</v>
      </c>
      <c r="E32" s="98">
        <v>-121.99663</v>
      </c>
      <c r="F32" s="97" t="s">
        <v>877</v>
      </c>
      <c r="G32" s="97" t="s">
        <v>27</v>
      </c>
      <c r="H32" s="97" t="s">
        <v>86</v>
      </c>
      <c r="I32" s="621">
        <v>0.33749999999999997</v>
      </c>
      <c r="J32" s="100">
        <v>10337</v>
      </c>
      <c r="K32" s="100">
        <v>21.25</v>
      </c>
      <c r="L32" s="100">
        <v>44.225000000000001</v>
      </c>
      <c r="M32" s="100">
        <v>0.40500000000000003</v>
      </c>
      <c r="N32" s="101">
        <v>3.95</v>
      </c>
      <c r="O32" s="34" t="s">
        <v>48</v>
      </c>
      <c r="P32" s="34">
        <v>4</v>
      </c>
      <c r="Q32" s="34">
        <v>10</v>
      </c>
      <c r="R32" s="34" t="s">
        <v>49</v>
      </c>
      <c r="S32" s="49" t="s">
        <v>50</v>
      </c>
      <c r="T32" s="49" t="s">
        <v>50</v>
      </c>
      <c r="U32" s="34" t="s">
        <v>50</v>
      </c>
      <c r="V32" s="49" t="s">
        <v>50</v>
      </c>
      <c r="W32" s="49" t="s">
        <v>50</v>
      </c>
      <c r="X32" s="34" t="s">
        <v>50</v>
      </c>
      <c r="Y32" s="102"/>
    </row>
    <row r="33" spans="1:25" s="97" customFormat="1" x14ac:dyDescent="0.25">
      <c r="A33" s="194">
        <v>44014</v>
      </c>
      <c r="B33" s="97" t="s">
        <v>876</v>
      </c>
      <c r="C33" s="97" t="s">
        <v>78</v>
      </c>
      <c r="D33" s="98">
        <v>38.063859999999998</v>
      </c>
      <c r="E33" s="98">
        <v>-121.96077</v>
      </c>
      <c r="F33" s="97" t="s">
        <v>878</v>
      </c>
      <c r="G33" s="97" t="s">
        <v>27</v>
      </c>
      <c r="H33" s="97" t="s">
        <v>170</v>
      </c>
      <c r="I33" s="621">
        <v>0.38958333333333334</v>
      </c>
      <c r="J33" s="100">
        <v>7278.75</v>
      </c>
      <c r="K33" s="100">
        <v>21.35</v>
      </c>
      <c r="L33" s="100">
        <v>51.2</v>
      </c>
      <c r="M33" s="100">
        <v>0.32500000000000001</v>
      </c>
      <c r="N33" s="101">
        <v>3.2</v>
      </c>
      <c r="O33" s="34" t="s">
        <v>48</v>
      </c>
      <c r="P33" s="34">
        <v>4</v>
      </c>
      <c r="Q33" s="34">
        <v>10</v>
      </c>
      <c r="R33" s="34" t="s">
        <v>49</v>
      </c>
      <c r="S33" s="49" t="s">
        <v>50</v>
      </c>
      <c r="T33" s="49" t="s">
        <v>50</v>
      </c>
      <c r="U33" s="34" t="s">
        <v>50</v>
      </c>
      <c r="V33" s="49" t="s">
        <v>50</v>
      </c>
      <c r="W33" s="49" t="s">
        <v>50</v>
      </c>
      <c r="X33" s="34" t="s">
        <v>50</v>
      </c>
      <c r="Y33" s="102" t="s">
        <v>139</v>
      </c>
    </row>
    <row r="34" spans="1:25" s="97" customFormat="1" x14ac:dyDescent="0.25">
      <c r="A34" s="194">
        <v>44014</v>
      </c>
      <c r="B34" s="97" t="s">
        <v>876</v>
      </c>
      <c r="C34" s="97" t="s">
        <v>78</v>
      </c>
      <c r="D34" s="98">
        <v>38.045560000000002</v>
      </c>
      <c r="E34" s="98">
        <v>-121.87820000000001</v>
      </c>
      <c r="F34" s="97" t="s">
        <v>879</v>
      </c>
      <c r="G34" s="97" t="s">
        <v>27</v>
      </c>
      <c r="H34" s="97" t="s">
        <v>101</v>
      </c>
      <c r="I34" s="621">
        <v>0.4458333333333333</v>
      </c>
      <c r="J34" s="100">
        <v>3110</v>
      </c>
      <c r="K34" s="100">
        <v>22.1</v>
      </c>
      <c r="L34" s="100">
        <v>21.35</v>
      </c>
      <c r="M34" s="100">
        <v>0.60250000000000004</v>
      </c>
      <c r="N34" s="101">
        <v>6.375</v>
      </c>
      <c r="O34" s="34" t="s">
        <v>48</v>
      </c>
      <c r="P34" s="34">
        <v>4</v>
      </c>
      <c r="Q34" s="34">
        <v>10</v>
      </c>
      <c r="R34" s="97" t="s">
        <v>64</v>
      </c>
      <c r="S34" s="49" t="s">
        <v>50</v>
      </c>
      <c r="T34" s="49" t="s">
        <v>50</v>
      </c>
      <c r="U34" s="34" t="s">
        <v>50</v>
      </c>
      <c r="V34" s="49" t="s">
        <v>50</v>
      </c>
      <c r="W34" s="49" t="s">
        <v>50</v>
      </c>
      <c r="X34" s="34" t="s">
        <v>50</v>
      </c>
      <c r="Y34" s="102" t="s">
        <v>880</v>
      </c>
    </row>
    <row r="35" spans="1:25" s="591" customFormat="1" x14ac:dyDescent="0.25">
      <c r="A35" s="590">
        <v>44014</v>
      </c>
      <c r="B35" s="591" t="s">
        <v>876</v>
      </c>
      <c r="C35" s="810" t="s">
        <v>106</v>
      </c>
      <c r="D35" s="592">
        <v>38.33466</v>
      </c>
      <c r="E35" s="592">
        <v>-121.64664</v>
      </c>
      <c r="F35" s="591" t="s">
        <v>881</v>
      </c>
      <c r="G35" s="591" t="s">
        <v>90</v>
      </c>
      <c r="H35" s="591" t="s">
        <v>108</v>
      </c>
      <c r="I35" s="619">
        <v>0.34652777777777777</v>
      </c>
      <c r="J35" s="593">
        <v>335.1</v>
      </c>
      <c r="K35" s="593">
        <v>22.5</v>
      </c>
      <c r="L35" s="593">
        <v>24.5</v>
      </c>
      <c r="M35" s="593">
        <v>0.41499999999999998</v>
      </c>
      <c r="N35" s="594">
        <v>4.8499999999999996</v>
      </c>
      <c r="O35" s="568" t="s">
        <v>48</v>
      </c>
      <c r="P35" s="568">
        <v>4</v>
      </c>
      <c r="Q35" s="568">
        <v>10</v>
      </c>
      <c r="R35" s="568" t="s">
        <v>49</v>
      </c>
      <c r="S35" s="559" t="s">
        <v>323</v>
      </c>
      <c r="T35" s="569">
        <v>1</v>
      </c>
      <c r="U35" s="568">
        <v>45</v>
      </c>
      <c r="V35" s="569" t="s">
        <v>50</v>
      </c>
      <c r="W35" s="569" t="s">
        <v>50</v>
      </c>
      <c r="X35" s="568" t="s">
        <v>50</v>
      </c>
      <c r="Y35" s="455" t="s">
        <v>882</v>
      </c>
    </row>
    <row r="36" spans="1:25" s="97" customFormat="1" x14ac:dyDescent="0.25">
      <c r="A36" s="194">
        <v>44014</v>
      </c>
      <c r="B36" s="97" t="s">
        <v>876</v>
      </c>
      <c r="C36" s="71" t="s">
        <v>106</v>
      </c>
      <c r="D36" s="98">
        <v>38.275350000000003</v>
      </c>
      <c r="E36" s="98">
        <v>-121.66117</v>
      </c>
      <c r="F36" s="97" t="s">
        <v>883</v>
      </c>
      <c r="G36" s="97" t="s">
        <v>90</v>
      </c>
      <c r="H36" s="97" t="s">
        <v>108</v>
      </c>
      <c r="I36" s="621">
        <v>0.3979166666666667</v>
      </c>
      <c r="J36" s="100">
        <v>221.32499999999999</v>
      </c>
      <c r="K36" s="100">
        <v>22.8</v>
      </c>
      <c r="L36" s="100">
        <v>13.65</v>
      </c>
      <c r="M36" s="100">
        <v>0.81</v>
      </c>
      <c r="N36" s="101">
        <v>10.65</v>
      </c>
      <c r="O36" s="34" t="s">
        <v>48</v>
      </c>
      <c r="P36" s="34">
        <v>4</v>
      </c>
      <c r="Q36" s="34">
        <v>10</v>
      </c>
      <c r="R36" s="34" t="s">
        <v>49</v>
      </c>
      <c r="S36" s="49" t="s">
        <v>50</v>
      </c>
      <c r="T36" s="49" t="s">
        <v>50</v>
      </c>
      <c r="U36" s="34" t="s">
        <v>50</v>
      </c>
      <c r="V36" s="49" t="s">
        <v>50</v>
      </c>
      <c r="W36" s="49" t="s">
        <v>50</v>
      </c>
      <c r="X36" s="34" t="s">
        <v>50</v>
      </c>
      <c r="Y36" s="102"/>
    </row>
    <row r="37" spans="1:25" s="97" customFormat="1" x14ac:dyDescent="0.25">
      <c r="A37" s="194">
        <v>44014</v>
      </c>
      <c r="B37" s="97" t="s">
        <v>876</v>
      </c>
      <c r="C37" s="71" t="s">
        <v>106</v>
      </c>
      <c r="D37" s="98">
        <v>38.186779999999999</v>
      </c>
      <c r="E37" s="98">
        <v>-121.66030000000001</v>
      </c>
      <c r="F37" s="97" t="s">
        <v>884</v>
      </c>
      <c r="G37" s="97" t="s">
        <v>90</v>
      </c>
      <c r="H37" s="97" t="s">
        <v>108</v>
      </c>
      <c r="I37" s="621">
        <v>0.46736111111111112</v>
      </c>
      <c r="J37" s="103">
        <v>139</v>
      </c>
      <c r="K37" s="103">
        <v>22.9</v>
      </c>
      <c r="L37" s="103">
        <v>7.2175000000000002</v>
      </c>
      <c r="M37" s="103">
        <v>1.5725</v>
      </c>
      <c r="N37" s="103">
        <v>16.649999999999999</v>
      </c>
      <c r="O37" s="34" t="s">
        <v>48</v>
      </c>
      <c r="P37" s="34">
        <v>4</v>
      </c>
      <c r="Q37" s="34">
        <v>10</v>
      </c>
      <c r="R37" s="97" t="s">
        <v>64</v>
      </c>
      <c r="S37" s="49" t="s">
        <v>50</v>
      </c>
      <c r="T37" s="49" t="s">
        <v>50</v>
      </c>
      <c r="U37" s="34" t="s">
        <v>50</v>
      </c>
      <c r="V37" s="49" t="s">
        <v>50</v>
      </c>
      <c r="W37" s="49" t="s">
        <v>50</v>
      </c>
      <c r="X37" s="34" t="s">
        <v>50</v>
      </c>
      <c r="Y37" s="102"/>
    </row>
    <row r="38" spans="1:25" s="97" customFormat="1" x14ac:dyDescent="0.25">
      <c r="A38" s="194">
        <v>44014</v>
      </c>
      <c r="B38" s="97" t="s">
        <v>876</v>
      </c>
      <c r="C38" s="97" t="s">
        <v>95</v>
      </c>
      <c r="D38" s="98">
        <v>38.065219999999997</v>
      </c>
      <c r="E38" s="98">
        <v>-121.55267000000001</v>
      </c>
      <c r="F38" s="97" t="s">
        <v>885</v>
      </c>
      <c r="G38" s="97" t="s">
        <v>886</v>
      </c>
      <c r="H38" s="97" t="s">
        <v>115</v>
      </c>
      <c r="I38" s="621">
        <v>0.39861111111111108</v>
      </c>
      <c r="J38" s="103">
        <v>183.57499999999999</v>
      </c>
      <c r="K38" s="103">
        <v>24.074999999999999</v>
      </c>
      <c r="L38" s="103">
        <v>4.18</v>
      </c>
      <c r="M38" s="103">
        <v>1.8</v>
      </c>
      <c r="N38" s="103">
        <v>8.7750000000000004</v>
      </c>
      <c r="O38" s="34" t="s">
        <v>48</v>
      </c>
      <c r="P38" s="34">
        <v>4</v>
      </c>
      <c r="Q38" s="34">
        <v>10</v>
      </c>
      <c r="R38" s="34" t="s">
        <v>49</v>
      </c>
      <c r="S38" s="49" t="s">
        <v>50</v>
      </c>
      <c r="T38" s="49" t="s">
        <v>50</v>
      </c>
      <c r="U38" s="34" t="s">
        <v>50</v>
      </c>
      <c r="V38" s="49" t="s">
        <v>50</v>
      </c>
      <c r="W38" s="49" t="s">
        <v>50</v>
      </c>
      <c r="X38" s="34" t="s">
        <v>50</v>
      </c>
      <c r="Y38" s="102"/>
    </row>
    <row r="39" spans="1:25" s="97" customFormat="1" x14ac:dyDescent="0.25">
      <c r="A39" s="194">
        <v>44014</v>
      </c>
      <c r="B39" s="97" t="s">
        <v>876</v>
      </c>
      <c r="C39" s="97" t="s">
        <v>95</v>
      </c>
      <c r="D39" s="98">
        <v>38.101959999999998</v>
      </c>
      <c r="E39" s="98">
        <v>-121.60352</v>
      </c>
      <c r="F39" s="97" t="s">
        <v>887</v>
      </c>
      <c r="G39" s="97" t="s">
        <v>886</v>
      </c>
      <c r="H39" s="97" t="s">
        <v>115</v>
      </c>
      <c r="I39" s="621">
        <v>0.45763888888888887</v>
      </c>
      <c r="J39" s="100">
        <v>175.67500000000001</v>
      </c>
      <c r="K39" s="100">
        <v>24.05</v>
      </c>
      <c r="L39" s="100">
        <v>6.2350000000000003</v>
      </c>
      <c r="M39" s="100">
        <v>1.8</v>
      </c>
      <c r="N39" s="101">
        <v>11.824999999999999</v>
      </c>
      <c r="O39" s="34" t="s">
        <v>48</v>
      </c>
      <c r="P39" s="34">
        <v>4</v>
      </c>
      <c r="Q39" s="34">
        <v>10</v>
      </c>
      <c r="R39" s="34" t="s">
        <v>49</v>
      </c>
      <c r="S39" s="49" t="s">
        <v>50</v>
      </c>
      <c r="T39" s="49" t="s">
        <v>50</v>
      </c>
      <c r="U39" s="34" t="s">
        <v>50</v>
      </c>
      <c r="V39" s="49" t="s">
        <v>50</v>
      </c>
      <c r="W39" s="49" t="s">
        <v>50</v>
      </c>
      <c r="X39" s="34" t="s">
        <v>50</v>
      </c>
      <c r="Y39" s="102" t="s">
        <v>313</v>
      </c>
    </row>
    <row r="40" spans="1:25" s="361" customFormat="1" x14ac:dyDescent="0.25">
      <c r="A40" s="360">
        <v>44014</v>
      </c>
      <c r="B40" s="361" t="s">
        <v>876</v>
      </c>
      <c r="C40" s="361" t="s">
        <v>95</v>
      </c>
      <c r="D40" s="362">
        <v>38.094110000000001</v>
      </c>
      <c r="E40" s="362">
        <v>-121.57541999999999</v>
      </c>
      <c r="F40" s="361" t="s">
        <v>888</v>
      </c>
      <c r="G40" s="361" t="s">
        <v>886</v>
      </c>
      <c r="H40" s="361" t="s">
        <v>115</v>
      </c>
      <c r="I40" s="618">
        <v>0.50902777777777775</v>
      </c>
      <c r="J40" s="364">
        <v>178.5</v>
      </c>
      <c r="K40" s="364">
        <v>24.3</v>
      </c>
      <c r="L40" s="364">
        <v>18.149999999999999</v>
      </c>
      <c r="M40" s="364">
        <v>1.8</v>
      </c>
      <c r="N40" s="365">
        <v>9.0749999999999993</v>
      </c>
      <c r="O40" s="361" t="s">
        <v>48</v>
      </c>
      <c r="P40" s="361">
        <v>4</v>
      </c>
      <c r="Q40" s="361">
        <v>10</v>
      </c>
      <c r="R40" s="361" t="s">
        <v>49</v>
      </c>
      <c r="S40" s="640" t="s">
        <v>50</v>
      </c>
      <c r="T40" s="640" t="s">
        <v>50</v>
      </c>
      <c r="U40" s="641" t="s">
        <v>50</v>
      </c>
      <c r="V40" s="640" t="s">
        <v>50</v>
      </c>
      <c r="W40" s="640" t="s">
        <v>50</v>
      </c>
      <c r="X40" s="641" t="s">
        <v>50</v>
      </c>
      <c r="Y40" s="366"/>
    </row>
    <row r="41" spans="1:25" s="97" customFormat="1" x14ac:dyDescent="0.25">
      <c r="A41" s="194">
        <v>44018</v>
      </c>
      <c r="B41" s="97" t="s">
        <v>43</v>
      </c>
      <c r="C41" s="97" t="s">
        <v>95</v>
      </c>
      <c r="D41" s="98">
        <v>38.053240000000002</v>
      </c>
      <c r="E41" s="98">
        <v>-121.50971</v>
      </c>
      <c r="F41" s="97" t="s">
        <v>889</v>
      </c>
      <c r="G41" s="97" t="s">
        <v>886</v>
      </c>
      <c r="H41" s="97" t="s">
        <v>115</v>
      </c>
      <c r="I41" s="621">
        <v>0.34722222222222227</v>
      </c>
      <c r="J41" s="100">
        <v>181.625</v>
      </c>
      <c r="K41" s="100">
        <v>24.049999999999997</v>
      </c>
      <c r="L41" s="100">
        <v>3.9950000000000001</v>
      </c>
      <c r="M41" s="100">
        <v>1.8</v>
      </c>
      <c r="N41" s="101">
        <v>13.324999999999999</v>
      </c>
      <c r="O41" s="34" t="s">
        <v>48</v>
      </c>
      <c r="P41" s="34">
        <v>4</v>
      </c>
      <c r="Q41" s="34">
        <v>10</v>
      </c>
      <c r="R41" s="34" t="s">
        <v>49</v>
      </c>
      <c r="S41" s="49" t="s">
        <v>50</v>
      </c>
      <c r="T41" s="49" t="s">
        <v>50</v>
      </c>
      <c r="U41" s="34" t="s">
        <v>50</v>
      </c>
      <c r="V41" s="49" t="s">
        <v>50</v>
      </c>
      <c r="W41" s="49" t="s">
        <v>50</v>
      </c>
      <c r="X41" s="34" t="s">
        <v>50</v>
      </c>
      <c r="Y41" s="102"/>
    </row>
    <row r="42" spans="1:25" s="97" customFormat="1" x14ac:dyDescent="0.25">
      <c r="A42" s="194">
        <v>44018</v>
      </c>
      <c r="B42" s="97" t="s">
        <v>43</v>
      </c>
      <c r="C42" s="97" t="s">
        <v>95</v>
      </c>
      <c r="D42" s="98">
        <v>38.046979999999998</v>
      </c>
      <c r="E42" s="98">
        <v>-121.52289</v>
      </c>
      <c r="F42" s="97" t="s">
        <v>890</v>
      </c>
      <c r="G42" s="97" t="s">
        <v>886</v>
      </c>
      <c r="H42" s="97" t="s">
        <v>115</v>
      </c>
      <c r="I42" s="621">
        <v>0.4069444444444445</v>
      </c>
      <c r="J42" s="100">
        <v>183.25</v>
      </c>
      <c r="K42" s="100">
        <v>23.175000000000001</v>
      </c>
      <c r="L42" s="100" t="s">
        <v>50</v>
      </c>
      <c r="M42" s="100">
        <v>1.8</v>
      </c>
      <c r="N42" s="101">
        <v>5.2249999999999996</v>
      </c>
      <c r="O42" s="34" t="s">
        <v>48</v>
      </c>
      <c r="P42" s="34">
        <v>4</v>
      </c>
      <c r="Q42" s="34">
        <v>10</v>
      </c>
      <c r="R42" s="34" t="s">
        <v>49</v>
      </c>
      <c r="S42" s="49" t="s">
        <v>50</v>
      </c>
      <c r="T42" s="49" t="s">
        <v>50</v>
      </c>
      <c r="U42" s="34" t="s">
        <v>50</v>
      </c>
      <c r="V42" s="49" t="s">
        <v>50</v>
      </c>
      <c r="W42" s="49" t="s">
        <v>50</v>
      </c>
      <c r="X42" s="34" t="s">
        <v>50</v>
      </c>
      <c r="Y42" s="102" t="s">
        <v>891</v>
      </c>
    </row>
    <row r="43" spans="1:25" s="97" customFormat="1" x14ac:dyDescent="0.25">
      <c r="A43" s="194">
        <v>44018</v>
      </c>
      <c r="B43" s="97" t="s">
        <v>43</v>
      </c>
      <c r="C43" s="97" t="s">
        <v>95</v>
      </c>
      <c r="D43" s="98">
        <v>38.10275</v>
      </c>
      <c r="E43" s="98">
        <v>-121.59611</v>
      </c>
      <c r="F43" s="97" t="s">
        <v>892</v>
      </c>
      <c r="G43" s="97" t="s">
        <v>886</v>
      </c>
      <c r="H43" s="97" t="s">
        <v>115</v>
      </c>
      <c r="I43" s="621">
        <v>0.48472222222222222</v>
      </c>
      <c r="J43" s="103">
        <v>165.02499999999998</v>
      </c>
      <c r="K43" s="103">
        <v>23.475000000000001</v>
      </c>
      <c r="L43" s="103" t="s">
        <v>50</v>
      </c>
      <c r="M43" s="103">
        <v>1.6875</v>
      </c>
      <c r="N43" s="103">
        <v>7.0749999999999993</v>
      </c>
      <c r="O43" s="34" t="s">
        <v>48</v>
      </c>
      <c r="P43" s="34">
        <v>4</v>
      </c>
      <c r="Q43" s="34">
        <v>10</v>
      </c>
      <c r="R43" s="34" t="s">
        <v>49</v>
      </c>
      <c r="S43" s="49" t="s">
        <v>50</v>
      </c>
      <c r="T43" s="49" t="s">
        <v>50</v>
      </c>
      <c r="U43" s="34" t="s">
        <v>50</v>
      </c>
      <c r="V43" s="49" t="s">
        <v>50</v>
      </c>
      <c r="W43" s="49" t="s">
        <v>50</v>
      </c>
      <c r="X43" s="34" t="s">
        <v>50</v>
      </c>
      <c r="Y43" s="102"/>
    </row>
    <row r="44" spans="1:25" s="591" customFormat="1" x14ac:dyDescent="0.25">
      <c r="A44" s="590">
        <v>44018</v>
      </c>
      <c r="B44" s="591" t="s">
        <v>43</v>
      </c>
      <c r="C44" s="591" t="s">
        <v>106</v>
      </c>
      <c r="D44" s="592">
        <v>38.286940000000001</v>
      </c>
      <c r="E44" s="592">
        <v>-121.65822</v>
      </c>
      <c r="F44" s="591" t="s">
        <v>893</v>
      </c>
      <c r="G44" s="591" t="s">
        <v>90</v>
      </c>
      <c r="H44" s="591" t="s">
        <v>108</v>
      </c>
      <c r="I44" s="619">
        <v>0.38125000000000003</v>
      </c>
      <c r="J44" s="593">
        <v>189.20000000000002</v>
      </c>
      <c r="K44" s="593">
        <v>22.824999999999999</v>
      </c>
      <c r="L44" s="593">
        <v>18.524999999999999</v>
      </c>
      <c r="M44" s="593">
        <v>0.65</v>
      </c>
      <c r="N44" s="594">
        <v>10.625</v>
      </c>
      <c r="O44" s="591" t="s">
        <v>48</v>
      </c>
      <c r="P44" s="591">
        <v>4</v>
      </c>
      <c r="Q44" s="591">
        <v>10</v>
      </c>
      <c r="R44" s="591" t="s">
        <v>49</v>
      </c>
      <c r="S44" s="559" t="s">
        <v>323</v>
      </c>
      <c r="T44" s="560">
        <v>1</v>
      </c>
      <c r="U44" s="561">
        <v>46</v>
      </c>
      <c r="V44" s="560" t="s">
        <v>50</v>
      </c>
      <c r="W44" s="560" t="s">
        <v>50</v>
      </c>
      <c r="X44" s="561" t="s">
        <v>50</v>
      </c>
      <c r="Y44" s="455" t="s">
        <v>894</v>
      </c>
    </row>
    <row r="45" spans="1:25" s="591" customFormat="1" x14ac:dyDescent="0.25">
      <c r="A45" s="590">
        <v>44018</v>
      </c>
      <c r="B45" s="591" t="s">
        <v>43</v>
      </c>
      <c r="C45" s="591" t="s">
        <v>106</v>
      </c>
      <c r="D45" s="592">
        <v>38.360790000000001</v>
      </c>
      <c r="E45" s="592">
        <v>-121.63551</v>
      </c>
      <c r="F45" s="591" t="s">
        <v>895</v>
      </c>
      <c r="G45" s="591" t="s">
        <v>90</v>
      </c>
      <c r="H45" s="591" t="s">
        <v>108</v>
      </c>
      <c r="I45" s="619">
        <v>0.46458333333333335</v>
      </c>
      <c r="J45" s="593">
        <v>451.16666666666669</v>
      </c>
      <c r="K45" s="593">
        <v>22.866666666666664</v>
      </c>
      <c r="L45" s="593">
        <v>71.533333333333331</v>
      </c>
      <c r="M45" s="593">
        <v>0.28333333333333338</v>
      </c>
      <c r="N45" s="594">
        <v>9.5333333333333332</v>
      </c>
      <c r="O45" s="591" t="s">
        <v>48</v>
      </c>
      <c r="P45" s="591">
        <v>3</v>
      </c>
      <c r="Q45" s="591">
        <v>10</v>
      </c>
      <c r="R45" s="591" t="s">
        <v>49</v>
      </c>
      <c r="S45" s="559" t="s">
        <v>323</v>
      </c>
      <c r="T45" s="642">
        <v>4</v>
      </c>
      <c r="U45" s="644" t="s">
        <v>896</v>
      </c>
      <c r="V45" s="560" t="s">
        <v>50</v>
      </c>
      <c r="W45" s="560" t="s">
        <v>50</v>
      </c>
      <c r="X45" s="561" t="s">
        <v>50</v>
      </c>
      <c r="Y45" s="455" t="s">
        <v>897</v>
      </c>
    </row>
    <row r="46" spans="1:25" s="97" customFormat="1" x14ac:dyDescent="0.25">
      <c r="A46" s="194">
        <v>44018</v>
      </c>
      <c r="B46" s="97" t="s">
        <v>43</v>
      </c>
      <c r="C46" s="97" t="s">
        <v>106</v>
      </c>
      <c r="D46" s="98">
        <v>38.51341</v>
      </c>
      <c r="E46" s="98">
        <v>-121.58434</v>
      </c>
      <c r="F46" s="97" t="s">
        <v>898</v>
      </c>
      <c r="G46" s="97" t="s">
        <v>90</v>
      </c>
      <c r="H46" s="97" t="s">
        <v>158</v>
      </c>
      <c r="I46" s="621">
        <v>0.55833333333333335</v>
      </c>
      <c r="J46" s="100">
        <v>971.25</v>
      </c>
      <c r="K46" s="100">
        <v>24.650000000000002</v>
      </c>
      <c r="L46" s="100">
        <v>17.45</v>
      </c>
      <c r="M46" s="100">
        <v>0.70500000000000007</v>
      </c>
      <c r="N46" s="101">
        <v>10.1</v>
      </c>
      <c r="O46" s="34" t="s">
        <v>48</v>
      </c>
      <c r="P46" s="34">
        <v>4</v>
      </c>
      <c r="Q46" s="34">
        <v>10</v>
      </c>
      <c r="R46" s="34" t="s">
        <v>49</v>
      </c>
      <c r="S46" s="49" t="s">
        <v>50</v>
      </c>
      <c r="T46" s="49" t="s">
        <v>50</v>
      </c>
      <c r="U46" s="34" t="s">
        <v>50</v>
      </c>
      <c r="V46" s="49" t="s">
        <v>50</v>
      </c>
      <c r="W46" s="49" t="s">
        <v>50</v>
      </c>
      <c r="X46" s="34" t="s">
        <v>50</v>
      </c>
      <c r="Y46" s="102"/>
    </row>
    <row r="47" spans="1:25" s="153" customFormat="1" x14ac:dyDescent="0.25">
      <c r="A47" s="195">
        <v>44018</v>
      </c>
      <c r="B47" s="153" t="s">
        <v>43</v>
      </c>
      <c r="C47" s="153" t="s">
        <v>62</v>
      </c>
      <c r="D47" s="154">
        <v>38.156779999999998</v>
      </c>
      <c r="E47" s="154">
        <v>-122.06180000000001</v>
      </c>
      <c r="F47" s="153" t="s">
        <v>899</v>
      </c>
      <c r="G47" s="153" t="s">
        <v>27</v>
      </c>
      <c r="H47" s="153" t="s">
        <v>62</v>
      </c>
      <c r="I47" s="636">
        <v>0.40069444444444446</v>
      </c>
      <c r="J47" s="156" t="s">
        <v>50</v>
      </c>
      <c r="K47" s="156" t="s">
        <v>50</v>
      </c>
      <c r="L47" s="156" t="s">
        <v>50</v>
      </c>
      <c r="M47" s="156" t="s">
        <v>50</v>
      </c>
      <c r="N47" s="156" t="s">
        <v>50</v>
      </c>
      <c r="O47" s="153" t="s">
        <v>48</v>
      </c>
      <c r="P47" s="153">
        <v>0</v>
      </c>
      <c r="Q47" s="153" t="s">
        <v>50</v>
      </c>
      <c r="R47" s="153" t="s">
        <v>50</v>
      </c>
      <c r="S47" s="158" t="s">
        <v>50</v>
      </c>
      <c r="T47" s="158" t="s">
        <v>50</v>
      </c>
      <c r="U47" s="157" t="s">
        <v>50</v>
      </c>
      <c r="V47" s="158" t="s">
        <v>50</v>
      </c>
      <c r="W47" s="158" t="s">
        <v>50</v>
      </c>
      <c r="X47" s="157" t="s">
        <v>50</v>
      </c>
      <c r="Y47" s="159" t="s">
        <v>858</v>
      </c>
    </row>
    <row r="48" spans="1:25" s="153" customFormat="1" x14ac:dyDescent="0.25">
      <c r="A48" s="195">
        <v>44018</v>
      </c>
      <c r="B48" s="153" t="s">
        <v>43</v>
      </c>
      <c r="C48" s="153" t="s">
        <v>62</v>
      </c>
      <c r="D48" s="154">
        <v>38.129550000000002</v>
      </c>
      <c r="E48" s="154">
        <v>-122.08146000000001</v>
      </c>
      <c r="F48" s="153" t="s">
        <v>900</v>
      </c>
      <c r="G48" s="153" t="s">
        <v>27</v>
      </c>
      <c r="H48" s="153" t="s">
        <v>62</v>
      </c>
      <c r="I48" s="636">
        <v>0.40277777777777773</v>
      </c>
      <c r="J48" s="156" t="s">
        <v>50</v>
      </c>
      <c r="K48" s="156" t="s">
        <v>50</v>
      </c>
      <c r="L48" s="156" t="s">
        <v>50</v>
      </c>
      <c r="M48" s="156" t="s">
        <v>50</v>
      </c>
      <c r="N48" s="156" t="s">
        <v>50</v>
      </c>
      <c r="O48" s="153" t="s">
        <v>48</v>
      </c>
      <c r="P48" s="153">
        <v>0</v>
      </c>
      <c r="Q48" s="153" t="s">
        <v>50</v>
      </c>
      <c r="R48" s="153" t="s">
        <v>50</v>
      </c>
      <c r="S48" s="158" t="s">
        <v>50</v>
      </c>
      <c r="T48" s="158" t="s">
        <v>50</v>
      </c>
      <c r="U48" s="157" t="s">
        <v>50</v>
      </c>
      <c r="V48" s="158" t="s">
        <v>50</v>
      </c>
      <c r="W48" s="158" t="s">
        <v>50</v>
      </c>
      <c r="X48" s="157" t="s">
        <v>50</v>
      </c>
      <c r="Y48" s="159" t="s">
        <v>901</v>
      </c>
    </row>
    <row r="49" spans="1:25" s="97" customFormat="1" x14ac:dyDescent="0.25">
      <c r="A49" s="637">
        <v>44019</v>
      </c>
      <c r="B49" s="97" t="s">
        <v>849</v>
      </c>
      <c r="C49" s="97" t="s">
        <v>106</v>
      </c>
      <c r="D49" s="98">
        <v>38.24174</v>
      </c>
      <c r="E49" s="98">
        <v>-121.67092</v>
      </c>
      <c r="F49" s="97" t="s">
        <v>902</v>
      </c>
      <c r="G49" s="97" t="s">
        <v>90</v>
      </c>
      <c r="H49" s="97" t="s">
        <v>108</v>
      </c>
      <c r="I49" s="621">
        <v>0.34791666666666665</v>
      </c>
      <c r="J49" s="100">
        <v>135.42500000000001</v>
      </c>
      <c r="K49" s="100">
        <v>22.125</v>
      </c>
      <c r="L49" s="100">
        <v>6.1449999999999996</v>
      </c>
      <c r="M49" s="100">
        <v>1.56</v>
      </c>
      <c r="N49" s="101">
        <v>6.6400000000000006</v>
      </c>
      <c r="O49" s="34" t="s">
        <v>48</v>
      </c>
      <c r="P49" s="34">
        <v>4</v>
      </c>
      <c r="Q49" s="34">
        <v>10</v>
      </c>
      <c r="R49" s="34" t="s">
        <v>49</v>
      </c>
      <c r="S49" s="49" t="s">
        <v>50</v>
      </c>
      <c r="T49" s="49" t="s">
        <v>50</v>
      </c>
      <c r="U49" s="34" t="s">
        <v>50</v>
      </c>
      <c r="V49" s="49" t="s">
        <v>50</v>
      </c>
      <c r="W49" s="49" t="s">
        <v>50</v>
      </c>
      <c r="X49" s="34" t="s">
        <v>50</v>
      </c>
      <c r="Y49" s="102" t="s">
        <v>903</v>
      </c>
    </row>
    <row r="50" spans="1:25" s="591" customFormat="1" x14ac:dyDescent="0.25">
      <c r="A50" s="760">
        <v>44019</v>
      </c>
      <c r="B50" s="591" t="s">
        <v>849</v>
      </c>
      <c r="C50" s="591" t="s">
        <v>106</v>
      </c>
      <c r="D50" s="592">
        <v>38.35125</v>
      </c>
      <c r="E50" s="592">
        <v>-121.63983</v>
      </c>
      <c r="F50" s="591" t="s">
        <v>904</v>
      </c>
      <c r="G50" s="591" t="s">
        <v>90</v>
      </c>
      <c r="H50" s="591" t="s">
        <v>108</v>
      </c>
      <c r="I50" s="619">
        <v>0.41250000000000003</v>
      </c>
      <c r="J50" s="593">
        <v>371.5</v>
      </c>
      <c r="K50" s="593">
        <v>22.65</v>
      </c>
      <c r="L50" s="593">
        <v>47.45</v>
      </c>
      <c r="M50" s="593">
        <v>0.3</v>
      </c>
      <c r="N50" s="594">
        <v>10.4</v>
      </c>
      <c r="O50" s="591" t="s">
        <v>48</v>
      </c>
      <c r="P50" s="591">
        <v>2</v>
      </c>
      <c r="Q50" s="591">
        <v>10</v>
      </c>
      <c r="R50" s="591" t="s">
        <v>49</v>
      </c>
      <c r="S50" s="559" t="s">
        <v>323</v>
      </c>
      <c r="T50" s="560">
        <v>1</v>
      </c>
      <c r="U50" s="561">
        <v>43</v>
      </c>
      <c r="V50" s="560" t="s">
        <v>50</v>
      </c>
      <c r="W50" s="560" t="s">
        <v>50</v>
      </c>
      <c r="X50" s="561" t="s">
        <v>50</v>
      </c>
      <c r="Y50" s="455" t="s">
        <v>905</v>
      </c>
    </row>
    <row r="51" spans="1:25" s="97" customFormat="1" x14ac:dyDescent="0.25">
      <c r="A51" s="637">
        <v>44019</v>
      </c>
      <c r="B51" s="97" t="s">
        <v>849</v>
      </c>
      <c r="C51" s="97" t="s">
        <v>106</v>
      </c>
      <c r="D51" s="98">
        <v>38.196199999999997</v>
      </c>
      <c r="E51" s="98">
        <v>-121.65739000000001</v>
      </c>
      <c r="F51" s="97" t="s">
        <v>906</v>
      </c>
      <c r="G51" s="97" t="s">
        <v>90</v>
      </c>
      <c r="H51" s="97" t="s">
        <v>108</v>
      </c>
      <c r="I51" s="621">
        <v>0.4909722222222222</v>
      </c>
      <c r="J51" s="103">
        <v>138.35</v>
      </c>
      <c r="K51" s="103">
        <v>22.199999999999996</v>
      </c>
      <c r="L51" s="103">
        <v>10.629999999999999</v>
      </c>
      <c r="M51" s="103">
        <v>1.1600000000000001</v>
      </c>
      <c r="N51" s="103">
        <v>17.675000000000001</v>
      </c>
      <c r="O51" s="34" t="s">
        <v>48</v>
      </c>
      <c r="P51" s="34">
        <v>4</v>
      </c>
      <c r="Q51" s="34">
        <v>10</v>
      </c>
      <c r="R51" s="34" t="s">
        <v>49</v>
      </c>
      <c r="S51" s="49" t="s">
        <v>50</v>
      </c>
      <c r="T51" s="49" t="s">
        <v>50</v>
      </c>
      <c r="U51" s="34" t="s">
        <v>50</v>
      </c>
      <c r="V51" s="49" t="s">
        <v>50</v>
      </c>
      <c r="W51" s="49" t="s">
        <v>50</v>
      </c>
      <c r="X51" s="34" t="s">
        <v>50</v>
      </c>
      <c r="Y51" s="102"/>
    </row>
    <row r="52" spans="1:25" s="97" customFormat="1" x14ac:dyDescent="0.25">
      <c r="A52" s="637">
        <v>44019</v>
      </c>
      <c r="B52" s="97" t="s">
        <v>849</v>
      </c>
      <c r="C52" s="97" t="s">
        <v>95</v>
      </c>
      <c r="D52" s="98">
        <v>38.09646</v>
      </c>
      <c r="E52" s="98">
        <v>-121.63182999999999</v>
      </c>
      <c r="F52" s="97" t="s">
        <v>907</v>
      </c>
      <c r="G52" s="97" t="s">
        <v>886</v>
      </c>
      <c r="H52" s="97" t="s">
        <v>908</v>
      </c>
      <c r="I52" s="621">
        <v>0.3444444444444445</v>
      </c>
      <c r="J52" s="103">
        <v>321.35000000000002</v>
      </c>
      <c r="K52" s="103">
        <v>22.9</v>
      </c>
      <c r="L52" s="103">
        <v>6.3550000000000004</v>
      </c>
      <c r="M52" s="103">
        <v>1.675</v>
      </c>
      <c r="N52" s="103">
        <v>14.149999999999999</v>
      </c>
      <c r="O52" s="34" t="s">
        <v>48</v>
      </c>
      <c r="P52" s="34">
        <v>4</v>
      </c>
      <c r="Q52" s="34">
        <v>10</v>
      </c>
      <c r="R52" s="34" t="s">
        <v>49</v>
      </c>
      <c r="S52" s="49" t="s">
        <v>50</v>
      </c>
      <c r="T52" s="49" t="s">
        <v>50</v>
      </c>
      <c r="U52" s="34" t="s">
        <v>50</v>
      </c>
      <c r="V52" s="49" t="s">
        <v>50</v>
      </c>
      <c r="W52" s="49" t="s">
        <v>50</v>
      </c>
      <c r="X52" s="34" t="s">
        <v>50</v>
      </c>
      <c r="Y52" s="102"/>
    </row>
    <row r="53" spans="1:25" s="97" customFormat="1" x14ac:dyDescent="0.25">
      <c r="A53" s="637">
        <v>44019</v>
      </c>
      <c r="B53" s="97" t="s">
        <v>849</v>
      </c>
      <c r="C53" s="97" t="s">
        <v>95</v>
      </c>
      <c r="D53" s="98">
        <v>38.024180000000001</v>
      </c>
      <c r="E53" s="98">
        <v>-121.74375999999999</v>
      </c>
      <c r="F53" s="97" t="s">
        <v>909</v>
      </c>
      <c r="G53" s="97" t="s">
        <v>27</v>
      </c>
      <c r="H53" s="97" t="s">
        <v>863</v>
      </c>
      <c r="I53" s="621">
        <v>0.43958333333333338</v>
      </c>
      <c r="J53" s="100">
        <v>815.75</v>
      </c>
      <c r="K53" s="100">
        <v>22.4</v>
      </c>
      <c r="L53" s="100">
        <v>6.4024999999999999</v>
      </c>
      <c r="M53" s="100">
        <v>1.6</v>
      </c>
      <c r="N53" s="101">
        <v>5.35</v>
      </c>
      <c r="O53" s="34" t="s">
        <v>48</v>
      </c>
      <c r="P53" s="34">
        <v>4</v>
      </c>
      <c r="Q53" s="34">
        <v>10</v>
      </c>
      <c r="R53" s="34" t="s">
        <v>49</v>
      </c>
      <c r="S53" s="49" t="s">
        <v>50</v>
      </c>
      <c r="T53" s="49" t="s">
        <v>50</v>
      </c>
      <c r="U53" s="34" t="s">
        <v>50</v>
      </c>
      <c r="V53" s="49" t="s">
        <v>50</v>
      </c>
      <c r="W53" s="49" t="s">
        <v>50</v>
      </c>
      <c r="X53" s="34" t="s">
        <v>50</v>
      </c>
      <c r="Y53" s="102"/>
    </row>
    <row r="54" spans="1:25" s="97" customFormat="1" x14ac:dyDescent="0.25">
      <c r="A54" s="637">
        <v>44019</v>
      </c>
      <c r="B54" s="97" t="s">
        <v>849</v>
      </c>
      <c r="C54" s="97" t="s">
        <v>95</v>
      </c>
      <c r="D54" s="98">
        <v>38.03116</v>
      </c>
      <c r="E54" s="98">
        <v>-121.72410000000001</v>
      </c>
      <c r="F54" s="97" t="s">
        <v>910</v>
      </c>
      <c r="G54" s="97" t="s">
        <v>27</v>
      </c>
      <c r="H54" s="97" t="s">
        <v>863</v>
      </c>
      <c r="I54" s="621">
        <v>0.52430555555555558</v>
      </c>
      <c r="J54" s="100">
        <v>466</v>
      </c>
      <c r="K54" s="100">
        <v>22.7</v>
      </c>
      <c r="L54" s="100">
        <v>6.0674999999999999</v>
      </c>
      <c r="M54" s="100">
        <v>1.69</v>
      </c>
      <c r="N54" s="101">
        <v>7.75</v>
      </c>
      <c r="O54" s="34" t="s">
        <v>48</v>
      </c>
      <c r="P54" s="34">
        <v>4</v>
      </c>
      <c r="Q54" s="34">
        <v>10</v>
      </c>
      <c r="R54" s="34" t="s">
        <v>49</v>
      </c>
      <c r="S54" s="49" t="s">
        <v>50</v>
      </c>
      <c r="T54" s="49" t="s">
        <v>50</v>
      </c>
      <c r="U54" s="34" t="s">
        <v>50</v>
      </c>
      <c r="V54" s="49" t="s">
        <v>50</v>
      </c>
      <c r="W54" s="49" t="s">
        <v>50</v>
      </c>
      <c r="X54" s="34" t="s">
        <v>50</v>
      </c>
      <c r="Y54" s="102"/>
    </row>
    <row r="55" spans="1:25" s="214" customFormat="1" x14ac:dyDescent="0.25">
      <c r="A55" s="811">
        <v>44019</v>
      </c>
      <c r="B55" s="214" t="s">
        <v>849</v>
      </c>
      <c r="C55" s="214" t="s">
        <v>62</v>
      </c>
      <c r="D55" s="646">
        <v>38.106319999999997</v>
      </c>
      <c r="E55" s="646">
        <v>-122.04694000000001</v>
      </c>
      <c r="F55" s="214" t="s">
        <v>911</v>
      </c>
      <c r="G55" s="214" t="s">
        <v>27</v>
      </c>
      <c r="H55" s="214" t="s">
        <v>173</v>
      </c>
      <c r="I55" s="647">
        <v>0.37083333333333335</v>
      </c>
      <c r="J55" s="648">
        <v>14777.5</v>
      </c>
      <c r="K55" s="648">
        <v>20</v>
      </c>
      <c r="L55" s="648">
        <v>88.3</v>
      </c>
      <c r="M55" s="648">
        <v>0.2225</v>
      </c>
      <c r="N55" s="649">
        <v>2.15</v>
      </c>
      <c r="O55" s="565" t="s">
        <v>48</v>
      </c>
      <c r="P55" s="565">
        <v>4</v>
      </c>
      <c r="Q55" s="565">
        <v>10</v>
      </c>
      <c r="R55" s="565" t="s">
        <v>49</v>
      </c>
      <c r="S55" s="572" t="s">
        <v>31</v>
      </c>
      <c r="T55" s="566">
        <v>1</v>
      </c>
      <c r="U55" s="550">
        <v>100</v>
      </c>
      <c r="V55" s="549" t="s">
        <v>66</v>
      </c>
      <c r="W55" s="549" t="s">
        <v>50</v>
      </c>
      <c r="X55" s="550" t="s">
        <v>50</v>
      </c>
      <c r="Y55" s="650" t="s">
        <v>912</v>
      </c>
    </row>
    <row r="56" spans="1:25" s="97" customFormat="1" x14ac:dyDescent="0.25">
      <c r="A56" s="637">
        <v>44019</v>
      </c>
      <c r="B56" s="97" t="s">
        <v>849</v>
      </c>
      <c r="C56" s="97" t="s">
        <v>62</v>
      </c>
      <c r="D56" s="98">
        <v>38.174930000000003</v>
      </c>
      <c r="E56" s="98">
        <v>-122.01285</v>
      </c>
      <c r="F56" s="97" t="s">
        <v>913</v>
      </c>
      <c r="G56" s="97" t="s">
        <v>27</v>
      </c>
      <c r="H56" s="97" t="s">
        <v>62</v>
      </c>
      <c r="I56" s="621">
        <v>0.4465277777777778</v>
      </c>
      <c r="J56" s="100">
        <v>10040</v>
      </c>
      <c r="K56" s="100">
        <v>21.900000000000002</v>
      </c>
      <c r="L56" s="100">
        <v>46.925000000000004</v>
      </c>
      <c r="M56" s="100">
        <v>0.29250000000000004</v>
      </c>
      <c r="N56" s="101">
        <v>4.6500000000000004</v>
      </c>
      <c r="O56" s="34" t="s">
        <v>48</v>
      </c>
      <c r="P56" s="34">
        <v>4</v>
      </c>
      <c r="Q56" s="34">
        <v>10</v>
      </c>
      <c r="R56" s="34" t="s">
        <v>49</v>
      </c>
      <c r="S56" s="49" t="s">
        <v>50</v>
      </c>
      <c r="T56" s="49" t="s">
        <v>50</v>
      </c>
      <c r="U56" s="34" t="s">
        <v>50</v>
      </c>
      <c r="V56" s="49" t="s">
        <v>50</v>
      </c>
      <c r="W56" s="49" t="s">
        <v>50</v>
      </c>
      <c r="X56" s="34" t="s">
        <v>50</v>
      </c>
      <c r="Y56" s="102"/>
    </row>
    <row r="57" spans="1:25" s="97" customFormat="1" x14ac:dyDescent="0.25">
      <c r="A57" s="637">
        <v>44019</v>
      </c>
      <c r="B57" s="97" t="s">
        <v>849</v>
      </c>
      <c r="C57" s="97" t="s">
        <v>62</v>
      </c>
      <c r="D57" s="98">
        <v>38.179290000000002</v>
      </c>
      <c r="E57" s="98">
        <v>-122.05584</v>
      </c>
      <c r="F57" s="97" t="s">
        <v>914</v>
      </c>
      <c r="G57" s="97" t="s">
        <v>27</v>
      </c>
      <c r="H57" s="97" t="s">
        <v>62</v>
      </c>
      <c r="I57" s="621">
        <v>0.51874999999999993</v>
      </c>
      <c r="J57" s="100">
        <v>9405.75</v>
      </c>
      <c r="K57" s="100">
        <v>21.625</v>
      </c>
      <c r="L57" s="100">
        <v>37.274999999999999</v>
      </c>
      <c r="M57" s="100">
        <v>0.33250000000000002</v>
      </c>
      <c r="N57" s="101">
        <v>3.125</v>
      </c>
      <c r="O57" s="34" t="s">
        <v>48</v>
      </c>
      <c r="P57" s="34">
        <v>4</v>
      </c>
      <c r="Q57" s="34">
        <v>10</v>
      </c>
      <c r="R57" s="34" t="s">
        <v>49</v>
      </c>
      <c r="S57" s="49" t="s">
        <v>50</v>
      </c>
      <c r="T57" s="49" t="s">
        <v>50</v>
      </c>
      <c r="U57" s="34" t="s">
        <v>50</v>
      </c>
      <c r="V57" s="49" t="s">
        <v>50</v>
      </c>
      <c r="W57" s="49" t="s">
        <v>50</v>
      </c>
      <c r="X57" s="34" t="s">
        <v>50</v>
      </c>
      <c r="Y57" s="102"/>
    </row>
    <row r="58" spans="1:25" s="97" customFormat="1" x14ac:dyDescent="0.25">
      <c r="A58" s="637">
        <v>44020</v>
      </c>
      <c r="B58" s="97" t="s">
        <v>915</v>
      </c>
      <c r="C58" s="97" t="s">
        <v>126</v>
      </c>
      <c r="D58" s="98">
        <v>38.255679999999998</v>
      </c>
      <c r="E58" s="98">
        <v>-121.73684</v>
      </c>
      <c r="F58" s="97" t="s">
        <v>916</v>
      </c>
      <c r="G58" s="97" t="s">
        <v>90</v>
      </c>
      <c r="H58" s="97" t="s">
        <v>845</v>
      </c>
      <c r="I58" s="621">
        <v>0.36249999999999999</v>
      </c>
      <c r="J58" s="100">
        <v>162.9</v>
      </c>
      <c r="K58" s="100">
        <v>22.225000000000001</v>
      </c>
      <c r="L58" s="100">
        <v>5.7</v>
      </c>
      <c r="M58" s="100">
        <v>1.2749999999999999</v>
      </c>
      <c r="N58" s="101">
        <v>5.3</v>
      </c>
      <c r="O58" s="34" t="s">
        <v>48</v>
      </c>
      <c r="P58" s="34">
        <v>4</v>
      </c>
      <c r="Q58" s="34">
        <v>10</v>
      </c>
      <c r="R58" s="34" t="s">
        <v>49</v>
      </c>
      <c r="S58" s="49" t="s">
        <v>50</v>
      </c>
      <c r="T58" s="49" t="s">
        <v>50</v>
      </c>
      <c r="U58" s="34" t="s">
        <v>50</v>
      </c>
      <c r="V58" s="49" t="s">
        <v>50</v>
      </c>
      <c r="W58" s="49" t="s">
        <v>50</v>
      </c>
      <c r="X58" s="34" t="s">
        <v>50</v>
      </c>
      <c r="Y58" s="102" t="s">
        <v>139</v>
      </c>
    </row>
    <row r="59" spans="1:25" s="97" customFormat="1" x14ac:dyDescent="0.25">
      <c r="A59" s="637">
        <v>44020</v>
      </c>
      <c r="B59" s="97" t="s">
        <v>915</v>
      </c>
      <c r="C59" s="97" t="s">
        <v>126</v>
      </c>
      <c r="D59" s="98">
        <v>38.251890000000003</v>
      </c>
      <c r="E59" s="98">
        <v>-121.72351999999999</v>
      </c>
      <c r="F59" s="97" t="s">
        <v>917</v>
      </c>
      <c r="G59" s="97" t="s">
        <v>90</v>
      </c>
      <c r="H59" s="97" t="s">
        <v>845</v>
      </c>
      <c r="I59" s="621">
        <v>0.42708333333333331</v>
      </c>
      <c r="J59" s="100">
        <v>159.22500000000002</v>
      </c>
      <c r="K59" s="100">
        <v>22.45</v>
      </c>
      <c r="L59" s="100">
        <v>5.1749999999999998</v>
      </c>
      <c r="M59" s="100">
        <v>1.5</v>
      </c>
      <c r="N59" s="101">
        <v>5.625</v>
      </c>
      <c r="O59" s="34" t="s">
        <v>48</v>
      </c>
      <c r="P59" s="34">
        <v>4</v>
      </c>
      <c r="Q59" s="34">
        <v>10</v>
      </c>
      <c r="R59" s="34" t="s">
        <v>49</v>
      </c>
      <c r="S59" s="49" t="s">
        <v>50</v>
      </c>
      <c r="T59" s="49" t="s">
        <v>50</v>
      </c>
      <c r="U59" s="34" t="s">
        <v>50</v>
      </c>
      <c r="V59" s="49" t="s">
        <v>50</v>
      </c>
      <c r="W59" s="49" t="s">
        <v>50</v>
      </c>
      <c r="X59" s="34" t="s">
        <v>50</v>
      </c>
      <c r="Y59" s="102" t="s">
        <v>139</v>
      </c>
    </row>
    <row r="60" spans="1:25" s="97" customFormat="1" x14ac:dyDescent="0.25">
      <c r="A60" s="637">
        <v>44020</v>
      </c>
      <c r="B60" s="97" t="s">
        <v>915</v>
      </c>
      <c r="C60" s="97" t="s">
        <v>126</v>
      </c>
      <c r="D60" s="98">
        <v>38.245550000000001</v>
      </c>
      <c r="E60" s="98">
        <v>-121.67341</v>
      </c>
      <c r="F60" s="97" t="s">
        <v>918</v>
      </c>
      <c r="G60" s="97" t="s">
        <v>90</v>
      </c>
      <c r="H60" s="97" t="s">
        <v>845</v>
      </c>
      <c r="I60" s="621">
        <v>0.48958333333333331</v>
      </c>
      <c r="J60" s="103">
        <v>146.55000000000001</v>
      </c>
      <c r="K60" s="103">
        <v>22.425000000000001</v>
      </c>
      <c r="L60" s="103">
        <v>10.130000000000001</v>
      </c>
      <c r="M60" s="103">
        <v>1.1925000000000001</v>
      </c>
      <c r="N60" s="103">
        <v>5.7750000000000004</v>
      </c>
      <c r="O60" s="34" t="s">
        <v>48</v>
      </c>
      <c r="P60" s="34">
        <v>4</v>
      </c>
      <c r="Q60" s="34">
        <v>10</v>
      </c>
      <c r="R60" s="34" t="s">
        <v>49</v>
      </c>
      <c r="S60" s="49" t="s">
        <v>50</v>
      </c>
      <c r="T60" s="49" t="s">
        <v>50</v>
      </c>
      <c r="U60" s="34" t="s">
        <v>50</v>
      </c>
      <c r="V60" s="49" t="s">
        <v>50</v>
      </c>
      <c r="W60" s="49" t="s">
        <v>50</v>
      </c>
      <c r="X60" s="34" t="s">
        <v>50</v>
      </c>
      <c r="Y60" s="102"/>
    </row>
    <row r="61" spans="1:25" s="97" customFormat="1" x14ac:dyDescent="0.25">
      <c r="A61" s="637">
        <v>44020</v>
      </c>
      <c r="B61" s="97" t="s">
        <v>915</v>
      </c>
      <c r="C61" s="97" t="s">
        <v>78</v>
      </c>
      <c r="D61" s="98">
        <v>38.071379999999998</v>
      </c>
      <c r="E61" s="98">
        <v>-121.95807000000001</v>
      </c>
      <c r="F61" s="97" t="s">
        <v>919</v>
      </c>
      <c r="G61" s="97" t="s">
        <v>27</v>
      </c>
      <c r="H61" s="97" t="s">
        <v>170</v>
      </c>
      <c r="I61" s="621">
        <v>0.4236111111111111</v>
      </c>
      <c r="J61" s="103">
        <v>11047</v>
      </c>
      <c r="K61" s="103">
        <v>21.1</v>
      </c>
      <c r="L61" s="103">
        <v>27.375</v>
      </c>
      <c r="M61" s="103">
        <v>0.4325</v>
      </c>
      <c r="N61" s="103">
        <v>3.1999999999999997</v>
      </c>
      <c r="O61" s="34" t="s">
        <v>48</v>
      </c>
      <c r="P61" s="34">
        <v>4</v>
      </c>
      <c r="Q61" s="34">
        <v>10</v>
      </c>
      <c r="R61" s="34" t="s">
        <v>49</v>
      </c>
      <c r="S61" s="49" t="s">
        <v>50</v>
      </c>
      <c r="T61" s="49" t="s">
        <v>50</v>
      </c>
      <c r="U61" s="34" t="s">
        <v>50</v>
      </c>
      <c r="V61" s="49" t="s">
        <v>50</v>
      </c>
      <c r="W61" s="49" t="s">
        <v>50</v>
      </c>
      <c r="X61" s="34" t="s">
        <v>50</v>
      </c>
      <c r="Y61" s="102"/>
    </row>
    <row r="62" spans="1:25" s="97" customFormat="1" x14ac:dyDescent="0.25">
      <c r="A62" s="637">
        <v>44020</v>
      </c>
      <c r="B62" s="97" t="s">
        <v>915</v>
      </c>
      <c r="C62" s="97" t="s">
        <v>78</v>
      </c>
      <c r="D62" s="98">
        <v>38.086219999999997</v>
      </c>
      <c r="E62" s="98">
        <v>-122.07519000000001</v>
      </c>
      <c r="F62" s="97" t="s">
        <v>920</v>
      </c>
      <c r="G62" s="97" t="s">
        <v>80</v>
      </c>
      <c r="H62" s="97" t="s">
        <v>81</v>
      </c>
      <c r="I62" s="621">
        <v>0.48819444444444443</v>
      </c>
      <c r="J62" s="103">
        <v>15886.5</v>
      </c>
      <c r="K62" s="103">
        <v>21.225000000000001</v>
      </c>
      <c r="L62" s="103">
        <v>78.7</v>
      </c>
      <c r="M62" s="103">
        <v>0.26250000000000001</v>
      </c>
      <c r="N62" s="103">
        <v>7.0249999999999995</v>
      </c>
      <c r="O62" s="34" t="s">
        <v>48</v>
      </c>
      <c r="P62" s="34">
        <v>4</v>
      </c>
      <c r="Q62" s="34">
        <v>10</v>
      </c>
      <c r="R62" s="34" t="s">
        <v>49</v>
      </c>
      <c r="S62" s="49" t="s">
        <v>50</v>
      </c>
      <c r="T62" s="49" t="s">
        <v>50</v>
      </c>
      <c r="U62" s="34" t="s">
        <v>50</v>
      </c>
      <c r="V62" s="49" t="s">
        <v>50</v>
      </c>
      <c r="W62" s="49" t="s">
        <v>50</v>
      </c>
      <c r="X62" s="34" t="s">
        <v>50</v>
      </c>
      <c r="Y62" s="102"/>
    </row>
    <row r="63" spans="1:25" s="97" customFormat="1" x14ac:dyDescent="0.25">
      <c r="A63" s="637">
        <v>44020</v>
      </c>
      <c r="B63" s="97" t="s">
        <v>915</v>
      </c>
      <c r="C63" s="97" t="s">
        <v>78</v>
      </c>
      <c r="D63" s="98">
        <v>38.034390000000002</v>
      </c>
      <c r="E63" s="98">
        <v>-121.84947</v>
      </c>
      <c r="F63" s="97" t="s">
        <v>921</v>
      </c>
      <c r="G63" s="97" t="s">
        <v>27</v>
      </c>
      <c r="H63" s="97" t="s">
        <v>101</v>
      </c>
      <c r="I63" s="621">
        <v>0.35972222222222222</v>
      </c>
      <c r="J63" s="100">
        <v>5612.75</v>
      </c>
      <c r="K63" s="100">
        <v>21.524999999999999</v>
      </c>
      <c r="L63" s="100">
        <v>24.524999999999999</v>
      </c>
      <c r="M63" s="100">
        <v>0.57500000000000007</v>
      </c>
      <c r="N63" s="101">
        <v>4.7250000000000005</v>
      </c>
      <c r="O63" s="34" t="s">
        <v>48</v>
      </c>
      <c r="P63" s="34">
        <v>4</v>
      </c>
      <c r="Q63" s="34">
        <v>10</v>
      </c>
      <c r="R63" s="34" t="s">
        <v>49</v>
      </c>
      <c r="S63" s="49" t="s">
        <v>50</v>
      </c>
      <c r="T63" s="49" t="s">
        <v>50</v>
      </c>
      <c r="U63" s="34" t="s">
        <v>50</v>
      </c>
      <c r="V63" s="49" t="s">
        <v>50</v>
      </c>
      <c r="W63" s="49" t="s">
        <v>50</v>
      </c>
      <c r="X63" s="34" t="s">
        <v>50</v>
      </c>
      <c r="Y63" s="102"/>
    </row>
    <row r="64" spans="1:25" s="97" customFormat="1" x14ac:dyDescent="0.25">
      <c r="A64" s="637">
        <v>44020</v>
      </c>
      <c r="B64" s="97" t="s">
        <v>915</v>
      </c>
      <c r="C64" s="97" t="s">
        <v>88</v>
      </c>
      <c r="D64" s="98">
        <v>38.066490000000002</v>
      </c>
      <c r="E64" s="98">
        <v>-121.83493</v>
      </c>
      <c r="F64" s="97" t="s">
        <v>922</v>
      </c>
      <c r="G64" s="97" t="s">
        <v>27</v>
      </c>
      <c r="H64" s="97" t="s">
        <v>25</v>
      </c>
      <c r="I64" s="621">
        <v>0.35416666666666669</v>
      </c>
      <c r="J64" s="100">
        <v>5665.25</v>
      </c>
      <c r="K64" s="100">
        <v>21.524999999999999</v>
      </c>
      <c r="L64" s="100">
        <v>19.649999999999999</v>
      </c>
      <c r="M64" s="100">
        <v>0.73000000000000009</v>
      </c>
      <c r="N64" s="101">
        <v>7.9</v>
      </c>
      <c r="O64" s="34" t="s">
        <v>48</v>
      </c>
      <c r="P64" s="34">
        <v>4</v>
      </c>
      <c r="Q64" s="34">
        <v>10</v>
      </c>
      <c r="R64" s="34" t="s">
        <v>49</v>
      </c>
      <c r="S64" s="49" t="s">
        <v>50</v>
      </c>
      <c r="T64" s="49" t="s">
        <v>50</v>
      </c>
      <c r="U64" s="34" t="s">
        <v>50</v>
      </c>
      <c r="V64" s="49" t="s">
        <v>50</v>
      </c>
      <c r="W64" s="49" t="s">
        <v>50</v>
      </c>
      <c r="X64" s="34" t="s">
        <v>50</v>
      </c>
      <c r="Y64" s="102"/>
    </row>
    <row r="65" spans="1:25" s="591" customFormat="1" x14ac:dyDescent="0.25">
      <c r="A65" s="590">
        <v>44020</v>
      </c>
      <c r="B65" s="591" t="s">
        <v>915</v>
      </c>
      <c r="C65" s="591" t="s">
        <v>88</v>
      </c>
      <c r="D65" s="592">
        <v>38.087569999999999</v>
      </c>
      <c r="E65" s="592">
        <v>-121.74744</v>
      </c>
      <c r="F65" s="591" t="s">
        <v>923</v>
      </c>
      <c r="G65" s="591" t="s">
        <v>27</v>
      </c>
      <c r="H65" s="591" t="s">
        <v>25</v>
      </c>
      <c r="I65" s="619">
        <v>0.41041666666666665</v>
      </c>
      <c r="J65" s="593">
        <v>681</v>
      </c>
      <c r="K65" s="593">
        <v>22.074999999999999</v>
      </c>
      <c r="L65" s="593">
        <v>43.125</v>
      </c>
      <c r="M65" s="593">
        <v>0.46500000000000002</v>
      </c>
      <c r="N65" s="593">
        <v>8.5500000000000007</v>
      </c>
      <c r="O65" s="591" t="s">
        <v>48</v>
      </c>
      <c r="P65" s="591">
        <v>4</v>
      </c>
      <c r="Q65" s="591">
        <v>10</v>
      </c>
      <c r="R65" s="591" t="s">
        <v>49</v>
      </c>
      <c r="S65" s="559" t="s">
        <v>323</v>
      </c>
      <c r="T65" s="569">
        <v>3</v>
      </c>
      <c r="U65" s="568" t="s">
        <v>924</v>
      </c>
      <c r="V65" s="569" t="s">
        <v>50</v>
      </c>
      <c r="W65" s="569" t="s">
        <v>50</v>
      </c>
      <c r="X65" s="568" t="s">
        <v>50</v>
      </c>
      <c r="Y65" s="455" t="s">
        <v>925</v>
      </c>
    </row>
    <row r="66" spans="1:25" s="214" customFormat="1" x14ac:dyDescent="0.25">
      <c r="A66" s="645">
        <v>44020</v>
      </c>
      <c r="B66" s="214" t="s">
        <v>915</v>
      </c>
      <c r="C66" s="214" t="s">
        <v>88</v>
      </c>
      <c r="D66" s="646">
        <v>38.087569999999999</v>
      </c>
      <c r="E66" s="646">
        <v>-121.74744</v>
      </c>
      <c r="F66" s="214" t="s">
        <v>923</v>
      </c>
      <c r="G66" s="214" t="s">
        <v>27</v>
      </c>
      <c r="H66" s="214" t="s">
        <v>25</v>
      </c>
      <c r="I66" s="647">
        <v>0.41041666666666665</v>
      </c>
      <c r="J66" s="648">
        <v>681</v>
      </c>
      <c r="K66" s="648">
        <v>22.074999999999999</v>
      </c>
      <c r="L66" s="648">
        <v>43.125</v>
      </c>
      <c r="M66" s="648">
        <v>0.46500000000000002</v>
      </c>
      <c r="N66" s="648">
        <v>8.5500000000000007</v>
      </c>
      <c r="O66" s="214" t="s">
        <v>48</v>
      </c>
      <c r="P66" s="214">
        <v>4</v>
      </c>
      <c r="Q66" s="214">
        <v>10</v>
      </c>
      <c r="R66" s="214" t="s">
        <v>49</v>
      </c>
      <c r="S66" s="553" t="s">
        <v>926</v>
      </c>
      <c r="T66" s="566">
        <v>1</v>
      </c>
      <c r="U66" s="565">
        <v>40</v>
      </c>
      <c r="V66" s="566" t="s">
        <v>50</v>
      </c>
      <c r="W66" s="566" t="s">
        <v>50</v>
      </c>
      <c r="X66" s="565" t="s">
        <v>50</v>
      </c>
      <c r="Y66" s="650" t="s">
        <v>927</v>
      </c>
    </row>
    <row r="67" spans="1:25" s="97" customFormat="1" x14ac:dyDescent="0.25">
      <c r="A67" s="637">
        <v>44020</v>
      </c>
      <c r="B67" s="97" t="s">
        <v>915</v>
      </c>
      <c r="C67" s="97" t="s">
        <v>88</v>
      </c>
      <c r="D67" s="98">
        <v>38.095669999999998</v>
      </c>
      <c r="E67" s="98">
        <v>-121.72543</v>
      </c>
      <c r="F67" s="97" t="s">
        <v>928</v>
      </c>
      <c r="G67" s="97" t="s">
        <v>90</v>
      </c>
      <c r="H67" s="97" t="s">
        <v>91</v>
      </c>
      <c r="I67" s="621">
        <v>0.47638888888888892</v>
      </c>
      <c r="J67" s="100">
        <v>274.85000000000002</v>
      </c>
      <c r="K67" s="100">
        <v>22.7</v>
      </c>
      <c r="L67" s="100">
        <v>17.5</v>
      </c>
      <c r="M67" s="100">
        <v>1.2050000000000001</v>
      </c>
      <c r="N67" s="101">
        <v>4.8249999999999993</v>
      </c>
      <c r="O67" s="34" t="s">
        <v>48</v>
      </c>
      <c r="P67" s="34">
        <v>4</v>
      </c>
      <c r="Q67" s="34">
        <v>10</v>
      </c>
      <c r="R67" s="34" t="s">
        <v>49</v>
      </c>
      <c r="S67" s="49" t="s">
        <v>50</v>
      </c>
      <c r="T67" s="49" t="s">
        <v>50</v>
      </c>
      <c r="U67" s="34" t="s">
        <v>50</v>
      </c>
      <c r="V67" s="49" t="s">
        <v>50</v>
      </c>
      <c r="W67" s="49" t="s">
        <v>50</v>
      </c>
      <c r="X67" s="34" t="s">
        <v>50</v>
      </c>
      <c r="Y67" s="102"/>
    </row>
    <row r="68" spans="1:25" s="97" customFormat="1" x14ac:dyDescent="0.25">
      <c r="A68" s="194">
        <v>44021</v>
      </c>
      <c r="B68" s="97" t="s">
        <v>876</v>
      </c>
      <c r="C68" s="97" t="s">
        <v>126</v>
      </c>
      <c r="D68" s="98">
        <v>38.288490000000003</v>
      </c>
      <c r="E68" s="98">
        <v>-121.69244999999999</v>
      </c>
      <c r="F68" s="97" t="s">
        <v>929</v>
      </c>
      <c r="G68" s="97" t="s">
        <v>90</v>
      </c>
      <c r="H68" s="97" t="s">
        <v>845</v>
      </c>
      <c r="I68" s="621">
        <v>0.3430555555555555</v>
      </c>
      <c r="J68" s="100">
        <v>161.57499999999999</v>
      </c>
      <c r="K68" s="100">
        <v>22.224999999999998</v>
      </c>
      <c r="L68" s="100">
        <v>5.0949999999999998</v>
      </c>
      <c r="M68" s="100">
        <v>1.5899999999999999</v>
      </c>
      <c r="N68" s="100">
        <v>4.45</v>
      </c>
      <c r="O68" s="34" t="s">
        <v>48</v>
      </c>
      <c r="P68" s="34">
        <v>4</v>
      </c>
      <c r="Q68" s="34">
        <v>10</v>
      </c>
      <c r="R68" s="34" t="s">
        <v>49</v>
      </c>
      <c r="S68" s="49" t="s">
        <v>50</v>
      </c>
      <c r="T68" s="49" t="s">
        <v>50</v>
      </c>
      <c r="U68" s="34" t="s">
        <v>50</v>
      </c>
      <c r="V68" s="49" t="s">
        <v>50</v>
      </c>
      <c r="W68" s="49" t="s">
        <v>50</v>
      </c>
      <c r="X68" s="34" t="s">
        <v>50</v>
      </c>
      <c r="Y68" s="102"/>
    </row>
    <row r="69" spans="1:25" s="97" customFormat="1" x14ac:dyDescent="0.25">
      <c r="A69" s="194">
        <v>44021</v>
      </c>
      <c r="B69" s="97" t="s">
        <v>876</v>
      </c>
      <c r="C69" s="97" t="s">
        <v>126</v>
      </c>
      <c r="D69" s="98">
        <v>38.249780000000001</v>
      </c>
      <c r="E69" s="98">
        <v>-121.68719</v>
      </c>
      <c r="F69" s="97" t="s">
        <v>930</v>
      </c>
      <c r="G69" s="97" t="s">
        <v>90</v>
      </c>
      <c r="H69" s="97" t="s">
        <v>845</v>
      </c>
      <c r="I69" s="621">
        <v>0.39583333333333331</v>
      </c>
      <c r="J69" s="100">
        <v>136.15</v>
      </c>
      <c r="K69" s="100">
        <v>22.875</v>
      </c>
      <c r="L69" s="100">
        <v>6.3024999999999993</v>
      </c>
      <c r="M69" s="100">
        <v>1.5649999999999999</v>
      </c>
      <c r="N69" s="101">
        <v>9.6999999999999993</v>
      </c>
      <c r="O69" s="34" t="s">
        <v>48</v>
      </c>
      <c r="P69" s="34">
        <v>4</v>
      </c>
      <c r="Q69" s="34">
        <v>10</v>
      </c>
      <c r="R69" s="34" t="s">
        <v>49</v>
      </c>
      <c r="S69" s="49" t="s">
        <v>50</v>
      </c>
      <c r="T69" s="49" t="s">
        <v>50</v>
      </c>
      <c r="U69" s="34" t="s">
        <v>50</v>
      </c>
      <c r="V69" s="49" t="s">
        <v>50</v>
      </c>
      <c r="W69" s="49" t="s">
        <v>50</v>
      </c>
      <c r="X69" s="34" t="s">
        <v>50</v>
      </c>
      <c r="Y69" s="102"/>
    </row>
    <row r="70" spans="1:25" s="97" customFormat="1" x14ac:dyDescent="0.25">
      <c r="A70" s="194">
        <v>44021</v>
      </c>
      <c r="B70" s="97" t="s">
        <v>876</v>
      </c>
      <c r="C70" s="97" t="s">
        <v>126</v>
      </c>
      <c r="D70" s="98">
        <v>38.273719999999997</v>
      </c>
      <c r="E70" s="98">
        <v>-121.66531999999999</v>
      </c>
      <c r="F70" s="97" t="s">
        <v>931</v>
      </c>
      <c r="G70" s="97" t="s">
        <v>90</v>
      </c>
      <c r="H70" s="97" t="s">
        <v>845</v>
      </c>
      <c r="I70" s="621">
        <v>0.44861111111111113</v>
      </c>
      <c r="J70" s="100">
        <v>152.1</v>
      </c>
      <c r="K70" s="100">
        <v>22.675000000000001</v>
      </c>
      <c r="L70" s="100">
        <v>9.4850000000000012</v>
      </c>
      <c r="M70" s="100">
        <v>1.2025000000000001</v>
      </c>
      <c r="N70" s="101">
        <v>5.6749999999999998</v>
      </c>
      <c r="O70" s="34" t="s">
        <v>48</v>
      </c>
      <c r="P70" s="34">
        <v>4</v>
      </c>
      <c r="Q70" s="34">
        <v>10</v>
      </c>
      <c r="R70" s="34" t="s">
        <v>49</v>
      </c>
      <c r="S70" s="49" t="s">
        <v>50</v>
      </c>
      <c r="T70" s="49" t="s">
        <v>50</v>
      </c>
      <c r="U70" s="34" t="s">
        <v>50</v>
      </c>
      <c r="V70" s="49" t="s">
        <v>50</v>
      </c>
      <c r="W70" s="49" t="s">
        <v>50</v>
      </c>
      <c r="X70" s="34" t="s">
        <v>50</v>
      </c>
      <c r="Y70" s="102" t="s">
        <v>903</v>
      </c>
    </row>
    <row r="71" spans="1:25" s="153" customFormat="1" x14ac:dyDescent="0.25">
      <c r="A71" s="195">
        <v>44021</v>
      </c>
      <c r="B71" s="153" t="s">
        <v>876</v>
      </c>
      <c r="C71" s="153" t="s">
        <v>62</v>
      </c>
      <c r="D71" s="154">
        <v>38.109459999999999</v>
      </c>
      <c r="E71" s="154">
        <v>-122.04069</v>
      </c>
      <c r="F71" s="153" t="s">
        <v>932</v>
      </c>
      <c r="G71" s="153" t="s">
        <v>27</v>
      </c>
      <c r="H71" s="153" t="s">
        <v>173</v>
      </c>
      <c r="I71" s="636">
        <v>0.37847222222222227</v>
      </c>
      <c r="J71" s="156" t="s">
        <v>50</v>
      </c>
      <c r="K71" s="156" t="s">
        <v>50</v>
      </c>
      <c r="L71" s="156" t="s">
        <v>50</v>
      </c>
      <c r="M71" s="156" t="s">
        <v>50</v>
      </c>
      <c r="N71" s="156" t="s">
        <v>50</v>
      </c>
      <c r="O71" s="153" t="s">
        <v>48</v>
      </c>
      <c r="P71" s="153">
        <v>0</v>
      </c>
      <c r="Q71" s="153" t="s">
        <v>50</v>
      </c>
      <c r="R71" s="153" t="s">
        <v>50</v>
      </c>
      <c r="S71" s="158" t="s">
        <v>50</v>
      </c>
      <c r="T71" s="158" t="s">
        <v>50</v>
      </c>
      <c r="U71" s="157" t="s">
        <v>50</v>
      </c>
      <c r="V71" s="158" t="s">
        <v>50</v>
      </c>
      <c r="W71" s="158" t="s">
        <v>50</v>
      </c>
      <c r="X71" s="157" t="s">
        <v>50</v>
      </c>
      <c r="Y71" s="159" t="s">
        <v>858</v>
      </c>
    </row>
    <row r="72" spans="1:25" s="97" customFormat="1" x14ac:dyDescent="0.25">
      <c r="A72" s="194">
        <v>44021</v>
      </c>
      <c r="B72" s="97" t="s">
        <v>876</v>
      </c>
      <c r="C72" s="97" t="s">
        <v>62</v>
      </c>
      <c r="D72" s="98">
        <v>38.111409999999999</v>
      </c>
      <c r="E72" s="98">
        <v>-122.05728999999999</v>
      </c>
      <c r="F72" s="97" t="s">
        <v>933</v>
      </c>
      <c r="G72" s="97" t="s">
        <v>27</v>
      </c>
      <c r="H72" s="97" t="s">
        <v>173</v>
      </c>
      <c r="I72" s="621">
        <v>0.38680555555555557</v>
      </c>
      <c r="J72" s="100">
        <v>14317.75</v>
      </c>
      <c r="K72" s="100">
        <v>21.625</v>
      </c>
      <c r="L72" s="100">
        <v>108.45</v>
      </c>
      <c r="M72" s="100">
        <v>0.18250000000000002</v>
      </c>
      <c r="N72" s="101">
        <v>2.4249999999999998</v>
      </c>
      <c r="O72" s="34" t="s">
        <v>48</v>
      </c>
      <c r="P72" s="34">
        <v>4</v>
      </c>
      <c r="Q72" s="34">
        <v>10</v>
      </c>
      <c r="R72" s="34" t="s">
        <v>49</v>
      </c>
      <c r="S72" s="49" t="s">
        <v>50</v>
      </c>
      <c r="T72" s="49" t="s">
        <v>50</v>
      </c>
      <c r="U72" s="34" t="s">
        <v>50</v>
      </c>
      <c r="V72" s="49" t="s">
        <v>50</v>
      </c>
      <c r="W72" s="49" t="s">
        <v>50</v>
      </c>
      <c r="X72" s="34" t="s">
        <v>50</v>
      </c>
      <c r="Y72" s="102"/>
    </row>
    <row r="73" spans="1:25" s="97" customFormat="1" x14ac:dyDescent="0.25">
      <c r="A73" s="194">
        <v>44021</v>
      </c>
      <c r="B73" s="97" t="s">
        <v>876</v>
      </c>
      <c r="C73" s="97" t="s">
        <v>62</v>
      </c>
      <c r="D73" s="98">
        <v>38.136949999999999</v>
      </c>
      <c r="E73" s="98">
        <v>-122.06134</v>
      </c>
      <c r="F73" s="97" t="s">
        <v>934</v>
      </c>
      <c r="G73" s="97" t="s">
        <v>27</v>
      </c>
      <c r="H73" s="97" t="s">
        <v>62</v>
      </c>
      <c r="I73" s="621">
        <v>0.45208333333333334</v>
      </c>
      <c r="J73" s="103">
        <v>13471.25</v>
      </c>
      <c r="K73" s="103">
        <v>22.925000000000001</v>
      </c>
      <c r="L73" s="103">
        <v>38.700000000000003</v>
      </c>
      <c r="M73" s="103">
        <v>0.39500000000000002</v>
      </c>
      <c r="N73" s="103">
        <v>11.450000000000001</v>
      </c>
      <c r="O73" s="34" t="s">
        <v>48</v>
      </c>
      <c r="P73" s="34">
        <v>4</v>
      </c>
      <c r="Q73" s="34">
        <v>10</v>
      </c>
      <c r="R73" s="34" t="s">
        <v>49</v>
      </c>
      <c r="S73" s="49" t="s">
        <v>50</v>
      </c>
      <c r="T73" s="49" t="s">
        <v>50</v>
      </c>
      <c r="U73" s="34" t="s">
        <v>50</v>
      </c>
      <c r="V73" s="49" t="s">
        <v>50</v>
      </c>
      <c r="W73" s="49" t="s">
        <v>50</v>
      </c>
      <c r="X73" s="34" t="s">
        <v>50</v>
      </c>
      <c r="Y73" s="102"/>
    </row>
    <row r="74" spans="1:25" s="97" customFormat="1" x14ac:dyDescent="0.25">
      <c r="A74" s="194">
        <v>44021</v>
      </c>
      <c r="B74" s="97" t="s">
        <v>876</v>
      </c>
      <c r="C74" s="97" t="s">
        <v>62</v>
      </c>
      <c r="D74" s="98">
        <v>38.173920000000003</v>
      </c>
      <c r="E74" s="98">
        <v>-122.05636</v>
      </c>
      <c r="F74" s="97" t="s">
        <v>935</v>
      </c>
      <c r="G74" s="97" t="s">
        <v>27</v>
      </c>
      <c r="H74" s="97" t="s">
        <v>62</v>
      </c>
      <c r="I74" s="621">
        <v>0.51388888888888895</v>
      </c>
      <c r="J74" s="103">
        <v>10437.6</v>
      </c>
      <c r="K74" s="103">
        <v>22.439999999999998</v>
      </c>
      <c r="L74" s="103">
        <v>32.120000000000005</v>
      </c>
      <c r="M74" s="103">
        <v>0.376</v>
      </c>
      <c r="N74" s="103">
        <v>5.4</v>
      </c>
      <c r="O74" s="34" t="s">
        <v>48</v>
      </c>
      <c r="P74" s="34">
        <v>5</v>
      </c>
      <c r="Q74" s="34">
        <v>10</v>
      </c>
      <c r="R74" s="34" t="s">
        <v>49</v>
      </c>
      <c r="S74" s="49" t="s">
        <v>50</v>
      </c>
      <c r="T74" s="49" t="s">
        <v>50</v>
      </c>
      <c r="U74" s="34" t="s">
        <v>50</v>
      </c>
      <c r="V74" s="49" t="s">
        <v>50</v>
      </c>
      <c r="W74" s="49" t="s">
        <v>50</v>
      </c>
      <c r="X74" s="34" t="s">
        <v>50</v>
      </c>
      <c r="Y74" s="102" t="s">
        <v>936</v>
      </c>
    </row>
    <row r="75" spans="1:25" s="591" customFormat="1" x14ac:dyDescent="0.25">
      <c r="A75" s="590">
        <v>44021</v>
      </c>
      <c r="B75" s="591" t="s">
        <v>876</v>
      </c>
      <c r="C75" s="591" t="s">
        <v>88</v>
      </c>
      <c r="D75" s="568">
        <v>38.103879999999997</v>
      </c>
      <c r="E75" s="568">
        <v>-121.72117</v>
      </c>
      <c r="F75" s="591" t="s">
        <v>937</v>
      </c>
      <c r="G75" s="591" t="s">
        <v>90</v>
      </c>
      <c r="H75" s="591" t="s">
        <v>91</v>
      </c>
      <c r="I75" s="619">
        <v>0.35416666666666669</v>
      </c>
      <c r="J75" s="596">
        <v>695.5</v>
      </c>
      <c r="K75" s="596">
        <v>22.324999999999999</v>
      </c>
      <c r="L75" s="596">
        <v>15.825000000000001</v>
      </c>
      <c r="M75" s="596">
        <v>0.71500000000000008</v>
      </c>
      <c r="N75" s="596">
        <v>10.4</v>
      </c>
      <c r="O75" s="568" t="s">
        <v>48</v>
      </c>
      <c r="P75" s="568">
        <v>4</v>
      </c>
      <c r="Q75" s="568">
        <v>10</v>
      </c>
      <c r="R75" s="568" t="s">
        <v>49</v>
      </c>
      <c r="S75" s="559" t="s">
        <v>323</v>
      </c>
      <c r="T75" s="569">
        <v>1</v>
      </c>
      <c r="U75" s="568">
        <v>53</v>
      </c>
      <c r="V75" s="569" t="s">
        <v>66</v>
      </c>
      <c r="W75" s="569" t="s">
        <v>50</v>
      </c>
      <c r="X75" s="568" t="s">
        <v>50</v>
      </c>
      <c r="Y75" s="455" t="s">
        <v>894</v>
      </c>
    </row>
    <row r="76" spans="1:25" s="97" customFormat="1" x14ac:dyDescent="0.25">
      <c r="A76" s="194">
        <v>44021</v>
      </c>
      <c r="B76" s="97" t="s">
        <v>876</v>
      </c>
      <c r="C76" s="97" t="s">
        <v>88</v>
      </c>
      <c r="D76" s="34">
        <v>38.139969999999998</v>
      </c>
      <c r="E76" s="34">
        <v>-121.69049</v>
      </c>
      <c r="F76" s="97" t="s">
        <v>938</v>
      </c>
      <c r="G76" s="97" t="s">
        <v>90</v>
      </c>
      <c r="H76" s="97" t="s">
        <v>91</v>
      </c>
      <c r="I76" s="621">
        <v>0.41111111111111115</v>
      </c>
      <c r="J76" s="103">
        <v>184.92499999999998</v>
      </c>
      <c r="K76" s="103">
        <v>22.95</v>
      </c>
      <c r="L76" s="103">
        <v>8.2025000000000006</v>
      </c>
      <c r="M76" s="103">
        <v>1.7625</v>
      </c>
      <c r="N76" s="103">
        <v>6.6650000000000009</v>
      </c>
      <c r="O76" s="34" t="s">
        <v>48</v>
      </c>
      <c r="P76" s="34">
        <v>4</v>
      </c>
      <c r="Q76" s="34">
        <v>10</v>
      </c>
      <c r="R76" s="34" t="s">
        <v>49</v>
      </c>
      <c r="S76" s="49" t="s">
        <v>50</v>
      </c>
      <c r="T76" s="49" t="s">
        <v>50</v>
      </c>
      <c r="U76" s="34" t="s">
        <v>50</v>
      </c>
      <c r="V76" s="49" t="s">
        <v>50</v>
      </c>
      <c r="W76" s="49" t="s">
        <v>50</v>
      </c>
      <c r="X76" s="34" t="s">
        <v>50</v>
      </c>
      <c r="Y76" s="102"/>
    </row>
    <row r="77" spans="1:25" s="97" customFormat="1" x14ac:dyDescent="0.25">
      <c r="A77" s="194">
        <v>44021</v>
      </c>
      <c r="B77" s="97" t="s">
        <v>876</v>
      </c>
      <c r="C77" s="97" t="s">
        <v>88</v>
      </c>
      <c r="D77" s="34">
        <v>38.164729999999999</v>
      </c>
      <c r="E77" s="34">
        <v>-121.67961</v>
      </c>
      <c r="F77" s="97" t="s">
        <v>939</v>
      </c>
      <c r="G77" s="97" t="s">
        <v>90</v>
      </c>
      <c r="H77" s="97" t="s">
        <v>91</v>
      </c>
      <c r="I77" s="621">
        <v>0.47569444444444442</v>
      </c>
      <c r="J77" s="103">
        <v>135.57499999999999</v>
      </c>
      <c r="K77" s="103">
        <v>23.150000000000002</v>
      </c>
      <c r="L77" s="103">
        <v>7.4224999999999994</v>
      </c>
      <c r="M77" s="103">
        <v>1.7324999999999999</v>
      </c>
      <c r="N77" s="103">
        <v>9.875</v>
      </c>
      <c r="O77" s="34" t="s">
        <v>48</v>
      </c>
      <c r="P77" s="34">
        <v>4</v>
      </c>
      <c r="Q77" s="34">
        <v>10</v>
      </c>
      <c r="R77" s="34" t="s">
        <v>49</v>
      </c>
      <c r="S77" s="49" t="s">
        <v>50</v>
      </c>
      <c r="T77" s="49" t="s">
        <v>50</v>
      </c>
      <c r="U77" s="34" t="s">
        <v>50</v>
      </c>
      <c r="V77" s="49" t="s">
        <v>50</v>
      </c>
      <c r="W77" s="49" t="s">
        <v>50</v>
      </c>
      <c r="X77" s="34" t="s">
        <v>50</v>
      </c>
      <c r="Y77" s="102"/>
    </row>
    <row r="78" spans="1:25" s="153" customFormat="1" x14ac:dyDescent="0.25">
      <c r="A78" s="195">
        <v>44022</v>
      </c>
      <c r="B78" s="153" t="s">
        <v>940</v>
      </c>
      <c r="C78" s="153" t="s">
        <v>78</v>
      </c>
      <c r="D78" s="157">
        <v>38.070140000000002</v>
      </c>
      <c r="E78" s="157">
        <v>-121.99862</v>
      </c>
      <c r="F78" s="153" t="s">
        <v>941</v>
      </c>
      <c r="G78" s="153" t="s">
        <v>27</v>
      </c>
      <c r="H78" s="153" t="s">
        <v>86</v>
      </c>
      <c r="I78" s="636">
        <v>0.33333333333333331</v>
      </c>
      <c r="J78" s="156" t="s">
        <v>50</v>
      </c>
      <c r="K78" s="156" t="s">
        <v>50</v>
      </c>
      <c r="L78" s="156" t="s">
        <v>50</v>
      </c>
      <c r="M78" s="156" t="s">
        <v>50</v>
      </c>
      <c r="N78" s="156" t="s">
        <v>50</v>
      </c>
      <c r="O78" s="153" t="s">
        <v>48</v>
      </c>
      <c r="P78" s="153">
        <v>0</v>
      </c>
      <c r="Q78" s="153" t="s">
        <v>50</v>
      </c>
      <c r="R78" s="153" t="s">
        <v>50</v>
      </c>
      <c r="S78" s="158" t="s">
        <v>50</v>
      </c>
      <c r="T78" s="158" t="s">
        <v>50</v>
      </c>
      <c r="U78" s="157" t="s">
        <v>50</v>
      </c>
      <c r="V78" s="158" t="s">
        <v>50</v>
      </c>
      <c r="W78" s="158" t="s">
        <v>50</v>
      </c>
      <c r="X78" s="157" t="s">
        <v>50</v>
      </c>
      <c r="Y78" s="159" t="s">
        <v>858</v>
      </c>
    </row>
    <row r="79" spans="1:25" s="97" customFormat="1" x14ac:dyDescent="0.25">
      <c r="A79" s="194">
        <v>44022</v>
      </c>
      <c r="B79" s="97" t="s">
        <v>940</v>
      </c>
      <c r="C79" s="97" t="s">
        <v>78</v>
      </c>
      <c r="D79" s="34">
        <v>38.060200000000002</v>
      </c>
      <c r="E79" s="34">
        <v>-122.11452</v>
      </c>
      <c r="F79" s="97" t="s">
        <v>942</v>
      </c>
      <c r="G79" s="97" t="s">
        <v>80</v>
      </c>
      <c r="H79" s="97" t="s">
        <v>81</v>
      </c>
      <c r="I79" s="621">
        <v>0.40486111111111112</v>
      </c>
      <c r="J79" s="103">
        <v>22047</v>
      </c>
      <c r="K79" s="103">
        <v>20.625</v>
      </c>
      <c r="L79" s="103">
        <v>29.5</v>
      </c>
      <c r="M79" s="103">
        <v>0.51749999999999996</v>
      </c>
      <c r="N79" s="103">
        <v>6.4749999999999996</v>
      </c>
      <c r="O79" s="34" t="s">
        <v>48</v>
      </c>
      <c r="P79" s="34">
        <v>4</v>
      </c>
      <c r="Q79" s="34">
        <v>10</v>
      </c>
      <c r="R79" s="34" t="s">
        <v>49</v>
      </c>
      <c r="S79" s="49" t="s">
        <v>50</v>
      </c>
      <c r="T79" s="49" t="s">
        <v>50</v>
      </c>
      <c r="U79" s="34" t="s">
        <v>50</v>
      </c>
      <c r="V79" s="49" t="s">
        <v>50</v>
      </c>
      <c r="W79" s="49" t="s">
        <v>50</v>
      </c>
      <c r="X79" s="34" t="s">
        <v>50</v>
      </c>
      <c r="Y79" s="102" t="s">
        <v>943</v>
      </c>
    </row>
    <row r="80" spans="1:25" s="97" customFormat="1" x14ac:dyDescent="0.25">
      <c r="A80" s="194">
        <v>44022</v>
      </c>
      <c r="B80" s="97" t="s">
        <v>940</v>
      </c>
      <c r="C80" s="97" t="s">
        <v>78</v>
      </c>
      <c r="D80" s="34">
        <v>38.095329999999997</v>
      </c>
      <c r="E80" s="34">
        <v>-122.06853</v>
      </c>
      <c r="F80" s="97" t="s">
        <v>944</v>
      </c>
      <c r="G80" s="97" t="s">
        <v>27</v>
      </c>
      <c r="H80" s="97" t="s">
        <v>86</v>
      </c>
      <c r="I80" s="621">
        <v>0.34791666666666665</v>
      </c>
      <c r="J80" s="103">
        <v>16427.25</v>
      </c>
      <c r="K80" s="103">
        <v>20.799999999999997</v>
      </c>
      <c r="L80" s="103">
        <v>34.75</v>
      </c>
      <c r="M80" s="103">
        <v>0.46499999999999997</v>
      </c>
      <c r="N80" s="103">
        <v>9.9749999999999996</v>
      </c>
      <c r="O80" s="34" t="s">
        <v>48</v>
      </c>
      <c r="P80" s="34">
        <v>4</v>
      </c>
      <c r="Q80" s="34">
        <v>10</v>
      </c>
      <c r="R80" s="34" t="s">
        <v>49</v>
      </c>
      <c r="S80" s="49" t="s">
        <v>50</v>
      </c>
      <c r="T80" s="49" t="s">
        <v>50</v>
      </c>
      <c r="U80" s="34" t="s">
        <v>50</v>
      </c>
      <c r="V80" s="49" t="s">
        <v>50</v>
      </c>
      <c r="W80" s="49" t="s">
        <v>50</v>
      </c>
      <c r="X80" s="34" t="s">
        <v>50</v>
      </c>
      <c r="Y80" s="102"/>
    </row>
    <row r="81" spans="1:25" s="361" customFormat="1" x14ac:dyDescent="0.25">
      <c r="A81" s="360">
        <v>44022</v>
      </c>
      <c r="B81" s="361" t="s">
        <v>940</v>
      </c>
      <c r="C81" s="361" t="s">
        <v>78</v>
      </c>
      <c r="D81" s="578">
        <v>38.043340000000001</v>
      </c>
      <c r="E81" s="578">
        <v>-121.85375999999999</v>
      </c>
      <c r="F81" s="361" t="s">
        <v>945</v>
      </c>
      <c r="G81" s="361" t="s">
        <v>27</v>
      </c>
      <c r="H81" s="361" t="s">
        <v>101</v>
      </c>
      <c r="I81" s="618">
        <v>0.48749999999999999</v>
      </c>
      <c r="J81" s="639">
        <v>4541.5</v>
      </c>
      <c r="K81" s="639">
        <v>22.325000000000003</v>
      </c>
      <c r="L81" s="639">
        <v>31.25</v>
      </c>
      <c r="M81" s="639">
        <v>0.69</v>
      </c>
      <c r="N81" s="639">
        <v>11.25</v>
      </c>
      <c r="O81" s="578" t="s">
        <v>48</v>
      </c>
      <c r="P81" s="578">
        <v>4</v>
      </c>
      <c r="Q81" s="578">
        <v>10</v>
      </c>
      <c r="R81" s="578" t="s">
        <v>49</v>
      </c>
      <c r="S81" s="579" t="s">
        <v>50</v>
      </c>
      <c r="T81" s="579" t="s">
        <v>50</v>
      </c>
      <c r="U81" s="578" t="s">
        <v>50</v>
      </c>
      <c r="V81" s="579" t="s">
        <v>50</v>
      </c>
      <c r="W81" s="579" t="s">
        <v>50</v>
      </c>
      <c r="X81" s="578" t="s">
        <v>50</v>
      </c>
      <c r="Y81" s="366"/>
    </row>
    <row r="82" spans="1:25" s="97" customFormat="1" x14ac:dyDescent="0.25">
      <c r="A82" s="194">
        <v>44025</v>
      </c>
      <c r="B82" s="97" t="s">
        <v>43</v>
      </c>
      <c r="C82" s="34" t="s">
        <v>126</v>
      </c>
      <c r="D82" s="34">
        <v>38.251150000000003</v>
      </c>
      <c r="E82" s="34">
        <v>-121.71983</v>
      </c>
      <c r="F82" s="34" t="s">
        <v>946</v>
      </c>
      <c r="G82" s="34" t="s">
        <v>90</v>
      </c>
      <c r="H82" s="34" t="s">
        <v>845</v>
      </c>
      <c r="I82" s="621">
        <v>0.34652777777777777</v>
      </c>
      <c r="J82" s="103">
        <v>159.82499999999999</v>
      </c>
      <c r="K82" s="103">
        <v>23.75</v>
      </c>
      <c r="L82" s="103">
        <v>3.6500000000000004</v>
      </c>
      <c r="M82" s="103">
        <v>1.8</v>
      </c>
      <c r="N82" s="103">
        <v>4.1999999999999993</v>
      </c>
      <c r="O82" s="34" t="s">
        <v>48</v>
      </c>
      <c r="P82" s="34">
        <v>4</v>
      </c>
      <c r="Q82" s="34">
        <v>10</v>
      </c>
      <c r="R82" s="34" t="s">
        <v>64</v>
      </c>
      <c r="S82" s="49" t="s">
        <v>50</v>
      </c>
      <c r="T82" s="49" t="s">
        <v>50</v>
      </c>
      <c r="U82" s="34" t="s">
        <v>50</v>
      </c>
      <c r="V82" s="49" t="s">
        <v>50</v>
      </c>
      <c r="W82" s="49" t="s">
        <v>50</v>
      </c>
      <c r="X82" s="34" t="s">
        <v>50</v>
      </c>
      <c r="Y82" s="102"/>
    </row>
    <row r="83" spans="1:25" s="97" customFormat="1" x14ac:dyDescent="0.25">
      <c r="A83" s="194">
        <v>44025</v>
      </c>
      <c r="B83" s="97" t="s">
        <v>43</v>
      </c>
      <c r="C83" s="34" t="s">
        <v>126</v>
      </c>
      <c r="D83" s="34">
        <v>38.251690000000004</v>
      </c>
      <c r="E83" s="34">
        <v>-121.68786</v>
      </c>
      <c r="F83" s="34" t="s">
        <v>947</v>
      </c>
      <c r="G83" s="34" t="s">
        <v>90</v>
      </c>
      <c r="H83" s="34" t="s">
        <v>845</v>
      </c>
      <c r="I83" s="621">
        <v>0.40277777777777773</v>
      </c>
      <c r="J83" s="103">
        <v>144.1</v>
      </c>
      <c r="K83" s="103">
        <v>23.549999999999997</v>
      </c>
      <c r="L83" s="103">
        <v>6.1549999999999994</v>
      </c>
      <c r="M83" s="103">
        <v>1.665</v>
      </c>
      <c r="N83" s="103">
        <v>9.5500000000000007</v>
      </c>
      <c r="O83" s="34" t="s">
        <v>48</v>
      </c>
      <c r="P83" s="34">
        <v>4</v>
      </c>
      <c r="Q83" s="34">
        <v>10</v>
      </c>
      <c r="R83" s="34" t="s">
        <v>64</v>
      </c>
      <c r="S83" s="49" t="s">
        <v>50</v>
      </c>
      <c r="T83" s="49" t="s">
        <v>50</v>
      </c>
      <c r="U83" s="34" t="s">
        <v>50</v>
      </c>
      <c r="V83" s="49" t="s">
        <v>50</v>
      </c>
      <c r="W83" s="49" t="s">
        <v>50</v>
      </c>
      <c r="X83" s="34" t="s">
        <v>50</v>
      </c>
      <c r="Y83" s="102"/>
    </row>
    <row r="84" spans="1:25" s="97" customFormat="1" x14ac:dyDescent="0.25">
      <c r="A84" s="194">
        <v>44025</v>
      </c>
      <c r="B84" s="97" t="s">
        <v>43</v>
      </c>
      <c r="C84" s="34" t="s">
        <v>126</v>
      </c>
      <c r="D84" s="34">
        <v>38.27552</v>
      </c>
      <c r="E84" s="34">
        <v>-121.66553999999999</v>
      </c>
      <c r="F84" s="34" t="s">
        <v>948</v>
      </c>
      <c r="G84" s="34" t="s">
        <v>90</v>
      </c>
      <c r="H84" s="34" t="s">
        <v>845</v>
      </c>
      <c r="I84" s="621">
        <v>0.4513888888888889</v>
      </c>
      <c r="J84" s="103">
        <v>157.125</v>
      </c>
      <c r="K84" s="103">
        <v>23.575000000000003</v>
      </c>
      <c r="L84" s="103">
        <v>9.682500000000001</v>
      </c>
      <c r="M84" s="103">
        <v>1.2374999999999998</v>
      </c>
      <c r="N84" s="103">
        <v>6.4750000000000005</v>
      </c>
      <c r="O84" s="34" t="s">
        <v>48</v>
      </c>
      <c r="P84" s="34">
        <v>4</v>
      </c>
      <c r="Q84" s="34">
        <v>10</v>
      </c>
      <c r="R84" s="34" t="s">
        <v>64</v>
      </c>
      <c r="S84" s="49" t="s">
        <v>50</v>
      </c>
      <c r="T84" s="49" t="s">
        <v>50</v>
      </c>
      <c r="U84" s="34" t="s">
        <v>50</v>
      </c>
      <c r="V84" s="49" t="s">
        <v>50</v>
      </c>
      <c r="W84" s="49" t="s">
        <v>50</v>
      </c>
      <c r="X84" s="34" t="s">
        <v>50</v>
      </c>
      <c r="Y84" s="102"/>
    </row>
    <row r="85" spans="1:25" s="97" customFormat="1" x14ac:dyDescent="0.25">
      <c r="A85" s="194">
        <v>44025</v>
      </c>
      <c r="B85" s="97" t="s">
        <v>43</v>
      </c>
      <c r="C85" s="34" t="s">
        <v>78</v>
      </c>
      <c r="D85" s="34">
        <v>38.070250000000001</v>
      </c>
      <c r="E85" s="34">
        <v>-122.09304</v>
      </c>
      <c r="F85" s="34" t="s">
        <v>949</v>
      </c>
      <c r="G85" s="34" t="s">
        <v>80</v>
      </c>
      <c r="H85" s="34" t="s">
        <v>81</v>
      </c>
      <c r="I85" s="621">
        <v>0.34097222222222223</v>
      </c>
      <c r="J85" s="103">
        <v>17462.75</v>
      </c>
      <c r="K85" s="103">
        <v>21.700000000000003</v>
      </c>
      <c r="L85" s="103">
        <v>13.100000000000001</v>
      </c>
      <c r="M85" s="103">
        <v>0.68</v>
      </c>
      <c r="N85" s="103">
        <v>10.25</v>
      </c>
      <c r="O85" s="34" t="s">
        <v>48</v>
      </c>
      <c r="P85" s="34">
        <v>4</v>
      </c>
      <c r="Q85" s="34">
        <v>10</v>
      </c>
      <c r="R85" s="34" t="s">
        <v>64</v>
      </c>
      <c r="S85" s="49" t="s">
        <v>50</v>
      </c>
      <c r="T85" s="49" t="s">
        <v>50</v>
      </c>
      <c r="U85" s="34" t="s">
        <v>50</v>
      </c>
      <c r="V85" s="49" t="s">
        <v>50</v>
      </c>
      <c r="W85" s="49" t="s">
        <v>50</v>
      </c>
      <c r="X85" s="34" t="s">
        <v>50</v>
      </c>
      <c r="Y85" s="102"/>
    </row>
    <row r="86" spans="1:25" s="194" customFormat="1" x14ac:dyDescent="0.25">
      <c r="A86" s="194">
        <v>44025</v>
      </c>
      <c r="B86" s="97" t="s">
        <v>43</v>
      </c>
      <c r="C86" s="194" t="s">
        <v>78</v>
      </c>
      <c r="D86" s="98">
        <v>38.095379999999999</v>
      </c>
      <c r="E86" s="98">
        <v>-122.05591</v>
      </c>
      <c r="F86" s="194" t="s">
        <v>950</v>
      </c>
      <c r="G86" s="194" t="s">
        <v>27</v>
      </c>
      <c r="H86" s="34" t="s">
        <v>86</v>
      </c>
      <c r="I86" s="621">
        <v>0.42638888888888887</v>
      </c>
      <c r="J86" s="100">
        <v>17398.75</v>
      </c>
      <c r="K86" s="100">
        <v>21.85</v>
      </c>
      <c r="L86" s="100">
        <v>16.2</v>
      </c>
      <c r="M86" s="100">
        <v>0.70750000000000002</v>
      </c>
      <c r="N86" s="100">
        <v>6.1749999999999998</v>
      </c>
      <c r="O86" s="34" t="s">
        <v>48</v>
      </c>
      <c r="P86" s="34">
        <v>4</v>
      </c>
      <c r="Q86" s="34">
        <v>10</v>
      </c>
      <c r="R86" s="194" t="s">
        <v>64</v>
      </c>
      <c r="S86" s="194" t="s">
        <v>50</v>
      </c>
      <c r="T86" s="194" t="s">
        <v>50</v>
      </c>
      <c r="U86" s="194" t="s">
        <v>50</v>
      </c>
      <c r="V86" s="194" t="s">
        <v>50</v>
      </c>
      <c r="W86" s="194" t="s">
        <v>50</v>
      </c>
      <c r="X86" s="194" t="s">
        <v>50</v>
      </c>
    </row>
    <row r="87" spans="1:25" s="97" customFormat="1" x14ac:dyDescent="0.25">
      <c r="A87" s="194">
        <v>44025</v>
      </c>
      <c r="B87" s="97" t="s">
        <v>43</v>
      </c>
      <c r="C87" s="194" t="s">
        <v>78</v>
      </c>
      <c r="D87" s="98">
        <v>38.054540000000003</v>
      </c>
      <c r="E87" s="98">
        <v>-121.94078</v>
      </c>
      <c r="F87" s="194" t="s">
        <v>951</v>
      </c>
      <c r="G87" s="194" t="s">
        <v>27</v>
      </c>
      <c r="H87" s="34" t="s">
        <v>170</v>
      </c>
      <c r="I87" s="621">
        <v>0.45555555555555555</v>
      </c>
      <c r="J87" s="100">
        <v>8292.5</v>
      </c>
      <c r="K87" s="100">
        <v>22.7</v>
      </c>
      <c r="L87" s="100">
        <v>14.675000000000001</v>
      </c>
      <c r="M87" s="100">
        <v>0.875</v>
      </c>
      <c r="N87" s="101">
        <v>10.074999999999999</v>
      </c>
      <c r="O87" s="34" t="s">
        <v>48</v>
      </c>
      <c r="P87" s="34">
        <v>4</v>
      </c>
      <c r="Q87" s="34">
        <v>10</v>
      </c>
      <c r="R87" s="97" t="s">
        <v>64</v>
      </c>
      <c r="S87" s="194" t="s">
        <v>50</v>
      </c>
      <c r="T87" s="194" t="s">
        <v>50</v>
      </c>
      <c r="U87" s="194" t="s">
        <v>50</v>
      </c>
      <c r="V87" s="194" t="s">
        <v>50</v>
      </c>
      <c r="W87" s="194" t="s">
        <v>50</v>
      </c>
      <c r="X87" s="194" t="s">
        <v>50</v>
      </c>
      <c r="Y87" s="102"/>
    </row>
    <row r="88" spans="1:25" s="97" customFormat="1" x14ac:dyDescent="0.25">
      <c r="A88" s="194">
        <v>44025</v>
      </c>
      <c r="B88" s="97" t="s">
        <v>43</v>
      </c>
      <c r="C88" s="194" t="s">
        <v>95</v>
      </c>
      <c r="D88" s="98">
        <v>38.042409999999997</v>
      </c>
      <c r="E88" s="98">
        <v>-121.49879</v>
      </c>
      <c r="F88" s="194" t="s">
        <v>952</v>
      </c>
      <c r="G88" s="194" t="s">
        <v>886</v>
      </c>
      <c r="H88" s="34" t="s">
        <v>115</v>
      </c>
      <c r="I88" s="621">
        <v>0.36736111111111108</v>
      </c>
      <c r="J88" s="103">
        <v>169.55</v>
      </c>
      <c r="K88" s="103">
        <v>25.625</v>
      </c>
      <c r="L88" s="103">
        <v>4.16</v>
      </c>
      <c r="M88" s="103">
        <v>1.8</v>
      </c>
      <c r="N88" s="103">
        <v>10.924999999999999</v>
      </c>
      <c r="O88" s="34" t="s">
        <v>48</v>
      </c>
      <c r="P88" s="34">
        <v>4</v>
      </c>
      <c r="Q88" s="34">
        <v>10</v>
      </c>
      <c r="R88" s="34" t="s">
        <v>64</v>
      </c>
      <c r="S88" s="194" t="s">
        <v>50</v>
      </c>
      <c r="T88" s="194" t="s">
        <v>50</v>
      </c>
      <c r="U88" s="194" t="s">
        <v>50</v>
      </c>
      <c r="V88" s="194" t="s">
        <v>50</v>
      </c>
      <c r="W88" s="194" t="s">
        <v>50</v>
      </c>
      <c r="X88" s="194" t="s">
        <v>50</v>
      </c>
      <c r="Y88" s="102"/>
    </row>
    <row r="89" spans="1:25" s="97" customFormat="1" x14ac:dyDescent="0.25">
      <c r="A89" s="194">
        <v>44025</v>
      </c>
      <c r="B89" s="97" t="s">
        <v>43</v>
      </c>
      <c r="C89" s="194" t="s">
        <v>95</v>
      </c>
      <c r="D89" s="98">
        <v>38.072139999999997</v>
      </c>
      <c r="E89" s="98">
        <v>-121.57189</v>
      </c>
      <c r="F89" s="97" t="s">
        <v>953</v>
      </c>
      <c r="G89" s="97" t="s">
        <v>886</v>
      </c>
      <c r="H89" s="34" t="s">
        <v>115</v>
      </c>
      <c r="I89" s="621">
        <v>0.42152777777777778</v>
      </c>
      <c r="J89" s="100">
        <v>160.67500000000001</v>
      </c>
      <c r="K89" s="100">
        <v>24.725000000000001</v>
      </c>
      <c r="L89" s="100">
        <v>4.6349999999999998</v>
      </c>
      <c r="M89" s="100">
        <v>1.8</v>
      </c>
      <c r="N89" s="101">
        <v>7.7749999999999995</v>
      </c>
      <c r="O89" s="34" t="s">
        <v>48</v>
      </c>
      <c r="P89" s="34">
        <v>4</v>
      </c>
      <c r="Q89" s="34">
        <v>10</v>
      </c>
      <c r="R89" s="97" t="s">
        <v>64</v>
      </c>
      <c r="S89" s="194" t="s">
        <v>50</v>
      </c>
      <c r="T89" s="194" t="s">
        <v>50</v>
      </c>
      <c r="U89" s="194" t="s">
        <v>50</v>
      </c>
      <c r="V89" s="194" t="s">
        <v>50</v>
      </c>
      <c r="W89" s="194" t="s">
        <v>50</v>
      </c>
      <c r="X89" s="194" t="s">
        <v>50</v>
      </c>
      <c r="Y89" s="102"/>
    </row>
    <row r="90" spans="1:25" s="97" customFormat="1" x14ac:dyDescent="0.25">
      <c r="A90" s="194">
        <v>44025</v>
      </c>
      <c r="B90" s="97" t="s">
        <v>43</v>
      </c>
      <c r="C90" s="194" t="s">
        <v>95</v>
      </c>
      <c r="D90" s="98">
        <v>38.103340000000003</v>
      </c>
      <c r="E90" s="98">
        <v>-121.59477</v>
      </c>
      <c r="F90" s="97" t="s">
        <v>954</v>
      </c>
      <c r="G90" s="97" t="s">
        <v>886</v>
      </c>
      <c r="H90" s="34" t="s">
        <v>115</v>
      </c>
      <c r="I90" s="621">
        <v>0.47638888888888892</v>
      </c>
      <c r="J90" s="100">
        <v>164.625</v>
      </c>
      <c r="K90" s="100">
        <v>24.6</v>
      </c>
      <c r="L90" s="100">
        <v>4.6325000000000003</v>
      </c>
      <c r="M90" s="100">
        <v>1.8</v>
      </c>
      <c r="N90" s="101">
        <v>7.7249999999999996</v>
      </c>
      <c r="O90" s="34" t="s">
        <v>48</v>
      </c>
      <c r="P90" s="34">
        <v>4</v>
      </c>
      <c r="Q90" s="34">
        <v>10</v>
      </c>
      <c r="R90" s="97" t="s">
        <v>64</v>
      </c>
      <c r="S90" s="194" t="s">
        <v>50</v>
      </c>
      <c r="T90" s="194" t="s">
        <v>50</v>
      </c>
      <c r="U90" s="194" t="s">
        <v>50</v>
      </c>
      <c r="V90" s="194" t="s">
        <v>50</v>
      </c>
      <c r="W90" s="194" t="s">
        <v>50</v>
      </c>
      <c r="X90" s="194" t="s">
        <v>50</v>
      </c>
      <c r="Y90" s="102"/>
    </row>
    <row r="91" spans="1:25" s="97" customFormat="1" x14ac:dyDescent="0.25">
      <c r="A91" s="194">
        <v>44026</v>
      </c>
      <c r="B91" s="194" t="s">
        <v>849</v>
      </c>
      <c r="C91" s="97" t="s">
        <v>95</v>
      </c>
      <c r="D91" s="98">
        <v>38.025500000000001</v>
      </c>
      <c r="E91" s="98">
        <v>-121.75905</v>
      </c>
      <c r="F91" s="97" t="s">
        <v>955</v>
      </c>
      <c r="G91" s="97" t="s">
        <v>27</v>
      </c>
      <c r="H91" s="97" t="s">
        <v>863</v>
      </c>
      <c r="I91" s="621">
        <v>0.34583333333333338</v>
      </c>
      <c r="J91" s="100">
        <v>632</v>
      </c>
      <c r="K91" s="100">
        <v>23.725000000000001</v>
      </c>
      <c r="L91" s="100">
        <v>5.9325000000000001</v>
      </c>
      <c r="M91" s="100">
        <v>1.6800000000000002</v>
      </c>
      <c r="N91" s="100">
        <v>6.5750000000000002</v>
      </c>
      <c r="O91" s="34" t="s">
        <v>48</v>
      </c>
      <c r="P91" s="34">
        <v>4</v>
      </c>
      <c r="Q91" s="34">
        <v>10</v>
      </c>
      <c r="R91" s="97" t="s">
        <v>49</v>
      </c>
      <c r="S91" s="49" t="s">
        <v>50</v>
      </c>
      <c r="T91" s="49" t="s">
        <v>50</v>
      </c>
      <c r="U91" s="34" t="s">
        <v>50</v>
      </c>
      <c r="V91" s="49" t="s">
        <v>50</v>
      </c>
      <c r="W91" s="49" t="s">
        <v>50</v>
      </c>
      <c r="X91" s="34" t="s">
        <v>50</v>
      </c>
      <c r="Y91" s="102" t="s">
        <v>956</v>
      </c>
    </row>
    <row r="92" spans="1:25" s="97" customFormat="1" x14ac:dyDescent="0.25">
      <c r="A92" s="194">
        <v>44026</v>
      </c>
      <c r="B92" s="194" t="s">
        <v>849</v>
      </c>
      <c r="C92" s="97" t="s">
        <v>95</v>
      </c>
      <c r="D92" s="98">
        <v>38.037559999999999</v>
      </c>
      <c r="E92" s="98">
        <v>-121.71661</v>
      </c>
      <c r="F92" s="97" t="s">
        <v>957</v>
      </c>
      <c r="G92" s="97" t="s">
        <v>27</v>
      </c>
      <c r="H92" s="97" t="s">
        <v>863</v>
      </c>
      <c r="I92" s="621">
        <v>0.40625</v>
      </c>
      <c r="J92" s="103">
        <v>487.6</v>
      </c>
      <c r="K92" s="103">
        <v>23.825000000000003</v>
      </c>
      <c r="L92" s="103">
        <v>7.1875</v>
      </c>
      <c r="M92" s="103">
        <v>1.675</v>
      </c>
      <c r="N92" s="103">
        <v>9.1999999999999993</v>
      </c>
      <c r="O92" s="34" t="s">
        <v>48</v>
      </c>
      <c r="P92" s="34">
        <v>4</v>
      </c>
      <c r="Q92" s="34">
        <v>10</v>
      </c>
      <c r="R92" s="34" t="s">
        <v>64</v>
      </c>
      <c r="S92" s="194" t="s">
        <v>50</v>
      </c>
      <c r="T92" s="194" t="s">
        <v>50</v>
      </c>
      <c r="U92" s="194" t="s">
        <v>50</v>
      </c>
      <c r="V92" s="194" t="s">
        <v>50</v>
      </c>
      <c r="W92" s="194" t="s">
        <v>50</v>
      </c>
      <c r="X92" s="194" t="s">
        <v>50</v>
      </c>
      <c r="Y92" s="102"/>
    </row>
    <row r="93" spans="1:25" s="97" customFormat="1" x14ac:dyDescent="0.25">
      <c r="A93" s="194">
        <v>44026</v>
      </c>
      <c r="B93" s="194" t="s">
        <v>849</v>
      </c>
      <c r="C93" s="97" t="s">
        <v>95</v>
      </c>
      <c r="D93" s="98">
        <v>38.047080000000001</v>
      </c>
      <c r="E93" s="98">
        <v>-121.70267</v>
      </c>
      <c r="F93" s="97" t="s">
        <v>958</v>
      </c>
      <c r="G93" s="97" t="s">
        <v>27</v>
      </c>
      <c r="H93" s="97" t="s">
        <v>863</v>
      </c>
      <c r="I93" s="621">
        <v>0.4604166666666667</v>
      </c>
      <c r="J93" s="100">
        <v>543.25</v>
      </c>
      <c r="K93" s="100">
        <v>23.875</v>
      </c>
      <c r="L93" s="100">
        <v>7.5625</v>
      </c>
      <c r="M93" s="100">
        <v>1.4649999999999999</v>
      </c>
      <c r="N93" s="100">
        <v>5.125</v>
      </c>
      <c r="O93" s="34" t="s">
        <v>48</v>
      </c>
      <c r="P93" s="34">
        <v>4</v>
      </c>
      <c r="Q93" s="34">
        <v>10</v>
      </c>
      <c r="R93" s="97" t="s">
        <v>64</v>
      </c>
      <c r="S93" s="49" t="s">
        <v>50</v>
      </c>
      <c r="T93" s="49" t="s">
        <v>50</v>
      </c>
      <c r="U93" s="34" t="s">
        <v>50</v>
      </c>
      <c r="V93" s="49" t="s">
        <v>50</v>
      </c>
      <c r="W93" s="49" t="s">
        <v>50</v>
      </c>
      <c r="X93" s="34" t="s">
        <v>50</v>
      </c>
      <c r="Y93" s="102"/>
    </row>
    <row r="94" spans="1:25" s="97" customFormat="1" x14ac:dyDescent="0.25">
      <c r="A94" s="194">
        <v>44026</v>
      </c>
      <c r="B94" s="194" t="s">
        <v>849</v>
      </c>
      <c r="C94" s="34" t="s">
        <v>78</v>
      </c>
      <c r="D94" s="98">
        <v>38.045639999999999</v>
      </c>
      <c r="E94" s="98">
        <v>-122.11803</v>
      </c>
      <c r="F94" s="97" t="s">
        <v>959</v>
      </c>
      <c r="G94" s="34" t="s">
        <v>80</v>
      </c>
      <c r="H94" s="34" t="s">
        <v>81</v>
      </c>
      <c r="I94" s="621">
        <v>0.34236111111111112</v>
      </c>
      <c r="J94" s="103">
        <v>21524</v>
      </c>
      <c r="K94" s="103">
        <v>21.224999999999998</v>
      </c>
      <c r="L94" s="103">
        <v>15.775000000000002</v>
      </c>
      <c r="M94" s="103">
        <v>0.7649999999999999</v>
      </c>
      <c r="N94" s="103">
        <v>11.75</v>
      </c>
      <c r="O94" s="34" t="s">
        <v>48</v>
      </c>
      <c r="P94" s="34">
        <v>4</v>
      </c>
      <c r="Q94" s="34">
        <v>10</v>
      </c>
      <c r="R94" s="34" t="s">
        <v>64</v>
      </c>
      <c r="S94" s="49" t="s">
        <v>50</v>
      </c>
      <c r="T94" s="49" t="s">
        <v>50</v>
      </c>
      <c r="U94" s="34" t="s">
        <v>50</v>
      </c>
      <c r="V94" s="49" t="s">
        <v>50</v>
      </c>
      <c r="W94" s="49" t="s">
        <v>50</v>
      </c>
      <c r="X94" s="34" t="s">
        <v>50</v>
      </c>
      <c r="Y94" s="102"/>
    </row>
    <row r="95" spans="1:25" s="97" customFormat="1" x14ac:dyDescent="0.25">
      <c r="A95" s="194">
        <v>44026</v>
      </c>
      <c r="B95" s="194" t="s">
        <v>849</v>
      </c>
      <c r="C95" s="34" t="s">
        <v>78</v>
      </c>
      <c r="D95" s="98">
        <v>38.095799999999997</v>
      </c>
      <c r="E95" s="98">
        <v>-122.07273000000001</v>
      </c>
      <c r="F95" s="97" t="s">
        <v>960</v>
      </c>
      <c r="G95" s="34" t="s">
        <v>80</v>
      </c>
      <c r="H95" s="34" t="s">
        <v>81</v>
      </c>
      <c r="I95" s="621">
        <v>0.39861111111111108</v>
      </c>
      <c r="J95" s="100">
        <v>19117</v>
      </c>
      <c r="K95" s="100">
        <v>21.450000000000003</v>
      </c>
      <c r="L95" s="100">
        <v>21.324999999999999</v>
      </c>
      <c r="M95" s="100">
        <v>0.64249999999999996</v>
      </c>
      <c r="N95" s="100">
        <v>6.5749999999999993</v>
      </c>
      <c r="O95" s="34" t="s">
        <v>48</v>
      </c>
      <c r="P95" s="34">
        <v>4</v>
      </c>
      <c r="Q95" s="34">
        <v>10</v>
      </c>
      <c r="R95" s="97" t="s">
        <v>64</v>
      </c>
      <c r="S95" s="49" t="s">
        <v>50</v>
      </c>
      <c r="T95" s="49" t="s">
        <v>50</v>
      </c>
      <c r="U95" s="34" t="s">
        <v>50</v>
      </c>
      <c r="V95" s="49" t="s">
        <v>50</v>
      </c>
      <c r="W95" s="49" t="s">
        <v>50</v>
      </c>
      <c r="X95" s="34" t="s">
        <v>50</v>
      </c>
      <c r="Y95" s="102"/>
    </row>
    <row r="96" spans="1:25" s="97" customFormat="1" x14ac:dyDescent="0.25">
      <c r="A96" s="194">
        <v>44026</v>
      </c>
      <c r="B96" s="194" t="s">
        <v>849</v>
      </c>
      <c r="C96" s="97" t="s">
        <v>78</v>
      </c>
      <c r="D96" s="98">
        <v>38.04457</v>
      </c>
      <c r="E96" s="98">
        <v>-121.89959</v>
      </c>
      <c r="F96" s="97" t="s">
        <v>961</v>
      </c>
      <c r="G96" s="97" t="s">
        <v>27</v>
      </c>
      <c r="H96" s="97" t="s">
        <v>101</v>
      </c>
      <c r="I96" s="621">
        <v>0.46180555555555558</v>
      </c>
      <c r="J96" s="100">
        <v>7276.25</v>
      </c>
      <c r="K96" s="100">
        <v>22.6</v>
      </c>
      <c r="L96" s="100">
        <v>14</v>
      </c>
      <c r="M96" s="100">
        <v>0.9375</v>
      </c>
      <c r="N96" s="100">
        <v>16.3</v>
      </c>
      <c r="O96" s="34" t="s">
        <v>48</v>
      </c>
      <c r="P96" s="34">
        <v>4</v>
      </c>
      <c r="Q96" s="34">
        <v>10</v>
      </c>
      <c r="R96" s="97" t="s">
        <v>64</v>
      </c>
      <c r="S96" s="49" t="s">
        <v>50</v>
      </c>
      <c r="T96" s="49" t="s">
        <v>50</v>
      </c>
      <c r="U96" s="34" t="s">
        <v>50</v>
      </c>
      <c r="V96" s="49" t="s">
        <v>50</v>
      </c>
      <c r="W96" s="49" t="s">
        <v>50</v>
      </c>
      <c r="X96" s="34" t="s">
        <v>50</v>
      </c>
      <c r="Y96" s="102"/>
    </row>
    <row r="97" spans="1:25" s="97" customFormat="1" x14ac:dyDescent="0.25">
      <c r="A97" s="194">
        <v>44026</v>
      </c>
      <c r="B97" s="194" t="s">
        <v>849</v>
      </c>
      <c r="C97" s="34" t="s">
        <v>126</v>
      </c>
      <c r="D97" s="98">
        <v>38.260010000000001</v>
      </c>
      <c r="E97" s="98">
        <v>-121.74077</v>
      </c>
      <c r="F97" s="97" t="s">
        <v>962</v>
      </c>
      <c r="G97" s="34" t="s">
        <v>90</v>
      </c>
      <c r="H97" s="34" t="s">
        <v>845</v>
      </c>
      <c r="I97" s="621">
        <v>0.34513888888888888</v>
      </c>
      <c r="J97" s="100">
        <v>162.72499999999999</v>
      </c>
      <c r="K97" s="100">
        <v>22.725000000000001</v>
      </c>
      <c r="L97" s="100">
        <v>5.7700000000000005</v>
      </c>
      <c r="M97" s="100">
        <v>1.385</v>
      </c>
      <c r="N97" s="100">
        <v>4.6999999999999993</v>
      </c>
      <c r="O97" s="34" t="s">
        <v>48</v>
      </c>
      <c r="P97" s="34">
        <v>4</v>
      </c>
      <c r="Q97" s="34">
        <v>10</v>
      </c>
      <c r="R97" s="97" t="s">
        <v>49</v>
      </c>
      <c r="S97" s="49" t="s">
        <v>50</v>
      </c>
      <c r="T97" s="49" t="s">
        <v>50</v>
      </c>
      <c r="U97" s="34" t="s">
        <v>50</v>
      </c>
      <c r="V97" s="49" t="s">
        <v>50</v>
      </c>
      <c r="W97" s="49" t="s">
        <v>50</v>
      </c>
      <c r="X97" s="34" t="s">
        <v>50</v>
      </c>
      <c r="Y97" s="102" t="s">
        <v>963</v>
      </c>
    </row>
    <row r="98" spans="1:25" s="153" customFormat="1" x14ac:dyDescent="0.25">
      <c r="A98" s="195">
        <v>44026</v>
      </c>
      <c r="B98" s="195" t="s">
        <v>849</v>
      </c>
      <c r="C98" s="157" t="s">
        <v>126</v>
      </c>
      <c r="D98" s="154">
        <v>38.277079999999998</v>
      </c>
      <c r="E98" s="154">
        <v>-121.70739</v>
      </c>
      <c r="F98" s="153" t="s">
        <v>964</v>
      </c>
      <c r="G98" s="157" t="s">
        <v>90</v>
      </c>
      <c r="H98" s="157" t="s">
        <v>845</v>
      </c>
      <c r="I98" s="636">
        <v>0.44097222222222227</v>
      </c>
      <c r="J98" s="156" t="s">
        <v>50</v>
      </c>
      <c r="K98" s="156" t="s">
        <v>50</v>
      </c>
      <c r="L98" s="156" t="s">
        <v>50</v>
      </c>
      <c r="M98" s="156" t="s">
        <v>50</v>
      </c>
      <c r="N98" s="156" t="s">
        <v>50</v>
      </c>
      <c r="O98" s="157" t="s">
        <v>48</v>
      </c>
      <c r="P98" s="153">
        <v>0</v>
      </c>
      <c r="Q98" s="153" t="s">
        <v>50</v>
      </c>
      <c r="R98" s="153" t="s">
        <v>50</v>
      </c>
      <c r="S98" s="158" t="s">
        <v>50</v>
      </c>
      <c r="T98" s="158" t="s">
        <v>50</v>
      </c>
      <c r="U98" s="157" t="s">
        <v>50</v>
      </c>
      <c r="V98" s="158" t="s">
        <v>50</v>
      </c>
      <c r="W98" s="158" t="s">
        <v>50</v>
      </c>
      <c r="X98" s="157" t="s">
        <v>50</v>
      </c>
      <c r="Y98" s="159" t="s">
        <v>965</v>
      </c>
    </row>
    <row r="99" spans="1:25" s="153" customFormat="1" x14ac:dyDescent="0.25">
      <c r="A99" s="195">
        <v>44026</v>
      </c>
      <c r="B99" s="195" t="s">
        <v>849</v>
      </c>
      <c r="C99" s="157" t="s">
        <v>126</v>
      </c>
      <c r="D99" s="154">
        <v>38.259970000000003</v>
      </c>
      <c r="E99" s="154">
        <v>-121.69427</v>
      </c>
      <c r="F99" s="153" t="s">
        <v>966</v>
      </c>
      <c r="G99" s="157" t="s">
        <v>90</v>
      </c>
      <c r="H99" s="157" t="s">
        <v>845</v>
      </c>
      <c r="I99" s="636">
        <v>0.45</v>
      </c>
      <c r="J99" s="156" t="s">
        <v>50</v>
      </c>
      <c r="K99" s="156" t="s">
        <v>50</v>
      </c>
      <c r="L99" s="156" t="s">
        <v>50</v>
      </c>
      <c r="M99" s="156" t="s">
        <v>50</v>
      </c>
      <c r="N99" s="156" t="s">
        <v>50</v>
      </c>
      <c r="O99" s="157" t="s">
        <v>48</v>
      </c>
      <c r="P99" s="153">
        <v>0</v>
      </c>
      <c r="Q99" s="153" t="s">
        <v>50</v>
      </c>
      <c r="R99" s="153" t="s">
        <v>50</v>
      </c>
      <c r="S99" s="158" t="s">
        <v>50</v>
      </c>
      <c r="T99" s="158" t="s">
        <v>50</v>
      </c>
      <c r="U99" s="157" t="s">
        <v>50</v>
      </c>
      <c r="V99" s="158" t="s">
        <v>50</v>
      </c>
      <c r="W99" s="158" t="s">
        <v>50</v>
      </c>
      <c r="X99" s="157" t="s">
        <v>50</v>
      </c>
      <c r="Y99" s="159" t="s">
        <v>965</v>
      </c>
    </row>
    <row r="100" spans="1:25" s="97" customFormat="1" x14ac:dyDescent="0.25">
      <c r="A100" s="194">
        <v>44026</v>
      </c>
      <c r="B100" s="194" t="s">
        <v>849</v>
      </c>
      <c r="C100" s="34" t="s">
        <v>126</v>
      </c>
      <c r="D100" s="98">
        <v>38.246949999999998</v>
      </c>
      <c r="E100" s="98">
        <v>-121.67688</v>
      </c>
      <c r="F100" s="97" t="s">
        <v>967</v>
      </c>
      <c r="G100" s="34" t="s">
        <v>90</v>
      </c>
      <c r="H100" s="34" t="s">
        <v>845</v>
      </c>
      <c r="I100" s="621">
        <v>0.51736111111111105</v>
      </c>
      <c r="J100" s="100">
        <v>138.44999999999999</v>
      </c>
      <c r="K100" s="100">
        <v>23.4</v>
      </c>
      <c r="L100" s="100">
        <v>6.7175000000000002</v>
      </c>
      <c r="M100" s="100">
        <v>1.5124999999999997</v>
      </c>
      <c r="N100" s="100">
        <v>9.125</v>
      </c>
      <c r="O100" s="34" t="s">
        <v>48</v>
      </c>
      <c r="P100" s="34">
        <v>4</v>
      </c>
      <c r="Q100" s="34">
        <v>10</v>
      </c>
      <c r="R100" s="97" t="s">
        <v>64</v>
      </c>
      <c r="S100" s="49" t="s">
        <v>50</v>
      </c>
      <c r="T100" s="49" t="s">
        <v>50</v>
      </c>
      <c r="U100" s="34" t="s">
        <v>50</v>
      </c>
      <c r="V100" s="49" t="s">
        <v>50</v>
      </c>
      <c r="W100" s="49" t="s">
        <v>50</v>
      </c>
      <c r="X100" s="34" t="s">
        <v>50</v>
      </c>
      <c r="Y100" s="159"/>
    </row>
    <row r="101" spans="1:25" s="153" customFormat="1" x14ac:dyDescent="0.25">
      <c r="A101" s="195">
        <v>44026</v>
      </c>
      <c r="B101" s="195" t="s">
        <v>849</v>
      </c>
      <c r="C101" s="157" t="s">
        <v>126</v>
      </c>
      <c r="D101" s="154">
        <v>38.445010000000003</v>
      </c>
      <c r="E101" s="154">
        <v>-121.60120999999999</v>
      </c>
      <c r="F101" s="153" t="s">
        <v>968</v>
      </c>
      <c r="G101" s="157" t="s">
        <v>90</v>
      </c>
      <c r="H101" s="157" t="s">
        <v>845</v>
      </c>
      <c r="I101" s="636">
        <v>0.46180555555555558</v>
      </c>
      <c r="J101" s="156" t="s">
        <v>50</v>
      </c>
      <c r="K101" s="156" t="s">
        <v>50</v>
      </c>
      <c r="L101" s="156" t="s">
        <v>50</v>
      </c>
      <c r="M101" s="156" t="s">
        <v>50</v>
      </c>
      <c r="N101" s="156" t="s">
        <v>50</v>
      </c>
      <c r="O101" s="157" t="s">
        <v>48</v>
      </c>
      <c r="P101" s="153">
        <v>0</v>
      </c>
      <c r="Q101" s="153" t="s">
        <v>50</v>
      </c>
      <c r="R101" s="153" t="s">
        <v>50</v>
      </c>
      <c r="S101" s="158" t="s">
        <v>50</v>
      </c>
      <c r="T101" s="158" t="s">
        <v>50</v>
      </c>
      <c r="U101" s="157" t="s">
        <v>50</v>
      </c>
      <c r="V101" s="158" t="s">
        <v>50</v>
      </c>
      <c r="W101" s="158" t="s">
        <v>50</v>
      </c>
      <c r="X101" s="157" t="s">
        <v>50</v>
      </c>
      <c r="Y101" s="159" t="s">
        <v>858</v>
      </c>
    </row>
    <row r="102" spans="1:25" s="97" customFormat="1" x14ac:dyDescent="0.25">
      <c r="A102" s="194">
        <v>44026</v>
      </c>
      <c r="B102" s="194" t="s">
        <v>849</v>
      </c>
      <c r="C102" s="34" t="s">
        <v>126</v>
      </c>
      <c r="D102" s="98">
        <v>38.251710000000003</v>
      </c>
      <c r="E102" s="98">
        <v>-121.67305</v>
      </c>
      <c r="F102" s="97" t="s">
        <v>969</v>
      </c>
      <c r="G102" s="34" t="s">
        <v>90</v>
      </c>
      <c r="H102" s="34" t="s">
        <v>845</v>
      </c>
      <c r="I102" s="621">
        <v>0.47013888888888888</v>
      </c>
      <c r="J102" s="100">
        <v>145.94999999999999</v>
      </c>
      <c r="K102" s="100">
        <v>22.924999999999997</v>
      </c>
      <c r="L102" s="100">
        <v>7.8275000000000006</v>
      </c>
      <c r="M102" s="100">
        <v>1.2175</v>
      </c>
      <c r="N102" s="100">
        <v>6.3250000000000002</v>
      </c>
      <c r="O102" s="34" t="s">
        <v>48</v>
      </c>
      <c r="P102" s="34">
        <v>4</v>
      </c>
      <c r="Q102" s="34">
        <v>10</v>
      </c>
      <c r="R102" s="97" t="s">
        <v>64</v>
      </c>
      <c r="S102" s="49" t="s">
        <v>50</v>
      </c>
      <c r="T102" s="49" t="s">
        <v>50</v>
      </c>
      <c r="U102" s="34" t="s">
        <v>50</v>
      </c>
      <c r="V102" s="49" t="s">
        <v>50</v>
      </c>
      <c r="W102" s="49" t="s">
        <v>50</v>
      </c>
      <c r="X102" s="34" t="s">
        <v>50</v>
      </c>
      <c r="Y102" s="102" t="s">
        <v>903</v>
      </c>
    </row>
    <row r="103" spans="1:25" s="591" customFormat="1" x14ac:dyDescent="0.25">
      <c r="A103" s="590">
        <v>44027</v>
      </c>
      <c r="B103" s="591" t="s">
        <v>915</v>
      </c>
      <c r="C103" s="591" t="s">
        <v>106</v>
      </c>
      <c r="D103" s="592">
        <v>38.421010000000003</v>
      </c>
      <c r="E103" s="592">
        <v>-121.60737</v>
      </c>
      <c r="F103" s="591" t="s">
        <v>970</v>
      </c>
      <c r="G103" s="591" t="s">
        <v>90</v>
      </c>
      <c r="H103" s="591" t="s">
        <v>108</v>
      </c>
      <c r="I103" s="619">
        <v>0.36458333333333331</v>
      </c>
      <c r="J103" s="593">
        <v>696.33333330000005</v>
      </c>
      <c r="K103" s="593">
        <v>23.333333329999999</v>
      </c>
      <c r="L103" s="593">
        <v>22.333333329999999</v>
      </c>
      <c r="M103" s="593">
        <v>0.56000000000000005</v>
      </c>
      <c r="N103" s="594">
        <v>6.8333333329999997</v>
      </c>
      <c r="O103" s="591" t="s">
        <v>48</v>
      </c>
      <c r="P103" s="591">
        <v>3</v>
      </c>
      <c r="Q103" s="591">
        <v>10</v>
      </c>
      <c r="R103" s="591" t="s">
        <v>49</v>
      </c>
      <c r="S103" s="559" t="s">
        <v>323</v>
      </c>
      <c r="T103" s="569">
        <v>1</v>
      </c>
      <c r="U103" s="568">
        <v>43</v>
      </c>
      <c r="V103" s="569" t="s">
        <v>66</v>
      </c>
      <c r="W103" s="569" t="s">
        <v>50</v>
      </c>
      <c r="X103" s="568" t="s">
        <v>50</v>
      </c>
      <c r="Y103" s="455" t="s">
        <v>894</v>
      </c>
    </row>
    <row r="104" spans="1:25" s="97" customFormat="1" x14ac:dyDescent="0.25">
      <c r="A104" s="194">
        <v>44027</v>
      </c>
      <c r="B104" s="97" t="s">
        <v>915</v>
      </c>
      <c r="C104" s="97" t="s">
        <v>106</v>
      </c>
      <c r="D104" s="98">
        <v>38.324280000000002</v>
      </c>
      <c r="E104" s="98">
        <v>-121.64928</v>
      </c>
      <c r="F104" s="97" t="s">
        <v>971</v>
      </c>
      <c r="G104" s="97" t="s">
        <v>90</v>
      </c>
      <c r="H104" s="97" t="s">
        <v>108</v>
      </c>
      <c r="I104" s="621">
        <v>0.4152777777777778</v>
      </c>
      <c r="J104" s="100">
        <v>356.6</v>
      </c>
      <c r="K104" s="100">
        <v>23.274999999999999</v>
      </c>
      <c r="L104" s="100">
        <v>20.425000000000001</v>
      </c>
      <c r="M104" s="100">
        <v>0.64</v>
      </c>
      <c r="N104" s="101">
        <v>9.85</v>
      </c>
      <c r="O104" s="97" t="s">
        <v>48</v>
      </c>
      <c r="P104" s="97">
        <v>4</v>
      </c>
      <c r="Q104" s="97">
        <v>10</v>
      </c>
      <c r="R104" s="97" t="s">
        <v>49</v>
      </c>
      <c r="S104" s="49" t="s">
        <v>50</v>
      </c>
      <c r="T104" s="49" t="s">
        <v>50</v>
      </c>
      <c r="U104" s="34" t="s">
        <v>50</v>
      </c>
      <c r="V104" s="40" t="s">
        <v>50</v>
      </c>
      <c r="W104" s="40" t="s">
        <v>50</v>
      </c>
      <c r="X104" s="235" t="s">
        <v>50</v>
      </c>
      <c r="Y104" s="102" t="s">
        <v>972</v>
      </c>
    </row>
    <row r="105" spans="1:25" s="97" customFormat="1" x14ac:dyDescent="0.25">
      <c r="A105" s="194">
        <v>44027</v>
      </c>
      <c r="B105" s="97" t="s">
        <v>915</v>
      </c>
      <c r="C105" s="97" t="s">
        <v>106</v>
      </c>
      <c r="D105" s="98">
        <v>38.181800000000003</v>
      </c>
      <c r="E105" s="98">
        <v>-121.66201</v>
      </c>
      <c r="F105" s="97" t="s">
        <v>973</v>
      </c>
      <c r="G105" s="97" t="s">
        <v>90</v>
      </c>
      <c r="H105" s="97" t="s">
        <v>108</v>
      </c>
      <c r="I105" s="621">
        <v>0.48472222222222222</v>
      </c>
      <c r="J105" s="100">
        <v>124.35</v>
      </c>
      <c r="K105" s="100">
        <v>23.574999999999999</v>
      </c>
      <c r="L105" s="100">
        <v>5.89</v>
      </c>
      <c r="M105" s="100">
        <v>1.8</v>
      </c>
      <c r="N105" s="101">
        <v>8.0250000000000004</v>
      </c>
      <c r="O105" s="97" t="s">
        <v>48</v>
      </c>
      <c r="P105" s="97">
        <v>4</v>
      </c>
      <c r="Q105" s="97">
        <v>10</v>
      </c>
      <c r="R105" s="97" t="s">
        <v>64</v>
      </c>
      <c r="S105" s="40" t="s">
        <v>50</v>
      </c>
      <c r="T105" s="40" t="s">
        <v>50</v>
      </c>
      <c r="U105" s="235" t="s">
        <v>50</v>
      </c>
      <c r="V105" s="40" t="s">
        <v>50</v>
      </c>
      <c r="W105" s="40" t="s">
        <v>50</v>
      </c>
      <c r="X105" s="235" t="s">
        <v>50</v>
      </c>
      <c r="Y105" s="102"/>
    </row>
    <row r="106" spans="1:25" s="97" customFormat="1" x14ac:dyDescent="0.25">
      <c r="A106" s="194">
        <v>44027</v>
      </c>
      <c r="B106" s="97" t="s">
        <v>915</v>
      </c>
      <c r="C106" s="97" t="s">
        <v>62</v>
      </c>
      <c r="D106" s="98">
        <v>38.158209999999997</v>
      </c>
      <c r="E106" s="98">
        <v>-121.92568</v>
      </c>
      <c r="F106" s="97" t="s">
        <v>974</v>
      </c>
      <c r="G106" s="97" t="s">
        <v>27</v>
      </c>
      <c r="H106" s="97" t="s">
        <v>62</v>
      </c>
      <c r="I106" s="621">
        <v>0.33888888888888885</v>
      </c>
      <c r="J106" s="100">
        <v>8559.5</v>
      </c>
      <c r="K106" s="100">
        <v>22.375</v>
      </c>
      <c r="L106" s="100">
        <v>15.4</v>
      </c>
      <c r="M106" s="100">
        <v>0.65500000000000003</v>
      </c>
      <c r="N106" s="101">
        <v>3.8250000000000002</v>
      </c>
      <c r="O106" s="97" t="s">
        <v>48</v>
      </c>
      <c r="P106" s="97">
        <v>4</v>
      </c>
      <c r="Q106" s="97">
        <v>10</v>
      </c>
      <c r="R106" s="97" t="s">
        <v>49</v>
      </c>
      <c r="S106" s="40" t="s">
        <v>50</v>
      </c>
      <c r="T106" s="40" t="s">
        <v>50</v>
      </c>
      <c r="U106" s="235" t="s">
        <v>50</v>
      </c>
      <c r="V106" s="40" t="s">
        <v>50</v>
      </c>
      <c r="W106" s="40" t="s">
        <v>50</v>
      </c>
      <c r="X106" s="235" t="s">
        <v>50</v>
      </c>
      <c r="Y106" s="102"/>
    </row>
    <row r="107" spans="1:25" s="97" customFormat="1" x14ac:dyDescent="0.25">
      <c r="A107" s="194">
        <v>44027</v>
      </c>
      <c r="B107" s="97" t="s">
        <v>915</v>
      </c>
      <c r="C107" s="97" t="s">
        <v>62</v>
      </c>
      <c r="D107" s="98">
        <v>38.207859999999997</v>
      </c>
      <c r="E107" s="98">
        <v>-122.03382999999999</v>
      </c>
      <c r="F107" s="97" t="s">
        <v>975</v>
      </c>
      <c r="G107" s="97" t="s">
        <v>27</v>
      </c>
      <c r="H107" s="97" t="s">
        <v>62</v>
      </c>
      <c r="I107" s="621">
        <v>0.41319444444444442</v>
      </c>
      <c r="J107" s="100">
        <v>8665</v>
      </c>
      <c r="K107" s="100">
        <v>21.475000000000001</v>
      </c>
      <c r="L107" s="100">
        <v>34.950000000000003</v>
      </c>
      <c r="M107" s="100">
        <v>0.375</v>
      </c>
      <c r="N107" s="101">
        <v>5.7</v>
      </c>
      <c r="O107" s="97" t="s">
        <v>48</v>
      </c>
      <c r="P107" s="97">
        <v>4</v>
      </c>
      <c r="Q107" s="97">
        <v>10</v>
      </c>
      <c r="R107" s="97" t="s">
        <v>64</v>
      </c>
      <c r="S107" s="40" t="s">
        <v>50</v>
      </c>
      <c r="T107" s="40" t="s">
        <v>50</v>
      </c>
      <c r="U107" s="235" t="s">
        <v>50</v>
      </c>
      <c r="V107" s="40" t="s">
        <v>50</v>
      </c>
      <c r="W107" s="40" t="s">
        <v>50</v>
      </c>
      <c r="X107" s="235" t="s">
        <v>50</v>
      </c>
      <c r="Y107" s="102" t="s">
        <v>976</v>
      </c>
    </row>
    <row r="108" spans="1:25" s="97" customFormat="1" x14ac:dyDescent="0.25">
      <c r="A108" s="194">
        <v>44027</v>
      </c>
      <c r="B108" s="97" t="s">
        <v>915</v>
      </c>
      <c r="C108" s="97" t="s">
        <v>62</v>
      </c>
      <c r="D108" s="98">
        <v>38.138240000000003</v>
      </c>
      <c r="E108" s="98">
        <v>-122.06072</v>
      </c>
      <c r="F108" s="97" t="s">
        <v>977</v>
      </c>
      <c r="G108" s="97" t="s">
        <v>27</v>
      </c>
      <c r="H108" s="97" t="s">
        <v>62</v>
      </c>
      <c r="I108" s="621">
        <v>0.47569444444444442</v>
      </c>
      <c r="J108" s="100">
        <v>14850.75</v>
      </c>
      <c r="K108" s="100">
        <v>22.05</v>
      </c>
      <c r="L108" s="100">
        <v>48</v>
      </c>
      <c r="M108" s="100">
        <v>0.32</v>
      </c>
      <c r="N108" s="100">
        <v>10.074999999999999</v>
      </c>
      <c r="O108" s="97" t="s">
        <v>48</v>
      </c>
      <c r="P108" s="97">
        <v>4</v>
      </c>
      <c r="Q108" s="97">
        <v>10</v>
      </c>
      <c r="R108" s="97" t="s">
        <v>64</v>
      </c>
      <c r="S108" s="40" t="s">
        <v>50</v>
      </c>
      <c r="T108" s="40" t="s">
        <v>50</v>
      </c>
      <c r="U108" s="235" t="s">
        <v>50</v>
      </c>
      <c r="V108" s="40" t="s">
        <v>50</v>
      </c>
      <c r="W108" s="40" t="s">
        <v>50</v>
      </c>
      <c r="X108" s="235" t="s">
        <v>50</v>
      </c>
      <c r="Y108" s="102"/>
    </row>
    <row r="109" spans="1:25" s="97" customFormat="1" x14ac:dyDescent="0.25">
      <c r="A109" s="194">
        <v>44027</v>
      </c>
      <c r="B109" s="97" t="s">
        <v>915</v>
      </c>
      <c r="C109" s="97" t="s">
        <v>88</v>
      </c>
      <c r="D109" s="98">
        <v>38.139670000000002</v>
      </c>
      <c r="E109" s="98">
        <v>-121.69237</v>
      </c>
      <c r="F109" s="97" t="s">
        <v>978</v>
      </c>
      <c r="G109" s="97" t="s">
        <v>90</v>
      </c>
      <c r="H109" s="97" t="s">
        <v>91</v>
      </c>
      <c r="I109" s="621">
        <v>0.36805555555555558</v>
      </c>
      <c r="J109" s="100">
        <v>124.125</v>
      </c>
      <c r="K109" s="100">
        <v>23.574999999999999</v>
      </c>
      <c r="L109" s="100">
        <v>6.77</v>
      </c>
      <c r="M109" s="100">
        <v>1.7749999999999999</v>
      </c>
      <c r="N109" s="101">
        <v>10.15</v>
      </c>
      <c r="O109" s="97" t="s">
        <v>48</v>
      </c>
      <c r="P109" s="97">
        <v>4</v>
      </c>
      <c r="Q109" s="97">
        <v>10</v>
      </c>
      <c r="R109" s="97" t="s">
        <v>49</v>
      </c>
      <c r="S109" s="40" t="s">
        <v>50</v>
      </c>
      <c r="T109" s="40" t="s">
        <v>50</v>
      </c>
      <c r="U109" s="235" t="s">
        <v>50</v>
      </c>
      <c r="V109" s="40" t="s">
        <v>50</v>
      </c>
      <c r="W109" s="40" t="s">
        <v>50</v>
      </c>
      <c r="X109" s="235" t="s">
        <v>50</v>
      </c>
      <c r="Y109" s="102"/>
    </row>
    <row r="110" spans="1:25" s="97" customFormat="1" x14ac:dyDescent="0.25">
      <c r="A110" s="194">
        <v>44027</v>
      </c>
      <c r="B110" s="97" t="s">
        <v>915</v>
      </c>
      <c r="C110" s="97" t="s">
        <v>88</v>
      </c>
      <c r="D110" s="98">
        <v>38.100650000000002</v>
      </c>
      <c r="E110" s="98">
        <v>-121.72488</v>
      </c>
      <c r="F110" s="97" t="s">
        <v>979</v>
      </c>
      <c r="G110" s="97" t="s">
        <v>90</v>
      </c>
      <c r="H110" s="97" t="s">
        <v>91</v>
      </c>
      <c r="I110" s="621">
        <v>0.43333333333333335</v>
      </c>
      <c r="J110" s="100">
        <v>131.52500000000001</v>
      </c>
      <c r="K110" s="100">
        <v>23.7</v>
      </c>
      <c r="L110" s="100">
        <v>7.1124999999999998</v>
      </c>
      <c r="M110" s="100">
        <v>1.8</v>
      </c>
      <c r="N110" s="101">
        <v>8.0500000000000007</v>
      </c>
      <c r="O110" s="97" t="s">
        <v>48</v>
      </c>
      <c r="P110" s="97">
        <v>4</v>
      </c>
      <c r="Q110" s="97">
        <v>10</v>
      </c>
      <c r="R110" s="97" t="s">
        <v>64</v>
      </c>
      <c r="S110" s="40" t="s">
        <v>50</v>
      </c>
      <c r="T110" s="40" t="s">
        <v>50</v>
      </c>
      <c r="U110" s="235" t="s">
        <v>50</v>
      </c>
      <c r="V110" s="40" t="s">
        <v>50</v>
      </c>
      <c r="W110" s="40" t="s">
        <v>50</v>
      </c>
      <c r="X110" s="235" t="s">
        <v>50</v>
      </c>
      <c r="Y110" s="102"/>
    </row>
    <row r="111" spans="1:25" s="97" customFormat="1" x14ac:dyDescent="0.25">
      <c r="A111" s="194">
        <v>44027</v>
      </c>
      <c r="B111" s="97" t="s">
        <v>915</v>
      </c>
      <c r="C111" s="97" t="s">
        <v>88</v>
      </c>
      <c r="D111" s="98">
        <v>38.063800000000001</v>
      </c>
      <c r="E111" s="98">
        <v>-121.82946</v>
      </c>
      <c r="F111" s="97" t="s">
        <v>980</v>
      </c>
      <c r="G111" s="97" t="s">
        <v>27</v>
      </c>
      <c r="H111" s="97" t="s">
        <v>25</v>
      </c>
      <c r="I111" s="621">
        <v>0.49652777777777773</v>
      </c>
      <c r="J111" s="100">
        <v>3799.75</v>
      </c>
      <c r="K111" s="100">
        <v>22.475000000000001</v>
      </c>
      <c r="L111" s="100">
        <v>14.4</v>
      </c>
      <c r="M111" s="100">
        <v>0.73250000000000004</v>
      </c>
      <c r="N111" s="101">
        <v>10.625</v>
      </c>
      <c r="O111" s="97" t="s">
        <v>48</v>
      </c>
      <c r="P111" s="97">
        <v>4</v>
      </c>
      <c r="Q111" s="97">
        <v>10</v>
      </c>
      <c r="R111" s="97" t="s">
        <v>64</v>
      </c>
      <c r="S111" s="40" t="s">
        <v>50</v>
      </c>
      <c r="T111" s="40" t="s">
        <v>50</v>
      </c>
      <c r="U111" s="235" t="s">
        <v>50</v>
      </c>
      <c r="V111" s="40" t="s">
        <v>50</v>
      </c>
      <c r="W111" s="40" t="s">
        <v>50</v>
      </c>
      <c r="X111" s="235" t="s">
        <v>50</v>
      </c>
      <c r="Y111" s="102"/>
    </row>
    <row r="112" spans="1:25" s="97" customFormat="1" x14ac:dyDescent="0.25">
      <c r="A112" s="194">
        <v>44028</v>
      </c>
      <c r="B112" s="97" t="s">
        <v>876</v>
      </c>
      <c r="C112" s="97" t="s">
        <v>106</v>
      </c>
      <c r="D112" s="98">
        <v>38.503410000000002</v>
      </c>
      <c r="E112" s="98">
        <v>-121.58453</v>
      </c>
      <c r="F112" s="97" t="s">
        <v>981</v>
      </c>
      <c r="G112" s="97" t="s">
        <v>90</v>
      </c>
      <c r="H112" s="97" t="s">
        <v>158</v>
      </c>
      <c r="I112" s="621">
        <v>0.36736111111111108</v>
      </c>
      <c r="J112" s="103">
        <v>942.25</v>
      </c>
      <c r="K112" s="103">
        <v>24.075000000000003</v>
      </c>
      <c r="L112" s="103">
        <v>11.7</v>
      </c>
      <c r="M112" s="103">
        <v>0.72750000000000004</v>
      </c>
      <c r="N112" s="103">
        <v>10.675000000000001</v>
      </c>
      <c r="O112" s="97" t="s">
        <v>48</v>
      </c>
      <c r="P112" s="97">
        <v>4</v>
      </c>
      <c r="Q112" s="97">
        <v>10</v>
      </c>
      <c r="R112" s="97" t="s">
        <v>49</v>
      </c>
      <c r="S112" s="40" t="s">
        <v>50</v>
      </c>
      <c r="T112" s="40" t="s">
        <v>50</v>
      </c>
      <c r="U112" s="235" t="s">
        <v>50</v>
      </c>
      <c r="V112" s="40" t="s">
        <v>50</v>
      </c>
      <c r="W112" s="40" t="s">
        <v>50</v>
      </c>
      <c r="X112" s="235" t="s">
        <v>50</v>
      </c>
      <c r="Y112" s="102"/>
    </row>
    <row r="113" spans="1:25" s="97" customFormat="1" x14ac:dyDescent="0.25">
      <c r="A113" s="194">
        <v>44028</v>
      </c>
      <c r="B113" s="97" t="s">
        <v>876</v>
      </c>
      <c r="C113" s="97" t="s">
        <v>106</v>
      </c>
      <c r="D113" s="98">
        <v>38.417029999999997</v>
      </c>
      <c r="E113" s="98">
        <v>-121.60934</v>
      </c>
      <c r="F113" s="97" t="s">
        <v>982</v>
      </c>
      <c r="G113" s="97" t="s">
        <v>90</v>
      </c>
      <c r="H113" s="97" t="s">
        <v>108</v>
      </c>
      <c r="I113" s="621">
        <v>0.43194444444444446</v>
      </c>
      <c r="J113" s="103">
        <v>696.25</v>
      </c>
      <c r="K113" s="103">
        <v>23.424999999999997</v>
      </c>
      <c r="L113" s="103">
        <v>23.85</v>
      </c>
      <c r="M113" s="103">
        <v>0.51249999999999996</v>
      </c>
      <c r="N113" s="103">
        <v>10.399999999999999</v>
      </c>
      <c r="O113" s="97" t="s">
        <v>48</v>
      </c>
      <c r="P113" s="97">
        <v>4</v>
      </c>
      <c r="Q113" s="97">
        <v>10</v>
      </c>
      <c r="R113" s="97" t="s">
        <v>49</v>
      </c>
      <c r="S113" s="40" t="s">
        <v>50</v>
      </c>
      <c r="T113" s="40" t="s">
        <v>50</v>
      </c>
      <c r="U113" s="235" t="s">
        <v>50</v>
      </c>
      <c r="V113" s="40" t="s">
        <v>50</v>
      </c>
      <c r="W113" s="40" t="s">
        <v>50</v>
      </c>
      <c r="X113" s="235" t="s">
        <v>50</v>
      </c>
      <c r="Y113" s="102"/>
    </row>
    <row r="114" spans="1:25" s="97" customFormat="1" x14ac:dyDescent="0.25">
      <c r="A114" s="194">
        <v>44028</v>
      </c>
      <c r="B114" s="97" t="s">
        <v>876</v>
      </c>
      <c r="C114" s="97" t="s">
        <v>106</v>
      </c>
      <c r="D114" s="98">
        <v>38.234229999999997</v>
      </c>
      <c r="E114" s="98">
        <v>-121.60478999999999</v>
      </c>
      <c r="F114" s="97" t="s">
        <v>983</v>
      </c>
      <c r="G114" s="97" t="s">
        <v>90</v>
      </c>
      <c r="H114" s="97" t="s">
        <v>108</v>
      </c>
      <c r="I114" s="621">
        <v>0.50555555555555554</v>
      </c>
      <c r="J114" s="103">
        <v>136.375</v>
      </c>
      <c r="K114" s="103">
        <v>22.424999999999997</v>
      </c>
      <c r="L114" s="103">
        <v>10.210000000000001</v>
      </c>
      <c r="M114" s="103">
        <v>1.4249999999999998</v>
      </c>
      <c r="N114" s="103">
        <v>10.5</v>
      </c>
      <c r="O114" s="97" t="s">
        <v>48</v>
      </c>
      <c r="P114" s="97">
        <v>4</v>
      </c>
      <c r="Q114" s="97">
        <v>10</v>
      </c>
      <c r="R114" s="97" t="s">
        <v>64</v>
      </c>
      <c r="S114" s="40" t="s">
        <v>50</v>
      </c>
      <c r="T114" s="40" t="s">
        <v>50</v>
      </c>
      <c r="U114" s="235" t="s">
        <v>50</v>
      </c>
      <c r="V114" s="40" t="s">
        <v>50</v>
      </c>
      <c r="W114" s="40" t="s">
        <v>50</v>
      </c>
      <c r="X114" s="235" t="s">
        <v>50</v>
      </c>
      <c r="Y114" s="102"/>
    </row>
    <row r="115" spans="1:25" s="97" customFormat="1" x14ac:dyDescent="0.25">
      <c r="A115" s="194">
        <v>44028</v>
      </c>
      <c r="B115" s="97" t="s">
        <v>876</v>
      </c>
      <c r="C115" s="97" t="s">
        <v>88</v>
      </c>
      <c r="D115" s="98">
        <v>38.082619999999999</v>
      </c>
      <c r="E115" s="98">
        <v>-121.7444</v>
      </c>
      <c r="F115" s="97" t="s">
        <v>984</v>
      </c>
      <c r="G115" s="97" t="s">
        <v>27</v>
      </c>
      <c r="H115" s="97" t="s">
        <v>25</v>
      </c>
      <c r="I115" s="621">
        <v>0.37152777777777773</v>
      </c>
      <c r="J115" s="100">
        <v>272.47500000000002</v>
      </c>
      <c r="K115" s="100">
        <v>22.825000000000003</v>
      </c>
      <c r="L115" s="100">
        <v>13.074999999999999</v>
      </c>
      <c r="M115" s="100">
        <v>0.86750000000000005</v>
      </c>
      <c r="N115" s="101">
        <v>9.7750000000000004</v>
      </c>
      <c r="O115" s="97" t="s">
        <v>48</v>
      </c>
      <c r="P115" s="97">
        <v>4</v>
      </c>
      <c r="Q115" s="97">
        <v>10</v>
      </c>
      <c r="R115" s="97" t="s">
        <v>49</v>
      </c>
      <c r="S115" s="40" t="s">
        <v>50</v>
      </c>
      <c r="T115" s="40" t="s">
        <v>50</v>
      </c>
      <c r="U115" s="235" t="s">
        <v>50</v>
      </c>
      <c r="V115" s="40" t="s">
        <v>50</v>
      </c>
      <c r="W115" s="40" t="s">
        <v>50</v>
      </c>
      <c r="X115" s="235" t="s">
        <v>50</v>
      </c>
      <c r="Y115" s="102"/>
    </row>
    <row r="116" spans="1:25" s="97" customFormat="1" x14ac:dyDescent="0.25">
      <c r="A116" s="194">
        <v>44028</v>
      </c>
      <c r="B116" s="97" t="s">
        <v>876</v>
      </c>
      <c r="C116" s="97" t="s">
        <v>88</v>
      </c>
      <c r="D116" s="98">
        <v>38.106059999999999</v>
      </c>
      <c r="E116" s="98">
        <v>-121.70357</v>
      </c>
      <c r="F116" s="97" t="s">
        <v>985</v>
      </c>
      <c r="G116" s="97" t="s">
        <v>90</v>
      </c>
      <c r="H116" s="97" t="s">
        <v>91</v>
      </c>
      <c r="I116" s="621">
        <v>0.42638888888888887</v>
      </c>
      <c r="J116" s="100">
        <v>334.67499999999995</v>
      </c>
      <c r="K116" s="100">
        <v>23.250000000000004</v>
      </c>
      <c r="L116" s="100">
        <v>8.3275000000000006</v>
      </c>
      <c r="M116" s="100">
        <v>1.54</v>
      </c>
      <c r="N116" s="101">
        <v>7.9749999999999996</v>
      </c>
      <c r="O116" s="97" t="s">
        <v>48</v>
      </c>
      <c r="P116" s="97">
        <v>4</v>
      </c>
      <c r="Q116" s="97">
        <v>10</v>
      </c>
      <c r="R116" s="97" t="s">
        <v>49</v>
      </c>
      <c r="S116" s="40" t="s">
        <v>50</v>
      </c>
      <c r="T116" s="40" t="s">
        <v>50</v>
      </c>
      <c r="U116" s="235" t="s">
        <v>50</v>
      </c>
      <c r="V116" s="40" t="s">
        <v>50</v>
      </c>
      <c r="W116" s="40" t="s">
        <v>50</v>
      </c>
      <c r="X116" s="235" t="s">
        <v>50</v>
      </c>
      <c r="Y116" s="102"/>
    </row>
    <row r="117" spans="1:25" x14ac:dyDescent="0.25">
      <c r="A117" s="194">
        <v>44028</v>
      </c>
      <c r="B117" s="97" t="s">
        <v>876</v>
      </c>
      <c r="C117" s="97" t="s">
        <v>88</v>
      </c>
      <c r="D117" s="98">
        <v>38.152740000000001</v>
      </c>
      <c r="E117" s="98">
        <v>-121.68687</v>
      </c>
      <c r="F117" s="97" t="s">
        <v>986</v>
      </c>
      <c r="G117" s="97" t="s">
        <v>90</v>
      </c>
      <c r="H117" s="97" t="s">
        <v>91</v>
      </c>
      <c r="I117" s="621">
        <v>0.4861111111111111</v>
      </c>
      <c r="J117" s="100">
        <v>125.075</v>
      </c>
      <c r="K117" s="100">
        <v>23.375</v>
      </c>
      <c r="L117" s="100">
        <v>5.5299999999999994</v>
      </c>
      <c r="M117" s="100">
        <v>1.8</v>
      </c>
      <c r="N117" s="100">
        <v>6.4749999999999996</v>
      </c>
      <c r="O117" s="97" t="s">
        <v>48</v>
      </c>
      <c r="P117" s="97">
        <v>4</v>
      </c>
      <c r="Q117" s="97">
        <v>10</v>
      </c>
      <c r="R117" s="97" t="s">
        <v>64</v>
      </c>
      <c r="S117" s="40" t="s">
        <v>50</v>
      </c>
      <c r="T117" s="40" t="s">
        <v>50</v>
      </c>
      <c r="U117" s="235" t="s">
        <v>50</v>
      </c>
      <c r="V117" s="40" t="s">
        <v>50</v>
      </c>
      <c r="W117" s="40" t="s">
        <v>50</v>
      </c>
      <c r="X117" s="235" t="s">
        <v>50</v>
      </c>
      <c r="Y117" s="98"/>
    </row>
    <row r="118" spans="1:25" x14ac:dyDescent="0.25">
      <c r="A118" s="194">
        <v>44028</v>
      </c>
      <c r="B118" s="97" t="s">
        <v>876</v>
      </c>
      <c r="C118" s="97" t="s">
        <v>62</v>
      </c>
      <c r="D118" s="98">
        <v>38.1721</v>
      </c>
      <c r="E118" s="98">
        <v>-121.95643</v>
      </c>
      <c r="F118" s="97" t="s">
        <v>987</v>
      </c>
      <c r="G118" s="97" t="s">
        <v>27</v>
      </c>
      <c r="H118" s="97" t="s">
        <v>62</v>
      </c>
      <c r="I118" s="621">
        <v>0.34722222222222227</v>
      </c>
      <c r="J118" s="100">
        <v>9420.5</v>
      </c>
      <c r="K118" s="100">
        <v>21.9</v>
      </c>
      <c r="L118" s="100">
        <v>19.05</v>
      </c>
      <c r="M118" s="100">
        <v>0.57250000000000001</v>
      </c>
      <c r="N118" s="100">
        <v>8.2250000000000014</v>
      </c>
      <c r="O118" s="97" t="s">
        <v>48</v>
      </c>
      <c r="P118" s="97">
        <v>4</v>
      </c>
      <c r="Q118" s="97">
        <v>10</v>
      </c>
      <c r="R118" s="97" t="s">
        <v>49</v>
      </c>
      <c r="S118" s="40" t="s">
        <v>50</v>
      </c>
      <c r="T118" s="40" t="s">
        <v>50</v>
      </c>
      <c r="U118" s="235" t="s">
        <v>50</v>
      </c>
      <c r="V118" s="40" t="s">
        <v>50</v>
      </c>
      <c r="W118" s="40" t="s">
        <v>50</v>
      </c>
      <c r="X118" s="235" t="s">
        <v>50</v>
      </c>
      <c r="Y118" s="638" t="s">
        <v>988</v>
      </c>
    </row>
    <row r="119" spans="1:25" x14ac:dyDescent="0.25">
      <c r="A119" s="194">
        <v>44028</v>
      </c>
      <c r="B119" s="97" t="s">
        <v>876</v>
      </c>
      <c r="C119" s="97" t="s">
        <v>62</v>
      </c>
      <c r="D119" s="98">
        <v>38.133009999999999</v>
      </c>
      <c r="E119" s="98">
        <v>-122.08213000000001</v>
      </c>
      <c r="F119" s="97" t="s">
        <v>989</v>
      </c>
      <c r="G119" s="97" t="s">
        <v>27</v>
      </c>
      <c r="H119" s="97" t="s">
        <v>62</v>
      </c>
      <c r="I119" s="621">
        <v>0.41597222222222219</v>
      </c>
      <c r="J119" s="100">
        <v>16089.75</v>
      </c>
      <c r="K119" s="100">
        <v>21.700000000000003</v>
      </c>
      <c r="L119" s="100">
        <v>25.150000000000002</v>
      </c>
      <c r="M119" s="100">
        <v>0.495</v>
      </c>
      <c r="N119" s="100">
        <v>5.5750000000000002</v>
      </c>
      <c r="O119" s="98" t="s">
        <v>48</v>
      </c>
      <c r="P119" s="98">
        <v>4</v>
      </c>
      <c r="Q119" s="98">
        <v>10</v>
      </c>
      <c r="R119" s="98" t="s">
        <v>64</v>
      </c>
      <c r="S119" s="98" t="s">
        <v>50</v>
      </c>
      <c r="T119" s="98" t="s">
        <v>50</v>
      </c>
      <c r="U119" s="98" t="s">
        <v>50</v>
      </c>
      <c r="V119" s="98" t="s">
        <v>50</v>
      </c>
      <c r="W119" s="98" t="s">
        <v>50</v>
      </c>
      <c r="X119" s="98" t="s">
        <v>50</v>
      </c>
      <c r="Y119" s="638"/>
    </row>
    <row r="120" spans="1:25" s="362" customFormat="1" x14ac:dyDescent="0.25">
      <c r="A120" s="360">
        <v>44028</v>
      </c>
      <c r="B120" s="361" t="s">
        <v>876</v>
      </c>
      <c r="C120" s="361" t="s">
        <v>62</v>
      </c>
      <c r="D120" s="362">
        <v>38.10201</v>
      </c>
      <c r="E120" s="362">
        <v>-122.0656</v>
      </c>
      <c r="F120" s="361" t="s">
        <v>990</v>
      </c>
      <c r="G120" s="362" t="s">
        <v>27</v>
      </c>
      <c r="H120" s="362" t="s">
        <v>173</v>
      </c>
      <c r="I120" s="618">
        <v>0.47013888888888888</v>
      </c>
      <c r="J120" s="364">
        <v>20482.75</v>
      </c>
      <c r="K120" s="364">
        <v>21</v>
      </c>
      <c r="L120" s="364">
        <v>62.075000000000003</v>
      </c>
      <c r="M120" s="364">
        <v>0.28999999999999998</v>
      </c>
      <c r="N120" s="364">
        <v>3.25</v>
      </c>
      <c r="O120" s="362" t="s">
        <v>48</v>
      </c>
      <c r="P120" s="362">
        <v>4</v>
      </c>
      <c r="Q120" s="362">
        <v>10</v>
      </c>
      <c r="R120" s="362" t="s">
        <v>64</v>
      </c>
      <c r="S120" s="362" t="s">
        <v>50</v>
      </c>
      <c r="T120" s="362" t="s">
        <v>50</v>
      </c>
      <c r="U120" s="362" t="s">
        <v>50</v>
      </c>
      <c r="V120" s="362" t="s">
        <v>50</v>
      </c>
      <c r="W120" s="362" t="s">
        <v>50</v>
      </c>
      <c r="X120" s="362" t="s">
        <v>50</v>
      </c>
      <c r="Y120" s="599"/>
    </row>
    <row r="121" spans="1:25" x14ac:dyDescent="0.25">
      <c r="A121" s="194">
        <v>44032</v>
      </c>
      <c r="B121" s="98" t="s">
        <v>43</v>
      </c>
      <c r="C121" s="97" t="s">
        <v>62</v>
      </c>
      <c r="D121" s="98">
        <v>38.174480000000003</v>
      </c>
      <c r="E121" s="98">
        <v>-121.92427000000001</v>
      </c>
      <c r="F121" s="98" t="s">
        <v>991</v>
      </c>
      <c r="G121" s="97" t="s">
        <v>27</v>
      </c>
      <c r="H121" s="97" t="s">
        <v>62</v>
      </c>
      <c r="I121" s="621">
        <v>0.34791666666666665</v>
      </c>
      <c r="J121" s="100">
        <v>9289</v>
      </c>
      <c r="K121" s="100">
        <v>20.175000000000001</v>
      </c>
      <c r="L121" s="100">
        <v>32.799999999999997</v>
      </c>
      <c r="M121" s="100">
        <v>0.43999999999999995</v>
      </c>
      <c r="N121" s="100">
        <v>4.7750000000000004</v>
      </c>
      <c r="O121" s="98" t="s">
        <v>48</v>
      </c>
      <c r="P121" s="98">
        <v>4</v>
      </c>
      <c r="Q121" s="98">
        <v>10</v>
      </c>
      <c r="R121" s="98" t="s">
        <v>49</v>
      </c>
      <c r="S121" s="98" t="s">
        <v>50</v>
      </c>
      <c r="T121" s="98" t="s">
        <v>50</v>
      </c>
      <c r="U121" s="98" t="s">
        <v>50</v>
      </c>
      <c r="V121" s="98" t="s">
        <v>50</v>
      </c>
      <c r="W121" s="98" t="s">
        <v>50</v>
      </c>
      <c r="X121" s="98" t="s">
        <v>50</v>
      </c>
      <c r="Y121" s="638"/>
    </row>
    <row r="122" spans="1:25" x14ac:dyDescent="0.25">
      <c r="A122" s="194">
        <v>44032</v>
      </c>
      <c r="B122" s="98" t="s">
        <v>43</v>
      </c>
      <c r="C122" s="97" t="s">
        <v>62</v>
      </c>
      <c r="D122" s="98">
        <v>38.16827</v>
      </c>
      <c r="E122" s="98">
        <v>-122.06863</v>
      </c>
      <c r="F122" s="98" t="s">
        <v>992</v>
      </c>
      <c r="G122" s="97" t="s">
        <v>27</v>
      </c>
      <c r="H122" s="97" t="s">
        <v>62</v>
      </c>
      <c r="I122" s="621">
        <v>0.42499999999999999</v>
      </c>
      <c r="J122" s="100">
        <v>12689.25</v>
      </c>
      <c r="K122" s="100">
        <v>21.1</v>
      </c>
      <c r="L122" s="100">
        <v>42.65</v>
      </c>
      <c r="M122" s="100">
        <v>0.33500000000000002</v>
      </c>
      <c r="N122" s="100">
        <v>6.5250000000000004</v>
      </c>
      <c r="O122" s="98" t="s">
        <v>48</v>
      </c>
      <c r="P122" s="98">
        <v>4</v>
      </c>
      <c r="Q122" s="98">
        <v>10</v>
      </c>
      <c r="R122" s="98" t="s">
        <v>64</v>
      </c>
      <c r="S122" s="98" t="s">
        <v>50</v>
      </c>
      <c r="T122" s="98" t="s">
        <v>50</v>
      </c>
      <c r="U122" s="98" t="s">
        <v>50</v>
      </c>
      <c r="V122" s="98" t="s">
        <v>50</v>
      </c>
      <c r="W122" s="98" t="s">
        <v>50</v>
      </c>
      <c r="X122" s="98" t="s">
        <v>50</v>
      </c>
      <c r="Y122" s="638" t="s">
        <v>993</v>
      </c>
    </row>
    <row r="123" spans="1:25" x14ac:dyDescent="0.25">
      <c r="A123" s="194">
        <v>44032</v>
      </c>
      <c r="B123" s="98" t="s">
        <v>43</v>
      </c>
      <c r="C123" s="97" t="s">
        <v>62</v>
      </c>
      <c r="D123" s="98">
        <v>38.205379999999998</v>
      </c>
      <c r="E123" s="98">
        <v>-122.03372</v>
      </c>
      <c r="F123" s="98" t="s">
        <v>994</v>
      </c>
      <c r="G123" s="97" t="s">
        <v>27</v>
      </c>
      <c r="H123" s="97" t="s">
        <v>62</v>
      </c>
      <c r="I123" s="621">
        <v>0.49652777777777773</v>
      </c>
      <c r="J123" s="100">
        <v>8868.25</v>
      </c>
      <c r="K123" s="100">
        <v>20.274999999999999</v>
      </c>
      <c r="L123" s="100">
        <v>49.300000000000004</v>
      </c>
      <c r="M123" s="100">
        <v>0.26500000000000001</v>
      </c>
      <c r="N123" s="100">
        <v>4.3249999999999993</v>
      </c>
      <c r="O123" s="98" t="s">
        <v>48</v>
      </c>
      <c r="P123" s="98">
        <v>4</v>
      </c>
      <c r="Q123" s="98">
        <v>10</v>
      </c>
      <c r="R123" s="98" t="s">
        <v>64</v>
      </c>
      <c r="S123" s="98" t="s">
        <v>50</v>
      </c>
      <c r="T123" s="98" t="s">
        <v>50</v>
      </c>
      <c r="U123" s="98" t="s">
        <v>50</v>
      </c>
      <c r="V123" s="98" t="s">
        <v>50</v>
      </c>
      <c r="W123" s="98" t="s">
        <v>50</v>
      </c>
      <c r="X123" s="98" t="s">
        <v>50</v>
      </c>
      <c r="Y123" s="638"/>
    </row>
    <row r="124" spans="1:25" x14ac:dyDescent="0.25">
      <c r="A124" s="194">
        <v>44032</v>
      </c>
      <c r="B124" s="98" t="s">
        <v>43</v>
      </c>
      <c r="C124" s="97" t="s">
        <v>106</v>
      </c>
      <c r="D124" s="98">
        <v>38.563189999999999</v>
      </c>
      <c r="E124" s="98">
        <v>-121.55472</v>
      </c>
      <c r="F124" s="98" t="s">
        <v>995</v>
      </c>
      <c r="G124" s="97" t="s">
        <v>90</v>
      </c>
      <c r="H124" s="97" t="s">
        <v>158</v>
      </c>
      <c r="I124" s="621">
        <v>0.37638888888888888</v>
      </c>
      <c r="J124" s="100">
        <v>1103.5</v>
      </c>
      <c r="K124" s="100">
        <v>25.375</v>
      </c>
      <c r="L124" s="100">
        <v>8.6724999999999994</v>
      </c>
      <c r="M124" s="100">
        <v>1.7749999999999999</v>
      </c>
      <c r="N124" s="100">
        <v>11.1</v>
      </c>
      <c r="O124" s="98" t="s">
        <v>48</v>
      </c>
      <c r="P124" s="98">
        <v>4</v>
      </c>
      <c r="Q124" s="98">
        <v>10</v>
      </c>
      <c r="R124" s="98" t="s">
        <v>49</v>
      </c>
      <c r="S124" s="98" t="s">
        <v>50</v>
      </c>
      <c r="T124" s="98" t="s">
        <v>50</v>
      </c>
      <c r="U124" s="98" t="s">
        <v>50</v>
      </c>
      <c r="V124" s="98" t="s">
        <v>50</v>
      </c>
      <c r="W124" s="98" t="s">
        <v>50</v>
      </c>
      <c r="X124" s="98" t="s">
        <v>50</v>
      </c>
      <c r="Y124" s="638" t="s">
        <v>996</v>
      </c>
    </row>
    <row r="125" spans="1:25" s="154" customFormat="1" x14ac:dyDescent="0.25">
      <c r="A125" s="194">
        <v>44032</v>
      </c>
      <c r="B125" s="98" t="s">
        <v>43</v>
      </c>
      <c r="C125" s="97" t="s">
        <v>106</v>
      </c>
      <c r="D125" s="98">
        <v>38.507669999999997</v>
      </c>
      <c r="E125" s="98">
        <v>-121.5842</v>
      </c>
      <c r="F125" s="98" t="s">
        <v>997</v>
      </c>
      <c r="G125" s="97" t="s">
        <v>90</v>
      </c>
      <c r="H125" s="97" t="s">
        <v>158</v>
      </c>
      <c r="I125" s="621">
        <v>0.43055555555555558</v>
      </c>
      <c r="J125" s="100">
        <v>920</v>
      </c>
      <c r="K125" s="100">
        <v>24.024999999999999</v>
      </c>
      <c r="L125" s="100">
        <v>17</v>
      </c>
      <c r="M125" s="100">
        <v>0.73750000000000004</v>
      </c>
      <c r="N125" s="100">
        <v>8.65</v>
      </c>
      <c r="O125" s="98" t="s">
        <v>48</v>
      </c>
      <c r="P125" s="98">
        <v>4</v>
      </c>
      <c r="Q125" s="98">
        <v>10</v>
      </c>
      <c r="R125" s="97" t="s">
        <v>49</v>
      </c>
      <c r="S125" s="98" t="s">
        <v>50</v>
      </c>
      <c r="T125" s="98" t="s">
        <v>50</v>
      </c>
      <c r="U125" s="98" t="s">
        <v>50</v>
      </c>
      <c r="V125" s="98" t="s">
        <v>50</v>
      </c>
      <c r="W125" s="98" t="s">
        <v>50</v>
      </c>
      <c r="X125" s="98" t="s">
        <v>50</v>
      </c>
      <c r="Y125" s="159"/>
    </row>
    <row r="126" spans="1:25" x14ac:dyDescent="0.25">
      <c r="A126" s="194">
        <v>44032</v>
      </c>
      <c r="B126" s="98" t="s">
        <v>43</v>
      </c>
      <c r="C126" s="97" t="s">
        <v>106</v>
      </c>
      <c r="D126" s="98">
        <v>38.259990000000002</v>
      </c>
      <c r="E126" s="98">
        <v>-121.66552</v>
      </c>
      <c r="F126" s="98" t="s">
        <v>998</v>
      </c>
      <c r="G126" s="97" t="s">
        <v>90</v>
      </c>
      <c r="H126" s="97" t="s">
        <v>108</v>
      </c>
      <c r="I126" s="621">
        <v>0.51041666666666663</v>
      </c>
      <c r="J126" s="100">
        <v>184.47499999999999</v>
      </c>
      <c r="K126" s="100">
        <v>22.55</v>
      </c>
      <c r="L126" s="100">
        <v>10.9</v>
      </c>
      <c r="M126" s="100">
        <v>0.96500000000000008</v>
      </c>
      <c r="N126" s="100">
        <v>7.0750000000000011</v>
      </c>
      <c r="O126" s="98" t="s">
        <v>48</v>
      </c>
      <c r="P126" s="98">
        <v>4</v>
      </c>
      <c r="Q126" s="98">
        <v>10</v>
      </c>
      <c r="R126" s="98" t="s">
        <v>49</v>
      </c>
      <c r="S126" s="98" t="s">
        <v>50</v>
      </c>
      <c r="T126" s="98" t="s">
        <v>50</v>
      </c>
      <c r="U126" s="98" t="s">
        <v>50</v>
      </c>
      <c r="V126" s="98" t="s">
        <v>50</v>
      </c>
      <c r="W126" s="98" t="s">
        <v>50</v>
      </c>
      <c r="X126" s="98" t="s">
        <v>50</v>
      </c>
      <c r="Y126" s="638" t="s">
        <v>999</v>
      </c>
    </row>
    <row r="127" spans="1:25" x14ac:dyDescent="0.25">
      <c r="A127" s="194">
        <v>44033</v>
      </c>
      <c r="B127" s="98" t="s">
        <v>849</v>
      </c>
      <c r="C127" s="97" t="s">
        <v>62</v>
      </c>
      <c r="D127" s="98">
        <v>38.17389</v>
      </c>
      <c r="E127" s="98">
        <v>-122.01612</v>
      </c>
      <c r="F127" s="98" t="s">
        <v>1000</v>
      </c>
      <c r="G127" s="97" t="s">
        <v>27</v>
      </c>
      <c r="H127" s="97" t="s">
        <v>62</v>
      </c>
      <c r="I127" s="621">
        <v>0.35138888888888892</v>
      </c>
      <c r="J127" s="100">
        <v>12965.5</v>
      </c>
      <c r="K127" s="100">
        <v>21.225000000000001</v>
      </c>
      <c r="L127" s="100">
        <v>38.15</v>
      </c>
      <c r="M127" s="100">
        <v>0.36</v>
      </c>
      <c r="N127" s="100">
        <v>7.2</v>
      </c>
      <c r="O127" s="98" t="s">
        <v>48</v>
      </c>
      <c r="P127" s="98">
        <v>4</v>
      </c>
      <c r="Q127" s="98">
        <v>10</v>
      </c>
      <c r="R127" s="98" t="s">
        <v>64</v>
      </c>
      <c r="S127" s="98" t="s">
        <v>50</v>
      </c>
      <c r="T127" s="98" t="s">
        <v>50</v>
      </c>
      <c r="U127" s="98" t="s">
        <v>50</v>
      </c>
      <c r="V127" s="98" t="s">
        <v>50</v>
      </c>
      <c r="W127" s="98" t="s">
        <v>50</v>
      </c>
      <c r="X127" s="98" t="s">
        <v>50</v>
      </c>
      <c r="Y127" s="638"/>
    </row>
    <row r="128" spans="1:25" s="592" customFormat="1" x14ac:dyDescent="0.25">
      <c r="A128" s="590">
        <v>44033</v>
      </c>
      <c r="B128" s="592" t="s">
        <v>849</v>
      </c>
      <c r="C128" s="591" t="s">
        <v>62</v>
      </c>
      <c r="D128" s="592">
        <v>38.106810000000003</v>
      </c>
      <c r="E128" s="592">
        <v>-122.05213000000001</v>
      </c>
      <c r="F128" s="592" t="s">
        <v>1001</v>
      </c>
      <c r="G128" s="592" t="s">
        <v>27</v>
      </c>
      <c r="H128" s="592" t="s">
        <v>173</v>
      </c>
      <c r="I128" s="619">
        <v>0.4152777777777778</v>
      </c>
      <c r="J128" s="593">
        <v>19295.5</v>
      </c>
      <c r="K128" s="593">
        <v>19.3</v>
      </c>
      <c r="L128" s="593">
        <v>191</v>
      </c>
      <c r="M128" s="593">
        <v>0.12</v>
      </c>
      <c r="N128" s="593">
        <v>3.35</v>
      </c>
      <c r="O128" s="592" t="s">
        <v>48</v>
      </c>
      <c r="P128" s="592">
        <v>2</v>
      </c>
      <c r="Q128" s="592">
        <v>10</v>
      </c>
      <c r="R128" s="592" t="s">
        <v>49</v>
      </c>
      <c r="S128" s="559" t="s">
        <v>323</v>
      </c>
      <c r="T128" s="592">
        <v>1</v>
      </c>
      <c r="U128" s="592">
        <v>45</v>
      </c>
      <c r="V128" s="592" t="s">
        <v>50</v>
      </c>
      <c r="W128" s="592" t="s">
        <v>50</v>
      </c>
      <c r="X128" s="592" t="s">
        <v>50</v>
      </c>
      <c r="Y128" s="455" t="s">
        <v>894</v>
      </c>
    </row>
    <row r="129" spans="1:25" x14ac:dyDescent="0.25">
      <c r="A129" s="194">
        <v>44033</v>
      </c>
      <c r="B129" s="98" t="s">
        <v>849</v>
      </c>
      <c r="C129" s="97" t="s">
        <v>62</v>
      </c>
      <c r="D129" s="98">
        <v>38.156790000000001</v>
      </c>
      <c r="E129" s="98">
        <v>-122.04952</v>
      </c>
      <c r="F129" s="98" t="s">
        <v>1002</v>
      </c>
      <c r="G129" s="97" t="s">
        <v>27</v>
      </c>
      <c r="H129" s="97" t="s">
        <v>62</v>
      </c>
      <c r="I129" s="621">
        <v>0.45833333333333331</v>
      </c>
      <c r="J129" s="100">
        <v>12738.5</v>
      </c>
      <c r="K129" s="100">
        <v>21.7</v>
      </c>
      <c r="L129" s="100">
        <v>80.625</v>
      </c>
      <c r="M129" s="100">
        <v>0.33500000000000002</v>
      </c>
      <c r="N129" s="100">
        <v>3.3</v>
      </c>
      <c r="O129" s="98" t="s">
        <v>48</v>
      </c>
      <c r="P129" s="98">
        <v>4</v>
      </c>
      <c r="Q129" s="98">
        <v>10</v>
      </c>
      <c r="R129" s="97" t="s">
        <v>49</v>
      </c>
      <c r="S129" s="98" t="s">
        <v>50</v>
      </c>
      <c r="T129" s="98" t="s">
        <v>50</v>
      </c>
      <c r="U129" s="98" t="s">
        <v>50</v>
      </c>
      <c r="V129" s="98" t="s">
        <v>50</v>
      </c>
      <c r="W129" s="98" t="s">
        <v>50</v>
      </c>
      <c r="X129" s="98" t="s">
        <v>50</v>
      </c>
    </row>
    <row r="130" spans="1:25" x14ac:dyDescent="0.25">
      <c r="A130" s="194">
        <v>44033</v>
      </c>
      <c r="B130" s="98" t="s">
        <v>849</v>
      </c>
      <c r="C130" s="97" t="s">
        <v>106</v>
      </c>
      <c r="D130" s="98">
        <v>38.492870000000003</v>
      </c>
      <c r="E130" s="98">
        <v>-121.5843</v>
      </c>
      <c r="F130" s="98" t="s">
        <v>1003</v>
      </c>
      <c r="G130" s="97" t="s">
        <v>90</v>
      </c>
      <c r="H130" s="97" t="s">
        <v>158</v>
      </c>
      <c r="I130" s="621">
        <v>0.35972222222222222</v>
      </c>
      <c r="J130" s="100">
        <v>859.75</v>
      </c>
      <c r="K130" s="100">
        <v>23.375</v>
      </c>
      <c r="L130" s="100">
        <v>16.324999999999999</v>
      </c>
      <c r="M130" s="100">
        <v>0.74</v>
      </c>
      <c r="N130" s="100">
        <v>10.725</v>
      </c>
      <c r="O130" s="98" t="s">
        <v>48</v>
      </c>
      <c r="P130" s="98">
        <v>4</v>
      </c>
      <c r="Q130" s="98">
        <v>10</v>
      </c>
      <c r="R130" s="98" t="s">
        <v>49</v>
      </c>
      <c r="S130" s="98" t="s">
        <v>50</v>
      </c>
      <c r="T130" s="98" t="s">
        <v>50</v>
      </c>
      <c r="U130" s="98" t="s">
        <v>50</v>
      </c>
      <c r="V130" s="98" t="s">
        <v>50</v>
      </c>
      <c r="W130" s="98" t="s">
        <v>50</v>
      </c>
      <c r="X130" s="98" t="s">
        <v>50</v>
      </c>
      <c r="Y130" s="622" t="s">
        <v>903</v>
      </c>
    </row>
    <row r="131" spans="1:25" x14ac:dyDescent="0.25">
      <c r="A131" s="194">
        <v>44033</v>
      </c>
      <c r="B131" s="98" t="s">
        <v>849</v>
      </c>
      <c r="C131" s="97" t="s">
        <v>106</v>
      </c>
      <c r="D131" s="98">
        <v>38.323999999999998</v>
      </c>
      <c r="E131" s="98">
        <v>-121.64951000000001</v>
      </c>
      <c r="F131" s="98" t="s">
        <v>1004</v>
      </c>
      <c r="G131" s="97" t="s">
        <v>90</v>
      </c>
      <c r="H131" s="97" t="s">
        <v>108</v>
      </c>
      <c r="I131" s="621">
        <v>0.4291666666666667</v>
      </c>
      <c r="J131" s="100">
        <v>281.7</v>
      </c>
      <c r="K131" s="100">
        <v>22.324999999999999</v>
      </c>
      <c r="L131" s="100">
        <v>24.9</v>
      </c>
      <c r="M131" s="100">
        <v>0.53</v>
      </c>
      <c r="N131" s="100">
        <v>10.65</v>
      </c>
      <c r="O131" s="98" t="s">
        <v>48</v>
      </c>
      <c r="P131" s="98">
        <v>4</v>
      </c>
      <c r="Q131" s="98">
        <v>10</v>
      </c>
      <c r="R131" s="98" t="s">
        <v>49</v>
      </c>
      <c r="S131" s="98" t="s">
        <v>50</v>
      </c>
      <c r="T131" s="98" t="s">
        <v>50</v>
      </c>
      <c r="U131" s="98" t="s">
        <v>50</v>
      </c>
      <c r="V131" s="98" t="s">
        <v>50</v>
      </c>
      <c r="W131" s="98" t="s">
        <v>50</v>
      </c>
      <c r="X131" s="98" t="s">
        <v>50</v>
      </c>
      <c r="Y131" s="622" t="s">
        <v>1005</v>
      </c>
    </row>
    <row r="132" spans="1:25" x14ac:dyDescent="0.25">
      <c r="A132" s="194">
        <v>44033</v>
      </c>
      <c r="B132" s="98" t="s">
        <v>849</v>
      </c>
      <c r="C132" s="97" t="s">
        <v>106</v>
      </c>
      <c r="D132" s="98">
        <v>38.222920000000002</v>
      </c>
      <c r="E132" s="98">
        <v>-121.67335</v>
      </c>
      <c r="F132" s="98" t="s">
        <v>1006</v>
      </c>
      <c r="G132" s="97" t="s">
        <v>90</v>
      </c>
      <c r="H132" s="97" t="s">
        <v>108</v>
      </c>
      <c r="I132" s="621">
        <v>0.49305555555555558</v>
      </c>
      <c r="J132" s="100">
        <v>134.125</v>
      </c>
      <c r="K132" s="100">
        <v>21.5</v>
      </c>
      <c r="L132" s="100">
        <v>10.43</v>
      </c>
      <c r="M132" s="100">
        <v>1.39</v>
      </c>
      <c r="N132" s="100">
        <v>13.975</v>
      </c>
      <c r="O132" s="98" t="s">
        <v>48</v>
      </c>
      <c r="P132" s="98">
        <v>4</v>
      </c>
      <c r="Q132" s="98">
        <v>10</v>
      </c>
      <c r="R132" s="98" t="s">
        <v>49</v>
      </c>
      <c r="S132" s="98" t="s">
        <v>50</v>
      </c>
      <c r="T132" s="98" t="s">
        <v>50</v>
      </c>
      <c r="U132" s="98" t="s">
        <v>50</v>
      </c>
      <c r="V132" s="98" t="s">
        <v>50</v>
      </c>
      <c r="W132" s="98" t="s">
        <v>50</v>
      </c>
      <c r="X132" s="98" t="s">
        <v>50</v>
      </c>
    </row>
    <row r="133" spans="1:25" x14ac:dyDescent="0.25">
      <c r="A133" s="194">
        <v>44033</v>
      </c>
      <c r="B133" s="98" t="s">
        <v>849</v>
      </c>
      <c r="C133" s="97" t="s">
        <v>88</v>
      </c>
      <c r="D133" s="98">
        <v>38.092100000000002</v>
      </c>
      <c r="E133" s="98">
        <v>-121.70865000000001</v>
      </c>
      <c r="F133" s="97" t="s">
        <v>1007</v>
      </c>
      <c r="G133" s="97" t="s">
        <v>90</v>
      </c>
      <c r="H133" s="97" t="s">
        <v>91</v>
      </c>
      <c r="I133" s="621">
        <v>0.375</v>
      </c>
      <c r="J133" s="100">
        <v>523.25</v>
      </c>
      <c r="K133" s="100">
        <v>21.4</v>
      </c>
      <c r="L133" s="100">
        <v>15.225</v>
      </c>
      <c r="M133" s="100">
        <v>0.86750000000000005</v>
      </c>
      <c r="N133" s="100">
        <v>3.0750000000000002</v>
      </c>
      <c r="O133" s="98" t="s">
        <v>48</v>
      </c>
      <c r="P133" s="98">
        <v>4</v>
      </c>
      <c r="Q133" s="98">
        <v>10</v>
      </c>
      <c r="R133" s="98" t="s">
        <v>49</v>
      </c>
      <c r="S133" s="98" t="s">
        <v>50</v>
      </c>
      <c r="T133" s="98" t="s">
        <v>50</v>
      </c>
      <c r="U133" s="98" t="s">
        <v>50</v>
      </c>
      <c r="V133" s="98" t="s">
        <v>50</v>
      </c>
      <c r="W133" s="98" t="s">
        <v>50</v>
      </c>
      <c r="X133" s="98" t="s">
        <v>50</v>
      </c>
      <c r="Y133" s="622" t="s">
        <v>139</v>
      </c>
    </row>
    <row r="134" spans="1:25" x14ac:dyDescent="0.25">
      <c r="A134" s="194">
        <v>44033</v>
      </c>
      <c r="B134" s="98" t="s">
        <v>849</v>
      </c>
      <c r="C134" s="97" t="s">
        <v>88</v>
      </c>
      <c r="D134" s="98">
        <v>38.087249999999997</v>
      </c>
      <c r="E134" s="98">
        <v>-121.7466</v>
      </c>
      <c r="F134" s="97" t="s">
        <v>1008</v>
      </c>
      <c r="G134" s="97" t="s">
        <v>27</v>
      </c>
      <c r="H134" s="97" t="s">
        <v>25</v>
      </c>
      <c r="I134" s="621">
        <v>0.43194444444444446</v>
      </c>
      <c r="J134" s="100">
        <v>364.17500000000001</v>
      </c>
      <c r="K134" s="100">
        <v>21.65</v>
      </c>
      <c r="L134" s="100">
        <v>18.625</v>
      </c>
      <c r="M134" s="100">
        <v>0.83</v>
      </c>
      <c r="N134" s="100">
        <v>8.9</v>
      </c>
      <c r="O134" s="98" t="s">
        <v>48</v>
      </c>
      <c r="P134" s="98">
        <v>4</v>
      </c>
      <c r="Q134" s="98">
        <v>10</v>
      </c>
      <c r="R134" s="98" t="s">
        <v>49</v>
      </c>
      <c r="S134" s="98" t="s">
        <v>50</v>
      </c>
      <c r="T134" s="98" t="s">
        <v>50</v>
      </c>
      <c r="U134" s="98" t="s">
        <v>50</v>
      </c>
      <c r="V134" s="98" t="s">
        <v>50</v>
      </c>
      <c r="W134" s="98" t="s">
        <v>50</v>
      </c>
      <c r="X134" s="98" t="s">
        <v>50</v>
      </c>
    </row>
    <row r="135" spans="1:25" x14ac:dyDescent="0.25">
      <c r="A135" s="194">
        <v>44033</v>
      </c>
      <c r="B135" s="98" t="s">
        <v>849</v>
      </c>
      <c r="C135" s="97" t="s">
        <v>88</v>
      </c>
      <c r="D135" s="98">
        <v>38.154159999999997</v>
      </c>
      <c r="E135" s="98">
        <v>-121.68595999999999</v>
      </c>
      <c r="F135" s="97" t="s">
        <v>1009</v>
      </c>
      <c r="G135" s="97" t="s">
        <v>90</v>
      </c>
      <c r="H135" s="97" t="s">
        <v>91</v>
      </c>
      <c r="I135" s="621">
        <v>0.49583333333333335</v>
      </c>
      <c r="J135" s="100">
        <v>132.30000000000001</v>
      </c>
      <c r="K135" s="100">
        <v>22.324999999999999</v>
      </c>
      <c r="L135" s="100">
        <v>10.5425</v>
      </c>
      <c r="M135" s="100">
        <v>1.5075000000000001</v>
      </c>
      <c r="N135" s="100">
        <v>5.4249999999999998</v>
      </c>
      <c r="O135" s="98" t="s">
        <v>48</v>
      </c>
      <c r="P135" s="98">
        <v>4</v>
      </c>
      <c r="Q135" s="98">
        <v>10</v>
      </c>
      <c r="R135" s="98" t="s">
        <v>49</v>
      </c>
      <c r="S135" s="98" t="s">
        <v>50</v>
      </c>
      <c r="T135" s="98" t="s">
        <v>50</v>
      </c>
      <c r="U135" s="98" t="s">
        <v>50</v>
      </c>
      <c r="V135" s="98" t="s">
        <v>50</v>
      </c>
      <c r="W135" s="98" t="s">
        <v>50</v>
      </c>
      <c r="X135" s="98" t="s">
        <v>50</v>
      </c>
    </row>
    <row r="136" spans="1:25" x14ac:dyDescent="0.25">
      <c r="A136" s="194">
        <v>44034</v>
      </c>
      <c r="B136" s="98" t="s">
        <v>915</v>
      </c>
      <c r="C136" s="98" t="s">
        <v>126</v>
      </c>
      <c r="D136" s="98">
        <v>38.23554</v>
      </c>
      <c r="E136" s="98">
        <v>-121.67916</v>
      </c>
      <c r="F136" s="97" t="s">
        <v>1010</v>
      </c>
      <c r="G136" s="34" t="s">
        <v>90</v>
      </c>
      <c r="H136" s="34" t="s">
        <v>845</v>
      </c>
      <c r="I136" s="621">
        <v>0.45</v>
      </c>
      <c r="J136" s="100">
        <v>146.97499999999997</v>
      </c>
      <c r="K136" s="100">
        <v>20.75</v>
      </c>
      <c r="L136" s="100">
        <v>13.6875</v>
      </c>
      <c r="M136" s="100">
        <v>0.88750000000000007</v>
      </c>
      <c r="N136" s="100">
        <v>6.8</v>
      </c>
      <c r="O136" s="98" t="s">
        <v>48</v>
      </c>
      <c r="P136" s="98">
        <v>4</v>
      </c>
      <c r="Q136" s="98">
        <v>10</v>
      </c>
      <c r="R136" s="98" t="s">
        <v>49</v>
      </c>
      <c r="S136" s="98" t="s">
        <v>50</v>
      </c>
      <c r="T136" s="98" t="s">
        <v>50</v>
      </c>
      <c r="U136" s="98" t="s">
        <v>50</v>
      </c>
      <c r="V136" s="98" t="s">
        <v>50</v>
      </c>
      <c r="W136" s="98" t="s">
        <v>50</v>
      </c>
      <c r="X136" s="98" t="s">
        <v>50</v>
      </c>
      <c r="Y136" s="622" t="s">
        <v>1011</v>
      </c>
    </row>
    <row r="137" spans="1:25" x14ac:dyDescent="0.25">
      <c r="A137" s="194">
        <v>44034</v>
      </c>
      <c r="B137" s="98" t="s">
        <v>915</v>
      </c>
      <c r="C137" s="98" t="s">
        <v>126</v>
      </c>
      <c r="D137" s="98">
        <v>38.3187</v>
      </c>
      <c r="E137" s="98">
        <v>-121.69280000000001</v>
      </c>
      <c r="F137" s="97" t="s">
        <v>1012</v>
      </c>
      <c r="G137" s="34" t="s">
        <v>90</v>
      </c>
      <c r="H137" s="34" t="s">
        <v>845</v>
      </c>
      <c r="I137" s="621">
        <v>0.34166666666666662</v>
      </c>
      <c r="J137" s="100">
        <v>223.85</v>
      </c>
      <c r="K137" s="100">
        <v>20.725000000000001</v>
      </c>
      <c r="L137" s="100">
        <v>8.1050000000000004</v>
      </c>
      <c r="M137" s="100">
        <v>1.08</v>
      </c>
      <c r="N137" s="100">
        <v>5.3999999999999995</v>
      </c>
      <c r="O137" s="98" t="s">
        <v>48</v>
      </c>
      <c r="P137" s="98">
        <v>4</v>
      </c>
      <c r="Q137" s="98">
        <v>10</v>
      </c>
      <c r="R137" s="98" t="s">
        <v>49</v>
      </c>
      <c r="S137" s="98" t="s">
        <v>50</v>
      </c>
      <c r="T137" s="98" t="s">
        <v>50</v>
      </c>
      <c r="U137" s="98" t="s">
        <v>50</v>
      </c>
      <c r="V137" s="98" t="s">
        <v>50</v>
      </c>
      <c r="W137" s="98" t="s">
        <v>50</v>
      </c>
      <c r="X137" s="98" t="s">
        <v>50</v>
      </c>
    </row>
    <row r="138" spans="1:25" x14ac:dyDescent="0.25">
      <c r="A138" s="194">
        <v>44034</v>
      </c>
      <c r="B138" s="98" t="s">
        <v>915</v>
      </c>
      <c r="C138" s="98" t="s">
        <v>126</v>
      </c>
      <c r="D138" s="98">
        <v>38.304659999999998</v>
      </c>
      <c r="E138" s="98">
        <v>-121.66714</v>
      </c>
      <c r="F138" s="97" t="s">
        <v>1013</v>
      </c>
      <c r="G138" s="34" t="s">
        <v>90</v>
      </c>
      <c r="H138" s="34" t="s">
        <v>845</v>
      </c>
      <c r="I138" s="621">
        <v>0.39513888888888887</v>
      </c>
      <c r="J138" s="100">
        <v>160.07499999999999</v>
      </c>
      <c r="K138" s="100">
        <v>20.3</v>
      </c>
      <c r="L138" s="100">
        <v>13.7</v>
      </c>
      <c r="M138" s="100">
        <v>0.71249999999999991</v>
      </c>
      <c r="N138" s="100">
        <v>6.5749999999999993</v>
      </c>
      <c r="O138" s="98" t="s">
        <v>48</v>
      </c>
      <c r="P138" s="98">
        <v>4</v>
      </c>
      <c r="Q138" s="98">
        <v>10</v>
      </c>
      <c r="R138" s="98" t="s">
        <v>49</v>
      </c>
      <c r="S138" s="98" t="s">
        <v>50</v>
      </c>
      <c r="T138" s="98" t="s">
        <v>50</v>
      </c>
      <c r="U138" s="98" t="s">
        <v>50</v>
      </c>
      <c r="V138" s="98" t="s">
        <v>50</v>
      </c>
      <c r="W138" s="98" t="s">
        <v>50</v>
      </c>
      <c r="X138" s="98" t="s">
        <v>50</v>
      </c>
    </row>
    <row r="139" spans="1:25" x14ac:dyDescent="0.25">
      <c r="A139" s="194">
        <v>44034</v>
      </c>
      <c r="B139" s="98" t="s">
        <v>915</v>
      </c>
      <c r="C139" s="98" t="s">
        <v>78</v>
      </c>
      <c r="D139" s="98">
        <v>38.056010000000001</v>
      </c>
      <c r="E139" s="98">
        <v>-122.1062</v>
      </c>
      <c r="F139" s="97" t="s">
        <v>1014</v>
      </c>
      <c r="G139" s="34" t="s">
        <v>80</v>
      </c>
      <c r="H139" s="34" t="s">
        <v>81</v>
      </c>
      <c r="I139" s="621">
        <v>0.41875000000000001</v>
      </c>
      <c r="J139" s="100">
        <v>22190.5</v>
      </c>
      <c r="K139" s="100">
        <v>19.399999999999999</v>
      </c>
      <c r="L139" s="100">
        <v>59.974999999999994</v>
      </c>
      <c r="M139" s="100">
        <v>0.32</v>
      </c>
      <c r="N139" s="100">
        <v>6.2250000000000005</v>
      </c>
      <c r="O139" s="98" t="s">
        <v>48</v>
      </c>
      <c r="P139" s="98">
        <v>4</v>
      </c>
      <c r="Q139" s="98">
        <v>10</v>
      </c>
      <c r="R139" s="98" t="s">
        <v>49</v>
      </c>
      <c r="S139" s="98" t="s">
        <v>50</v>
      </c>
      <c r="T139" s="98" t="s">
        <v>50</v>
      </c>
      <c r="U139" s="98" t="s">
        <v>50</v>
      </c>
      <c r="V139" s="98" t="s">
        <v>50</v>
      </c>
      <c r="W139" s="98" t="s">
        <v>50</v>
      </c>
      <c r="X139" s="98" t="s">
        <v>50</v>
      </c>
    </row>
    <row r="140" spans="1:25" x14ac:dyDescent="0.25">
      <c r="A140" s="194">
        <v>44034</v>
      </c>
      <c r="B140" s="98" t="s">
        <v>915</v>
      </c>
      <c r="C140" s="98" t="s">
        <v>78</v>
      </c>
      <c r="D140" s="98">
        <v>38.072749999999999</v>
      </c>
      <c r="E140" s="98">
        <v>-121.96742999999999</v>
      </c>
      <c r="F140" s="97" t="s">
        <v>1015</v>
      </c>
      <c r="G140" s="194" t="s">
        <v>27</v>
      </c>
      <c r="H140" s="34" t="s">
        <v>170</v>
      </c>
      <c r="I140" s="621">
        <v>0.3527777777777778</v>
      </c>
      <c r="J140" s="100">
        <v>15954.75</v>
      </c>
      <c r="K140" s="100">
        <v>19.600000000000001</v>
      </c>
      <c r="L140" s="100">
        <v>37.200000000000003</v>
      </c>
      <c r="M140" s="100">
        <v>0.34750000000000003</v>
      </c>
      <c r="N140" s="100">
        <v>4.9500000000000011</v>
      </c>
      <c r="O140" s="98" t="s">
        <v>48</v>
      </c>
      <c r="P140" s="98">
        <v>4</v>
      </c>
      <c r="Q140" s="98">
        <v>10</v>
      </c>
      <c r="R140" s="98" t="s">
        <v>49</v>
      </c>
      <c r="S140" s="98" t="s">
        <v>50</v>
      </c>
      <c r="T140" s="98" t="s">
        <v>50</v>
      </c>
      <c r="U140" s="98" t="s">
        <v>50</v>
      </c>
      <c r="V140" s="98" t="s">
        <v>50</v>
      </c>
      <c r="W140" s="98" t="s">
        <v>50</v>
      </c>
      <c r="X140" s="98" t="s">
        <v>50</v>
      </c>
      <c r="Y140" s="622" t="s">
        <v>1016</v>
      </c>
    </row>
    <row r="141" spans="1:25" x14ac:dyDescent="0.25">
      <c r="A141" s="194">
        <v>44034</v>
      </c>
      <c r="B141" s="98" t="s">
        <v>915</v>
      </c>
      <c r="C141" s="98" t="s">
        <v>78</v>
      </c>
      <c r="D141" s="98">
        <v>38.046370000000003</v>
      </c>
      <c r="E141" s="98">
        <v>-121.87642</v>
      </c>
      <c r="F141" s="97" t="s">
        <v>1017</v>
      </c>
      <c r="G141" s="97" t="s">
        <v>27</v>
      </c>
      <c r="H141" s="97" t="s">
        <v>101</v>
      </c>
      <c r="I141" s="621">
        <v>0.49791666666666662</v>
      </c>
      <c r="J141" s="100">
        <v>6436.25</v>
      </c>
      <c r="K141" s="100">
        <v>20.875</v>
      </c>
      <c r="L141" s="100">
        <v>20.399999999999999</v>
      </c>
      <c r="M141" s="100">
        <v>0.66249999999999998</v>
      </c>
      <c r="N141" s="100">
        <v>4.3</v>
      </c>
      <c r="O141" s="98" t="s">
        <v>48</v>
      </c>
      <c r="P141" s="98">
        <v>4</v>
      </c>
      <c r="Q141" s="98">
        <v>10</v>
      </c>
      <c r="R141" s="98" t="s">
        <v>64</v>
      </c>
      <c r="S141" s="98" t="s">
        <v>50</v>
      </c>
      <c r="T141" s="98" t="s">
        <v>50</v>
      </c>
      <c r="U141" s="98" t="s">
        <v>50</v>
      </c>
      <c r="V141" s="98" t="s">
        <v>50</v>
      </c>
      <c r="W141" s="98" t="s">
        <v>50</v>
      </c>
      <c r="X141" s="98" t="s">
        <v>50</v>
      </c>
      <c r="Y141" s="622" t="s">
        <v>1018</v>
      </c>
    </row>
    <row r="142" spans="1:25" x14ac:dyDescent="0.25">
      <c r="A142" s="194">
        <v>44034</v>
      </c>
      <c r="B142" s="98" t="s">
        <v>915</v>
      </c>
      <c r="C142" s="97" t="s">
        <v>88</v>
      </c>
      <c r="D142" s="98">
        <v>38.064320000000002</v>
      </c>
      <c r="E142" s="98">
        <v>-121.81486</v>
      </c>
      <c r="F142" s="97" t="s">
        <v>1019</v>
      </c>
      <c r="G142" s="97" t="s">
        <v>27</v>
      </c>
      <c r="H142" s="97" t="s">
        <v>25</v>
      </c>
      <c r="I142" s="621">
        <v>0.3743055555555555</v>
      </c>
      <c r="J142" s="100">
        <v>6009.25</v>
      </c>
      <c r="K142" s="100">
        <v>20.5</v>
      </c>
      <c r="L142" s="100">
        <v>32.975000000000001</v>
      </c>
      <c r="M142" s="100">
        <v>0.37749999999999995</v>
      </c>
      <c r="N142" s="100">
        <v>5.625</v>
      </c>
      <c r="O142" s="98" t="s">
        <v>48</v>
      </c>
      <c r="P142" s="98">
        <v>4</v>
      </c>
      <c r="Q142" s="98">
        <v>10</v>
      </c>
      <c r="R142" s="98" t="s">
        <v>49</v>
      </c>
      <c r="S142" s="98" t="s">
        <v>50</v>
      </c>
      <c r="T142" s="98" t="s">
        <v>50</v>
      </c>
      <c r="U142" s="98" t="s">
        <v>50</v>
      </c>
      <c r="V142" s="98" t="s">
        <v>50</v>
      </c>
      <c r="W142" s="98" t="s">
        <v>50</v>
      </c>
      <c r="X142" s="98" t="s">
        <v>50</v>
      </c>
    </row>
    <row r="143" spans="1:25" x14ac:dyDescent="0.25">
      <c r="A143" s="194">
        <v>44034</v>
      </c>
      <c r="B143" s="98" t="s">
        <v>915</v>
      </c>
      <c r="C143" s="97" t="s">
        <v>88</v>
      </c>
      <c r="D143" s="98">
        <v>38.13232</v>
      </c>
      <c r="E143" s="98">
        <v>-121.69403</v>
      </c>
      <c r="F143" s="97" t="s">
        <v>1020</v>
      </c>
      <c r="G143" s="97" t="s">
        <v>90</v>
      </c>
      <c r="H143" s="97" t="s">
        <v>91</v>
      </c>
      <c r="I143" s="621">
        <v>0.4375</v>
      </c>
      <c r="J143" s="100">
        <v>159.52500000000001</v>
      </c>
      <c r="K143" s="100">
        <v>21.975000000000001</v>
      </c>
      <c r="L143" s="100">
        <v>9.7875000000000014</v>
      </c>
      <c r="M143" s="100">
        <v>0.94000000000000006</v>
      </c>
      <c r="N143" s="100">
        <v>7.7249999999999996</v>
      </c>
      <c r="O143" s="98" t="s">
        <v>48</v>
      </c>
      <c r="P143" s="98">
        <v>4</v>
      </c>
      <c r="Q143" s="98">
        <v>10</v>
      </c>
      <c r="R143" s="98" t="s">
        <v>49</v>
      </c>
      <c r="S143" s="98" t="s">
        <v>50</v>
      </c>
      <c r="T143" s="98" t="s">
        <v>50</v>
      </c>
      <c r="U143" s="98" t="s">
        <v>50</v>
      </c>
      <c r="V143" s="98" t="s">
        <v>50</v>
      </c>
      <c r="W143" s="98" t="s">
        <v>50</v>
      </c>
      <c r="X143" s="98" t="s">
        <v>50</v>
      </c>
    </row>
    <row r="144" spans="1:25" x14ac:dyDescent="0.25">
      <c r="A144" s="194">
        <v>44034</v>
      </c>
      <c r="B144" s="98" t="s">
        <v>915</v>
      </c>
      <c r="C144" s="97" t="s">
        <v>88</v>
      </c>
      <c r="D144" s="98">
        <v>38.174759999999999</v>
      </c>
      <c r="E144" s="98">
        <v>-121.67010000000001</v>
      </c>
      <c r="F144" s="97" t="s">
        <v>1021</v>
      </c>
      <c r="G144" s="97" t="s">
        <v>90</v>
      </c>
      <c r="H144" s="97" t="s">
        <v>91</v>
      </c>
      <c r="I144" s="621">
        <v>0.50069444444444444</v>
      </c>
      <c r="J144" s="100">
        <v>129.17500000000001</v>
      </c>
      <c r="K144" s="100">
        <v>22.475000000000001</v>
      </c>
      <c r="L144" s="100">
        <v>8.942499999999999</v>
      </c>
      <c r="M144" s="100">
        <v>1.0674999999999999</v>
      </c>
      <c r="N144" s="100">
        <v>15.3</v>
      </c>
      <c r="O144" s="98" t="s">
        <v>48</v>
      </c>
      <c r="P144" s="98">
        <v>4</v>
      </c>
      <c r="Q144" s="98">
        <v>10</v>
      </c>
      <c r="R144" s="98" t="s">
        <v>49</v>
      </c>
      <c r="S144" s="98" t="s">
        <v>50</v>
      </c>
      <c r="T144" s="98" t="s">
        <v>50</v>
      </c>
      <c r="U144" s="98" t="s">
        <v>50</v>
      </c>
      <c r="V144" s="98" t="s">
        <v>50</v>
      </c>
      <c r="W144" s="98" t="s">
        <v>50</v>
      </c>
      <c r="X144" s="98" t="s">
        <v>50</v>
      </c>
    </row>
    <row r="145" spans="1:25" x14ac:dyDescent="0.25">
      <c r="A145" s="194">
        <v>44035</v>
      </c>
      <c r="B145" s="98" t="s">
        <v>876</v>
      </c>
      <c r="C145" s="98" t="s">
        <v>78</v>
      </c>
      <c r="D145" s="98">
        <v>38.062379999999997</v>
      </c>
      <c r="E145" s="98">
        <v>-122.03936</v>
      </c>
      <c r="F145" s="194" t="s">
        <v>1022</v>
      </c>
      <c r="G145" s="194" t="s">
        <v>27</v>
      </c>
      <c r="H145" s="34" t="s">
        <v>86</v>
      </c>
      <c r="I145" s="621">
        <v>0.33680555555555558</v>
      </c>
      <c r="J145" s="100">
        <v>19804.5</v>
      </c>
      <c r="K145" s="100">
        <v>19.675000000000001</v>
      </c>
      <c r="L145" s="100">
        <v>26.75</v>
      </c>
      <c r="M145" s="100">
        <v>0.60250000000000004</v>
      </c>
      <c r="N145" s="100">
        <v>8.9500000000000011</v>
      </c>
      <c r="O145" s="98" t="s">
        <v>48</v>
      </c>
      <c r="P145" s="98">
        <v>4</v>
      </c>
      <c r="Q145" s="98">
        <v>10</v>
      </c>
      <c r="R145" s="98" t="s">
        <v>49</v>
      </c>
      <c r="S145" s="98" t="s">
        <v>50</v>
      </c>
      <c r="T145" s="98" t="s">
        <v>50</v>
      </c>
      <c r="U145" s="98" t="s">
        <v>50</v>
      </c>
      <c r="V145" s="98" t="s">
        <v>50</v>
      </c>
      <c r="W145" s="98" t="s">
        <v>50</v>
      </c>
      <c r="X145" s="98" t="s">
        <v>50</v>
      </c>
      <c r="Y145" s="622" t="s">
        <v>1023</v>
      </c>
    </row>
    <row r="146" spans="1:25" x14ac:dyDescent="0.25">
      <c r="A146" s="194">
        <v>44035</v>
      </c>
      <c r="B146" s="98" t="s">
        <v>876</v>
      </c>
      <c r="C146" s="98" t="s">
        <v>126</v>
      </c>
      <c r="D146" s="98">
        <v>38.246429999999997</v>
      </c>
      <c r="E146" s="98">
        <v>-121.70431000000001</v>
      </c>
      <c r="F146" s="97" t="s">
        <v>1024</v>
      </c>
      <c r="G146" s="34" t="s">
        <v>90</v>
      </c>
      <c r="H146" s="34" t="s">
        <v>845</v>
      </c>
      <c r="I146" s="621">
        <v>0.34027777777777773</v>
      </c>
      <c r="J146" s="100">
        <v>151.25</v>
      </c>
      <c r="K146" s="100">
        <v>20.85</v>
      </c>
      <c r="L146" s="100">
        <v>6.4450000000000003</v>
      </c>
      <c r="M146" s="100">
        <v>1.2850000000000001</v>
      </c>
      <c r="N146" s="100">
        <v>5.35</v>
      </c>
      <c r="O146" s="98" t="s">
        <v>48</v>
      </c>
      <c r="P146" s="98">
        <v>2</v>
      </c>
      <c r="Q146" s="98">
        <v>7</v>
      </c>
      <c r="R146" s="98" t="s">
        <v>49</v>
      </c>
      <c r="S146" s="98" t="s">
        <v>50</v>
      </c>
      <c r="T146" s="98" t="s">
        <v>50</v>
      </c>
      <c r="U146" s="98" t="s">
        <v>50</v>
      </c>
      <c r="V146" s="98" t="s">
        <v>50</v>
      </c>
      <c r="W146" s="98" t="s">
        <v>50</v>
      </c>
      <c r="X146" s="98" t="s">
        <v>50</v>
      </c>
      <c r="Y146" s="622" t="s">
        <v>1025</v>
      </c>
    </row>
    <row r="147" spans="1:25" x14ac:dyDescent="0.25">
      <c r="A147" s="194">
        <v>44035</v>
      </c>
      <c r="B147" s="98" t="s">
        <v>876</v>
      </c>
      <c r="C147" s="98" t="s">
        <v>126</v>
      </c>
      <c r="D147" s="98">
        <v>38.257080000000002</v>
      </c>
      <c r="E147" s="98">
        <v>-121.69020999999999</v>
      </c>
      <c r="F147" s="97" t="s">
        <v>1026</v>
      </c>
      <c r="G147" s="34" t="s">
        <v>90</v>
      </c>
      <c r="H147" s="34" t="s">
        <v>845</v>
      </c>
      <c r="I147" s="621">
        <v>0.3756944444444445</v>
      </c>
      <c r="J147" s="98">
        <v>144.35000000000002</v>
      </c>
      <c r="K147" s="98">
        <v>21.175000000000001</v>
      </c>
      <c r="L147" s="98">
        <v>8.58</v>
      </c>
      <c r="M147" s="100">
        <v>1.3499999999999999</v>
      </c>
      <c r="N147" s="98">
        <v>10.125</v>
      </c>
      <c r="O147" s="98" t="s">
        <v>48</v>
      </c>
      <c r="P147" s="98">
        <v>4</v>
      </c>
      <c r="Q147" s="98">
        <v>10</v>
      </c>
      <c r="R147" s="98" t="s">
        <v>49</v>
      </c>
      <c r="S147" s="98" t="s">
        <v>50</v>
      </c>
      <c r="T147" s="98" t="s">
        <v>50</v>
      </c>
      <c r="U147" s="98" t="s">
        <v>50</v>
      </c>
      <c r="V147" s="98" t="s">
        <v>50</v>
      </c>
      <c r="W147" s="98" t="s">
        <v>50</v>
      </c>
      <c r="X147" s="98" t="s">
        <v>50</v>
      </c>
    </row>
    <row r="148" spans="1:25" x14ac:dyDescent="0.25">
      <c r="A148" s="194">
        <v>44035</v>
      </c>
      <c r="B148" s="98" t="s">
        <v>876</v>
      </c>
      <c r="C148" s="98" t="s">
        <v>126</v>
      </c>
      <c r="D148" s="98">
        <v>38.264049999999997</v>
      </c>
      <c r="E148" s="98">
        <v>-121.66989</v>
      </c>
      <c r="F148" s="97" t="s">
        <v>1027</v>
      </c>
      <c r="G148" s="34" t="s">
        <v>90</v>
      </c>
      <c r="H148" s="34" t="s">
        <v>845</v>
      </c>
      <c r="I148" s="621">
        <v>0.43194444444444446</v>
      </c>
      <c r="J148" s="98">
        <v>153.32500000000002</v>
      </c>
      <c r="K148" s="98">
        <v>20.524999999999999</v>
      </c>
      <c r="L148" s="98">
        <v>16.125</v>
      </c>
      <c r="M148" s="100">
        <v>0.84499999999999997</v>
      </c>
      <c r="N148" s="98">
        <v>6.2249999999999996</v>
      </c>
      <c r="O148" s="98" t="s">
        <v>48</v>
      </c>
      <c r="P148" s="98">
        <v>4</v>
      </c>
      <c r="Q148" s="98">
        <v>10</v>
      </c>
      <c r="R148" s="98" t="s">
        <v>49</v>
      </c>
      <c r="S148" s="98" t="s">
        <v>50</v>
      </c>
      <c r="T148" s="98" t="s">
        <v>50</v>
      </c>
      <c r="U148" s="98" t="s">
        <v>50</v>
      </c>
      <c r="V148" s="98" t="s">
        <v>50</v>
      </c>
      <c r="W148" s="98" t="s">
        <v>50</v>
      </c>
      <c r="X148" s="98" t="s">
        <v>50</v>
      </c>
      <c r="Y148" s="622" t="s">
        <v>1028</v>
      </c>
    </row>
    <row r="149" spans="1:25" x14ac:dyDescent="0.25">
      <c r="A149" s="194">
        <v>44036</v>
      </c>
      <c r="B149" s="98" t="s">
        <v>940</v>
      </c>
      <c r="C149" s="98" t="s">
        <v>78</v>
      </c>
      <c r="D149" s="98">
        <v>38.07206</v>
      </c>
      <c r="E149" s="98">
        <v>-121.85507</v>
      </c>
      <c r="F149" s="97" t="s">
        <v>1029</v>
      </c>
      <c r="G149" s="97" t="s">
        <v>27</v>
      </c>
      <c r="H149" s="97" t="s">
        <v>101</v>
      </c>
      <c r="I149" s="621">
        <v>0.39513888888888887</v>
      </c>
      <c r="J149" s="98">
        <v>7696.25</v>
      </c>
      <c r="K149" s="98">
        <v>20.650000000000002</v>
      </c>
      <c r="L149" s="98">
        <v>21.625</v>
      </c>
      <c r="M149" s="100">
        <v>0.67749999999999999</v>
      </c>
      <c r="N149" s="98">
        <v>4.8500000000000005</v>
      </c>
      <c r="O149" s="98" t="s">
        <v>48</v>
      </c>
      <c r="P149" s="98">
        <v>4</v>
      </c>
      <c r="Q149" s="98">
        <v>10</v>
      </c>
      <c r="R149" s="98" t="s">
        <v>49</v>
      </c>
      <c r="S149" s="98" t="s">
        <v>50</v>
      </c>
      <c r="T149" s="98" t="s">
        <v>50</v>
      </c>
      <c r="U149" s="98" t="s">
        <v>50</v>
      </c>
      <c r="V149" s="98" t="s">
        <v>50</v>
      </c>
      <c r="W149" s="98" t="s">
        <v>50</v>
      </c>
      <c r="X149" s="98" t="s">
        <v>50</v>
      </c>
    </row>
    <row r="150" spans="1:25" x14ac:dyDescent="0.25">
      <c r="A150" s="194">
        <v>44036</v>
      </c>
      <c r="B150" s="98" t="s">
        <v>940</v>
      </c>
      <c r="C150" s="98" t="s">
        <v>78</v>
      </c>
      <c r="D150" s="98">
        <v>38.082769999999996</v>
      </c>
      <c r="E150" s="98">
        <v>-121.98407</v>
      </c>
      <c r="F150" s="97" t="s">
        <v>1030</v>
      </c>
      <c r="G150" s="194" t="s">
        <v>27</v>
      </c>
      <c r="H150" s="34" t="s">
        <v>86</v>
      </c>
      <c r="I150" s="621">
        <v>0.33333333333333331</v>
      </c>
      <c r="J150" s="98">
        <v>16757.75</v>
      </c>
      <c r="K150" s="98">
        <v>19.925000000000001</v>
      </c>
      <c r="L150" s="98">
        <v>34.099999999999994</v>
      </c>
      <c r="M150" s="100">
        <v>0.41</v>
      </c>
      <c r="N150" s="98">
        <v>13.375</v>
      </c>
      <c r="O150" s="98" t="s">
        <v>48</v>
      </c>
      <c r="P150" s="98">
        <v>4</v>
      </c>
      <c r="Q150" s="98">
        <v>10</v>
      </c>
      <c r="R150" s="98" t="s">
        <v>49</v>
      </c>
      <c r="S150" s="98" t="s">
        <v>50</v>
      </c>
      <c r="T150" s="98" t="s">
        <v>50</v>
      </c>
      <c r="U150" s="98" t="s">
        <v>50</v>
      </c>
      <c r="V150" s="98" t="s">
        <v>50</v>
      </c>
      <c r="W150" s="98" t="s">
        <v>50</v>
      </c>
      <c r="X150" s="98" t="s">
        <v>50</v>
      </c>
    </row>
    <row r="151" spans="1:25" x14ac:dyDescent="0.25">
      <c r="A151" s="194">
        <v>44036</v>
      </c>
      <c r="B151" s="98" t="s">
        <v>940</v>
      </c>
      <c r="C151" s="97" t="s">
        <v>95</v>
      </c>
      <c r="D151" s="98">
        <v>38.063459999999999</v>
      </c>
      <c r="E151" s="98">
        <v>-121.54154</v>
      </c>
      <c r="F151" s="97" t="s">
        <v>1031</v>
      </c>
      <c r="G151" s="97" t="s">
        <v>886</v>
      </c>
      <c r="H151" s="34" t="s">
        <v>115</v>
      </c>
      <c r="I151" s="621">
        <v>0.35555555555555557</v>
      </c>
      <c r="J151" s="100">
        <v>192.57499999999999</v>
      </c>
      <c r="K151" s="100">
        <v>22.625</v>
      </c>
      <c r="L151" s="100">
        <v>4.79</v>
      </c>
      <c r="M151" s="100">
        <v>1.7949999999999999</v>
      </c>
      <c r="N151" s="100">
        <v>4.9249999999999998</v>
      </c>
      <c r="O151" s="98" t="s">
        <v>48</v>
      </c>
      <c r="P151" s="98">
        <v>4</v>
      </c>
      <c r="Q151" s="98">
        <v>10</v>
      </c>
      <c r="R151" s="98" t="s">
        <v>49</v>
      </c>
      <c r="S151" s="98" t="s">
        <v>50</v>
      </c>
      <c r="T151" s="98" t="s">
        <v>50</v>
      </c>
      <c r="U151" s="98" t="s">
        <v>50</v>
      </c>
      <c r="V151" s="98" t="s">
        <v>50</v>
      </c>
      <c r="W151" s="98" t="s">
        <v>50</v>
      </c>
      <c r="X151" s="98" t="s">
        <v>50</v>
      </c>
    </row>
    <row r="152" spans="1:25" x14ac:dyDescent="0.25">
      <c r="A152" s="194">
        <v>44036</v>
      </c>
      <c r="B152" s="98" t="s">
        <v>940</v>
      </c>
      <c r="C152" s="97" t="s">
        <v>95</v>
      </c>
      <c r="D152" s="98">
        <v>38.045819999999999</v>
      </c>
      <c r="E152" s="98">
        <v>-121.69701000000001</v>
      </c>
      <c r="F152" s="97" t="s">
        <v>1032</v>
      </c>
      <c r="G152" s="97" t="s">
        <v>27</v>
      </c>
      <c r="H152" s="97" t="s">
        <v>863</v>
      </c>
      <c r="I152" s="621">
        <v>0.42777777777777781</v>
      </c>
      <c r="J152" s="100">
        <v>1260.75</v>
      </c>
      <c r="K152" s="100">
        <v>21.524999999999999</v>
      </c>
      <c r="L152" s="100">
        <v>7.879999999999999</v>
      </c>
      <c r="M152" s="100">
        <v>1.0874999999999999</v>
      </c>
      <c r="N152" s="100">
        <v>8.4250000000000007</v>
      </c>
      <c r="O152" s="98" t="s">
        <v>48</v>
      </c>
      <c r="P152" s="98">
        <v>4</v>
      </c>
      <c r="Q152" s="98">
        <v>10</v>
      </c>
      <c r="R152" s="98" t="s">
        <v>49</v>
      </c>
      <c r="S152" s="98" t="s">
        <v>50</v>
      </c>
      <c r="T152" s="98" t="s">
        <v>50</v>
      </c>
      <c r="U152" s="98" t="s">
        <v>50</v>
      </c>
      <c r="V152" s="98" t="s">
        <v>50</v>
      </c>
      <c r="W152" s="98" t="s">
        <v>50</v>
      </c>
      <c r="X152" s="98" t="s">
        <v>50</v>
      </c>
    </row>
    <row r="153" spans="1:25" s="362" customFormat="1" x14ac:dyDescent="0.25">
      <c r="A153" s="360">
        <v>44036</v>
      </c>
      <c r="B153" s="362" t="s">
        <v>940</v>
      </c>
      <c r="C153" s="361" t="s">
        <v>95</v>
      </c>
      <c r="D153" s="362">
        <v>38.025179999999999</v>
      </c>
      <c r="E153" s="362">
        <v>-121.72055</v>
      </c>
      <c r="F153" s="361" t="s">
        <v>1033</v>
      </c>
      <c r="G153" s="361" t="s">
        <v>27</v>
      </c>
      <c r="H153" s="361" t="s">
        <v>863</v>
      </c>
      <c r="I153" s="618">
        <v>0.47986111111111113</v>
      </c>
      <c r="J153" s="364">
        <v>890.25</v>
      </c>
      <c r="K153" s="364">
        <v>22.150000000000002</v>
      </c>
      <c r="L153" s="364">
        <v>4.3224999999999998</v>
      </c>
      <c r="M153" s="364">
        <v>1.7124999999999999</v>
      </c>
      <c r="N153" s="364">
        <v>4.625</v>
      </c>
      <c r="O153" s="362" t="s">
        <v>48</v>
      </c>
      <c r="P153" s="362">
        <v>4</v>
      </c>
      <c r="Q153" s="362">
        <v>10</v>
      </c>
      <c r="R153" s="362" t="s">
        <v>49</v>
      </c>
      <c r="S153" s="362" t="s">
        <v>50</v>
      </c>
      <c r="T153" s="362" t="s">
        <v>50</v>
      </c>
      <c r="U153" s="362" t="s">
        <v>50</v>
      </c>
      <c r="V153" s="362" t="s">
        <v>50</v>
      </c>
      <c r="W153" s="362" t="s">
        <v>50</v>
      </c>
      <c r="X153" s="362" t="s">
        <v>50</v>
      </c>
      <c r="Y153" s="603"/>
    </row>
    <row r="154" spans="1:25" x14ac:dyDescent="0.25">
      <c r="A154" s="194">
        <v>44039</v>
      </c>
      <c r="B154" s="98" t="s">
        <v>43</v>
      </c>
      <c r="C154" s="98" t="s">
        <v>78</v>
      </c>
      <c r="D154" s="98">
        <v>38.051409999999997</v>
      </c>
      <c r="E154" s="98">
        <v>-121.88829</v>
      </c>
      <c r="F154" s="98" t="s">
        <v>1034</v>
      </c>
      <c r="G154" s="97" t="s">
        <v>27</v>
      </c>
      <c r="H154" s="97" t="s">
        <v>101</v>
      </c>
      <c r="I154" s="621">
        <v>0.32430555555555557</v>
      </c>
      <c r="J154" s="100">
        <v>7343</v>
      </c>
      <c r="K154" s="100">
        <v>20.625</v>
      </c>
      <c r="L154" s="100">
        <v>33.475000000000001</v>
      </c>
      <c r="M154" s="100">
        <v>0.47499999999999998</v>
      </c>
      <c r="N154" s="100">
        <v>11.975</v>
      </c>
      <c r="O154" s="98" t="s">
        <v>48</v>
      </c>
      <c r="P154" s="98">
        <v>4</v>
      </c>
      <c r="Q154" s="98">
        <v>10</v>
      </c>
      <c r="R154" s="98" t="s">
        <v>64</v>
      </c>
      <c r="S154" s="98" t="s">
        <v>50</v>
      </c>
      <c r="T154" s="98" t="s">
        <v>50</v>
      </c>
      <c r="U154" s="98" t="s">
        <v>50</v>
      </c>
      <c r="V154" s="98" t="s">
        <v>50</v>
      </c>
      <c r="W154" s="98" t="s">
        <v>50</v>
      </c>
      <c r="X154" s="98" t="s">
        <v>50</v>
      </c>
    </row>
    <row r="155" spans="1:25" x14ac:dyDescent="0.25">
      <c r="A155" s="194">
        <v>44039</v>
      </c>
      <c r="B155" s="98" t="s">
        <v>43</v>
      </c>
      <c r="C155" s="98" t="s">
        <v>78</v>
      </c>
      <c r="D155" s="98">
        <v>38.044750000000001</v>
      </c>
      <c r="E155" s="98">
        <v>-121.92865</v>
      </c>
      <c r="F155" s="98" t="s">
        <v>1035</v>
      </c>
      <c r="G155" s="97" t="s">
        <v>27</v>
      </c>
      <c r="H155" s="97" t="s">
        <v>101</v>
      </c>
      <c r="I155" s="621">
        <v>0.37708333333333338</v>
      </c>
      <c r="J155" s="100">
        <v>10310.5</v>
      </c>
      <c r="K155" s="100">
        <v>20.524999999999999</v>
      </c>
      <c r="L155" s="100">
        <v>25.524999999999999</v>
      </c>
      <c r="M155" s="100">
        <v>0.60750000000000004</v>
      </c>
      <c r="N155" s="100">
        <v>18.975000000000001</v>
      </c>
      <c r="O155" s="98" t="s">
        <v>48</v>
      </c>
      <c r="P155" s="98">
        <v>4</v>
      </c>
      <c r="Q155" s="98">
        <v>10</v>
      </c>
      <c r="R155" s="98" t="s">
        <v>64</v>
      </c>
      <c r="S155" s="98" t="s">
        <v>50</v>
      </c>
      <c r="T155" s="98" t="s">
        <v>50</v>
      </c>
      <c r="U155" s="98" t="s">
        <v>50</v>
      </c>
      <c r="V155" s="98" t="s">
        <v>50</v>
      </c>
      <c r="W155" s="98" t="s">
        <v>50</v>
      </c>
      <c r="X155" s="98" t="s">
        <v>50</v>
      </c>
    </row>
    <row r="156" spans="1:25" x14ac:dyDescent="0.25">
      <c r="A156" s="194">
        <v>44039</v>
      </c>
      <c r="B156" s="98" t="s">
        <v>43</v>
      </c>
      <c r="C156" s="98" t="s">
        <v>78</v>
      </c>
      <c r="D156" s="98">
        <v>38.07394</v>
      </c>
      <c r="E156" s="98">
        <v>-122.00679</v>
      </c>
      <c r="F156" s="98" t="s">
        <v>1036</v>
      </c>
      <c r="G156" s="194" t="s">
        <v>27</v>
      </c>
      <c r="H156" s="34" t="s">
        <v>86</v>
      </c>
      <c r="I156" s="621">
        <v>0.43888888888888888</v>
      </c>
      <c r="J156" s="100">
        <v>17100.25</v>
      </c>
      <c r="K156" s="100">
        <v>19.625</v>
      </c>
      <c r="L156" s="100">
        <v>39.775000000000006</v>
      </c>
      <c r="M156" s="100">
        <v>0.39500000000000002</v>
      </c>
      <c r="N156" s="100">
        <v>9.1999999999999993</v>
      </c>
      <c r="O156" s="98" t="s">
        <v>48</v>
      </c>
      <c r="P156" s="98">
        <v>4</v>
      </c>
      <c r="Q156" s="98">
        <v>10</v>
      </c>
      <c r="R156" s="98" t="s">
        <v>49</v>
      </c>
      <c r="S156" s="98" t="s">
        <v>50</v>
      </c>
      <c r="T156" s="98" t="s">
        <v>50</v>
      </c>
      <c r="U156" s="98" t="s">
        <v>50</v>
      </c>
      <c r="V156" s="98" t="s">
        <v>50</v>
      </c>
      <c r="W156" s="98" t="s">
        <v>50</v>
      </c>
      <c r="X156" s="98" t="s">
        <v>50</v>
      </c>
    </row>
    <row r="157" spans="1:25" x14ac:dyDescent="0.25">
      <c r="A157" s="194">
        <v>44039</v>
      </c>
      <c r="B157" s="98" t="s">
        <v>43</v>
      </c>
      <c r="C157" s="97" t="s">
        <v>106</v>
      </c>
      <c r="D157" s="98">
        <v>38.561239999999998</v>
      </c>
      <c r="E157" s="98">
        <v>-121.54064</v>
      </c>
      <c r="F157" s="98" t="s">
        <v>1037</v>
      </c>
      <c r="G157" s="97" t="s">
        <v>90</v>
      </c>
      <c r="H157" s="97" t="s">
        <v>158</v>
      </c>
      <c r="I157" s="621">
        <v>0.35833333333333334</v>
      </c>
      <c r="J157" s="100">
        <v>1116.75</v>
      </c>
      <c r="K157" s="100">
        <v>25.65</v>
      </c>
      <c r="L157" s="100">
        <v>3.26</v>
      </c>
      <c r="M157" s="100">
        <v>1.8</v>
      </c>
      <c r="N157" s="100">
        <v>6.9749999999999996</v>
      </c>
      <c r="O157" s="98" t="s">
        <v>48</v>
      </c>
      <c r="P157" s="98">
        <v>4</v>
      </c>
      <c r="Q157" s="98">
        <v>10</v>
      </c>
      <c r="R157" s="98" t="s">
        <v>49</v>
      </c>
      <c r="S157" s="98" t="s">
        <v>50</v>
      </c>
      <c r="T157" s="98" t="s">
        <v>50</v>
      </c>
      <c r="U157" s="98" t="s">
        <v>50</v>
      </c>
      <c r="V157" s="98" t="s">
        <v>50</v>
      </c>
      <c r="W157" s="98" t="s">
        <v>50</v>
      </c>
      <c r="X157" s="98" t="s">
        <v>50</v>
      </c>
    </row>
    <row r="158" spans="1:25" x14ac:dyDescent="0.25">
      <c r="A158" s="194">
        <v>44039</v>
      </c>
      <c r="B158" s="98" t="s">
        <v>43</v>
      </c>
      <c r="C158" s="97" t="s">
        <v>106</v>
      </c>
      <c r="D158" s="98">
        <v>38.2849</v>
      </c>
      <c r="E158" s="98">
        <v>-121.65912</v>
      </c>
      <c r="F158" s="98" t="s">
        <v>1038</v>
      </c>
      <c r="G158" s="97" t="s">
        <v>90</v>
      </c>
      <c r="H158" s="97" t="s">
        <v>108</v>
      </c>
      <c r="I158" s="621">
        <v>0.43888888888888888</v>
      </c>
      <c r="J158" s="100">
        <v>164.05</v>
      </c>
      <c r="K158" s="100">
        <v>21.95</v>
      </c>
      <c r="L158" s="100">
        <v>7.9824999999999999</v>
      </c>
      <c r="M158" s="100">
        <v>1.3149999999999999</v>
      </c>
      <c r="N158" s="100">
        <v>11.375</v>
      </c>
      <c r="O158" s="98" t="s">
        <v>48</v>
      </c>
      <c r="P158" s="98">
        <v>4</v>
      </c>
      <c r="Q158" s="98">
        <v>10</v>
      </c>
      <c r="R158" s="98" t="s">
        <v>64</v>
      </c>
      <c r="S158" s="98" t="s">
        <v>50</v>
      </c>
      <c r="T158" s="98" t="s">
        <v>50</v>
      </c>
      <c r="U158" s="98" t="s">
        <v>50</v>
      </c>
      <c r="V158" s="98" t="s">
        <v>50</v>
      </c>
      <c r="W158" s="98" t="s">
        <v>50</v>
      </c>
      <c r="X158" s="98" t="s">
        <v>50</v>
      </c>
      <c r="Y158" s="638" t="s">
        <v>313</v>
      </c>
    </row>
    <row r="159" spans="1:25" x14ac:dyDescent="0.25">
      <c r="A159" s="194">
        <v>44039</v>
      </c>
      <c r="B159" s="98" t="s">
        <v>43</v>
      </c>
      <c r="C159" s="97" t="s">
        <v>106</v>
      </c>
      <c r="D159" s="98">
        <v>38.201149999999998</v>
      </c>
      <c r="E159" s="98">
        <v>-121.65589</v>
      </c>
      <c r="F159" s="98" t="s">
        <v>1039</v>
      </c>
      <c r="G159" s="97" t="s">
        <v>90</v>
      </c>
      <c r="H159" s="97" t="s">
        <v>108</v>
      </c>
      <c r="I159" s="621">
        <v>0.49374999999999997</v>
      </c>
      <c r="J159" s="100">
        <v>149.875</v>
      </c>
      <c r="K159" s="100">
        <v>22.525000000000002</v>
      </c>
      <c r="L159" s="100">
        <v>4.33</v>
      </c>
      <c r="M159" s="100">
        <v>1.8</v>
      </c>
      <c r="N159" s="100">
        <v>12.95</v>
      </c>
      <c r="O159" s="98" t="s">
        <v>48</v>
      </c>
      <c r="P159" s="98">
        <v>4</v>
      </c>
      <c r="Q159" s="98">
        <v>10</v>
      </c>
      <c r="R159" s="98" t="s">
        <v>49</v>
      </c>
      <c r="S159" s="98" t="s">
        <v>50</v>
      </c>
      <c r="T159" s="98" t="s">
        <v>50</v>
      </c>
      <c r="U159" s="98" t="s">
        <v>50</v>
      </c>
      <c r="V159" s="98" t="s">
        <v>50</v>
      </c>
      <c r="W159" s="98" t="s">
        <v>50</v>
      </c>
      <c r="X159" s="98" t="s">
        <v>50</v>
      </c>
    </row>
    <row r="160" spans="1:25" x14ac:dyDescent="0.25">
      <c r="A160" s="194">
        <v>44039</v>
      </c>
      <c r="B160" s="98" t="s">
        <v>43</v>
      </c>
      <c r="C160" s="97" t="s">
        <v>88</v>
      </c>
      <c r="D160" s="98">
        <v>38.127270000000003</v>
      </c>
      <c r="E160" s="98">
        <v>-121.69555</v>
      </c>
      <c r="F160" s="98" t="s">
        <v>1040</v>
      </c>
      <c r="G160" s="97" t="s">
        <v>90</v>
      </c>
      <c r="H160" s="97" t="s">
        <v>91</v>
      </c>
      <c r="I160" s="621">
        <v>0.41250000000000003</v>
      </c>
      <c r="J160" s="100">
        <v>268.14999999999998</v>
      </c>
      <c r="K160" s="100">
        <v>21.95</v>
      </c>
      <c r="L160" s="100">
        <v>6.7624999999999993</v>
      </c>
      <c r="M160" s="100">
        <v>1.4375</v>
      </c>
      <c r="N160" s="100">
        <v>7.85</v>
      </c>
      <c r="O160" s="98" t="s">
        <v>48</v>
      </c>
      <c r="P160" s="98">
        <v>4</v>
      </c>
      <c r="Q160" s="98">
        <v>10</v>
      </c>
      <c r="R160" s="98" t="s">
        <v>64</v>
      </c>
      <c r="S160" s="98" t="s">
        <v>50</v>
      </c>
      <c r="T160" s="98" t="s">
        <v>50</v>
      </c>
      <c r="U160" s="98" t="s">
        <v>50</v>
      </c>
      <c r="V160" s="98" t="s">
        <v>50</v>
      </c>
      <c r="W160" s="98" t="s">
        <v>50</v>
      </c>
      <c r="X160" s="98" t="s">
        <v>50</v>
      </c>
      <c r="Y160" s="622" t="s">
        <v>139</v>
      </c>
    </row>
    <row r="161" spans="1:25" s="154" customFormat="1" x14ac:dyDescent="0.25">
      <c r="A161" s="195">
        <v>44039</v>
      </c>
      <c r="B161" s="154" t="s">
        <v>43</v>
      </c>
      <c r="C161" s="153" t="s">
        <v>88</v>
      </c>
      <c r="D161" s="154">
        <v>38.067360000000001</v>
      </c>
      <c r="E161" s="154">
        <v>-121.77207</v>
      </c>
      <c r="F161" s="154" t="s">
        <v>1041</v>
      </c>
      <c r="G161" s="153" t="s">
        <v>27</v>
      </c>
      <c r="H161" s="153" t="s">
        <v>25</v>
      </c>
      <c r="I161" s="636">
        <v>0.39861111111111108</v>
      </c>
      <c r="J161" s="156" t="s">
        <v>50</v>
      </c>
      <c r="K161" s="156" t="s">
        <v>50</v>
      </c>
      <c r="L161" s="156" t="s">
        <v>50</v>
      </c>
      <c r="M161" s="156" t="s">
        <v>50</v>
      </c>
      <c r="N161" s="156" t="s">
        <v>50</v>
      </c>
      <c r="O161" s="154" t="s">
        <v>48</v>
      </c>
      <c r="P161" s="153">
        <v>0</v>
      </c>
      <c r="Q161" s="153" t="s">
        <v>50</v>
      </c>
      <c r="R161" s="153" t="s">
        <v>50</v>
      </c>
      <c r="S161" s="154" t="s">
        <v>50</v>
      </c>
      <c r="T161" s="154" t="s">
        <v>50</v>
      </c>
      <c r="U161" s="154" t="s">
        <v>50</v>
      </c>
      <c r="V161" s="154" t="s">
        <v>50</v>
      </c>
      <c r="W161" s="154" t="s">
        <v>50</v>
      </c>
      <c r="X161" s="154" t="s">
        <v>50</v>
      </c>
      <c r="Y161" s="627" t="s">
        <v>1042</v>
      </c>
    </row>
    <row r="162" spans="1:25" s="154" customFormat="1" x14ac:dyDescent="0.25">
      <c r="A162" s="195">
        <v>44039</v>
      </c>
      <c r="B162" s="154" t="s">
        <v>43</v>
      </c>
      <c r="C162" s="153" t="s">
        <v>88</v>
      </c>
      <c r="D162" s="154">
        <v>38.065800000000003</v>
      </c>
      <c r="E162" s="154">
        <v>-121.83036</v>
      </c>
      <c r="F162" s="154" t="s">
        <v>1043</v>
      </c>
      <c r="G162" s="153" t="s">
        <v>27</v>
      </c>
      <c r="H162" s="153" t="s">
        <v>25</v>
      </c>
      <c r="I162" s="636">
        <v>0.38680555555555557</v>
      </c>
      <c r="J162" s="156" t="s">
        <v>50</v>
      </c>
      <c r="K162" s="156" t="s">
        <v>50</v>
      </c>
      <c r="L162" s="156" t="s">
        <v>50</v>
      </c>
      <c r="M162" s="156" t="s">
        <v>50</v>
      </c>
      <c r="N162" s="156" t="s">
        <v>50</v>
      </c>
      <c r="O162" s="154" t="s">
        <v>48</v>
      </c>
      <c r="P162" s="153">
        <v>0</v>
      </c>
      <c r="Q162" s="153" t="s">
        <v>50</v>
      </c>
      <c r="R162" s="153" t="s">
        <v>50</v>
      </c>
      <c r="S162" s="154" t="s">
        <v>50</v>
      </c>
      <c r="T162" s="154" t="s">
        <v>50</v>
      </c>
      <c r="U162" s="154" t="s">
        <v>50</v>
      </c>
      <c r="V162" s="154" t="s">
        <v>50</v>
      </c>
      <c r="W162" s="154" t="s">
        <v>50</v>
      </c>
      <c r="X162" s="154" t="s">
        <v>50</v>
      </c>
      <c r="Y162" s="627" t="s">
        <v>1042</v>
      </c>
    </row>
    <row r="163" spans="1:25" x14ac:dyDescent="0.25">
      <c r="A163" s="194">
        <v>44039</v>
      </c>
      <c r="B163" s="98" t="s">
        <v>43</v>
      </c>
      <c r="C163" s="97" t="s">
        <v>88</v>
      </c>
      <c r="D163" s="98">
        <v>38.520200000000003</v>
      </c>
      <c r="E163" s="98">
        <v>-121.68652</v>
      </c>
      <c r="F163" s="98" t="s">
        <v>1044</v>
      </c>
      <c r="G163" s="97" t="s">
        <v>90</v>
      </c>
      <c r="H163" s="97" t="s">
        <v>91</v>
      </c>
      <c r="I163" s="621">
        <v>0.46111111111111108</v>
      </c>
      <c r="J163" s="100">
        <v>176.125</v>
      </c>
      <c r="K163" s="100">
        <v>22.324999999999999</v>
      </c>
      <c r="L163" s="100">
        <v>6.2175000000000002</v>
      </c>
      <c r="M163" s="100">
        <v>1.5725</v>
      </c>
      <c r="N163" s="100">
        <v>5.6499999999999995</v>
      </c>
      <c r="O163" s="98" t="s">
        <v>48</v>
      </c>
      <c r="P163" s="98">
        <v>4</v>
      </c>
      <c r="Q163" s="98">
        <v>10</v>
      </c>
      <c r="R163" s="98" t="s">
        <v>49</v>
      </c>
      <c r="S163" s="98" t="s">
        <v>50</v>
      </c>
      <c r="T163" s="98" t="s">
        <v>50</v>
      </c>
      <c r="U163" s="98" t="s">
        <v>50</v>
      </c>
      <c r="V163" s="98" t="s">
        <v>50</v>
      </c>
      <c r="W163" s="98" t="s">
        <v>50</v>
      </c>
      <c r="X163" s="98" t="s">
        <v>50</v>
      </c>
    </row>
    <row r="164" spans="1:25" x14ac:dyDescent="0.25">
      <c r="A164" s="194">
        <v>44039</v>
      </c>
      <c r="B164" s="98" t="s">
        <v>43</v>
      </c>
      <c r="C164" s="97" t="s">
        <v>88</v>
      </c>
      <c r="D164" s="98">
        <v>38.171019999999999</v>
      </c>
      <c r="E164" s="98">
        <v>-121.6716</v>
      </c>
      <c r="F164" s="98" t="s">
        <v>1045</v>
      </c>
      <c r="G164" s="97" t="s">
        <v>90</v>
      </c>
      <c r="H164" s="97" t="s">
        <v>91</v>
      </c>
      <c r="I164" s="621">
        <v>0.51388888888888895</v>
      </c>
      <c r="J164" s="100">
        <v>144.04999999999998</v>
      </c>
      <c r="K164" s="100">
        <v>22.725000000000001</v>
      </c>
      <c r="L164" s="100">
        <v>4.37</v>
      </c>
      <c r="M164" s="100">
        <v>1.8</v>
      </c>
      <c r="N164" s="100">
        <v>7.45</v>
      </c>
      <c r="O164" s="98" t="s">
        <v>48</v>
      </c>
      <c r="P164" s="98">
        <v>4</v>
      </c>
      <c r="Q164" s="98">
        <v>10</v>
      </c>
      <c r="R164" s="98" t="s">
        <v>49</v>
      </c>
      <c r="S164" s="98" t="s">
        <v>50</v>
      </c>
      <c r="T164" s="98" t="s">
        <v>50</v>
      </c>
      <c r="U164" s="98" t="s">
        <v>50</v>
      </c>
      <c r="V164" s="98" t="s">
        <v>50</v>
      </c>
      <c r="W164" s="98" t="s">
        <v>50</v>
      </c>
      <c r="X164" s="98" t="s">
        <v>50</v>
      </c>
    </row>
    <row r="165" spans="1:25" x14ac:dyDescent="0.25">
      <c r="A165" s="194">
        <v>44040</v>
      </c>
      <c r="B165" s="98" t="s">
        <v>849</v>
      </c>
      <c r="C165" s="98" t="s">
        <v>78</v>
      </c>
      <c r="D165" s="98">
        <v>38.056730000000002</v>
      </c>
      <c r="E165" s="98">
        <v>-121.95921</v>
      </c>
      <c r="F165" s="98" t="s">
        <v>1046</v>
      </c>
      <c r="G165" s="194" t="s">
        <v>27</v>
      </c>
      <c r="H165" s="34" t="s">
        <v>170</v>
      </c>
      <c r="I165" s="621">
        <v>0.32430555555555557</v>
      </c>
      <c r="J165" s="100">
        <v>8623</v>
      </c>
      <c r="K165" s="100">
        <v>20.399999999999999</v>
      </c>
      <c r="L165" s="100">
        <v>19.149999999999999</v>
      </c>
      <c r="M165" s="100">
        <v>0.57000000000000006</v>
      </c>
      <c r="N165" s="100">
        <v>15.100000000000001</v>
      </c>
      <c r="O165" s="98" t="s">
        <v>48</v>
      </c>
      <c r="P165" s="98">
        <v>2</v>
      </c>
      <c r="Q165" s="98">
        <v>10</v>
      </c>
      <c r="R165" s="98" t="s">
        <v>64</v>
      </c>
      <c r="S165" s="98" t="s">
        <v>50</v>
      </c>
      <c r="T165" s="98" t="s">
        <v>50</v>
      </c>
      <c r="U165" s="98" t="s">
        <v>50</v>
      </c>
      <c r="V165" s="98" t="s">
        <v>50</v>
      </c>
      <c r="W165" s="98" t="s">
        <v>50</v>
      </c>
      <c r="X165" s="98" t="s">
        <v>50</v>
      </c>
      <c r="Y165" s="622" t="s">
        <v>1047</v>
      </c>
    </row>
    <row r="166" spans="1:25" x14ac:dyDescent="0.25">
      <c r="A166" s="194">
        <v>44040</v>
      </c>
      <c r="B166" s="98" t="s">
        <v>849</v>
      </c>
      <c r="C166" s="98" t="s">
        <v>78</v>
      </c>
      <c r="D166" s="98">
        <v>38.088850000000001</v>
      </c>
      <c r="E166" s="98">
        <v>-122.00967</v>
      </c>
      <c r="F166" s="98" t="s">
        <v>1048</v>
      </c>
      <c r="G166" s="194" t="s">
        <v>27</v>
      </c>
      <c r="H166" s="34" t="s">
        <v>86</v>
      </c>
      <c r="I166" s="621">
        <v>0.36249999999999999</v>
      </c>
      <c r="J166" s="100">
        <v>14148</v>
      </c>
      <c r="K166" s="100">
        <v>20</v>
      </c>
      <c r="L166" s="100">
        <v>26.6</v>
      </c>
      <c r="M166" s="100">
        <v>0.46749999999999997</v>
      </c>
      <c r="N166" s="100">
        <v>11.074999999999999</v>
      </c>
      <c r="O166" s="98" t="s">
        <v>48</v>
      </c>
      <c r="P166" s="98">
        <v>4</v>
      </c>
      <c r="Q166" s="98">
        <v>10</v>
      </c>
      <c r="R166" s="98" t="s">
        <v>64</v>
      </c>
      <c r="S166" s="98" t="s">
        <v>50</v>
      </c>
      <c r="T166" s="98" t="s">
        <v>50</v>
      </c>
      <c r="U166" s="98" t="s">
        <v>50</v>
      </c>
      <c r="V166" s="98" t="s">
        <v>50</v>
      </c>
      <c r="W166" s="98" t="s">
        <v>50</v>
      </c>
      <c r="X166" s="98" t="s">
        <v>50</v>
      </c>
    </row>
    <row r="167" spans="1:25" x14ac:dyDescent="0.25">
      <c r="A167" s="194">
        <v>44040</v>
      </c>
      <c r="B167" s="98" t="s">
        <v>849</v>
      </c>
      <c r="C167" s="98" t="s">
        <v>78</v>
      </c>
      <c r="D167" s="98">
        <v>38.031239999999997</v>
      </c>
      <c r="E167" s="98">
        <v>-121.83099</v>
      </c>
      <c r="F167" s="98" t="s">
        <v>1049</v>
      </c>
      <c r="G167" s="97" t="s">
        <v>27</v>
      </c>
      <c r="H167" s="97" t="s">
        <v>101</v>
      </c>
      <c r="I167" s="621">
        <v>0.43124999999999997</v>
      </c>
      <c r="J167" s="100">
        <v>2866</v>
      </c>
      <c r="K167" s="100">
        <v>21.1</v>
      </c>
      <c r="L167" s="100">
        <v>17.925000000000001</v>
      </c>
      <c r="M167" s="100">
        <v>0.72750000000000004</v>
      </c>
      <c r="N167" s="100">
        <v>4.5250000000000004</v>
      </c>
      <c r="O167" s="98" t="s">
        <v>48</v>
      </c>
      <c r="P167" s="98">
        <v>4</v>
      </c>
      <c r="Q167" s="98">
        <v>10</v>
      </c>
      <c r="R167" s="98" t="s">
        <v>64</v>
      </c>
      <c r="S167" s="98" t="s">
        <v>50</v>
      </c>
      <c r="T167" s="98" t="s">
        <v>50</v>
      </c>
      <c r="U167" s="98" t="s">
        <v>50</v>
      </c>
      <c r="V167" s="98" t="s">
        <v>50</v>
      </c>
      <c r="W167" s="98" t="s">
        <v>50</v>
      </c>
      <c r="X167" s="98" t="s">
        <v>50</v>
      </c>
    </row>
    <row r="168" spans="1:25" x14ac:dyDescent="0.25">
      <c r="A168" s="194">
        <v>44040</v>
      </c>
      <c r="B168" s="98" t="s">
        <v>849</v>
      </c>
      <c r="C168" s="97" t="s">
        <v>106</v>
      </c>
      <c r="D168" s="98">
        <v>38.519480000000001</v>
      </c>
      <c r="E168" s="98">
        <v>-121.58454</v>
      </c>
      <c r="F168" s="98" t="s">
        <v>1050</v>
      </c>
      <c r="G168" s="97" t="s">
        <v>90</v>
      </c>
      <c r="H168" s="97" t="s">
        <v>158</v>
      </c>
      <c r="I168" s="621">
        <v>0.35625000000000001</v>
      </c>
      <c r="J168" s="100">
        <v>984.5</v>
      </c>
      <c r="K168" s="100">
        <v>23.65</v>
      </c>
      <c r="L168" s="100">
        <v>13.475000000000001</v>
      </c>
      <c r="M168" s="100">
        <v>0.79249999999999998</v>
      </c>
      <c r="N168" s="100">
        <v>10.7</v>
      </c>
      <c r="O168" s="98" t="s">
        <v>48</v>
      </c>
      <c r="P168" s="98">
        <v>4</v>
      </c>
      <c r="Q168" s="98">
        <v>10</v>
      </c>
      <c r="R168" s="98" t="s">
        <v>49</v>
      </c>
      <c r="S168" s="98" t="s">
        <v>50</v>
      </c>
      <c r="T168" s="98" t="s">
        <v>50</v>
      </c>
      <c r="U168" s="98" t="s">
        <v>50</v>
      </c>
      <c r="V168" s="98" t="s">
        <v>50</v>
      </c>
      <c r="W168" s="98" t="s">
        <v>50</v>
      </c>
      <c r="X168" s="98" t="s">
        <v>50</v>
      </c>
    </row>
    <row r="169" spans="1:25" x14ac:dyDescent="0.25">
      <c r="A169" s="194">
        <v>44040</v>
      </c>
      <c r="B169" s="98" t="s">
        <v>849</v>
      </c>
      <c r="C169" s="97" t="s">
        <v>106</v>
      </c>
      <c r="D169" s="98">
        <v>38.198149999999998</v>
      </c>
      <c r="E169" s="98">
        <v>-121.65733</v>
      </c>
      <c r="F169" s="98" t="s">
        <v>1051</v>
      </c>
      <c r="G169" s="97" t="s">
        <v>90</v>
      </c>
      <c r="H169" s="97" t="s">
        <v>108</v>
      </c>
      <c r="I169" s="621">
        <v>0.49305555555555558</v>
      </c>
      <c r="J169" s="100">
        <v>150.15</v>
      </c>
      <c r="K169" s="100">
        <v>22.324999999999999</v>
      </c>
      <c r="L169" s="100">
        <v>9.2149999999999999</v>
      </c>
      <c r="M169" s="100">
        <v>1.8</v>
      </c>
      <c r="N169" s="100">
        <v>15.150000000000002</v>
      </c>
      <c r="O169" s="98" t="s">
        <v>48</v>
      </c>
      <c r="P169" s="98">
        <v>4</v>
      </c>
      <c r="Q169" s="98">
        <v>10</v>
      </c>
      <c r="R169" s="98" t="s">
        <v>64</v>
      </c>
      <c r="S169" s="98" t="s">
        <v>50</v>
      </c>
      <c r="T169" s="98" t="s">
        <v>50</v>
      </c>
      <c r="U169" s="98" t="s">
        <v>50</v>
      </c>
      <c r="V169" s="98" t="s">
        <v>50</v>
      </c>
      <c r="W169" s="98" t="s">
        <v>50</v>
      </c>
      <c r="X169" s="98" t="s">
        <v>50</v>
      </c>
    </row>
    <row r="170" spans="1:25" x14ac:dyDescent="0.25">
      <c r="A170" s="194">
        <v>44040</v>
      </c>
      <c r="B170" s="98" t="s">
        <v>849</v>
      </c>
      <c r="C170" s="97" t="s">
        <v>106</v>
      </c>
      <c r="D170" s="98">
        <v>38.402679999999997</v>
      </c>
      <c r="E170" s="98">
        <v>-121.616</v>
      </c>
      <c r="F170" s="98" t="s">
        <v>1052</v>
      </c>
      <c r="G170" s="97" t="s">
        <v>90</v>
      </c>
      <c r="H170" s="97" t="s">
        <v>108</v>
      </c>
      <c r="I170" s="621">
        <v>0.42152777777777778</v>
      </c>
      <c r="J170" s="100">
        <v>536</v>
      </c>
      <c r="K170" s="100">
        <v>21.9</v>
      </c>
      <c r="L170" s="100">
        <v>49.65</v>
      </c>
      <c r="M170" s="100">
        <v>0.3175</v>
      </c>
      <c r="N170" s="100">
        <v>9.3249999999999993</v>
      </c>
      <c r="O170" s="98" t="s">
        <v>48</v>
      </c>
      <c r="P170" s="98">
        <v>4</v>
      </c>
      <c r="Q170" s="98">
        <v>10</v>
      </c>
      <c r="R170" s="98" t="s">
        <v>64</v>
      </c>
      <c r="S170" s="98" t="s">
        <v>50</v>
      </c>
      <c r="T170" s="98" t="s">
        <v>50</v>
      </c>
      <c r="U170" s="98" t="s">
        <v>50</v>
      </c>
      <c r="V170" s="98" t="s">
        <v>50</v>
      </c>
      <c r="W170" s="98" t="s">
        <v>50</v>
      </c>
      <c r="X170" s="98" t="s">
        <v>50</v>
      </c>
      <c r="Y170" s="622" t="s">
        <v>1053</v>
      </c>
    </row>
    <row r="171" spans="1:25" s="154" customFormat="1" x14ac:dyDescent="0.25">
      <c r="A171" s="195">
        <v>44040</v>
      </c>
      <c r="B171" s="154" t="s">
        <v>849</v>
      </c>
      <c r="C171" s="153" t="s">
        <v>88</v>
      </c>
      <c r="D171" s="154">
        <v>38.059339999999999</v>
      </c>
      <c r="E171" s="154">
        <v>-121.80483</v>
      </c>
      <c r="F171" s="154" t="s">
        <v>1054</v>
      </c>
      <c r="G171" s="153" t="s">
        <v>27</v>
      </c>
      <c r="H171" s="153" t="s">
        <v>25</v>
      </c>
      <c r="I171" s="636">
        <v>0.35416666666666669</v>
      </c>
      <c r="J171" s="156" t="s">
        <v>50</v>
      </c>
      <c r="K171" s="156" t="s">
        <v>50</v>
      </c>
      <c r="L171" s="156" t="s">
        <v>50</v>
      </c>
      <c r="M171" s="156" t="s">
        <v>50</v>
      </c>
      <c r="N171" s="156" t="s">
        <v>50</v>
      </c>
      <c r="O171" s="154" t="s">
        <v>48</v>
      </c>
      <c r="P171" s="154">
        <v>0</v>
      </c>
      <c r="Q171" s="154" t="s">
        <v>50</v>
      </c>
      <c r="R171" s="154" t="s">
        <v>50</v>
      </c>
      <c r="S171" s="154" t="s">
        <v>50</v>
      </c>
      <c r="T171" s="154" t="s">
        <v>50</v>
      </c>
      <c r="U171" s="154" t="s">
        <v>50</v>
      </c>
      <c r="V171" s="154" t="s">
        <v>50</v>
      </c>
      <c r="W171" s="154" t="s">
        <v>50</v>
      </c>
      <c r="X171" s="154" t="s">
        <v>50</v>
      </c>
      <c r="Y171" s="627" t="s">
        <v>1042</v>
      </c>
    </row>
    <row r="172" spans="1:25" x14ac:dyDescent="0.25">
      <c r="A172" s="194">
        <v>44040</v>
      </c>
      <c r="B172" s="98" t="s">
        <v>849</v>
      </c>
      <c r="C172" s="97" t="s">
        <v>88</v>
      </c>
      <c r="D172" s="98">
        <v>38.077919999999999</v>
      </c>
      <c r="E172" s="98">
        <v>-121.76492</v>
      </c>
      <c r="F172" s="98" t="s">
        <v>1055</v>
      </c>
      <c r="G172" s="97" t="s">
        <v>27</v>
      </c>
      <c r="H172" s="97" t="s">
        <v>25</v>
      </c>
      <c r="I172" s="621">
        <v>0.36527777777777781</v>
      </c>
      <c r="J172" s="100">
        <v>321.625</v>
      </c>
      <c r="K172" s="100">
        <v>21.450000000000003</v>
      </c>
      <c r="L172" s="100">
        <v>18.725000000000001</v>
      </c>
      <c r="M172" s="100">
        <v>0.65500000000000003</v>
      </c>
      <c r="N172" s="100">
        <v>9.75</v>
      </c>
      <c r="O172" s="98" t="s">
        <v>48</v>
      </c>
      <c r="P172" s="98">
        <v>4</v>
      </c>
      <c r="Q172" s="98">
        <v>10</v>
      </c>
      <c r="R172" s="98" t="s">
        <v>64</v>
      </c>
      <c r="S172" s="98" t="s">
        <v>50</v>
      </c>
      <c r="T172" s="98" t="s">
        <v>50</v>
      </c>
      <c r="U172" s="98" t="s">
        <v>50</v>
      </c>
      <c r="V172" s="98" t="s">
        <v>50</v>
      </c>
      <c r="W172" s="98" t="s">
        <v>50</v>
      </c>
      <c r="X172" s="98" t="s">
        <v>50</v>
      </c>
    </row>
    <row r="173" spans="1:25" x14ac:dyDescent="0.25">
      <c r="A173" s="194">
        <v>44040</v>
      </c>
      <c r="B173" s="98" t="s">
        <v>849</v>
      </c>
      <c r="C173" s="97" t="s">
        <v>88</v>
      </c>
      <c r="D173" s="98">
        <v>38.105040000000002</v>
      </c>
      <c r="E173" s="98">
        <v>-121.71498</v>
      </c>
      <c r="F173" s="98" t="s">
        <v>1056</v>
      </c>
      <c r="G173" s="97" t="s">
        <v>90</v>
      </c>
      <c r="H173" s="97" t="s">
        <v>91</v>
      </c>
      <c r="I173" s="621">
        <v>0.42499999999999999</v>
      </c>
      <c r="J173" s="100">
        <v>258.47500000000002</v>
      </c>
      <c r="K173" s="100">
        <v>21.7</v>
      </c>
      <c r="L173" s="100">
        <v>11.3675</v>
      </c>
      <c r="M173" s="100">
        <v>0.99500000000000011</v>
      </c>
      <c r="N173" s="100">
        <v>5.0999999999999996</v>
      </c>
      <c r="O173" s="98" t="s">
        <v>48</v>
      </c>
      <c r="P173" s="98">
        <v>4</v>
      </c>
      <c r="Q173" s="98">
        <v>10</v>
      </c>
      <c r="R173" s="98" t="s">
        <v>64</v>
      </c>
      <c r="S173" s="98" t="s">
        <v>50</v>
      </c>
      <c r="T173" s="98" t="s">
        <v>50</v>
      </c>
      <c r="U173" s="98" t="s">
        <v>50</v>
      </c>
      <c r="V173" s="98" t="s">
        <v>50</v>
      </c>
      <c r="W173" s="98" t="s">
        <v>50</v>
      </c>
      <c r="X173" s="98" t="s">
        <v>50</v>
      </c>
    </row>
    <row r="174" spans="1:25" s="154" customFormat="1" x14ac:dyDescent="0.25">
      <c r="A174" s="195">
        <v>44040</v>
      </c>
      <c r="B174" s="154" t="s">
        <v>849</v>
      </c>
      <c r="C174" s="153" t="s">
        <v>88</v>
      </c>
      <c r="D174" s="154">
        <v>38.033009999999997</v>
      </c>
      <c r="E174" s="154">
        <v>-121.78248000000001</v>
      </c>
      <c r="F174" s="154" t="s">
        <v>1057</v>
      </c>
      <c r="G174" s="153" t="s">
        <v>27</v>
      </c>
      <c r="H174" s="153" t="s">
        <v>25</v>
      </c>
      <c r="I174" s="636">
        <v>0.47916666666666669</v>
      </c>
      <c r="J174" s="156" t="s">
        <v>50</v>
      </c>
      <c r="K174" s="156" t="s">
        <v>50</v>
      </c>
      <c r="L174" s="156" t="s">
        <v>50</v>
      </c>
      <c r="M174" s="156" t="s">
        <v>50</v>
      </c>
      <c r="N174" s="156" t="s">
        <v>50</v>
      </c>
      <c r="O174" s="154" t="s">
        <v>48</v>
      </c>
      <c r="P174" s="154">
        <v>0</v>
      </c>
      <c r="Q174" s="154" t="s">
        <v>50</v>
      </c>
      <c r="R174" s="154" t="s">
        <v>50</v>
      </c>
      <c r="S174" s="154" t="s">
        <v>50</v>
      </c>
      <c r="T174" s="154" t="s">
        <v>50</v>
      </c>
      <c r="U174" s="154" t="s">
        <v>50</v>
      </c>
      <c r="V174" s="154" t="s">
        <v>50</v>
      </c>
      <c r="W174" s="154" t="s">
        <v>50</v>
      </c>
      <c r="X174" s="154" t="s">
        <v>50</v>
      </c>
      <c r="Y174" s="627" t="s">
        <v>1042</v>
      </c>
    </row>
    <row r="175" spans="1:25" x14ac:dyDescent="0.25">
      <c r="A175" s="194">
        <v>44040</v>
      </c>
      <c r="B175" s="98" t="s">
        <v>849</v>
      </c>
      <c r="C175" s="97" t="s">
        <v>88</v>
      </c>
      <c r="D175" s="98">
        <v>38.095709999999997</v>
      </c>
      <c r="E175" s="98">
        <v>-121.7236</v>
      </c>
      <c r="F175" s="98" t="s">
        <v>1058</v>
      </c>
      <c r="G175" s="97" t="s">
        <v>90</v>
      </c>
      <c r="H175" s="97" t="s">
        <v>91</v>
      </c>
      <c r="I175" s="621">
        <v>0.47986111111111113</v>
      </c>
      <c r="J175" s="100">
        <v>376.52499999999998</v>
      </c>
      <c r="K175" s="100">
        <v>21.4</v>
      </c>
      <c r="L175" s="100">
        <v>14.15</v>
      </c>
      <c r="M175" s="100">
        <v>0.70750000000000002</v>
      </c>
      <c r="N175" s="100">
        <v>4.9749999999999996</v>
      </c>
      <c r="O175" s="98" t="s">
        <v>48</v>
      </c>
      <c r="P175" s="98">
        <v>4</v>
      </c>
      <c r="Q175" s="98">
        <v>10</v>
      </c>
      <c r="R175" s="98" t="s">
        <v>64</v>
      </c>
      <c r="S175" s="98" t="s">
        <v>50</v>
      </c>
      <c r="T175" s="98" t="s">
        <v>50</v>
      </c>
      <c r="U175" s="98" t="s">
        <v>50</v>
      </c>
      <c r="V175" s="98" t="s">
        <v>50</v>
      </c>
      <c r="W175" s="98" t="s">
        <v>50</v>
      </c>
      <c r="X175" s="98" t="s">
        <v>50</v>
      </c>
    </row>
    <row r="176" spans="1:25" s="154" customFormat="1" x14ac:dyDescent="0.25">
      <c r="A176" s="195">
        <v>44041</v>
      </c>
      <c r="B176" s="154" t="s">
        <v>87</v>
      </c>
      <c r="C176" s="154" t="s">
        <v>126</v>
      </c>
      <c r="D176" s="154">
        <v>38.261009999999999</v>
      </c>
      <c r="E176" s="154">
        <v>-121.75387000000001</v>
      </c>
      <c r="F176" s="154" t="s">
        <v>1059</v>
      </c>
      <c r="G176" s="157" t="s">
        <v>90</v>
      </c>
      <c r="H176" s="157" t="s">
        <v>845</v>
      </c>
      <c r="I176" s="636">
        <v>0.33194444444444443</v>
      </c>
      <c r="J176" s="156" t="s">
        <v>50</v>
      </c>
      <c r="K176" s="156" t="s">
        <v>50</v>
      </c>
      <c r="L176" s="156" t="s">
        <v>50</v>
      </c>
      <c r="M176" s="156" t="s">
        <v>50</v>
      </c>
      <c r="N176" s="156" t="s">
        <v>50</v>
      </c>
      <c r="O176" s="154" t="s">
        <v>48</v>
      </c>
      <c r="P176" s="154">
        <v>0</v>
      </c>
      <c r="Q176" s="154" t="s">
        <v>50</v>
      </c>
      <c r="R176" s="154" t="s">
        <v>50</v>
      </c>
      <c r="S176" s="154" t="s">
        <v>50</v>
      </c>
      <c r="T176" s="154" t="s">
        <v>50</v>
      </c>
      <c r="U176" s="154" t="s">
        <v>50</v>
      </c>
      <c r="V176" s="154" t="s">
        <v>50</v>
      </c>
      <c r="W176" s="154" t="s">
        <v>50</v>
      </c>
      <c r="X176" s="154" t="s">
        <v>50</v>
      </c>
      <c r="Y176" s="627" t="s">
        <v>1060</v>
      </c>
    </row>
    <row r="177" spans="1:25" x14ac:dyDescent="0.25">
      <c r="A177" s="194">
        <v>44041</v>
      </c>
      <c r="B177" s="98" t="s">
        <v>87</v>
      </c>
      <c r="C177" s="98" t="s">
        <v>126</v>
      </c>
      <c r="D177" s="98">
        <v>38.257019999999997</v>
      </c>
      <c r="E177" s="98">
        <v>-121.72977</v>
      </c>
      <c r="F177" s="98" t="s">
        <v>1061</v>
      </c>
      <c r="G177" s="34" t="s">
        <v>90</v>
      </c>
      <c r="H177" s="34" t="s">
        <v>845</v>
      </c>
      <c r="I177" s="621">
        <v>0.33958333333333335</v>
      </c>
      <c r="J177" s="100">
        <v>163.17500000000001</v>
      </c>
      <c r="K177" s="100">
        <v>20.824999999999999</v>
      </c>
      <c r="L177" s="100">
        <v>5.01</v>
      </c>
      <c r="M177" s="100">
        <v>1.665</v>
      </c>
      <c r="N177" s="100">
        <v>4.5</v>
      </c>
      <c r="O177" s="98" t="s">
        <v>48</v>
      </c>
      <c r="P177" s="98">
        <v>4</v>
      </c>
      <c r="Q177" s="98">
        <v>10</v>
      </c>
      <c r="R177" s="98" t="s">
        <v>49</v>
      </c>
      <c r="S177" s="98" t="s">
        <v>50</v>
      </c>
      <c r="T177" s="98" t="s">
        <v>50</v>
      </c>
      <c r="U177" s="98" t="s">
        <v>50</v>
      </c>
      <c r="V177" s="98" t="s">
        <v>50</v>
      </c>
      <c r="W177" s="98" t="s">
        <v>50</v>
      </c>
      <c r="X177" s="98" t="s">
        <v>50</v>
      </c>
      <c r="Y177" s="98"/>
    </row>
    <row r="178" spans="1:25" x14ac:dyDescent="0.25">
      <c r="A178" s="194">
        <v>44041</v>
      </c>
      <c r="B178" s="98" t="s">
        <v>87</v>
      </c>
      <c r="C178" s="98" t="s">
        <v>126</v>
      </c>
      <c r="D178" s="98">
        <v>38.24465</v>
      </c>
      <c r="E178" s="98">
        <v>-121.68786</v>
      </c>
      <c r="F178" s="98" t="s">
        <v>1062</v>
      </c>
      <c r="G178" s="34" t="s">
        <v>90</v>
      </c>
      <c r="H178" s="34" t="s">
        <v>845</v>
      </c>
      <c r="I178" s="621">
        <v>0.39374999999999999</v>
      </c>
      <c r="J178" s="100">
        <v>158.77500000000001</v>
      </c>
      <c r="K178" s="100">
        <v>21.075000000000003</v>
      </c>
      <c r="L178" s="100">
        <v>7.51</v>
      </c>
      <c r="M178" s="100">
        <v>1.57</v>
      </c>
      <c r="N178" s="100">
        <v>14.004999999999999</v>
      </c>
      <c r="O178" s="98" t="s">
        <v>48</v>
      </c>
      <c r="P178" s="98">
        <v>4</v>
      </c>
      <c r="Q178" s="98">
        <v>10</v>
      </c>
      <c r="R178" s="98" t="s">
        <v>64</v>
      </c>
      <c r="S178" s="98" t="s">
        <v>50</v>
      </c>
      <c r="T178" s="98" t="s">
        <v>50</v>
      </c>
      <c r="U178" s="98" t="s">
        <v>50</v>
      </c>
      <c r="V178" s="98" t="s">
        <v>50</v>
      </c>
      <c r="W178" s="98" t="s">
        <v>50</v>
      </c>
      <c r="X178" s="98" t="s">
        <v>50</v>
      </c>
    </row>
    <row r="179" spans="1:25" x14ac:dyDescent="0.25">
      <c r="A179" s="194">
        <v>44041</v>
      </c>
      <c r="B179" s="98" t="s">
        <v>87</v>
      </c>
      <c r="C179" s="98" t="s">
        <v>126</v>
      </c>
      <c r="D179" s="98">
        <v>38.279209999999999</v>
      </c>
      <c r="E179" s="98">
        <v>-121.69454</v>
      </c>
      <c r="F179" s="98" t="s">
        <v>1063</v>
      </c>
      <c r="G179" s="34" t="s">
        <v>90</v>
      </c>
      <c r="H179" s="34" t="s">
        <v>845</v>
      </c>
      <c r="I179" s="621">
        <v>0.44166666666666665</v>
      </c>
      <c r="J179" s="100">
        <v>170.92500000000001</v>
      </c>
      <c r="K179" s="100">
        <v>20.799999999999997</v>
      </c>
      <c r="L179" s="100">
        <v>6.165</v>
      </c>
      <c r="M179" s="100">
        <v>1.4424999999999999</v>
      </c>
      <c r="N179" s="100">
        <v>7.0249999999999995</v>
      </c>
      <c r="O179" s="98" t="s">
        <v>48</v>
      </c>
      <c r="P179" s="98">
        <v>4</v>
      </c>
      <c r="Q179" s="98">
        <v>10</v>
      </c>
      <c r="R179" s="98" t="s">
        <v>64</v>
      </c>
      <c r="S179" s="98" t="s">
        <v>50</v>
      </c>
      <c r="T179" s="98" t="s">
        <v>50</v>
      </c>
      <c r="U179" s="98" t="s">
        <v>50</v>
      </c>
      <c r="V179" s="98" t="s">
        <v>50</v>
      </c>
      <c r="W179" s="98" t="s">
        <v>50</v>
      </c>
      <c r="X179" s="98" t="s">
        <v>50</v>
      </c>
    </row>
    <row r="180" spans="1:25" x14ac:dyDescent="0.25">
      <c r="A180" s="194">
        <v>44041</v>
      </c>
      <c r="B180" s="98" t="s">
        <v>87</v>
      </c>
      <c r="C180" s="97" t="s">
        <v>62</v>
      </c>
      <c r="D180" s="98">
        <v>38.147910000000003</v>
      </c>
      <c r="E180" s="98">
        <v>-122.05719000000001</v>
      </c>
      <c r="F180" s="98" t="s">
        <v>1064</v>
      </c>
      <c r="G180" s="97" t="s">
        <v>27</v>
      </c>
      <c r="H180" s="97" t="s">
        <v>62</v>
      </c>
      <c r="I180" s="621">
        <v>0.34791666666666665</v>
      </c>
      <c r="J180" s="100">
        <v>15548.75</v>
      </c>
      <c r="K180" s="100">
        <v>20.849999999999998</v>
      </c>
      <c r="L180" s="100">
        <v>27.625</v>
      </c>
      <c r="M180" s="100">
        <v>0.40749999999999997</v>
      </c>
      <c r="N180" s="100">
        <v>10.175000000000001</v>
      </c>
      <c r="O180" s="98" t="s">
        <v>48</v>
      </c>
      <c r="P180" s="98">
        <v>4</v>
      </c>
      <c r="Q180" s="98">
        <v>10</v>
      </c>
      <c r="R180" s="98" t="s">
        <v>64</v>
      </c>
      <c r="S180" s="98" t="s">
        <v>50</v>
      </c>
      <c r="T180" s="98" t="s">
        <v>50</v>
      </c>
      <c r="U180" s="98" t="s">
        <v>50</v>
      </c>
      <c r="V180" s="98" t="s">
        <v>50</v>
      </c>
      <c r="W180" s="98" t="s">
        <v>50</v>
      </c>
      <c r="X180" s="98" t="s">
        <v>50</v>
      </c>
    </row>
    <row r="181" spans="1:25" x14ac:dyDescent="0.25">
      <c r="A181" s="194">
        <v>44041</v>
      </c>
      <c r="B181" s="98" t="s">
        <v>87</v>
      </c>
      <c r="C181" s="97" t="s">
        <v>62</v>
      </c>
      <c r="D181" s="98">
        <v>38.11824</v>
      </c>
      <c r="E181" s="98">
        <v>-122.05526999999999</v>
      </c>
      <c r="F181" s="98" t="s">
        <v>1065</v>
      </c>
      <c r="G181" s="97" t="s">
        <v>27</v>
      </c>
      <c r="H181" s="97" t="s">
        <v>173</v>
      </c>
      <c r="I181" s="621">
        <v>0.4069444444444445</v>
      </c>
      <c r="J181" s="100">
        <v>18098.25</v>
      </c>
      <c r="K181" s="100">
        <v>19.875</v>
      </c>
      <c r="L181" s="100">
        <v>64.974999999999994</v>
      </c>
      <c r="M181" s="100">
        <v>0.27750000000000002</v>
      </c>
      <c r="N181" s="100">
        <v>4.1500000000000004</v>
      </c>
      <c r="O181" s="98" t="s">
        <v>48</v>
      </c>
      <c r="P181" s="98">
        <v>4</v>
      </c>
      <c r="Q181" s="98">
        <v>10</v>
      </c>
      <c r="R181" s="98" t="s">
        <v>64</v>
      </c>
      <c r="S181" s="98" t="s">
        <v>50</v>
      </c>
      <c r="T181" s="98" t="s">
        <v>50</v>
      </c>
      <c r="U181" s="98" t="s">
        <v>50</v>
      </c>
      <c r="V181" s="98" t="s">
        <v>50</v>
      </c>
      <c r="W181" s="98" t="s">
        <v>50</v>
      </c>
      <c r="X181" s="98" t="s">
        <v>50</v>
      </c>
    </row>
    <row r="182" spans="1:25" x14ac:dyDescent="0.25">
      <c r="A182" s="194">
        <v>44041</v>
      </c>
      <c r="B182" s="98" t="s">
        <v>87</v>
      </c>
      <c r="C182" s="97" t="s">
        <v>62</v>
      </c>
      <c r="D182" s="98">
        <v>38.104889999999997</v>
      </c>
      <c r="E182" s="98">
        <v>-122.03133</v>
      </c>
      <c r="F182" s="98" t="s">
        <v>1066</v>
      </c>
      <c r="G182" s="97" t="s">
        <v>27</v>
      </c>
      <c r="H182" s="97" t="s">
        <v>173</v>
      </c>
      <c r="I182" s="621">
        <v>0.46458333333333335</v>
      </c>
      <c r="J182" s="100">
        <v>19380.25</v>
      </c>
      <c r="K182" s="100">
        <v>19.975000000000001</v>
      </c>
      <c r="L182" s="100">
        <v>51.45</v>
      </c>
      <c r="M182" s="100">
        <v>0.3175</v>
      </c>
      <c r="N182" s="100">
        <v>3.1500000000000004</v>
      </c>
      <c r="O182" s="98" t="s">
        <v>48</v>
      </c>
      <c r="P182" s="98">
        <v>4</v>
      </c>
      <c r="Q182" s="98">
        <v>10</v>
      </c>
      <c r="R182" s="98" t="s">
        <v>49</v>
      </c>
      <c r="S182" s="98" t="s">
        <v>50</v>
      </c>
      <c r="T182" s="98" t="s">
        <v>50</v>
      </c>
      <c r="U182" s="98" t="s">
        <v>50</v>
      </c>
      <c r="V182" s="98" t="s">
        <v>50</v>
      </c>
      <c r="W182" s="98" t="s">
        <v>50</v>
      </c>
      <c r="X182" s="98" t="s">
        <v>50</v>
      </c>
      <c r="Y182" s="622" t="s">
        <v>1067</v>
      </c>
    </row>
    <row r="183" spans="1:25" x14ac:dyDescent="0.25">
      <c r="A183" s="194">
        <v>44041</v>
      </c>
      <c r="B183" s="98" t="s">
        <v>87</v>
      </c>
      <c r="C183" s="97" t="s">
        <v>95</v>
      </c>
      <c r="D183" s="98">
        <v>38.023001999999998</v>
      </c>
      <c r="E183" s="98">
        <v>-121.79549</v>
      </c>
      <c r="F183" s="98" t="s">
        <v>1068</v>
      </c>
      <c r="G183" s="97" t="s">
        <v>27</v>
      </c>
      <c r="H183" s="97" t="s">
        <v>863</v>
      </c>
      <c r="I183" s="621">
        <v>0.36736111111111108</v>
      </c>
      <c r="J183" s="100">
        <v>1510.5</v>
      </c>
      <c r="K183" s="100">
        <v>21.4</v>
      </c>
      <c r="L183" s="100">
        <v>8.5625</v>
      </c>
      <c r="M183" s="100">
        <v>1.02</v>
      </c>
      <c r="N183" s="100">
        <v>11.600000000000001</v>
      </c>
      <c r="O183" s="98" t="s">
        <v>48</v>
      </c>
      <c r="P183" s="98">
        <v>4</v>
      </c>
      <c r="Q183" s="98">
        <v>10</v>
      </c>
      <c r="R183" s="98" t="s">
        <v>64</v>
      </c>
      <c r="S183" s="98" t="s">
        <v>50</v>
      </c>
      <c r="T183" s="98" t="s">
        <v>50</v>
      </c>
      <c r="U183" s="98" t="s">
        <v>50</v>
      </c>
      <c r="V183" s="98" t="s">
        <v>50</v>
      </c>
      <c r="W183" s="98" t="s">
        <v>50</v>
      </c>
      <c r="X183" s="98" t="s">
        <v>50</v>
      </c>
    </row>
    <row r="184" spans="1:25" x14ac:dyDescent="0.25">
      <c r="A184" s="194">
        <v>44041</v>
      </c>
      <c r="B184" s="98" t="s">
        <v>87</v>
      </c>
      <c r="C184" s="97" t="s">
        <v>95</v>
      </c>
      <c r="D184" s="98">
        <v>38.024679999999996</v>
      </c>
      <c r="E184" s="98">
        <v>-121.78400000000001</v>
      </c>
      <c r="F184" s="98" t="s">
        <v>1069</v>
      </c>
      <c r="G184" s="97" t="s">
        <v>27</v>
      </c>
      <c r="H184" s="97" t="s">
        <v>863</v>
      </c>
      <c r="I184" s="621">
        <v>0.41875000000000001</v>
      </c>
      <c r="J184" s="100">
        <v>1314.75</v>
      </c>
      <c r="K184" s="100">
        <v>21.5</v>
      </c>
      <c r="L184" s="100">
        <v>8.5225000000000009</v>
      </c>
      <c r="M184" s="100">
        <v>0.97249999999999992</v>
      </c>
      <c r="N184" s="100">
        <v>12.799999999999999</v>
      </c>
      <c r="O184" s="98" t="s">
        <v>48</v>
      </c>
      <c r="P184" s="98">
        <v>4</v>
      </c>
      <c r="Q184" s="98">
        <v>10</v>
      </c>
      <c r="R184" s="98" t="s">
        <v>64</v>
      </c>
      <c r="S184" s="98" t="s">
        <v>50</v>
      </c>
      <c r="T184" s="98" t="s">
        <v>50</v>
      </c>
      <c r="U184" s="98" t="s">
        <v>50</v>
      </c>
      <c r="V184" s="98" t="s">
        <v>50</v>
      </c>
      <c r="W184" s="98" t="s">
        <v>50</v>
      </c>
      <c r="X184" s="98" t="s">
        <v>50</v>
      </c>
    </row>
    <row r="185" spans="1:25" x14ac:dyDescent="0.25">
      <c r="A185" s="194">
        <v>44041</v>
      </c>
      <c r="B185" s="98" t="s">
        <v>87</v>
      </c>
      <c r="C185" s="97" t="s">
        <v>95</v>
      </c>
      <c r="D185" s="98">
        <v>38.085720000000002</v>
      </c>
      <c r="E185" s="98">
        <v>-121.64268</v>
      </c>
      <c r="F185" s="98" t="s">
        <v>1070</v>
      </c>
      <c r="G185" s="97" t="s">
        <v>886</v>
      </c>
      <c r="H185" s="97" t="s">
        <v>908</v>
      </c>
      <c r="I185" s="621">
        <v>0.48125000000000001</v>
      </c>
      <c r="J185" s="100">
        <v>232.625</v>
      </c>
      <c r="K185" s="100">
        <v>22.849999999999998</v>
      </c>
      <c r="L185" s="100">
        <v>5.629999999999999</v>
      </c>
      <c r="M185" s="100">
        <v>1.3625</v>
      </c>
      <c r="N185" s="100">
        <v>14.375</v>
      </c>
      <c r="O185" s="98" t="s">
        <v>48</v>
      </c>
      <c r="P185" s="98">
        <v>4</v>
      </c>
      <c r="Q185" s="98">
        <v>10</v>
      </c>
      <c r="R185" s="98" t="s">
        <v>64</v>
      </c>
      <c r="S185" s="98" t="s">
        <v>50</v>
      </c>
      <c r="T185" s="98" t="s">
        <v>50</v>
      </c>
      <c r="U185" s="98" t="s">
        <v>50</v>
      </c>
      <c r="V185" s="98" t="s">
        <v>50</v>
      </c>
      <c r="W185" s="98" t="s">
        <v>50</v>
      </c>
      <c r="X185" s="98" t="s">
        <v>50</v>
      </c>
      <c r="Y185" s="764"/>
    </row>
    <row r="186" spans="1:25" s="154" customFormat="1" x14ac:dyDescent="0.25">
      <c r="A186" s="195">
        <v>44042</v>
      </c>
      <c r="B186" s="154" t="s">
        <v>876</v>
      </c>
      <c r="C186" s="153" t="s">
        <v>62</v>
      </c>
      <c r="D186" s="154">
        <v>38.102179999999997</v>
      </c>
      <c r="E186" s="154">
        <v>-122.06631</v>
      </c>
      <c r="F186" s="154" t="s">
        <v>1071</v>
      </c>
      <c r="G186" s="154" t="s">
        <v>27</v>
      </c>
      <c r="H186" s="154" t="s">
        <v>173</v>
      </c>
      <c r="I186" s="636">
        <v>0.34097222222222223</v>
      </c>
      <c r="J186" s="156" t="s">
        <v>50</v>
      </c>
      <c r="K186" s="156" t="s">
        <v>50</v>
      </c>
      <c r="L186" s="156" t="s">
        <v>50</v>
      </c>
      <c r="M186" s="156" t="s">
        <v>50</v>
      </c>
      <c r="N186" s="156" t="s">
        <v>50</v>
      </c>
      <c r="O186" s="157" t="s">
        <v>48</v>
      </c>
      <c r="P186" s="153">
        <v>0</v>
      </c>
      <c r="Q186" s="153" t="s">
        <v>50</v>
      </c>
      <c r="R186" s="153" t="s">
        <v>50</v>
      </c>
      <c r="S186" s="158" t="s">
        <v>50</v>
      </c>
      <c r="T186" s="158" t="s">
        <v>50</v>
      </c>
      <c r="U186" s="157" t="s">
        <v>50</v>
      </c>
      <c r="V186" s="158" t="s">
        <v>50</v>
      </c>
      <c r="W186" s="158" t="s">
        <v>50</v>
      </c>
      <c r="X186" s="157" t="s">
        <v>50</v>
      </c>
      <c r="Y186" s="159" t="s">
        <v>858</v>
      </c>
    </row>
    <row r="187" spans="1:25" s="154" customFormat="1" x14ac:dyDescent="0.25">
      <c r="A187" s="195">
        <v>44042</v>
      </c>
      <c r="B187" s="154" t="s">
        <v>876</v>
      </c>
      <c r="C187" s="153" t="s">
        <v>62</v>
      </c>
      <c r="D187" s="154">
        <v>38.151969999999999</v>
      </c>
      <c r="E187" s="154">
        <v>-122.07067000000001</v>
      </c>
      <c r="F187" s="154" t="s">
        <v>1072</v>
      </c>
      <c r="G187" s="154" t="s">
        <v>27</v>
      </c>
      <c r="H187" s="154" t="s">
        <v>62</v>
      </c>
      <c r="I187" s="636">
        <v>0.34375</v>
      </c>
      <c r="J187" s="156" t="s">
        <v>50</v>
      </c>
      <c r="K187" s="156" t="s">
        <v>50</v>
      </c>
      <c r="L187" s="156" t="s">
        <v>50</v>
      </c>
      <c r="M187" s="156" t="s">
        <v>50</v>
      </c>
      <c r="N187" s="156" t="s">
        <v>50</v>
      </c>
      <c r="O187" s="157" t="s">
        <v>48</v>
      </c>
      <c r="P187" s="153">
        <v>0</v>
      </c>
      <c r="Q187" s="153" t="s">
        <v>50</v>
      </c>
      <c r="R187" s="153" t="s">
        <v>50</v>
      </c>
      <c r="S187" s="158" t="s">
        <v>50</v>
      </c>
      <c r="T187" s="158" t="s">
        <v>50</v>
      </c>
      <c r="U187" s="157" t="s">
        <v>50</v>
      </c>
      <c r="V187" s="158" t="s">
        <v>50</v>
      </c>
      <c r="W187" s="158" t="s">
        <v>50</v>
      </c>
      <c r="X187" s="157" t="s">
        <v>50</v>
      </c>
      <c r="Y187" s="159" t="s">
        <v>858</v>
      </c>
    </row>
    <row r="188" spans="1:25" x14ac:dyDescent="0.25">
      <c r="A188" s="194">
        <v>44042</v>
      </c>
      <c r="B188" s="98" t="s">
        <v>876</v>
      </c>
      <c r="C188" s="97" t="s">
        <v>62</v>
      </c>
      <c r="D188" s="98">
        <v>38.179360000000003</v>
      </c>
      <c r="E188" s="98">
        <v>-122.05199</v>
      </c>
      <c r="F188" s="98" t="s">
        <v>1073</v>
      </c>
      <c r="G188" s="98" t="s">
        <v>27</v>
      </c>
      <c r="H188" s="98" t="s">
        <v>62</v>
      </c>
      <c r="I188" s="621">
        <v>0.35625000000000001</v>
      </c>
      <c r="J188" s="100">
        <v>12990</v>
      </c>
      <c r="K188" s="100">
        <v>20.650000000000002</v>
      </c>
      <c r="L188" s="100">
        <v>31.2</v>
      </c>
      <c r="M188" s="100">
        <v>0.44999999999999996</v>
      </c>
      <c r="N188" s="100">
        <v>5.5750000000000002</v>
      </c>
      <c r="O188" s="98" t="s">
        <v>48</v>
      </c>
      <c r="P188" s="98">
        <v>4</v>
      </c>
      <c r="Q188" s="98">
        <v>10</v>
      </c>
      <c r="R188" s="98" t="s">
        <v>64</v>
      </c>
      <c r="S188" s="98" t="s">
        <v>50</v>
      </c>
      <c r="T188" s="98" t="s">
        <v>50</v>
      </c>
      <c r="U188" s="98" t="s">
        <v>50</v>
      </c>
      <c r="V188" s="98" t="s">
        <v>50</v>
      </c>
      <c r="W188" s="98" t="s">
        <v>50</v>
      </c>
      <c r="X188" s="98" t="s">
        <v>50</v>
      </c>
    </row>
    <row r="189" spans="1:25" x14ac:dyDescent="0.25">
      <c r="A189" s="194">
        <v>44042</v>
      </c>
      <c r="B189" s="98" t="s">
        <v>876</v>
      </c>
      <c r="C189" s="97" t="s">
        <v>62</v>
      </c>
      <c r="D189" s="98">
        <v>38.153849999999998</v>
      </c>
      <c r="E189" s="98">
        <v>-121.92076</v>
      </c>
      <c r="F189" s="98" t="s">
        <v>1074</v>
      </c>
      <c r="G189" s="98" t="s">
        <v>27</v>
      </c>
      <c r="H189" s="98" t="s">
        <v>62</v>
      </c>
      <c r="I189" s="621">
        <v>0.42986111111111108</v>
      </c>
      <c r="J189" s="100">
        <v>10033.25</v>
      </c>
      <c r="K189" s="100">
        <v>20.975000000000001</v>
      </c>
      <c r="L189" s="100">
        <v>22.375</v>
      </c>
      <c r="M189" s="100">
        <v>0.53749999999999998</v>
      </c>
      <c r="N189" s="100">
        <v>4.125</v>
      </c>
      <c r="O189" s="98" t="s">
        <v>48</v>
      </c>
      <c r="P189" s="98">
        <v>4</v>
      </c>
      <c r="Q189" s="98">
        <v>10</v>
      </c>
      <c r="R189" s="98" t="s">
        <v>64</v>
      </c>
      <c r="S189" s="98" t="s">
        <v>50</v>
      </c>
      <c r="T189" s="98" t="s">
        <v>50</v>
      </c>
      <c r="U189" s="98" t="s">
        <v>50</v>
      </c>
      <c r="V189" s="98" t="s">
        <v>50</v>
      </c>
      <c r="W189" s="98" t="s">
        <v>50</v>
      </c>
      <c r="X189" s="98" t="s">
        <v>50</v>
      </c>
    </row>
    <row r="190" spans="1:25" x14ac:dyDescent="0.25">
      <c r="A190" s="194">
        <v>44042</v>
      </c>
      <c r="B190" s="98" t="s">
        <v>876</v>
      </c>
      <c r="C190" s="97" t="s">
        <v>62</v>
      </c>
      <c r="D190" s="98">
        <v>38.125830000000001</v>
      </c>
      <c r="E190" s="98">
        <v>-121.89075</v>
      </c>
      <c r="F190" s="98" t="s">
        <v>1075</v>
      </c>
      <c r="G190" s="98" t="s">
        <v>27</v>
      </c>
      <c r="H190" s="98" t="s">
        <v>62</v>
      </c>
      <c r="I190" s="621">
        <v>0.49374999999999997</v>
      </c>
      <c r="J190" s="100">
        <v>9064.75</v>
      </c>
      <c r="K190" s="100">
        <v>20.849999999999998</v>
      </c>
      <c r="L190" s="100">
        <v>17.75</v>
      </c>
      <c r="M190" s="100">
        <v>0.62750000000000006</v>
      </c>
      <c r="N190" s="100">
        <v>4.4249999999999998</v>
      </c>
      <c r="O190" s="98" t="s">
        <v>48</v>
      </c>
      <c r="P190" s="98">
        <v>4</v>
      </c>
      <c r="Q190" s="98">
        <v>10</v>
      </c>
      <c r="R190" s="98" t="s">
        <v>64</v>
      </c>
      <c r="S190" s="98" t="s">
        <v>50</v>
      </c>
      <c r="T190" s="98" t="s">
        <v>50</v>
      </c>
      <c r="U190" s="98" t="s">
        <v>50</v>
      </c>
      <c r="V190" s="98" t="s">
        <v>50</v>
      </c>
      <c r="W190" s="98" t="s">
        <v>50</v>
      </c>
      <c r="X190" s="98" t="s">
        <v>50</v>
      </c>
      <c r="Y190" s="102" t="s">
        <v>1076</v>
      </c>
    </row>
    <row r="191" spans="1:25" x14ac:dyDescent="0.25">
      <c r="A191" s="194">
        <v>44042</v>
      </c>
      <c r="B191" s="98" t="s">
        <v>876</v>
      </c>
      <c r="C191" s="98" t="s">
        <v>126</v>
      </c>
      <c r="D191" s="98">
        <v>38.245359999999998</v>
      </c>
      <c r="E191" s="98">
        <v>-121.68759</v>
      </c>
      <c r="F191" s="98" t="s">
        <v>1077</v>
      </c>
      <c r="G191" s="34" t="s">
        <v>90</v>
      </c>
      <c r="H191" s="34" t="s">
        <v>845</v>
      </c>
      <c r="I191" s="621">
        <v>0.33333333333333331</v>
      </c>
      <c r="J191" s="100">
        <v>156.42500000000001</v>
      </c>
      <c r="K191" s="100">
        <v>21.200000000000003</v>
      </c>
      <c r="L191" s="100">
        <v>5.9</v>
      </c>
      <c r="M191" s="100">
        <v>1.5475000000000001</v>
      </c>
      <c r="N191" s="100">
        <v>9.3249999999999993</v>
      </c>
      <c r="O191" s="98" t="s">
        <v>48</v>
      </c>
      <c r="P191" s="98">
        <v>4</v>
      </c>
      <c r="Q191" s="98">
        <v>10</v>
      </c>
      <c r="R191" s="98" t="s">
        <v>49</v>
      </c>
      <c r="S191" s="98" t="s">
        <v>50</v>
      </c>
      <c r="T191" s="98" t="s">
        <v>50</v>
      </c>
      <c r="U191" s="98" t="s">
        <v>50</v>
      </c>
      <c r="V191" s="98" t="s">
        <v>50</v>
      </c>
      <c r="W191" s="98" t="s">
        <v>50</v>
      </c>
      <c r="X191" s="98" t="s">
        <v>50</v>
      </c>
      <c r="Y191" s="622" t="s">
        <v>1078</v>
      </c>
    </row>
    <row r="192" spans="1:25" x14ac:dyDescent="0.25">
      <c r="A192" s="194">
        <v>44042</v>
      </c>
      <c r="B192" s="98" t="s">
        <v>876</v>
      </c>
      <c r="C192" s="98" t="s">
        <v>126</v>
      </c>
      <c r="D192" s="98">
        <v>38.287230000000001</v>
      </c>
      <c r="E192" s="98">
        <v>-121.69256</v>
      </c>
      <c r="F192" s="98" t="s">
        <v>1079</v>
      </c>
      <c r="G192" s="34" t="s">
        <v>90</v>
      </c>
      <c r="H192" s="34" t="s">
        <v>845</v>
      </c>
      <c r="I192" s="621">
        <v>0.3840277777777778</v>
      </c>
      <c r="J192" s="100">
        <v>221.25</v>
      </c>
      <c r="K192" s="100">
        <v>21.475000000000001</v>
      </c>
      <c r="L192" s="100">
        <v>5.2025000000000006</v>
      </c>
      <c r="M192" s="100">
        <v>1.625</v>
      </c>
      <c r="N192" s="100">
        <v>5.2750000000000004</v>
      </c>
      <c r="O192" s="98" t="s">
        <v>48</v>
      </c>
      <c r="P192" s="98">
        <v>4</v>
      </c>
      <c r="Q192" s="98">
        <v>10</v>
      </c>
      <c r="R192" s="98" t="s">
        <v>49</v>
      </c>
      <c r="S192" s="98" t="s">
        <v>50</v>
      </c>
      <c r="T192" s="98" t="s">
        <v>50</v>
      </c>
      <c r="U192" s="98" t="s">
        <v>50</v>
      </c>
      <c r="V192" s="98" t="s">
        <v>50</v>
      </c>
      <c r="W192" s="98" t="s">
        <v>50</v>
      </c>
      <c r="X192" s="98" t="s">
        <v>50</v>
      </c>
      <c r="Y192" s="622" t="s">
        <v>1078</v>
      </c>
    </row>
    <row r="193" spans="1:25" s="154" customFormat="1" x14ac:dyDescent="0.25">
      <c r="A193" s="195">
        <v>44042</v>
      </c>
      <c r="B193" s="154" t="s">
        <v>876</v>
      </c>
      <c r="C193" s="154" t="s">
        <v>126</v>
      </c>
      <c r="D193" s="154">
        <v>38.2714</v>
      </c>
      <c r="E193" s="154">
        <v>-121.70402</v>
      </c>
      <c r="F193" s="154" t="s">
        <v>1080</v>
      </c>
      <c r="G193" s="157" t="s">
        <v>90</v>
      </c>
      <c r="H193" s="157" t="s">
        <v>845</v>
      </c>
      <c r="I193" s="636">
        <v>0.37777777777777777</v>
      </c>
      <c r="J193" s="156" t="s">
        <v>50</v>
      </c>
      <c r="K193" s="156" t="s">
        <v>50</v>
      </c>
      <c r="L193" s="156" t="s">
        <v>50</v>
      </c>
      <c r="M193" s="156" t="s">
        <v>50</v>
      </c>
      <c r="N193" s="156" t="s">
        <v>50</v>
      </c>
      <c r="O193" s="154" t="s">
        <v>48</v>
      </c>
      <c r="P193" s="154">
        <v>0</v>
      </c>
      <c r="Q193" s="154" t="s">
        <v>50</v>
      </c>
      <c r="R193" s="154" t="s">
        <v>50</v>
      </c>
      <c r="S193" s="154" t="s">
        <v>50</v>
      </c>
      <c r="T193" s="154" t="s">
        <v>50</v>
      </c>
      <c r="U193" s="154" t="s">
        <v>50</v>
      </c>
      <c r="V193" s="154" t="s">
        <v>50</v>
      </c>
      <c r="W193" s="154" t="s">
        <v>50</v>
      </c>
      <c r="X193" s="154" t="s">
        <v>50</v>
      </c>
      <c r="Y193" s="627" t="s">
        <v>1081</v>
      </c>
    </row>
    <row r="194" spans="1:25" x14ac:dyDescent="0.25">
      <c r="A194" s="194">
        <v>44042</v>
      </c>
      <c r="B194" s="98" t="s">
        <v>876</v>
      </c>
      <c r="C194" s="98" t="s">
        <v>126</v>
      </c>
      <c r="D194" s="98">
        <v>38.333179999999999</v>
      </c>
      <c r="E194" s="98">
        <v>-121.66728999999999</v>
      </c>
      <c r="F194" s="98" t="s">
        <v>1082</v>
      </c>
      <c r="G194" s="34" t="s">
        <v>90</v>
      </c>
      <c r="H194" s="34" t="s">
        <v>845</v>
      </c>
      <c r="I194" s="621">
        <v>0.44027777777777777</v>
      </c>
      <c r="J194" s="100">
        <v>206.1</v>
      </c>
      <c r="K194" s="100">
        <v>21.4</v>
      </c>
      <c r="L194" s="100">
        <v>18.200000000000003</v>
      </c>
      <c r="M194" s="100">
        <v>0.67249999999999999</v>
      </c>
      <c r="N194" s="100">
        <v>5.2</v>
      </c>
      <c r="O194" s="98" t="s">
        <v>48</v>
      </c>
      <c r="P194" s="98">
        <v>4</v>
      </c>
      <c r="Q194" s="98">
        <v>10</v>
      </c>
      <c r="R194" s="98" t="s">
        <v>64</v>
      </c>
      <c r="S194" s="98" t="s">
        <v>50</v>
      </c>
      <c r="T194" s="98" t="s">
        <v>50</v>
      </c>
      <c r="U194" s="98" t="s">
        <v>50</v>
      </c>
      <c r="V194" s="98" t="s">
        <v>50</v>
      </c>
      <c r="W194" s="98" t="s">
        <v>50</v>
      </c>
      <c r="X194" s="98" t="s">
        <v>50</v>
      </c>
      <c r="Y194" s="622" t="s">
        <v>1083</v>
      </c>
    </row>
    <row r="195" spans="1:25" x14ac:dyDescent="0.25">
      <c r="A195" s="194">
        <v>44042</v>
      </c>
      <c r="B195" s="98" t="s">
        <v>876</v>
      </c>
      <c r="C195" s="97" t="s">
        <v>95</v>
      </c>
      <c r="D195" s="98">
        <v>38.086959999999998</v>
      </c>
      <c r="E195" s="98">
        <v>-121.56816000000001</v>
      </c>
      <c r="F195" s="98" t="s">
        <v>1084</v>
      </c>
      <c r="G195" s="97" t="s">
        <v>886</v>
      </c>
      <c r="H195" s="34" t="s">
        <v>115</v>
      </c>
      <c r="I195" s="621">
        <v>0.4055555555555555</v>
      </c>
      <c r="J195" s="100">
        <v>201.05</v>
      </c>
      <c r="K195" s="100">
        <v>23.075000000000003</v>
      </c>
      <c r="L195" s="100">
        <v>8.19</v>
      </c>
      <c r="M195" s="100">
        <v>1.105</v>
      </c>
      <c r="N195" s="100">
        <v>11.275000000000002</v>
      </c>
      <c r="O195" s="98" t="s">
        <v>48</v>
      </c>
      <c r="P195" s="98">
        <v>4</v>
      </c>
      <c r="Q195" s="98">
        <v>10</v>
      </c>
      <c r="R195" s="98" t="s">
        <v>49</v>
      </c>
      <c r="S195" s="98" t="s">
        <v>50</v>
      </c>
      <c r="T195" s="98" t="s">
        <v>50</v>
      </c>
      <c r="U195" s="98" t="s">
        <v>50</v>
      </c>
      <c r="V195" s="98" t="s">
        <v>50</v>
      </c>
      <c r="W195" s="98" t="s">
        <v>50</v>
      </c>
      <c r="X195" s="98" t="s">
        <v>50</v>
      </c>
    </row>
    <row r="196" spans="1:25" x14ac:dyDescent="0.25">
      <c r="A196" s="194">
        <v>44042</v>
      </c>
      <c r="B196" s="98" t="s">
        <v>876</v>
      </c>
      <c r="C196" s="97" t="s">
        <v>95</v>
      </c>
      <c r="D196" s="98">
        <v>38.064100000000003</v>
      </c>
      <c r="E196" s="98">
        <v>-121.54071</v>
      </c>
      <c r="F196" s="98" t="s">
        <v>1085</v>
      </c>
      <c r="G196" s="97" t="s">
        <v>886</v>
      </c>
      <c r="H196" s="34" t="s">
        <v>115</v>
      </c>
      <c r="I196" s="621">
        <v>0.36041666666666666</v>
      </c>
      <c r="J196" s="100">
        <v>202.55</v>
      </c>
      <c r="K196" s="100">
        <v>23.1</v>
      </c>
      <c r="L196" s="100">
        <v>5.83</v>
      </c>
      <c r="M196" s="100">
        <v>1.02</v>
      </c>
      <c r="N196" s="100">
        <v>4.7</v>
      </c>
      <c r="O196" s="98" t="s">
        <v>48</v>
      </c>
      <c r="P196" s="98">
        <v>2</v>
      </c>
      <c r="Q196" s="98">
        <v>10</v>
      </c>
      <c r="R196" s="98" t="s">
        <v>64</v>
      </c>
      <c r="S196" s="98" t="s">
        <v>50</v>
      </c>
      <c r="T196" s="98" t="s">
        <v>50</v>
      </c>
      <c r="U196" s="98" t="s">
        <v>50</v>
      </c>
      <c r="V196" s="98" t="s">
        <v>50</v>
      </c>
      <c r="W196" s="98" t="s">
        <v>50</v>
      </c>
      <c r="X196" s="98" t="s">
        <v>50</v>
      </c>
      <c r="Y196" s="622" t="s">
        <v>1086</v>
      </c>
    </row>
    <row r="197" spans="1:25" s="362" customFormat="1" x14ac:dyDescent="0.25">
      <c r="A197" s="360">
        <v>44042</v>
      </c>
      <c r="B197" s="362" t="s">
        <v>876</v>
      </c>
      <c r="C197" s="361" t="s">
        <v>95</v>
      </c>
      <c r="D197" s="362">
        <v>38.089500000000001</v>
      </c>
      <c r="E197" s="362">
        <v>-121.63458</v>
      </c>
      <c r="F197" s="362" t="s">
        <v>1087</v>
      </c>
      <c r="G197" s="361" t="s">
        <v>886</v>
      </c>
      <c r="H197" s="361" t="s">
        <v>908</v>
      </c>
      <c r="I197" s="618">
        <v>0.46111111111111108</v>
      </c>
      <c r="J197" s="364">
        <v>203.55</v>
      </c>
      <c r="K197" s="364">
        <v>22.9</v>
      </c>
      <c r="L197" s="364">
        <v>7.2724999999999991</v>
      </c>
      <c r="M197" s="364">
        <v>1.2124999999999999</v>
      </c>
      <c r="N197" s="364">
        <v>16.649999999999999</v>
      </c>
      <c r="O197" s="362" t="s">
        <v>48</v>
      </c>
      <c r="P197" s="362">
        <v>4</v>
      </c>
      <c r="Q197" s="362">
        <v>10</v>
      </c>
      <c r="R197" s="362" t="s">
        <v>64</v>
      </c>
      <c r="S197" s="362" t="s">
        <v>50</v>
      </c>
      <c r="T197" s="362" t="s">
        <v>50</v>
      </c>
      <c r="U197" s="362" t="s">
        <v>50</v>
      </c>
      <c r="V197" s="362" t="s">
        <v>50</v>
      </c>
      <c r="W197" s="362" t="s">
        <v>50</v>
      </c>
      <c r="X197" s="362" t="s">
        <v>50</v>
      </c>
      <c r="Y197" s="603"/>
    </row>
    <row r="198" spans="1:25" x14ac:dyDescent="0.25">
      <c r="A198" s="194">
        <v>44046</v>
      </c>
      <c r="B198" s="98" t="s">
        <v>43</v>
      </c>
      <c r="C198" s="98" t="s">
        <v>126</v>
      </c>
      <c r="D198" s="98">
        <v>38.248040000000003</v>
      </c>
      <c r="E198" s="98">
        <v>-121.70483</v>
      </c>
      <c r="F198" s="98" t="s">
        <v>1088</v>
      </c>
      <c r="G198" s="98" t="s">
        <v>90</v>
      </c>
      <c r="H198" s="98" t="s">
        <v>845</v>
      </c>
      <c r="I198" s="621">
        <v>0.33819444444444446</v>
      </c>
      <c r="J198" s="100">
        <v>150.25</v>
      </c>
      <c r="K198" s="100">
        <v>21.7</v>
      </c>
      <c r="L198" s="100">
        <v>3.6074999999999999</v>
      </c>
      <c r="M198" s="100">
        <v>1.8</v>
      </c>
      <c r="N198" s="100">
        <v>3.75</v>
      </c>
      <c r="O198" s="98" t="s">
        <v>48</v>
      </c>
      <c r="P198" s="98">
        <v>4</v>
      </c>
      <c r="Q198" s="98">
        <v>10</v>
      </c>
      <c r="R198" s="98" t="s">
        <v>49</v>
      </c>
      <c r="S198" s="98" t="s">
        <v>50</v>
      </c>
      <c r="T198" s="98" t="s">
        <v>50</v>
      </c>
      <c r="U198" s="98" t="s">
        <v>50</v>
      </c>
      <c r="V198" s="98" t="s">
        <v>50</v>
      </c>
      <c r="W198" s="98" t="s">
        <v>50</v>
      </c>
      <c r="X198" s="98" t="s">
        <v>50</v>
      </c>
    </row>
    <row r="199" spans="1:25" x14ac:dyDescent="0.25">
      <c r="A199" s="194">
        <v>44046</v>
      </c>
      <c r="B199" s="98" t="s">
        <v>43</v>
      </c>
      <c r="C199" s="98" t="s">
        <v>126</v>
      </c>
      <c r="D199" s="98">
        <v>38.302340000000001</v>
      </c>
      <c r="E199" s="98">
        <v>-121.667</v>
      </c>
      <c r="F199" s="98" t="s">
        <v>1089</v>
      </c>
      <c r="G199" s="98" t="s">
        <v>90</v>
      </c>
      <c r="H199" s="98" t="s">
        <v>845</v>
      </c>
      <c r="I199" s="621">
        <v>0.40486111111111112</v>
      </c>
      <c r="J199" s="100">
        <v>160.75</v>
      </c>
      <c r="K199" s="100">
        <v>21.85</v>
      </c>
      <c r="L199" s="100">
        <v>7.5575000000000001</v>
      </c>
      <c r="M199" s="100">
        <v>1.3474999999999999</v>
      </c>
      <c r="N199" s="100">
        <v>5.0999999999999996</v>
      </c>
      <c r="O199" s="98" t="s">
        <v>48</v>
      </c>
      <c r="P199" s="98">
        <v>4</v>
      </c>
      <c r="Q199" s="98">
        <v>10</v>
      </c>
      <c r="R199" s="98" t="s">
        <v>49</v>
      </c>
      <c r="S199" s="98" t="s">
        <v>50</v>
      </c>
      <c r="T199" s="98" t="s">
        <v>50</v>
      </c>
      <c r="U199" s="98" t="s">
        <v>50</v>
      </c>
      <c r="V199" s="98" t="s">
        <v>50</v>
      </c>
      <c r="W199" s="98" t="s">
        <v>50</v>
      </c>
      <c r="X199" s="98" t="s">
        <v>50</v>
      </c>
    </row>
    <row r="200" spans="1:25" s="154" customFormat="1" x14ac:dyDescent="0.25">
      <c r="A200" s="195">
        <v>44046</v>
      </c>
      <c r="B200" s="154" t="s">
        <v>43</v>
      </c>
      <c r="C200" s="154" t="s">
        <v>126</v>
      </c>
      <c r="D200" s="154">
        <v>38.28472</v>
      </c>
      <c r="E200" s="154">
        <v>-121.71774000000001</v>
      </c>
      <c r="F200" s="154" t="s">
        <v>1090</v>
      </c>
      <c r="G200" s="154" t="s">
        <v>90</v>
      </c>
      <c r="H200" s="154" t="s">
        <v>845</v>
      </c>
      <c r="I200" s="636">
        <v>0.3888888888888889</v>
      </c>
      <c r="J200" s="156" t="s">
        <v>50</v>
      </c>
      <c r="K200" s="156" t="s">
        <v>50</v>
      </c>
      <c r="L200" s="156" t="s">
        <v>50</v>
      </c>
      <c r="M200" s="156" t="s">
        <v>50</v>
      </c>
      <c r="N200" s="156" t="s">
        <v>50</v>
      </c>
      <c r="O200" s="154" t="s">
        <v>48</v>
      </c>
      <c r="P200" s="154">
        <v>0</v>
      </c>
      <c r="Q200" s="154" t="s">
        <v>50</v>
      </c>
      <c r="R200" s="154" t="s">
        <v>50</v>
      </c>
      <c r="S200" s="154" t="s">
        <v>50</v>
      </c>
      <c r="T200" s="154" t="s">
        <v>50</v>
      </c>
      <c r="U200" s="154" t="s">
        <v>50</v>
      </c>
      <c r="V200" s="154" t="s">
        <v>50</v>
      </c>
      <c r="W200" s="154" t="s">
        <v>50</v>
      </c>
      <c r="X200" s="154" t="s">
        <v>50</v>
      </c>
      <c r="Y200" s="627" t="s">
        <v>784</v>
      </c>
    </row>
    <row r="201" spans="1:25" s="154" customFormat="1" x14ac:dyDescent="0.25">
      <c r="A201" s="195">
        <v>44046</v>
      </c>
      <c r="B201" s="154" t="s">
        <v>43</v>
      </c>
      <c r="C201" s="154" t="s">
        <v>126</v>
      </c>
      <c r="D201" s="154">
        <v>38.282670000000003</v>
      </c>
      <c r="E201" s="154">
        <v>-121.71608999999999</v>
      </c>
      <c r="F201" s="154" t="s">
        <v>1091</v>
      </c>
      <c r="G201" s="154" t="s">
        <v>90</v>
      </c>
      <c r="H201" s="154" t="s">
        <v>845</v>
      </c>
      <c r="I201" s="636">
        <v>0.3923611111111111</v>
      </c>
      <c r="J201" s="156" t="s">
        <v>50</v>
      </c>
      <c r="K201" s="156" t="s">
        <v>50</v>
      </c>
      <c r="L201" s="156" t="s">
        <v>50</v>
      </c>
      <c r="M201" s="156" t="s">
        <v>50</v>
      </c>
      <c r="N201" s="156" t="s">
        <v>50</v>
      </c>
      <c r="O201" s="154" t="s">
        <v>48</v>
      </c>
      <c r="P201" s="154">
        <v>0</v>
      </c>
      <c r="Q201" s="154" t="s">
        <v>50</v>
      </c>
      <c r="R201" s="154" t="s">
        <v>50</v>
      </c>
      <c r="S201" s="154" t="s">
        <v>50</v>
      </c>
      <c r="T201" s="154" t="s">
        <v>50</v>
      </c>
      <c r="U201" s="154" t="s">
        <v>50</v>
      </c>
      <c r="V201" s="154" t="s">
        <v>50</v>
      </c>
      <c r="W201" s="154" t="s">
        <v>50</v>
      </c>
      <c r="X201" s="154" t="s">
        <v>50</v>
      </c>
      <c r="Y201" s="627" t="s">
        <v>784</v>
      </c>
    </row>
    <row r="202" spans="1:25" x14ac:dyDescent="0.25">
      <c r="A202" s="194">
        <v>44046</v>
      </c>
      <c r="B202" s="98" t="s">
        <v>43</v>
      </c>
      <c r="C202" s="98" t="s">
        <v>126</v>
      </c>
      <c r="D202" s="98">
        <v>38.242649999999998</v>
      </c>
      <c r="E202" s="98">
        <v>-121.67923999999999</v>
      </c>
      <c r="F202" s="98" t="s">
        <v>1092</v>
      </c>
      <c r="G202" s="98" t="s">
        <v>90</v>
      </c>
      <c r="H202" s="98" t="s">
        <v>845</v>
      </c>
      <c r="I202" s="621">
        <v>0.45416666666666666</v>
      </c>
      <c r="J202" s="100">
        <v>152.19999999999999</v>
      </c>
      <c r="K202" s="100">
        <v>21.975000000000001</v>
      </c>
      <c r="L202" s="100">
        <v>10.887499999999999</v>
      </c>
      <c r="M202" s="100">
        <v>1.0425</v>
      </c>
      <c r="N202" s="100">
        <v>11</v>
      </c>
      <c r="O202" s="98" t="s">
        <v>48</v>
      </c>
      <c r="P202" s="98">
        <v>4</v>
      </c>
      <c r="Q202" s="98">
        <v>10</v>
      </c>
      <c r="R202" s="98" t="s">
        <v>49</v>
      </c>
      <c r="S202" s="98" t="s">
        <v>50</v>
      </c>
      <c r="T202" s="98" t="s">
        <v>50</v>
      </c>
      <c r="U202" s="98" t="s">
        <v>50</v>
      </c>
      <c r="V202" s="98" t="s">
        <v>50</v>
      </c>
      <c r="W202" s="98" t="s">
        <v>50</v>
      </c>
      <c r="X202" s="98" t="s">
        <v>50</v>
      </c>
    </row>
    <row r="203" spans="1:25" s="154" customFormat="1" x14ac:dyDescent="0.25">
      <c r="A203" s="195">
        <v>44046</v>
      </c>
      <c r="B203" s="154" t="s">
        <v>43</v>
      </c>
      <c r="C203" s="154" t="s">
        <v>95</v>
      </c>
      <c r="D203" s="154">
        <v>38.047319999999999</v>
      </c>
      <c r="E203" s="154">
        <v>-121.52733000000001</v>
      </c>
      <c r="F203" s="154" t="s">
        <v>1093</v>
      </c>
      <c r="G203" s="154" t="s">
        <v>886</v>
      </c>
      <c r="H203" s="154" t="s">
        <v>115</v>
      </c>
      <c r="I203" s="636">
        <v>0.36249999999999999</v>
      </c>
      <c r="J203" s="156" t="s">
        <v>50</v>
      </c>
      <c r="K203" s="156" t="s">
        <v>50</v>
      </c>
      <c r="L203" s="156" t="s">
        <v>50</v>
      </c>
      <c r="M203" s="156" t="s">
        <v>50</v>
      </c>
      <c r="N203" s="156" t="s">
        <v>50</v>
      </c>
      <c r="O203" s="154" t="s">
        <v>48</v>
      </c>
      <c r="P203" s="154">
        <v>0</v>
      </c>
      <c r="Q203" s="154" t="s">
        <v>50</v>
      </c>
      <c r="R203" s="154" t="s">
        <v>50</v>
      </c>
      <c r="S203" s="154" t="s">
        <v>50</v>
      </c>
      <c r="T203" s="154" t="s">
        <v>50</v>
      </c>
      <c r="U203" s="154" t="s">
        <v>50</v>
      </c>
      <c r="V203" s="154" t="s">
        <v>50</v>
      </c>
      <c r="W203" s="154" t="s">
        <v>50</v>
      </c>
      <c r="X203" s="154" t="s">
        <v>50</v>
      </c>
      <c r="Y203" s="627" t="s">
        <v>1094</v>
      </c>
    </row>
    <row r="204" spans="1:25" x14ac:dyDescent="0.25">
      <c r="A204" s="194">
        <v>44046</v>
      </c>
      <c r="B204" s="98" t="s">
        <v>43</v>
      </c>
      <c r="C204" s="98" t="s">
        <v>95</v>
      </c>
      <c r="D204" s="98">
        <v>38.058590000000002</v>
      </c>
      <c r="E204" s="98">
        <v>-121.55522000000001</v>
      </c>
      <c r="F204" s="98" t="s">
        <v>1095</v>
      </c>
      <c r="G204" s="98" t="s">
        <v>886</v>
      </c>
      <c r="H204" s="34" t="s">
        <v>115</v>
      </c>
      <c r="I204" s="621">
        <v>0.36527777777777781</v>
      </c>
      <c r="J204" s="100">
        <v>218.8</v>
      </c>
      <c r="K204" s="100">
        <v>23.35</v>
      </c>
      <c r="L204" s="100">
        <v>10.6275</v>
      </c>
      <c r="M204" s="100">
        <v>1.0874999999999999</v>
      </c>
      <c r="N204" s="100">
        <v>17.149999999999999</v>
      </c>
      <c r="O204" s="98" t="s">
        <v>48</v>
      </c>
      <c r="P204" s="98">
        <v>4</v>
      </c>
      <c r="Q204" s="98">
        <v>10</v>
      </c>
      <c r="R204" s="98" t="s">
        <v>49</v>
      </c>
      <c r="S204" s="98" t="s">
        <v>50</v>
      </c>
      <c r="T204" s="98" t="s">
        <v>50</v>
      </c>
      <c r="U204" s="98" t="s">
        <v>50</v>
      </c>
      <c r="V204" s="98" t="s">
        <v>50</v>
      </c>
      <c r="W204" s="98" t="s">
        <v>50</v>
      </c>
      <c r="X204" s="98" t="s">
        <v>50</v>
      </c>
      <c r="Y204" s="622" t="s">
        <v>1096</v>
      </c>
    </row>
    <row r="205" spans="1:25" x14ac:dyDescent="0.25">
      <c r="A205" s="194">
        <v>44046</v>
      </c>
      <c r="B205" s="98" t="s">
        <v>43</v>
      </c>
      <c r="C205" s="98" t="s">
        <v>95</v>
      </c>
      <c r="D205" s="98">
        <v>38.082619999999999</v>
      </c>
      <c r="E205" s="98">
        <v>-121.56882</v>
      </c>
      <c r="F205" s="98" t="s">
        <v>1097</v>
      </c>
      <c r="G205" s="98" t="s">
        <v>886</v>
      </c>
      <c r="H205" s="34" t="s">
        <v>115</v>
      </c>
      <c r="I205" s="621">
        <v>0.41388888888888892</v>
      </c>
      <c r="J205" s="100">
        <v>213.57499999999999</v>
      </c>
      <c r="K205" s="100">
        <v>23.375</v>
      </c>
      <c r="L205" s="100">
        <v>11.45</v>
      </c>
      <c r="M205" s="100">
        <v>1.1100000000000001</v>
      </c>
      <c r="N205" s="100">
        <v>8.15</v>
      </c>
      <c r="O205" s="98" t="s">
        <v>48</v>
      </c>
      <c r="P205" s="98">
        <v>4</v>
      </c>
      <c r="Q205" s="98">
        <v>10</v>
      </c>
      <c r="R205" s="98" t="s">
        <v>49</v>
      </c>
      <c r="S205" s="98" t="s">
        <v>50</v>
      </c>
      <c r="T205" s="98" t="s">
        <v>50</v>
      </c>
      <c r="U205" s="98" t="s">
        <v>50</v>
      </c>
      <c r="V205" s="98" t="s">
        <v>50</v>
      </c>
      <c r="W205" s="98" t="s">
        <v>50</v>
      </c>
      <c r="X205" s="98" t="s">
        <v>50</v>
      </c>
    </row>
    <row r="206" spans="1:25" x14ac:dyDescent="0.25">
      <c r="A206" s="194">
        <v>44046</v>
      </c>
      <c r="B206" s="98" t="s">
        <v>43</v>
      </c>
      <c r="C206" s="98" t="s">
        <v>95</v>
      </c>
      <c r="D206" s="98">
        <v>38.10463</v>
      </c>
      <c r="E206" s="98">
        <v>-121.60371000000001</v>
      </c>
      <c r="F206" s="98" t="s">
        <v>1098</v>
      </c>
      <c r="G206" s="98" t="s">
        <v>886</v>
      </c>
      <c r="H206" s="34" t="s">
        <v>115</v>
      </c>
      <c r="I206" s="621">
        <v>0.46319444444444446</v>
      </c>
      <c r="J206" s="100">
        <v>205.27500000000001</v>
      </c>
      <c r="K206" s="100">
        <v>23.425000000000001</v>
      </c>
      <c r="L206" s="100">
        <v>9.4749999999999996</v>
      </c>
      <c r="M206" s="100">
        <v>1.1125</v>
      </c>
      <c r="N206" s="100">
        <v>9.625</v>
      </c>
      <c r="O206" s="98" t="s">
        <v>48</v>
      </c>
      <c r="P206" s="98">
        <v>4</v>
      </c>
      <c r="Q206" s="98">
        <v>10</v>
      </c>
      <c r="R206" s="98" t="s">
        <v>49</v>
      </c>
      <c r="S206" s="98" t="s">
        <v>50</v>
      </c>
      <c r="T206" s="98" t="s">
        <v>50</v>
      </c>
      <c r="U206" s="98" t="s">
        <v>50</v>
      </c>
      <c r="V206" s="98" t="s">
        <v>50</v>
      </c>
      <c r="W206" s="98" t="s">
        <v>50</v>
      </c>
      <c r="X206" s="98" t="s">
        <v>50</v>
      </c>
      <c r="Y206" s="622" t="s">
        <v>139</v>
      </c>
    </row>
    <row r="207" spans="1:25" x14ac:dyDescent="0.25">
      <c r="A207" s="194">
        <v>44046</v>
      </c>
      <c r="B207" s="98" t="s">
        <v>43</v>
      </c>
      <c r="C207" s="98" t="s">
        <v>62</v>
      </c>
      <c r="D207" s="98">
        <v>38.172379999999997</v>
      </c>
      <c r="E207" s="98">
        <v>-121.95649</v>
      </c>
      <c r="F207" s="98" t="s">
        <v>1099</v>
      </c>
      <c r="G207" s="98" t="s">
        <v>27</v>
      </c>
      <c r="H207" s="98" t="s">
        <v>62</v>
      </c>
      <c r="I207" s="621">
        <v>0.35694444444444445</v>
      </c>
      <c r="J207" s="100">
        <v>11562.25</v>
      </c>
      <c r="K207" s="100">
        <v>21.3</v>
      </c>
      <c r="L207" s="100">
        <v>29.5</v>
      </c>
      <c r="M207" s="100">
        <v>0.56999999999999995</v>
      </c>
      <c r="N207" s="100">
        <v>9.6999999999999993</v>
      </c>
      <c r="O207" s="97" t="s">
        <v>48</v>
      </c>
      <c r="P207" s="97">
        <v>4</v>
      </c>
      <c r="Q207" s="97">
        <v>10</v>
      </c>
      <c r="R207" s="97" t="s">
        <v>49</v>
      </c>
      <c r="S207" s="97" t="s">
        <v>50</v>
      </c>
      <c r="T207" s="97" t="s">
        <v>50</v>
      </c>
      <c r="U207" s="97" t="s">
        <v>50</v>
      </c>
      <c r="V207" s="97" t="s">
        <v>50</v>
      </c>
      <c r="W207" s="97" t="s">
        <v>50</v>
      </c>
      <c r="X207" s="97" t="s">
        <v>50</v>
      </c>
      <c r="Y207" s="102"/>
    </row>
    <row r="208" spans="1:25" x14ac:dyDescent="0.25">
      <c r="A208" s="194">
        <v>44046</v>
      </c>
      <c r="B208" s="98" t="s">
        <v>43</v>
      </c>
      <c r="C208" s="98" t="s">
        <v>62</v>
      </c>
      <c r="D208" s="98">
        <v>38.182279999999999</v>
      </c>
      <c r="E208" s="98">
        <v>-122.05295</v>
      </c>
      <c r="F208" s="98" t="s">
        <v>1100</v>
      </c>
      <c r="G208" s="98" t="s">
        <v>27</v>
      </c>
      <c r="H208" s="98" t="s">
        <v>62</v>
      </c>
      <c r="I208" s="621">
        <v>0.43263888888888885</v>
      </c>
      <c r="J208" s="100">
        <v>11393</v>
      </c>
      <c r="K208" s="100">
        <v>20.725000000000001</v>
      </c>
      <c r="L208" s="100">
        <v>32.4</v>
      </c>
      <c r="M208" s="100">
        <v>0.52</v>
      </c>
      <c r="N208" s="100">
        <v>6.5</v>
      </c>
      <c r="O208" s="98" t="s">
        <v>48</v>
      </c>
      <c r="P208" s="98">
        <v>4</v>
      </c>
      <c r="Q208" s="98">
        <v>10</v>
      </c>
      <c r="R208" s="98" t="s">
        <v>49</v>
      </c>
      <c r="S208" s="98" t="s">
        <v>50</v>
      </c>
      <c r="T208" s="98" t="s">
        <v>50</v>
      </c>
      <c r="U208" s="98" t="s">
        <v>50</v>
      </c>
      <c r="V208" s="98" t="s">
        <v>50</v>
      </c>
      <c r="W208" s="98" t="s">
        <v>50</v>
      </c>
      <c r="X208" s="98" t="s">
        <v>50</v>
      </c>
    </row>
    <row r="209" spans="1:25" x14ac:dyDescent="0.25">
      <c r="A209" s="194">
        <v>44046</v>
      </c>
      <c r="B209" s="98" t="s">
        <v>43</v>
      </c>
      <c r="C209" s="98" t="s">
        <v>62</v>
      </c>
      <c r="D209" s="98">
        <v>38.1432</v>
      </c>
      <c r="E209" s="98">
        <v>-122.05979000000001</v>
      </c>
      <c r="F209" s="98" t="s">
        <v>1101</v>
      </c>
      <c r="G209" s="98" t="s">
        <v>27</v>
      </c>
      <c r="H209" s="98" t="s">
        <v>62</v>
      </c>
      <c r="I209" s="621">
        <v>0.49513888888888885</v>
      </c>
      <c r="J209" s="100">
        <v>15239.5</v>
      </c>
      <c r="K209" s="100">
        <v>21.625</v>
      </c>
      <c r="L209" s="100">
        <v>27.475000000000001</v>
      </c>
      <c r="M209" s="100">
        <v>0.56999999999999995</v>
      </c>
      <c r="N209" s="100">
        <v>10.525</v>
      </c>
      <c r="O209" s="98" t="s">
        <v>48</v>
      </c>
      <c r="P209" s="98">
        <v>4</v>
      </c>
      <c r="Q209" s="98">
        <v>10</v>
      </c>
      <c r="R209" s="98" t="s">
        <v>64</v>
      </c>
      <c r="S209" s="98" t="s">
        <v>50</v>
      </c>
      <c r="T209" s="98" t="s">
        <v>50</v>
      </c>
      <c r="U209" s="98" t="s">
        <v>50</v>
      </c>
      <c r="V209" s="98" t="s">
        <v>50</v>
      </c>
      <c r="W209" s="98" t="s">
        <v>50</v>
      </c>
      <c r="X209" s="98" t="s">
        <v>50</v>
      </c>
    </row>
    <row r="210" spans="1:25" x14ac:dyDescent="0.25">
      <c r="A210" s="194">
        <v>44047</v>
      </c>
      <c r="B210" s="98" t="s">
        <v>849</v>
      </c>
      <c r="C210" s="98" t="s">
        <v>126</v>
      </c>
      <c r="D210" s="98">
        <v>38.271340000000002</v>
      </c>
      <c r="E210" s="98">
        <v>-121.69304</v>
      </c>
      <c r="F210" s="98" t="s">
        <v>1102</v>
      </c>
      <c r="G210" s="98" t="s">
        <v>90</v>
      </c>
      <c r="H210" s="98" t="s">
        <v>845</v>
      </c>
      <c r="I210" s="621">
        <v>0.33680555555555558</v>
      </c>
      <c r="J210" s="100">
        <v>147.75</v>
      </c>
      <c r="K210" s="100">
        <v>22.074999999999999</v>
      </c>
      <c r="L210" s="100">
        <v>6.4725000000000001</v>
      </c>
      <c r="M210" s="100">
        <v>1.5949999999999998</v>
      </c>
      <c r="N210" s="100">
        <v>5.45</v>
      </c>
      <c r="O210" s="98" t="s">
        <v>48</v>
      </c>
      <c r="P210" s="98">
        <v>4</v>
      </c>
      <c r="Q210" s="98">
        <v>10</v>
      </c>
      <c r="R210" s="98" t="s">
        <v>49</v>
      </c>
      <c r="S210" s="98" t="s">
        <v>50</v>
      </c>
      <c r="T210" s="98" t="s">
        <v>50</v>
      </c>
      <c r="U210" s="98" t="s">
        <v>50</v>
      </c>
      <c r="V210" s="98" t="s">
        <v>50</v>
      </c>
      <c r="W210" s="98" t="s">
        <v>50</v>
      </c>
      <c r="X210" s="98" t="s">
        <v>50</v>
      </c>
    </row>
    <row r="211" spans="1:25" x14ac:dyDescent="0.25">
      <c r="A211" s="194">
        <v>44047</v>
      </c>
      <c r="B211" s="98" t="s">
        <v>849</v>
      </c>
      <c r="C211" s="98" t="s">
        <v>126</v>
      </c>
      <c r="D211" s="98">
        <v>38.238860000000003</v>
      </c>
      <c r="E211" s="98">
        <v>-121.68300000000001</v>
      </c>
      <c r="F211" s="98" t="s">
        <v>1103</v>
      </c>
      <c r="G211" s="98" t="s">
        <v>90</v>
      </c>
      <c r="H211" s="98" t="s">
        <v>845</v>
      </c>
      <c r="I211" s="621">
        <v>0.40972222222222227</v>
      </c>
      <c r="J211" s="100">
        <v>148.375</v>
      </c>
      <c r="K211" s="100">
        <v>22.05</v>
      </c>
      <c r="L211" s="100">
        <v>11.899999999999999</v>
      </c>
      <c r="M211" s="100">
        <v>1.145</v>
      </c>
      <c r="N211" s="100">
        <v>14.924999999999999</v>
      </c>
      <c r="O211" s="98" t="s">
        <v>48</v>
      </c>
      <c r="P211" s="98">
        <v>4</v>
      </c>
      <c r="Q211" s="98">
        <v>10</v>
      </c>
      <c r="R211" s="98" t="s">
        <v>49</v>
      </c>
      <c r="S211" s="98" t="s">
        <v>50</v>
      </c>
      <c r="T211" s="98" t="s">
        <v>50</v>
      </c>
      <c r="U211" s="98" t="s">
        <v>50</v>
      </c>
      <c r="V211" s="98" t="s">
        <v>50</v>
      </c>
      <c r="W211" s="98" t="s">
        <v>50</v>
      </c>
      <c r="X211" s="98" t="s">
        <v>50</v>
      </c>
    </row>
    <row r="212" spans="1:25" x14ac:dyDescent="0.25">
      <c r="A212" s="194">
        <v>44047</v>
      </c>
      <c r="B212" s="98" t="s">
        <v>849</v>
      </c>
      <c r="C212" s="98" t="s">
        <v>126</v>
      </c>
      <c r="D212" s="98">
        <v>38.235059999999997</v>
      </c>
      <c r="E212" s="98">
        <v>-121.68134000000001</v>
      </c>
      <c r="F212" s="98" t="s">
        <v>1104</v>
      </c>
      <c r="G212" s="98" t="s">
        <v>90</v>
      </c>
      <c r="H212" s="98" t="s">
        <v>845</v>
      </c>
      <c r="I212" s="621">
        <v>0.4597222222222222</v>
      </c>
      <c r="J212" s="100">
        <v>150.57499999999999</v>
      </c>
      <c r="K212" s="100">
        <v>22.1</v>
      </c>
      <c r="L212" s="100">
        <v>11.3</v>
      </c>
      <c r="M212" s="100">
        <v>1.1499999999999999</v>
      </c>
      <c r="N212" s="100">
        <v>11.525</v>
      </c>
      <c r="O212" s="98" t="s">
        <v>48</v>
      </c>
      <c r="P212" s="98">
        <v>4</v>
      </c>
      <c r="Q212" s="98">
        <v>10</v>
      </c>
      <c r="R212" s="98" t="s">
        <v>49</v>
      </c>
      <c r="S212" s="98" t="s">
        <v>50</v>
      </c>
      <c r="T212" s="98" t="s">
        <v>50</v>
      </c>
      <c r="U212" s="98" t="s">
        <v>50</v>
      </c>
      <c r="V212" s="98" t="s">
        <v>50</v>
      </c>
      <c r="W212" s="98" t="s">
        <v>50</v>
      </c>
      <c r="X212" s="98" t="s">
        <v>50</v>
      </c>
    </row>
    <row r="213" spans="1:25" x14ac:dyDescent="0.25">
      <c r="A213" s="194">
        <v>44047</v>
      </c>
      <c r="B213" s="98" t="s">
        <v>849</v>
      </c>
      <c r="C213" s="98" t="s">
        <v>95</v>
      </c>
      <c r="D213" s="98">
        <v>38.04542</v>
      </c>
      <c r="E213" s="98">
        <v>-121.70404000000001</v>
      </c>
      <c r="F213" s="98" t="s">
        <v>1105</v>
      </c>
      <c r="G213" s="97" t="s">
        <v>27</v>
      </c>
      <c r="H213" s="97" t="s">
        <v>863</v>
      </c>
      <c r="I213" s="621">
        <v>0.35000000000000003</v>
      </c>
      <c r="J213" s="100">
        <v>1341.5</v>
      </c>
      <c r="K213" s="100">
        <v>22.2</v>
      </c>
      <c r="L213" s="100">
        <v>9.4675000000000011</v>
      </c>
      <c r="M213" s="100">
        <v>0.86250000000000004</v>
      </c>
      <c r="N213" s="100">
        <v>7.8249999999999993</v>
      </c>
      <c r="O213" s="98" t="s">
        <v>48</v>
      </c>
      <c r="P213" s="98">
        <v>4</v>
      </c>
      <c r="Q213" s="98">
        <v>10</v>
      </c>
      <c r="R213" s="98" t="s">
        <v>49</v>
      </c>
      <c r="S213" s="98" t="s">
        <v>50</v>
      </c>
      <c r="T213" s="98" t="s">
        <v>50</v>
      </c>
      <c r="U213" s="98" t="s">
        <v>50</v>
      </c>
      <c r="V213" s="98" t="s">
        <v>50</v>
      </c>
      <c r="W213" s="98" t="s">
        <v>50</v>
      </c>
      <c r="X213" s="98" t="s">
        <v>50</v>
      </c>
    </row>
    <row r="214" spans="1:25" x14ac:dyDescent="0.25">
      <c r="A214" s="194">
        <v>44047</v>
      </c>
      <c r="B214" s="98" t="s">
        <v>849</v>
      </c>
      <c r="C214" s="98" t="s">
        <v>95</v>
      </c>
      <c r="D214" s="98">
        <v>38.057830000000003</v>
      </c>
      <c r="E214" s="98">
        <v>-121.6842</v>
      </c>
      <c r="F214" s="98" t="s">
        <v>1106</v>
      </c>
      <c r="G214" s="97" t="s">
        <v>886</v>
      </c>
      <c r="H214" s="97" t="s">
        <v>908</v>
      </c>
      <c r="I214" s="621">
        <v>0.39861111111111108</v>
      </c>
      <c r="J214" s="100">
        <v>790.75</v>
      </c>
      <c r="K214" s="100">
        <v>22.524999999999999</v>
      </c>
      <c r="L214" s="100">
        <v>9.07</v>
      </c>
      <c r="M214" s="100">
        <v>1.02</v>
      </c>
      <c r="N214" s="100">
        <v>14</v>
      </c>
      <c r="O214" s="98" t="s">
        <v>48</v>
      </c>
      <c r="P214" s="98">
        <v>4</v>
      </c>
      <c r="Q214" s="98">
        <v>10</v>
      </c>
      <c r="R214" s="98" t="s">
        <v>49</v>
      </c>
      <c r="S214" s="98" t="s">
        <v>50</v>
      </c>
      <c r="T214" s="98" t="s">
        <v>50</v>
      </c>
      <c r="U214" s="98" t="s">
        <v>50</v>
      </c>
      <c r="V214" s="98" t="s">
        <v>50</v>
      </c>
      <c r="W214" s="98" t="s">
        <v>50</v>
      </c>
      <c r="X214" s="98" t="s">
        <v>50</v>
      </c>
    </row>
    <row r="215" spans="1:25" x14ac:dyDescent="0.25">
      <c r="A215" s="194">
        <v>44047</v>
      </c>
      <c r="B215" s="98" t="s">
        <v>849</v>
      </c>
      <c r="C215" s="98" t="s">
        <v>95</v>
      </c>
      <c r="D215" s="98">
        <v>38.026910000000001</v>
      </c>
      <c r="E215" s="98">
        <v>-121.74677</v>
      </c>
      <c r="F215" s="98" t="s">
        <v>1107</v>
      </c>
      <c r="G215" s="97" t="s">
        <v>27</v>
      </c>
      <c r="H215" s="97" t="s">
        <v>863</v>
      </c>
      <c r="I215" s="621">
        <v>0.45347222222222222</v>
      </c>
      <c r="J215" s="100">
        <v>1118</v>
      </c>
      <c r="K215" s="100">
        <v>22.45</v>
      </c>
      <c r="L215" s="100">
        <v>9.6274999999999995</v>
      </c>
      <c r="M215" s="100">
        <v>0.93249999999999988</v>
      </c>
      <c r="N215" s="100">
        <v>11.725000000000001</v>
      </c>
      <c r="O215" s="98" t="s">
        <v>48</v>
      </c>
      <c r="P215" s="98">
        <v>4</v>
      </c>
      <c r="Q215" s="98">
        <v>10</v>
      </c>
      <c r="R215" s="98" t="s">
        <v>49</v>
      </c>
      <c r="S215" s="98" t="s">
        <v>50</v>
      </c>
      <c r="T215" s="98" t="s">
        <v>50</v>
      </c>
      <c r="U215" s="98" t="s">
        <v>50</v>
      </c>
      <c r="V215" s="98" t="s">
        <v>50</v>
      </c>
      <c r="W215" s="98" t="s">
        <v>50</v>
      </c>
      <c r="X215" s="98" t="s">
        <v>50</v>
      </c>
      <c r="Y215" s="102"/>
    </row>
    <row r="216" spans="1:25" x14ac:dyDescent="0.25">
      <c r="A216" s="194">
        <v>44047</v>
      </c>
      <c r="B216" s="98" t="s">
        <v>849</v>
      </c>
      <c r="C216" s="98" t="s">
        <v>62</v>
      </c>
      <c r="D216" s="98">
        <v>38.10295</v>
      </c>
      <c r="E216" s="98">
        <v>-122.05774</v>
      </c>
      <c r="F216" s="98" t="s">
        <v>1108</v>
      </c>
      <c r="G216" s="98" t="s">
        <v>27</v>
      </c>
      <c r="H216" s="98" t="s">
        <v>173</v>
      </c>
      <c r="I216" s="621">
        <v>0.34930555555555554</v>
      </c>
      <c r="J216" s="100">
        <v>16809.25</v>
      </c>
      <c r="K216" s="100">
        <v>20.450000000000003</v>
      </c>
      <c r="L216" s="100">
        <v>73.5</v>
      </c>
      <c r="M216" s="100">
        <v>0.37250000000000005</v>
      </c>
      <c r="N216" s="100">
        <v>3.9499999999999997</v>
      </c>
      <c r="O216" s="98" t="s">
        <v>48</v>
      </c>
      <c r="P216" s="98">
        <v>4</v>
      </c>
      <c r="Q216" s="98">
        <v>10</v>
      </c>
      <c r="R216" s="98" t="s">
        <v>49</v>
      </c>
      <c r="S216" s="98" t="s">
        <v>50</v>
      </c>
      <c r="T216" s="98" t="s">
        <v>50</v>
      </c>
      <c r="U216" s="98" t="s">
        <v>50</v>
      </c>
      <c r="V216" s="98" t="s">
        <v>50</v>
      </c>
      <c r="W216" s="98" t="s">
        <v>50</v>
      </c>
      <c r="X216" s="98" t="s">
        <v>50</v>
      </c>
    </row>
    <row r="217" spans="1:25" x14ac:dyDescent="0.25">
      <c r="A217" s="194">
        <v>44047</v>
      </c>
      <c r="B217" s="98" t="s">
        <v>849</v>
      </c>
      <c r="C217" s="98" t="s">
        <v>62</v>
      </c>
      <c r="D217" s="98">
        <v>38.15748</v>
      </c>
      <c r="E217" s="98">
        <v>-122.05059</v>
      </c>
      <c r="F217" s="98" t="s">
        <v>1109</v>
      </c>
      <c r="G217" s="98" t="s">
        <v>27</v>
      </c>
      <c r="H217" s="98" t="s">
        <v>62</v>
      </c>
      <c r="I217" s="621">
        <v>0.4145833333333333</v>
      </c>
      <c r="J217" s="100">
        <v>14661.75</v>
      </c>
      <c r="K217" s="100">
        <v>21.524999999999999</v>
      </c>
      <c r="L217" s="100">
        <v>28.375</v>
      </c>
      <c r="M217" s="100">
        <v>0.49249999999999999</v>
      </c>
      <c r="N217" s="100">
        <v>5.85</v>
      </c>
      <c r="O217" s="98" t="s">
        <v>48</v>
      </c>
      <c r="P217" s="98">
        <v>4</v>
      </c>
      <c r="Q217" s="98">
        <v>10</v>
      </c>
      <c r="R217" s="98" t="s">
        <v>49</v>
      </c>
      <c r="S217" s="98" t="s">
        <v>50</v>
      </c>
      <c r="T217" s="98" t="s">
        <v>50</v>
      </c>
      <c r="U217" s="98" t="s">
        <v>50</v>
      </c>
      <c r="V217" s="98" t="s">
        <v>50</v>
      </c>
      <c r="W217" s="98" t="s">
        <v>50</v>
      </c>
      <c r="X217" s="98" t="s">
        <v>50</v>
      </c>
    </row>
    <row r="218" spans="1:25" x14ac:dyDescent="0.25">
      <c r="A218" s="194">
        <v>44047</v>
      </c>
      <c r="B218" s="98" t="s">
        <v>849</v>
      </c>
      <c r="C218" s="98" t="s">
        <v>62</v>
      </c>
      <c r="D218" s="98">
        <v>38.210209999999996</v>
      </c>
      <c r="E218" s="98">
        <v>-122.03448</v>
      </c>
      <c r="F218" s="98" t="s">
        <v>1110</v>
      </c>
      <c r="G218" s="98" t="s">
        <v>27</v>
      </c>
      <c r="H218" s="98" t="s">
        <v>62</v>
      </c>
      <c r="I218" s="621">
        <v>0.47847222222222219</v>
      </c>
      <c r="J218" s="100">
        <v>9675.25</v>
      </c>
      <c r="K218" s="100">
        <v>21.25</v>
      </c>
      <c r="L218" s="100">
        <v>34.9</v>
      </c>
      <c r="M218" s="100">
        <v>0.37</v>
      </c>
      <c r="N218" s="100">
        <v>4.2</v>
      </c>
      <c r="O218" s="98" t="s">
        <v>48</v>
      </c>
      <c r="P218" s="98">
        <v>4</v>
      </c>
      <c r="Q218" s="98">
        <v>10</v>
      </c>
      <c r="R218" s="98" t="s">
        <v>49</v>
      </c>
      <c r="S218" s="98" t="s">
        <v>50</v>
      </c>
      <c r="T218" s="98" t="s">
        <v>50</v>
      </c>
      <c r="U218" s="98" t="s">
        <v>50</v>
      </c>
      <c r="V218" s="98" t="s">
        <v>50</v>
      </c>
      <c r="W218" s="98" t="s">
        <v>50</v>
      </c>
      <c r="X218" s="98" t="s">
        <v>50</v>
      </c>
    </row>
    <row r="219" spans="1:25" x14ac:dyDescent="0.25">
      <c r="A219" s="194">
        <v>44048</v>
      </c>
      <c r="B219" s="98" t="s">
        <v>87</v>
      </c>
      <c r="C219" s="34" t="s">
        <v>78</v>
      </c>
      <c r="D219" s="98">
        <v>38.050150000000002</v>
      </c>
      <c r="E219" s="98">
        <v>-122.08396</v>
      </c>
      <c r="F219" s="98" t="s">
        <v>1111</v>
      </c>
      <c r="G219" s="34" t="s">
        <v>80</v>
      </c>
      <c r="H219" s="34" t="s">
        <v>81</v>
      </c>
      <c r="I219" s="621">
        <v>0.34375</v>
      </c>
      <c r="J219" s="100">
        <v>25197.75</v>
      </c>
      <c r="K219" s="100">
        <v>20.100000000000001</v>
      </c>
      <c r="L219" s="100">
        <v>35.049999999999997</v>
      </c>
      <c r="M219" s="100">
        <v>0.41749999999999998</v>
      </c>
      <c r="N219" s="100">
        <v>9.7750000000000004</v>
      </c>
      <c r="O219" s="98" t="s">
        <v>48</v>
      </c>
      <c r="P219" s="98">
        <v>4</v>
      </c>
      <c r="Q219" s="98">
        <v>10</v>
      </c>
      <c r="R219" s="98" t="s">
        <v>49</v>
      </c>
      <c r="S219" s="98" t="s">
        <v>50</v>
      </c>
      <c r="T219" s="98" t="s">
        <v>50</v>
      </c>
      <c r="U219" s="98" t="s">
        <v>50</v>
      </c>
      <c r="V219" s="98" t="s">
        <v>50</v>
      </c>
      <c r="W219" s="98" t="s">
        <v>50</v>
      </c>
      <c r="X219" s="98" t="s">
        <v>50</v>
      </c>
    </row>
    <row r="220" spans="1:25" x14ac:dyDescent="0.25">
      <c r="A220" s="194">
        <v>44048</v>
      </c>
      <c r="B220" s="98" t="s">
        <v>87</v>
      </c>
      <c r="C220" s="97" t="s">
        <v>88</v>
      </c>
      <c r="D220" s="98">
        <v>38.081020000000002</v>
      </c>
      <c r="E220" s="98">
        <v>-121.74655</v>
      </c>
      <c r="F220" s="98" t="s">
        <v>1112</v>
      </c>
      <c r="G220" s="97" t="s">
        <v>27</v>
      </c>
      <c r="H220" s="97" t="s">
        <v>25</v>
      </c>
      <c r="I220" s="621">
        <v>0.35555555555555557</v>
      </c>
      <c r="J220" s="100">
        <v>1592.25</v>
      </c>
      <c r="K220" s="100">
        <v>21.799999999999997</v>
      </c>
      <c r="L220" s="100">
        <v>16.425000000000001</v>
      </c>
      <c r="M220" s="100">
        <v>0.72</v>
      </c>
      <c r="N220" s="100">
        <v>8.8000000000000007</v>
      </c>
      <c r="O220" s="98" t="s">
        <v>48</v>
      </c>
      <c r="P220" s="98">
        <v>4</v>
      </c>
      <c r="Q220" s="98">
        <v>10</v>
      </c>
      <c r="R220" s="98" t="s">
        <v>64</v>
      </c>
      <c r="S220" s="98" t="s">
        <v>50</v>
      </c>
      <c r="T220" s="98" t="s">
        <v>50</v>
      </c>
      <c r="U220" s="98" t="s">
        <v>50</v>
      </c>
      <c r="V220" s="98" t="s">
        <v>50</v>
      </c>
      <c r="W220" s="98" t="s">
        <v>50</v>
      </c>
      <c r="X220" s="98" t="s">
        <v>50</v>
      </c>
    </row>
    <row r="221" spans="1:25" x14ac:dyDescent="0.25">
      <c r="A221" s="194">
        <v>44048</v>
      </c>
      <c r="B221" s="98" t="s">
        <v>87</v>
      </c>
      <c r="C221" s="97" t="s">
        <v>106</v>
      </c>
      <c r="D221" s="98">
        <v>38.49577</v>
      </c>
      <c r="E221" s="98">
        <v>-121.58396</v>
      </c>
      <c r="F221" s="98" t="s">
        <v>1113</v>
      </c>
      <c r="G221" s="97" t="s">
        <v>90</v>
      </c>
      <c r="H221" s="97" t="s">
        <v>158</v>
      </c>
      <c r="I221" s="621">
        <v>0.36180555555555555</v>
      </c>
      <c r="J221" s="100">
        <v>834.75</v>
      </c>
      <c r="K221" s="100">
        <v>23.274999999999999</v>
      </c>
      <c r="L221" s="100">
        <v>53.25</v>
      </c>
      <c r="M221" s="100">
        <v>0.29500000000000004</v>
      </c>
      <c r="N221" s="100">
        <v>10.924999999999999</v>
      </c>
      <c r="O221" s="98" t="s">
        <v>48</v>
      </c>
      <c r="P221" s="98">
        <v>4</v>
      </c>
      <c r="Q221" s="98">
        <v>10</v>
      </c>
      <c r="R221" s="98" t="s">
        <v>49</v>
      </c>
      <c r="S221" s="98" t="s">
        <v>50</v>
      </c>
      <c r="T221" s="98" t="s">
        <v>50</v>
      </c>
      <c r="U221" s="98" t="s">
        <v>50</v>
      </c>
      <c r="V221" s="98" t="s">
        <v>50</v>
      </c>
      <c r="W221" s="98" t="s">
        <v>50</v>
      </c>
      <c r="X221" s="98" t="s">
        <v>50</v>
      </c>
      <c r="Y221" s="622" t="s">
        <v>1114</v>
      </c>
    </row>
    <row r="222" spans="1:25" x14ac:dyDescent="0.25">
      <c r="A222" s="194">
        <v>44048</v>
      </c>
      <c r="B222" s="98" t="s">
        <v>87</v>
      </c>
      <c r="C222" s="98" t="s">
        <v>78</v>
      </c>
      <c r="D222" s="98">
        <v>38.09666</v>
      </c>
      <c r="E222" s="98">
        <v>-122.03646000000001</v>
      </c>
      <c r="F222" s="98" t="s">
        <v>1115</v>
      </c>
      <c r="G222" s="194" t="s">
        <v>27</v>
      </c>
      <c r="H222" s="34" t="s">
        <v>86</v>
      </c>
      <c r="I222" s="621">
        <v>0.4152777777777778</v>
      </c>
      <c r="J222" s="100">
        <v>16710.75</v>
      </c>
      <c r="K222" s="100">
        <v>20.45</v>
      </c>
      <c r="L222" s="100">
        <v>68.8</v>
      </c>
      <c r="M222" s="100">
        <v>0.40249999999999997</v>
      </c>
      <c r="N222" s="100">
        <v>5.5</v>
      </c>
      <c r="O222" s="98" t="s">
        <v>48</v>
      </c>
      <c r="P222" s="98">
        <v>4</v>
      </c>
      <c r="Q222" s="98">
        <v>10</v>
      </c>
      <c r="R222" s="98" t="s">
        <v>49</v>
      </c>
      <c r="S222" s="98" t="s">
        <v>50</v>
      </c>
      <c r="T222" s="98" t="s">
        <v>50</v>
      </c>
      <c r="U222" s="98" t="s">
        <v>50</v>
      </c>
      <c r="V222" s="98" t="s">
        <v>50</v>
      </c>
      <c r="W222" s="98" t="s">
        <v>50</v>
      </c>
      <c r="X222" s="98" t="s">
        <v>50</v>
      </c>
    </row>
    <row r="223" spans="1:25" x14ac:dyDescent="0.25">
      <c r="A223" s="194">
        <v>44048</v>
      </c>
      <c r="B223" s="98" t="s">
        <v>87</v>
      </c>
      <c r="C223" s="97" t="s">
        <v>88</v>
      </c>
      <c r="D223" s="98">
        <v>38.156610000000001</v>
      </c>
      <c r="E223" s="98">
        <v>-121.68420999999999</v>
      </c>
      <c r="F223" s="98" t="s">
        <v>1116</v>
      </c>
      <c r="G223" s="97" t="s">
        <v>90</v>
      </c>
      <c r="H223" s="97" t="s">
        <v>91</v>
      </c>
      <c r="I223" s="621">
        <v>0.4604166666666667</v>
      </c>
      <c r="J223" s="100">
        <v>148.57499999999999</v>
      </c>
      <c r="K223" s="100">
        <v>23.224999999999998</v>
      </c>
      <c r="L223" s="100">
        <v>8.7249999999999996</v>
      </c>
      <c r="M223" s="100">
        <v>1.5350000000000001</v>
      </c>
      <c r="N223" s="100">
        <v>6.125</v>
      </c>
      <c r="O223" s="98" t="s">
        <v>48</v>
      </c>
      <c r="P223" s="98">
        <v>4</v>
      </c>
      <c r="Q223" s="98">
        <v>10</v>
      </c>
      <c r="R223" s="98" t="s">
        <v>49</v>
      </c>
      <c r="S223" s="98" t="s">
        <v>50</v>
      </c>
      <c r="T223" s="98" t="s">
        <v>50</v>
      </c>
      <c r="U223" s="98" t="s">
        <v>50</v>
      </c>
      <c r="V223" s="98" t="s">
        <v>50</v>
      </c>
      <c r="W223" s="98" t="s">
        <v>50</v>
      </c>
      <c r="X223" s="98" t="s">
        <v>50</v>
      </c>
    </row>
    <row r="224" spans="1:25" x14ac:dyDescent="0.25">
      <c r="A224" s="194">
        <v>44048</v>
      </c>
      <c r="B224" s="98" t="s">
        <v>87</v>
      </c>
      <c r="C224" s="97" t="s">
        <v>88</v>
      </c>
      <c r="D224" s="98">
        <v>38.116349999999997</v>
      </c>
      <c r="E224" s="98">
        <v>-121.70397</v>
      </c>
      <c r="F224" s="98" t="s">
        <v>1117</v>
      </c>
      <c r="G224" s="97" t="s">
        <v>90</v>
      </c>
      <c r="H224" s="97" t="s">
        <v>91</v>
      </c>
      <c r="I224" s="621">
        <v>0.4069444444444445</v>
      </c>
      <c r="J224" s="100">
        <v>262.375</v>
      </c>
      <c r="K224" s="100">
        <v>22.925000000000001</v>
      </c>
      <c r="L224" s="100">
        <v>17.175000000000001</v>
      </c>
      <c r="M224" s="100">
        <v>0.78</v>
      </c>
      <c r="N224" s="100">
        <v>8.2249999999999996</v>
      </c>
      <c r="O224" s="98" t="s">
        <v>48</v>
      </c>
      <c r="P224" s="98">
        <v>4</v>
      </c>
      <c r="Q224" s="98">
        <v>10</v>
      </c>
      <c r="R224" s="98" t="s">
        <v>49</v>
      </c>
      <c r="S224" s="98" t="s">
        <v>50</v>
      </c>
      <c r="T224" s="98" t="s">
        <v>50</v>
      </c>
      <c r="U224" s="98" t="s">
        <v>50</v>
      </c>
      <c r="V224" s="98" t="s">
        <v>50</v>
      </c>
      <c r="W224" s="98" t="s">
        <v>50</v>
      </c>
      <c r="X224" s="98" t="s">
        <v>50</v>
      </c>
    </row>
    <row r="225" spans="1:25" x14ac:dyDescent="0.25">
      <c r="A225" s="194">
        <v>44048</v>
      </c>
      <c r="B225" s="98" t="s">
        <v>87</v>
      </c>
      <c r="C225" s="98" t="s">
        <v>78</v>
      </c>
      <c r="D225" s="98">
        <v>38.07376</v>
      </c>
      <c r="E225" s="98">
        <v>-122.00843999999999</v>
      </c>
      <c r="F225" s="98" t="s">
        <v>1118</v>
      </c>
      <c r="G225" s="194" t="s">
        <v>27</v>
      </c>
      <c r="H225" s="34" t="s">
        <v>86</v>
      </c>
      <c r="I225" s="621">
        <v>0.47569444444444442</v>
      </c>
      <c r="J225" s="100">
        <v>11910.25</v>
      </c>
      <c r="K225" s="100">
        <v>21.125</v>
      </c>
      <c r="L225" s="100">
        <v>41.324999999999996</v>
      </c>
      <c r="M225" s="100">
        <v>0.47</v>
      </c>
      <c r="N225" s="100">
        <v>7.8249999999999993</v>
      </c>
      <c r="O225" s="98" t="s">
        <v>48</v>
      </c>
      <c r="P225" s="98">
        <v>4</v>
      </c>
      <c r="Q225" s="98">
        <v>10</v>
      </c>
      <c r="R225" s="98" t="s">
        <v>49</v>
      </c>
      <c r="S225" s="98" t="s">
        <v>50</v>
      </c>
      <c r="T225" s="98" t="s">
        <v>50</v>
      </c>
      <c r="U225" s="98" t="s">
        <v>50</v>
      </c>
      <c r="V225" s="98" t="s">
        <v>50</v>
      </c>
      <c r="W225" s="98" t="s">
        <v>50</v>
      </c>
      <c r="X225" s="98" t="s">
        <v>50</v>
      </c>
    </row>
    <row r="226" spans="1:25" s="592" customFormat="1" x14ac:dyDescent="0.25">
      <c r="A226" s="590">
        <v>44048</v>
      </c>
      <c r="B226" s="592" t="s">
        <v>87</v>
      </c>
      <c r="C226" s="591" t="s">
        <v>106</v>
      </c>
      <c r="D226" s="592">
        <v>38.316960000000002</v>
      </c>
      <c r="E226" s="592">
        <v>-121.65157000000001</v>
      </c>
      <c r="F226" s="592" t="s">
        <v>1119</v>
      </c>
      <c r="G226" s="591" t="s">
        <v>90</v>
      </c>
      <c r="H226" s="591" t="s">
        <v>108</v>
      </c>
      <c r="I226" s="619">
        <v>0.45555555555555555</v>
      </c>
      <c r="J226" s="593">
        <v>277.07499999999999</v>
      </c>
      <c r="K226" s="593">
        <v>22.45</v>
      </c>
      <c r="L226" s="593">
        <v>53.1</v>
      </c>
      <c r="M226" s="593">
        <v>0.29249999999999998</v>
      </c>
      <c r="N226" s="593">
        <v>9.8249999999999993</v>
      </c>
      <c r="O226" s="592" t="s">
        <v>48</v>
      </c>
      <c r="P226" s="592">
        <v>4</v>
      </c>
      <c r="Q226" s="592">
        <v>10</v>
      </c>
      <c r="R226" s="591" t="s">
        <v>49</v>
      </c>
      <c r="S226" s="591" t="s">
        <v>323</v>
      </c>
      <c r="T226" s="591">
        <v>1</v>
      </c>
      <c r="U226" s="591">
        <v>45</v>
      </c>
      <c r="V226" s="592" t="s">
        <v>50</v>
      </c>
      <c r="W226" s="592" t="s">
        <v>50</v>
      </c>
      <c r="X226" s="592" t="s">
        <v>50</v>
      </c>
      <c r="Y226" s="455" t="s">
        <v>1120</v>
      </c>
    </row>
    <row r="227" spans="1:25" x14ac:dyDescent="0.25">
      <c r="A227" s="194">
        <v>44048</v>
      </c>
      <c r="B227" s="98" t="s">
        <v>87</v>
      </c>
      <c r="C227" s="97" t="s">
        <v>106</v>
      </c>
      <c r="D227" s="98">
        <v>38.182099999999998</v>
      </c>
      <c r="E227" s="98">
        <v>-121.66378</v>
      </c>
      <c r="F227" s="98" t="s">
        <v>1121</v>
      </c>
      <c r="G227" s="97" t="s">
        <v>90</v>
      </c>
      <c r="H227" s="97" t="s">
        <v>108</v>
      </c>
      <c r="I227" s="621">
        <v>0.52986111111111112</v>
      </c>
      <c r="J227" s="100">
        <v>142.69999999999999</v>
      </c>
      <c r="K227" s="100">
        <v>23.35</v>
      </c>
      <c r="L227" s="100">
        <v>13.395</v>
      </c>
      <c r="M227" s="100">
        <v>1.6625000000000001</v>
      </c>
      <c r="N227" s="100">
        <v>15.925000000000001</v>
      </c>
      <c r="O227" s="98" t="s">
        <v>48</v>
      </c>
      <c r="P227" s="98">
        <v>4</v>
      </c>
      <c r="Q227" s="98">
        <v>10</v>
      </c>
      <c r="R227" s="97" t="s">
        <v>49</v>
      </c>
      <c r="S227" s="98" t="s">
        <v>50</v>
      </c>
      <c r="T227" s="98" t="s">
        <v>50</v>
      </c>
      <c r="U227" s="98" t="s">
        <v>50</v>
      </c>
      <c r="V227" s="98" t="s">
        <v>50</v>
      </c>
      <c r="W227" s="98" t="s">
        <v>50</v>
      </c>
      <c r="X227" s="98" t="s">
        <v>50</v>
      </c>
      <c r="Y227" s="622" t="s">
        <v>139</v>
      </c>
    </row>
    <row r="228" spans="1:25" x14ac:dyDescent="0.25">
      <c r="A228" s="194">
        <v>44049</v>
      </c>
      <c r="B228" s="98" t="s">
        <v>876</v>
      </c>
      <c r="C228" s="97" t="s">
        <v>106</v>
      </c>
      <c r="D228" s="98">
        <v>38.369129999999998</v>
      </c>
      <c r="E228" s="98">
        <v>-121.63153</v>
      </c>
      <c r="F228" s="98" t="s">
        <v>1122</v>
      </c>
      <c r="G228" s="97" t="s">
        <v>90</v>
      </c>
      <c r="H228" s="97" t="s">
        <v>108</v>
      </c>
      <c r="I228" s="621">
        <v>0.35416666666666669</v>
      </c>
      <c r="J228" s="100">
        <v>341.1</v>
      </c>
      <c r="K228" s="100">
        <v>22.1</v>
      </c>
      <c r="L228" s="100">
        <v>61.85</v>
      </c>
      <c r="M228" s="100">
        <v>0.25</v>
      </c>
      <c r="N228" s="100">
        <v>9.7249999999999996</v>
      </c>
      <c r="O228" s="98" t="s">
        <v>48</v>
      </c>
      <c r="P228" s="98">
        <v>4</v>
      </c>
      <c r="Q228" s="98">
        <v>10</v>
      </c>
      <c r="R228" s="97" t="s">
        <v>49</v>
      </c>
      <c r="S228" s="98" t="s">
        <v>50</v>
      </c>
      <c r="T228" s="98" t="s">
        <v>50</v>
      </c>
      <c r="U228" s="98" t="s">
        <v>50</v>
      </c>
      <c r="V228" s="98" t="s">
        <v>50</v>
      </c>
      <c r="W228" s="98" t="s">
        <v>50</v>
      </c>
      <c r="X228" s="98" t="s">
        <v>50</v>
      </c>
      <c r="Y228" s="622" t="s">
        <v>1123</v>
      </c>
    </row>
    <row r="229" spans="1:25" x14ac:dyDescent="0.25">
      <c r="A229" s="194">
        <v>44049</v>
      </c>
      <c r="B229" s="98" t="s">
        <v>876</v>
      </c>
      <c r="C229" s="97" t="s">
        <v>106</v>
      </c>
      <c r="D229" s="98">
        <v>38.236020000000003</v>
      </c>
      <c r="E229" s="98">
        <v>-121.67355999999999</v>
      </c>
      <c r="F229" s="98" t="s">
        <v>1124</v>
      </c>
      <c r="G229" s="97" t="s">
        <v>90</v>
      </c>
      <c r="H229" s="97" t="s">
        <v>108</v>
      </c>
      <c r="I229" s="621">
        <v>0.4201388888888889</v>
      </c>
      <c r="J229" s="100">
        <v>150.1</v>
      </c>
      <c r="K229" s="100">
        <v>22.274999999999999</v>
      </c>
      <c r="L229" s="100">
        <v>13.975</v>
      </c>
      <c r="M229" s="100">
        <v>1.2024999999999999</v>
      </c>
      <c r="N229" s="100">
        <v>10.675000000000001</v>
      </c>
      <c r="O229" s="98" t="s">
        <v>48</v>
      </c>
      <c r="P229" s="98">
        <v>4</v>
      </c>
      <c r="Q229" s="98">
        <v>10</v>
      </c>
      <c r="R229" s="97" t="s">
        <v>49</v>
      </c>
      <c r="S229" s="98" t="s">
        <v>50</v>
      </c>
      <c r="T229" s="98" t="s">
        <v>50</v>
      </c>
      <c r="U229" s="98" t="s">
        <v>50</v>
      </c>
      <c r="V229" s="98" t="s">
        <v>50</v>
      </c>
      <c r="W229" s="98" t="s">
        <v>50</v>
      </c>
      <c r="X229" s="98" t="s">
        <v>50</v>
      </c>
      <c r="Y229" s="622" t="s">
        <v>139</v>
      </c>
    </row>
    <row r="230" spans="1:25" x14ac:dyDescent="0.25">
      <c r="A230" s="194">
        <v>44049</v>
      </c>
      <c r="B230" s="98" t="s">
        <v>876</v>
      </c>
      <c r="C230" s="97" t="s">
        <v>106</v>
      </c>
      <c r="D230" s="98">
        <v>38.199849999999998</v>
      </c>
      <c r="E230" s="98">
        <v>-121.65642</v>
      </c>
      <c r="F230" s="98" t="s">
        <v>1125</v>
      </c>
      <c r="G230" s="97" t="s">
        <v>90</v>
      </c>
      <c r="H230" s="97" t="s">
        <v>108</v>
      </c>
      <c r="I230" s="621">
        <v>0.47013888888888888</v>
      </c>
      <c r="J230" s="100">
        <v>146.72499999999999</v>
      </c>
      <c r="K230" s="100">
        <v>22.5</v>
      </c>
      <c r="L230" s="100">
        <v>7.3274999999999997</v>
      </c>
      <c r="M230" s="100">
        <v>1.7675000000000001</v>
      </c>
      <c r="N230" s="100">
        <v>13.65</v>
      </c>
      <c r="O230" s="98" t="s">
        <v>48</v>
      </c>
      <c r="P230" s="98">
        <v>4</v>
      </c>
      <c r="Q230" s="98">
        <v>10</v>
      </c>
      <c r="R230" s="97" t="s">
        <v>49</v>
      </c>
      <c r="S230" s="98" t="s">
        <v>50</v>
      </c>
      <c r="T230" s="98" t="s">
        <v>50</v>
      </c>
      <c r="U230" s="98" t="s">
        <v>50</v>
      </c>
      <c r="V230" s="98" t="s">
        <v>50</v>
      </c>
      <c r="W230" s="98" t="s">
        <v>50</v>
      </c>
      <c r="X230" s="98" t="s">
        <v>50</v>
      </c>
    </row>
    <row r="231" spans="1:25" x14ac:dyDescent="0.25">
      <c r="A231" s="194">
        <v>44049</v>
      </c>
      <c r="B231" s="98" t="s">
        <v>876</v>
      </c>
      <c r="C231" s="97" t="s">
        <v>88</v>
      </c>
      <c r="D231" s="98">
        <v>38.059739999999998</v>
      </c>
      <c r="E231" s="98">
        <v>-121.80992999999999</v>
      </c>
      <c r="F231" s="98" t="s">
        <v>1126</v>
      </c>
      <c r="G231" s="97" t="s">
        <v>27</v>
      </c>
      <c r="H231" s="97" t="s">
        <v>25</v>
      </c>
      <c r="I231" s="621">
        <v>0.35138888888888892</v>
      </c>
      <c r="J231" s="100">
        <v>4511</v>
      </c>
      <c r="K231" s="100">
        <v>21.425000000000001</v>
      </c>
      <c r="L231" s="100">
        <v>12.1525</v>
      </c>
      <c r="M231" s="100">
        <v>0.87</v>
      </c>
      <c r="N231" s="100">
        <v>9.9</v>
      </c>
      <c r="O231" s="98" t="s">
        <v>48</v>
      </c>
      <c r="P231" s="98">
        <v>4</v>
      </c>
      <c r="Q231" s="98">
        <v>10</v>
      </c>
      <c r="R231" s="97" t="s">
        <v>49</v>
      </c>
      <c r="S231" s="98" t="s">
        <v>50</v>
      </c>
      <c r="T231" s="98" t="s">
        <v>50</v>
      </c>
      <c r="U231" s="98" t="s">
        <v>50</v>
      </c>
      <c r="V231" s="98" t="s">
        <v>50</v>
      </c>
      <c r="W231" s="98" t="s">
        <v>50</v>
      </c>
      <c r="X231" s="98" t="s">
        <v>50</v>
      </c>
      <c r="Y231" s="102"/>
    </row>
    <row r="232" spans="1:25" s="592" customFormat="1" x14ac:dyDescent="0.25">
      <c r="A232" s="590">
        <v>44049</v>
      </c>
      <c r="B232" s="592" t="s">
        <v>876</v>
      </c>
      <c r="C232" s="591" t="s">
        <v>88</v>
      </c>
      <c r="D232" s="592">
        <v>38.06926</v>
      </c>
      <c r="E232" s="592">
        <v>-121.78117</v>
      </c>
      <c r="F232" s="592" t="s">
        <v>1127</v>
      </c>
      <c r="G232" s="591" t="s">
        <v>27</v>
      </c>
      <c r="H232" s="591" t="s">
        <v>25</v>
      </c>
      <c r="I232" s="619">
        <v>0.3979166666666667</v>
      </c>
      <c r="J232" s="593">
        <v>1942.5</v>
      </c>
      <c r="K232" s="593">
        <v>21.875</v>
      </c>
      <c r="L232" s="593">
        <v>19.725000000000001</v>
      </c>
      <c r="M232" s="593">
        <v>0.65</v>
      </c>
      <c r="N232" s="593">
        <v>9.85</v>
      </c>
      <c r="O232" s="592" t="s">
        <v>48</v>
      </c>
      <c r="P232" s="592">
        <v>4</v>
      </c>
      <c r="Q232" s="592">
        <v>10</v>
      </c>
      <c r="R232" s="591" t="s">
        <v>49</v>
      </c>
      <c r="S232" s="591" t="s">
        <v>323</v>
      </c>
      <c r="T232" s="592">
        <v>1</v>
      </c>
      <c r="U232" s="592">
        <v>55</v>
      </c>
      <c r="V232" s="592" t="s">
        <v>66</v>
      </c>
      <c r="W232" s="592" t="s">
        <v>50</v>
      </c>
      <c r="X232" s="592" t="s">
        <v>50</v>
      </c>
      <c r="Y232" s="455" t="s">
        <v>894</v>
      </c>
    </row>
    <row r="233" spans="1:25" x14ac:dyDescent="0.25">
      <c r="A233" s="194">
        <v>44049</v>
      </c>
      <c r="B233" s="98" t="s">
        <v>876</v>
      </c>
      <c r="C233" s="97" t="s">
        <v>88</v>
      </c>
      <c r="D233" s="98">
        <v>38.104430000000001</v>
      </c>
      <c r="E233" s="98">
        <v>-121.72274</v>
      </c>
      <c r="F233" s="98" t="s">
        <v>1128</v>
      </c>
      <c r="G233" s="97" t="s">
        <v>90</v>
      </c>
      <c r="H233" s="97" t="s">
        <v>91</v>
      </c>
      <c r="I233" s="621">
        <v>0.45277777777777778</v>
      </c>
      <c r="J233" s="100">
        <v>239.75</v>
      </c>
      <c r="K233" s="100">
        <v>23.074999999999999</v>
      </c>
      <c r="L233" s="100">
        <v>14.95</v>
      </c>
      <c r="M233" s="100">
        <v>0.9325</v>
      </c>
      <c r="N233" s="100">
        <v>8.875</v>
      </c>
      <c r="O233" s="98" t="s">
        <v>48</v>
      </c>
      <c r="P233" s="98">
        <v>4</v>
      </c>
      <c r="Q233" s="98">
        <v>10</v>
      </c>
      <c r="R233" s="97" t="s">
        <v>49</v>
      </c>
      <c r="S233" s="98" t="s">
        <v>50</v>
      </c>
      <c r="T233" s="98" t="s">
        <v>50</v>
      </c>
      <c r="U233" s="98" t="s">
        <v>50</v>
      </c>
      <c r="V233" s="98" t="s">
        <v>50</v>
      </c>
      <c r="W233" s="98" t="s">
        <v>50</v>
      </c>
      <c r="X233" s="98" t="s">
        <v>50</v>
      </c>
      <c r="Y233" s="102"/>
    </row>
    <row r="234" spans="1:25" x14ac:dyDescent="0.25">
      <c r="A234" s="194">
        <v>44049</v>
      </c>
      <c r="B234" s="98" t="s">
        <v>876</v>
      </c>
      <c r="C234" s="34" t="s">
        <v>78</v>
      </c>
      <c r="D234" s="98">
        <v>38.034750000000003</v>
      </c>
      <c r="E234" s="98">
        <v>-122.13759</v>
      </c>
      <c r="F234" s="98" t="s">
        <v>1129</v>
      </c>
      <c r="G234" s="34" t="s">
        <v>80</v>
      </c>
      <c r="H234" s="34" t="s">
        <v>81</v>
      </c>
      <c r="I234" s="621">
        <v>0.34583333333333338</v>
      </c>
      <c r="J234" s="100">
        <v>23411.5</v>
      </c>
      <c r="K234" s="100">
        <v>19.899999999999999</v>
      </c>
      <c r="L234" s="100">
        <v>19.5</v>
      </c>
      <c r="M234" s="100">
        <v>0.6</v>
      </c>
      <c r="N234" s="100">
        <v>17</v>
      </c>
      <c r="O234" s="98" t="s">
        <v>48</v>
      </c>
      <c r="P234" s="98">
        <v>2</v>
      </c>
      <c r="Q234" s="98">
        <v>10</v>
      </c>
      <c r="R234" s="97" t="s">
        <v>49</v>
      </c>
      <c r="S234" s="98" t="s">
        <v>50</v>
      </c>
      <c r="T234" s="98" t="s">
        <v>50</v>
      </c>
      <c r="U234" s="98" t="s">
        <v>50</v>
      </c>
      <c r="V234" s="98" t="s">
        <v>50</v>
      </c>
      <c r="W234" s="98" t="s">
        <v>50</v>
      </c>
      <c r="X234" s="98" t="s">
        <v>50</v>
      </c>
      <c r="Y234" s="622" t="s">
        <v>1130</v>
      </c>
    </row>
    <row r="235" spans="1:25" x14ac:dyDescent="0.25">
      <c r="A235" s="194">
        <v>44049</v>
      </c>
      <c r="B235" s="98" t="s">
        <v>876</v>
      </c>
      <c r="C235" s="34" t="s">
        <v>78</v>
      </c>
      <c r="D235" s="98">
        <v>38.095190000000002</v>
      </c>
      <c r="E235" s="98">
        <v>-122.06122000000001</v>
      </c>
      <c r="F235" s="98" t="s">
        <v>1131</v>
      </c>
      <c r="G235" s="194" t="s">
        <v>27</v>
      </c>
      <c r="H235" s="34" t="s">
        <v>86</v>
      </c>
      <c r="I235" s="621">
        <v>0.3888888888888889</v>
      </c>
      <c r="J235" s="100">
        <v>18438.25</v>
      </c>
      <c r="K235" s="100">
        <v>20.125</v>
      </c>
      <c r="L235" s="100">
        <v>32.5</v>
      </c>
      <c r="M235" s="100">
        <v>0.59750000000000003</v>
      </c>
      <c r="N235" s="100">
        <v>7.375</v>
      </c>
      <c r="O235" s="98" t="s">
        <v>48</v>
      </c>
      <c r="P235" s="98">
        <v>4</v>
      </c>
      <c r="Q235" s="98">
        <v>10</v>
      </c>
      <c r="R235" s="97" t="s">
        <v>49</v>
      </c>
      <c r="S235" s="98" t="s">
        <v>50</v>
      </c>
      <c r="T235" s="98" t="s">
        <v>50</v>
      </c>
      <c r="U235" s="98" t="s">
        <v>50</v>
      </c>
      <c r="V235" s="98" t="s">
        <v>50</v>
      </c>
      <c r="W235" s="98" t="s">
        <v>50</v>
      </c>
      <c r="X235" s="98" t="s">
        <v>50</v>
      </c>
      <c r="Y235" s="622" t="s">
        <v>139</v>
      </c>
    </row>
    <row r="236" spans="1:25" s="362" customFormat="1" x14ac:dyDescent="0.25">
      <c r="A236" s="360">
        <v>44049</v>
      </c>
      <c r="B236" s="362" t="s">
        <v>876</v>
      </c>
      <c r="C236" s="578" t="s">
        <v>78</v>
      </c>
      <c r="D236" s="362">
        <v>38.037320000000001</v>
      </c>
      <c r="E236" s="362">
        <v>-121.83906</v>
      </c>
      <c r="F236" s="362" t="s">
        <v>1132</v>
      </c>
      <c r="G236" s="362" t="s">
        <v>27</v>
      </c>
      <c r="H236" s="362" t="s">
        <v>101</v>
      </c>
      <c r="I236" s="618">
        <v>0.46597222222222223</v>
      </c>
      <c r="J236" s="364">
        <v>3636</v>
      </c>
      <c r="K236" s="364">
        <v>21.95</v>
      </c>
      <c r="L236" s="364">
        <v>18.225000000000001</v>
      </c>
      <c r="M236" s="364">
        <v>0.85</v>
      </c>
      <c r="N236" s="364">
        <v>6.35</v>
      </c>
      <c r="O236" s="362" t="s">
        <v>48</v>
      </c>
      <c r="P236" s="362">
        <v>4</v>
      </c>
      <c r="Q236" s="362">
        <v>10</v>
      </c>
      <c r="R236" s="361" t="s">
        <v>49</v>
      </c>
      <c r="S236" s="362" t="s">
        <v>50</v>
      </c>
      <c r="T236" s="362" t="s">
        <v>50</v>
      </c>
      <c r="U236" s="362" t="s">
        <v>50</v>
      </c>
      <c r="V236" s="362" t="s">
        <v>50</v>
      </c>
      <c r="W236" s="362" t="s">
        <v>50</v>
      </c>
      <c r="X236" s="362" t="s">
        <v>50</v>
      </c>
      <c r="Y236" s="603"/>
    </row>
    <row r="237" spans="1:25" s="154" customFormat="1" x14ac:dyDescent="0.25">
      <c r="A237" s="195">
        <v>44053</v>
      </c>
      <c r="B237" s="154" t="s">
        <v>43</v>
      </c>
      <c r="C237" s="154" t="s">
        <v>62</v>
      </c>
      <c r="D237" s="154">
        <v>38.157269999999997</v>
      </c>
      <c r="E237" s="154">
        <v>-122.06417999999999</v>
      </c>
      <c r="F237" s="154" t="s">
        <v>1133</v>
      </c>
      <c r="G237" s="154" t="s">
        <v>27</v>
      </c>
      <c r="H237" s="154" t="s">
        <v>62</v>
      </c>
      <c r="I237" s="636">
        <v>0.40972222222222227</v>
      </c>
      <c r="J237" s="156" t="s">
        <v>50</v>
      </c>
      <c r="K237" s="156" t="s">
        <v>50</v>
      </c>
      <c r="L237" s="156" t="s">
        <v>50</v>
      </c>
      <c r="M237" s="156" t="s">
        <v>50</v>
      </c>
      <c r="N237" s="156" t="s">
        <v>50</v>
      </c>
      <c r="O237" s="154" t="s">
        <v>48</v>
      </c>
      <c r="P237" s="154">
        <v>0</v>
      </c>
      <c r="Q237" s="154" t="s">
        <v>50</v>
      </c>
      <c r="R237" s="154" t="s">
        <v>50</v>
      </c>
      <c r="S237" s="154" t="s">
        <v>50</v>
      </c>
      <c r="T237" s="154" t="s">
        <v>50</v>
      </c>
      <c r="U237" s="154" t="s">
        <v>50</v>
      </c>
      <c r="V237" s="154" t="s">
        <v>50</v>
      </c>
      <c r="W237" s="154" t="s">
        <v>50</v>
      </c>
      <c r="X237" s="154" t="s">
        <v>50</v>
      </c>
      <c r="Y237" s="627" t="s">
        <v>734</v>
      </c>
    </row>
    <row r="238" spans="1:25" s="154" customFormat="1" x14ac:dyDescent="0.25">
      <c r="A238" s="195">
        <v>44053</v>
      </c>
      <c r="B238" s="154" t="s">
        <v>43</v>
      </c>
      <c r="C238" s="154" t="s">
        <v>126</v>
      </c>
      <c r="D238" s="154">
        <v>38.270650000000003</v>
      </c>
      <c r="E238" s="154">
        <v>-121.70527</v>
      </c>
      <c r="F238" s="154" t="s">
        <v>1134</v>
      </c>
      <c r="G238" s="154" t="s">
        <v>90</v>
      </c>
      <c r="H238" s="154" t="s">
        <v>845</v>
      </c>
      <c r="I238" s="636">
        <v>0.34861111111111115</v>
      </c>
      <c r="J238" s="156" t="s">
        <v>50</v>
      </c>
      <c r="K238" s="156" t="s">
        <v>50</v>
      </c>
      <c r="L238" s="156" t="s">
        <v>50</v>
      </c>
      <c r="M238" s="156" t="s">
        <v>50</v>
      </c>
      <c r="N238" s="156" t="s">
        <v>50</v>
      </c>
      <c r="O238" s="154" t="s">
        <v>48</v>
      </c>
      <c r="P238" s="154">
        <v>0</v>
      </c>
      <c r="Q238" s="154" t="s">
        <v>50</v>
      </c>
      <c r="R238" s="154" t="s">
        <v>50</v>
      </c>
      <c r="S238" s="154" t="s">
        <v>50</v>
      </c>
      <c r="T238" s="154" t="s">
        <v>50</v>
      </c>
      <c r="U238" s="154" t="s">
        <v>50</v>
      </c>
      <c r="V238" s="154" t="s">
        <v>50</v>
      </c>
      <c r="W238" s="154" t="s">
        <v>50</v>
      </c>
      <c r="X238" s="154" t="s">
        <v>50</v>
      </c>
      <c r="Y238" s="627" t="s">
        <v>784</v>
      </c>
    </row>
    <row r="239" spans="1:25" x14ac:dyDescent="0.25">
      <c r="A239" s="194">
        <v>44053</v>
      </c>
      <c r="B239" s="98" t="s">
        <v>43</v>
      </c>
      <c r="C239" s="98" t="s">
        <v>62</v>
      </c>
      <c r="D239" s="98">
        <v>38.198459999999997</v>
      </c>
      <c r="E239" s="98">
        <v>-121.91512</v>
      </c>
      <c r="F239" s="98" t="s">
        <v>1135</v>
      </c>
      <c r="G239" s="98" t="s">
        <v>27</v>
      </c>
      <c r="H239" s="98" t="s">
        <v>62</v>
      </c>
      <c r="I239" s="621">
        <v>0.36041666666666666</v>
      </c>
      <c r="J239" s="100">
        <v>10911.25</v>
      </c>
      <c r="K239" s="100">
        <v>22.475000000000001</v>
      </c>
      <c r="L239" s="100">
        <v>25.400000000000002</v>
      </c>
      <c r="M239" s="100">
        <v>0.45750000000000002</v>
      </c>
      <c r="N239" s="100">
        <v>3.5999999999999996</v>
      </c>
      <c r="O239" s="98" t="s">
        <v>48</v>
      </c>
      <c r="P239" s="98">
        <v>4</v>
      </c>
      <c r="Q239" s="98">
        <v>10</v>
      </c>
      <c r="R239" s="98" t="s">
        <v>49</v>
      </c>
      <c r="S239" s="98" t="s">
        <v>50</v>
      </c>
      <c r="T239" s="98" t="s">
        <v>50</v>
      </c>
      <c r="U239" s="98" t="s">
        <v>50</v>
      </c>
      <c r="V239" s="98" t="s">
        <v>50</v>
      </c>
      <c r="W239" s="98" t="s">
        <v>50</v>
      </c>
      <c r="X239" s="98" t="s">
        <v>50</v>
      </c>
    </row>
    <row r="240" spans="1:25" x14ac:dyDescent="0.25">
      <c r="A240" s="194">
        <v>44053</v>
      </c>
      <c r="B240" s="98" t="s">
        <v>43</v>
      </c>
      <c r="C240" s="98" t="s">
        <v>126</v>
      </c>
      <c r="D240" s="98">
        <v>38.259050000000002</v>
      </c>
      <c r="E240" s="98">
        <v>-121.69271999999999</v>
      </c>
      <c r="F240" s="98" t="s">
        <v>1136</v>
      </c>
      <c r="G240" s="98" t="s">
        <v>90</v>
      </c>
      <c r="H240" s="98" t="s">
        <v>845</v>
      </c>
      <c r="I240" s="621">
        <v>0.3611111111111111</v>
      </c>
      <c r="J240" s="100">
        <v>153.64999999999998</v>
      </c>
      <c r="K240" s="100">
        <v>22.925000000000001</v>
      </c>
      <c r="L240" s="100">
        <v>6.41</v>
      </c>
      <c r="M240" s="100">
        <v>1.73</v>
      </c>
      <c r="N240" s="100">
        <v>8.0250000000000004</v>
      </c>
      <c r="O240" s="98" t="s">
        <v>48</v>
      </c>
      <c r="P240" s="98">
        <v>4</v>
      </c>
      <c r="Q240" s="98">
        <v>10</v>
      </c>
      <c r="R240" s="98" t="s">
        <v>64</v>
      </c>
      <c r="S240" s="98" t="s">
        <v>50</v>
      </c>
      <c r="T240" s="98" t="s">
        <v>50</v>
      </c>
      <c r="U240" s="98" t="s">
        <v>50</v>
      </c>
      <c r="V240" s="98" t="s">
        <v>50</v>
      </c>
      <c r="W240" s="98" t="s">
        <v>50</v>
      </c>
      <c r="X240" s="98" t="s">
        <v>50</v>
      </c>
    </row>
    <row r="241" spans="1:25" x14ac:dyDescent="0.25">
      <c r="A241" s="194">
        <v>44053</v>
      </c>
      <c r="B241" s="98" t="s">
        <v>43</v>
      </c>
      <c r="C241" s="98" t="s">
        <v>126</v>
      </c>
      <c r="D241" s="98">
        <v>38.252490000000002</v>
      </c>
      <c r="E241" s="98">
        <v>-121.72524</v>
      </c>
      <c r="F241" s="98" t="s">
        <v>1137</v>
      </c>
      <c r="G241" s="98" t="s">
        <v>90</v>
      </c>
      <c r="H241" s="98" t="s">
        <v>845</v>
      </c>
      <c r="I241" s="621">
        <v>0.4145833333333333</v>
      </c>
      <c r="J241" s="100">
        <v>160.67500000000001</v>
      </c>
      <c r="K241" s="100">
        <v>22.825000000000003</v>
      </c>
      <c r="L241" s="100">
        <v>5.2874999999999996</v>
      </c>
      <c r="M241" s="100">
        <v>1.8</v>
      </c>
      <c r="N241" s="100">
        <v>5.0750000000000002</v>
      </c>
      <c r="O241" s="98" t="s">
        <v>48</v>
      </c>
      <c r="P241" s="98">
        <v>4</v>
      </c>
      <c r="Q241" s="98">
        <v>10</v>
      </c>
      <c r="R241" s="98" t="s">
        <v>64</v>
      </c>
      <c r="S241" s="98" t="s">
        <v>50</v>
      </c>
      <c r="T241" s="98" t="s">
        <v>50</v>
      </c>
      <c r="U241" s="98" t="s">
        <v>50</v>
      </c>
      <c r="V241" s="98" t="s">
        <v>50</v>
      </c>
      <c r="W241" s="98" t="s">
        <v>50</v>
      </c>
      <c r="X241" s="98" t="s">
        <v>50</v>
      </c>
    </row>
    <row r="242" spans="1:25" x14ac:dyDescent="0.25">
      <c r="A242" s="194">
        <v>44053</v>
      </c>
      <c r="B242" s="98" t="s">
        <v>43</v>
      </c>
      <c r="C242" s="97" t="s">
        <v>88</v>
      </c>
      <c r="D242" s="98">
        <v>38.16583</v>
      </c>
      <c r="E242" s="98">
        <v>-121.67753</v>
      </c>
      <c r="F242" s="98" t="s">
        <v>1138</v>
      </c>
      <c r="G242" s="97" t="s">
        <v>90</v>
      </c>
      <c r="H242" s="97" t="s">
        <v>91</v>
      </c>
      <c r="I242" s="621">
        <v>0.36805555555555558</v>
      </c>
      <c r="J242" s="100">
        <v>149.63333333333333</v>
      </c>
      <c r="K242" s="100">
        <v>23.533333333333331</v>
      </c>
      <c r="L242" s="100">
        <v>4.4775</v>
      </c>
      <c r="M242" s="100">
        <v>1.8</v>
      </c>
      <c r="N242" s="100">
        <v>9.35</v>
      </c>
      <c r="O242" s="98" t="s">
        <v>48</v>
      </c>
      <c r="P242" s="98">
        <v>4</v>
      </c>
      <c r="Q242" s="98">
        <v>10</v>
      </c>
      <c r="R242" s="98" t="s">
        <v>64</v>
      </c>
      <c r="S242" s="98" t="s">
        <v>50</v>
      </c>
      <c r="T242" s="98" t="s">
        <v>50</v>
      </c>
      <c r="U242" s="98" t="s">
        <v>50</v>
      </c>
      <c r="V242" s="98" t="s">
        <v>50</v>
      </c>
      <c r="W242" s="98" t="s">
        <v>50</v>
      </c>
      <c r="X242" s="98" t="s">
        <v>50</v>
      </c>
    </row>
    <row r="243" spans="1:25" x14ac:dyDescent="0.25">
      <c r="A243" s="194">
        <v>44053</v>
      </c>
      <c r="B243" s="98" t="s">
        <v>43</v>
      </c>
      <c r="C243" s="97" t="s">
        <v>88</v>
      </c>
      <c r="D243" s="98">
        <v>38.108789999999999</v>
      </c>
      <c r="E243" s="98">
        <v>-121.70175</v>
      </c>
      <c r="F243" s="98" t="s">
        <v>1139</v>
      </c>
      <c r="G243" s="97" t="s">
        <v>90</v>
      </c>
      <c r="H243" s="97" t="s">
        <v>91</v>
      </c>
      <c r="I243" s="621">
        <v>0.4236111111111111</v>
      </c>
      <c r="J243" s="100">
        <v>277.35000000000002</v>
      </c>
      <c r="K243" s="100">
        <v>23.4</v>
      </c>
      <c r="L243" s="100">
        <v>7.3449999999999989</v>
      </c>
      <c r="M243" s="100">
        <v>1.3250000000000002</v>
      </c>
      <c r="N243" s="100">
        <v>7.05</v>
      </c>
      <c r="O243" s="98" t="s">
        <v>48</v>
      </c>
      <c r="P243" s="98">
        <v>4</v>
      </c>
      <c r="Q243" s="98">
        <v>10</v>
      </c>
      <c r="R243" s="98" t="s">
        <v>49</v>
      </c>
      <c r="S243" s="98" t="s">
        <v>50</v>
      </c>
      <c r="T243" s="98" t="s">
        <v>50</v>
      </c>
      <c r="U243" s="98" t="s">
        <v>50</v>
      </c>
      <c r="V243" s="98" t="s">
        <v>50</v>
      </c>
      <c r="W243" s="98" t="s">
        <v>50</v>
      </c>
      <c r="X243" s="98" t="s">
        <v>50</v>
      </c>
    </row>
    <row r="244" spans="1:25" x14ac:dyDescent="0.25">
      <c r="A244" s="194">
        <v>44053</v>
      </c>
      <c r="B244" s="98" t="s">
        <v>43</v>
      </c>
      <c r="C244" s="98" t="s">
        <v>126</v>
      </c>
      <c r="D244" s="98">
        <v>38.241669999999999</v>
      </c>
      <c r="E244" s="98">
        <v>-121.68394000000001</v>
      </c>
      <c r="F244" s="98" t="s">
        <v>1140</v>
      </c>
      <c r="G244" s="98" t="s">
        <v>90</v>
      </c>
      <c r="H244" s="98" t="s">
        <v>845</v>
      </c>
      <c r="I244" s="621">
        <v>0.4694444444444445</v>
      </c>
      <c r="J244" s="100">
        <v>151.75</v>
      </c>
      <c r="K244" s="100">
        <v>23.25</v>
      </c>
      <c r="L244" s="100">
        <v>4.9475000000000007</v>
      </c>
      <c r="M244" s="100">
        <v>1.8</v>
      </c>
      <c r="N244" s="100">
        <v>9.65</v>
      </c>
      <c r="O244" s="98" t="s">
        <v>48</v>
      </c>
      <c r="P244" s="98">
        <v>4</v>
      </c>
      <c r="Q244" s="98">
        <v>10</v>
      </c>
      <c r="R244" s="98" t="s">
        <v>49</v>
      </c>
      <c r="S244" s="98" t="s">
        <v>50</v>
      </c>
      <c r="T244" s="98" t="s">
        <v>50</v>
      </c>
      <c r="U244" s="98" t="s">
        <v>50</v>
      </c>
      <c r="V244" s="98" t="s">
        <v>50</v>
      </c>
      <c r="W244" s="98" t="s">
        <v>50</v>
      </c>
      <c r="X244" s="98" t="s">
        <v>50</v>
      </c>
    </row>
    <row r="245" spans="1:25" x14ac:dyDescent="0.25">
      <c r="A245" s="194">
        <v>44053</v>
      </c>
      <c r="B245" s="98" t="s">
        <v>43</v>
      </c>
      <c r="C245" s="98" t="s">
        <v>62</v>
      </c>
      <c r="D245" s="98">
        <v>38.18186</v>
      </c>
      <c r="E245" s="98">
        <v>-121.99332</v>
      </c>
      <c r="F245" s="98" t="s">
        <v>1141</v>
      </c>
      <c r="G245" s="98" t="s">
        <v>27</v>
      </c>
      <c r="H245" s="98" t="s">
        <v>62</v>
      </c>
      <c r="I245" s="621">
        <v>0.44513888888888892</v>
      </c>
      <c r="J245" s="100">
        <v>13402.25</v>
      </c>
      <c r="K245" s="100">
        <v>22.45</v>
      </c>
      <c r="L245" s="100">
        <v>13.5</v>
      </c>
      <c r="M245" s="100">
        <v>0.72750000000000004</v>
      </c>
      <c r="N245" s="100">
        <v>10.975000000000001</v>
      </c>
      <c r="O245" s="98" t="s">
        <v>48</v>
      </c>
      <c r="P245" s="98">
        <v>4</v>
      </c>
      <c r="Q245" s="98">
        <v>10</v>
      </c>
      <c r="R245" s="98" t="s">
        <v>49</v>
      </c>
      <c r="S245" s="98" t="s">
        <v>50</v>
      </c>
      <c r="T245" s="98" t="s">
        <v>50</v>
      </c>
      <c r="U245" s="98" t="s">
        <v>50</v>
      </c>
      <c r="V245" s="98" t="s">
        <v>50</v>
      </c>
      <c r="W245" s="98" t="s">
        <v>50</v>
      </c>
      <c r="X245" s="98" t="s">
        <v>50</v>
      </c>
    </row>
    <row r="246" spans="1:25" x14ac:dyDescent="0.25">
      <c r="A246" s="194">
        <v>44053</v>
      </c>
      <c r="B246" s="98" t="s">
        <v>43</v>
      </c>
      <c r="C246" s="98" t="s">
        <v>62</v>
      </c>
      <c r="D246" s="98">
        <v>38.119529999999997</v>
      </c>
      <c r="E246" s="98">
        <v>-122.05706000000001</v>
      </c>
      <c r="F246" s="98" t="s">
        <v>1142</v>
      </c>
      <c r="G246" s="98" t="s">
        <v>27</v>
      </c>
      <c r="H246" s="98" t="s">
        <v>62</v>
      </c>
      <c r="I246" s="621">
        <v>0.50694444444444442</v>
      </c>
      <c r="J246" s="100">
        <v>15768</v>
      </c>
      <c r="K246" s="100">
        <v>22.75</v>
      </c>
      <c r="L246" s="100">
        <v>17.375</v>
      </c>
      <c r="M246" s="100">
        <v>0.59</v>
      </c>
      <c r="N246" s="100">
        <v>3.4749999999999996</v>
      </c>
      <c r="O246" s="98" t="s">
        <v>48</v>
      </c>
      <c r="P246" s="98">
        <v>4</v>
      </c>
      <c r="Q246" s="98">
        <v>10</v>
      </c>
      <c r="R246" s="98" t="s">
        <v>49</v>
      </c>
      <c r="S246" s="98" t="s">
        <v>50</v>
      </c>
      <c r="T246" s="98" t="s">
        <v>50</v>
      </c>
      <c r="U246" s="98" t="s">
        <v>50</v>
      </c>
      <c r="V246" s="98" t="s">
        <v>50</v>
      </c>
      <c r="W246" s="98" t="s">
        <v>50</v>
      </c>
      <c r="X246" s="98" t="s">
        <v>50</v>
      </c>
    </row>
    <row r="247" spans="1:25" x14ac:dyDescent="0.25">
      <c r="A247" s="194">
        <v>44053</v>
      </c>
      <c r="B247" s="98" t="s">
        <v>43</v>
      </c>
      <c r="C247" s="97" t="s">
        <v>88</v>
      </c>
      <c r="D247" s="98">
        <v>38.076169999999998</v>
      </c>
      <c r="E247" s="98">
        <v>-121.75763000000001</v>
      </c>
      <c r="F247" s="98" t="s">
        <v>1143</v>
      </c>
      <c r="G247" s="97" t="s">
        <v>27</v>
      </c>
      <c r="H247" s="97" t="s">
        <v>25</v>
      </c>
      <c r="I247" s="621">
        <v>0.48055555555555557</v>
      </c>
      <c r="J247" s="100">
        <v>1045.5</v>
      </c>
      <c r="K247" s="100">
        <v>22.825000000000003</v>
      </c>
      <c r="L247" s="100">
        <v>13.75</v>
      </c>
      <c r="M247" s="100">
        <v>0.72000000000000008</v>
      </c>
      <c r="N247" s="100">
        <v>8.7249999999999996</v>
      </c>
      <c r="O247" s="98" t="s">
        <v>48</v>
      </c>
      <c r="P247" s="98">
        <v>4</v>
      </c>
      <c r="Q247" s="98">
        <v>10</v>
      </c>
      <c r="R247" s="98" t="s">
        <v>49</v>
      </c>
      <c r="S247" s="98" t="s">
        <v>50</v>
      </c>
      <c r="T247" s="98" t="s">
        <v>50</v>
      </c>
      <c r="U247" s="98" t="s">
        <v>50</v>
      </c>
      <c r="V247" s="98" t="s">
        <v>50</v>
      </c>
      <c r="W247" s="98" t="s">
        <v>50</v>
      </c>
      <c r="X247" s="98" t="s">
        <v>50</v>
      </c>
    </row>
    <row r="248" spans="1:25" x14ac:dyDescent="0.25">
      <c r="A248" s="194">
        <v>44054</v>
      </c>
      <c r="B248" s="98" t="s">
        <v>70</v>
      </c>
      <c r="C248" s="98" t="s">
        <v>126</v>
      </c>
      <c r="D248" s="98">
        <v>38.264229999999998</v>
      </c>
      <c r="E248" s="98">
        <v>-121.69654</v>
      </c>
      <c r="F248" s="98" t="s">
        <v>1144</v>
      </c>
      <c r="G248" s="98" t="s">
        <v>90</v>
      </c>
      <c r="H248" s="98" t="s">
        <v>845</v>
      </c>
      <c r="I248" s="621">
        <v>0.33680555555555558</v>
      </c>
      <c r="J248" s="100">
        <v>159.07500000000002</v>
      </c>
      <c r="K248" s="100">
        <v>22.200000000000003</v>
      </c>
      <c r="L248" s="100">
        <v>5.6950000000000003</v>
      </c>
      <c r="M248" s="100">
        <v>1.6924999999999999</v>
      </c>
      <c r="N248" s="100">
        <v>5.5</v>
      </c>
      <c r="O248" s="98" t="s">
        <v>48</v>
      </c>
      <c r="P248" s="98">
        <v>4</v>
      </c>
      <c r="Q248" s="98">
        <v>10</v>
      </c>
      <c r="R248" s="98" t="s">
        <v>64</v>
      </c>
      <c r="S248" s="98" t="s">
        <v>50</v>
      </c>
      <c r="T248" s="98" t="s">
        <v>50</v>
      </c>
      <c r="U248" s="98" t="s">
        <v>50</v>
      </c>
      <c r="V248" s="98" t="s">
        <v>50</v>
      </c>
      <c r="W248" s="98" t="s">
        <v>50</v>
      </c>
      <c r="X248" s="98" t="s">
        <v>50</v>
      </c>
    </row>
    <row r="249" spans="1:25" x14ac:dyDescent="0.25">
      <c r="A249" s="194">
        <v>44054</v>
      </c>
      <c r="B249" s="98" t="s">
        <v>70</v>
      </c>
      <c r="C249" s="97" t="s">
        <v>88</v>
      </c>
      <c r="D249" s="98">
        <v>38.066160000000004</v>
      </c>
      <c r="E249" s="98">
        <v>-121.83642</v>
      </c>
      <c r="F249" s="98" t="s">
        <v>1145</v>
      </c>
      <c r="G249" s="97" t="s">
        <v>27</v>
      </c>
      <c r="H249" s="97" t="s">
        <v>25</v>
      </c>
      <c r="I249" s="621">
        <v>0.36041666666666666</v>
      </c>
      <c r="J249" s="100">
        <v>3822.1</v>
      </c>
      <c r="K249" s="100">
        <v>21.274999999999999</v>
      </c>
      <c r="L249" s="100">
        <v>15.35</v>
      </c>
      <c r="M249" s="100">
        <v>0.80500000000000005</v>
      </c>
      <c r="N249" s="100">
        <v>8.125</v>
      </c>
      <c r="O249" s="98" t="s">
        <v>48</v>
      </c>
      <c r="P249" s="98">
        <v>4</v>
      </c>
      <c r="Q249" s="98">
        <v>10</v>
      </c>
      <c r="R249" s="98" t="s">
        <v>64</v>
      </c>
      <c r="S249" s="98" t="s">
        <v>50</v>
      </c>
      <c r="T249" s="98" t="s">
        <v>50</v>
      </c>
      <c r="U249" s="98" t="s">
        <v>50</v>
      </c>
      <c r="V249" s="98" t="s">
        <v>50</v>
      </c>
      <c r="W249" s="98" t="s">
        <v>50</v>
      </c>
      <c r="X249" s="98" t="s">
        <v>50</v>
      </c>
    </row>
    <row r="250" spans="1:25" x14ac:dyDescent="0.25">
      <c r="A250" s="194">
        <v>44054</v>
      </c>
      <c r="B250" s="98" t="s">
        <v>70</v>
      </c>
      <c r="C250" s="98" t="s">
        <v>62</v>
      </c>
      <c r="D250" s="98">
        <v>38.171309999999998</v>
      </c>
      <c r="E250" s="98">
        <v>-122.03288999999999</v>
      </c>
      <c r="F250" s="98" t="s">
        <v>1146</v>
      </c>
      <c r="G250" s="98" t="s">
        <v>27</v>
      </c>
      <c r="H250" s="98" t="s">
        <v>62</v>
      </c>
      <c r="I250" s="621">
        <v>0.37013888888888885</v>
      </c>
      <c r="J250" s="100">
        <v>15340</v>
      </c>
      <c r="K250" s="100">
        <v>22.325000000000003</v>
      </c>
      <c r="L250" s="100">
        <v>14.175000000000001</v>
      </c>
      <c r="M250" s="100">
        <v>0.80749999999999988</v>
      </c>
      <c r="N250" s="100">
        <v>11.55</v>
      </c>
      <c r="O250" s="98" t="s">
        <v>48</v>
      </c>
      <c r="P250" s="98">
        <v>4</v>
      </c>
      <c r="Q250" s="98">
        <v>10</v>
      </c>
      <c r="R250" s="98" t="s">
        <v>64</v>
      </c>
      <c r="S250" s="98" t="s">
        <v>50</v>
      </c>
      <c r="T250" s="98" t="s">
        <v>50</v>
      </c>
      <c r="U250" s="98" t="s">
        <v>50</v>
      </c>
      <c r="V250" s="98" t="s">
        <v>50</v>
      </c>
      <c r="W250" s="98" t="s">
        <v>50</v>
      </c>
      <c r="X250" s="98" t="s">
        <v>50</v>
      </c>
    </row>
    <row r="251" spans="1:25" x14ac:dyDescent="0.25">
      <c r="A251" s="194">
        <v>44054</v>
      </c>
      <c r="B251" s="98" t="s">
        <v>70</v>
      </c>
      <c r="C251" s="98" t="s">
        <v>62</v>
      </c>
      <c r="D251" s="98">
        <v>38.142270000000003</v>
      </c>
      <c r="E251" s="98">
        <v>-122.06094</v>
      </c>
      <c r="F251" s="98" t="s">
        <v>1147</v>
      </c>
      <c r="G251" s="98" t="s">
        <v>27</v>
      </c>
      <c r="H251" s="98" t="s">
        <v>62</v>
      </c>
      <c r="I251" s="621">
        <v>0.43472222222222223</v>
      </c>
      <c r="J251" s="100">
        <v>16157</v>
      </c>
      <c r="K251" s="100">
        <v>21.675000000000001</v>
      </c>
      <c r="L251" s="100">
        <v>22.774999999999999</v>
      </c>
      <c r="M251" s="100">
        <v>0.62</v>
      </c>
      <c r="N251" s="100">
        <v>10.375</v>
      </c>
      <c r="O251" s="98" t="s">
        <v>48</v>
      </c>
      <c r="P251" s="98">
        <v>4</v>
      </c>
      <c r="Q251" s="98">
        <v>10</v>
      </c>
      <c r="R251" s="98" t="s">
        <v>49</v>
      </c>
      <c r="S251" s="98" t="s">
        <v>50</v>
      </c>
      <c r="T251" s="98" t="s">
        <v>50</v>
      </c>
      <c r="U251" s="98" t="s">
        <v>50</v>
      </c>
      <c r="V251" s="98" t="s">
        <v>50</v>
      </c>
      <c r="W251" s="98" t="s">
        <v>50</v>
      </c>
      <c r="X251" s="98" t="s">
        <v>50</v>
      </c>
    </row>
    <row r="252" spans="1:25" x14ac:dyDescent="0.25">
      <c r="A252" s="194">
        <v>44054</v>
      </c>
      <c r="B252" s="98" t="s">
        <v>70</v>
      </c>
      <c r="C252" s="97" t="s">
        <v>88</v>
      </c>
      <c r="D252" s="98">
        <v>38.064540000000001</v>
      </c>
      <c r="E252" s="98">
        <v>-121.77942</v>
      </c>
      <c r="F252" s="98" t="s">
        <v>1148</v>
      </c>
      <c r="G252" s="97" t="s">
        <v>27</v>
      </c>
      <c r="H252" s="97" t="s">
        <v>25</v>
      </c>
      <c r="I252" s="621">
        <v>0.41111111111111115</v>
      </c>
      <c r="J252" s="100">
        <v>1861</v>
      </c>
      <c r="K252" s="100">
        <v>21.9</v>
      </c>
      <c r="L252" s="100">
        <v>18.025000000000002</v>
      </c>
      <c r="M252" s="100">
        <v>0.61</v>
      </c>
      <c r="N252" s="100">
        <v>9.25</v>
      </c>
      <c r="O252" s="98" t="s">
        <v>48</v>
      </c>
      <c r="P252" s="98">
        <v>4</v>
      </c>
      <c r="Q252" s="98">
        <v>10</v>
      </c>
      <c r="R252" s="98" t="s">
        <v>64</v>
      </c>
      <c r="S252" s="98" t="s">
        <v>50</v>
      </c>
      <c r="T252" s="98" t="s">
        <v>50</v>
      </c>
      <c r="U252" s="98" t="s">
        <v>50</v>
      </c>
      <c r="V252" s="98" t="s">
        <v>50</v>
      </c>
      <c r="W252" s="98" t="s">
        <v>50</v>
      </c>
      <c r="X252" s="98" t="s">
        <v>50</v>
      </c>
    </row>
    <row r="253" spans="1:25" x14ac:dyDescent="0.25">
      <c r="A253" s="194">
        <v>44054</v>
      </c>
      <c r="B253" s="98" t="s">
        <v>70</v>
      </c>
      <c r="C253" s="98" t="s">
        <v>126</v>
      </c>
      <c r="D253" s="98">
        <v>38.306249999999999</v>
      </c>
      <c r="E253" s="98">
        <v>-121.66734</v>
      </c>
      <c r="F253" s="98" t="s">
        <v>1149</v>
      </c>
      <c r="G253" s="98" t="s">
        <v>90</v>
      </c>
      <c r="H253" s="98" t="s">
        <v>845</v>
      </c>
      <c r="I253" s="621">
        <v>0.39930555555555558</v>
      </c>
      <c r="J253" s="100">
        <v>179.07499999999999</v>
      </c>
      <c r="K253" s="100">
        <v>21.599999999999998</v>
      </c>
      <c r="L253" s="100">
        <v>18.725000000000001</v>
      </c>
      <c r="M253" s="100">
        <v>0.62</v>
      </c>
      <c r="N253" s="100">
        <v>6.0249999999999995</v>
      </c>
      <c r="O253" s="98" t="s">
        <v>48</v>
      </c>
      <c r="P253" s="98">
        <v>4</v>
      </c>
      <c r="Q253" s="98">
        <v>10</v>
      </c>
      <c r="R253" s="98" t="s">
        <v>64</v>
      </c>
      <c r="S253" s="98" t="s">
        <v>50</v>
      </c>
      <c r="T253" s="98" t="s">
        <v>50</v>
      </c>
      <c r="U253" s="98" t="s">
        <v>50</v>
      </c>
      <c r="V253" s="98" t="s">
        <v>50</v>
      </c>
      <c r="W253" s="98" t="s">
        <v>50</v>
      </c>
      <c r="X253" s="98" t="s">
        <v>50</v>
      </c>
    </row>
    <row r="254" spans="1:25" x14ac:dyDescent="0.25">
      <c r="A254" s="194">
        <v>44054</v>
      </c>
      <c r="B254" s="98" t="s">
        <v>70</v>
      </c>
      <c r="C254" s="98" t="s">
        <v>126</v>
      </c>
      <c r="D254" s="98">
        <v>38.251829999999998</v>
      </c>
      <c r="E254" s="98">
        <v>-121.67245</v>
      </c>
      <c r="F254" s="98" t="s">
        <v>1150</v>
      </c>
      <c r="G254" s="98" t="s">
        <v>90</v>
      </c>
      <c r="H254" s="98" t="s">
        <v>845</v>
      </c>
      <c r="I254" s="621">
        <v>0.45069444444444445</v>
      </c>
      <c r="J254" s="100">
        <v>158.72499999999999</v>
      </c>
      <c r="K254" s="100">
        <v>22.5</v>
      </c>
      <c r="L254" s="100">
        <v>16.274999999999999</v>
      </c>
      <c r="M254" s="100">
        <v>0.83000000000000007</v>
      </c>
      <c r="N254" s="100">
        <v>11.025</v>
      </c>
      <c r="O254" s="98" t="s">
        <v>48</v>
      </c>
      <c r="P254" s="98">
        <v>4</v>
      </c>
      <c r="Q254" s="98">
        <v>10</v>
      </c>
      <c r="R254" s="98" t="s">
        <v>64</v>
      </c>
      <c r="S254" s="98" t="s">
        <v>50</v>
      </c>
      <c r="T254" s="98" t="s">
        <v>50</v>
      </c>
      <c r="U254" s="98" t="s">
        <v>50</v>
      </c>
      <c r="V254" s="98" t="s">
        <v>50</v>
      </c>
      <c r="W254" s="98" t="s">
        <v>50</v>
      </c>
      <c r="X254" s="98" t="s">
        <v>50</v>
      </c>
      <c r="Y254" s="622" t="s">
        <v>1078</v>
      </c>
    </row>
    <row r="255" spans="1:25" x14ac:dyDescent="0.25">
      <c r="A255" s="194">
        <v>44054</v>
      </c>
      <c r="B255" s="98" t="s">
        <v>70</v>
      </c>
      <c r="C255" s="97" t="s">
        <v>88</v>
      </c>
      <c r="D255" s="98">
        <v>38.142060000000001</v>
      </c>
      <c r="E255" s="98">
        <v>-121.69061000000001</v>
      </c>
      <c r="F255" s="98" t="s">
        <v>1151</v>
      </c>
      <c r="G255" s="97" t="s">
        <v>90</v>
      </c>
      <c r="H255" s="97" t="s">
        <v>91</v>
      </c>
      <c r="I255" s="621">
        <v>0.46458333333333335</v>
      </c>
      <c r="J255" s="100">
        <v>159.97500000000002</v>
      </c>
      <c r="K255" s="100">
        <v>23.150000000000002</v>
      </c>
      <c r="L255" s="100">
        <v>6.62</v>
      </c>
      <c r="M255" s="100">
        <v>1.65</v>
      </c>
      <c r="N255" s="100">
        <v>7.4249999999999998</v>
      </c>
      <c r="O255" s="98" t="s">
        <v>48</v>
      </c>
      <c r="P255" s="98">
        <v>4</v>
      </c>
      <c r="Q255" s="98">
        <v>10</v>
      </c>
      <c r="R255" s="98" t="s">
        <v>49</v>
      </c>
      <c r="S255" s="98" t="s">
        <v>50</v>
      </c>
      <c r="T255" s="98" t="s">
        <v>50</v>
      </c>
      <c r="U255" s="98" t="s">
        <v>50</v>
      </c>
      <c r="V255" s="98" t="s">
        <v>50</v>
      </c>
      <c r="W255" s="98" t="s">
        <v>50</v>
      </c>
      <c r="X255" s="98" t="s">
        <v>50</v>
      </c>
      <c r="Y255" s="622" t="s">
        <v>1152</v>
      </c>
    </row>
    <row r="256" spans="1:25" s="592" customFormat="1" x14ac:dyDescent="0.25">
      <c r="A256" s="590">
        <v>44054</v>
      </c>
      <c r="B256" s="592" t="s">
        <v>70</v>
      </c>
      <c r="C256" s="591" t="s">
        <v>62</v>
      </c>
      <c r="D256" s="592">
        <v>38.107640000000004</v>
      </c>
      <c r="E256" s="592">
        <v>-122.04636000000001</v>
      </c>
      <c r="F256" s="592" t="s">
        <v>1153</v>
      </c>
      <c r="G256" s="591" t="s">
        <v>27</v>
      </c>
      <c r="H256" s="591" t="s">
        <v>173</v>
      </c>
      <c r="I256" s="619">
        <v>0.49305555555555558</v>
      </c>
      <c r="J256" s="593">
        <v>19778</v>
      </c>
      <c r="K256" s="593">
        <v>20.7</v>
      </c>
      <c r="L256" s="593">
        <v>31.549999999999997</v>
      </c>
      <c r="M256" s="593">
        <v>0.43000000000000005</v>
      </c>
      <c r="N256" s="593">
        <v>2.6</v>
      </c>
      <c r="O256" s="592" t="s">
        <v>48</v>
      </c>
      <c r="P256" s="592">
        <v>2</v>
      </c>
      <c r="Q256" s="592">
        <v>10</v>
      </c>
      <c r="R256" s="592" t="s">
        <v>49</v>
      </c>
      <c r="S256" s="591" t="s">
        <v>323</v>
      </c>
      <c r="T256" s="592">
        <v>1</v>
      </c>
      <c r="U256" s="592">
        <v>49</v>
      </c>
      <c r="V256" s="592" t="s">
        <v>50</v>
      </c>
      <c r="W256" s="592" t="s">
        <v>50</v>
      </c>
      <c r="X256" s="592" t="s">
        <v>50</v>
      </c>
      <c r="Y256" s="455" t="s">
        <v>894</v>
      </c>
    </row>
    <row r="257" spans="1:25" x14ac:dyDescent="0.25">
      <c r="A257" s="194">
        <v>44055</v>
      </c>
      <c r="B257" s="98" t="s">
        <v>87</v>
      </c>
      <c r="C257" s="98" t="s">
        <v>95</v>
      </c>
      <c r="D257" s="98">
        <v>38.022390000000001</v>
      </c>
      <c r="E257" s="98">
        <v>-121.75151</v>
      </c>
      <c r="F257" s="98" t="s">
        <v>1154</v>
      </c>
      <c r="G257" s="97" t="s">
        <v>27</v>
      </c>
      <c r="H257" s="97" t="s">
        <v>863</v>
      </c>
      <c r="I257" s="621">
        <v>0.35069444444444442</v>
      </c>
      <c r="J257" s="100">
        <v>1091.25</v>
      </c>
      <c r="K257" s="100">
        <v>22.375</v>
      </c>
      <c r="L257" s="100">
        <v>7.3475000000000001</v>
      </c>
      <c r="M257" s="100">
        <v>0.99250000000000005</v>
      </c>
      <c r="N257" s="100">
        <v>4.7249999999999996</v>
      </c>
      <c r="O257" s="98" t="s">
        <v>48</v>
      </c>
      <c r="P257" s="98">
        <v>4</v>
      </c>
      <c r="Q257" s="98">
        <v>10</v>
      </c>
      <c r="R257" s="98" t="s">
        <v>64</v>
      </c>
      <c r="S257" s="98" t="s">
        <v>50</v>
      </c>
      <c r="T257" s="98" t="s">
        <v>50</v>
      </c>
      <c r="U257" s="98" t="s">
        <v>50</v>
      </c>
      <c r="V257" s="98" t="s">
        <v>50</v>
      </c>
      <c r="W257" s="98" t="s">
        <v>50</v>
      </c>
      <c r="X257" s="98" t="s">
        <v>50</v>
      </c>
    </row>
    <row r="258" spans="1:25" x14ac:dyDescent="0.25">
      <c r="A258" s="194">
        <v>44055</v>
      </c>
      <c r="B258" s="98" t="s">
        <v>87</v>
      </c>
      <c r="C258" s="98" t="s">
        <v>95</v>
      </c>
      <c r="D258" s="98">
        <v>38.025590000000001</v>
      </c>
      <c r="E258" s="98">
        <v>-121.72691</v>
      </c>
      <c r="F258" s="98" t="s">
        <v>1155</v>
      </c>
      <c r="G258" s="97" t="s">
        <v>27</v>
      </c>
      <c r="H258" s="97" t="s">
        <v>863</v>
      </c>
      <c r="I258" s="621">
        <v>0.39861111111111108</v>
      </c>
      <c r="J258" s="100">
        <v>902.75</v>
      </c>
      <c r="K258" s="100">
        <v>22.574999999999999</v>
      </c>
      <c r="L258" s="100">
        <v>8.1675000000000004</v>
      </c>
      <c r="M258" s="100">
        <v>1.05</v>
      </c>
      <c r="N258" s="100">
        <v>5.55</v>
      </c>
      <c r="O258" s="98" t="s">
        <v>48</v>
      </c>
      <c r="P258" s="98">
        <v>4</v>
      </c>
      <c r="Q258" s="98">
        <v>10</v>
      </c>
      <c r="R258" s="98" t="s">
        <v>64</v>
      </c>
      <c r="S258" s="98" t="s">
        <v>50</v>
      </c>
      <c r="T258" s="98" t="s">
        <v>50</v>
      </c>
      <c r="U258" s="98" t="s">
        <v>50</v>
      </c>
      <c r="V258" s="98" t="s">
        <v>50</v>
      </c>
      <c r="W258" s="98" t="s">
        <v>50</v>
      </c>
      <c r="X258" s="98" t="s">
        <v>50</v>
      </c>
      <c r="Y258" s="622" t="s">
        <v>139</v>
      </c>
    </row>
    <row r="259" spans="1:25" x14ac:dyDescent="0.25">
      <c r="A259" s="194">
        <v>44055</v>
      </c>
      <c r="B259" s="98" t="s">
        <v>87</v>
      </c>
      <c r="C259" s="98" t="s">
        <v>95</v>
      </c>
      <c r="D259" s="98">
        <v>38.059330000000003</v>
      </c>
      <c r="E259" s="98">
        <v>-121.6777</v>
      </c>
      <c r="F259" s="98" t="s">
        <v>1156</v>
      </c>
      <c r="G259" s="97" t="s">
        <v>886</v>
      </c>
      <c r="H259" s="97" t="s">
        <v>908</v>
      </c>
      <c r="I259" s="621">
        <v>0.44513888888888892</v>
      </c>
      <c r="J259" s="100">
        <v>705.25</v>
      </c>
      <c r="K259" s="100">
        <v>22.9</v>
      </c>
      <c r="L259" s="100">
        <v>7.8825000000000003</v>
      </c>
      <c r="M259" s="100">
        <v>1.0024999999999999</v>
      </c>
      <c r="N259" s="100">
        <v>7.9249999999999998</v>
      </c>
      <c r="O259" s="98" t="s">
        <v>48</v>
      </c>
      <c r="P259" s="98">
        <v>4</v>
      </c>
      <c r="Q259" s="98">
        <v>10</v>
      </c>
      <c r="R259" s="98" t="s">
        <v>64</v>
      </c>
      <c r="S259" s="98" t="s">
        <v>50</v>
      </c>
      <c r="T259" s="98" t="s">
        <v>50</v>
      </c>
      <c r="U259" s="98" t="s">
        <v>50</v>
      </c>
      <c r="V259" s="98" t="s">
        <v>50</v>
      </c>
      <c r="W259" s="98" t="s">
        <v>50</v>
      </c>
      <c r="X259" s="98" t="s">
        <v>50</v>
      </c>
    </row>
    <row r="260" spans="1:25" x14ac:dyDescent="0.25">
      <c r="A260" s="194">
        <v>44055</v>
      </c>
      <c r="B260" s="98" t="s">
        <v>87</v>
      </c>
      <c r="C260" s="34" t="s">
        <v>78</v>
      </c>
      <c r="D260" s="98">
        <v>38.041310000000003</v>
      </c>
      <c r="E260" s="98">
        <v>-122.12745</v>
      </c>
      <c r="F260" s="98" t="s">
        <v>1157</v>
      </c>
      <c r="G260" s="34" t="s">
        <v>80</v>
      </c>
      <c r="H260" s="34" t="s">
        <v>81</v>
      </c>
      <c r="I260" s="621">
        <v>0.35625000000000001</v>
      </c>
      <c r="J260" s="100">
        <v>22591.25</v>
      </c>
      <c r="K260" s="100">
        <v>20.274999999999999</v>
      </c>
      <c r="L260" s="100">
        <v>16.324999999999999</v>
      </c>
      <c r="M260" s="100">
        <v>0.8125</v>
      </c>
      <c r="N260" s="100">
        <v>20.024999999999999</v>
      </c>
      <c r="O260" s="98" t="s">
        <v>48</v>
      </c>
      <c r="P260" s="98">
        <v>4</v>
      </c>
      <c r="Q260" s="98">
        <v>10</v>
      </c>
      <c r="R260" s="98" t="s">
        <v>64</v>
      </c>
      <c r="S260" s="98" t="s">
        <v>50</v>
      </c>
      <c r="T260" s="98" t="s">
        <v>50</v>
      </c>
      <c r="U260" s="98" t="s">
        <v>50</v>
      </c>
      <c r="V260" s="98" t="s">
        <v>50</v>
      </c>
      <c r="W260" s="98" t="s">
        <v>50</v>
      </c>
      <c r="X260" s="98" t="s">
        <v>50</v>
      </c>
    </row>
    <row r="261" spans="1:25" x14ac:dyDescent="0.25">
      <c r="A261" s="194">
        <v>44055</v>
      </c>
      <c r="B261" s="98" t="s">
        <v>87</v>
      </c>
      <c r="C261" s="34" t="s">
        <v>78</v>
      </c>
      <c r="D261" s="98">
        <v>38.06259</v>
      </c>
      <c r="E261" s="98">
        <v>-122.05134</v>
      </c>
      <c r="F261" s="98" t="s">
        <v>1158</v>
      </c>
      <c r="G261" s="194" t="s">
        <v>27</v>
      </c>
      <c r="H261" s="34" t="s">
        <v>86</v>
      </c>
      <c r="I261" s="621">
        <v>0.41250000000000003</v>
      </c>
      <c r="J261" s="100">
        <v>18619.5</v>
      </c>
      <c r="K261" s="100">
        <v>20.9</v>
      </c>
      <c r="L261" s="100">
        <v>12.025</v>
      </c>
      <c r="M261" s="100">
        <v>0.83</v>
      </c>
      <c r="N261" s="100">
        <v>7.9</v>
      </c>
      <c r="O261" s="98" t="s">
        <v>48</v>
      </c>
      <c r="P261" s="98">
        <v>4</v>
      </c>
      <c r="Q261" s="98">
        <v>10</v>
      </c>
      <c r="R261" s="98" t="s">
        <v>64</v>
      </c>
      <c r="S261" s="98" t="s">
        <v>50</v>
      </c>
      <c r="T261" s="98" t="s">
        <v>50</v>
      </c>
      <c r="U261" s="98" t="s">
        <v>50</v>
      </c>
      <c r="V261" s="98" t="s">
        <v>50</v>
      </c>
      <c r="W261" s="98" t="s">
        <v>50</v>
      </c>
      <c r="X261" s="98" t="s">
        <v>50</v>
      </c>
    </row>
    <row r="262" spans="1:25" x14ac:dyDescent="0.25">
      <c r="A262" s="194">
        <v>44055</v>
      </c>
      <c r="B262" s="98" t="s">
        <v>87</v>
      </c>
      <c r="C262" s="34" t="s">
        <v>78</v>
      </c>
      <c r="D262" s="98">
        <v>38.027790000000003</v>
      </c>
      <c r="E262" s="98">
        <v>-121.83865</v>
      </c>
      <c r="F262" s="98" t="s">
        <v>1159</v>
      </c>
      <c r="G262" s="97" t="s">
        <v>27</v>
      </c>
      <c r="H262" s="97" t="s">
        <v>101</v>
      </c>
      <c r="I262" s="621">
        <v>0.48125000000000001</v>
      </c>
      <c r="J262" s="100">
        <v>4934.5</v>
      </c>
      <c r="K262" s="100">
        <v>21.824999999999999</v>
      </c>
      <c r="L262" s="100">
        <v>9.1174999999999997</v>
      </c>
      <c r="M262" s="100">
        <v>0.99750000000000005</v>
      </c>
      <c r="N262" s="100">
        <v>13.975</v>
      </c>
      <c r="O262" s="98" t="s">
        <v>48</v>
      </c>
      <c r="P262" s="98">
        <v>4</v>
      </c>
      <c r="Q262" s="98">
        <v>10</v>
      </c>
      <c r="R262" s="98" t="s">
        <v>64</v>
      </c>
      <c r="S262" s="98" t="s">
        <v>50</v>
      </c>
      <c r="T262" s="98" t="s">
        <v>50</v>
      </c>
      <c r="U262" s="98" t="s">
        <v>50</v>
      </c>
      <c r="V262" s="98" t="s">
        <v>50</v>
      </c>
      <c r="W262" s="98" t="s">
        <v>50</v>
      </c>
      <c r="X262" s="98" t="s">
        <v>50</v>
      </c>
    </row>
    <row r="263" spans="1:25" x14ac:dyDescent="0.25">
      <c r="A263" s="194">
        <v>44055</v>
      </c>
      <c r="B263" s="98" t="s">
        <v>87</v>
      </c>
      <c r="C263" s="97" t="s">
        <v>106</v>
      </c>
      <c r="D263" s="98">
        <v>38.524619999999999</v>
      </c>
      <c r="E263" s="98">
        <v>-121.58431</v>
      </c>
      <c r="F263" s="98" t="s">
        <v>1160</v>
      </c>
      <c r="G263" s="98" t="s">
        <v>90</v>
      </c>
      <c r="H263" s="98" t="s">
        <v>158</v>
      </c>
      <c r="I263" s="621">
        <v>0.36180555555555555</v>
      </c>
      <c r="J263" s="100">
        <v>967</v>
      </c>
      <c r="K263" s="100">
        <v>23.875</v>
      </c>
      <c r="L263" s="100">
        <v>17.524999999999999</v>
      </c>
      <c r="M263" s="100">
        <v>0.63</v>
      </c>
      <c r="N263" s="100">
        <v>10.324999999999999</v>
      </c>
      <c r="O263" s="98" t="s">
        <v>48</v>
      </c>
      <c r="P263" s="98">
        <v>4</v>
      </c>
      <c r="Q263" s="98">
        <v>10</v>
      </c>
      <c r="R263" s="98" t="s">
        <v>49</v>
      </c>
      <c r="S263" s="98" t="s">
        <v>50</v>
      </c>
      <c r="T263" s="98" t="s">
        <v>50</v>
      </c>
      <c r="U263" s="98" t="s">
        <v>50</v>
      </c>
      <c r="V263" s="98" t="s">
        <v>50</v>
      </c>
      <c r="W263" s="98" t="s">
        <v>50</v>
      </c>
      <c r="X263" s="98" t="s">
        <v>50</v>
      </c>
      <c r="Y263" s="622" t="s">
        <v>1078</v>
      </c>
    </row>
    <row r="264" spans="1:25" s="592" customFormat="1" x14ac:dyDescent="0.25">
      <c r="A264" s="590">
        <v>44055</v>
      </c>
      <c r="B264" s="592" t="s">
        <v>87</v>
      </c>
      <c r="C264" s="591" t="s">
        <v>106</v>
      </c>
      <c r="D264" s="592">
        <v>38.394399999999997</v>
      </c>
      <c r="E264" s="592">
        <v>-121.62024</v>
      </c>
      <c r="F264" s="592" t="s">
        <v>1161</v>
      </c>
      <c r="G264" s="591" t="s">
        <v>90</v>
      </c>
      <c r="H264" s="591" t="s">
        <v>108</v>
      </c>
      <c r="I264" s="619">
        <v>0.43124999999999997</v>
      </c>
      <c r="J264" s="593">
        <v>486.5</v>
      </c>
      <c r="K264" s="593">
        <v>22.324999999999999</v>
      </c>
      <c r="L264" s="593">
        <v>77.875</v>
      </c>
      <c r="M264" s="593">
        <v>0.19</v>
      </c>
      <c r="N264" s="593">
        <v>10.475</v>
      </c>
      <c r="O264" s="592" t="s">
        <v>48</v>
      </c>
      <c r="P264" s="592">
        <v>4</v>
      </c>
      <c r="Q264" s="592">
        <v>10</v>
      </c>
      <c r="R264" s="592" t="s">
        <v>64</v>
      </c>
      <c r="S264" s="591" t="s">
        <v>323</v>
      </c>
      <c r="T264" s="592">
        <v>1</v>
      </c>
      <c r="U264" s="592">
        <v>39</v>
      </c>
      <c r="V264" s="592" t="s">
        <v>50</v>
      </c>
      <c r="W264" s="592" t="s">
        <v>50</v>
      </c>
      <c r="X264" s="592" t="s">
        <v>50</v>
      </c>
      <c r="Y264" s="455" t="s">
        <v>1162</v>
      </c>
    </row>
    <row r="265" spans="1:25" x14ac:dyDescent="0.25">
      <c r="A265" s="194">
        <v>44055</v>
      </c>
      <c r="B265" s="98" t="s">
        <v>87</v>
      </c>
      <c r="C265" s="97" t="s">
        <v>106</v>
      </c>
      <c r="D265" s="98">
        <v>38.248750000000001</v>
      </c>
      <c r="E265" s="98">
        <v>-121.66956999999999</v>
      </c>
      <c r="F265" s="98" t="s">
        <v>1163</v>
      </c>
      <c r="G265" s="97" t="s">
        <v>90</v>
      </c>
      <c r="H265" s="97" t="s">
        <v>108</v>
      </c>
      <c r="I265" s="621">
        <v>0.50624999999999998</v>
      </c>
      <c r="J265" s="100">
        <v>159.15</v>
      </c>
      <c r="K265" s="100">
        <v>22.65</v>
      </c>
      <c r="L265" s="100">
        <v>11.244999999999999</v>
      </c>
      <c r="M265" s="100">
        <v>1.3</v>
      </c>
      <c r="N265" s="100">
        <v>9.75</v>
      </c>
      <c r="O265" s="98" t="s">
        <v>48</v>
      </c>
      <c r="P265" s="98">
        <v>4</v>
      </c>
      <c r="Q265" s="98">
        <v>10</v>
      </c>
      <c r="R265" s="98" t="s">
        <v>64</v>
      </c>
      <c r="S265" s="98" t="s">
        <v>50</v>
      </c>
      <c r="T265" s="98" t="s">
        <v>50</v>
      </c>
      <c r="U265" s="98" t="s">
        <v>50</v>
      </c>
      <c r="V265" s="98" t="s">
        <v>50</v>
      </c>
      <c r="W265" s="98" t="s">
        <v>50</v>
      </c>
      <c r="X265" s="98" t="s">
        <v>50</v>
      </c>
      <c r="Y265" s="622" t="s">
        <v>1164</v>
      </c>
    </row>
    <row r="266" spans="1:25" x14ac:dyDescent="0.25">
      <c r="A266" s="194">
        <v>44056</v>
      </c>
      <c r="B266" s="98" t="s">
        <v>876</v>
      </c>
      <c r="C266" s="98" t="s">
        <v>95</v>
      </c>
      <c r="D266" s="98">
        <v>38.081589999999998</v>
      </c>
      <c r="E266" s="98">
        <v>-121.68124</v>
      </c>
      <c r="F266" s="98" t="s">
        <v>1165</v>
      </c>
      <c r="G266" s="97" t="s">
        <v>886</v>
      </c>
      <c r="H266" s="97" t="s">
        <v>908</v>
      </c>
      <c r="I266" s="621">
        <v>0.3611111111111111</v>
      </c>
      <c r="J266" s="100">
        <v>372.35</v>
      </c>
      <c r="K266" s="100">
        <v>23.725000000000001</v>
      </c>
      <c r="L266" s="100">
        <v>9.2874999999999996</v>
      </c>
      <c r="M266" s="100">
        <v>1.17</v>
      </c>
      <c r="N266" s="100">
        <v>9.375</v>
      </c>
      <c r="O266" s="98" t="s">
        <v>48</v>
      </c>
      <c r="P266" s="98">
        <v>4</v>
      </c>
      <c r="Q266" s="98">
        <v>10</v>
      </c>
      <c r="R266" s="98" t="s">
        <v>49</v>
      </c>
      <c r="S266" s="98" t="s">
        <v>50</v>
      </c>
      <c r="T266" s="98" t="s">
        <v>50</v>
      </c>
      <c r="U266" s="98" t="s">
        <v>50</v>
      </c>
      <c r="V266" s="98" t="s">
        <v>50</v>
      </c>
      <c r="W266" s="98" t="s">
        <v>50</v>
      </c>
      <c r="X266" s="98" t="s">
        <v>50</v>
      </c>
    </row>
    <row r="267" spans="1:25" x14ac:dyDescent="0.25">
      <c r="A267" s="194">
        <v>44056</v>
      </c>
      <c r="B267" s="98" t="s">
        <v>876</v>
      </c>
      <c r="C267" s="98" t="s">
        <v>95</v>
      </c>
      <c r="D267" s="98">
        <v>38.103679999999997</v>
      </c>
      <c r="E267" s="98">
        <v>-121.62098</v>
      </c>
      <c r="F267" s="98" t="s">
        <v>1166</v>
      </c>
      <c r="G267" s="97" t="s">
        <v>886</v>
      </c>
      <c r="H267" s="97" t="s">
        <v>908</v>
      </c>
      <c r="I267" s="621">
        <v>0.40972222222222227</v>
      </c>
      <c r="J267" s="100">
        <v>207.4</v>
      </c>
      <c r="K267" s="100">
        <v>24.1</v>
      </c>
      <c r="L267" s="100">
        <v>5.6275000000000004</v>
      </c>
      <c r="M267" s="100">
        <v>1.78</v>
      </c>
      <c r="N267" s="100">
        <v>15.15</v>
      </c>
      <c r="O267" s="98" t="s">
        <v>48</v>
      </c>
      <c r="P267" s="98">
        <v>4</v>
      </c>
      <c r="Q267" s="98">
        <v>10</v>
      </c>
      <c r="R267" s="98" t="s">
        <v>64</v>
      </c>
      <c r="S267" s="98" t="s">
        <v>50</v>
      </c>
      <c r="T267" s="98" t="s">
        <v>50</v>
      </c>
      <c r="U267" s="98" t="s">
        <v>50</v>
      </c>
      <c r="V267" s="98" t="s">
        <v>50</v>
      </c>
      <c r="W267" s="98" t="s">
        <v>50</v>
      </c>
      <c r="X267" s="98" t="s">
        <v>50</v>
      </c>
    </row>
    <row r="268" spans="1:25" x14ac:dyDescent="0.25">
      <c r="A268" s="194">
        <v>44056</v>
      </c>
      <c r="B268" s="98" t="s">
        <v>876</v>
      </c>
      <c r="C268" s="98" t="s">
        <v>95</v>
      </c>
      <c r="D268" s="98">
        <v>38.047620000000002</v>
      </c>
      <c r="E268" s="98">
        <v>-121.50434</v>
      </c>
      <c r="F268" s="98" t="s">
        <v>1167</v>
      </c>
      <c r="G268" s="98" t="s">
        <v>886</v>
      </c>
      <c r="H268" s="98" t="s">
        <v>115</v>
      </c>
      <c r="I268" s="621">
        <v>0.46666666666666662</v>
      </c>
      <c r="J268" s="100">
        <v>204.4</v>
      </c>
      <c r="K268" s="100">
        <v>24.925000000000001</v>
      </c>
      <c r="L268" s="100">
        <v>6.2525000000000004</v>
      </c>
      <c r="M268" s="100">
        <v>1.8</v>
      </c>
      <c r="N268" s="100">
        <v>9.4250000000000007</v>
      </c>
      <c r="O268" s="98" t="s">
        <v>48</v>
      </c>
      <c r="P268" s="98">
        <v>4</v>
      </c>
      <c r="Q268" s="98">
        <v>10</v>
      </c>
      <c r="R268" s="98" t="s">
        <v>64</v>
      </c>
      <c r="S268" s="98" t="s">
        <v>50</v>
      </c>
      <c r="T268" s="98" t="s">
        <v>50</v>
      </c>
      <c r="U268" s="98" t="s">
        <v>50</v>
      </c>
      <c r="V268" s="98" t="s">
        <v>50</v>
      </c>
      <c r="W268" s="98" t="s">
        <v>50</v>
      </c>
      <c r="X268" s="98" t="s">
        <v>50</v>
      </c>
    </row>
    <row r="269" spans="1:25" x14ac:dyDescent="0.25">
      <c r="A269" s="194">
        <v>44056</v>
      </c>
      <c r="B269" s="98" t="s">
        <v>876</v>
      </c>
      <c r="C269" s="34" t="s">
        <v>78</v>
      </c>
      <c r="D269" s="98">
        <v>38.0627</v>
      </c>
      <c r="E269" s="98">
        <v>-122.10634</v>
      </c>
      <c r="F269" s="98" t="s">
        <v>1168</v>
      </c>
      <c r="G269" s="34" t="s">
        <v>80</v>
      </c>
      <c r="H269" s="34" t="s">
        <v>81</v>
      </c>
      <c r="I269" s="621">
        <v>0.35833333333333334</v>
      </c>
      <c r="J269" s="100">
        <v>19465.25</v>
      </c>
      <c r="K269" s="100">
        <v>21.05</v>
      </c>
      <c r="L269" s="100">
        <v>11.515000000000001</v>
      </c>
      <c r="M269" s="100">
        <v>0.87749999999999995</v>
      </c>
      <c r="N269" s="100">
        <v>11.45</v>
      </c>
      <c r="O269" s="98" t="s">
        <v>48</v>
      </c>
      <c r="P269" s="98">
        <v>4</v>
      </c>
      <c r="Q269" s="98">
        <v>10</v>
      </c>
      <c r="R269" s="98" t="s">
        <v>64</v>
      </c>
      <c r="S269" s="98" t="s">
        <v>50</v>
      </c>
      <c r="T269" s="98" t="s">
        <v>50</v>
      </c>
      <c r="U269" s="98" t="s">
        <v>50</v>
      </c>
      <c r="V269" s="98" t="s">
        <v>50</v>
      </c>
      <c r="W269" s="98" t="s">
        <v>50</v>
      </c>
      <c r="X269" s="98" t="s">
        <v>50</v>
      </c>
    </row>
    <row r="270" spans="1:25" x14ac:dyDescent="0.25">
      <c r="A270" s="194">
        <v>44056</v>
      </c>
      <c r="B270" s="98" t="s">
        <v>876</v>
      </c>
      <c r="C270" s="34" t="s">
        <v>78</v>
      </c>
      <c r="D270" s="98">
        <v>38.053370000000001</v>
      </c>
      <c r="E270" s="98">
        <v>-122.07696</v>
      </c>
      <c r="F270" s="98" t="s">
        <v>1169</v>
      </c>
      <c r="G270" s="34" t="s">
        <v>80</v>
      </c>
      <c r="H270" s="34" t="s">
        <v>81</v>
      </c>
      <c r="I270" s="621">
        <v>0.41180555555555554</v>
      </c>
      <c r="J270" s="100">
        <v>20518.75</v>
      </c>
      <c r="K270" s="100">
        <v>21.1</v>
      </c>
      <c r="L270" s="100">
        <v>10.914999999999999</v>
      </c>
      <c r="M270" s="100">
        <v>1.03</v>
      </c>
      <c r="N270" s="100">
        <v>10.15</v>
      </c>
      <c r="O270" s="98" t="s">
        <v>48</v>
      </c>
      <c r="P270" s="98">
        <v>4</v>
      </c>
      <c r="Q270" s="98">
        <v>10</v>
      </c>
      <c r="R270" s="98" t="s">
        <v>64</v>
      </c>
      <c r="S270" s="98" t="s">
        <v>50</v>
      </c>
      <c r="T270" s="98" t="s">
        <v>50</v>
      </c>
      <c r="U270" s="98" t="s">
        <v>50</v>
      </c>
      <c r="V270" s="98" t="s">
        <v>50</v>
      </c>
      <c r="W270" s="98" t="s">
        <v>50</v>
      </c>
      <c r="X270" s="98" t="s">
        <v>50</v>
      </c>
    </row>
    <row r="271" spans="1:25" x14ac:dyDescent="0.25">
      <c r="A271" s="194">
        <v>44056</v>
      </c>
      <c r="B271" s="98" t="s">
        <v>876</v>
      </c>
      <c r="C271" s="34" t="s">
        <v>78</v>
      </c>
      <c r="D271" s="98">
        <v>38.072040000000001</v>
      </c>
      <c r="E271" s="98">
        <v>-121.95374</v>
      </c>
      <c r="F271" s="98" t="s">
        <v>1170</v>
      </c>
      <c r="G271" s="194" t="s">
        <v>27</v>
      </c>
      <c r="H271" s="34" t="s">
        <v>170</v>
      </c>
      <c r="I271" s="621">
        <v>0.47291666666666665</v>
      </c>
      <c r="J271" s="100">
        <v>12866</v>
      </c>
      <c r="K271" s="100">
        <v>21.25</v>
      </c>
      <c r="L271" s="100">
        <v>11.9175</v>
      </c>
      <c r="M271" s="100">
        <v>0.88</v>
      </c>
      <c r="N271" s="100">
        <v>3.3</v>
      </c>
      <c r="O271" s="98" t="s">
        <v>48</v>
      </c>
      <c r="P271" s="98">
        <v>4</v>
      </c>
      <c r="Q271" s="98">
        <v>10</v>
      </c>
      <c r="R271" s="98" t="s">
        <v>64</v>
      </c>
      <c r="S271" s="98" t="s">
        <v>50</v>
      </c>
      <c r="T271" s="98" t="s">
        <v>50</v>
      </c>
      <c r="U271" s="98" t="s">
        <v>50</v>
      </c>
      <c r="V271" s="98" t="s">
        <v>50</v>
      </c>
      <c r="W271" s="98" t="s">
        <v>50</v>
      </c>
      <c r="X271" s="98" t="s">
        <v>50</v>
      </c>
    </row>
    <row r="272" spans="1:25" x14ac:dyDescent="0.25">
      <c r="A272" s="194">
        <v>44056</v>
      </c>
      <c r="B272" s="98" t="s">
        <v>876</v>
      </c>
      <c r="C272" s="97" t="s">
        <v>106</v>
      </c>
      <c r="D272" s="98">
        <v>38.337490000000003</v>
      </c>
      <c r="E272" s="98">
        <v>-121.64624999999999</v>
      </c>
      <c r="F272" s="98" t="s">
        <v>1171</v>
      </c>
      <c r="G272" s="97" t="s">
        <v>90</v>
      </c>
      <c r="H272" s="97" t="s">
        <v>108</v>
      </c>
      <c r="I272" s="621">
        <v>0.34583333333333338</v>
      </c>
      <c r="J272" s="100">
        <v>391.32499999999999</v>
      </c>
      <c r="K272" s="100">
        <v>22.4</v>
      </c>
      <c r="L272" s="100">
        <v>58.075000000000003</v>
      </c>
      <c r="M272" s="100">
        <v>0.24249999999999999</v>
      </c>
      <c r="N272" s="100">
        <v>9.6999999999999993</v>
      </c>
      <c r="O272" s="98" t="s">
        <v>48</v>
      </c>
      <c r="P272" s="98">
        <v>4</v>
      </c>
      <c r="Q272" s="98">
        <v>10</v>
      </c>
      <c r="R272" s="98" t="s">
        <v>49</v>
      </c>
      <c r="S272" s="98" t="s">
        <v>50</v>
      </c>
      <c r="T272" s="98" t="s">
        <v>50</v>
      </c>
      <c r="U272" s="98" t="s">
        <v>50</v>
      </c>
      <c r="V272" s="98" t="s">
        <v>50</v>
      </c>
      <c r="W272" s="98" t="s">
        <v>50</v>
      </c>
      <c r="X272" s="98" t="s">
        <v>50</v>
      </c>
      <c r="Y272" s="622" t="s">
        <v>1172</v>
      </c>
    </row>
    <row r="273" spans="1:25" s="592" customFormat="1" x14ac:dyDescent="0.25">
      <c r="A273" s="590">
        <v>44056</v>
      </c>
      <c r="B273" s="592" t="s">
        <v>876</v>
      </c>
      <c r="C273" s="591" t="s">
        <v>106</v>
      </c>
      <c r="D273" s="592">
        <v>38.308219999999999</v>
      </c>
      <c r="E273" s="592">
        <v>-121.65358999999999</v>
      </c>
      <c r="F273" s="592" t="s">
        <v>1173</v>
      </c>
      <c r="G273" s="591" t="s">
        <v>90</v>
      </c>
      <c r="H273" s="591" t="s">
        <v>108</v>
      </c>
      <c r="I273" s="619">
        <v>0.43124999999999997</v>
      </c>
      <c r="J273" s="593">
        <v>308.75</v>
      </c>
      <c r="K273" s="593">
        <v>22.75</v>
      </c>
      <c r="L273" s="593">
        <v>39.85</v>
      </c>
      <c r="M273" s="593">
        <v>0.29499999999999998</v>
      </c>
      <c r="N273" s="593">
        <v>10.75</v>
      </c>
      <c r="O273" s="592" t="s">
        <v>48</v>
      </c>
      <c r="P273" s="592">
        <v>4</v>
      </c>
      <c r="Q273" s="592">
        <v>10</v>
      </c>
      <c r="R273" s="592" t="s">
        <v>49</v>
      </c>
      <c r="S273" s="591" t="s">
        <v>323</v>
      </c>
      <c r="T273" s="592">
        <v>1</v>
      </c>
      <c r="U273" s="592">
        <v>56</v>
      </c>
      <c r="V273" s="592" t="s">
        <v>66</v>
      </c>
      <c r="W273" s="592" t="s">
        <v>50</v>
      </c>
      <c r="X273" s="592" t="s">
        <v>50</v>
      </c>
      <c r="Y273" s="669" t="s">
        <v>1174</v>
      </c>
    </row>
    <row r="274" spans="1:25" s="362" customFormat="1" x14ac:dyDescent="0.25">
      <c r="A274" s="360">
        <v>44056</v>
      </c>
      <c r="B274" s="362" t="s">
        <v>876</v>
      </c>
      <c r="C274" s="361" t="s">
        <v>106</v>
      </c>
      <c r="D274" s="362">
        <v>38.21378</v>
      </c>
      <c r="E274" s="362">
        <v>-121.66821</v>
      </c>
      <c r="F274" s="362" t="s">
        <v>1175</v>
      </c>
      <c r="G274" s="361" t="s">
        <v>90</v>
      </c>
      <c r="H274" s="361" t="s">
        <v>108</v>
      </c>
      <c r="I274" s="618">
        <v>0.4368055555555555</v>
      </c>
      <c r="J274" s="364">
        <v>162.1</v>
      </c>
      <c r="K274" s="364">
        <v>22.65</v>
      </c>
      <c r="L274" s="364">
        <v>8.0625</v>
      </c>
      <c r="M274" s="364">
        <v>1.7749999999999999</v>
      </c>
      <c r="N274" s="364">
        <v>13.1</v>
      </c>
      <c r="O274" s="362" t="s">
        <v>48</v>
      </c>
      <c r="P274" s="362">
        <v>4</v>
      </c>
      <c r="Q274" s="362">
        <v>10</v>
      </c>
      <c r="R274" s="362" t="s">
        <v>64</v>
      </c>
      <c r="S274" s="362" t="s">
        <v>50</v>
      </c>
      <c r="T274" s="362" t="s">
        <v>50</v>
      </c>
      <c r="U274" s="362" t="s">
        <v>50</v>
      </c>
      <c r="V274" s="362" t="s">
        <v>50</v>
      </c>
      <c r="W274" s="362" t="s">
        <v>50</v>
      </c>
      <c r="X274" s="362" t="s">
        <v>50</v>
      </c>
      <c r="Y274" s="603"/>
    </row>
    <row r="275" spans="1:25" x14ac:dyDescent="0.25">
      <c r="A275" s="194">
        <v>44060</v>
      </c>
      <c r="B275" s="98" t="s">
        <v>43</v>
      </c>
      <c r="C275" s="98" t="s">
        <v>95</v>
      </c>
      <c r="D275" s="98">
        <v>38.042310000000001</v>
      </c>
      <c r="E275" s="98">
        <v>-121.49607</v>
      </c>
      <c r="F275" s="98" t="s">
        <v>1176</v>
      </c>
      <c r="G275" s="98" t="s">
        <v>886</v>
      </c>
      <c r="H275" s="98" t="s">
        <v>115</v>
      </c>
      <c r="I275" s="621">
        <v>0.48402777777777778</v>
      </c>
      <c r="J275" s="100">
        <v>205.8</v>
      </c>
      <c r="K275" s="100">
        <v>26.45</v>
      </c>
      <c r="L275" s="100">
        <v>5.5750000000000002</v>
      </c>
      <c r="M275" s="100">
        <v>1.7849999999999999</v>
      </c>
      <c r="N275" s="100">
        <v>9.375</v>
      </c>
      <c r="O275" s="98" t="s">
        <v>48</v>
      </c>
      <c r="P275" s="98">
        <v>4</v>
      </c>
      <c r="Q275" s="98">
        <v>10</v>
      </c>
      <c r="R275" s="98" t="s">
        <v>49</v>
      </c>
      <c r="S275" s="98" t="s">
        <v>50</v>
      </c>
      <c r="T275" s="98" t="s">
        <v>50</v>
      </c>
      <c r="U275" s="98" t="s">
        <v>50</v>
      </c>
      <c r="V275" s="98" t="s">
        <v>50</v>
      </c>
      <c r="W275" s="98" t="s">
        <v>50</v>
      </c>
      <c r="X275" s="98" t="s">
        <v>50</v>
      </c>
      <c r="Y275" s="622" t="s">
        <v>1177</v>
      </c>
    </row>
    <row r="276" spans="1:25" x14ac:dyDescent="0.25">
      <c r="A276" s="194">
        <v>44060</v>
      </c>
      <c r="B276" s="98" t="s">
        <v>43</v>
      </c>
      <c r="C276" s="98" t="s">
        <v>95</v>
      </c>
      <c r="D276" s="98">
        <v>38.077069999999999</v>
      </c>
      <c r="E276" s="98">
        <v>-121.57079</v>
      </c>
      <c r="F276" s="98" t="s">
        <v>1178</v>
      </c>
      <c r="G276" s="98" t="s">
        <v>886</v>
      </c>
      <c r="H276" s="98" t="s">
        <v>908</v>
      </c>
      <c r="I276" s="621">
        <v>0.35625000000000001</v>
      </c>
      <c r="J276" s="100">
        <v>343.6</v>
      </c>
      <c r="K276" s="100">
        <v>25.4</v>
      </c>
      <c r="L276" s="100">
        <v>11.1175</v>
      </c>
      <c r="M276" s="100">
        <v>1.115</v>
      </c>
      <c r="N276" s="100">
        <v>7.0750000000000002</v>
      </c>
      <c r="O276" s="98" t="s">
        <v>48</v>
      </c>
      <c r="P276" s="98">
        <v>4</v>
      </c>
      <c r="Q276" s="98">
        <v>10</v>
      </c>
      <c r="R276" s="98" t="s">
        <v>49</v>
      </c>
      <c r="S276" s="98" t="s">
        <v>50</v>
      </c>
      <c r="T276" s="98" t="s">
        <v>50</v>
      </c>
      <c r="U276" s="98" t="s">
        <v>50</v>
      </c>
      <c r="V276" s="98" t="s">
        <v>50</v>
      </c>
      <c r="W276" s="98" t="s">
        <v>50</v>
      </c>
      <c r="X276" s="98" t="s">
        <v>50</v>
      </c>
      <c r="Y276" s="622" t="s">
        <v>1179</v>
      </c>
    </row>
    <row r="277" spans="1:25" x14ac:dyDescent="0.25">
      <c r="A277" s="194">
        <v>44060</v>
      </c>
      <c r="B277" s="98" t="s">
        <v>43</v>
      </c>
      <c r="C277" s="98" t="s">
        <v>95</v>
      </c>
      <c r="D277" s="98">
        <v>38.072310000000002</v>
      </c>
      <c r="E277" s="98">
        <v>-121.56735</v>
      </c>
      <c r="F277" s="98" t="s">
        <v>1180</v>
      </c>
      <c r="G277" s="98" t="s">
        <v>886</v>
      </c>
      <c r="H277" s="98" t="s">
        <v>115</v>
      </c>
      <c r="I277" s="621">
        <v>0.4152777777777778</v>
      </c>
      <c r="J277" s="100">
        <v>266</v>
      </c>
      <c r="K277" s="100">
        <v>25.6</v>
      </c>
      <c r="L277" s="100">
        <v>7.4249999999999998</v>
      </c>
      <c r="M277" s="100">
        <v>1.39</v>
      </c>
      <c r="N277" s="100">
        <v>5.4749999999999996</v>
      </c>
      <c r="O277" s="98" t="s">
        <v>48</v>
      </c>
      <c r="P277" s="98">
        <v>4</v>
      </c>
      <c r="Q277" s="98">
        <v>10</v>
      </c>
      <c r="R277" s="98" t="s">
        <v>49</v>
      </c>
      <c r="S277" s="98" t="s">
        <v>50</v>
      </c>
      <c r="T277" s="98" t="s">
        <v>50</v>
      </c>
      <c r="U277" s="98" t="s">
        <v>50</v>
      </c>
      <c r="V277" s="98" t="s">
        <v>50</v>
      </c>
      <c r="W277" s="98" t="s">
        <v>50</v>
      </c>
      <c r="X277" s="98" t="s">
        <v>50</v>
      </c>
      <c r="Y277" s="622" t="s">
        <v>1181</v>
      </c>
    </row>
    <row r="278" spans="1:25" x14ac:dyDescent="0.25">
      <c r="A278" s="194">
        <v>44060</v>
      </c>
      <c r="B278" s="98" t="s">
        <v>43</v>
      </c>
      <c r="C278" s="98" t="s">
        <v>126</v>
      </c>
      <c r="D278" s="98">
        <v>38.320390000000003</v>
      </c>
      <c r="E278" s="98">
        <v>-121.69282</v>
      </c>
      <c r="F278" s="98" t="s">
        <v>1182</v>
      </c>
      <c r="G278" s="98" t="s">
        <v>90</v>
      </c>
      <c r="H278" s="98" t="s">
        <v>845</v>
      </c>
      <c r="I278" s="621">
        <v>0.3354166666666667</v>
      </c>
      <c r="J278" s="100">
        <v>234.65</v>
      </c>
      <c r="K278" s="100">
        <v>24.9</v>
      </c>
      <c r="L278" s="100">
        <v>8.2750000000000004</v>
      </c>
      <c r="M278" s="100">
        <v>1.1975</v>
      </c>
      <c r="N278" s="100">
        <v>5.25</v>
      </c>
      <c r="O278" s="98" t="s">
        <v>48</v>
      </c>
      <c r="P278" s="98">
        <v>4</v>
      </c>
      <c r="Q278" s="98">
        <v>10</v>
      </c>
      <c r="R278" s="98" t="s">
        <v>49</v>
      </c>
      <c r="S278" s="98" t="s">
        <v>50</v>
      </c>
      <c r="T278" s="98" t="s">
        <v>50</v>
      </c>
      <c r="U278" s="98" t="s">
        <v>50</v>
      </c>
      <c r="V278" s="98" t="s">
        <v>50</v>
      </c>
      <c r="W278" s="98" t="s">
        <v>50</v>
      </c>
      <c r="X278" s="98" t="s">
        <v>50</v>
      </c>
    </row>
    <row r="279" spans="1:25" s="154" customFormat="1" x14ac:dyDescent="0.25">
      <c r="A279" s="195">
        <v>44060</v>
      </c>
      <c r="B279" s="154" t="s">
        <v>43</v>
      </c>
      <c r="C279" s="154" t="s">
        <v>126</v>
      </c>
      <c r="D279" s="154">
        <v>38.27319</v>
      </c>
      <c r="E279" s="154">
        <v>-121.70538000000001</v>
      </c>
      <c r="F279" s="154" t="s">
        <v>1183</v>
      </c>
      <c r="G279" s="154" t="s">
        <v>90</v>
      </c>
      <c r="H279" s="154" t="s">
        <v>845</v>
      </c>
      <c r="I279" s="636">
        <v>0.38680555555555557</v>
      </c>
      <c r="J279" s="156" t="s">
        <v>50</v>
      </c>
      <c r="K279" s="156" t="s">
        <v>50</v>
      </c>
      <c r="L279" s="156" t="s">
        <v>50</v>
      </c>
      <c r="M279" s="156" t="s">
        <v>50</v>
      </c>
      <c r="N279" s="156" t="s">
        <v>50</v>
      </c>
      <c r="O279" s="154" t="s">
        <v>48</v>
      </c>
      <c r="P279" s="154">
        <v>0</v>
      </c>
      <c r="Q279" s="154" t="s">
        <v>50</v>
      </c>
      <c r="R279" s="154" t="s">
        <v>50</v>
      </c>
      <c r="S279" s="154" t="s">
        <v>50</v>
      </c>
      <c r="T279" s="154" t="s">
        <v>50</v>
      </c>
      <c r="U279" s="154" t="s">
        <v>50</v>
      </c>
      <c r="V279" s="154" t="s">
        <v>50</v>
      </c>
      <c r="W279" s="154" t="s">
        <v>50</v>
      </c>
      <c r="X279" s="154" t="s">
        <v>50</v>
      </c>
      <c r="Y279" s="627" t="s">
        <v>784</v>
      </c>
    </row>
    <row r="280" spans="1:25" x14ac:dyDescent="0.25">
      <c r="A280" s="194">
        <v>44060</v>
      </c>
      <c r="B280" s="98" t="s">
        <v>43</v>
      </c>
      <c r="C280" s="98" t="s">
        <v>126</v>
      </c>
      <c r="D280" s="98">
        <v>38.254530000000003</v>
      </c>
      <c r="E280" s="98">
        <v>-121.6883</v>
      </c>
      <c r="F280" s="98" t="s">
        <v>1184</v>
      </c>
      <c r="G280" s="98" t="s">
        <v>90</v>
      </c>
      <c r="H280" s="98" t="s">
        <v>845</v>
      </c>
      <c r="I280" s="621">
        <v>0.39374999999999999</v>
      </c>
      <c r="J280" s="100">
        <v>170.7</v>
      </c>
      <c r="K280" s="100">
        <v>24.9</v>
      </c>
      <c r="L280" s="100">
        <v>5.6974999999999998</v>
      </c>
      <c r="M280" s="100">
        <v>1.8</v>
      </c>
      <c r="N280" s="100">
        <v>7.0750000000000002</v>
      </c>
      <c r="O280" s="98" t="s">
        <v>48</v>
      </c>
      <c r="P280" s="98">
        <v>4</v>
      </c>
      <c r="Q280" s="98">
        <v>10</v>
      </c>
      <c r="R280" s="98" t="s">
        <v>49</v>
      </c>
      <c r="S280" s="98" t="s">
        <v>50</v>
      </c>
      <c r="T280" s="98" t="s">
        <v>50</v>
      </c>
      <c r="U280" s="98" t="s">
        <v>50</v>
      </c>
      <c r="V280" s="98" t="s">
        <v>50</v>
      </c>
      <c r="W280" s="98" t="s">
        <v>50</v>
      </c>
      <c r="X280" s="98" t="s">
        <v>50</v>
      </c>
      <c r="Y280" s="622" t="s">
        <v>1185</v>
      </c>
    </row>
    <row r="281" spans="1:25" x14ac:dyDescent="0.25">
      <c r="A281" s="194">
        <v>44060</v>
      </c>
      <c r="B281" s="98" t="s">
        <v>43</v>
      </c>
      <c r="C281" s="98" t="s">
        <v>126</v>
      </c>
      <c r="D281" s="98">
        <v>38.242550000000001</v>
      </c>
      <c r="E281" s="98">
        <v>-121.67957</v>
      </c>
      <c r="F281" s="98" t="s">
        <v>1186</v>
      </c>
      <c r="G281" s="98" t="s">
        <v>90</v>
      </c>
      <c r="H281" s="98" t="s">
        <v>845</v>
      </c>
      <c r="I281" s="621">
        <v>0.44375000000000003</v>
      </c>
      <c r="J281" s="100">
        <v>176.02500000000003</v>
      </c>
      <c r="K281" s="100">
        <v>25.524999999999999</v>
      </c>
      <c r="L281" s="100">
        <v>10.352500000000001</v>
      </c>
      <c r="M281" s="100">
        <v>1.5024999999999999</v>
      </c>
      <c r="N281" s="100">
        <v>8</v>
      </c>
      <c r="O281" s="98" t="s">
        <v>48</v>
      </c>
      <c r="P281" s="98">
        <v>4</v>
      </c>
      <c r="Q281" s="98">
        <v>10</v>
      </c>
      <c r="R281" s="98" t="s">
        <v>49</v>
      </c>
      <c r="S281" s="98" t="s">
        <v>50</v>
      </c>
      <c r="T281" s="98" t="s">
        <v>50</v>
      </c>
      <c r="U281" s="98" t="s">
        <v>50</v>
      </c>
      <c r="V281" s="98" t="s">
        <v>50</v>
      </c>
      <c r="W281" s="98" t="s">
        <v>50</v>
      </c>
      <c r="X281" s="98" t="s">
        <v>50</v>
      </c>
      <c r="Y281" s="622" t="s">
        <v>1187</v>
      </c>
    </row>
    <row r="282" spans="1:25" x14ac:dyDescent="0.25">
      <c r="A282" s="194">
        <v>44060</v>
      </c>
      <c r="B282" s="98" t="s">
        <v>43</v>
      </c>
      <c r="C282" s="34" t="s">
        <v>78</v>
      </c>
      <c r="D282" s="98">
        <v>38.063809999999997</v>
      </c>
      <c r="E282" s="98">
        <v>-122.0318</v>
      </c>
      <c r="F282" s="98" t="s">
        <v>1188</v>
      </c>
      <c r="G282" s="194" t="s">
        <v>27</v>
      </c>
      <c r="H282" s="34" t="s">
        <v>86</v>
      </c>
      <c r="I282" s="621">
        <v>0.37291666666666662</v>
      </c>
      <c r="J282" s="100">
        <v>15455.5</v>
      </c>
      <c r="K282" s="100">
        <v>22.9</v>
      </c>
      <c r="L282" s="100">
        <v>17.175000000000001</v>
      </c>
      <c r="M282" s="100">
        <v>0.7975000000000001</v>
      </c>
      <c r="N282" s="100">
        <v>12.649999999999999</v>
      </c>
      <c r="O282" s="98" t="s">
        <v>48</v>
      </c>
      <c r="P282" s="98">
        <v>4</v>
      </c>
      <c r="Q282" s="98">
        <v>10</v>
      </c>
      <c r="R282" s="98" t="s">
        <v>49</v>
      </c>
      <c r="S282" s="98" t="s">
        <v>50</v>
      </c>
      <c r="T282" s="98" t="s">
        <v>50</v>
      </c>
      <c r="U282" s="98" t="s">
        <v>50</v>
      </c>
      <c r="V282" s="98" t="s">
        <v>50</v>
      </c>
      <c r="W282" s="98" t="s">
        <v>50</v>
      </c>
      <c r="X282" s="98" t="s">
        <v>50</v>
      </c>
    </row>
    <row r="283" spans="1:25" x14ac:dyDescent="0.25">
      <c r="A283" s="194">
        <v>44060</v>
      </c>
      <c r="B283" s="98" t="s">
        <v>43</v>
      </c>
      <c r="C283" s="34" t="s">
        <v>78</v>
      </c>
      <c r="D283" s="98">
        <v>38.071379999999998</v>
      </c>
      <c r="E283" s="98">
        <v>-121.97956000000001</v>
      </c>
      <c r="F283" s="98" t="s">
        <v>1189</v>
      </c>
      <c r="G283" s="194" t="s">
        <v>27</v>
      </c>
      <c r="H283" s="34" t="s">
        <v>86</v>
      </c>
      <c r="I283" s="621">
        <v>0.42291666666666666</v>
      </c>
      <c r="J283" s="100">
        <v>11776.25</v>
      </c>
      <c r="K283" s="100">
        <v>23.024999999999999</v>
      </c>
      <c r="L283" s="100">
        <v>15.525</v>
      </c>
      <c r="M283" s="100">
        <v>0.93</v>
      </c>
      <c r="N283" s="100">
        <v>6.5500000000000007</v>
      </c>
      <c r="O283" s="98" t="s">
        <v>48</v>
      </c>
      <c r="P283" s="98">
        <v>4</v>
      </c>
      <c r="Q283" s="98">
        <v>10</v>
      </c>
      <c r="R283" s="98" t="s">
        <v>49</v>
      </c>
      <c r="S283" s="98" t="s">
        <v>50</v>
      </c>
      <c r="T283" s="98" t="s">
        <v>50</v>
      </c>
      <c r="U283" s="98" t="s">
        <v>50</v>
      </c>
      <c r="V283" s="98" t="s">
        <v>50</v>
      </c>
      <c r="W283" s="98" t="s">
        <v>50</v>
      </c>
      <c r="X283" s="98" t="s">
        <v>50</v>
      </c>
    </row>
    <row r="284" spans="1:25" s="154" customFormat="1" x14ac:dyDescent="0.25">
      <c r="A284" s="195">
        <v>44060</v>
      </c>
      <c r="B284" s="154" t="s">
        <v>43</v>
      </c>
      <c r="C284" s="157" t="s">
        <v>78</v>
      </c>
      <c r="D284" s="154">
        <v>38.0852</v>
      </c>
      <c r="E284" s="154">
        <v>-122.03943</v>
      </c>
      <c r="F284" s="154" t="s">
        <v>1190</v>
      </c>
      <c r="G284" s="195" t="s">
        <v>27</v>
      </c>
      <c r="H284" s="157" t="s">
        <v>86</v>
      </c>
      <c r="I284" s="636">
        <v>0.36527777777777781</v>
      </c>
      <c r="J284" s="156" t="s">
        <v>50</v>
      </c>
      <c r="K284" s="156" t="s">
        <v>50</v>
      </c>
      <c r="L284" s="156" t="s">
        <v>50</v>
      </c>
      <c r="M284" s="156" t="s">
        <v>50</v>
      </c>
      <c r="N284" s="156" t="s">
        <v>50</v>
      </c>
      <c r="O284" s="154" t="s">
        <v>48</v>
      </c>
      <c r="P284" s="154">
        <v>0</v>
      </c>
      <c r="Q284" s="154" t="s">
        <v>50</v>
      </c>
      <c r="R284" s="154" t="s">
        <v>50</v>
      </c>
      <c r="S284" s="154" t="s">
        <v>50</v>
      </c>
      <c r="T284" s="154" t="s">
        <v>50</v>
      </c>
      <c r="U284" s="154" t="s">
        <v>50</v>
      </c>
      <c r="V284" s="154" t="s">
        <v>50</v>
      </c>
      <c r="W284" s="154" t="s">
        <v>50</v>
      </c>
      <c r="X284" s="154" t="s">
        <v>50</v>
      </c>
      <c r="Y284" s="627" t="s">
        <v>734</v>
      </c>
    </row>
    <row r="285" spans="1:25" x14ac:dyDescent="0.25">
      <c r="A285" s="194">
        <v>44060</v>
      </c>
      <c r="B285" s="98" t="s">
        <v>43</v>
      </c>
      <c r="C285" s="34" t="s">
        <v>78</v>
      </c>
      <c r="D285" s="98">
        <v>38.046419999999998</v>
      </c>
      <c r="E285" s="98">
        <v>-122.92134</v>
      </c>
      <c r="F285" s="98" t="s">
        <v>1191</v>
      </c>
      <c r="G285" s="97" t="s">
        <v>27</v>
      </c>
      <c r="H285" s="97" t="s">
        <v>101</v>
      </c>
      <c r="I285" s="621">
        <v>0.47430555555555554</v>
      </c>
      <c r="J285" s="100">
        <v>6598.75</v>
      </c>
      <c r="K285" s="100">
        <v>23.5</v>
      </c>
      <c r="L285" s="100">
        <v>9.942499999999999</v>
      </c>
      <c r="M285" s="100">
        <v>1.4050000000000002</v>
      </c>
      <c r="N285" s="100">
        <v>16.225000000000001</v>
      </c>
      <c r="O285" s="98" t="s">
        <v>48</v>
      </c>
      <c r="P285" s="98">
        <v>4</v>
      </c>
      <c r="Q285" s="98">
        <v>10</v>
      </c>
      <c r="R285" s="98" t="s">
        <v>64</v>
      </c>
      <c r="S285" s="98" t="s">
        <v>50</v>
      </c>
      <c r="T285" s="98" t="s">
        <v>50</v>
      </c>
      <c r="U285" s="98" t="s">
        <v>50</v>
      </c>
      <c r="V285" s="98" t="s">
        <v>50</v>
      </c>
      <c r="W285" s="98" t="s">
        <v>50</v>
      </c>
      <c r="X285" s="98" t="s">
        <v>50</v>
      </c>
    </row>
    <row r="286" spans="1:25" x14ac:dyDescent="0.25">
      <c r="A286" s="194">
        <v>44061</v>
      </c>
      <c r="B286" s="98" t="s">
        <v>849</v>
      </c>
      <c r="C286" s="98" t="s">
        <v>95</v>
      </c>
      <c r="D286" s="98">
        <v>38.090269999999997</v>
      </c>
      <c r="E286" s="98">
        <v>-121.65282999999999</v>
      </c>
      <c r="F286" s="98" t="s">
        <v>1192</v>
      </c>
      <c r="G286" s="97" t="s">
        <v>886</v>
      </c>
      <c r="H286" s="97" t="s">
        <v>908</v>
      </c>
      <c r="I286" s="621">
        <v>0.3</v>
      </c>
      <c r="J286" s="100">
        <v>809</v>
      </c>
      <c r="K286" s="100">
        <v>25</v>
      </c>
      <c r="L286" s="100">
        <v>6.8224999999999998</v>
      </c>
      <c r="M286" s="100">
        <v>1.5475000000000001</v>
      </c>
      <c r="N286" s="100">
        <v>14.175000000000001</v>
      </c>
      <c r="O286" s="98" t="s">
        <v>48</v>
      </c>
      <c r="P286" s="98">
        <v>4</v>
      </c>
      <c r="Q286" s="98">
        <v>10</v>
      </c>
      <c r="R286" s="98" t="s">
        <v>49</v>
      </c>
      <c r="S286" s="98" t="s">
        <v>50</v>
      </c>
      <c r="T286" s="98" t="s">
        <v>50</v>
      </c>
      <c r="U286" s="98" t="s">
        <v>50</v>
      </c>
      <c r="V286" s="98" t="s">
        <v>50</v>
      </c>
      <c r="W286" s="98" t="s">
        <v>50</v>
      </c>
      <c r="X286" s="98" t="s">
        <v>50</v>
      </c>
    </row>
    <row r="287" spans="1:25" x14ac:dyDescent="0.25">
      <c r="A287" s="194">
        <v>44061</v>
      </c>
      <c r="B287" s="98" t="s">
        <v>849</v>
      </c>
      <c r="C287" s="98" t="s">
        <v>95</v>
      </c>
      <c r="D287" s="98">
        <v>38.099409999999999</v>
      </c>
      <c r="E287" s="98">
        <v>-121.62439000000001</v>
      </c>
      <c r="F287" s="98" t="s">
        <v>1193</v>
      </c>
      <c r="G287" s="97" t="s">
        <v>886</v>
      </c>
      <c r="H287" s="97" t="s">
        <v>908</v>
      </c>
      <c r="I287" s="621">
        <v>0.35347222222222219</v>
      </c>
      <c r="J287" s="100">
        <v>434</v>
      </c>
      <c r="K287" s="100">
        <v>25.25</v>
      </c>
      <c r="L287" s="100">
        <v>12.225</v>
      </c>
      <c r="M287" s="100">
        <v>1.1199999999999999</v>
      </c>
      <c r="N287" s="100">
        <v>9.6750000000000007</v>
      </c>
      <c r="O287" s="98" t="s">
        <v>48</v>
      </c>
      <c r="P287" s="98">
        <v>4</v>
      </c>
      <c r="Q287" s="98">
        <v>10</v>
      </c>
      <c r="R287" s="98" t="s">
        <v>49</v>
      </c>
      <c r="S287" s="98" t="s">
        <v>50</v>
      </c>
      <c r="T287" s="98" t="s">
        <v>50</v>
      </c>
      <c r="U287" s="98" t="s">
        <v>50</v>
      </c>
      <c r="V287" s="98" t="s">
        <v>50</v>
      </c>
      <c r="W287" s="98" t="s">
        <v>50</v>
      </c>
      <c r="X287" s="98" t="s">
        <v>50</v>
      </c>
      <c r="Y287" s="622" t="s">
        <v>1181</v>
      </c>
    </row>
    <row r="288" spans="1:25" x14ac:dyDescent="0.25">
      <c r="A288" s="194">
        <v>44061</v>
      </c>
      <c r="B288" s="98" t="s">
        <v>849</v>
      </c>
      <c r="C288" s="98" t="s">
        <v>95</v>
      </c>
      <c r="D288" s="98">
        <v>38.017040000000001</v>
      </c>
      <c r="E288" s="98">
        <v>-122.77355</v>
      </c>
      <c r="F288" s="98" t="s">
        <v>1194</v>
      </c>
      <c r="G288" s="97" t="s">
        <v>27</v>
      </c>
      <c r="H288" s="97" t="s">
        <v>863</v>
      </c>
      <c r="I288" s="621">
        <v>0.4513888888888889</v>
      </c>
      <c r="J288" s="100">
        <v>1573</v>
      </c>
      <c r="K288" s="100">
        <v>24.959999999999997</v>
      </c>
      <c r="L288" s="100">
        <v>8.01</v>
      </c>
      <c r="M288" s="100">
        <v>1.6079999999999999</v>
      </c>
      <c r="N288" s="100">
        <v>9.52</v>
      </c>
      <c r="O288" s="98" t="s">
        <v>48</v>
      </c>
      <c r="P288" s="98">
        <v>5</v>
      </c>
      <c r="Q288" s="98">
        <v>10</v>
      </c>
      <c r="R288" s="98" t="s">
        <v>49</v>
      </c>
      <c r="S288" s="98" t="s">
        <v>50</v>
      </c>
      <c r="T288" s="98" t="s">
        <v>50</v>
      </c>
      <c r="U288" s="98" t="s">
        <v>50</v>
      </c>
      <c r="V288" s="98" t="s">
        <v>50</v>
      </c>
      <c r="W288" s="98" t="s">
        <v>50</v>
      </c>
      <c r="X288" s="98" t="s">
        <v>50</v>
      </c>
      <c r="Y288" s="622" t="s">
        <v>1195</v>
      </c>
    </row>
    <row r="289" spans="1:25" x14ac:dyDescent="0.25">
      <c r="A289" s="194">
        <v>44061</v>
      </c>
      <c r="B289" s="98" t="s">
        <v>849</v>
      </c>
      <c r="C289" s="98" t="s">
        <v>126</v>
      </c>
      <c r="D289" s="98">
        <v>38.232210000000002</v>
      </c>
      <c r="E289" s="98">
        <v>-121.67617</v>
      </c>
      <c r="F289" s="98" t="s">
        <v>1196</v>
      </c>
      <c r="G289" s="98" t="s">
        <v>90</v>
      </c>
      <c r="H289" s="98" t="s">
        <v>845</v>
      </c>
      <c r="I289" s="621">
        <v>0.32083333333333336</v>
      </c>
      <c r="J289" s="100">
        <v>168.1</v>
      </c>
      <c r="K289" s="100">
        <v>25.225000000000001</v>
      </c>
      <c r="L289" s="100">
        <v>7.5749999999999993</v>
      </c>
      <c r="M289" s="100">
        <v>1.7575000000000001</v>
      </c>
      <c r="N289" s="100">
        <v>15.825000000000001</v>
      </c>
      <c r="O289" s="98" t="s">
        <v>48</v>
      </c>
      <c r="P289" s="98">
        <v>4</v>
      </c>
      <c r="Q289" s="98">
        <v>10</v>
      </c>
      <c r="R289" s="98" t="s">
        <v>49</v>
      </c>
      <c r="S289" s="98" t="s">
        <v>50</v>
      </c>
      <c r="T289" s="98" t="s">
        <v>50</v>
      </c>
      <c r="U289" s="98" t="s">
        <v>50</v>
      </c>
      <c r="V289" s="98" t="s">
        <v>50</v>
      </c>
      <c r="W289" s="98" t="s">
        <v>50</v>
      </c>
      <c r="X289" s="98" t="s">
        <v>50</v>
      </c>
      <c r="Y289" s="622" t="s">
        <v>1187</v>
      </c>
    </row>
    <row r="290" spans="1:25" x14ac:dyDescent="0.25">
      <c r="A290" s="194">
        <v>44061</v>
      </c>
      <c r="B290" s="98" t="s">
        <v>849</v>
      </c>
      <c r="C290" s="98" t="s">
        <v>126</v>
      </c>
      <c r="D290" s="98">
        <v>38.303939999999997</v>
      </c>
      <c r="E290" s="98">
        <v>-121.66714</v>
      </c>
      <c r="F290" s="98" t="s">
        <v>1197</v>
      </c>
      <c r="G290" s="98" t="s">
        <v>90</v>
      </c>
      <c r="H290" s="98" t="s">
        <v>845</v>
      </c>
      <c r="I290" s="621">
        <v>0.3743055555555555</v>
      </c>
      <c r="J290" s="100">
        <v>186.1</v>
      </c>
      <c r="K290" s="100">
        <v>25.774999999999999</v>
      </c>
      <c r="L290" s="100">
        <v>7.76</v>
      </c>
      <c r="M290" s="100">
        <v>1.595</v>
      </c>
      <c r="N290" s="100">
        <v>5.55</v>
      </c>
      <c r="O290" s="98" t="s">
        <v>48</v>
      </c>
      <c r="P290" s="98">
        <v>4</v>
      </c>
      <c r="Q290" s="98">
        <v>10</v>
      </c>
      <c r="R290" s="98" t="s">
        <v>49</v>
      </c>
      <c r="S290" s="98" t="s">
        <v>50</v>
      </c>
      <c r="T290" s="98" t="s">
        <v>50</v>
      </c>
      <c r="U290" s="98" t="s">
        <v>50</v>
      </c>
      <c r="V290" s="98" t="s">
        <v>50</v>
      </c>
      <c r="W290" s="98" t="s">
        <v>50</v>
      </c>
      <c r="X290" s="98" t="s">
        <v>50</v>
      </c>
    </row>
    <row r="291" spans="1:25" x14ac:dyDescent="0.25">
      <c r="A291" s="194">
        <v>44061</v>
      </c>
      <c r="B291" s="98" t="s">
        <v>849</v>
      </c>
      <c r="C291" s="98" t="s">
        <v>126</v>
      </c>
      <c r="D291" s="98">
        <v>38.292110000000001</v>
      </c>
      <c r="E291" s="98">
        <v>-121.69267000000001</v>
      </c>
      <c r="F291" s="98" t="s">
        <v>1198</v>
      </c>
      <c r="G291" s="98" t="s">
        <v>90</v>
      </c>
      <c r="H291" s="98" t="s">
        <v>845</v>
      </c>
      <c r="I291" s="621">
        <v>0.43402777777777773</v>
      </c>
      <c r="J291" s="100">
        <v>210.35</v>
      </c>
      <c r="K291" s="100">
        <v>25.375</v>
      </c>
      <c r="L291" s="100">
        <v>4.6074999999999999</v>
      </c>
      <c r="M291" s="100">
        <v>1.8</v>
      </c>
      <c r="N291" s="100">
        <v>6.3</v>
      </c>
      <c r="O291" s="98" t="s">
        <v>48</v>
      </c>
      <c r="P291" s="98">
        <v>4</v>
      </c>
      <c r="Q291" s="98">
        <v>10</v>
      </c>
      <c r="R291" s="98" t="s">
        <v>49</v>
      </c>
      <c r="S291" s="98" t="s">
        <v>50</v>
      </c>
      <c r="T291" s="98" t="s">
        <v>50</v>
      </c>
      <c r="U291" s="98" t="s">
        <v>50</v>
      </c>
      <c r="V291" s="98" t="s">
        <v>50</v>
      </c>
      <c r="W291" s="98" t="s">
        <v>50</v>
      </c>
      <c r="X291" s="98" t="s">
        <v>50</v>
      </c>
    </row>
    <row r="292" spans="1:25" x14ac:dyDescent="0.25">
      <c r="A292" s="194">
        <v>44061</v>
      </c>
      <c r="B292" s="98" t="s">
        <v>849</v>
      </c>
      <c r="C292" s="34" t="s">
        <v>78</v>
      </c>
      <c r="D292" s="98">
        <v>38.094709999999999</v>
      </c>
      <c r="E292" s="98">
        <v>-122.06502</v>
      </c>
      <c r="F292" s="98" t="s">
        <v>1199</v>
      </c>
      <c r="G292" s="194" t="s">
        <v>27</v>
      </c>
      <c r="H292" s="34" t="s">
        <v>86</v>
      </c>
      <c r="I292" s="621">
        <v>0.33888888888888885</v>
      </c>
      <c r="J292" s="100">
        <v>19288.5</v>
      </c>
      <c r="K292" s="100">
        <v>23.274999999999999</v>
      </c>
      <c r="L292" s="100">
        <v>36.950000000000003</v>
      </c>
      <c r="M292" s="100">
        <v>0.46499999999999997</v>
      </c>
      <c r="N292" s="100">
        <v>9.7000000000000011</v>
      </c>
      <c r="O292" s="98" t="s">
        <v>48</v>
      </c>
      <c r="P292" s="98">
        <v>4</v>
      </c>
      <c r="Q292" s="98">
        <v>10</v>
      </c>
      <c r="R292" s="98" t="s">
        <v>49</v>
      </c>
      <c r="S292" s="98" t="s">
        <v>50</v>
      </c>
      <c r="T292" s="98" t="s">
        <v>50</v>
      </c>
      <c r="U292" s="98" t="s">
        <v>50</v>
      </c>
      <c r="V292" s="98" t="s">
        <v>50</v>
      </c>
      <c r="W292" s="98" t="s">
        <v>50</v>
      </c>
      <c r="X292" s="98" t="s">
        <v>50</v>
      </c>
    </row>
    <row r="293" spans="1:25" x14ac:dyDescent="0.25">
      <c r="A293" s="194">
        <v>44061</v>
      </c>
      <c r="B293" s="98" t="s">
        <v>849</v>
      </c>
      <c r="C293" s="34" t="s">
        <v>78</v>
      </c>
      <c r="D293" s="98">
        <v>38.057310000000001</v>
      </c>
      <c r="E293" s="98">
        <v>-121.97689</v>
      </c>
      <c r="F293" s="98" t="s">
        <v>1200</v>
      </c>
      <c r="G293" s="194" t="s">
        <v>27</v>
      </c>
      <c r="H293" s="34" t="s">
        <v>86</v>
      </c>
      <c r="I293" s="621">
        <v>0.4069444444444445</v>
      </c>
      <c r="J293" s="100">
        <v>11440</v>
      </c>
      <c r="K293" s="100">
        <v>23.274999999999999</v>
      </c>
      <c r="L293" s="100">
        <v>20.674999999999997</v>
      </c>
      <c r="M293" s="100">
        <v>0.84750000000000003</v>
      </c>
      <c r="N293" s="100">
        <v>10.85</v>
      </c>
      <c r="O293" s="98" t="s">
        <v>48</v>
      </c>
      <c r="P293" s="98">
        <v>4</v>
      </c>
      <c r="Q293" s="98">
        <v>10</v>
      </c>
      <c r="R293" s="98" t="s">
        <v>49</v>
      </c>
      <c r="S293" s="98" t="s">
        <v>50</v>
      </c>
      <c r="T293" s="98" t="s">
        <v>50</v>
      </c>
      <c r="U293" s="98" t="s">
        <v>50</v>
      </c>
      <c r="V293" s="98" t="s">
        <v>50</v>
      </c>
      <c r="W293" s="98" t="s">
        <v>50</v>
      </c>
      <c r="X293" s="98" t="s">
        <v>50</v>
      </c>
    </row>
    <row r="294" spans="1:25" x14ac:dyDescent="0.25">
      <c r="A294" s="194">
        <v>44061</v>
      </c>
      <c r="B294" s="98" t="s">
        <v>849</v>
      </c>
      <c r="C294" s="34" t="s">
        <v>78</v>
      </c>
      <c r="D294" s="98">
        <v>38.058520000000001</v>
      </c>
      <c r="E294" s="98">
        <v>-121.86517000000001</v>
      </c>
      <c r="F294" s="98" t="s">
        <v>1201</v>
      </c>
      <c r="G294" s="97" t="s">
        <v>27</v>
      </c>
      <c r="H294" s="97" t="s">
        <v>101</v>
      </c>
      <c r="I294" s="621">
        <v>0.46736111111111112</v>
      </c>
      <c r="J294" s="100">
        <v>4306.5</v>
      </c>
      <c r="K294" s="100">
        <v>24.125</v>
      </c>
      <c r="L294" s="100">
        <v>11.105</v>
      </c>
      <c r="M294" s="100">
        <v>1.165</v>
      </c>
      <c r="N294" s="100">
        <v>6.1250000000000009</v>
      </c>
      <c r="O294" s="98" t="s">
        <v>48</v>
      </c>
      <c r="P294" s="98">
        <v>4</v>
      </c>
      <c r="Q294" s="98">
        <v>10</v>
      </c>
      <c r="R294" s="98" t="s">
        <v>49</v>
      </c>
      <c r="S294" s="98" t="s">
        <v>50</v>
      </c>
      <c r="T294" s="98" t="s">
        <v>50</v>
      </c>
      <c r="U294" s="98" t="s">
        <v>50</v>
      </c>
      <c r="V294" s="98" t="s">
        <v>50</v>
      </c>
      <c r="W294" s="98" t="s">
        <v>50</v>
      </c>
      <c r="X294" s="98" t="s">
        <v>50</v>
      </c>
    </row>
    <row r="295" spans="1:25" x14ac:dyDescent="0.25">
      <c r="A295" s="194">
        <v>44062</v>
      </c>
      <c r="B295" s="98" t="s">
        <v>915</v>
      </c>
      <c r="C295" s="97" t="s">
        <v>88</v>
      </c>
      <c r="D295" s="98">
        <v>38.175690000000003</v>
      </c>
      <c r="E295" s="98">
        <v>-121.66849000000001</v>
      </c>
      <c r="F295" s="98" t="s">
        <v>1202</v>
      </c>
      <c r="G295" s="97" t="s">
        <v>90</v>
      </c>
      <c r="H295" s="97" t="s">
        <v>91</v>
      </c>
      <c r="I295" s="621">
        <v>0.33611111111111108</v>
      </c>
      <c r="J295" s="100">
        <v>167.6</v>
      </c>
      <c r="K295" s="100">
        <v>25.55</v>
      </c>
      <c r="L295" s="100">
        <v>6.2249999999999996</v>
      </c>
      <c r="M295" s="100">
        <v>1.675</v>
      </c>
      <c r="N295" s="100">
        <v>15.9</v>
      </c>
      <c r="O295" s="98" t="s">
        <v>48</v>
      </c>
      <c r="P295" s="98">
        <v>2</v>
      </c>
      <c r="Q295" s="98">
        <v>10</v>
      </c>
      <c r="R295" s="98" t="s">
        <v>49</v>
      </c>
      <c r="S295" s="98" t="s">
        <v>50</v>
      </c>
      <c r="T295" s="98" t="s">
        <v>50</v>
      </c>
      <c r="U295" s="98" t="s">
        <v>50</v>
      </c>
      <c r="V295" s="98" t="s">
        <v>50</v>
      </c>
      <c r="W295" s="98" t="s">
        <v>50</v>
      </c>
      <c r="X295" s="98" t="s">
        <v>50</v>
      </c>
      <c r="Y295" s="622" t="s">
        <v>1203</v>
      </c>
    </row>
    <row r="296" spans="1:25" s="154" customFormat="1" x14ac:dyDescent="0.25">
      <c r="A296" s="195">
        <v>44063</v>
      </c>
      <c r="B296" s="154" t="s">
        <v>876</v>
      </c>
      <c r="C296" s="154" t="s">
        <v>50</v>
      </c>
      <c r="D296" s="154" t="s">
        <v>50</v>
      </c>
      <c r="E296" s="154" t="s">
        <v>50</v>
      </c>
      <c r="F296" s="154" t="s">
        <v>50</v>
      </c>
      <c r="G296" s="154" t="s">
        <v>50</v>
      </c>
      <c r="H296" s="154" t="s">
        <v>50</v>
      </c>
      <c r="I296" s="636" t="s">
        <v>50</v>
      </c>
      <c r="J296" s="156" t="s">
        <v>50</v>
      </c>
      <c r="K296" s="156" t="s">
        <v>50</v>
      </c>
      <c r="L296" s="156" t="s">
        <v>50</v>
      </c>
      <c r="M296" s="156" t="s">
        <v>50</v>
      </c>
      <c r="N296" s="156" t="s">
        <v>50</v>
      </c>
      <c r="O296" s="154" t="s">
        <v>48</v>
      </c>
      <c r="P296" s="154" t="s">
        <v>50</v>
      </c>
      <c r="Q296" s="154" t="s">
        <v>50</v>
      </c>
      <c r="R296" s="154" t="s">
        <v>50</v>
      </c>
      <c r="S296" s="154" t="s">
        <v>50</v>
      </c>
      <c r="T296" s="154" t="s">
        <v>50</v>
      </c>
      <c r="U296" s="154" t="s">
        <v>50</v>
      </c>
      <c r="V296" s="154" t="s">
        <v>50</v>
      </c>
      <c r="W296" s="154" t="s">
        <v>50</v>
      </c>
      <c r="X296" s="154" t="s">
        <v>50</v>
      </c>
      <c r="Y296" s="627" t="s">
        <v>1204</v>
      </c>
    </row>
    <row r="297" spans="1:25" s="351" customFormat="1" x14ac:dyDescent="0.25">
      <c r="A297" s="350">
        <v>44064</v>
      </c>
      <c r="B297" s="351" t="s">
        <v>940</v>
      </c>
      <c r="C297" s="351" t="s">
        <v>50</v>
      </c>
      <c r="D297" s="351" t="s">
        <v>50</v>
      </c>
      <c r="E297" s="351" t="s">
        <v>50</v>
      </c>
      <c r="F297" s="351" t="s">
        <v>50</v>
      </c>
      <c r="G297" s="351" t="s">
        <v>50</v>
      </c>
      <c r="H297" s="351" t="s">
        <v>50</v>
      </c>
      <c r="I297" s="616" t="s">
        <v>50</v>
      </c>
      <c r="J297" s="368" t="s">
        <v>50</v>
      </c>
      <c r="K297" s="368" t="s">
        <v>50</v>
      </c>
      <c r="L297" s="368" t="s">
        <v>50</v>
      </c>
      <c r="M297" s="368" t="s">
        <v>50</v>
      </c>
      <c r="N297" s="368" t="s">
        <v>50</v>
      </c>
      <c r="O297" s="351" t="s">
        <v>48</v>
      </c>
      <c r="P297" s="351" t="s">
        <v>50</v>
      </c>
      <c r="Q297" s="351" t="s">
        <v>50</v>
      </c>
      <c r="R297" s="351" t="s">
        <v>50</v>
      </c>
      <c r="S297" s="351" t="s">
        <v>50</v>
      </c>
      <c r="T297" s="351" t="s">
        <v>50</v>
      </c>
      <c r="U297" s="351" t="s">
        <v>50</v>
      </c>
      <c r="V297" s="351" t="s">
        <v>50</v>
      </c>
      <c r="W297" s="351" t="s">
        <v>50</v>
      </c>
      <c r="X297" s="351" t="s">
        <v>50</v>
      </c>
      <c r="Y297" s="626" t="s">
        <v>1204</v>
      </c>
    </row>
    <row r="298" spans="1:25" s="154" customFormat="1" x14ac:dyDescent="0.25">
      <c r="A298" s="195">
        <v>44067</v>
      </c>
      <c r="B298" s="154" t="s">
        <v>43</v>
      </c>
      <c r="C298" s="154" t="s">
        <v>50</v>
      </c>
      <c r="D298" s="154" t="s">
        <v>50</v>
      </c>
      <c r="E298" s="154" t="s">
        <v>50</v>
      </c>
      <c r="F298" s="154" t="s">
        <v>50</v>
      </c>
      <c r="G298" s="154" t="s">
        <v>50</v>
      </c>
      <c r="H298" s="154" t="s">
        <v>50</v>
      </c>
      <c r="I298" s="636" t="s">
        <v>50</v>
      </c>
      <c r="J298" s="156" t="s">
        <v>50</v>
      </c>
      <c r="K298" s="156" t="s">
        <v>50</v>
      </c>
      <c r="L298" s="156" t="s">
        <v>50</v>
      </c>
      <c r="M298" s="156" t="s">
        <v>50</v>
      </c>
      <c r="N298" s="156" t="s">
        <v>50</v>
      </c>
      <c r="O298" s="154" t="s">
        <v>48</v>
      </c>
      <c r="P298" s="154" t="s">
        <v>50</v>
      </c>
      <c r="Q298" s="154" t="s">
        <v>50</v>
      </c>
      <c r="R298" s="154" t="s">
        <v>50</v>
      </c>
      <c r="S298" s="154" t="s">
        <v>50</v>
      </c>
      <c r="T298" s="154" t="s">
        <v>50</v>
      </c>
      <c r="U298" s="154" t="s">
        <v>50</v>
      </c>
      <c r="V298" s="154" t="s">
        <v>50</v>
      </c>
      <c r="W298" s="154" t="s">
        <v>50</v>
      </c>
      <c r="X298" s="154" t="s">
        <v>50</v>
      </c>
      <c r="Y298" s="627" t="s">
        <v>1204</v>
      </c>
    </row>
    <row r="299" spans="1:25" s="154" customFormat="1" x14ac:dyDescent="0.25">
      <c r="A299" s="195">
        <v>44068</v>
      </c>
      <c r="B299" s="154" t="s">
        <v>849</v>
      </c>
      <c r="C299" s="154" t="s">
        <v>50</v>
      </c>
      <c r="D299" s="154" t="s">
        <v>50</v>
      </c>
      <c r="E299" s="154" t="s">
        <v>50</v>
      </c>
      <c r="F299" s="154" t="s">
        <v>50</v>
      </c>
      <c r="G299" s="154" t="s">
        <v>50</v>
      </c>
      <c r="H299" s="154" t="s">
        <v>50</v>
      </c>
      <c r="I299" s="636" t="s">
        <v>50</v>
      </c>
      <c r="J299" s="156" t="s">
        <v>50</v>
      </c>
      <c r="K299" s="156" t="s">
        <v>50</v>
      </c>
      <c r="L299" s="156" t="s">
        <v>50</v>
      </c>
      <c r="M299" s="156" t="s">
        <v>50</v>
      </c>
      <c r="N299" s="156" t="s">
        <v>50</v>
      </c>
      <c r="O299" s="154" t="s">
        <v>48</v>
      </c>
      <c r="P299" s="154" t="s">
        <v>50</v>
      </c>
      <c r="Q299" s="154" t="s">
        <v>50</v>
      </c>
      <c r="R299" s="154" t="s">
        <v>50</v>
      </c>
      <c r="S299" s="154" t="s">
        <v>50</v>
      </c>
      <c r="T299" s="154" t="s">
        <v>50</v>
      </c>
      <c r="U299" s="154" t="s">
        <v>50</v>
      </c>
      <c r="V299" s="154" t="s">
        <v>50</v>
      </c>
      <c r="W299" s="154" t="s">
        <v>50</v>
      </c>
      <c r="X299" s="154" t="s">
        <v>50</v>
      </c>
      <c r="Y299" s="627" t="s">
        <v>1204</v>
      </c>
    </row>
    <row r="300" spans="1:25" s="154" customFormat="1" x14ac:dyDescent="0.25">
      <c r="A300" s="195">
        <v>44069</v>
      </c>
      <c r="B300" s="154" t="s">
        <v>915</v>
      </c>
      <c r="C300" s="154" t="s">
        <v>50</v>
      </c>
      <c r="D300" s="154" t="s">
        <v>50</v>
      </c>
      <c r="E300" s="154" t="s">
        <v>50</v>
      </c>
      <c r="F300" s="154" t="s">
        <v>50</v>
      </c>
      <c r="G300" s="154" t="s">
        <v>50</v>
      </c>
      <c r="H300" s="154" t="s">
        <v>50</v>
      </c>
      <c r="I300" s="636" t="s">
        <v>50</v>
      </c>
      <c r="J300" s="156" t="s">
        <v>50</v>
      </c>
      <c r="K300" s="156" t="s">
        <v>50</v>
      </c>
      <c r="L300" s="156" t="s">
        <v>50</v>
      </c>
      <c r="M300" s="156" t="s">
        <v>50</v>
      </c>
      <c r="N300" s="156" t="s">
        <v>50</v>
      </c>
      <c r="O300" s="154" t="s">
        <v>48</v>
      </c>
      <c r="P300" s="154" t="s">
        <v>50</v>
      </c>
      <c r="Q300" s="154" t="s">
        <v>50</v>
      </c>
      <c r="R300" s="154" t="s">
        <v>50</v>
      </c>
      <c r="S300" s="154" t="s">
        <v>50</v>
      </c>
      <c r="T300" s="154" t="s">
        <v>50</v>
      </c>
      <c r="U300" s="154" t="s">
        <v>50</v>
      </c>
      <c r="V300" s="154" t="s">
        <v>50</v>
      </c>
      <c r="W300" s="154" t="s">
        <v>50</v>
      </c>
      <c r="X300" s="154" t="s">
        <v>50</v>
      </c>
      <c r="Y300" s="627" t="s">
        <v>1204</v>
      </c>
    </row>
    <row r="301" spans="1:25" x14ac:dyDescent="0.25">
      <c r="A301" s="194">
        <v>44070</v>
      </c>
      <c r="B301" s="98" t="s">
        <v>876</v>
      </c>
      <c r="C301" s="97" t="s">
        <v>106</v>
      </c>
      <c r="D301" s="98">
        <v>38.561610000000002</v>
      </c>
      <c r="E301" s="98">
        <v>-121.55063</v>
      </c>
      <c r="F301" s="98" t="s">
        <v>1205</v>
      </c>
      <c r="G301" s="98" t="s">
        <v>90</v>
      </c>
      <c r="H301" s="98" t="s">
        <v>158</v>
      </c>
      <c r="I301" s="621">
        <v>0.36805555555555558</v>
      </c>
      <c r="J301" s="100">
        <v>1221.5</v>
      </c>
      <c r="K301" s="100">
        <v>25.325000000000003</v>
      </c>
      <c r="L301" s="100">
        <v>5.7424999999999997</v>
      </c>
      <c r="M301" s="100">
        <v>1.6125</v>
      </c>
      <c r="N301" s="100">
        <v>10.674999999999999</v>
      </c>
      <c r="O301" s="98" t="s">
        <v>48</v>
      </c>
      <c r="P301" s="98">
        <v>4</v>
      </c>
      <c r="Q301" s="98">
        <v>10</v>
      </c>
      <c r="R301" s="98" t="s">
        <v>49</v>
      </c>
      <c r="S301" s="98" t="s">
        <v>50</v>
      </c>
      <c r="T301" s="98" t="s">
        <v>50</v>
      </c>
      <c r="U301" s="98" t="s">
        <v>50</v>
      </c>
      <c r="V301" s="98" t="s">
        <v>50</v>
      </c>
      <c r="W301" s="98" t="s">
        <v>50</v>
      </c>
      <c r="X301" s="98" t="s">
        <v>50</v>
      </c>
    </row>
    <row r="302" spans="1:25" x14ac:dyDescent="0.25">
      <c r="A302" s="194">
        <v>44070</v>
      </c>
      <c r="B302" s="98" t="s">
        <v>876</v>
      </c>
      <c r="C302" s="97" t="s">
        <v>106</v>
      </c>
      <c r="D302" s="98">
        <v>38.52599</v>
      </c>
      <c r="E302" s="98">
        <v>-121.58443</v>
      </c>
      <c r="F302" s="98" t="s">
        <v>1206</v>
      </c>
      <c r="G302" s="98" t="s">
        <v>90</v>
      </c>
      <c r="H302" s="98" t="s">
        <v>158</v>
      </c>
      <c r="I302" s="621">
        <v>0.42499999999999999</v>
      </c>
      <c r="J302" s="100">
        <v>1028.5</v>
      </c>
      <c r="K302" s="100">
        <v>24.524999999999999</v>
      </c>
      <c r="L302" s="100">
        <v>15.25</v>
      </c>
      <c r="M302" s="100">
        <v>0.63249999999999995</v>
      </c>
      <c r="N302" s="100">
        <v>10.399999999999999</v>
      </c>
      <c r="O302" s="98" t="s">
        <v>48</v>
      </c>
      <c r="P302" s="98">
        <v>4</v>
      </c>
      <c r="Q302" s="98">
        <v>10</v>
      </c>
      <c r="R302" s="98" t="s">
        <v>49</v>
      </c>
      <c r="S302" s="98" t="s">
        <v>50</v>
      </c>
      <c r="T302" s="98" t="s">
        <v>50</v>
      </c>
      <c r="U302" s="98" t="s">
        <v>50</v>
      </c>
      <c r="V302" s="98" t="s">
        <v>50</v>
      </c>
      <c r="W302" s="98" t="s">
        <v>50</v>
      </c>
      <c r="X302" s="98" t="s">
        <v>50</v>
      </c>
    </row>
    <row r="303" spans="1:25" x14ac:dyDescent="0.25">
      <c r="A303" s="194">
        <v>44070</v>
      </c>
      <c r="B303" s="98" t="s">
        <v>876</v>
      </c>
      <c r="C303" s="97" t="s">
        <v>106</v>
      </c>
      <c r="D303" s="98">
        <v>38.265540000000001</v>
      </c>
      <c r="E303" s="98">
        <v>-121.66492</v>
      </c>
      <c r="F303" s="98" t="s">
        <v>1207</v>
      </c>
      <c r="G303" s="98" t="s">
        <v>90</v>
      </c>
      <c r="H303" s="98" t="s">
        <v>158</v>
      </c>
      <c r="I303" s="621">
        <v>0.50347222222222221</v>
      </c>
      <c r="J303" s="100">
        <v>172.15000000000003</v>
      </c>
      <c r="K303" s="100">
        <v>22</v>
      </c>
      <c r="L303" s="100">
        <v>14.15</v>
      </c>
      <c r="M303" s="100">
        <v>0.88250000000000006</v>
      </c>
      <c r="N303" s="100">
        <v>8.5749999999999993</v>
      </c>
      <c r="O303" s="98" t="s">
        <v>48</v>
      </c>
      <c r="P303" s="98">
        <v>4</v>
      </c>
      <c r="Q303" s="98">
        <v>10</v>
      </c>
      <c r="R303" s="98" t="s">
        <v>64</v>
      </c>
      <c r="S303" s="98" t="s">
        <v>50</v>
      </c>
      <c r="T303" s="98" t="s">
        <v>50</v>
      </c>
      <c r="U303" s="98" t="s">
        <v>50</v>
      </c>
      <c r="V303" s="98" t="s">
        <v>50</v>
      </c>
      <c r="W303" s="98" t="s">
        <v>50</v>
      </c>
      <c r="X303" s="98" t="s">
        <v>50</v>
      </c>
    </row>
    <row r="304" spans="1:25" x14ac:dyDescent="0.25">
      <c r="A304" s="194">
        <v>44070</v>
      </c>
      <c r="B304" s="98" t="s">
        <v>876</v>
      </c>
      <c r="C304" s="98" t="s">
        <v>62</v>
      </c>
      <c r="D304" s="98">
        <v>38.105719999999998</v>
      </c>
      <c r="E304" s="98">
        <v>-122.04971999999999</v>
      </c>
      <c r="F304" s="98" t="s">
        <v>1208</v>
      </c>
      <c r="G304" s="98" t="s">
        <v>27</v>
      </c>
      <c r="H304" s="98" t="s">
        <v>173</v>
      </c>
      <c r="I304" s="621">
        <v>0.36041666666666666</v>
      </c>
      <c r="J304" s="100">
        <v>20748.25</v>
      </c>
      <c r="K304" s="100">
        <v>21.1</v>
      </c>
      <c r="L304" s="100">
        <v>27.174999999999997</v>
      </c>
      <c r="M304" s="100">
        <v>0.46500000000000002</v>
      </c>
      <c r="N304" s="100">
        <v>3.7</v>
      </c>
      <c r="O304" s="98" t="s">
        <v>48</v>
      </c>
      <c r="P304" s="98">
        <v>4</v>
      </c>
      <c r="Q304" s="98">
        <v>10</v>
      </c>
      <c r="R304" s="98" t="s">
        <v>64</v>
      </c>
      <c r="S304" s="98" t="s">
        <v>50</v>
      </c>
      <c r="T304" s="98" t="s">
        <v>50</v>
      </c>
      <c r="U304" s="98" t="s">
        <v>50</v>
      </c>
      <c r="V304" s="98" t="s">
        <v>50</v>
      </c>
      <c r="W304" s="98" t="s">
        <v>50</v>
      </c>
      <c r="X304" s="98" t="s">
        <v>50</v>
      </c>
    </row>
    <row r="305" spans="1:25" x14ac:dyDescent="0.25">
      <c r="A305" s="194">
        <v>44070</v>
      </c>
      <c r="B305" s="98" t="s">
        <v>876</v>
      </c>
      <c r="C305" s="98" t="s">
        <v>62</v>
      </c>
      <c r="D305" s="98">
        <v>38.17953</v>
      </c>
      <c r="E305" s="98">
        <v>-122.05517</v>
      </c>
      <c r="F305" s="98" t="s">
        <v>1209</v>
      </c>
      <c r="G305" s="98" t="s">
        <v>27</v>
      </c>
      <c r="H305" s="98" t="s">
        <v>62</v>
      </c>
      <c r="I305" s="621">
        <v>0.4201388888888889</v>
      </c>
      <c r="J305" s="100">
        <v>16908.5</v>
      </c>
      <c r="K305" s="100">
        <v>22.325000000000003</v>
      </c>
      <c r="L305" s="100">
        <v>62.75</v>
      </c>
      <c r="M305" s="100">
        <v>0.28500000000000003</v>
      </c>
      <c r="N305" s="100">
        <v>6.3250000000000002</v>
      </c>
      <c r="O305" s="98" t="s">
        <v>48</v>
      </c>
      <c r="P305" s="98">
        <v>4</v>
      </c>
      <c r="Q305" s="98">
        <v>10</v>
      </c>
      <c r="R305" s="98" t="s">
        <v>64</v>
      </c>
      <c r="S305" s="98" t="s">
        <v>50</v>
      </c>
      <c r="T305" s="98" t="s">
        <v>50</v>
      </c>
      <c r="U305" s="98" t="s">
        <v>50</v>
      </c>
      <c r="V305" s="98" t="s">
        <v>50</v>
      </c>
      <c r="W305" s="98" t="s">
        <v>50</v>
      </c>
      <c r="X305" s="98" t="s">
        <v>50</v>
      </c>
    </row>
    <row r="306" spans="1:25" x14ac:dyDescent="0.25">
      <c r="A306" s="194">
        <v>44070</v>
      </c>
      <c r="B306" s="98" t="s">
        <v>876</v>
      </c>
      <c r="C306" s="98" t="s">
        <v>62</v>
      </c>
      <c r="D306" s="98">
        <v>38.17783</v>
      </c>
      <c r="E306" s="98">
        <v>-122.00830999999999</v>
      </c>
      <c r="F306" s="98" t="s">
        <v>1210</v>
      </c>
      <c r="G306" s="98" t="s">
        <v>27</v>
      </c>
      <c r="H306" s="98" t="s">
        <v>62</v>
      </c>
      <c r="I306" s="621">
        <v>0.49027777777777781</v>
      </c>
      <c r="J306" s="100">
        <v>16904.75</v>
      </c>
      <c r="K306" s="100">
        <v>22.825000000000003</v>
      </c>
      <c r="L306" s="100">
        <v>30.425000000000001</v>
      </c>
      <c r="M306" s="100">
        <v>0.51249999999999996</v>
      </c>
      <c r="N306" s="100">
        <v>7.125</v>
      </c>
      <c r="O306" s="98" t="s">
        <v>48</v>
      </c>
      <c r="P306" s="98">
        <v>4</v>
      </c>
      <c r="Q306" s="98">
        <v>10</v>
      </c>
      <c r="R306" s="98" t="s">
        <v>64</v>
      </c>
      <c r="S306" s="98" t="s">
        <v>50</v>
      </c>
      <c r="T306" s="98" t="s">
        <v>50</v>
      </c>
      <c r="U306" s="98" t="s">
        <v>50</v>
      </c>
      <c r="V306" s="98" t="s">
        <v>50</v>
      </c>
      <c r="W306" s="98" t="s">
        <v>50</v>
      </c>
      <c r="X306" s="98" t="s">
        <v>50</v>
      </c>
      <c r="Y306" s="622" t="s">
        <v>1211</v>
      </c>
    </row>
    <row r="307" spans="1:25" x14ac:dyDescent="0.25">
      <c r="A307" s="194">
        <v>44070</v>
      </c>
      <c r="B307" s="98" t="s">
        <v>876</v>
      </c>
      <c r="C307" s="98" t="s">
        <v>95</v>
      </c>
      <c r="D307" s="98">
        <v>38.021819999999998</v>
      </c>
      <c r="E307" s="98">
        <v>-121.75081</v>
      </c>
      <c r="F307" s="98" t="s">
        <v>1212</v>
      </c>
      <c r="G307" s="98" t="s">
        <v>27</v>
      </c>
      <c r="H307" s="98" t="s">
        <v>863</v>
      </c>
      <c r="I307" s="621">
        <v>0.40972222222222227</v>
      </c>
      <c r="J307" s="100">
        <v>2392.75</v>
      </c>
      <c r="K307" s="100">
        <v>23</v>
      </c>
      <c r="L307" s="100">
        <v>6.5200000000000005</v>
      </c>
      <c r="M307" s="100">
        <v>1.4999999999999998</v>
      </c>
      <c r="N307" s="100">
        <v>4.1999999999999993</v>
      </c>
      <c r="O307" s="98" t="s">
        <v>48</v>
      </c>
      <c r="P307" s="98">
        <v>4</v>
      </c>
      <c r="Q307" s="98">
        <v>10</v>
      </c>
      <c r="R307" s="98" t="s">
        <v>64</v>
      </c>
      <c r="S307" s="98" t="s">
        <v>50</v>
      </c>
      <c r="T307" s="98" t="s">
        <v>50</v>
      </c>
      <c r="U307" s="98" t="s">
        <v>50</v>
      </c>
      <c r="V307" s="98" t="s">
        <v>50</v>
      </c>
      <c r="W307" s="98" t="s">
        <v>50</v>
      </c>
      <c r="X307" s="98" t="s">
        <v>50</v>
      </c>
      <c r="Y307" s="622" t="s">
        <v>1185</v>
      </c>
    </row>
    <row r="308" spans="1:25" s="154" customFormat="1" x14ac:dyDescent="0.25">
      <c r="A308" s="195">
        <v>44070</v>
      </c>
      <c r="B308" s="154" t="s">
        <v>876</v>
      </c>
      <c r="C308" s="154" t="s">
        <v>95</v>
      </c>
      <c r="D308" s="154">
        <v>38.022329999999997</v>
      </c>
      <c r="E308" s="154">
        <v>-121.72975</v>
      </c>
      <c r="F308" s="154" t="s">
        <v>1213</v>
      </c>
      <c r="G308" s="154" t="s">
        <v>27</v>
      </c>
      <c r="H308" s="154" t="s">
        <v>863</v>
      </c>
      <c r="I308" s="636">
        <v>0.39027777777777778</v>
      </c>
      <c r="J308" s="156" t="s">
        <v>50</v>
      </c>
      <c r="K308" s="156" t="s">
        <v>50</v>
      </c>
      <c r="L308" s="156" t="s">
        <v>50</v>
      </c>
      <c r="M308" s="156" t="s">
        <v>50</v>
      </c>
      <c r="N308" s="156" t="s">
        <v>50</v>
      </c>
      <c r="O308" s="154" t="s">
        <v>48</v>
      </c>
      <c r="P308" s="154">
        <v>0</v>
      </c>
      <c r="Q308" s="154" t="s">
        <v>50</v>
      </c>
      <c r="R308" s="154" t="s">
        <v>50</v>
      </c>
      <c r="S308" s="154" t="s">
        <v>50</v>
      </c>
      <c r="T308" s="154" t="s">
        <v>50</v>
      </c>
      <c r="U308" s="154" t="s">
        <v>50</v>
      </c>
      <c r="V308" s="154" t="s">
        <v>50</v>
      </c>
      <c r="W308" s="154" t="s">
        <v>50</v>
      </c>
      <c r="X308" s="154" t="s">
        <v>50</v>
      </c>
      <c r="Y308" s="627" t="s">
        <v>734</v>
      </c>
    </row>
    <row r="309" spans="1:25" x14ac:dyDescent="0.25">
      <c r="A309" s="194">
        <v>44070</v>
      </c>
      <c r="B309" s="98" t="s">
        <v>876</v>
      </c>
      <c r="C309" s="98" t="s">
        <v>95</v>
      </c>
      <c r="D309" s="98">
        <v>38.102640000000001</v>
      </c>
      <c r="E309" s="98">
        <v>-121.61866999999999</v>
      </c>
      <c r="F309" s="98" t="s">
        <v>1214</v>
      </c>
      <c r="G309" s="98" t="s">
        <v>886</v>
      </c>
      <c r="H309" s="98" t="s">
        <v>908</v>
      </c>
      <c r="I309" s="621">
        <v>0.47430555555555554</v>
      </c>
      <c r="J309" s="100">
        <v>419.7</v>
      </c>
      <c r="K309" s="100">
        <v>23.650000000000002</v>
      </c>
      <c r="L309" s="100">
        <v>9.1449999999999996</v>
      </c>
      <c r="M309" s="100">
        <v>1.4375</v>
      </c>
      <c r="N309" s="100">
        <v>11.85</v>
      </c>
      <c r="O309" s="98" t="s">
        <v>48</v>
      </c>
      <c r="P309" s="98">
        <v>4</v>
      </c>
      <c r="Q309" s="98">
        <v>10</v>
      </c>
      <c r="R309" s="98" t="s">
        <v>64</v>
      </c>
      <c r="S309" s="98" t="s">
        <v>50</v>
      </c>
      <c r="T309" s="98" t="s">
        <v>50</v>
      </c>
      <c r="U309" s="98" t="s">
        <v>50</v>
      </c>
      <c r="V309" s="98" t="s">
        <v>50</v>
      </c>
      <c r="W309" s="98" t="s">
        <v>50</v>
      </c>
      <c r="X309" s="98" t="s">
        <v>50</v>
      </c>
    </row>
    <row r="310" spans="1:25" x14ac:dyDescent="0.25">
      <c r="A310" s="194">
        <v>44070</v>
      </c>
      <c r="B310" s="98" t="s">
        <v>876</v>
      </c>
      <c r="C310" s="98" t="s">
        <v>95</v>
      </c>
      <c r="D310" s="98">
        <v>38.09686</v>
      </c>
      <c r="E310" s="98">
        <v>-121.57205999999999</v>
      </c>
      <c r="F310" s="98" t="s">
        <v>1215</v>
      </c>
      <c r="G310" s="98" t="s">
        <v>886</v>
      </c>
      <c r="H310" s="98" t="s">
        <v>115</v>
      </c>
      <c r="I310" s="621">
        <v>0.52847222222222223</v>
      </c>
      <c r="J310" s="100">
        <v>344.18</v>
      </c>
      <c r="K310" s="100">
        <v>23.56</v>
      </c>
      <c r="L310" s="100">
        <v>6.0739999999999998</v>
      </c>
      <c r="M310" s="100">
        <v>1.736</v>
      </c>
      <c r="N310" s="100">
        <v>8.4600000000000009</v>
      </c>
      <c r="O310" s="98" t="s">
        <v>48</v>
      </c>
      <c r="P310" s="98">
        <v>5</v>
      </c>
      <c r="Q310" s="98">
        <v>10</v>
      </c>
      <c r="R310" s="98" t="s">
        <v>64</v>
      </c>
      <c r="S310" s="98" t="s">
        <v>50</v>
      </c>
      <c r="T310" s="98" t="s">
        <v>50</v>
      </c>
      <c r="U310" s="98" t="s">
        <v>50</v>
      </c>
      <c r="V310" s="98" t="s">
        <v>50</v>
      </c>
      <c r="W310" s="98" t="s">
        <v>50</v>
      </c>
      <c r="X310" s="98" t="s">
        <v>50</v>
      </c>
      <c r="Y310" s="622" t="s">
        <v>1216</v>
      </c>
    </row>
    <row r="311" spans="1:25" x14ac:dyDescent="0.25">
      <c r="A311" s="194">
        <v>44071</v>
      </c>
      <c r="B311" s="98" t="s">
        <v>940</v>
      </c>
      <c r="C311" s="98" t="s">
        <v>78</v>
      </c>
      <c r="D311" s="98">
        <v>38.077469999999998</v>
      </c>
      <c r="E311" s="98">
        <v>-122.07964</v>
      </c>
      <c r="F311" s="98" t="s">
        <v>1217</v>
      </c>
      <c r="G311" s="34" t="s">
        <v>80</v>
      </c>
      <c r="H311" s="34" t="s">
        <v>81</v>
      </c>
      <c r="I311" s="621">
        <v>0.34513888888888888</v>
      </c>
      <c r="J311" s="100">
        <v>21918</v>
      </c>
      <c r="K311" s="100">
        <v>20.7</v>
      </c>
      <c r="L311" s="100">
        <v>46.35</v>
      </c>
      <c r="M311" s="100">
        <v>0.32750000000000001</v>
      </c>
      <c r="N311" s="100">
        <v>2.7750000000000004</v>
      </c>
      <c r="O311" s="98" t="s">
        <v>48</v>
      </c>
      <c r="P311" s="98">
        <v>4</v>
      </c>
      <c r="Q311" s="98">
        <v>10</v>
      </c>
      <c r="R311" s="98" t="s">
        <v>64</v>
      </c>
      <c r="S311" s="98" t="s">
        <v>50</v>
      </c>
      <c r="T311" s="98" t="s">
        <v>50</v>
      </c>
      <c r="U311" s="98" t="s">
        <v>50</v>
      </c>
      <c r="V311" s="98" t="s">
        <v>50</v>
      </c>
      <c r="W311" s="98" t="s">
        <v>50</v>
      </c>
      <c r="X311" s="98" t="s">
        <v>50</v>
      </c>
      <c r="Y311" s="622" t="s">
        <v>1218</v>
      </c>
    </row>
    <row r="312" spans="1:25" x14ac:dyDescent="0.25">
      <c r="A312" s="194">
        <v>44071</v>
      </c>
      <c r="B312" s="98" t="s">
        <v>940</v>
      </c>
      <c r="C312" s="98" t="s">
        <v>126</v>
      </c>
      <c r="D312" s="98">
        <v>38.332979999999999</v>
      </c>
      <c r="E312" s="98">
        <v>-121.66719999999999</v>
      </c>
      <c r="F312" s="98" t="s">
        <v>1219</v>
      </c>
      <c r="G312" s="98" t="s">
        <v>90</v>
      </c>
      <c r="H312" s="98" t="s">
        <v>845</v>
      </c>
      <c r="I312" s="621">
        <v>0.32500000000000001</v>
      </c>
      <c r="J312" s="100">
        <v>207.82500000000002</v>
      </c>
      <c r="K312" s="100">
        <v>21.4</v>
      </c>
      <c r="L312" s="100">
        <v>19.675000000000001</v>
      </c>
      <c r="M312" s="100">
        <v>0.59499999999999997</v>
      </c>
      <c r="N312" s="100">
        <v>5.7249999999999996</v>
      </c>
      <c r="O312" s="98" t="s">
        <v>48</v>
      </c>
      <c r="P312" s="98">
        <v>4</v>
      </c>
      <c r="Q312" s="98">
        <v>10</v>
      </c>
      <c r="R312" s="98" t="s">
        <v>49</v>
      </c>
      <c r="S312" s="98" t="s">
        <v>50</v>
      </c>
      <c r="T312" s="98" t="s">
        <v>50</v>
      </c>
      <c r="U312" s="98" t="s">
        <v>50</v>
      </c>
      <c r="V312" s="98" t="s">
        <v>50</v>
      </c>
      <c r="W312" s="98" t="s">
        <v>50</v>
      </c>
      <c r="X312" s="98" t="s">
        <v>50</v>
      </c>
      <c r="Y312" s="622" t="s">
        <v>1220</v>
      </c>
    </row>
    <row r="313" spans="1:25" x14ac:dyDescent="0.25">
      <c r="A313" s="194">
        <v>44071</v>
      </c>
      <c r="B313" s="98" t="s">
        <v>940</v>
      </c>
      <c r="C313" s="98" t="s">
        <v>126</v>
      </c>
      <c r="D313" s="98">
        <v>38.257300000000001</v>
      </c>
      <c r="E313" s="98">
        <v>-121.67140000000001</v>
      </c>
      <c r="F313" s="98" t="s">
        <v>1221</v>
      </c>
      <c r="G313" s="98" t="s">
        <v>90</v>
      </c>
      <c r="H313" s="98" t="s">
        <v>845</v>
      </c>
      <c r="I313" s="621">
        <v>0.3840277777777778</v>
      </c>
      <c r="J313" s="100">
        <v>173.42500000000001</v>
      </c>
      <c r="K313" s="100">
        <v>21.1</v>
      </c>
      <c r="L313" s="100">
        <v>17.024999999999999</v>
      </c>
      <c r="M313" s="100">
        <v>0.92249999999999999</v>
      </c>
      <c r="N313" s="100">
        <v>8.35</v>
      </c>
      <c r="O313" s="98" t="s">
        <v>48</v>
      </c>
      <c r="P313" s="98">
        <v>4</v>
      </c>
      <c r="Q313" s="98">
        <v>10</v>
      </c>
      <c r="R313" s="98" t="s">
        <v>49</v>
      </c>
      <c r="S313" s="98" t="s">
        <v>50</v>
      </c>
      <c r="T313" s="98" t="s">
        <v>50</v>
      </c>
      <c r="U313" s="98" t="s">
        <v>50</v>
      </c>
      <c r="V313" s="98" t="s">
        <v>50</v>
      </c>
      <c r="W313" s="98" t="s">
        <v>50</v>
      </c>
      <c r="X313" s="98" t="s">
        <v>50</v>
      </c>
      <c r="Y313" s="622" t="s">
        <v>1187</v>
      </c>
    </row>
    <row r="314" spans="1:25" s="154" customFormat="1" x14ac:dyDescent="0.25">
      <c r="A314" s="195">
        <v>44071</v>
      </c>
      <c r="B314" s="154" t="s">
        <v>940</v>
      </c>
      <c r="C314" s="154" t="s">
        <v>126</v>
      </c>
      <c r="D314" s="154">
        <v>38.263680000000001</v>
      </c>
      <c r="E314" s="154">
        <v>-121.69618</v>
      </c>
      <c r="F314" s="154" t="s">
        <v>1222</v>
      </c>
      <c r="G314" s="98" t="s">
        <v>90</v>
      </c>
      <c r="H314" s="98" t="s">
        <v>845</v>
      </c>
      <c r="I314" s="636">
        <v>0.43055555555555558</v>
      </c>
      <c r="J314" s="156" t="s">
        <v>50</v>
      </c>
      <c r="K314" s="156" t="s">
        <v>50</v>
      </c>
      <c r="L314" s="156" t="s">
        <v>50</v>
      </c>
      <c r="M314" s="156" t="s">
        <v>50</v>
      </c>
      <c r="N314" s="156" t="s">
        <v>50</v>
      </c>
      <c r="O314" s="154" t="s">
        <v>48</v>
      </c>
      <c r="P314" s="154">
        <v>0</v>
      </c>
      <c r="Q314" s="154" t="s">
        <v>50</v>
      </c>
      <c r="R314" s="154" t="s">
        <v>50</v>
      </c>
      <c r="S314" s="154" t="s">
        <v>50</v>
      </c>
      <c r="T314" s="154" t="s">
        <v>50</v>
      </c>
      <c r="U314" s="154" t="s">
        <v>50</v>
      </c>
      <c r="V314" s="154" t="s">
        <v>50</v>
      </c>
      <c r="W314" s="154" t="s">
        <v>50</v>
      </c>
      <c r="X314" s="154" t="s">
        <v>50</v>
      </c>
      <c r="Y314" s="627" t="s">
        <v>784</v>
      </c>
    </row>
    <row r="315" spans="1:25" s="154" customFormat="1" x14ac:dyDescent="0.25">
      <c r="A315" s="195">
        <v>44071</v>
      </c>
      <c r="B315" s="154" t="s">
        <v>940</v>
      </c>
      <c r="C315" s="154" t="s">
        <v>126</v>
      </c>
      <c r="D315" s="154">
        <v>38.279440000000001</v>
      </c>
      <c r="E315" s="154">
        <v>-121.71104</v>
      </c>
      <c r="F315" s="154" t="s">
        <v>1223</v>
      </c>
      <c r="G315" s="98" t="s">
        <v>90</v>
      </c>
      <c r="H315" s="98" t="s">
        <v>845</v>
      </c>
      <c r="I315" s="636">
        <v>0.43402777777777773</v>
      </c>
      <c r="J315" s="156" t="s">
        <v>50</v>
      </c>
      <c r="K315" s="156" t="s">
        <v>50</v>
      </c>
      <c r="L315" s="156" t="s">
        <v>50</v>
      </c>
      <c r="M315" s="156" t="s">
        <v>50</v>
      </c>
      <c r="N315" s="156" t="s">
        <v>50</v>
      </c>
      <c r="O315" s="154" t="s">
        <v>48</v>
      </c>
      <c r="P315" s="154">
        <v>0</v>
      </c>
      <c r="Q315" s="154" t="s">
        <v>50</v>
      </c>
      <c r="R315" s="154" t="s">
        <v>50</v>
      </c>
      <c r="S315" s="154" t="s">
        <v>50</v>
      </c>
      <c r="T315" s="154" t="s">
        <v>50</v>
      </c>
      <c r="U315" s="154" t="s">
        <v>50</v>
      </c>
      <c r="V315" s="154" t="s">
        <v>50</v>
      </c>
      <c r="W315" s="154" t="s">
        <v>50</v>
      </c>
      <c r="X315" s="154" t="s">
        <v>50</v>
      </c>
      <c r="Y315" s="627" t="s">
        <v>784</v>
      </c>
    </row>
    <row r="316" spans="1:25" s="362" customFormat="1" x14ac:dyDescent="0.25">
      <c r="A316" s="360">
        <v>44071</v>
      </c>
      <c r="B316" s="362" t="s">
        <v>940</v>
      </c>
      <c r="C316" s="362" t="s">
        <v>126</v>
      </c>
      <c r="D316" s="362">
        <v>38.309399999999997</v>
      </c>
      <c r="E316" s="362">
        <v>-121.69291</v>
      </c>
      <c r="F316" s="362" t="s">
        <v>1224</v>
      </c>
      <c r="G316" s="362" t="s">
        <v>90</v>
      </c>
      <c r="H316" s="362" t="s">
        <v>845</v>
      </c>
      <c r="I316" s="618">
        <v>0.4513888888888889</v>
      </c>
      <c r="J316" s="364">
        <v>241.57499999999999</v>
      </c>
      <c r="K316" s="364">
        <v>22.4</v>
      </c>
      <c r="L316" s="364">
        <v>9.6000000000000014</v>
      </c>
      <c r="M316" s="364">
        <v>1.17</v>
      </c>
      <c r="N316" s="364">
        <v>6.0250000000000004</v>
      </c>
      <c r="O316" s="362" t="s">
        <v>48</v>
      </c>
      <c r="P316" s="362">
        <v>4</v>
      </c>
      <c r="Q316" s="362">
        <v>10</v>
      </c>
      <c r="R316" s="362" t="s">
        <v>64</v>
      </c>
      <c r="S316" s="362" t="s">
        <v>50</v>
      </c>
      <c r="T316" s="362" t="s">
        <v>50</v>
      </c>
      <c r="U316" s="362" t="s">
        <v>50</v>
      </c>
      <c r="V316" s="362" t="s">
        <v>50</v>
      </c>
      <c r="W316" s="362" t="s">
        <v>50</v>
      </c>
      <c r="X316" s="362" t="s">
        <v>50</v>
      </c>
      <c r="Y316" s="603" t="s">
        <v>1225</v>
      </c>
    </row>
    <row r="317" spans="1:25" x14ac:dyDescent="0.25">
      <c r="A317" s="194">
        <v>44074</v>
      </c>
      <c r="B317" s="98" t="s">
        <v>43</v>
      </c>
      <c r="C317" s="34" t="s">
        <v>78</v>
      </c>
      <c r="D317" s="98">
        <v>38.04571</v>
      </c>
      <c r="E317" s="98">
        <v>-121.88628</v>
      </c>
      <c r="F317" s="98" t="s">
        <v>1226</v>
      </c>
      <c r="G317" s="97" t="s">
        <v>27</v>
      </c>
      <c r="H317" s="97" t="s">
        <v>101</v>
      </c>
      <c r="I317" s="621">
        <v>0.33194444444444443</v>
      </c>
      <c r="J317" s="100">
        <v>10179.5</v>
      </c>
      <c r="K317" s="100">
        <v>21.25</v>
      </c>
      <c r="L317" s="100">
        <v>21.7</v>
      </c>
      <c r="M317" s="100">
        <v>0.69500000000000006</v>
      </c>
      <c r="N317" s="100">
        <v>16.55</v>
      </c>
      <c r="O317" s="98" t="s">
        <v>48</v>
      </c>
      <c r="P317" s="98">
        <v>2</v>
      </c>
      <c r="Q317" s="98">
        <v>10</v>
      </c>
      <c r="R317" s="98" t="s">
        <v>49</v>
      </c>
      <c r="S317" s="98" t="s">
        <v>50</v>
      </c>
      <c r="T317" s="98" t="s">
        <v>50</v>
      </c>
      <c r="U317" s="98" t="s">
        <v>50</v>
      </c>
      <c r="V317" s="98" t="s">
        <v>50</v>
      </c>
      <c r="W317" s="98" t="s">
        <v>50</v>
      </c>
      <c r="X317" s="98" t="s">
        <v>50</v>
      </c>
      <c r="Y317" s="622" t="s">
        <v>1227</v>
      </c>
    </row>
    <row r="318" spans="1:25" x14ac:dyDescent="0.25">
      <c r="A318" s="194">
        <v>44074</v>
      </c>
      <c r="B318" s="98" t="s">
        <v>43</v>
      </c>
      <c r="C318" s="34" t="s">
        <v>78</v>
      </c>
      <c r="D318" s="98">
        <v>38.050220000000003</v>
      </c>
      <c r="E318" s="98">
        <v>-122.09451</v>
      </c>
      <c r="F318" s="98" t="s">
        <v>1228</v>
      </c>
      <c r="G318" s="34" t="s">
        <v>80</v>
      </c>
      <c r="H318" s="34" t="s">
        <v>81</v>
      </c>
      <c r="I318" s="621">
        <v>0.4069444444444445</v>
      </c>
      <c r="J318" s="100">
        <v>20326.5</v>
      </c>
      <c r="K318" s="100">
        <v>20.350000000000001</v>
      </c>
      <c r="L318" s="100">
        <v>28.25</v>
      </c>
      <c r="M318" s="100">
        <v>0.5575</v>
      </c>
      <c r="N318" s="100">
        <v>13.299999999999999</v>
      </c>
      <c r="O318" s="98" t="s">
        <v>48</v>
      </c>
      <c r="P318" s="98">
        <v>4</v>
      </c>
      <c r="Q318" s="98">
        <v>10</v>
      </c>
      <c r="R318" s="98" t="s">
        <v>49</v>
      </c>
      <c r="S318" s="98" t="s">
        <v>50</v>
      </c>
      <c r="T318" s="98" t="s">
        <v>50</v>
      </c>
      <c r="U318" s="98" t="s">
        <v>50</v>
      </c>
      <c r="V318" s="98" t="s">
        <v>50</v>
      </c>
      <c r="W318" s="98" t="s">
        <v>50</v>
      </c>
      <c r="X318" s="98" t="s">
        <v>50</v>
      </c>
      <c r="Y318" s="622" t="s">
        <v>1229</v>
      </c>
    </row>
    <row r="319" spans="1:25" x14ac:dyDescent="0.25">
      <c r="A319" s="194">
        <v>44074</v>
      </c>
      <c r="B319" s="98" t="s">
        <v>43</v>
      </c>
      <c r="C319" s="98" t="s">
        <v>126</v>
      </c>
      <c r="D319" s="98">
        <v>38.318820000000002</v>
      </c>
      <c r="E319" s="98">
        <v>-121.69287</v>
      </c>
      <c r="F319" s="98" t="s">
        <v>1230</v>
      </c>
      <c r="G319" s="98" t="s">
        <v>90</v>
      </c>
      <c r="H319" s="98" t="s">
        <v>845</v>
      </c>
      <c r="I319" s="621">
        <v>0.33749999999999997</v>
      </c>
      <c r="J319" s="100">
        <v>239.92500000000001</v>
      </c>
      <c r="K319" s="100">
        <v>21.4</v>
      </c>
      <c r="L319" s="100">
        <v>9.86</v>
      </c>
      <c r="M319" s="100">
        <v>1.0450000000000002</v>
      </c>
      <c r="N319" s="100">
        <v>4.8250000000000002</v>
      </c>
      <c r="O319" s="98" t="s">
        <v>48</v>
      </c>
      <c r="P319" s="98">
        <v>4</v>
      </c>
      <c r="Q319" s="98">
        <v>10</v>
      </c>
      <c r="R319" s="98" t="s">
        <v>49</v>
      </c>
      <c r="S319" s="98" t="s">
        <v>50</v>
      </c>
      <c r="T319" s="98" t="s">
        <v>50</v>
      </c>
      <c r="U319" s="98" t="s">
        <v>50</v>
      </c>
      <c r="V319" s="98" t="s">
        <v>50</v>
      </c>
      <c r="W319" s="98" t="s">
        <v>50</v>
      </c>
      <c r="X319" s="98" t="s">
        <v>50</v>
      </c>
    </row>
    <row r="320" spans="1:25" s="154" customFormat="1" x14ac:dyDescent="0.25">
      <c r="A320" s="195">
        <v>44074</v>
      </c>
      <c r="B320" s="154" t="s">
        <v>43</v>
      </c>
      <c r="C320" s="154" t="s">
        <v>126</v>
      </c>
      <c r="D320" s="154">
        <v>38.272170000000003</v>
      </c>
      <c r="E320" s="154">
        <v>-121.7654</v>
      </c>
      <c r="F320" s="154" t="s">
        <v>1231</v>
      </c>
      <c r="G320" s="154" t="s">
        <v>90</v>
      </c>
      <c r="H320" s="154" t="s">
        <v>845</v>
      </c>
      <c r="I320" s="636">
        <v>0.39374999999999999</v>
      </c>
      <c r="J320" s="156" t="s">
        <v>50</v>
      </c>
      <c r="K320" s="156" t="s">
        <v>50</v>
      </c>
      <c r="L320" s="156" t="s">
        <v>50</v>
      </c>
      <c r="M320" s="156" t="s">
        <v>50</v>
      </c>
      <c r="N320" s="156" t="s">
        <v>50</v>
      </c>
      <c r="O320" s="154" t="s">
        <v>48</v>
      </c>
      <c r="P320" s="154">
        <v>0</v>
      </c>
      <c r="Q320" s="154" t="s">
        <v>50</v>
      </c>
      <c r="R320" s="154" t="s">
        <v>50</v>
      </c>
      <c r="S320" s="154" t="s">
        <v>50</v>
      </c>
      <c r="T320" s="154" t="s">
        <v>50</v>
      </c>
      <c r="U320" s="154" t="s">
        <v>50</v>
      </c>
      <c r="V320" s="154" t="s">
        <v>50</v>
      </c>
      <c r="W320" s="154" t="s">
        <v>50</v>
      </c>
      <c r="X320" s="154" t="s">
        <v>50</v>
      </c>
      <c r="Y320" s="627" t="s">
        <v>784</v>
      </c>
    </row>
    <row r="321" spans="1:25" x14ac:dyDescent="0.25">
      <c r="A321" s="194">
        <v>44074</v>
      </c>
      <c r="B321" s="98" t="s">
        <v>43</v>
      </c>
      <c r="C321" s="98" t="s">
        <v>126</v>
      </c>
      <c r="D321" s="98">
        <v>38.234909999999999</v>
      </c>
      <c r="E321" s="98">
        <v>-121.68133</v>
      </c>
      <c r="F321" s="98" t="s">
        <v>1232</v>
      </c>
      <c r="G321" s="98" t="s">
        <v>90</v>
      </c>
      <c r="H321" s="98" t="s">
        <v>845</v>
      </c>
      <c r="I321" s="621">
        <v>0.44861111111111113</v>
      </c>
      <c r="J321" s="100">
        <v>171.52499999999998</v>
      </c>
      <c r="K321" s="100">
        <v>21.175000000000001</v>
      </c>
      <c r="L321" s="100">
        <v>6.3425000000000002</v>
      </c>
      <c r="M321" s="100" t="s">
        <v>1233</v>
      </c>
      <c r="N321" s="100">
        <v>11.700000000000001</v>
      </c>
      <c r="O321" s="98" t="s">
        <v>48</v>
      </c>
      <c r="P321" s="98">
        <v>4</v>
      </c>
      <c r="Q321" s="98">
        <v>10</v>
      </c>
      <c r="R321" s="98" t="s">
        <v>49</v>
      </c>
      <c r="S321" s="98" t="s">
        <v>50</v>
      </c>
      <c r="T321" s="98" t="s">
        <v>50</v>
      </c>
      <c r="U321" s="98" t="s">
        <v>50</v>
      </c>
      <c r="V321" s="98" t="s">
        <v>50</v>
      </c>
      <c r="W321" s="98" t="s">
        <v>50</v>
      </c>
      <c r="X321" s="98" t="s">
        <v>50</v>
      </c>
    </row>
    <row r="322" spans="1:25" x14ac:dyDescent="0.25">
      <c r="A322" s="194">
        <v>44074</v>
      </c>
      <c r="B322" s="98" t="s">
        <v>43</v>
      </c>
      <c r="C322" s="98" t="s">
        <v>126</v>
      </c>
      <c r="D322" s="98">
        <v>38.255870000000002</v>
      </c>
      <c r="E322" s="98">
        <v>-121.68926</v>
      </c>
      <c r="F322" s="98" t="s">
        <v>1234</v>
      </c>
      <c r="G322" s="98" t="s">
        <v>90</v>
      </c>
      <c r="H322" s="98" t="s">
        <v>845</v>
      </c>
      <c r="I322" s="621">
        <v>0.39930555555555558</v>
      </c>
      <c r="J322" s="100">
        <v>170.22499999999999</v>
      </c>
      <c r="K322" s="100">
        <v>21</v>
      </c>
      <c r="L322" s="100">
        <v>6.6825000000000001</v>
      </c>
      <c r="M322" s="100" t="s">
        <v>1233</v>
      </c>
      <c r="N322" s="100">
        <v>8.4</v>
      </c>
      <c r="O322" s="98" t="s">
        <v>48</v>
      </c>
      <c r="P322" s="98">
        <v>4</v>
      </c>
      <c r="Q322" s="98">
        <v>10</v>
      </c>
      <c r="R322" s="98" t="s">
        <v>49</v>
      </c>
      <c r="S322" s="98" t="s">
        <v>50</v>
      </c>
      <c r="T322" s="98" t="s">
        <v>50</v>
      </c>
      <c r="U322" s="98" t="s">
        <v>50</v>
      </c>
      <c r="V322" s="98" t="s">
        <v>50</v>
      </c>
      <c r="W322" s="98" t="s">
        <v>50</v>
      </c>
      <c r="X322" s="98" t="s">
        <v>50</v>
      </c>
    </row>
    <row r="323" spans="1:25" x14ac:dyDescent="0.25">
      <c r="A323" s="194">
        <v>44074</v>
      </c>
      <c r="B323" s="98" t="s">
        <v>43</v>
      </c>
      <c r="C323" s="97" t="s">
        <v>88</v>
      </c>
      <c r="D323" s="98">
        <v>38.077689999999997</v>
      </c>
      <c r="E323" s="98">
        <v>-121.75837</v>
      </c>
      <c r="F323" s="98" t="s">
        <v>1235</v>
      </c>
      <c r="G323" s="97" t="s">
        <v>27</v>
      </c>
      <c r="H323" s="97" t="s">
        <v>25</v>
      </c>
      <c r="I323" s="621">
        <v>0.3520833333333333</v>
      </c>
      <c r="J323" s="100">
        <v>854</v>
      </c>
      <c r="K323" s="100">
        <v>21.7</v>
      </c>
      <c r="L323" s="100">
        <v>19.774999999999999</v>
      </c>
      <c r="M323" s="100">
        <v>0.6875</v>
      </c>
      <c r="N323" s="100">
        <v>8.35</v>
      </c>
      <c r="O323" s="98" t="s">
        <v>48</v>
      </c>
      <c r="P323" s="98">
        <v>4</v>
      </c>
      <c r="Q323" s="98">
        <v>10</v>
      </c>
      <c r="R323" s="98" t="s">
        <v>49</v>
      </c>
      <c r="S323" s="98" t="s">
        <v>50</v>
      </c>
      <c r="T323" s="98" t="s">
        <v>50</v>
      </c>
      <c r="U323" s="98" t="s">
        <v>50</v>
      </c>
      <c r="V323" s="98" t="s">
        <v>50</v>
      </c>
      <c r="W323" s="98" t="s">
        <v>50</v>
      </c>
      <c r="X323" s="98" t="s">
        <v>50</v>
      </c>
    </row>
    <row r="324" spans="1:25" x14ac:dyDescent="0.25">
      <c r="A324" s="194">
        <v>44074</v>
      </c>
      <c r="B324" s="98" t="s">
        <v>43</v>
      </c>
      <c r="C324" s="97" t="s">
        <v>88</v>
      </c>
      <c r="D324" s="98">
        <v>38.116309999999999</v>
      </c>
      <c r="E324" s="98">
        <v>-121.70296</v>
      </c>
      <c r="F324" s="98" t="s">
        <v>1236</v>
      </c>
      <c r="G324" s="97" t="s">
        <v>90</v>
      </c>
      <c r="H324" s="97" t="s">
        <v>91</v>
      </c>
      <c r="I324" s="621">
        <v>0.4069444444444445</v>
      </c>
      <c r="J324" s="100">
        <v>185.34999999999997</v>
      </c>
      <c r="K324" s="100">
        <v>22.024999999999999</v>
      </c>
      <c r="L324" s="100">
        <v>10.922499999999999</v>
      </c>
      <c r="M324" s="100">
        <v>1.5550000000000002</v>
      </c>
      <c r="N324" s="100">
        <v>6.6749999999999998</v>
      </c>
      <c r="O324" s="98" t="s">
        <v>48</v>
      </c>
      <c r="P324" s="98">
        <v>4</v>
      </c>
      <c r="Q324" s="98">
        <v>10</v>
      </c>
      <c r="R324" s="98" t="s">
        <v>49</v>
      </c>
      <c r="S324" s="98" t="s">
        <v>50</v>
      </c>
      <c r="T324" s="98" t="s">
        <v>50</v>
      </c>
      <c r="U324" s="98" t="s">
        <v>50</v>
      </c>
      <c r="V324" s="98" t="s">
        <v>50</v>
      </c>
      <c r="W324" s="98" t="s">
        <v>50</v>
      </c>
      <c r="X324" s="98" t="s">
        <v>50</v>
      </c>
    </row>
    <row r="325" spans="1:25" x14ac:dyDescent="0.25">
      <c r="A325" s="194">
        <v>44074</v>
      </c>
      <c r="B325" s="98" t="s">
        <v>43</v>
      </c>
      <c r="C325" s="97" t="s">
        <v>88</v>
      </c>
      <c r="D325" s="98">
        <v>38.149619999999999</v>
      </c>
      <c r="E325" s="98">
        <v>-121.68996</v>
      </c>
      <c r="F325" s="98" t="s">
        <v>1237</v>
      </c>
      <c r="G325" s="97" t="s">
        <v>90</v>
      </c>
      <c r="H325" s="97" t="s">
        <v>91</v>
      </c>
      <c r="I325" s="621">
        <v>0.4604166666666667</v>
      </c>
      <c r="J325" s="100">
        <v>180.65000000000003</v>
      </c>
      <c r="K325" s="100">
        <v>21.875</v>
      </c>
      <c r="L325" s="100">
        <v>7.7375000000000007</v>
      </c>
      <c r="M325" s="100">
        <v>1.8</v>
      </c>
      <c r="N325" s="100">
        <v>10.574999999999999</v>
      </c>
      <c r="O325" s="98" t="s">
        <v>48</v>
      </c>
      <c r="P325" s="98">
        <v>4</v>
      </c>
      <c r="Q325" s="98">
        <v>10</v>
      </c>
      <c r="R325" s="98" t="s">
        <v>49</v>
      </c>
      <c r="S325" s="98" t="s">
        <v>50</v>
      </c>
      <c r="T325" s="98" t="s">
        <v>50</v>
      </c>
      <c r="U325" s="98" t="s">
        <v>50</v>
      </c>
      <c r="V325" s="98" t="s">
        <v>50</v>
      </c>
      <c r="W325" s="98" t="s">
        <v>50</v>
      </c>
      <c r="X325" s="98" t="s">
        <v>50</v>
      </c>
      <c r="Y325" s="622" t="s">
        <v>1238</v>
      </c>
    </row>
    <row r="326" spans="1:25" x14ac:dyDescent="0.25">
      <c r="A326" s="194">
        <v>44075</v>
      </c>
      <c r="B326" s="98" t="s">
        <v>849</v>
      </c>
      <c r="C326" s="34" t="s">
        <v>78</v>
      </c>
      <c r="D326" s="98">
        <v>38.064529999999998</v>
      </c>
      <c r="E326" s="98">
        <v>-122.10762</v>
      </c>
      <c r="F326" s="98" t="s">
        <v>1239</v>
      </c>
      <c r="G326" s="34" t="s">
        <v>80</v>
      </c>
      <c r="H326" s="34" t="s">
        <v>81</v>
      </c>
      <c r="I326" s="621">
        <v>0.3520833333333333</v>
      </c>
      <c r="J326" s="100">
        <v>22576.75</v>
      </c>
      <c r="K326" s="100">
        <v>19.7</v>
      </c>
      <c r="L326" s="100">
        <v>100.85</v>
      </c>
      <c r="M326" s="100">
        <v>0.21249999999999999</v>
      </c>
      <c r="N326" s="100">
        <v>7.65</v>
      </c>
      <c r="O326" s="98" t="s">
        <v>48</v>
      </c>
      <c r="P326" s="98">
        <v>4</v>
      </c>
      <c r="Q326" s="98">
        <v>10</v>
      </c>
      <c r="R326" s="98" t="s">
        <v>49</v>
      </c>
      <c r="S326" s="98" t="s">
        <v>50</v>
      </c>
      <c r="T326" s="98" t="s">
        <v>50</v>
      </c>
      <c r="U326" s="98" t="s">
        <v>50</v>
      </c>
      <c r="V326" s="98" t="s">
        <v>50</v>
      </c>
      <c r="W326" s="98" t="s">
        <v>50</v>
      </c>
      <c r="X326" s="98" t="s">
        <v>50</v>
      </c>
    </row>
    <row r="327" spans="1:25" x14ac:dyDescent="0.25">
      <c r="A327" s="194">
        <v>44075</v>
      </c>
      <c r="B327" s="98" t="s">
        <v>849</v>
      </c>
      <c r="C327" s="34" t="s">
        <v>78</v>
      </c>
      <c r="D327" s="98">
        <v>38.074330000000003</v>
      </c>
      <c r="E327" s="98">
        <v>-122.07841000000001</v>
      </c>
      <c r="F327" s="98" t="s">
        <v>1240</v>
      </c>
      <c r="G327" s="34" t="s">
        <v>80</v>
      </c>
      <c r="H327" s="34" t="s">
        <v>81</v>
      </c>
      <c r="I327" s="621">
        <v>0.40486111111111112</v>
      </c>
      <c r="J327" s="100">
        <v>22182.5</v>
      </c>
      <c r="K327" s="100">
        <v>19.600000000000001</v>
      </c>
      <c r="L327" s="100">
        <v>64.25</v>
      </c>
      <c r="M327" s="100">
        <v>0.35</v>
      </c>
      <c r="N327" s="100">
        <v>4.1999999999999993</v>
      </c>
      <c r="O327" s="98" t="s">
        <v>48</v>
      </c>
      <c r="P327" s="98">
        <v>4</v>
      </c>
      <c r="Q327" s="98">
        <v>10</v>
      </c>
      <c r="R327" s="98" t="s">
        <v>49</v>
      </c>
      <c r="S327" s="98" t="s">
        <v>50</v>
      </c>
      <c r="T327" s="98" t="s">
        <v>50</v>
      </c>
      <c r="U327" s="98" t="s">
        <v>50</v>
      </c>
      <c r="V327" s="98" t="s">
        <v>50</v>
      </c>
      <c r="W327" s="98" t="s">
        <v>50</v>
      </c>
      <c r="X327" s="98" t="s">
        <v>50</v>
      </c>
    </row>
    <row r="328" spans="1:25" x14ac:dyDescent="0.25">
      <c r="A328" s="194">
        <v>44075</v>
      </c>
      <c r="B328" s="98" t="s">
        <v>849</v>
      </c>
      <c r="C328" s="34" t="s">
        <v>78</v>
      </c>
      <c r="D328" s="98">
        <v>38.09178</v>
      </c>
      <c r="E328" s="98">
        <v>-122.01747</v>
      </c>
      <c r="F328" s="98" t="s">
        <v>1241</v>
      </c>
      <c r="G328" s="194" t="s">
        <v>27</v>
      </c>
      <c r="H328" s="34" t="s">
        <v>86</v>
      </c>
      <c r="I328" s="621">
        <v>0.47222222222222227</v>
      </c>
      <c r="J328" s="100">
        <v>16143.25</v>
      </c>
      <c r="K328" s="100">
        <v>20.25</v>
      </c>
      <c r="L328" s="100">
        <v>34.824999999999996</v>
      </c>
      <c r="M328" s="100">
        <v>0.41749999999999998</v>
      </c>
      <c r="N328" s="100">
        <v>10.1</v>
      </c>
      <c r="O328" s="98" t="s">
        <v>48</v>
      </c>
      <c r="P328" s="98">
        <v>4</v>
      </c>
      <c r="Q328" s="98">
        <v>10</v>
      </c>
      <c r="R328" s="98" t="s">
        <v>49</v>
      </c>
      <c r="S328" s="98" t="s">
        <v>50</v>
      </c>
      <c r="T328" s="98" t="s">
        <v>50</v>
      </c>
      <c r="U328" s="98" t="s">
        <v>50</v>
      </c>
      <c r="V328" s="98" t="s">
        <v>50</v>
      </c>
      <c r="W328" s="98" t="s">
        <v>50</v>
      </c>
      <c r="X328" s="98" t="s">
        <v>50</v>
      </c>
    </row>
    <row r="329" spans="1:25" x14ac:dyDescent="0.25">
      <c r="A329" s="194">
        <v>44075</v>
      </c>
      <c r="B329" s="98" t="s">
        <v>849</v>
      </c>
      <c r="C329" s="98" t="s">
        <v>126</v>
      </c>
      <c r="D329" s="98">
        <v>38.259790000000002</v>
      </c>
      <c r="E329" s="98">
        <v>-121.76345000000001</v>
      </c>
      <c r="F329" s="98" t="s">
        <v>1242</v>
      </c>
      <c r="G329" s="98" t="s">
        <v>90</v>
      </c>
      <c r="H329" s="98" t="s">
        <v>845</v>
      </c>
      <c r="I329" s="621">
        <v>0.3298611111111111</v>
      </c>
      <c r="J329" s="100">
        <v>174.05</v>
      </c>
      <c r="K329" s="100">
        <v>20.85</v>
      </c>
      <c r="L329" s="100">
        <v>7.7524999999999995</v>
      </c>
      <c r="M329" s="100">
        <v>1.2774999999999999</v>
      </c>
      <c r="N329" s="100">
        <v>4.3499999999999996</v>
      </c>
      <c r="O329" s="98" t="s">
        <v>48</v>
      </c>
      <c r="P329" s="98">
        <v>4</v>
      </c>
      <c r="Q329" s="98">
        <v>10</v>
      </c>
      <c r="R329" s="98" t="s">
        <v>49</v>
      </c>
      <c r="S329" s="98" t="s">
        <v>50</v>
      </c>
      <c r="T329" s="98" t="s">
        <v>50</v>
      </c>
      <c r="U329" s="98" t="s">
        <v>50</v>
      </c>
      <c r="V329" s="98" t="s">
        <v>50</v>
      </c>
      <c r="W329" s="98" t="s">
        <v>50</v>
      </c>
      <c r="X329" s="98" t="s">
        <v>50</v>
      </c>
    </row>
    <row r="330" spans="1:25" x14ac:dyDescent="0.25">
      <c r="A330" s="194">
        <v>44075</v>
      </c>
      <c r="B330" s="98" t="s">
        <v>849</v>
      </c>
      <c r="C330" s="98" t="s">
        <v>126</v>
      </c>
      <c r="D330" s="98">
        <v>38.246519999999997</v>
      </c>
      <c r="E330" s="98">
        <v>-121.70826</v>
      </c>
      <c r="F330" s="98" t="s">
        <v>1243</v>
      </c>
      <c r="G330" s="98" t="s">
        <v>90</v>
      </c>
      <c r="H330" s="98" t="s">
        <v>845</v>
      </c>
      <c r="I330" s="621">
        <v>0.39027777777777778</v>
      </c>
      <c r="J330" s="100">
        <v>173.67500000000001</v>
      </c>
      <c r="K330" s="100">
        <v>21.05</v>
      </c>
      <c r="L330" s="100">
        <v>5.5625000000000009</v>
      </c>
      <c r="M330" s="100">
        <v>2</v>
      </c>
      <c r="N330" s="100">
        <v>3.875</v>
      </c>
      <c r="O330" s="98" t="s">
        <v>48</v>
      </c>
      <c r="P330" s="98">
        <v>4</v>
      </c>
      <c r="Q330" s="98">
        <v>10</v>
      </c>
      <c r="R330" s="98" t="s">
        <v>49</v>
      </c>
      <c r="S330" s="98" t="s">
        <v>50</v>
      </c>
      <c r="T330" s="98" t="s">
        <v>50</v>
      </c>
      <c r="U330" s="98" t="s">
        <v>50</v>
      </c>
      <c r="V330" s="98" t="s">
        <v>50</v>
      </c>
      <c r="W330" s="98" t="s">
        <v>50</v>
      </c>
      <c r="X330" s="98" t="s">
        <v>50</v>
      </c>
      <c r="Y330" s="622" t="s">
        <v>1244</v>
      </c>
    </row>
    <row r="331" spans="1:25" x14ac:dyDescent="0.25">
      <c r="A331" s="194">
        <v>44075</v>
      </c>
      <c r="B331" s="98" t="s">
        <v>849</v>
      </c>
      <c r="C331" s="98" t="s">
        <v>126</v>
      </c>
      <c r="D331" s="98">
        <v>38.244430000000001</v>
      </c>
      <c r="E331" s="98">
        <v>-121.68765999999999</v>
      </c>
      <c r="F331" s="98" t="s">
        <v>1245</v>
      </c>
      <c r="G331" s="98" t="s">
        <v>90</v>
      </c>
      <c r="H331" s="98" t="s">
        <v>845</v>
      </c>
      <c r="I331" s="621">
        <v>0.4513888888888889</v>
      </c>
      <c r="J331" s="100">
        <v>170</v>
      </c>
      <c r="K331" s="100">
        <v>20.975000000000001</v>
      </c>
      <c r="L331" s="100">
        <v>5.4924999999999997</v>
      </c>
      <c r="M331" s="100">
        <v>2</v>
      </c>
      <c r="N331" s="100">
        <v>9.6999999999999993</v>
      </c>
      <c r="O331" s="98" t="s">
        <v>48</v>
      </c>
      <c r="P331" s="98">
        <v>4</v>
      </c>
      <c r="Q331" s="98">
        <v>10</v>
      </c>
      <c r="R331" s="98" t="s">
        <v>49</v>
      </c>
      <c r="S331" s="98" t="s">
        <v>50</v>
      </c>
      <c r="T331" s="98" t="s">
        <v>50</v>
      </c>
      <c r="U331" s="98" t="s">
        <v>50</v>
      </c>
      <c r="V331" s="98" t="s">
        <v>50</v>
      </c>
      <c r="W331" s="98" t="s">
        <v>50</v>
      </c>
      <c r="X331" s="98" t="s">
        <v>50</v>
      </c>
    </row>
    <row r="332" spans="1:25" x14ac:dyDescent="0.25">
      <c r="A332" s="194">
        <v>44075</v>
      </c>
      <c r="B332" s="98" t="s">
        <v>849</v>
      </c>
      <c r="C332" s="97" t="s">
        <v>88</v>
      </c>
      <c r="D332" s="98">
        <v>38.124200000000002</v>
      </c>
      <c r="E332" s="98">
        <v>-121.69531000000001</v>
      </c>
      <c r="F332" s="98" t="s">
        <v>1246</v>
      </c>
      <c r="G332" s="97" t="s">
        <v>90</v>
      </c>
      <c r="H332" s="97" t="s">
        <v>91</v>
      </c>
      <c r="I332" s="621">
        <v>0.375</v>
      </c>
      <c r="J332" s="100">
        <v>324.10000000000002</v>
      </c>
      <c r="K332" s="100">
        <v>21.774999999999999</v>
      </c>
      <c r="L332" s="100">
        <v>9.6900000000000013</v>
      </c>
      <c r="M332" s="100">
        <v>1.1075000000000002</v>
      </c>
      <c r="N332" s="100">
        <v>4.3499999999999996</v>
      </c>
      <c r="O332" s="98" t="s">
        <v>48</v>
      </c>
      <c r="P332" s="98">
        <v>4</v>
      </c>
      <c r="Q332" s="98">
        <v>10</v>
      </c>
      <c r="R332" s="98" t="s">
        <v>49</v>
      </c>
      <c r="S332" s="98" t="s">
        <v>50</v>
      </c>
      <c r="T332" s="98" t="s">
        <v>50</v>
      </c>
      <c r="U332" s="98" t="s">
        <v>50</v>
      </c>
      <c r="V332" s="98" t="s">
        <v>50</v>
      </c>
      <c r="W332" s="98" t="s">
        <v>50</v>
      </c>
      <c r="X332" s="98" t="s">
        <v>50</v>
      </c>
    </row>
    <row r="333" spans="1:25" s="154" customFormat="1" x14ac:dyDescent="0.25">
      <c r="A333" s="195">
        <v>44075</v>
      </c>
      <c r="B333" s="154" t="s">
        <v>849</v>
      </c>
      <c r="C333" s="153" t="s">
        <v>88</v>
      </c>
      <c r="D333" s="154">
        <v>38.068620000000003</v>
      </c>
      <c r="E333" s="154">
        <v>-121.83817999999999</v>
      </c>
      <c r="F333" s="154" t="s">
        <v>1247</v>
      </c>
      <c r="G333" s="153" t="s">
        <v>27</v>
      </c>
      <c r="H333" s="153" t="s">
        <v>25</v>
      </c>
      <c r="I333" s="636">
        <v>0.34722222222222227</v>
      </c>
      <c r="J333" s="156" t="s">
        <v>50</v>
      </c>
      <c r="K333" s="156" t="s">
        <v>50</v>
      </c>
      <c r="L333" s="156" t="s">
        <v>50</v>
      </c>
      <c r="M333" s="156" t="s">
        <v>50</v>
      </c>
      <c r="N333" s="156" t="s">
        <v>50</v>
      </c>
      <c r="O333" s="154" t="s">
        <v>48</v>
      </c>
      <c r="P333" s="154">
        <v>0</v>
      </c>
      <c r="Q333" s="154" t="s">
        <v>50</v>
      </c>
      <c r="R333" s="154" t="s">
        <v>50</v>
      </c>
      <c r="S333" s="154" t="s">
        <v>50</v>
      </c>
      <c r="T333" s="154" t="s">
        <v>50</v>
      </c>
      <c r="U333" s="154" t="s">
        <v>50</v>
      </c>
      <c r="V333" s="154" t="s">
        <v>50</v>
      </c>
      <c r="W333" s="154" t="s">
        <v>50</v>
      </c>
      <c r="X333" s="154" t="s">
        <v>50</v>
      </c>
      <c r="Y333" s="627" t="s">
        <v>1042</v>
      </c>
    </row>
    <row r="334" spans="1:25" s="154" customFormat="1" x14ac:dyDescent="0.25">
      <c r="A334" s="195">
        <v>44075</v>
      </c>
      <c r="B334" s="154" t="s">
        <v>849</v>
      </c>
      <c r="C334" s="153" t="s">
        <v>88</v>
      </c>
      <c r="D334" s="154">
        <v>38.062220000000003</v>
      </c>
      <c r="E334" s="154">
        <v>-121.79127</v>
      </c>
      <c r="F334" s="154" t="s">
        <v>1248</v>
      </c>
      <c r="G334" s="153" t="s">
        <v>27</v>
      </c>
      <c r="H334" s="153" t="s">
        <v>25</v>
      </c>
      <c r="I334" s="636">
        <v>0.34861111111111115</v>
      </c>
      <c r="J334" s="156" t="s">
        <v>50</v>
      </c>
      <c r="K334" s="156" t="s">
        <v>50</v>
      </c>
      <c r="L334" s="156" t="s">
        <v>50</v>
      </c>
      <c r="M334" s="156" t="s">
        <v>50</v>
      </c>
      <c r="N334" s="156" t="s">
        <v>50</v>
      </c>
      <c r="O334" s="154" t="s">
        <v>48</v>
      </c>
      <c r="P334" s="154">
        <v>0</v>
      </c>
      <c r="Q334" s="154" t="s">
        <v>50</v>
      </c>
      <c r="R334" s="154" t="s">
        <v>50</v>
      </c>
      <c r="S334" s="154" t="s">
        <v>50</v>
      </c>
      <c r="T334" s="154" t="s">
        <v>50</v>
      </c>
      <c r="U334" s="154" t="s">
        <v>50</v>
      </c>
      <c r="V334" s="154" t="s">
        <v>50</v>
      </c>
      <c r="W334" s="154" t="s">
        <v>50</v>
      </c>
      <c r="X334" s="154" t="s">
        <v>50</v>
      </c>
      <c r="Y334" s="627" t="s">
        <v>1042</v>
      </c>
    </row>
    <row r="335" spans="1:25" s="154" customFormat="1" x14ac:dyDescent="0.25">
      <c r="A335" s="195">
        <v>44075</v>
      </c>
      <c r="B335" s="154" t="s">
        <v>849</v>
      </c>
      <c r="C335" s="153" t="s">
        <v>88</v>
      </c>
      <c r="D335" s="154">
        <v>38.091880000000003</v>
      </c>
      <c r="E335" s="154">
        <v>-121.73526</v>
      </c>
      <c r="F335" s="154" t="s">
        <v>1249</v>
      </c>
      <c r="G335" s="153" t="s">
        <v>90</v>
      </c>
      <c r="H335" s="153" t="s">
        <v>91</v>
      </c>
      <c r="I335" s="636">
        <v>0.3611111111111111</v>
      </c>
      <c r="J335" s="156" t="s">
        <v>50</v>
      </c>
      <c r="K335" s="156" t="s">
        <v>50</v>
      </c>
      <c r="L335" s="156" t="s">
        <v>50</v>
      </c>
      <c r="M335" s="156" t="s">
        <v>50</v>
      </c>
      <c r="N335" s="156" t="s">
        <v>50</v>
      </c>
      <c r="O335" s="154" t="s">
        <v>48</v>
      </c>
      <c r="P335" s="154">
        <v>0</v>
      </c>
      <c r="Q335" s="154" t="s">
        <v>50</v>
      </c>
      <c r="R335" s="154" t="s">
        <v>50</v>
      </c>
      <c r="S335" s="154" t="s">
        <v>50</v>
      </c>
      <c r="T335" s="154" t="s">
        <v>50</v>
      </c>
      <c r="U335" s="154" t="s">
        <v>50</v>
      </c>
      <c r="V335" s="154" t="s">
        <v>50</v>
      </c>
      <c r="W335" s="154" t="s">
        <v>50</v>
      </c>
      <c r="X335" s="154" t="s">
        <v>50</v>
      </c>
      <c r="Y335" s="627" t="s">
        <v>1042</v>
      </c>
    </row>
    <row r="336" spans="1:25" s="154" customFormat="1" x14ac:dyDescent="0.25">
      <c r="A336" s="195">
        <v>44075</v>
      </c>
      <c r="B336" s="154" t="s">
        <v>849</v>
      </c>
      <c r="C336" s="153" t="s">
        <v>88</v>
      </c>
      <c r="D336" s="154">
        <v>38.056710000000002</v>
      </c>
      <c r="E336" s="154">
        <v>-121.8053</v>
      </c>
      <c r="F336" s="154" t="s">
        <v>1250</v>
      </c>
      <c r="G336" s="153" t="s">
        <v>27</v>
      </c>
      <c r="H336" s="153" t="s">
        <v>25</v>
      </c>
      <c r="I336" s="636">
        <v>0.35416666666666669</v>
      </c>
      <c r="J336" s="156" t="s">
        <v>50</v>
      </c>
      <c r="K336" s="156" t="s">
        <v>50</v>
      </c>
      <c r="L336" s="156" t="s">
        <v>50</v>
      </c>
      <c r="M336" s="156" t="s">
        <v>50</v>
      </c>
      <c r="N336" s="156" t="s">
        <v>50</v>
      </c>
      <c r="O336" s="154" t="s">
        <v>48</v>
      </c>
      <c r="P336" s="154">
        <v>0</v>
      </c>
      <c r="Q336" s="154" t="s">
        <v>50</v>
      </c>
      <c r="R336" s="154" t="s">
        <v>50</v>
      </c>
      <c r="S336" s="154" t="s">
        <v>50</v>
      </c>
      <c r="T336" s="154" t="s">
        <v>50</v>
      </c>
      <c r="U336" s="154" t="s">
        <v>50</v>
      </c>
      <c r="V336" s="154" t="s">
        <v>50</v>
      </c>
      <c r="W336" s="154" t="s">
        <v>50</v>
      </c>
      <c r="X336" s="154" t="s">
        <v>50</v>
      </c>
      <c r="Y336" s="627" t="s">
        <v>1042</v>
      </c>
    </row>
    <row r="337" spans="1:25" s="154" customFormat="1" x14ac:dyDescent="0.25">
      <c r="A337" s="195">
        <v>44075</v>
      </c>
      <c r="B337" s="154" t="s">
        <v>849</v>
      </c>
      <c r="C337" s="153" t="s">
        <v>88</v>
      </c>
      <c r="D337" s="154">
        <v>38.06767</v>
      </c>
      <c r="E337" s="154">
        <v>-121.77119999999999</v>
      </c>
      <c r="F337" s="154" t="s">
        <v>1251</v>
      </c>
      <c r="G337" s="153" t="s">
        <v>27</v>
      </c>
      <c r="H337" s="153" t="s">
        <v>25</v>
      </c>
      <c r="I337" s="636">
        <v>0.3576388888888889</v>
      </c>
      <c r="J337" s="156" t="s">
        <v>50</v>
      </c>
      <c r="K337" s="156" t="s">
        <v>50</v>
      </c>
      <c r="L337" s="156" t="s">
        <v>50</v>
      </c>
      <c r="M337" s="156" t="s">
        <v>50</v>
      </c>
      <c r="N337" s="156" t="s">
        <v>50</v>
      </c>
      <c r="O337" s="154" t="s">
        <v>48</v>
      </c>
      <c r="P337" s="154">
        <v>0</v>
      </c>
      <c r="Q337" s="154" t="s">
        <v>50</v>
      </c>
      <c r="R337" s="154" t="s">
        <v>50</v>
      </c>
      <c r="S337" s="154" t="s">
        <v>50</v>
      </c>
      <c r="T337" s="154" t="s">
        <v>50</v>
      </c>
      <c r="U337" s="154" t="s">
        <v>50</v>
      </c>
      <c r="V337" s="154" t="s">
        <v>50</v>
      </c>
      <c r="W337" s="154" t="s">
        <v>50</v>
      </c>
      <c r="X337" s="154" t="s">
        <v>50</v>
      </c>
      <c r="Y337" s="627" t="s">
        <v>1042</v>
      </c>
    </row>
    <row r="338" spans="1:25" x14ac:dyDescent="0.25">
      <c r="A338" s="194">
        <v>44075</v>
      </c>
      <c r="B338" s="98" t="s">
        <v>849</v>
      </c>
      <c r="C338" s="97" t="s">
        <v>88</v>
      </c>
      <c r="D338" s="98">
        <v>38.138640000000002</v>
      </c>
      <c r="E338" s="98">
        <v>-121.69311999999999</v>
      </c>
      <c r="F338" s="98" t="s">
        <v>1252</v>
      </c>
      <c r="G338" s="97" t="s">
        <v>90</v>
      </c>
      <c r="H338" s="97" t="s">
        <v>91</v>
      </c>
      <c r="I338" s="621">
        <v>0.42222222222222222</v>
      </c>
      <c r="J338" s="100">
        <v>183.7</v>
      </c>
      <c r="K338" s="100">
        <v>21.950000000000003</v>
      </c>
      <c r="L338" s="100">
        <v>6.2524999999999995</v>
      </c>
      <c r="M338" s="100">
        <v>1.3174999999999999</v>
      </c>
      <c r="N338" s="100">
        <v>9.8000000000000007</v>
      </c>
      <c r="O338" s="98" t="s">
        <v>48</v>
      </c>
      <c r="P338" s="98">
        <v>4</v>
      </c>
      <c r="Q338" s="98">
        <v>10</v>
      </c>
      <c r="R338" s="98" t="s">
        <v>49</v>
      </c>
      <c r="S338" s="98" t="s">
        <v>50</v>
      </c>
      <c r="T338" s="98" t="s">
        <v>50</v>
      </c>
      <c r="U338" s="98" t="s">
        <v>50</v>
      </c>
      <c r="V338" s="98" t="s">
        <v>50</v>
      </c>
      <c r="W338" s="98" t="s">
        <v>50</v>
      </c>
      <c r="X338" s="98" t="s">
        <v>50</v>
      </c>
      <c r="Y338" s="622" t="s">
        <v>1253</v>
      </c>
    </row>
    <row r="339" spans="1:25" x14ac:dyDescent="0.25">
      <c r="A339" s="194">
        <v>44076</v>
      </c>
      <c r="B339" s="98" t="s">
        <v>87</v>
      </c>
      <c r="C339" s="98" t="s">
        <v>88</v>
      </c>
      <c r="D339" s="98">
        <v>38.098820000000003</v>
      </c>
      <c r="E339" s="98">
        <v>-121.72369</v>
      </c>
      <c r="F339" s="98" t="s">
        <v>1254</v>
      </c>
      <c r="G339" s="98" t="s">
        <v>90</v>
      </c>
      <c r="H339" s="98" t="s">
        <v>91</v>
      </c>
      <c r="I339" s="621">
        <v>0.35347222222222219</v>
      </c>
      <c r="J339" s="100">
        <v>665.25</v>
      </c>
      <c r="K339" s="100">
        <v>21.05</v>
      </c>
      <c r="L339" s="100">
        <v>49.52</v>
      </c>
      <c r="M339" s="100">
        <v>0.57999999999999996</v>
      </c>
      <c r="N339" s="100">
        <v>6.12</v>
      </c>
      <c r="O339" s="98" t="s">
        <v>48</v>
      </c>
      <c r="P339" s="98">
        <v>4</v>
      </c>
      <c r="Q339" s="98">
        <v>10</v>
      </c>
      <c r="R339" s="98" t="s">
        <v>49</v>
      </c>
      <c r="S339" s="98" t="s">
        <v>50</v>
      </c>
      <c r="T339" s="98" t="s">
        <v>50</v>
      </c>
      <c r="U339" s="98" t="s">
        <v>50</v>
      </c>
      <c r="V339" s="98" t="s">
        <v>50</v>
      </c>
      <c r="W339" s="98" t="s">
        <v>50</v>
      </c>
      <c r="X339" s="98" t="s">
        <v>50</v>
      </c>
    </row>
    <row r="340" spans="1:25" x14ac:dyDescent="0.25">
      <c r="A340" s="194">
        <v>44076</v>
      </c>
      <c r="B340" s="98" t="s">
        <v>87</v>
      </c>
      <c r="C340" s="98" t="s">
        <v>95</v>
      </c>
      <c r="D340" s="98">
        <v>38.017240000000001</v>
      </c>
      <c r="E340" s="98">
        <v>-121.78948</v>
      </c>
      <c r="F340" s="98" t="s">
        <v>1255</v>
      </c>
      <c r="G340" s="98" t="s">
        <v>27</v>
      </c>
      <c r="H340" s="98" t="s">
        <v>95</v>
      </c>
      <c r="I340" s="621">
        <v>0.43472222222222223</v>
      </c>
      <c r="J340" s="100">
        <v>3577.75</v>
      </c>
      <c r="K340" s="100">
        <v>21.05</v>
      </c>
      <c r="L340" s="100">
        <v>13.27</v>
      </c>
      <c r="M340" s="100">
        <v>0.83</v>
      </c>
      <c r="N340" s="100">
        <v>8.2200000000000006</v>
      </c>
      <c r="O340" s="98" t="s">
        <v>48</v>
      </c>
      <c r="P340" s="98">
        <v>4</v>
      </c>
      <c r="Q340" s="98">
        <v>10</v>
      </c>
      <c r="R340" s="98" t="s">
        <v>49</v>
      </c>
      <c r="S340" s="98" t="s">
        <v>50</v>
      </c>
      <c r="T340" s="98" t="s">
        <v>50</v>
      </c>
      <c r="U340" s="98" t="s">
        <v>50</v>
      </c>
      <c r="V340" s="98" t="s">
        <v>50</v>
      </c>
      <c r="W340" s="98" t="s">
        <v>50</v>
      </c>
      <c r="X340" s="98" t="s">
        <v>50</v>
      </c>
    </row>
    <row r="341" spans="1:25" x14ac:dyDescent="0.25">
      <c r="A341" s="194">
        <v>44076</v>
      </c>
      <c r="B341" s="98" t="s">
        <v>87</v>
      </c>
      <c r="C341" s="98" t="s">
        <v>95</v>
      </c>
      <c r="D341" s="98">
        <v>38.027529999999999</v>
      </c>
      <c r="E341" s="98">
        <v>-121.74961</v>
      </c>
      <c r="F341" s="98" t="s">
        <v>1256</v>
      </c>
      <c r="G341" s="98" t="s">
        <v>27</v>
      </c>
      <c r="H341" s="98" t="s">
        <v>95</v>
      </c>
      <c r="I341" s="621">
        <v>0.48472222222222222</v>
      </c>
      <c r="J341" s="100">
        <v>2147.5</v>
      </c>
      <c r="K341" s="100">
        <v>21.35</v>
      </c>
      <c r="L341" s="100">
        <v>10.47</v>
      </c>
      <c r="M341" s="100">
        <v>1</v>
      </c>
      <c r="N341" s="100">
        <v>11.35</v>
      </c>
      <c r="O341" s="98" t="s">
        <v>48</v>
      </c>
      <c r="P341" s="98">
        <v>4</v>
      </c>
      <c r="Q341" s="98">
        <v>10</v>
      </c>
      <c r="R341" s="98" t="s">
        <v>49</v>
      </c>
      <c r="S341" s="98" t="s">
        <v>50</v>
      </c>
      <c r="T341" s="98" t="s">
        <v>50</v>
      </c>
      <c r="U341" s="98" t="s">
        <v>50</v>
      </c>
      <c r="V341" s="98" t="s">
        <v>50</v>
      </c>
      <c r="W341" s="98" t="s">
        <v>50</v>
      </c>
      <c r="X341" s="98" t="s">
        <v>50</v>
      </c>
    </row>
    <row r="342" spans="1:25" x14ac:dyDescent="0.25">
      <c r="A342" s="194">
        <v>44076</v>
      </c>
      <c r="B342" s="98" t="s">
        <v>87</v>
      </c>
      <c r="C342" s="98" t="s">
        <v>95</v>
      </c>
      <c r="D342" s="98">
        <v>38.056249999999999</v>
      </c>
      <c r="E342" s="98">
        <v>-121.68859</v>
      </c>
      <c r="F342" s="98" t="s">
        <v>1257</v>
      </c>
      <c r="G342" s="98" t="s">
        <v>886</v>
      </c>
      <c r="H342" s="98" t="s">
        <v>908</v>
      </c>
      <c r="I342" s="621">
        <v>0.54305555555555551</v>
      </c>
      <c r="J342" s="100">
        <v>1336.5</v>
      </c>
      <c r="K342" s="100">
        <v>22.1</v>
      </c>
      <c r="L342" s="100">
        <v>7.09</v>
      </c>
      <c r="M342" s="100">
        <v>1.145</v>
      </c>
      <c r="N342" s="100">
        <v>10.375</v>
      </c>
      <c r="O342" s="98" t="s">
        <v>48</v>
      </c>
      <c r="P342" s="98">
        <v>4</v>
      </c>
      <c r="Q342" s="98">
        <v>10</v>
      </c>
      <c r="R342" s="98" t="s">
        <v>64</v>
      </c>
      <c r="S342" s="98" t="s">
        <v>50</v>
      </c>
      <c r="T342" s="98" t="s">
        <v>50</v>
      </c>
      <c r="U342" s="98" t="s">
        <v>50</v>
      </c>
      <c r="V342" s="98" t="s">
        <v>50</v>
      </c>
      <c r="W342" s="98" t="s">
        <v>50</v>
      </c>
      <c r="X342" s="98" t="s">
        <v>50</v>
      </c>
    </row>
    <row r="343" spans="1:25" x14ac:dyDescent="0.25">
      <c r="A343" s="194">
        <v>44076</v>
      </c>
      <c r="B343" s="98" t="s">
        <v>87</v>
      </c>
      <c r="C343" s="97" t="s">
        <v>106</v>
      </c>
      <c r="D343" s="98">
        <v>38.351349999999996</v>
      </c>
      <c r="E343" s="98">
        <v>-121.63991</v>
      </c>
      <c r="F343" s="98" t="s">
        <v>1258</v>
      </c>
      <c r="G343" s="98" t="s">
        <v>90</v>
      </c>
      <c r="H343" s="97" t="s">
        <v>108</v>
      </c>
      <c r="I343" s="621">
        <v>0.48819444444444443</v>
      </c>
      <c r="J343" s="100">
        <v>372.55</v>
      </c>
      <c r="K343" s="100">
        <v>22.35</v>
      </c>
      <c r="L343" s="100">
        <v>60.45</v>
      </c>
      <c r="M343" s="100">
        <v>0.28000000000000003</v>
      </c>
      <c r="N343" s="100">
        <v>9.9700000000000006</v>
      </c>
      <c r="O343" s="98" t="s">
        <v>48</v>
      </c>
      <c r="P343" s="98">
        <v>4</v>
      </c>
      <c r="Q343" s="98">
        <v>10</v>
      </c>
      <c r="R343" s="98" t="s">
        <v>49</v>
      </c>
      <c r="S343" s="98" t="s">
        <v>50</v>
      </c>
      <c r="T343" s="98" t="s">
        <v>50</v>
      </c>
      <c r="U343" s="98" t="s">
        <v>50</v>
      </c>
      <c r="V343" s="98" t="s">
        <v>50</v>
      </c>
      <c r="W343" s="98" t="s">
        <v>50</v>
      </c>
      <c r="X343" s="98" t="s">
        <v>50</v>
      </c>
      <c r="Y343" s="622" t="s">
        <v>1259</v>
      </c>
    </row>
    <row r="344" spans="1:25" x14ac:dyDescent="0.25">
      <c r="A344" s="194">
        <v>44076</v>
      </c>
      <c r="B344" s="98" t="s">
        <v>87</v>
      </c>
      <c r="C344" s="97" t="s">
        <v>106</v>
      </c>
      <c r="D344" s="98">
        <v>38.525660000000002</v>
      </c>
      <c r="E344" s="98">
        <v>-121.58429</v>
      </c>
      <c r="F344" s="98" t="s">
        <v>1260</v>
      </c>
      <c r="G344" s="98" t="s">
        <v>90</v>
      </c>
      <c r="H344" s="98" t="s">
        <v>158</v>
      </c>
      <c r="I344" s="621">
        <v>0.41388888888888892</v>
      </c>
      <c r="J344" s="100">
        <v>997.75</v>
      </c>
      <c r="K344" s="100">
        <v>23.9</v>
      </c>
      <c r="L344" s="100">
        <v>11.18</v>
      </c>
      <c r="M344" s="100">
        <v>0.93</v>
      </c>
      <c r="N344" s="100">
        <v>11.05</v>
      </c>
      <c r="O344" s="98" t="s">
        <v>48</v>
      </c>
      <c r="P344" s="98">
        <v>4</v>
      </c>
      <c r="Q344" s="98">
        <v>10</v>
      </c>
      <c r="R344" s="98" t="s">
        <v>49</v>
      </c>
      <c r="S344" s="98" t="s">
        <v>50</v>
      </c>
      <c r="T344" s="98" t="s">
        <v>50</v>
      </c>
      <c r="U344" s="98" t="s">
        <v>50</v>
      </c>
      <c r="V344" s="98" t="s">
        <v>50</v>
      </c>
      <c r="W344" s="98" t="s">
        <v>50</v>
      </c>
      <c r="X344" s="98" t="s">
        <v>50</v>
      </c>
    </row>
    <row r="345" spans="1:25" x14ac:dyDescent="0.25">
      <c r="A345" s="194">
        <v>44076</v>
      </c>
      <c r="B345" s="98" t="s">
        <v>87</v>
      </c>
      <c r="C345" s="97" t="s">
        <v>106</v>
      </c>
      <c r="D345" s="98">
        <v>38.559849999999997</v>
      </c>
      <c r="E345" s="98">
        <v>-121.56494000000001</v>
      </c>
      <c r="F345" s="98" t="s">
        <v>1261</v>
      </c>
      <c r="G345" s="98" t="s">
        <v>90</v>
      </c>
      <c r="H345" s="98" t="s">
        <v>158</v>
      </c>
      <c r="I345" s="621">
        <v>0.35902777777777778</v>
      </c>
      <c r="J345" s="100">
        <v>1149.75</v>
      </c>
      <c r="K345" s="100">
        <v>24.55</v>
      </c>
      <c r="L345" s="100">
        <v>8.07</v>
      </c>
      <c r="M345" s="100">
        <v>1.22</v>
      </c>
      <c r="N345" s="100">
        <v>11.38</v>
      </c>
      <c r="O345" s="98" t="s">
        <v>48</v>
      </c>
      <c r="P345" s="98">
        <v>4</v>
      </c>
      <c r="Q345" s="98">
        <v>10</v>
      </c>
      <c r="R345" s="98" t="s">
        <v>49</v>
      </c>
      <c r="S345" s="98" t="s">
        <v>50</v>
      </c>
      <c r="T345" s="98" t="s">
        <v>50</v>
      </c>
      <c r="U345" s="98" t="s">
        <v>50</v>
      </c>
      <c r="V345" s="98" t="s">
        <v>50</v>
      </c>
      <c r="W345" s="98" t="s">
        <v>50</v>
      </c>
      <c r="X345" s="98" t="s">
        <v>50</v>
      </c>
    </row>
    <row r="346" spans="1:25" x14ac:dyDescent="0.25">
      <c r="A346" s="194">
        <v>44076</v>
      </c>
      <c r="B346" s="98" t="s">
        <v>87</v>
      </c>
      <c r="C346" s="98" t="s">
        <v>78</v>
      </c>
      <c r="D346" s="98">
        <v>38.064970000000002</v>
      </c>
      <c r="E346" s="98">
        <v>-122.02019</v>
      </c>
      <c r="F346" s="98" t="s">
        <v>1262</v>
      </c>
      <c r="G346" s="98" t="s">
        <v>27</v>
      </c>
      <c r="H346" s="98" t="s">
        <v>86</v>
      </c>
      <c r="I346" s="621">
        <v>0.52777777777777779</v>
      </c>
      <c r="J346" s="100">
        <v>14596</v>
      </c>
      <c r="K346" s="100">
        <v>20.27</v>
      </c>
      <c r="L346" s="100">
        <v>20.65</v>
      </c>
      <c r="M346" s="100">
        <v>0.67</v>
      </c>
      <c r="N346" s="100">
        <v>9.02</v>
      </c>
      <c r="O346" s="98" t="s">
        <v>48</v>
      </c>
      <c r="P346" s="98">
        <v>4</v>
      </c>
      <c r="Q346" s="98">
        <v>10</v>
      </c>
      <c r="R346" s="98" t="s">
        <v>64</v>
      </c>
      <c r="S346" s="98" t="s">
        <v>50</v>
      </c>
      <c r="T346" s="98" t="s">
        <v>50</v>
      </c>
      <c r="U346" s="98" t="s">
        <v>50</v>
      </c>
      <c r="V346" s="98" t="s">
        <v>50</v>
      </c>
      <c r="W346" s="98" t="s">
        <v>50</v>
      </c>
      <c r="X346" s="98" t="s">
        <v>50</v>
      </c>
    </row>
    <row r="347" spans="1:25" x14ac:dyDescent="0.25">
      <c r="A347" s="194">
        <v>44076</v>
      </c>
      <c r="B347" s="98" t="s">
        <v>87</v>
      </c>
      <c r="C347" s="98" t="s">
        <v>62</v>
      </c>
      <c r="D347" s="98">
        <v>38.104309999999998</v>
      </c>
      <c r="E347" s="98">
        <v>-122.04461000000001</v>
      </c>
      <c r="F347" s="98" t="s">
        <v>1263</v>
      </c>
      <c r="G347" s="98" t="s">
        <v>27</v>
      </c>
      <c r="H347" s="98" t="s">
        <v>173</v>
      </c>
      <c r="I347" s="621">
        <v>0.34583333333333338</v>
      </c>
      <c r="J347" s="100">
        <v>22532.75</v>
      </c>
      <c r="K347" s="100">
        <v>17.38</v>
      </c>
      <c r="L347" s="100">
        <v>46.1</v>
      </c>
      <c r="M347" s="100">
        <v>0.41</v>
      </c>
      <c r="N347" s="100">
        <v>2.56</v>
      </c>
      <c r="O347" s="98" t="s">
        <v>48</v>
      </c>
      <c r="P347" s="98">
        <v>4</v>
      </c>
      <c r="Q347" s="98">
        <v>10</v>
      </c>
      <c r="R347" s="98" t="s">
        <v>49</v>
      </c>
      <c r="S347" s="98" t="s">
        <v>50</v>
      </c>
      <c r="T347" s="98" t="s">
        <v>50</v>
      </c>
      <c r="U347" s="98" t="s">
        <v>50</v>
      </c>
      <c r="V347" s="98" t="s">
        <v>50</v>
      </c>
      <c r="W347" s="98" t="s">
        <v>50</v>
      </c>
      <c r="X347" s="98" t="s">
        <v>50</v>
      </c>
    </row>
    <row r="348" spans="1:25" x14ac:dyDescent="0.25">
      <c r="A348" s="194">
        <v>44076</v>
      </c>
      <c r="B348" s="98" t="s">
        <v>87</v>
      </c>
      <c r="C348" s="98" t="s">
        <v>62</v>
      </c>
      <c r="D348" s="98">
        <v>38.101410000000001</v>
      </c>
      <c r="E348" s="98">
        <v>-122.05936</v>
      </c>
      <c r="F348" s="98" t="s">
        <v>1264</v>
      </c>
      <c r="G348" s="98" t="s">
        <v>27</v>
      </c>
      <c r="H348" s="98" t="s">
        <v>173</v>
      </c>
      <c r="I348" s="621">
        <v>0.40069444444444446</v>
      </c>
      <c r="J348" s="100">
        <v>20492.75</v>
      </c>
      <c r="K348" s="100">
        <v>19.05</v>
      </c>
      <c r="L348" s="100">
        <v>90.8</v>
      </c>
      <c r="M348" s="100">
        <v>0.28000000000000003</v>
      </c>
      <c r="N348" s="100">
        <v>4.1500000000000004</v>
      </c>
      <c r="O348" s="98" t="s">
        <v>48</v>
      </c>
      <c r="P348" s="98">
        <v>4</v>
      </c>
      <c r="Q348" s="98">
        <v>10</v>
      </c>
      <c r="R348" s="98" t="s">
        <v>49</v>
      </c>
      <c r="S348" s="98" t="s">
        <v>50</v>
      </c>
      <c r="T348" s="98" t="s">
        <v>50</v>
      </c>
      <c r="U348" s="98" t="s">
        <v>50</v>
      </c>
      <c r="V348" s="98" t="s">
        <v>50</v>
      </c>
      <c r="W348" s="98" t="s">
        <v>50</v>
      </c>
      <c r="X348" s="98" t="s">
        <v>50</v>
      </c>
    </row>
    <row r="349" spans="1:25" x14ac:dyDescent="0.25">
      <c r="A349" s="194">
        <v>44076</v>
      </c>
      <c r="B349" s="98" t="s">
        <v>87</v>
      </c>
      <c r="C349" s="98" t="s">
        <v>62</v>
      </c>
      <c r="D349" s="98">
        <v>38.179110000000001</v>
      </c>
      <c r="E349" s="98">
        <v>-122.05785</v>
      </c>
      <c r="F349" s="98" t="s">
        <v>1265</v>
      </c>
      <c r="G349" s="98" t="s">
        <v>27</v>
      </c>
      <c r="H349" s="98" t="s">
        <v>62</v>
      </c>
      <c r="I349" s="621">
        <v>0.4604166666666667</v>
      </c>
      <c r="J349" s="100">
        <v>49638.75</v>
      </c>
      <c r="K349" s="100">
        <v>20.03</v>
      </c>
      <c r="L349" s="100">
        <v>44.22</v>
      </c>
      <c r="M349" s="100">
        <v>0.37</v>
      </c>
      <c r="N349" s="100">
        <v>7.67</v>
      </c>
      <c r="O349" s="98" t="s">
        <v>48</v>
      </c>
      <c r="P349" s="98">
        <v>4</v>
      </c>
      <c r="Q349" s="98">
        <v>10</v>
      </c>
      <c r="R349" s="98" t="s">
        <v>64</v>
      </c>
      <c r="S349" s="98" t="s">
        <v>50</v>
      </c>
      <c r="T349" s="98" t="s">
        <v>50</v>
      </c>
      <c r="U349" s="98" t="s">
        <v>50</v>
      </c>
      <c r="V349" s="98" t="s">
        <v>50</v>
      </c>
      <c r="W349" s="98" t="s">
        <v>50</v>
      </c>
      <c r="X349" s="98" t="s">
        <v>50</v>
      </c>
      <c r="Y349" s="622" t="s">
        <v>1238</v>
      </c>
    </row>
    <row r="350" spans="1:25" x14ac:dyDescent="0.25">
      <c r="A350" s="194">
        <v>44077</v>
      </c>
      <c r="B350" s="98" t="s">
        <v>105</v>
      </c>
      <c r="C350" s="98" t="s">
        <v>95</v>
      </c>
      <c r="D350" s="98">
        <v>38.049309999999998</v>
      </c>
      <c r="E350" s="623">
        <v>-121.49751999999999</v>
      </c>
      <c r="F350" s="98" t="s">
        <v>1266</v>
      </c>
      <c r="G350" s="98" t="s">
        <v>46</v>
      </c>
      <c r="H350" s="98" t="s">
        <v>115</v>
      </c>
      <c r="I350" s="621">
        <v>0.40416666666666662</v>
      </c>
      <c r="J350" s="100">
        <v>313.8</v>
      </c>
      <c r="K350" s="100">
        <v>22.28</v>
      </c>
      <c r="L350" s="100">
        <v>5.51</v>
      </c>
      <c r="M350" s="100">
        <v>1.8</v>
      </c>
      <c r="N350" s="100">
        <v>7.07</v>
      </c>
      <c r="O350" s="98" t="s">
        <v>48</v>
      </c>
      <c r="P350" s="98">
        <v>4</v>
      </c>
      <c r="Q350" s="98">
        <v>10</v>
      </c>
      <c r="R350" s="98" t="s">
        <v>49</v>
      </c>
      <c r="S350" s="98" t="s">
        <v>50</v>
      </c>
      <c r="T350" s="98" t="s">
        <v>50</v>
      </c>
      <c r="U350" s="98" t="s">
        <v>50</v>
      </c>
      <c r="V350" s="98" t="s">
        <v>50</v>
      </c>
      <c r="W350" s="98" t="s">
        <v>50</v>
      </c>
      <c r="X350" s="98" t="s">
        <v>50</v>
      </c>
    </row>
    <row r="351" spans="1:25" x14ac:dyDescent="0.25">
      <c r="A351" s="194">
        <v>44077</v>
      </c>
      <c r="B351" s="98" t="s">
        <v>105</v>
      </c>
      <c r="C351" s="98" t="s">
        <v>95</v>
      </c>
      <c r="D351" s="98">
        <v>38.05668</v>
      </c>
      <c r="E351" s="623">
        <v>-121.53367</v>
      </c>
      <c r="F351" s="98" t="s">
        <v>1267</v>
      </c>
      <c r="G351" s="98" t="s">
        <v>46</v>
      </c>
      <c r="H351" s="98" t="s">
        <v>115</v>
      </c>
      <c r="I351" s="621">
        <v>0.4513888888888889</v>
      </c>
      <c r="J351" s="100">
        <v>369.58</v>
      </c>
      <c r="K351" s="100">
        <v>22.3</v>
      </c>
      <c r="L351" s="100">
        <v>5.45</v>
      </c>
      <c r="M351" s="100">
        <v>1.8</v>
      </c>
      <c r="N351" s="100">
        <v>11.53</v>
      </c>
      <c r="O351" s="98" t="s">
        <v>48</v>
      </c>
      <c r="P351" s="98">
        <v>4</v>
      </c>
      <c r="Q351" s="98">
        <v>10</v>
      </c>
      <c r="R351" s="98" t="s">
        <v>49</v>
      </c>
      <c r="S351" s="98" t="s">
        <v>50</v>
      </c>
      <c r="T351" s="98" t="s">
        <v>50</v>
      </c>
      <c r="U351" s="98" t="s">
        <v>50</v>
      </c>
      <c r="V351" s="98" t="s">
        <v>50</v>
      </c>
      <c r="W351" s="98" t="s">
        <v>50</v>
      </c>
      <c r="X351" s="98" t="s">
        <v>50</v>
      </c>
    </row>
    <row r="352" spans="1:25" x14ac:dyDescent="0.25">
      <c r="A352" s="194">
        <v>44077</v>
      </c>
      <c r="B352" s="98" t="s">
        <v>105</v>
      </c>
      <c r="C352" s="98" t="s">
        <v>95</v>
      </c>
      <c r="D352" s="98">
        <v>38.099499999999999</v>
      </c>
      <c r="E352" s="623">
        <v>-121.62658999999999</v>
      </c>
      <c r="F352" s="98" t="s">
        <v>1268</v>
      </c>
      <c r="G352" s="98" t="s">
        <v>46</v>
      </c>
      <c r="H352" s="98" t="s">
        <v>97</v>
      </c>
      <c r="I352" s="621">
        <v>0.33749999999999997</v>
      </c>
      <c r="J352" s="100">
        <v>864.75</v>
      </c>
      <c r="K352" s="100">
        <v>21.9</v>
      </c>
      <c r="L352" s="100">
        <v>6.94</v>
      </c>
      <c r="M352" s="100">
        <v>1.43</v>
      </c>
      <c r="N352" s="100">
        <v>9.25</v>
      </c>
      <c r="O352" s="98" t="s">
        <v>48</v>
      </c>
      <c r="P352" s="98">
        <v>4</v>
      </c>
      <c r="Q352" s="98">
        <v>10</v>
      </c>
      <c r="R352" s="98" t="s">
        <v>49</v>
      </c>
      <c r="S352" s="98" t="s">
        <v>50</v>
      </c>
      <c r="T352" s="98" t="s">
        <v>50</v>
      </c>
      <c r="U352" s="98" t="s">
        <v>50</v>
      </c>
      <c r="V352" s="98" t="s">
        <v>50</v>
      </c>
      <c r="W352" s="98" t="s">
        <v>50</v>
      </c>
      <c r="X352" s="98" t="s">
        <v>50</v>
      </c>
    </row>
    <row r="353" spans="1:25" x14ac:dyDescent="0.25">
      <c r="A353" s="194">
        <v>44077</v>
      </c>
      <c r="B353" s="98" t="s">
        <v>105</v>
      </c>
      <c r="C353" s="98" t="s">
        <v>106</v>
      </c>
      <c r="D353" s="98">
        <v>38.180520000000001</v>
      </c>
      <c r="E353" s="623">
        <v>-121.6665</v>
      </c>
      <c r="F353" s="98" t="s">
        <v>1269</v>
      </c>
      <c r="G353" s="98" t="s">
        <v>90</v>
      </c>
      <c r="H353" s="98" t="s">
        <v>108</v>
      </c>
      <c r="I353" s="621">
        <v>0.31666666666666665</v>
      </c>
      <c r="J353" s="100">
        <v>179.9</v>
      </c>
      <c r="K353" s="100">
        <v>21.3</v>
      </c>
      <c r="L353" s="100">
        <v>7.77</v>
      </c>
      <c r="M353" s="100">
        <v>1.43</v>
      </c>
      <c r="N353" s="100">
        <v>11.07</v>
      </c>
      <c r="O353" s="98" t="s">
        <v>48</v>
      </c>
      <c r="P353" s="98">
        <v>4</v>
      </c>
      <c r="Q353" s="98">
        <v>10</v>
      </c>
      <c r="R353" s="98" t="s">
        <v>49</v>
      </c>
      <c r="S353" s="98" t="s">
        <v>50</v>
      </c>
      <c r="T353" s="98" t="s">
        <v>50</v>
      </c>
      <c r="U353" s="98" t="s">
        <v>50</v>
      </c>
      <c r="V353" s="98" t="s">
        <v>50</v>
      </c>
      <c r="W353" s="98" t="s">
        <v>50</v>
      </c>
      <c r="X353" s="98" t="s">
        <v>50</v>
      </c>
    </row>
    <row r="354" spans="1:25" s="154" customFormat="1" x14ac:dyDescent="0.25">
      <c r="A354" s="195">
        <v>44077</v>
      </c>
      <c r="B354" s="154" t="s">
        <v>105</v>
      </c>
      <c r="C354" s="154" t="s">
        <v>106</v>
      </c>
      <c r="D354" s="154">
        <v>38.409869999999998</v>
      </c>
      <c r="E354" s="674">
        <v>-121.61287</v>
      </c>
      <c r="F354" s="154" t="s">
        <v>1270</v>
      </c>
      <c r="G354" s="154" t="s">
        <v>90</v>
      </c>
      <c r="H354" s="154" t="s">
        <v>108</v>
      </c>
      <c r="I354" s="636">
        <v>0.38472222222222219</v>
      </c>
      <c r="J354" s="156" t="s">
        <v>50</v>
      </c>
      <c r="K354" s="156" t="s">
        <v>50</v>
      </c>
      <c r="L354" s="156" t="s">
        <v>50</v>
      </c>
      <c r="M354" s="156" t="s">
        <v>50</v>
      </c>
      <c r="N354" s="156" t="s">
        <v>50</v>
      </c>
      <c r="O354" s="154" t="s">
        <v>48</v>
      </c>
      <c r="P354" s="154">
        <v>0</v>
      </c>
      <c r="Q354" s="154" t="s">
        <v>50</v>
      </c>
      <c r="R354" s="154" t="s">
        <v>50</v>
      </c>
      <c r="S354" s="154" t="s">
        <v>50</v>
      </c>
      <c r="T354" s="154" t="s">
        <v>50</v>
      </c>
      <c r="U354" s="154" t="s">
        <v>50</v>
      </c>
      <c r="V354" s="154" t="s">
        <v>50</v>
      </c>
      <c r="W354" s="154" t="s">
        <v>50</v>
      </c>
      <c r="X354" s="154" t="s">
        <v>50</v>
      </c>
      <c r="Y354" s="627" t="s">
        <v>1271</v>
      </c>
    </row>
    <row r="355" spans="1:25" x14ac:dyDescent="0.25">
      <c r="A355" s="194">
        <v>44077</v>
      </c>
      <c r="B355" s="98" t="s">
        <v>105</v>
      </c>
      <c r="C355" s="98" t="s">
        <v>106</v>
      </c>
      <c r="D355" s="98">
        <v>38.282229999999998</v>
      </c>
      <c r="E355" s="623">
        <v>-121.65994999999999</v>
      </c>
      <c r="F355" s="98" t="s">
        <v>1272</v>
      </c>
      <c r="G355" s="98" t="s">
        <v>90</v>
      </c>
      <c r="H355" s="98" t="s">
        <v>108</v>
      </c>
      <c r="I355" s="621">
        <v>0.46875</v>
      </c>
      <c r="J355" s="100">
        <v>225.65</v>
      </c>
      <c r="K355" s="100">
        <v>21.87</v>
      </c>
      <c r="L355" s="100">
        <v>15.35</v>
      </c>
      <c r="M355" s="100">
        <v>0.83</v>
      </c>
      <c r="N355" s="100">
        <v>10.57</v>
      </c>
      <c r="O355" s="98" t="s">
        <v>48</v>
      </c>
      <c r="P355" s="98">
        <v>4</v>
      </c>
      <c r="Q355" s="98">
        <v>10</v>
      </c>
      <c r="R355" s="98" t="s">
        <v>49</v>
      </c>
      <c r="S355" s="98" t="s">
        <v>50</v>
      </c>
      <c r="T355" s="98" t="s">
        <v>50</v>
      </c>
      <c r="U355" s="98" t="s">
        <v>50</v>
      </c>
      <c r="V355" s="98" t="s">
        <v>50</v>
      </c>
      <c r="W355" s="98" t="s">
        <v>50</v>
      </c>
      <c r="X355" s="98" t="s">
        <v>50</v>
      </c>
    </row>
    <row r="356" spans="1:25" x14ac:dyDescent="0.25">
      <c r="A356" s="194">
        <v>44077</v>
      </c>
      <c r="B356" s="98" t="s">
        <v>105</v>
      </c>
      <c r="C356" s="98" t="s">
        <v>106</v>
      </c>
      <c r="D356" s="98">
        <v>38.510060000000003</v>
      </c>
      <c r="E356" s="623">
        <v>-121.58453</v>
      </c>
      <c r="F356" s="98" t="s">
        <v>1273</v>
      </c>
      <c r="G356" s="98" t="s">
        <v>90</v>
      </c>
      <c r="H356" s="98" t="s">
        <v>158</v>
      </c>
      <c r="I356" s="621">
        <v>0.39861111111111108</v>
      </c>
      <c r="J356" s="624">
        <v>918.5</v>
      </c>
      <c r="K356" s="100">
        <v>23.4</v>
      </c>
      <c r="L356" s="100">
        <v>12.67</v>
      </c>
      <c r="M356" s="100">
        <v>0.79</v>
      </c>
      <c r="N356" s="100">
        <v>11.38</v>
      </c>
      <c r="O356" s="98" t="s">
        <v>48</v>
      </c>
      <c r="P356" s="98">
        <v>4</v>
      </c>
      <c r="Q356" s="98">
        <v>10</v>
      </c>
      <c r="R356" s="98" t="s">
        <v>49</v>
      </c>
      <c r="S356" s="98" t="s">
        <v>50</v>
      </c>
      <c r="T356" s="98" t="s">
        <v>50</v>
      </c>
      <c r="U356" s="98" t="s">
        <v>50</v>
      </c>
      <c r="V356" s="98" t="s">
        <v>50</v>
      </c>
      <c r="W356" s="98" t="s">
        <v>50</v>
      </c>
      <c r="X356" s="98" t="s">
        <v>50</v>
      </c>
    </row>
    <row r="357" spans="1:25" x14ac:dyDescent="0.25">
      <c r="A357" s="194">
        <v>44077</v>
      </c>
      <c r="B357" s="98" t="s">
        <v>105</v>
      </c>
      <c r="C357" s="98" t="s">
        <v>62</v>
      </c>
      <c r="D357" s="98">
        <v>38.136209999999998</v>
      </c>
      <c r="E357" s="623">
        <v>-122.06178</v>
      </c>
      <c r="F357" s="98" t="s">
        <v>1274</v>
      </c>
      <c r="G357" s="98" t="s">
        <v>27</v>
      </c>
      <c r="H357" s="98" t="s">
        <v>62</v>
      </c>
      <c r="I357" s="621">
        <v>0.4993055555555555</v>
      </c>
      <c r="J357" s="624">
        <v>18402</v>
      </c>
      <c r="K357" s="100">
        <v>20.23</v>
      </c>
      <c r="L357" s="100">
        <v>28.3</v>
      </c>
      <c r="M357" s="100">
        <v>0.52</v>
      </c>
      <c r="N357" s="100">
        <v>7.5</v>
      </c>
      <c r="O357" s="98" t="s">
        <v>48</v>
      </c>
      <c r="P357" s="98">
        <v>4</v>
      </c>
      <c r="Q357" s="98">
        <v>10</v>
      </c>
      <c r="R357" s="98" t="s">
        <v>64</v>
      </c>
      <c r="S357" s="98" t="s">
        <v>50</v>
      </c>
      <c r="T357" s="98" t="s">
        <v>50</v>
      </c>
      <c r="U357" s="98" t="s">
        <v>50</v>
      </c>
      <c r="V357" s="98" t="s">
        <v>50</v>
      </c>
      <c r="W357" s="98" t="s">
        <v>50</v>
      </c>
      <c r="X357" s="98" t="s">
        <v>50</v>
      </c>
    </row>
    <row r="358" spans="1:25" x14ac:dyDescent="0.25">
      <c r="A358" s="194">
        <v>44077</v>
      </c>
      <c r="B358" s="98" t="s">
        <v>105</v>
      </c>
      <c r="C358" s="98" t="s">
        <v>62</v>
      </c>
      <c r="D358" s="98">
        <v>38.117600000000003</v>
      </c>
      <c r="E358" s="623">
        <v>-122.06182</v>
      </c>
      <c r="F358" s="98" t="s">
        <v>1275</v>
      </c>
      <c r="G358" s="98" t="s">
        <v>27</v>
      </c>
      <c r="H358" s="98" t="s">
        <v>62</v>
      </c>
      <c r="I358" s="621">
        <v>0.4368055555555555</v>
      </c>
      <c r="J358" s="624">
        <v>19406.25</v>
      </c>
      <c r="K358" s="100">
        <v>20.05</v>
      </c>
      <c r="L358" s="100">
        <v>60.1</v>
      </c>
      <c r="M358" s="100">
        <v>0.28000000000000003</v>
      </c>
      <c r="N358" s="100">
        <v>3.12</v>
      </c>
      <c r="O358" s="98" t="s">
        <v>48</v>
      </c>
      <c r="P358" s="98">
        <v>4</v>
      </c>
      <c r="Q358" s="98">
        <v>10</v>
      </c>
      <c r="R358" s="98" t="s">
        <v>64</v>
      </c>
      <c r="S358" s="98" t="s">
        <v>50</v>
      </c>
      <c r="T358" s="98" t="s">
        <v>50</v>
      </c>
      <c r="U358" s="98" t="s">
        <v>50</v>
      </c>
      <c r="V358" s="98" t="s">
        <v>50</v>
      </c>
      <c r="W358" s="98" t="s">
        <v>50</v>
      </c>
      <c r="X358" s="98" t="s">
        <v>50</v>
      </c>
    </row>
    <row r="359" spans="1:25" s="414" customFormat="1" x14ac:dyDescent="0.25">
      <c r="A359" s="412">
        <v>44077</v>
      </c>
      <c r="B359" s="414" t="s">
        <v>105</v>
      </c>
      <c r="C359" s="414" t="s">
        <v>62</v>
      </c>
      <c r="D359" s="414">
        <v>38.12032</v>
      </c>
      <c r="E359" s="812">
        <v>-121.91267000000001</v>
      </c>
      <c r="F359" s="414" t="s">
        <v>1276</v>
      </c>
      <c r="G359" s="414" t="s">
        <v>27</v>
      </c>
      <c r="H359" s="414" t="s">
        <v>62</v>
      </c>
      <c r="I359" s="629">
        <v>0.35486111111111113</v>
      </c>
      <c r="J359" s="813">
        <v>13310.25</v>
      </c>
      <c r="K359" s="416">
        <v>20.2</v>
      </c>
      <c r="L359" s="416">
        <v>32.47</v>
      </c>
      <c r="M359" s="416">
        <v>0.4</v>
      </c>
      <c r="N359" s="416">
        <v>9.4499999999999993</v>
      </c>
      <c r="O359" s="414" t="s">
        <v>48</v>
      </c>
      <c r="P359" s="414">
        <v>4</v>
      </c>
      <c r="Q359" s="414">
        <v>10</v>
      </c>
      <c r="R359" s="414" t="s">
        <v>49</v>
      </c>
      <c r="S359" s="676" t="s">
        <v>31</v>
      </c>
      <c r="T359" s="414">
        <v>1</v>
      </c>
      <c r="U359" s="414">
        <v>75</v>
      </c>
      <c r="V359" s="414" t="s">
        <v>66</v>
      </c>
      <c r="W359" s="414" t="s">
        <v>50</v>
      </c>
      <c r="X359" s="414" t="s">
        <v>228</v>
      </c>
      <c r="Y359" s="630" t="s">
        <v>1277</v>
      </c>
    </row>
    <row r="360" spans="1:25" x14ac:dyDescent="0.25">
      <c r="A360" s="194">
        <v>44082</v>
      </c>
      <c r="B360" s="98" t="s">
        <v>849</v>
      </c>
      <c r="C360" s="98" t="s">
        <v>78</v>
      </c>
      <c r="D360" s="98">
        <v>38.05659</v>
      </c>
      <c r="E360" s="623">
        <v>-121.87848</v>
      </c>
      <c r="F360" s="98" t="s">
        <v>1278</v>
      </c>
      <c r="G360" s="97" t="s">
        <v>27</v>
      </c>
      <c r="H360" s="97" t="s">
        <v>101</v>
      </c>
      <c r="I360" s="621">
        <v>0.34236111111111112</v>
      </c>
      <c r="J360" s="100">
        <v>8826.75</v>
      </c>
      <c r="K360" s="100">
        <v>21.274999999999999</v>
      </c>
      <c r="L360" s="100">
        <v>8.7925000000000004</v>
      </c>
      <c r="M360" s="100">
        <v>1.08</v>
      </c>
      <c r="N360" s="100">
        <v>11.6</v>
      </c>
      <c r="O360" s="98" t="s">
        <v>48</v>
      </c>
      <c r="P360" s="98">
        <v>4</v>
      </c>
      <c r="Q360" s="98">
        <v>10</v>
      </c>
      <c r="R360" s="98" t="s">
        <v>64</v>
      </c>
      <c r="S360" s="98" t="s">
        <v>50</v>
      </c>
      <c r="T360" s="98" t="s">
        <v>50</v>
      </c>
      <c r="U360" s="98" t="s">
        <v>50</v>
      </c>
      <c r="V360" s="98" t="s">
        <v>50</v>
      </c>
      <c r="W360" s="98" t="s">
        <v>50</v>
      </c>
      <c r="X360" s="98" t="s">
        <v>50</v>
      </c>
      <c r="Y360" s="622" t="s">
        <v>1279</v>
      </c>
    </row>
    <row r="361" spans="1:25" s="154" customFormat="1" x14ac:dyDescent="0.25">
      <c r="A361" s="195">
        <v>44083</v>
      </c>
      <c r="B361" s="154" t="s">
        <v>915</v>
      </c>
      <c r="C361" s="154" t="s">
        <v>50</v>
      </c>
      <c r="D361" s="154" t="s">
        <v>50</v>
      </c>
      <c r="E361" s="154" t="s">
        <v>50</v>
      </c>
      <c r="F361" s="154" t="s">
        <v>50</v>
      </c>
      <c r="G361" s="154" t="s">
        <v>50</v>
      </c>
      <c r="H361" s="154" t="s">
        <v>50</v>
      </c>
      <c r="I361" s="636" t="s">
        <v>50</v>
      </c>
      <c r="J361" s="156" t="s">
        <v>50</v>
      </c>
      <c r="K361" s="156" t="s">
        <v>50</v>
      </c>
      <c r="L361" s="156" t="s">
        <v>50</v>
      </c>
      <c r="M361" s="156" t="s">
        <v>50</v>
      </c>
      <c r="N361" s="156" t="s">
        <v>50</v>
      </c>
      <c r="O361" s="154" t="s">
        <v>48</v>
      </c>
      <c r="P361" s="154" t="s">
        <v>50</v>
      </c>
      <c r="Q361" s="154" t="s">
        <v>50</v>
      </c>
      <c r="R361" s="154" t="s">
        <v>50</v>
      </c>
      <c r="S361" s="154" t="s">
        <v>50</v>
      </c>
      <c r="T361" s="154" t="s">
        <v>50</v>
      </c>
      <c r="U361" s="154" t="s">
        <v>50</v>
      </c>
      <c r="V361" s="154" t="s">
        <v>50</v>
      </c>
      <c r="W361" s="154" t="s">
        <v>50</v>
      </c>
      <c r="X361" s="154" t="s">
        <v>50</v>
      </c>
      <c r="Y361" s="627" t="s">
        <v>1204</v>
      </c>
    </row>
    <row r="362" spans="1:25" x14ac:dyDescent="0.25">
      <c r="A362" s="194">
        <v>44084</v>
      </c>
      <c r="B362" s="98" t="s">
        <v>876</v>
      </c>
      <c r="C362" s="98" t="s">
        <v>106</v>
      </c>
      <c r="D362" s="98">
        <v>38.21875</v>
      </c>
      <c r="E362" s="623">
        <v>-121.67122000000001</v>
      </c>
      <c r="F362" s="98" t="s">
        <v>1280</v>
      </c>
      <c r="G362" s="98" t="s">
        <v>90</v>
      </c>
      <c r="H362" s="98" t="s">
        <v>108</v>
      </c>
      <c r="I362" s="621">
        <v>0.32847222222222222</v>
      </c>
      <c r="J362" s="100">
        <v>184.65</v>
      </c>
      <c r="K362" s="100">
        <v>21.825000000000003</v>
      </c>
      <c r="L362" s="100">
        <v>6.2750000000000004</v>
      </c>
      <c r="M362" s="100">
        <v>1.8</v>
      </c>
      <c r="N362" s="100">
        <v>14.3</v>
      </c>
      <c r="O362" s="98" t="s">
        <v>48</v>
      </c>
      <c r="P362" s="98">
        <v>4</v>
      </c>
      <c r="Q362" s="98">
        <v>10</v>
      </c>
      <c r="R362" s="98" t="s">
        <v>64</v>
      </c>
      <c r="S362" s="98" t="s">
        <v>50</v>
      </c>
      <c r="T362" s="98" t="s">
        <v>50</v>
      </c>
      <c r="U362" s="98" t="s">
        <v>50</v>
      </c>
      <c r="V362" s="98" t="s">
        <v>50</v>
      </c>
      <c r="W362" s="98" t="s">
        <v>50</v>
      </c>
      <c r="X362" s="98" t="s">
        <v>50</v>
      </c>
      <c r="Y362" s="622" t="s">
        <v>1281</v>
      </c>
    </row>
    <row r="363" spans="1:25" s="351" customFormat="1" x14ac:dyDescent="0.25">
      <c r="A363" s="350">
        <v>44085</v>
      </c>
      <c r="B363" s="351" t="s">
        <v>940</v>
      </c>
      <c r="C363" s="351" t="s">
        <v>50</v>
      </c>
      <c r="D363" s="351" t="s">
        <v>50</v>
      </c>
      <c r="E363" s="351" t="s">
        <v>50</v>
      </c>
      <c r="F363" s="351" t="s">
        <v>50</v>
      </c>
      <c r="G363" s="351" t="s">
        <v>50</v>
      </c>
      <c r="H363" s="351" t="s">
        <v>50</v>
      </c>
      <c r="I363" s="616" t="s">
        <v>50</v>
      </c>
      <c r="J363" s="368" t="s">
        <v>50</v>
      </c>
      <c r="K363" s="368" t="s">
        <v>50</v>
      </c>
      <c r="L363" s="368" t="s">
        <v>50</v>
      </c>
      <c r="M363" s="368" t="s">
        <v>50</v>
      </c>
      <c r="N363" s="368" t="s">
        <v>50</v>
      </c>
      <c r="O363" s="351" t="s">
        <v>48</v>
      </c>
      <c r="P363" s="351" t="s">
        <v>50</v>
      </c>
      <c r="Q363" s="351" t="s">
        <v>50</v>
      </c>
      <c r="R363" s="351" t="s">
        <v>50</v>
      </c>
      <c r="S363" s="351" t="s">
        <v>50</v>
      </c>
      <c r="T363" s="351" t="s">
        <v>50</v>
      </c>
      <c r="U363" s="351" t="s">
        <v>50</v>
      </c>
      <c r="V363" s="351" t="s">
        <v>50</v>
      </c>
      <c r="W363" s="351" t="s">
        <v>50</v>
      </c>
      <c r="X363" s="351" t="s">
        <v>50</v>
      </c>
      <c r="Y363" s="626" t="s">
        <v>1204</v>
      </c>
    </row>
    <row r="364" spans="1:25" s="154" customFormat="1" x14ac:dyDescent="0.25">
      <c r="A364" s="195">
        <v>44088</v>
      </c>
      <c r="B364" s="154" t="s">
        <v>43</v>
      </c>
      <c r="C364" s="154" t="s">
        <v>50</v>
      </c>
      <c r="D364" s="154" t="s">
        <v>50</v>
      </c>
      <c r="E364" s="154" t="s">
        <v>50</v>
      </c>
      <c r="F364" s="154" t="s">
        <v>50</v>
      </c>
      <c r="G364" s="154" t="s">
        <v>50</v>
      </c>
      <c r="H364" s="154" t="s">
        <v>50</v>
      </c>
      <c r="I364" s="636" t="s">
        <v>50</v>
      </c>
      <c r="J364" s="156" t="s">
        <v>50</v>
      </c>
      <c r="K364" s="156" t="s">
        <v>50</v>
      </c>
      <c r="L364" s="156" t="s">
        <v>50</v>
      </c>
      <c r="M364" s="156" t="s">
        <v>50</v>
      </c>
      <c r="N364" s="156" t="s">
        <v>50</v>
      </c>
      <c r="O364" s="154" t="s">
        <v>48</v>
      </c>
      <c r="P364" s="154" t="s">
        <v>50</v>
      </c>
      <c r="Q364" s="154" t="s">
        <v>50</v>
      </c>
      <c r="R364" s="154" t="s">
        <v>50</v>
      </c>
      <c r="S364" s="154" t="s">
        <v>50</v>
      </c>
      <c r="T364" s="154" t="s">
        <v>50</v>
      </c>
      <c r="U364" s="154" t="s">
        <v>50</v>
      </c>
      <c r="V364" s="154" t="s">
        <v>50</v>
      </c>
      <c r="W364" s="154" t="s">
        <v>50</v>
      </c>
      <c r="X364" s="154" t="s">
        <v>50</v>
      </c>
      <c r="Y364" s="627" t="s">
        <v>1204</v>
      </c>
    </row>
    <row r="365" spans="1:25" s="154" customFormat="1" x14ac:dyDescent="0.25">
      <c r="A365" s="195">
        <v>44089</v>
      </c>
      <c r="B365" s="154" t="s">
        <v>849</v>
      </c>
      <c r="C365" s="154" t="s">
        <v>50</v>
      </c>
      <c r="D365" s="154" t="s">
        <v>50</v>
      </c>
      <c r="E365" s="154" t="s">
        <v>50</v>
      </c>
      <c r="F365" s="154" t="s">
        <v>50</v>
      </c>
      <c r="G365" s="154" t="s">
        <v>50</v>
      </c>
      <c r="H365" s="154" t="s">
        <v>50</v>
      </c>
      <c r="I365" s="636" t="s">
        <v>50</v>
      </c>
      <c r="J365" s="156" t="s">
        <v>50</v>
      </c>
      <c r="K365" s="156" t="s">
        <v>50</v>
      </c>
      <c r="L365" s="156" t="s">
        <v>50</v>
      </c>
      <c r="M365" s="156" t="s">
        <v>50</v>
      </c>
      <c r="N365" s="156" t="s">
        <v>50</v>
      </c>
      <c r="O365" s="154" t="s">
        <v>48</v>
      </c>
      <c r="P365" s="154" t="s">
        <v>50</v>
      </c>
      <c r="Q365" s="154" t="s">
        <v>50</v>
      </c>
      <c r="R365" s="154" t="s">
        <v>50</v>
      </c>
      <c r="S365" s="154" t="s">
        <v>50</v>
      </c>
      <c r="T365" s="154" t="s">
        <v>50</v>
      </c>
      <c r="U365" s="154" t="s">
        <v>50</v>
      </c>
      <c r="V365" s="154" t="s">
        <v>50</v>
      </c>
      <c r="W365" s="154" t="s">
        <v>50</v>
      </c>
      <c r="X365" s="154" t="s">
        <v>50</v>
      </c>
      <c r="Y365" s="627" t="s">
        <v>1204</v>
      </c>
    </row>
    <row r="366" spans="1:25" x14ac:dyDescent="0.25">
      <c r="A366" s="194">
        <v>44090</v>
      </c>
      <c r="B366" s="98" t="s">
        <v>915</v>
      </c>
      <c r="C366" s="98" t="s">
        <v>95</v>
      </c>
      <c r="D366" s="98">
        <v>38.056840000000001</v>
      </c>
      <c r="E366" s="623">
        <v>-121.53583</v>
      </c>
      <c r="F366" s="98" t="s">
        <v>1282</v>
      </c>
      <c r="G366" s="98" t="s">
        <v>46</v>
      </c>
      <c r="H366" s="98" t="s">
        <v>115</v>
      </c>
      <c r="I366" s="621">
        <v>0.34513888888888888</v>
      </c>
      <c r="J366" s="100">
        <v>324.5</v>
      </c>
      <c r="K366" s="100">
        <v>21.9</v>
      </c>
      <c r="L366" s="100">
        <v>7.9299999999999988</v>
      </c>
      <c r="M366" s="100">
        <v>1.8</v>
      </c>
      <c r="N366" s="100">
        <v>8.4749999999999996</v>
      </c>
      <c r="O366" s="98" t="s">
        <v>48</v>
      </c>
      <c r="P366" s="98">
        <v>4</v>
      </c>
      <c r="Q366" s="98">
        <v>10</v>
      </c>
      <c r="R366" s="98" t="s">
        <v>49</v>
      </c>
      <c r="S366" s="98" t="s">
        <v>50</v>
      </c>
      <c r="T366" s="98" t="s">
        <v>50</v>
      </c>
      <c r="U366" s="98" t="s">
        <v>50</v>
      </c>
      <c r="V366" s="98" t="s">
        <v>50</v>
      </c>
      <c r="W366" s="98" t="s">
        <v>50</v>
      </c>
      <c r="X366" s="98" t="s">
        <v>50</v>
      </c>
    </row>
    <row r="367" spans="1:25" x14ac:dyDescent="0.25">
      <c r="A367" s="194">
        <v>44090</v>
      </c>
      <c r="B367" s="98" t="s">
        <v>915</v>
      </c>
      <c r="C367" s="98" t="s">
        <v>95</v>
      </c>
      <c r="D367" s="98">
        <v>38.095410000000001</v>
      </c>
      <c r="E367" s="623">
        <v>-121.56854</v>
      </c>
      <c r="F367" s="98" t="s">
        <v>1283</v>
      </c>
      <c r="G367" s="98" t="s">
        <v>46</v>
      </c>
      <c r="H367" s="98" t="s">
        <v>115</v>
      </c>
      <c r="I367" s="621">
        <v>0.39305555555555555</v>
      </c>
      <c r="J367" s="100">
        <v>185.42500000000001</v>
      </c>
      <c r="K367" s="100">
        <v>20.324999999999999</v>
      </c>
      <c r="L367" s="100">
        <v>6.6549999999999994</v>
      </c>
      <c r="M367" s="100">
        <v>1.8</v>
      </c>
      <c r="N367" s="100">
        <v>6.3250000000000002</v>
      </c>
      <c r="O367" s="98" t="s">
        <v>48</v>
      </c>
      <c r="P367" s="98">
        <v>4</v>
      </c>
      <c r="Q367" s="98">
        <v>10</v>
      </c>
      <c r="R367" s="98" t="s">
        <v>49</v>
      </c>
      <c r="S367" s="98" t="s">
        <v>50</v>
      </c>
      <c r="T367" s="98" t="s">
        <v>50</v>
      </c>
      <c r="U367" s="98" t="s">
        <v>50</v>
      </c>
      <c r="V367" s="98" t="s">
        <v>50</v>
      </c>
      <c r="W367" s="98" t="s">
        <v>50</v>
      </c>
      <c r="X367" s="98" t="s">
        <v>50</v>
      </c>
    </row>
    <row r="368" spans="1:25" x14ac:dyDescent="0.25">
      <c r="A368" s="194">
        <v>44090</v>
      </c>
      <c r="B368" s="98" t="s">
        <v>915</v>
      </c>
      <c r="C368" s="98" t="s">
        <v>95</v>
      </c>
      <c r="D368" s="98">
        <v>38.060009999999998</v>
      </c>
      <c r="E368" s="623">
        <v>-121.6849</v>
      </c>
      <c r="F368" s="98" t="s">
        <v>1284</v>
      </c>
      <c r="G368" s="98" t="s">
        <v>46</v>
      </c>
      <c r="H368" s="98" t="s">
        <v>97</v>
      </c>
      <c r="I368" s="621">
        <v>0.45833333333333331</v>
      </c>
      <c r="J368" s="100">
        <v>730</v>
      </c>
      <c r="K368" s="100">
        <v>21.724999999999998</v>
      </c>
      <c r="L368" s="100">
        <v>11.23</v>
      </c>
      <c r="M368" s="100">
        <v>1.4475</v>
      </c>
      <c r="N368" s="100">
        <v>2.875</v>
      </c>
      <c r="O368" s="98" t="s">
        <v>48</v>
      </c>
      <c r="P368" s="98">
        <v>4</v>
      </c>
      <c r="Q368" s="98">
        <v>10</v>
      </c>
      <c r="R368" s="98" t="s">
        <v>49</v>
      </c>
      <c r="S368" s="98" t="s">
        <v>50</v>
      </c>
      <c r="T368" s="98" t="s">
        <v>50</v>
      </c>
      <c r="U368" s="98" t="s">
        <v>50</v>
      </c>
      <c r="V368" s="98" t="s">
        <v>50</v>
      </c>
      <c r="W368" s="98" t="s">
        <v>50</v>
      </c>
      <c r="X368" s="98" t="s">
        <v>50</v>
      </c>
      <c r="Y368" s="622" t="s">
        <v>139</v>
      </c>
    </row>
    <row r="369" spans="1:25" x14ac:dyDescent="0.25">
      <c r="A369" s="194">
        <v>44090</v>
      </c>
      <c r="B369" s="98" t="s">
        <v>915</v>
      </c>
      <c r="C369" s="98" t="s">
        <v>95</v>
      </c>
      <c r="D369" s="98">
        <v>38.021650000000001</v>
      </c>
      <c r="E369" s="623">
        <v>-121.76331999999999</v>
      </c>
      <c r="F369" s="98" t="s">
        <v>1285</v>
      </c>
      <c r="G369" s="98" t="s">
        <v>27</v>
      </c>
      <c r="H369" s="98" t="s">
        <v>95</v>
      </c>
      <c r="I369" s="621">
        <v>0.51388888888888895</v>
      </c>
      <c r="J369" s="100">
        <v>1294.5</v>
      </c>
      <c r="K369" s="100">
        <v>21.3</v>
      </c>
      <c r="L369" s="100">
        <v>8.0050000000000008</v>
      </c>
      <c r="M369" s="100">
        <v>1.8</v>
      </c>
      <c r="N369" s="100">
        <v>10.625</v>
      </c>
      <c r="O369" s="98" t="s">
        <v>48</v>
      </c>
      <c r="P369" s="98">
        <v>4</v>
      </c>
      <c r="Q369" s="98">
        <v>10</v>
      </c>
      <c r="R369" s="98" t="s">
        <v>64</v>
      </c>
      <c r="S369" s="98" t="s">
        <v>50</v>
      </c>
      <c r="T369" s="98" t="s">
        <v>50</v>
      </c>
      <c r="U369" s="98" t="s">
        <v>50</v>
      </c>
      <c r="V369" s="98" t="s">
        <v>50</v>
      </c>
      <c r="W369" s="98" t="s">
        <v>50</v>
      </c>
      <c r="X369" s="98" t="s">
        <v>50</v>
      </c>
    </row>
    <row r="370" spans="1:25" x14ac:dyDescent="0.25">
      <c r="A370" s="194">
        <v>44090</v>
      </c>
      <c r="B370" s="98" t="s">
        <v>915</v>
      </c>
      <c r="C370" s="98" t="s">
        <v>62</v>
      </c>
      <c r="D370" s="98">
        <v>38.141350000000003</v>
      </c>
      <c r="E370" s="623">
        <v>-122.06089</v>
      </c>
      <c r="F370" s="98" t="s">
        <v>1286</v>
      </c>
      <c r="G370" s="98" t="s">
        <v>27</v>
      </c>
      <c r="H370" s="98" t="s">
        <v>62</v>
      </c>
      <c r="I370" s="621">
        <v>0.36874999999999997</v>
      </c>
      <c r="J370" s="100">
        <v>9151.75</v>
      </c>
      <c r="K370" s="100">
        <v>20.150000000000002</v>
      </c>
      <c r="L370" s="100">
        <v>39.349999999999994</v>
      </c>
      <c r="M370" s="100">
        <v>0.40749999999999997</v>
      </c>
      <c r="N370" s="100">
        <v>9.3500000000000014</v>
      </c>
      <c r="O370" s="98" t="s">
        <v>48</v>
      </c>
      <c r="P370" s="98">
        <v>4</v>
      </c>
      <c r="Q370" s="98">
        <v>10</v>
      </c>
      <c r="R370" s="98" t="s">
        <v>49</v>
      </c>
      <c r="S370" s="98" t="s">
        <v>50</v>
      </c>
      <c r="T370" s="98" t="s">
        <v>50</v>
      </c>
      <c r="U370" s="98" t="s">
        <v>50</v>
      </c>
      <c r="V370" s="98" t="s">
        <v>50</v>
      </c>
      <c r="W370" s="98" t="s">
        <v>50</v>
      </c>
      <c r="X370" s="98" t="s">
        <v>50</v>
      </c>
    </row>
    <row r="371" spans="1:25" s="154" customFormat="1" x14ac:dyDescent="0.25">
      <c r="A371" s="195">
        <v>44090</v>
      </c>
      <c r="B371" s="154" t="s">
        <v>915</v>
      </c>
      <c r="C371" s="154" t="s">
        <v>62</v>
      </c>
      <c r="D371" s="154">
        <v>38.12171</v>
      </c>
      <c r="E371" s="674">
        <v>-122.06743</v>
      </c>
      <c r="F371" s="154" t="s">
        <v>1287</v>
      </c>
      <c r="G371" s="154" t="s">
        <v>27</v>
      </c>
      <c r="H371" s="154" t="s">
        <v>62</v>
      </c>
      <c r="I371" s="636">
        <v>0.35972222222222222</v>
      </c>
      <c r="J371" s="156" t="s">
        <v>50</v>
      </c>
      <c r="K371" s="156" t="s">
        <v>50</v>
      </c>
      <c r="L371" s="156" t="s">
        <v>50</v>
      </c>
      <c r="M371" s="156" t="s">
        <v>50</v>
      </c>
      <c r="N371" s="156" t="s">
        <v>50</v>
      </c>
      <c r="O371" s="154" t="s">
        <v>48</v>
      </c>
      <c r="P371" s="154">
        <v>0</v>
      </c>
      <c r="Q371" s="154" t="s">
        <v>50</v>
      </c>
      <c r="R371" s="154" t="s">
        <v>50</v>
      </c>
      <c r="S371" s="154" t="s">
        <v>50</v>
      </c>
      <c r="T371" s="154" t="s">
        <v>50</v>
      </c>
      <c r="U371" s="154" t="s">
        <v>50</v>
      </c>
      <c r="V371" s="154" t="s">
        <v>50</v>
      </c>
      <c r="W371" s="154" t="s">
        <v>50</v>
      </c>
      <c r="X371" s="154" t="s">
        <v>50</v>
      </c>
      <c r="Y371" s="627" t="s">
        <v>734</v>
      </c>
    </row>
    <row r="372" spans="1:25" x14ac:dyDescent="0.25">
      <c r="A372" s="194">
        <v>44090</v>
      </c>
      <c r="B372" s="98" t="s">
        <v>915</v>
      </c>
      <c r="C372" s="98" t="s">
        <v>62</v>
      </c>
      <c r="D372" s="98">
        <v>38.187330000000003</v>
      </c>
      <c r="E372" s="623">
        <v>-121.98061</v>
      </c>
      <c r="F372" s="98" t="s">
        <v>1288</v>
      </c>
      <c r="G372" s="98" t="s">
        <v>27</v>
      </c>
      <c r="H372" s="98" t="s">
        <v>62</v>
      </c>
      <c r="I372" s="621">
        <v>0.4236111111111111</v>
      </c>
      <c r="J372" s="100">
        <v>8835.25</v>
      </c>
      <c r="K372" s="100">
        <v>20.125</v>
      </c>
      <c r="L372" s="100">
        <v>23.8</v>
      </c>
      <c r="M372" s="100">
        <v>0.59</v>
      </c>
      <c r="N372" s="100">
        <v>8.125</v>
      </c>
      <c r="O372" s="98" t="s">
        <v>48</v>
      </c>
      <c r="P372" s="98">
        <v>4</v>
      </c>
      <c r="Q372" s="98">
        <v>10</v>
      </c>
      <c r="R372" s="98" t="s">
        <v>64</v>
      </c>
      <c r="S372" s="98" t="s">
        <v>50</v>
      </c>
      <c r="T372" s="98" t="s">
        <v>50</v>
      </c>
      <c r="U372" s="98" t="s">
        <v>50</v>
      </c>
      <c r="V372" s="98" t="s">
        <v>50</v>
      </c>
      <c r="W372" s="98" t="s">
        <v>50</v>
      </c>
      <c r="X372" s="98" t="s">
        <v>50</v>
      </c>
    </row>
    <row r="373" spans="1:25" x14ac:dyDescent="0.25">
      <c r="A373" s="194">
        <v>44090</v>
      </c>
      <c r="B373" s="98" t="s">
        <v>915</v>
      </c>
      <c r="C373" s="98" t="s">
        <v>62</v>
      </c>
      <c r="D373" s="98">
        <v>38.106290000000001</v>
      </c>
      <c r="E373" s="98">
        <v>-121.88923</v>
      </c>
      <c r="F373" s="98" t="s">
        <v>1289</v>
      </c>
      <c r="G373" s="98" t="s">
        <v>27</v>
      </c>
      <c r="H373" s="98" t="s">
        <v>62</v>
      </c>
      <c r="I373" s="621">
        <v>0.49861111111111112</v>
      </c>
      <c r="J373" s="100">
        <v>8692.25</v>
      </c>
      <c r="K373" s="100">
        <v>20.25</v>
      </c>
      <c r="L373" s="100">
        <v>30.524999999999999</v>
      </c>
      <c r="M373" s="100">
        <v>0.51500000000000001</v>
      </c>
      <c r="N373" s="100">
        <v>7.4500000000000011</v>
      </c>
      <c r="O373" s="98" t="s">
        <v>48</v>
      </c>
      <c r="P373" s="98">
        <v>4</v>
      </c>
      <c r="Q373" s="98">
        <v>10</v>
      </c>
      <c r="R373" s="98" t="s">
        <v>49</v>
      </c>
      <c r="S373" s="98" t="s">
        <v>50</v>
      </c>
      <c r="T373" s="98" t="s">
        <v>50</v>
      </c>
      <c r="U373" s="98" t="s">
        <v>50</v>
      </c>
      <c r="V373" s="98" t="s">
        <v>50</v>
      </c>
      <c r="W373" s="98" t="s">
        <v>50</v>
      </c>
      <c r="X373" s="98" t="s">
        <v>50</v>
      </c>
    </row>
    <row r="374" spans="1:25" x14ac:dyDescent="0.25">
      <c r="A374" s="194">
        <v>44090</v>
      </c>
      <c r="B374" s="98" t="s">
        <v>915</v>
      </c>
      <c r="C374" s="98" t="s">
        <v>106</v>
      </c>
      <c r="D374" s="98">
        <v>38.561500000000002</v>
      </c>
      <c r="E374" s="98">
        <v>-121.54895</v>
      </c>
      <c r="F374" s="98" t="s">
        <v>1290</v>
      </c>
      <c r="G374" s="98" t="s">
        <v>90</v>
      </c>
      <c r="H374" s="98" t="s">
        <v>158</v>
      </c>
      <c r="I374" s="621">
        <v>0.375</v>
      </c>
      <c r="J374" s="100">
        <v>1090.25</v>
      </c>
      <c r="K374" s="100">
        <v>23.4</v>
      </c>
      <c r="L374" s="100">
        <v>6.5500000000000007</v>
      </c>
      <c r="M374" s="100">
        <v>1.5799999999999998</v>
      </c>
      <c r="N374" s="100">
        <v>10.824999999999999</v>
      </c>
      <c r="O374" s="98" t="s">
        <v>48</v>
      </c>
      <c r="P374" s="98">
        <v>4</v>
      </c>
      <c r="Q374" s="98">
        <v>10</v>
      </c>
      <c r="R374" s="98" t="s">
        <v>49</v>
      </c>
      <c r="S374" s="98" t="s">
        <v>50</v>
      </c>
      <c r="T374" s="98" t="s">
        <v>50</v>
      </c>
      <c r="U374" s="98" t="s">
        <v>50</v>
      </c>
      <c r="V374" s="98" t="s">
        <v>50</v>
      </c>
      <c r="W374" s="98" t="s">
        <v>50</v>
      </c>
      <c r="X374" s="98" t="s">
        <v>50</v>
      </c>
    </row>
    <row r="375" spans="1:25" x14ac:dyDescent="0.25">
      <c r="A375" s="194">
        <v>44090</v>
      </c>
      <c r="B375" s="98" t="s">
        <v>915</v>
      </c>
      <c r="C375" s="98" t="s">
        <v>106</v>
      </c>
      <c r="D375" s="98">
        <v>38.52084</v>
      </c>
      <c r="E375" s="98">
        <v>-121.58413</v>
      </c>
      <c r="F375" s="98" t="s">
        <v>1291</v>
      </c>
      <c r="G375" s="98" t="s">
        <v>90</v>
      </c>
      <c r="H375" s="98" t="s">
        <v>158</v>
      </c>
      <c r="I375" s="621">
        <v>0.4375</v>
      </c>
      <c r="J375" s="100">
        <v>970</v>
      </c>
      <c r="K375" s="100">
        <v>22.924999999999997</v>
      </c>
      <c r="L375" s="100">
        <v>15.149999999999999</v>
      </c>
      <c r="M375" s="100">
        <v>0.8075</v>
      </c>
      <c r="N375" s="100">
        <v>9.85</v>
      </c>
      <c r="O375" s="98" t="s">
        <v>48</v>
      </c>
      <c r="P375" s="98">
        <v>4</v>
      </c>
      <c r="Q375" s="98">
        <v>10</v>
      </c>
      <c r="R375" s="98" t="s">
        <v>49</v>
      </c>
      <c r="S375" s="98" t="s">
        <v>50</v>
      </c>
      <c r="T375" s="98" t="s">
        <v>50</v>
      </c>
      <c r="U375" s="98" t="s">
        <v>50</v>
      </c>
      <c r="V375" s="98" t="s">
        <v>50</v>
      </c>
      <c r="W375" s="98" t="s">
        <v>50</v>
      </c>
      <c r="X375" s="98" t="s">
        <v>50</v>
      </c>
    </row>
    <row r="376" spans="1:25" x14ac:dyDescent="0.25">
      <c r="A376" s="194">
        <v>44090</v>
      </c>
      <c r="B376" s="98" t="s">
        <v>915</v>
      </c>
      <c r="C376" s="98" t="s">
        <v>106</v>
      </c>
      <c r="D376" s="98">
        <v>38.2258</v>
      </c>
      <c r="E376" s="98">
        <v>-121.67453999999999</v>
      </c>
      <c r="F376" s="98" t="s">
        <v>1292</v>
      </c>
      <c r="G376" s="98" t="s">
        <v>90</v>
      </c>
      <c r="H376" s="98" t="s">
        <v>108</v>
      </c>
      <c r="I376" s="621">
        <v>0.52986111111111112</v>
      </c>
      <c r="J376" s="100">
        <v>185.7</v>
      </c>
      <c r="K376" s="100">
        <v>20.75</v>
      </c>
      <c r="L376" s="100">
        <v>8.5425000000000004</v>
      </c>
      <c r="M376" s="100">
        <v>1.8</v>
      </c>
      <c r="N376" s="100">
        <v>11.625</v>
      </c>
      <c r="O376" s="98" t="s">
        <v>48</v>
      </c>
      <c r="P376" s="98">
        <v>4</v>
      </c>
      <c r="Q376" s="98">
        <v>10</v>
      </c>
      <c r="R376" s="98" t="s">
        <v>64</v>
      </c>
      <c r="S376" s="98" t="s">
        <v>50</v>
      </c>
      <c r="T376" s="98" t="s">
        <v>50</v>
      </c>
      <c r="U376" s="98" t="s">
        <v>50</v>
      </c>
      <c r="V376" s="98" t="s">
        <v>50</v>
      </c>
      <c r="W376" s="98" t="s">
        <v>50</v>
      </c>
      <c r="X376" s="98" t="s">
        <v>50</v>
      </c>
    </row>
    <row r="377" spans="1:25" x14ac:dyDescent="0.25">
      <c r="A377" s="194">
        <v>44091</v>
      </c>
      <c r="B377" s="98" t="s">
        <v>876</v>
      </c>
      <c r="C377" s="98" t="s">
        <v>95</v>
      </c>
      <c r="D377" s="98">
        <v>38.109740000000002</v>
      </c>
      <c r="E377" s="98">
        <v>-121.70801</v>
      </c>
      <c r="F377" s="98" t="s">
        <v>1293</v>
      </c>
      <c r="G377" s="97" t="s">
        <v>90</v>
      </c>
      <c r="H377" s="97" t="s">
        <v>91</v>
      </c>
      <c r="I377" s="621">
        <v>0.35833333333333334</v>
      </c>
      <c r="J377" s="100">
        <v>366.40000000000003</v>
      </c>
      <c r="K377" s="100">
        <v>21.424999999999997</v>
      </c>
      <c r="L377" s="100">
        <v>10.9125</v>
      </c>
      <c r="M377" s="100">
        <v>1.2249999999999999</v>
      </c>
      <c r="N377" s="100">
        <v>5.0999999999999996</v>
      </c>
      <c r="O377" s="98" t="s">
        <v>48</v>
      </c>
      <c r="P377" s="98">
        <v>4</v>
      </c>
      <c r="Q377" s="98">
        <v>10</v>
      </c>
      <c r="R377" s="98" t="s">
        <v>49</v>
      </c>
      <c r="S377" s="98" t="s">
        <v>50</v>
      </c>
      <c r="T377" s="98" t="s">
        <v>50</v>
      </c>
      <c r="U377" s="98" t="s">
        <v>50</v>
      </c>
      <c r="V377" s="98" t="s">
        <v>50</v>
      </c>
      <c r="W377" s="98" t="s">
        <v>50</v>
      </c>
      <c r="X377" s="98" t="s">
        <v>50</v>
      </c>
      <c r="Y377" s="622" t="s">
        <v>139</v>
      </c>
    </row>
    <row r="378" spans="1:25" x14ac:dyDescent="0.25">
      <c r="A378" s="194">
        <v>44091</v>
      </c>
      <c r="B378" s="98" t="s">
        <v>876</v>
      </c>
      <c r="C378" s="98" t="s">
        <v>95</v>
      </c>
      <c r="D378" s="98">
        <v>38.080970000000001</v>
      </c>
      <c r="E378" s="98">
        <v>-121.72615999999999</v>
      </c>
      <c r="F378" s="98" t="s">
        <v>1294</v>
      </c>
      <c r="G378" s="97" t="s">
        <v>90</v>
      </c>
      <c r="H378" s="97" t="s">
        <v>91</v>
      </c>
      <c r="I378" s="621">
        <v>0.41319444444444442</v>
      </c>
      <c r="J378" s="100">
        <v>644</v>
      </c>
      <c r="K378" s="100">
        <v>21.6</v>
      </c>
      <c r="L378" s="100">
        <v>16.399999999999999</v>
      </c>
      <c r="M378" s="100">
        <v>0.78500000000000003</v>
      </c>
      <c r="N378" s="100">
        <v>5.0250000000000004</v>
      </c>
      <c r="O378" s="98" t="s">
        <v>48</v>
      </c>
      <c r="P378" s="98">
        <v>4</v>
      </c>
      <c r="Q378" s="98">
        <v>10</v>
      </c>
      <c r="R378" s="98" t="s">
        <v>49</v>
      </c>
      <c r="S378" s="98" t="s">
        <v>50</v>
      </c>
      <c r="T378" s="98" t="s">
        <v>50</v>
      </c>
      <c r="U378" s="98" t="s">
        <v>50</v>
      </c>
      <c r="V378" s="98" t="s">
        <v>50</v>
      </c>
      <c r="W378" s="98" t="s">
        <v>50</v>
      </c>
      <c r="X378" s="98" t="s">
        <v>50</v>
      </c>
    </row>
    <row r="379" spans="1:25" x14ac:dyDescent="0.25">
      <c r="A379" s="194">
        <v>44091</v>
      </c>
      <c r="B379" s="98" t="s">
        <v>876</v>
      </c>
      <c r="C379" s="98" t="s">
        <v>95</v>
      </c>
      <c r="D379" s="98">
        <v>38.068770000000001</v>
      </c>
      <c r="E379" s="98">
        <v>-121.76989</v>
      </c>
      <c r="F379" s="98" t="s">
        <v>1295</v>
      </c>
      <c r="G379" s="98" t="s">
        <v>27</v>
      </c>
      <c r="H379" s="98" t="s">
        <v>25</v>
      </c>
      <c r="I379" s="621">
        <v>0.46111111111111108</v>
      </c>
      <c r="J379" s="100">
        <v>681.75</v>
      </c>
      <c r="K379" s="100">
        <v>21.6</v>
      </c>
      <c r="L379" s="100">
        <v>17.324999999999999</v>
      </c>
      <c r="M379" s="100">
        <v>0.83499999999999996</v>
      </c>
      <c r="N379" s="100">
        <v>6.375</v>
      </c>
      <c r="O379" s="98" t="s">
        <v>48</v>
      </c>
      <c r="P379" s="98">
        <v>4</v>
      </c>
      <c r="Q379" s="98">
        <v>10</v>
      </c>
      <c r="R379" s="98" t="s">
        <v>49</v>
      </c>
      <c r="S379" s="98" t="s">
        <v>50</v>
      </c>
      <c r="T379" s="98" t="s">
        <v>50</v>
      </c>
      <c r="U379" s="98" t="s">
        <v>50</v>
      </c>
      <c r="V379" s="98" t="s">
        <v>50</v>
      </c>
      <c r="W379" s="98" t="s">
        <v>50</v>
      </c>
      <c r="X379" s="98" t="s">
        <v>50</v>
      </c>
    </row>
    <row r="380" spans="1:25" x14ac:dyDescent="0.25">
      <c r="A380" s="194">
        <v>44091</v>
      </c>
      <c r="B380" s="98" t="s">
        <v>876</v>
      </c>
      <c r="C380" s="98" t="s">
        <v>78</v>
      </c>
      <c r="D380" s="98">
        <v>38.082380000000001</v>
      </c>
      <c r="E380" s="98">
        <v>-122.05731</v>
      </c>
      <c r="F380" s="98" t="s">
        <v>1296</v>
      </c>
      <c r="G380" s="98" t="s">
        <v>27</v>
      </c>
      <c r="H380" s="98" t="s">
        <v>86</v>
      </c>
      <c r="I380" s="621">
        <v>0.3888888888888889</v>
      </c>
      <c r="J380" s="100">
        <v>18432.75</v>
      </c>
      <c r="K380" s="100">
        <v>20.100000000000001</v>
      </c>
      <c r="L380" s="100">
        <v>50.125</v>
      </c>
      <c r="M380" s="100">
        <v>0.4425</v>
      </c>
      <c r="N380" s="100">
        <v>5.0999999999999996</v>
      </c>
      <c r="O380" s="98" t="s">
        <v>48</v>
      </c>
      <c r="P380" s="98">
        <v>4</v>
      </c>
      <c r="Q380" s="98">
        <v>10</v>
      </c>
      <c r="R380" s="98" t="s">
        <v>49</v>
      </c>
      <c r="S380" s="98" t="s">
        <v>50</v>
      </c>
      <c r="T380" s="98" t="s">
        <v>50</v>
      </c>
      <c r="U380" s="98" t="s">
        <v>50</v>
      </c>
      <c r="V380" s="98" t="s">
        <v>50</v>
      </c>
      <c r="W380" s="98" t="s">
        <v>50</v>
      </c>
      <c r="X380" s="98" t="s">
        <v>50</v>
      </c>
    </row>
    <row r="381" spans="1:25" x14ac:dyDescent="0.25">
      <c r="A381" s="194">
        <v>44091</v>
      </c>
      <c r="B381" s="98" t="s">
        <v>876</v>
      </c>
      <c r="C381" s="98" t="s">
        <v>78</v>
      </c>
      <c r="D381" s="98">
        <v>38.053100000000001</v>
      </c>
      <c r="E381" s="98">
        <v>-121.97109</v>
      </c>
      <c r="F381" s="98" t="s">
        <v>1297</v>
      </c>
      <c r="G381" s="98" t="s">
        <v>27</v>
      </c>
      <c r="H381" s="98" t="s">
        <v>86</v>
      </c>
      <c r="I381" s="621">
        <v>0.44444444444444442</v>
      </c>
      <c r="J381" s="100">
        <v>10286.5</v>
      </c>
      <c r="K381" s="100">
        <v>20.3</v>
      </c>
      <c r="L381" s="100">
        <v>19.350000000000001</v>
      </c>
      <c r="M381" s="100">
        <v>0.81499999999999995</v>
      </c>
      <c r="N381" s="100">
        <v>5.2750000000000004</v>
      </c>
      <c r="O381" s="98" t="s">
        <v>48</v>
      </c>
      <c r="P381" s="98">
        <v>4</v>
      </c>
      <c r="Q381" s="98">
        <v>10</v>
      </c>
      <c r="R381" s="98" t="s">
        <v>49</v>
      </c>
      <c r="S381" s="98" t="s">
        <v>50</v>
      </c>
      <c r="T381" s="98" t="s">
        <v>50</v>
      </c>
      <c r="U381" s="98" t="s">
        <v>50</v>
      </c>
      <c r="V381" s="98" t="s">
        <v>50</v>
      </c>
      <c r="W381" s="98" t="s">
        <v>50</v>
      </c>
      <c r="X381" s="98" t="s">
        <v>50</v>
      </c>
    </row>
    <row r="382" spans="1:25" x14ac:dyDescent="0.25">
      <c r="A382" s="194">
        <v>44091</v>
      </c>
      <c r="B382" s="98" t="s">
        <v>876</v>
      </c>
      <c r="C382" s="98" t="s">
        <v>78</v>
      </c>
      <c r="D382" s="98">
        <v>38.055799999999998</v>
      </c>
      <c r="E382" s="98">
        <v>-121.84446</v>
      </c>
      <c r="F382" s="98" t="s">
        <v>1298</v>
      </c>
      <c r="G382" s="98" t="s">
        <v>27</v>
      </c>
      <c r="H382" s="98" t="s">
        <v>101</v>
      </c>
      <c r="I382" s="621">
        <v>0.50555555555555554</v>
      </c>
      <c r="J382" s="100">
        <v>3022.75</v>
      </c>
      <c r="K382" s="100">
        <v>21.1</v>
      </c>
      <c r="L382" s="100">
        <v>11.574999999999999</v>
      </c>
      <c r="M382" s="100">
        <v>1</v>
      </c>
      <c r="N382" s="100">
        <v>6.2249999999999996</v>
      </c>
      <c r="O382" s="98" t="s">
        <v>48</v>
      </c>
      <c r="P382" s="98">
        <v>4</v>
      </c>
      <c r="Q382" s="98">
        <v>10</v>
      </c>
      <c r="R382" s="98" t="s">
        <v>64</v>
      </c>
      <c r="S382" s="98" t="s">
        <v>50</v>
      </c>
      <c r="T382" s="98" t="s">
        <v>50</v>
      </c>
      <c r="U382" s="98" t="s">
        <v>50</v>
      </c>
      <c r="V382" s="98" t="s">
        <v>50</v>
      </c>
      <c r="W382" s="98" t="s">
        <v>50</v>
      </c>
      <c r="X382" s="98" t="s">
        <v>50</v>
      </c>
      <c r="Y382" s="622" t="s">
        <v>1299</v>
      </c>
    </row>
    <row r="383" spans="1:25" x14ac:dyDescent="0.25">
      <c r="A383" s="194">
        <v>44091</v>
      </c>
      <c r="B383" s="98" t="s">
        <v>876</v>
      </c>
      <c r="C383" s="98" t="s">
        <v>106</v>
      </c>
      <c r="D383" s="98">
        <v>38.471330000000002</v>
      </c>
      <c r="E383" s="98">
        <v>-121.58488</v>
      </c>
      <c r="F383" s="98" t="s">
        <v>1300</v>
      </c>
      <c r="G383" s="98" t="s">
        <v>90</v>
      </c>
      <c r="H383" s="98" t="s">
        <v>108</v>
      </c>
      <c r="I383" s="621">
        <v>0.3611111111111111</v>
      </c>
      <c r="J383" s="100">
        <v>771.75</v>
      </c>
      <c r="K383" s="100">
        <v>22.3</v>
      </c>
      <c r="L383" s="100">
        <v>45.825000000000003</v>
      </c>
      <c r="M383" s="100">
        <v>0.3125</v>
      </c>
      <c r="N383" s="100">
        <v>10.25</v>
      </c>
      <c r="O383" s="98" t="s">
        <v>48</v>
      </c>
      <c r="P383" s="98">
        <v>4</v>
      </c>
      <c r="Q383" s="98">
        <v>10</v>
      </c>
      <c r="R383" s="98" t="s">
        <v>49</v>
      </c>
      <c r="S383" s="98" t="s">
        <v>50</v>
      </c>
      <c r="T383" s="98" t="s">
        <v>50</v>
      </c>
      <c r="U383" s="98" t="s">
        <v>50</v>
      </c>
      <c r="V383" s="98" t="s">
        <v>50</v>
      </c>
      <c r="W383" s="98" t="s">
        <v>50</v>
      </c>
      <c r="X383" s="98" t="s">
        <v>50</v>
      </c>
      <c r="Y383" s="622" t="s">
        <v>1301</v>
      </c>
    </row>
    <row r="384" spans="1:25" x14ac:dyDescent="0.25">
      <c r="A384" s="194">
        <v>44091</v>
      </c>
      <c r="B384" s="98" t="s">
        <v>876</v>
      </c>
      <c r="C384" s="98" t="s">
        <v>106</v>
      </c>
      <c r="D384" s="98">
        <v>38.29956</v>
      </c>
      <c r="E384" s="98">
        <v>-121.65497999999999</v>
      </c>
      <c r="F384" s="98" t="s">
        <v>1302</v>
      </c>
      <c r="G384" s="98" t="s">
        <v>90</v>
      </c>
      <c r="H384" s="98" t="s">
        <v>108</v>
      </c>
      <c r="I384" s="621">
        <v>0.44722222222222219</v>
      </c>
      <c r="J384" s="100">
        <v>265.7</v>
      </c>
      <c r="K384" s="100">
        <v>21.925000000000001</v>
      </c>
      <c r="L384" s="100">
        <v>36.225000000000001</v>
      </c>
      <c r="M384" s="100">
        <v>0.37000000000000005</v>
      </c>
      <c r="N384" s="100">
        <v>8.8999999999999986</v>
      </c>
      <c r="O384" s="98" t="s">
        <v>48</v>
      </c>
      <c r="P384" s="98">
        <v>4</v>
      </c>
      <c r="Q384" s="98">
        <v>10</v>
      </c>
      <c r="R384" s="98" t="s">
        <v>49</v>
      </c>
      <c r="S384" s="98" t="s">
        <v>50</v>
      </c>
      <c r="T384" s="98" t="s">
        <v>50</v>
      </c>
      <c r="U384" s="98" t="s">
        <v>50</v>
      </c>
      <c r="V384" s="98" t="s">
        <v>50</v>
      </c>
      <c r="W384" s="98" t="s">
        <v>50</v>
      </c>
      <c r="X384" s="98" t="s">
        <v>50</v>
      </c>
      <c r="Y384" s="622" t="s">
        <v>1303</v>
      </c>
    </row>
    <row r="385" spans="1:25" x14ac:dyDescent="0.25">
      <c r="A385" s="194">
        <v>44091</v>
      </c>
      <c r="B385" s="98" t="s">
        <v>876</v>
      </c>
      <c r="C385" s="98" t="s">
        <v>106</v>
      </c>
      <c r="D385" s="98">
        <v>38.207940000000001</v>
      </c>
      <c r="E385" s="98">
        <v>-121.65918000000001</v>
      </c>
      <c r="F385" s="98" t="s">
        <v>1304</v>
      </c>
      <c r="G385" s="98" t="s">
        <v>90</v>
      </c>
      <c r="H385" s="98" t="s">
        <v>108</v>
      </c>
      <c r="I385" s="621">
        <v>0.51527777777777783</v>
      </c>
      <c r="J385" s="100">
        <v>181.97500000000002</v>
      </c>
      <c r="K385" s="100">
        <v>20.799999999999997</v>
      </c>
      <c r="L385" s="100">
        <v>8.7050000000000001</v>
      </c>
      <c r="M385" s="100">
        <v>1.7424999999999999</v>
      </c>
      <c r="N385" s="100">
        <v>13.149999999999999</v>
      </c>
      <c r="O385" s="98" t="s">
        <v>48</v>
      </c>
      <c r="P385" s="98">
        <v>4</v>
      </c>
      <c r="Q385" s="98">
        <v>10</v>
      </c>
      <c r="R385" s="98" t="s">
        <v>49</v>
      </c>
      <c r="S385" s="98" t="s">
        <v>50</v>
      </c>
      <c r="T385" s="98" t="s">
        <v>50</v>
      </c>
      <c r="U385" s="98" t="s">
        <v>50</v>
      </c>
      <c r="V385" s="98" t="s">
        <v>50</v>
      </c>
      <c r="W385" s="98" t="s">
        <v>50</v>
      </c>
      <c r="X385" s="98" t="s">
        <v>50</v>
      </c>
      <c r="Y385" s="622" t="s">
        <v>1305</v>
      </c>
    </row>
    <row r="386" spans="1:25" x14ac:dyDescent="0.25">
      <c r="A386" s="194">
        <v>44092</v>
      </c>
      <c r="B386" s="98" t="s">
        <v>940</v>
      </c>
      <c r="C386" s="98" t="s">
        <v>88</v>
      </c>
      <c r="D386" s="98">
        <v>38.059739999999998</v>
      </c>
      <c r="E386" s="98">
        <v>-121.80029</v>
      </c>
      <c r="F386" s="98" t="s">
        <v>1306</v>
      </c>
      <c r="G386" s="98" t="s">
        <v>27</v>
      </c>
      <c r="H386" s="98" t="s">
        <v>25</v>
      </c>
      <c r="I386" s="621">
        <v>0.34930555555555554</v>
      </c>
      <c r="J386" s="100">
        <v>4687.25</v>
      </c>
      <c r="K386" s="100">
        <v>20.724999999999998</v>
      </c>
      <c r="L386" s="100">
        <v>12.8</v>
      </c>
      <c r="M386" s="100">
        <v>0.83500000000000008</v>
      </c>
      <c r="N386" s="100">
        <v>7.5</v>
      </c>
      <c r="O386" s="98" t="s">
        <v>48</v>
      </c>
      <c r="P386" s="98">
        <v>4</v>
      </c>
      <c r="Q386" s="98">
        <v>10</v>
      </c>
      <c r="R386" s="98" t="s">
        <v>49</v>
      </c>
      <c r="S386" s="98" t="s">
        <v>50</v>
      </c>
      <c r="T386" s="98" t="s">
        <v>50</v>
      </c>
      <c r="U386" s="98" t="s">
        <v>50</v>
      </c>
      <c r="V386" s="98" t="s">
        <v>50</v>
      </c>
      <c r="W386" s="98" t="s">
        <v>50</v>
      </c>
      <c r="X386" s="98" t="s">
        <v>50</v>
      </c>
    </row>
    <row r="387" spans="1:25" x14ac:dyDescent="0.25">
      <c r="A387" s="194">
        <v>44092</v>
      </c>
      <c r="B387" s="98" t="s">
        <v>940</v>
      </c>
      <c r="C387" s="98" t="s">
        <v>88</v>
      </c>
      <c r="D387" s="98">
        <v>38.078020000000002</v>
      </c>
      <c r="E387" s="98">
        <v>-121.76143999999999</v>
      </c>
      <c r="F387" s="98" t="s">
        <v>1307</v>
      </c>
      <c r="G387" s="98" t="s">
        <v>27</v>
      </c>
      <c r="H387" s="98" t="s">
        <v>25</v>
      </c>
      <c r="I387" s="621">
        <v>0.40069444444444446</v>
      </c>
      <c r="J387" s="100">
        <v>1218.75</v>
      </c>
      <c r="K387" s="100">
        <v>21.274999999999999</v>
      </c>
      <c r="L387" s="100">
        <v>25.674999999999997</v>
      </c>
      <c r="M387" s="100">
        <v>0.55249999999999999</v>
      </c>
      <c r="N387" s="100">
        <v>8.7249999999999996</v>
      </c>
      <c r="O387" s="98" t="s">
        <v>48</v>
      </c>
      <c r="P387" s="98">
        <v>4</v>
      </c>
      <c r="Q387" s="98">
        <v>10</v>
      </c>
      <c r="R387" s="98" t="s">
        <v>49</v>
      </c>
      <c r="S387" s="98" t="s">
        <v>50</v>
      </c>
      <c r="T387" s="98" t="s">
        <v>50</v>
      </c>
      <c r="U387" s="98" t="s">
        <v>50</v>
      </c>
      <c r="V387" s="98" t="s">
        <v>50</v>
      </c>
      <c r="W387" s="98" t="s">
        <v>50</v>
      </c>
      <c r="X387" s="98" t="s">
        <v>50</v>
      </c>
    </row>
    <row r="388" spans="1:25" x14ac:dyDescent="0.25">
      <c r="A388" s="194">
        <v>44092</v>
      </c>
      <c r="B388" s="98" t="s">
        <v>940</v>
      </c>
      <c r="C388" s="98" t="s">
        <v>88</v>
      </c>
      <c r="D388" s="98">
        <v>38.090150000000001</v>
      </c>
      <c r="E388" s="98">
        <v>-121.73399000000001</v>
      </c>
      <c r="F388" s="98" t="s">
        <v>1308</v>
      </c>
      <c r="G388" s="98" t="s">
        <v>90</v>
      </c>
      <c r="H388" s="98" t="s">
        <v>91</v>
      </c>
      <c r="I388" s="621">
        <v>0.4513888888888889</v>
      </c>
      <c r="J388" s="100">
        <v>539.5</v>
      </c>
      <c r="K388" s="100">
        <v>21.549999999999997</v>
      </c>
      <c r="L388" s="100">
        <v>13.3</v>
      </c>
      <c r="M388" s="100">
        <v>1.0274999999999999</v>
      </c>
      <c r="N388" s="100">
        <v>5.5250000000000004</v>
      </c>
      <c r="O388" s="98" t="s">
        <v>48</v>
      </c>
      <c r="P388" s="98">
        <v>4</v>
      </c>
      <c r="Q388" s="98">
        <v>10</v>
      </c>
      <c r="R388" s="98" t="s">
        <v>49</v>
      </c>
      <c r="S388" s="98" t="s">
        <v>50</v>
      </c>
      <c r="T388" s="98" t="s">
        <v>50</v>
      </c>
      <c r="U388" s="98" t="s">
        <v>50</v>
      </c>
      <c r="V388" s="98" t="s">
        <v>50</v>
      </c>
      <c r="W388" s="98" t="s">
        <v>50</v>
      </c>
      <c r="X388" s="98" t="s">
        <v>50</v>
      </c>
    </row>
    <row r="389" spans="1:25" x14ac:dyDescent="0.25">
      <c r="A389" s="194">
        <v>44092</v>
      </c>
      <c r="B389" s="98" t="s">
        <v>940</v>
      </c>
      <c r="C389" s="98" t="s">
        <v>126</v>
      </c>
      <c r="D389" s="98">
        <v>38.356789999999997</v>
      </c>
      <c r="E389" s="98">
        <v>-121.64153</v>
      </c>
      <c r="F389" s="98" t="s">
        <v>1309</v>
      </c>
      <c r="G389" s="98" t="s">
        <v>90</v>
      </c>
      <c r="H389" s="98" t="s">
        <v>845</v>
      </c>
      <c r="I389" s="621">
        <v>0.33402777777777781</v>
      </c>
      <c r="J389" s="100">
        <v>303.60000000000002</v>
      </c>
      <c r="K389" s="100">
        <v>21.625</v>
      </c>
      <c r="L389" s="100">
        <v>12.6</v>
      </c>
      <c r="M389" s="100">
        <v>0.99749999999999994</v>
      </c>
      <c r="N389" s="100">
        <v>2.9249999999999998</v>
      </c>
      <c r="O389" s="98" t="s">
        <v>48</v>
      </c>
      <c r="P389" s="98">
        <v>4</v>
      </c>
      <c r="Q389" s="98">
        <v>10</v>
      </c>
      <c r="R389" s="98" t="s">
        <v>49</v>
      </c>
      <c r="S389" s="98" t="s">
        <v>50</v>
      </c>
      <c r="T389" s="98" t="s">
        <v>50</v>
      </c>
      <c r="U389" s="98" t="s">
        <v>50</v>
      </c>
      <c r="V389" s="98" t="s">
        <v>50</v>
      </c>
      <c r="W389" s="98" t="s">
        <v>50</v>
      </c>
      <c r="X389" s="98" t="s">
        <v>50</v>
      </c>
    </row>
    <row r="390" spans="1:25" x14ac:dyDescent="0.25">
      <c r="A390" s="194">
        <v>44092</v>
      </c>
      <c r="B390" s="98" t="s">
        <v>940</v>
      </c>
      <c r="C390" s="98" t="s">
        <v>126</v>
      </c>
      <c r="D390" s="98">
        <v>38.250109999999999</v>
      </c>
      <c r="E390" s="98">
        <v>-121.68687</v>
      </c>
      <c r="F390" s="98" t="s">
        <v>1310</v>
      </c>
      <c r="G390" s="98" t="s">
        <v>90</v>
      </c>
      <c r="H390" s="98" t="s">
        <v>845</v>
      </c>
      <c r="I390" s="621">
        <v>0.40277777777777773</v>
      </c>
      <c r="J390" s="100">
        <v>180.9</v>
      </c>
      <c r="K390" s="100">
        <v>20.650000000000002</v>
      </c>
      <c r="L390" s="100">
        <v>6.6974999999999998</v>
      </c>
      <c r="M390" s="100">
        <v>1.8</v>
      </c>
      <c r="N390" s="100">
        <v>8.8249999999999993</v>
      </c>
      <c r="O390" s="98" t="s">
        <v>48</v>
      </c>
      <c r="P390" s="98">
        <v>4</v>
      </c>
      <c r="Q390" s="98">
        <v>10</v>
      </c>
      <c r="R390" s="98" t="s">
        <v>49</v>
      </c>
      <c r="S390" s="98" t="s">
        <v>50</v>
      </c>
      <c r="T390" s="98" t="s">
        <v>50</v>
      </c>
      <c r="U390" s="98" t="s">
        <v>50</v>
      </c>
      <c r="V390" s="98" t="s">
        <v>50</v>
      </c>
      <c r="W390" s="98" t="s">
        <v>50</v>
      </c>
      <c r="X390" s="98" t="s">
        <v>50</v>
      </c>
    </row>
    <row r="391" spans="1:25" x14ac:dyDescent="0.25">
      <c r="A391" s="194">
        <v>44092</v>
      </c>
      <c r="B391" s="98" t="s">
        <v>940</v>
      </c>
      <c r="C391" s="98" t="s">
        <v>126</v>
      </c>
      <c r="D391" s="98">
        <v>38.249420000000001</v>
      </c>
      <c r="E391" s="98">
        <v>-121.71693999999999</v>
      </c>
      <c r="F391" s="98" t="s">
        <v>1311</v>
      </c>
      <c r="G391" s="98" t="s">
        <v>90</v>
      </c>
      <c r="H391" s="98" t="s">
        <v>845</v>
      </c>
      <c r="I391" s="621">
        <v>0.45347222222222222</v>
      </c>
      <c r="J391" s="100">
        <v>190.83999999999997</v>
      </c>
      <c r="K391" s="100">
        <v>21.1</v>
      </c>
      <c r="L391" s="100">
        <v>5.5140000000000002</v>
      </c>
      <c r="M391" s="100">
        <v>1.8</v>
      </c>
      <c r="N391" s="100">
        <v>4.8599999999999994</v>
      </c>
      <c r="O391" s="98" t="s">
        <v>48</v>
      </c>
      <c r="P391" s="98">
        <v>5</v>
      </c>
      <c r="Q391" s="98">
        <v>10</v>
      </c>
      <c r="R391" s="98" t="s">
        <v>49</v>
      </c>
      <c r="S391" s="98" t="s">
        <v>50</v>
      </c>
      <c r="T391" s="98" t="s">
        <v>50</v>
      </c>
      <c r="U391" s="98" t="s">
        <v>50</v>
      </c>
      <c r="V391" s="98" t="s">
        <v>50</v>
      </c>
      <c r="W391" s="98" t="s">
        <v>50</v>
      </c>
      <c r="X391" s="98" t="s">
        <v>50</v>
      </c>
      <c r="Y391" s="622" t="s">
        <v>1312</v>
      </c>
    </row>
    <row r="392" spans="1:25" x14ac:dyDescent="0.25">
      <c r="A392" s="194">
        <v>44092</v>
      </c>
      <c r="B392" s="98" t="s">
        <v>940</v>
      </c>
      <c r="C392" s="98" t="s">
        <v>62</v>
      </c>
      <c r="D392" s="98">
        <v>38.124290000000002</v>
      </c>
      <c r="E392" s="98">
        <v>-122.05582</v>
      </c>
      <c r="F392" s="98" t="s">
        <v>1313</v>
      </c>
      <c r="G392" s="98" t="s">
        <v>27</v>
      </c>
      <c r="H392" s="98" t="s">
        <v>62</v>
      </c>
      <c r="I392" s="621">
        <v>0.34097222222222223</v>
      </c>
      <c r="J392" s="100">
        <v>14141.75</v>
      </c>
      <c r="K392" s="100">
        <v>20.700000000000003</v>
      </c>
      <c r="L392" s="100">
        <v>62.574999999999989</v>
      </c>
      <c r="M392" s="100">
        <v>0.27500000000000002</v>
      </c>
      <c r="N392" s="100">
        <v>2.6750000000000003</v>
      </c>
      <c r="O392" s="98" t="s">
        <v>48</v>
      </c>
      <c r="P392" s="98">
        <v>4</v>
      </c>
      <c r="Q392" s="98">
        <v>10</v>
      </c>
      <c r="R392" s="98" t="s">
        <v>49</v>
      </c>
      <c r="S392" s="98" t="s">
        <v>50</v>
      </c>
      <c r="T392" s="98" t="s">
        <v>50</v>
      </c>
      <c r="U392" s="98" t="s">
        <v>50</v>
      </c>
      <c r="V392" s="98" t="s">
        <v>50</v>
      </c>
      <c r="W392" s="98" t="s">
        <v>50</v>
      </c>
      <c r="X392" s="98" t="s">
        <v>50</v>
      </c>
    </row>
    <row r="393" spans="1:25" s="154" customFormat="1" x14ac:dyDescent="0.25">
      <c r="A393" s="195">
        <v>44092</v>
      </c>
      <c r="B393" s="154" t="s">
        <v>940</v>
      </c>
      <c r="C393" s="154" t="s">
        <v>62</v>
      </c>
      <c r="D393" s="154">
        <v>38.10792</v>
      </c>
      <c r="E393" s="154">
        <v>-122.04385000000001</v>
      </c>
      <c r="F393" s="154" t="s">
        <v>1314</v>
      </c>
      <c r="G393" s="154" t="s">
        <v>27</v>
      </c>
      <c r="H393" s="154" t="s">
        <v>173</v>
      </c>
      <c r="I393" s="636">
        <v>0.3888888888888889</v>
      </c>
      <c r="J393" s="156" t="s">
        <v>50</v>
      </c>
      <c r="K393" s="156" t="s">
        <v>50</v>
      </c>
      <c r="L393" s="156" t="s">
        <v>50</v>
      </c>
      <c r="M393" s="156" t="s">
        <v>50</v>
      </c>
      <c r="N393" s="156" t="s">
        <v>50</v>
      </c>
      <c r="O393" s="154" t="s">
        <v>48</v>
      </c>
      <c r="P393" s="154">
        <v>0</v>
      </c>
      <c r="Q393" s="154" t="s">
        <v>50</v>
      </c>
      <c r="R393" s="154" t="s">
        <v>50</v>
      </c>
      <c r="S393" s="154" t="s">
        <v>50</v>
      </c>
      <c r="T393" s="154" t="s">
        <v>50</v>
      </c>
      <c r="U393" s="154" t="s">
        <v>50</v>
      </c>
      <c r="V393" s="154" t="s">
        <v>50</v>
      </c>
      <c r="W393" s="154" t="s">
        <v>50</v>
      </c>
      <c r="X393" s="154" t="s">
        <v>50</v>
      </c>
      <c r="Y393" s="627" t="s">
        <v>734</v>
      </c>
    </row>
    <row r="394" spans="1:25" x14ac:dyDescent="0.25">
      <c r="A394" s="194">
        <v>44092</v>
      </c>
      <c r="B394" s="98" t="s">
        <v>940</v>
      </c>
      <c r="C394" s="98" t="s">
        <v>62</v>
      </c>
      <c r="D394" s="98">
        <v>38.045459999999999</v>
      </c>
      <c r="E394" s="98">
        <v>-122.09929</v>
      </c>
      <c r="F394" s="98" t="s">
        <v>1315</v>
      </c>
      <c r="G394" s="98" t="s">
        <v>80</v>
      </c>
      <c r="H394" s="98" t="s">
        <v>81</v>
      </c>
      <c r="I394" s="621">
        <v>0.40486111111111112</v>
      </c>
      <c r="J394" s="100">
        <v>16417.75</v>
      </c>
      <c r="K394" s="100">
        <v>20.3</v>
      </c>
      <c r="L394" s="100">
        <v>36.524999999999999</v>
      </c>
      <c r="M394" s="100">
        <v>0.46250000000000002</v>
      </c>
      <c r="N394" s="100">
        <v>11.925000000000001</v>
      </c>
      <c r="O394" s="98" t="s">
        <v>48</v>
      </c>
      <c r="P394" s="98">
        <v>4</v>
      </c>
      <c r="Q394" s="98">
        <v>10</v>
      </c>
      <c r="R394" s="98" t="s">
        <v>49</v>
      </c>
      <c r="S394" s="98" t="s">
        <v>50</v>
      </c>
      <c r="T394" s="98" t="s">
        <v>50</v>
      </c>
      <c r="U394" s="98" t="s">
        <v>50</v>
      </c>
      <c r="V394" s="98" t="s">
        <v>50</v>
      </c>
      <c r="W394" s="98" t="s">
        <v>50</v>
      </c>
      <c r="X394" s="98" t="s">
        <v>50</v>
      </c>
      <c r="Y394" s="622" t="s">
        <v>1316</v>
      </c>
    </row>
    <row r="395" spans="1:25" s="362" customFormat="1" x14ac:dyDescent="0.25">
      <c r="A395" s="360">
        <v>44092</v>
      </c>
      <c r="B395" s="362" t="s">
        <v>940</v>
      </c>
      <c r="C395" s="362" t="s">
        <v>62</v>
      </c>
      <c r="D395" s="362">
        <v>38.070779999999999</v>
      </c>
      <c r="E395" s="362">
        <v>-121.97933</v>
      </c>
      <c r="F395" s="362" t="s">
        <v>1317</v>
      </c>
      <c r="G395" s="362" t="s">
        <v>27</v>
      </c>
      <c r="H395" s="362" t="s">
        <v>86</v>
      </c>
      <c r="I395" s="618">
        <v>0.46527777777777773</v>
      </c>
      <c r="J395" s="364">
        <v>12587</v>
      </c>
      <c r="K395" s="364">
        <v>20.625</v>
      </c>
      <c r="L395" s="364">
        <v>20.400000000000002</v>
      </c>
      <c r="M395" s="364">
        <v>0.60499999999999998</v>
      </c>
      <c r="N395" s="364">
        <v>5.4250000000000007</v>
      </c>
      <c r="O395" s="362" t="s">
        <v>48</v>
      </c>
      <c r="P395" s="362">
        <v>4</v>
      </c>
      <c r="Q395" s="362">
        <v>10</v>
      </c>
      <c r="R395" s="362" t="s">
        <v>49</v>
      </c>
      <c r="S395" s="362" t="s">
        <v>50</v>
      </c>
      <c r="T395" s="362" t="s">
        <v>50</v>
      </c>
      <c r="U395" s="362" t="s">
        <v>50</v>
      </c>
      <c r="V395" s="362" t="s">
        <v>50</v>
      </c>
      <c r="W395" s="362" t="s">
        <v>50</v>
      </c>
      <c r="X395" s="362" t="s">
        <v>50</v>
      </c>
      <c r="Y395" s="603"/>
    </row>
    <row r="396" spans="1:25" x14ac:dyDescent="0.25">
      <c r="A396" s="194">
        <v>44095</v>
      </c>
      <c r="B396" s="98" t="s">
        <v>43</v>
      </c>
      <c r="C396" s="98" t="s">
        <v>95</v>
      </c>
      <c r="D396" s="98">
        <v>38.0428</v>
      </c>
      <c r="E396" s="98">
        <v>-121.52804999999999</v>
      </c>
      <c r="F396" s="98" t="s">
        <v>1318</v>
      </c>
      <c r="G396" s="98" t="s">
        <v>46</v>
      </c>
      <c r="H396" s="98" t="s">
        <v>115</v>
      </c>
      <c r="I396" s="621">
        <v>0.37013888888888885</v>
      </c>
      <c r="J396" s="100">
        <v>329.07</v>
      </c>
      <c r="K396" s="100">
        <v>21.8</v>
      </c>
      <c r="L396" s="100">
        <v>6.06</v>
      </c>
      <c r="M396" s="100">
        <v>1.64</v>
      </c>
      <c r="N396" s="100">
        <v>14.05</v>
      </c>
      <c r="O396" s="98" t="s">
        <v>48</v>
      </c>
      <c r="P396" s="98">
        <v>4</v>
      </c>
      <c r="Q396" s="98">
        <v>10</v>
      </c>
      <c r="R396" s="98" t="s">
        <v>64</v>
      </c>
      <c r="S396" s="98" t="s">
        <v>50</v>
      </c>
      <c r="T396" s="98" t="s">
        <v>50</v>
      </c>
      <c r="U396" s="98" t="s">
        <v>50</v>
      </c>
      <c r="V396" s="98" t="s">
        <v>50</v>
      </c>
      <c r="W396" s="98" t="s">
        <v>50</v>
      </c>
      <c r="X396" s="98" t="s">
        <v>50</v>
      </c>
      <c r="Y396" s="622" t="s">
        <v>1319</v>
      </c>
    </row>
    <row r="397" spans="1:25" x14ac:dyDescent="0.25">
      <c r="A397" s="194">
        <v>44095</v>
      </c>
      <c r="B397" s="98" t="s">
        <v>43</v>
      </c>
      <c r="C397" s="98" t="s">
        <v>95</v>
      </c>
      <c r="D397" s="98">
        <v>38.101959999999998</v>
      </c>
      <c r="E397" s="98">
        <v>-121.60929</v>
      </c>
      <c r="F397" s="98" t="s">
        <v>1320</v>
      </c>
      <c r="G397" s="98" t="s">
        <v>46</v>
      </c>
      <c r="H397" s="98" t="s">
        <v>97</v>
      </c>
      <c r="I397" s="621">
        <v>0.4236111111111111</v>
      </c>
      <c r="J397" s="100">
        <v>404.62</v>
      </c>
      <c r="K397" s="100">
        <v>21.85</v>
      </c>
      <c r="L397" s="100">
        <v>7.4</v>
      </c>
      <c r="M397" s="100">
        <v>1.36</v>
      </c>
      <c r="N397" s="100">
        <v>10.47</v>
      </c>
      <c r="O397" s="98" t="s">
        <v>48</v>
      </c>
      <c r="P397" s="98">
        <v>4</v>
      </c>
      <c r="Q397" s="98">
        <v>10</v>
      </c>
      <c r="R397" s="98" t="s">
        <v>49</v>
      </c>
      <c r="S397" s="98" t="s">
        <v>50</v>
      </c>
      <c r="T397" s="98" t="s">
        <v>50</v>
      </c>
      <c r="U397" s="98" t="s">
        <v>50</v>
      </c>
      <c r="V397" s="98" t="s">
        <v>50</v>
      </c>
      <c r="W397" s="98" t="s">
        <v>50</v>
      </c>
      <c r="X397" s="98" t="s">
        <v>50</v>
      </c>
      <c r="Y397" s="622" t="s">
        <v>139</v>
      </c>
    </row>
    <row r="398" spans="1:25" x14ac:dyDescent="0.25">
      <c r="A398" s="194">
        <v>44095</v>
      </c>
      <c r="B398" s="98" t="s">
        <v>43</v>
      </c>
      <c r="C398" s="98" t="s">
        <v>95</v>
      </c>
      <c r="D398" s="98">
        <v>38.056310000000003</v>
      </c>
      <c r="E398" s="98">
        <v>-121.68259</v>
      </c>
      <c r="F398" s="98" t="s">
        <v>1321</v>
      </c>
      <c r="G398" s="98" t="s">
        <v>46</v>
      </c>
      <c r="H398" s="98" t="s">
        <v>97</v>
      </c>
      <c r="I398" s="621">
        <v>0.4770833333333333</v>
      </c>
      <c r="J398" s="100">
        <v>1040.5</v>
      </c>
      <c r="K398" s="100">
        <v>21.82</v>
      </c>
      <c r="L398" s="100">
        <v>9.6300000000000008</v>
      </c>
      <c r="M398" s="100">
        <v>1.28</v>
      </c>
      <c r="N398" s="100">
        <v>11.45</v>
      </c>
      <c r="O398" s="98" t="s">
        <v>48</v>
      </c>
      <c r="P398" s="98">
        <v>4</v>
      </c>
      <c r="Q398" s="98">
        <v>10</v>
      </c>
      <c r="R398" s="98" t="s">
        <v>49</v>
      </c>
      <c r="S398" s="98" t="s">
        <v>50</v>
      </c>
      <c r="T398" s="98" t="s">
        <v>50</v>
      </c>
      <c r="U398" s="98" t="s">
        <v>50</v>
      </c>
      <c r="V398" s="98" t="s">
        <v>50</v>
      </c>
      <c r="W398" s="98" t="s">
        <v>50</v>
      </c>
      <c r="X398" s="98" t="s">
        <v>50</v>
      </c>
      <c r="Y398" s="622" t="s">
        <v>139</v>
      </c>
    </row>
    <row r="399" spans="1:25" x14ac:dyDescent="0.25">
      <c r="A399" s="194">
        <v>44095</v>
      </c>
      <c r="B399" s="98" t="s">
        <v>43</v>
      </c>
      <c r="C399" s="98" t="s">
        <v>106</v>
      </c>
      <c r="D399" s="98">
        <v>38.242420000000003</v>
      </c>
      <c r="E399" s="98">
        <v>-121.67106</v>
      </c>
      <c r="F399" s="98" t="s">
        <v>1322</v>
      </c>
      <c r="G399" s="98" t="s">
        <v>90</v>
      </c>
      <c r="H399" s="98" t="s">
        <v>108</v>
      </c>
      <c r="I399" s="621">
        <v>0.49861111111111112</v>
      </c>
      <c r="J399" s="100">
        <v>182.7</v>
      </c>
      <c r="K399" s="100">
        <v>21.23</v>
      </c>
      <c r="L399" s="100">
        <v>7.81</v>
      </c>
      <c r="M399" s="100">
        <v>1.68</v>
      </c>
      <c r="N399" s="100">
        <v>10.43</v>
      </c>
      <c r="O399" s="98" t="s">
        <v>48</v>
      </c>
      <c r="P399" s="98">
        <v>4</v>
      </c>
      <c r="Q399" s="98">
        <v>10</v>
      </c>
      <c r="R399" s="98" t="s">
        <v>49</v>
      </c>
      <c r="S399" s="98" t="s">
        <v>50</v>
      </c>
      <c r="T399" s="98" t="s">
        <v>50</v>
      </c>
      <c r="U399" s="98" t="s">
        <v>50</v>
      </c>
      <c r="V399" s="98" t="s">
        <v>50</v>
      </c>
      <c r="W399" s="98" t="s">
        <v>50</v>
      </c>
      <c r="X399" s="98" t="s">
        <v>50</v>
      </c>
    </row>
    <row r="400" spans="1:25" x14ac:dyDescent="0.25">
      <c r="A400" s="194">
        <v>44095</v>
      </c>
      <c r="B400" s="98" t="s">
        <v>43</v>
      </c>
      <c r="C400" s="98" t="s">
        <v>106</v>
      </c>
      <c r="D400" s="98">
        <v>38.563049999999997</v>
      </c>
      <c r="E400" s="98">
        <v>-121.54893</v>
      </c>
      <c r="F400" s="98" t="s">
        <v>1323</v>
      </c>
      <c r="G400" s="98" t="s">
        <v>90</v>
      </c>
      <c r="H400" s="98" t="s">
        <v>158</v>
      </c>
      <c r="I400" s="621">
        <v>0.36527777777777781</v>
      </c>
      <c r="J400" s="100">
        <v>1070</v>
      </c>
      <c r="K400" s="100">
        <v>23.25</v>
      </c>
      <c r="L400" s="100">
        <v>5.69</v>
      </c>
      <c r="M400" s="100">
        <v>1.8</v>
      </c>
      <c r="N400" s="100">
        <v>12.03</v>
      </c>
      <c r="O400" s="98" t="s">
        <v>48</v>
      </c>
      <c r="P400" s="98">
        <v>4</v>
      </c>
      <c r="Q400" s="98">
        <v>10</v>
      </c>
      <c r="R400" s="98" t="s">
        <v>49</v>
      </c>
      <c r="S400" s="98" t="s">
        <v>50</v>
      </c>
      <c r="T400" s="98" t="s">
        <v>50</v>
      </c>
      <c r="U400" s="98" t="s">
        <v>50</v>
      </c>
      <c r="V400" s="98" t="s">
        <v>50</v>
      </c>
      <c r="W400" s="98" t="s">
        <v>50</v>
      </c>
      <c r="X400" s="98" t="s">
        <v>50</v>
      </c>
    </row>
    <row r="401" spans="1:25" x14ac:dyDescent="0.25">
      <c r="A401" s="194">
        <v>44095</v>
      </c>
      <c r="B401" s="98" t="s">
        <v>43</v>
      </c>
      <c r="C401" s="98" t="s">
        <v>106</v>
      </c>
      <c r="D401" s="98">
        <v>38.536230000000003</v>
      </c>
      <c r="E401" s="98">
        <v>-121.58450000000001</v>
      </c>
      <c r="F401" s="98" t="s">
        <v>1324</v>
      </c>
      <c r="G401" s="98" t="s">
        <v>90</v>
      </c>
      <c r="H401" s="98" t="s">
        <v>158</v>
      </c>
      <c r="I401" s="621">
        <v>0.41944444444444445</v>
      </c>
      <c r="J401" s="100">
        <v>964.5</v>
      </c>
      <c r="K401" s="100">
        <v>22.85</v>
      </c>
      <c r="L401" s="100">
        <v>14.62</v>
      </c>
      <c r="M401" s="100">
        <v>3.97</v>
      </c>
      <c r="N401" s="100">
        <v>11.43</v>
      </c>
      <c r="O401" s="98" t="s">
        <v>48</v>
      </c>
      <c r="P401" s="98">
        <v>4</v>
      </c>
      <c r="Q401" s="98">
        <v>10</v>
      </c>
      <c r="R401" s="98" t="s">
        <v>64</v>
      </c>
      <c r="S401" s="98" t="s">
        <v>50</v>
      </c>
      <c r="T401" s="98" t="s">
        <v>50</v>
      </c>
      <c r="U401" s="98" t="s">
        <v>50</v>
      </c>
      <c r="V401" s="98" t="s">
        <v>50</v>
      </c>
      <c r="W401" s="98" t="s">
        <v>50</v>
      </c>
      <c r="X401" s="98" t="s">
        <v>50</v>
      </c>
    </row>
    <row r="402" spans="1:25" x14ac:dyDescent="0.25">
      <c r="A402" s="194">
        <v>44095</v>
      </c>
      <c r="B402" s="98" t="s">
        <v>43</v>
      </c>
      <c r="C402" s="98" t="s">
        <v>78</v>
      </c>
      <c r="D402" s="98">
        <v>38.04974</v>
      </c>
      <c r="E402" s="98">
        <v>-122.09331</v>
      </c>
      <c r="F402" s="98" t="s">
        <v>1325</v>
      </c>
      <c r="G402" s="98" t="s">
        <v>80</v>
      </c>
      <c r="H402" s="98" t="s">
        <v>81</v>
      </c>
      <c r="I402" s="621">
        <v>0.34513888888888888</v>
      </c>
      <c r="J402" s="100">
        <v>24810.25</v>
      </c>
      <c r="K402" s="100">
        <v>20.25</v>
      </c>
      <c r="L402" s="100">
        <v>48.17</v>
      </c>
      <c r="M402" s="100">
        <v>0.79</v>
      </c>
      <c r="N402" s="100">
        <v>19.48</v>
      </c>
      <c r="O402" s="98" t="s">
        <v>48</v>
      </c>
      <c r="P402" s="98">
        <v>4</v>
      </c>
      <c r="Q402" s="98">
        <v>10</v>
      </c>
      <c r="R402" s="98" t="s">
        <v>49</v>
      </c>
      <c r="S402" s="98" t="s">
        <v>50</v>
      </c>
      <c r="T402" s="98" t="s">
        <v>50</v>
      </c>
      <c r="U402" s="98" t="s">
        <v>50</v>
      </c>
      <c r="V402" s="98" t="s">
        <v>50</v>
      </c>
      <c r="W402" s="98" t="s">
        <v>50</v>
      </c>
      <c r="X402" s="98" t="s">
        <v>50</v>
      </c>
    </row>
    <row r="403" spans="1:25" x14ac:dyDescent="0.25">
      <c r="A403" s="194">
        <v>44095</v>
      </c>
      <c r="B403" s="98" t="s">
        <v>43</v>
      </c>
      <c r="C403" s="98" t="s">
        <v>78</v>
      </c>
      <c r="D403" s="98">
        <v>38.044280000000001</v>
      </c>
      <c r="E403" s="98">
        <v>-121.88751000000001</v>
      </c>
      <c r="F403" s="98" t="s">
        <v>1326</v>
      </c>
      <c r="G403" s="98" t="s">
        <v>27</v>
      </c>
      <c r="H403" s="98" t="s">
        <v>101</v>
      </c>
      <c r="I403" s="621">
        <v>0.46249999999999997</v>
      </c>
      <c r="J403" s="100">
        <v>8950.25</v>
      </c>
      <c r="K403" s="100">
        <v>21</v>
      </c>
      <c r="L403" s="100">
        <v>13.33</v>
      </c>
      <c r="M403" s="100">
        <v>0.84</v>
      </c>
      <c r="N403" s="100">
        <v>13.7</v>
      </c>
      <c r="O403" s="98" t="s">
        <v>48</v>
      </c>
      <c r="P403" s="98">
        <v>4</v>
      </c>
      <c r="Q403" s="98">
        <v>10</v>
      </c>
      <c r="R403" s="98" t="s">
        <v>49</v>
      </c>
      <c r="S403" s="98" t="s">
        <v>50</v>
      </c>
      <c r="T403" s="98" t="s">
        <v>50</v>
      </c>
      <c r="U403" s="98" t="s">
        <v>50</v>
      </c>
      <c r="V403" s="98" t="s">
        <v>50</v>
      </c>
      <c r="W403" s="98" t="s">
        <v>50</v>
      </c>
      <c r="X403" s="98" t="s">
        <v>50</v>
      </c>
    </row>
    <row r="404" spans="1:25" x14ac:dyDescent="0.25">
      <c r="A404" s="194">
        <v>44095</v>
      </c>
      <c r="B404" s="98" t="s">
        <v>43</v>
      </c>
      <c r="C404" s="98" t="s">
        <v>78</v>
      </c>
      <c r="D404" s="98">
        <v>38.058320000000002</v>
      </c>
      <c r="E404" s="98">
        <v>-121.99929</v>
      </c>
      <c r="F404" s="98" t="s">
        <v>1327</v>
      </c>
      <c r="G404" s="98" t="s">
        <v>27</v>
      </c>
      <c r="H404" s="98" t="s">
        <v>86</v>
      </c>
      <c r="I404" s="621">
        <v>0.40277777777777773</v>
      </c>
      <c r="J404" s="100">
        <v>17826</v>
      </c>
      <c r="K404" s="100">
        <v>20.63</v>
      </c>
      <c r="L404" s="100">
        <v>14.92</v>
      </c>
      <c r="M404" s="100">
        <v>0.78</v>
      </c>
      <c r="N404" s="100">
        <v>12.68</v>
      </c>
      <c r="O404" s="98" t="s">
        <v>48</v>
      </c>
      <c r="P404" s="98">
        <v>4</v>
      </c>
      <c r="Q404" s="98">
        <v>10</v>
      </c>
      <c r="R404" s="98" t="s">
        <v>49</v>
      </c>
      <c r="S404" s="98" t="s">
        <v>50</v>
      </c>
      <c r="T404" s="98" t="s">
        <v>50</v>
      </c>
      <c r="U404" s="98" t="s">
        <v>50</v>
      </c>
      <c r="V404" s="98" t="s">
        <v>50</v>
      </c>
      <c r="W404" s="98" t="s">
        <v>50</v>
      </c>
      <c r="X404" s="98" t="s">
        <v>50</v>
      </c>
    </row>
    <row r="405" spans="1:25" x14ac:dyDescent="0.25">
      <c r="A405" s="194">
        <v>44096</v>
      </c>
      <c r="B405" s="98" t="s">
        <v>849</v>
      </c>
      <c r="C405" s="98" t="s">
        <v>95</v>
      </c>
      <c r="D405" s="98">
        <v>38.020560000000003</v>
      </c>
      <c r="E405" s="98">
        <v>-121.75294</v>
      </c>
      <c r="F405" s="98" t="s">
        <v>1328</v>
      </c>
      <c r="G405" s="98" t="s">
        <v>27</v>
      </c>
      <c r="H405" s="98" t="s">
        <v>95</v>
      </c>
      <c r="I405" s="621">
        <v>0.3979166666666667</v>
      </c>
      <c r="J405" s="100">
        <v>3338</v>
      </c>
      <c r="K405" s="100">
        <v>21.58</v>
      </c>
      <c r="L405" s="100">
        <v>12.15</v>
      </c>
      <c r="M405" s="100">
        <v>1</v>
      </c>
      <c r="N405" s="100">
        <v>4.95</v>
      </c>
      <c r="O405" s="98" t="s">
        <v>48</v>
      </c>
      <c r="P405" s="98">
        <v>4</v>
      </c>
      <c r="Q405" s="98">
        <v>10</v>
      </c>
      <c r="R405" s="98" t="s">
        <v>64</v>
      </c>
      <c r="S405" s="98" t="s">
        <v>50</v>
      </c>
      <c r="T405" s="98" t="s">
        <v>50</v>
      </c>
      <c r="U405" s="98" t="s">
        <v>50</v>
      </c>
      <c r="V405" s="98" t="s">
        <v>50</v>
      </c>
      <c r="W405" s="98" t="s">
        <v>50</v>
      </c>
      <c r="X405" s="98" t="s">
        <v>50</v>
      </c>
    </row>
    <row r="406" spans="1:25" x14ac:dyDescent="0.25">
      <c r="A406" s="194">
        <v>44096</v>
      </c>
      <c r="B406" s="98" t="s">
        <v>849</v>
      </c>
      <c r="C406" s="98" t="s">
        <v>95</v>
      </c>
      <c r="D406" s="98">
        <v>38.02543</v>
      </c>
      <c r="E406" s="98">
        <v>-121.73069</v>
      </c>
      <c r="F406" s="98" t="s">
        <v>1329</v>
      </c>
      <c r="G406" s="98" t="s">
        <v>27</v>
      </c>
      <c r="H406" s="98" t="s">
        <v>95</v>
      </c>
      <c r="I406" s="621">
        <v>0.4465277777777778</v>
      </c>
      <c r="J406" s="100">
        <v>1915.25</v>
      </c>
      <c r="K406" s="100">
        <v>21.87</v>
      </c>
      <c r="L406" s="100">
        <v>6.3</v>
      </c>
      <c r="M406" s="100">
        <v>1.75</v>
      </c>
      <c r="N406" s="100">
        <v>7.8</v>
      </c>
      <c r="O406" s="98" t="s">
        <v>48</v>
      </c>
      <c r="P406" s="98">
        <v>4</v>
      </c>
      <c r="Q406" s="98">
        <v>10</v>
      </c>
      <c r="R406" s="98" t="s">
        <v>49</v>
      </c>
      <c r="S406" s="98" t="s">
        <v>50</v>
      </c>
      <c r="T406" s="98" t="s">
        <v>50</v>
      </c>
      <c r="U406" s="98" t="s">
        <v>50</v>
      </c>
      <c r="V406" s="98" t="s">
        <v>50</v>
      </c>
      <c r="W406" s="98" t="s">
        <v>50</v>
      </c>
      <c r="X406" s="98" t="s">
        <v>50</v>
      </c>
      <c r="Y406" s="622" t="s">
        <v>1179</v>
      </c>
    </row>
    <row r="407" spans="1:25" x14ac:dyDescent="0.25">
      <c r="A407" s="194">
        <v>44096</v>
      </c>
      <c r="B407" s="98" t="s">
        <v>849</v>
      </c>
      <c r="C407" s="98" t="s">
        <v>95</v>
      </c>
      <c r="D407" s="98">
        <v>38.029760000000003</v>
      </c>
      <c r="E407" s="98">
        <v>-121.76701</v>
      </c>
      <c r="F407" s="98" t="s">
        <v>1330</v>
      </c>
      <c r="G407" s="98" t="s">
        <v>27</v>
      </c>
      <c r="H407" s="98" t="s">
        <v>95</v>
      </c>
      <c r="I407" s="621">
        <v>0.34375</v>
      </c>
      <c r="J407" s="100">
        <v>3225.75</v>
      </c>
      <c r="K407" s="100">
        <v>21.4</v>
      </c>
      <c r="L407" s="100">
        <v>11.43</v>
      </c>
      <c r="M407" s="100">
        <v>0.92</v>
      </c>
      <c r="N407" s="100">
        <v>12.2</v>
      </c>
      <c r="O407" s="98" t="s">
        <v>48</v>
      </c>
      <c r="P407" s="98">
        <v>4</v>
      </c>
      <c r="Q407" s="98">
        <v>10</v>
      </c>
      <c r="R407" s="98" t="s">
        <v>64</v>
      </c>
      <c r="S407" s="98" t="s">
        <v>50</v>
      </c>
      <c r="T407" s="98" t="s">
        <v>50</v>
      </c>
      <c r="U407" s="98" t="s">
        <v>50</v>
      </c>
      <c r="V407" s="98" t="s">
        <v>50</v>
      </c>
      <c r="W407" s="98" t="s">
        <v>50</v>
      </c>
      <c r="X407" s="98" t="s">
        <v>50</v>
      </c>
      <c r="Y407" s="622" t="s">
        <v>1331</v>
      </c>
    </row>
    <row r="408" spans="1:25" x14ac:dyDescent="0.25">
      <c r="A408" s="194">
        <v>44096</v>
      </c>
      <c r="B408" s="98" t="s">
        <v>849</v>
      </c>
      <c r="C408" s="98" t="s">
        <v>106</v>
      </c>
      <c r="D408" s="98">
        <v>38.194029999999998</v>
      </c>
      <c r="E408" s="98">
        <v>38.195259999999998</v>
      </c>
      <c r="F408" s="98" t="s">
        <v>1332</v>
      </c>
      <c r="G408" s="98" t="s">
        <v>90</v>
      </c>
      <c r="H408" s="98" t="s">
        <v>108</v>
      </c>
      <c r="I408" s="621">
        <v>0.46527777777777773</v>
      </c>
      <c r="J408" s="100">
        <v>170.6</v>
      </c>
      <c r="K408" s="100">
        <v>21.1</v>
      </c>
      <c r="L408" s="100">
        <v>6.39</v>
      </c>
      <c r="M408" s="100">
        <v>1.8</v>
      </c>
      <c r="N408" s="100">
        <v>14.77</v>
      </c>
      <c r="O408" s="98" t="s">
        <v>48</v>
      </c>
      <c r="P408" s="98">
        <v>4</v>
      </c>
      <c r="Q408" s="98">
        <v>10</v>
      </c>
      <c r="R408" s="98" t="s">
        <v>49</v>
      </c>
      <c r="S408" s="98" t="s">
        <v>50</v>
      </c>
      <c r="T408" s="98" t="s">
        <v>50</v>
      </c>
      <c r="U408" s="98" t="s">
        <v>50</v>
      </c>
      <c r="V408" s="98" t="s">
        <v>50</v>
      </c>
      <c r="W408" s="98" t="s">
        <v>50</v>
      </c>
      <c r="X408" s="98" t="s">
        <v>50</v>
      </c>
    </row>
    <row r="409" spans="1:25" x14ac:dyDescent="0.25">
      <c r="A409" s="194">
        <v>44096</v>
      </c>
      <c r="B409" s="98" t="s">
        <v>849</v>
      </c>
      <c r="C409" s="98" t="s">
        <v>106</v>
      </c>
      <c r="D409" s="98">
        <v>38.378010000000003</v>
      </c>
      <c r="E409" s="98">
        <v>-121.62755</v>
      </c>
      <c r="F409" s="98" t="s">
        <v>1333</v>
      </c>
      <c r="G409" s="98" t="s">
        <v>90</v>
      </c>
      <c r="H409" s="98" t="s">
        <v>108</v>
      </c>
      <c r="I409" s="621">
        <v>0.33611111111111108</v>
      </c>
      <c r="J409" s="100">
        <v>365.98</v>
      </c>
      <c r="K409" s="100">
        <v>21.68</v>
      </c>
      <c r="L409" s="100">
        <v>67.55</v>
      </c>
      <c r="M409" s="100">
        <v>0.33</v>
      </c>
      <c r="N409" s="100">
        <v>8.0500000000000007</v>
      </c>
      <c r="O409" s="98" t="s">
        <v>48</v>
      </c>
      <c r="P409" s="98">
        <v>4</v>
      </c>
      <c r="Q409" s="98">
        <v>10</v>
      </c>
      <c r="R409" s="98" t="s">
        <v>64</v>
      </c>
      <c r="S409" s="98" t="s">
        <v>50</v>
      </c>
      <c r="T409" s="98" t="s">
        <v>50</v>
      </c>
      <c r="U409" s="98" t="s">
        <v>50</v>
      </c>
      <c r="V409" s="98" t="s">
        <v>50</v>
      </c>
      <c r="W409" s="98" t="s">
        <v>50</v>
      </c>
      <c r="X409" s="98" t="s">
        <v>50</v>
      </c>
    </row>
    <row r="410" spans="1:25" x14ac:dyDescent="0.25">
      <c r="A410" s="194">
        <v>44096</v>
      </c>
      <c r="B410" s="98" t="s">
        <v>849</v>
      </c>
      <c r="C410" s="98" t="s">
        <v>106</v>
      </c>
      <c r="D410" s="98">
        <v>38.260199999999998</v>
      </c>
      <c r="E410" s="98">
        <v>-121.66522000000001</v>
      </c>
      <c r="F410" s="98" t="s">
        <v>1334</v>
      </c>
      <c r="G410" s="98" t="s">
        <v>90</v>
      </c>
      <c r="H410" s="98" t="s">
        <v>108</v>
      </c>
      <c r="I410" s="621">
        <v>0.40277777777777773</v>
      </c>
      <c r="J410" s="100">
        <v>178</v>
      </c>
      <c r="K410" s="100">
        <v>21.03</v>
      </c>
      <c r="L410" s="100">
        <v>10.11</v>
      </c>
      <c r="M410" s="100">
        <v>1.28</v>
      </c>
      <c r="N410" s="100">
        <v>5.65</v>
      </c>
      <c r="O410" s="98" t="s">
        <v>48</v>
      </c>
      <c r="P410" s="98">
        <v>4</v>
      </c>
      <c r="Q410" s="98">
        <v>10</v>
      </c>
      <c r="R410" s="98" t="s">
        <v>64</v>
      </c>
      <c r="S410" s="98" t="s">
        <v>50</v>
      </c>
      <c r="T410" s="98" t="s">
        <v>50</v>
      </c>
      <c r="U410" s="98" t="s">
        <v>50</v>
      </c>
      <c r="V410" s="98" t="s">
        <v>50</v>
      </c>
      <c r="W410" s="98" t="s">
        <v>50</v>
      </c>
      <c r="X410" s="98" t="s">
        <v>50</v>
      </c>
    </row>
    <row r="411" spans="1:25" x14ac:dyDescent="0.25">
      <c r="A411" s="194">
        <v>44096</v>
      </c>
      <c r="B411" s="98" t="s">
        <v>849</v>
      </c>
      <c r="C411" s="98" t="s">
        <v>78</v>
      </c>
      <c r="D411" s="98">
        <v>38.055149999999998</v>
      </c>
      <c r="E411" s="98">
        <v>-121.87144000000001</v>
      </c>
      <c r="F411" s="98" t="s">
        <v>1335</v>
      </c>
      <c r="G411" s="98" t="s">
        <v>27</v>
      </c>
      <c r="H411" s="98" t="s">
        <v>101</v>
      </c>
      <c r="I411" s="621">
        <v>0.47291666666666665</v>
      </c>
      <c r="J411" s="100">
        <v>9781</v>
      </c>
      <c r="K411" s="100">
        <v>21.1</v>
      </c>
      <c r="L411" s="100">
        <v>16.350000000000001</v>
      </c>
      <c r="M411" s="100">
        <v>0.77</v>
      </c>
      <c r="N411" s="100">
        <v>9.75</v>
      </c>
      <c r="O411" s="98" t="s">
        <v>48</v>
      </c>
      <c r="P411" s="98">
        <v>4</v>
      </c>
      <c r="Q411" s="98">
        <v>10</v>
      </c>
      <c r="R411" s="98" t="s">
        <v>49</v>
      </c>
      <c r="S411" s="98" t="s">
        <v>50</v>
      </c>
      <c r="T411" s="98" t="s">
        <v>50</v>
      </c>
      <c r="U411" s="98" t="s">
        <v>50</v>
      </c>
      <c r="V411" s="98" t="s">
        <v>50</v>
      </c>
      <c r="W411" s="98" t="s">
        <v>50</v>
      </c>
      <c r="X411" s="98" t="s">
        <v>50</v>
      </c>
    </row>
    <row r="412" spans="1:25" x14ac:dyDescent="0.25">
      <c r="A412" s="194">
        <v>44096</v>
      </c>
      <c r="B412" s="98" t="s">
        <v>849</v>
      </c>
      <c r="C412" s="98" t="s">
        <v>78</v>
      </c>
      <c r="D412" s="98">
        <v>38.094670000000001</v>
      </c>
      <c r="E412" s="98">
        <v>-122.01831</v>
      </c>
      <c r="F412" s="98" t="s">
        <v>1336</v>
      </c>
      <c r="G412" s="98" t="s">
        <v>27</v>
      </c>
      <c r="H412" s="98" t="s">
        <v>86</v>
      </c>
      <c r="I412" s="621">
        <v>0.3527777777777778</v>
      </c>
      <c r="J412" s="100">
        <v>18217.75</v>
      </c>
      <c r="K412" s="100">
        <v>20.3</v>
      </c>
      <c r="L412" s="100">
        <v>24.73</v>
      </c>
      <c r="M412" s="100">
        <v>0.51</v>
      </c>
      <c r="N412" s="100">
        <v>7.92</v>
      </c>
      <c r="O412" s="98" t="s">
        <v>48</v>
      </c>
      <c r="P412" s="98">
        <v>4</v>
      </c>
      <c r="Q412" s="98">
        <v>10</v>
      </c>
      <c r="R412" s="98" t="s">
        <v>64</v>
      </c>
      <c r="S412" s="98" t="s">
        <v>50</v>
      </c>
      <c r="T412" s="98" t="s">
        <v>50</v>
      </c>
      <c r="U412" s="98" t="s">
        <v>50</v>
      </c>
      <c r="V412" s="98" t="s">
        <v>50</v>
      </c>
      <c r="W412" s="98" t="s">
        <v>50</v>
      </c>
      <c r="X412" s="98" t="s">
        <v>50</v>
      </c>
    </row>
    <row r="413" spans="1:25" x14ac:dyDescent="0.25">
      <c r="A413" s="194">
        <v>44096</v>
      </c>
      <c r="B413" s="98" t="s">
        <v>849</v>
      </c>
      <c r="C413" s="98" t="s">
        <v>78</v>
      </c>
      <c r="D413" s="98">
        <v>38.061109999999999</v>
      </c>
      <c r="E413" s="98">
        <v>-121.97651</v>
      </c>
      <c r="F413" s="98" t="s">
        <v>1337</v>
      </c>
      <c r="G413" s="98" t="s">
        <v>27</v>
      </c>
      <c r="H413" s="98" t="s">
        <v>86</v>
      </c>
      <c r="I413" s="621">
        <v>0.41180555555555554</v>
      </c>
      <c r="J413" s="100">
        <v>16506.5</v>
      </c>
      <c r="K413" s="100">
        <v>20.53</v>
      </c>
      <c r="L413" s="100">
        <v>19.2</v>
      </c>
      <c r="M413" s="100">
        <v>0.75</v>
      </c>
      <c r="N413" s="100">
        <v>12.03</v>
      </c>
      <c r="O413" s="98" t="s">
        <v>48</v>
      </c>
      <c r="P413" s="98">
        <v>4</v>
      </c>
      <c r="Q413" s="98">
        <v>10</v>
      </c>
      <c r="R413" s="98" t="s">
        <v>64</v>
      </c>
      <c r="S413" s="98" t="s">
        <v>50</v>
      </c>
      <c r="T413" s="98" t="s">
        <v>50</v>
      </c>
      <c r="U413" s="98" t="s">
        <v>50</v>
      </c>
      <c r="V413" s="98" t="s">
        <v>50</v>
      </c>
      <c r="W413" s="98" t="s">
        <v>50</v>
      </c>
      <c r="X413" s="98" t="s">
        <v>50</v>
      </c>
    </row>
    <row r="414" spans="1:25" x14ac:dyDescent="0.25">
      <c r="A414" s="194">
        <v>44097</v>
      </c>
      <c r="B414" s="98" t="s">
        <v>87</v>
      </c>
      <c r="C414" s="98" t="s">
        <v>126</v>
      </c>
      <c r="D414" s="98">
        <v>35.264400000000002</v>
      </c>
      <c r="E414" s="98">
        <v>-121.69689</v>
      </c>
      <c r="F414" s="98" t="s">
        <v>1338</v>
      </c>
      <c r="G414" s="98" t="s">
        <v>90</v>
      </c>
      <c r="H414" s="98" t="s">
        <v>126</v>
      </c>
      <c r="I414" s="621">
        <v>0.33333333333333331</v>
      </c>
      <c r="J414" s="100">
        <v>181.32</v>
      </c>
      <c r="K414" s="100">
        <v>20.55</v>
      </c>
      <c r="L414" s="100">
        <v>5.41</v>
      </c>
      <c r="M414" s="100">
        <v>1.8</v>
      </c>
      <c r="N414" s="100">
        <v>3.23</v>
      </c>
      <c r="O414" s="98" t="s">
        <v>48</v>
      </c>
      <c r="P414" s="98">
        <v>4</v>
      </c>
      <c r="Q414" s="98">
        <v>10</v>
      </c>
      <c r="R414" s="98" t="s">
        <v>64</v>
      </c>
      <c r="S414" s="98" t="s">
        <v>50</v>
      </c>
      <c r="T414" s="98" t="s">
        <v>50</v>
      </c>
      <c r="U414" s="98" t="s">
        <v>50</v>
      </c>
      <c r="V414" s="98" t="s">
        <v>50</v>
      </c>
      <c r="W414" s="98" t="s">
        <v>50</v>
      </c>
      <c r="X414" s="98" t="s">
        <v>50</v>
      </c>
    </row>
    <row r="415" spans="1:25" x14ac:dyDescent="0.25">
      <c r="A415" s="194">
        <v>44097</v>
      </c>
      <c r="B415" s="98" t="s">
        <v>87</v>
      </c>
      <c r="C415" s="98" t="s">
        <v>126</v>
      </c>
      <c r="D415" s="98">
        <v>38.242150000000002</v>
      </c>
      <c r="E415" s="98">
        <v>-121.68383</v>
      </c>
      <c r="F415" s="98" t="s">
        <v>1339</v>
      </c>
      <c r="G415" s="98" t="s">
        <v>90</v>
      </c>
      <c r="H415" s="98" t="s">
        <v>126</v>
      </c>
      <c r="I415" s="621">
        <v>0.38750000000000001</v>
      </c>
      <c r="J415" s="100">
        <v>173.98</v>
      </c>
      <c r="K415" s="100">
        <v>20.67</v>
      </c>
      <c r="L415" s="100">
        <v>6.75</v>
      </c>
      <c r="M415" s="100">
        <v>1.77</v>
      </c>
      <c r="N415" s="100">
        <v>6.52</v>
      </c>
      <c r="O415" s="98" t="s">
        <v>48</v>
      </c>
      <c r="P415" s="98">
        <v>4</v>
      </c>
      <c r="Q415" s="98">
        <v>10</v>
      </c>
      <c r="R415" s="98" t="s">
        <v>64</v>
      </c>
      <c r="S415" s="98" t="s">
        <v>50</v>
      </c>
      <c r="T415" s="98" t="s">
        <v>50</v>
      </c>
      <c r="U415" s="98" t="s">
        <v>50</v>
      </c>
      <c r="V415" s="98" t="s">
        <v>50</v>
      </c>
      <c r="W415" s="98" t="s">
        <v>50</v>
      </c>
      <c r="X415" s="98" t="s">
        <v>50</v>
      </c>
    </row>
    <row r="416" spans="1:25" x14ac:dyDescent="0.25">
      <c r="A416" s="194">
        <v>44097</v>
      </c>
      <c r="B416" s="98" t="s">
        <v>87</v>
      </c>
      <c r="C416" s="98" t="s">
        <v>126</v>
      </c>
      <c r="D416" s="98">
        <v>38.258409999999998</v>
      </c>
      <c r="E416" s="98">
        <v>-121.67125</v>
      </c>
      <c r="F416" s="98" t="s">
        <v>1340</v>
      </c>
      <c r="G416" s="98" t="s">
        <v>90</v>
      </c>
      <c r="H416" s="98" t="s">
        <v>126</v>
      </c>
      <c r="I416" s="621">
        <v>0.43888888888888888</v>
      </c>
      <c r="J416" s="100">
        <v>177.63</v>
      </c>
      <c r="K416" s="100">
        <v>20.82</v>
      </c>
      <c r="L416" s="100">
        <v>7.47</v>
      </c>
      <c r="M416" s="100">
        <v>1.72</v>
      </c>
      <c r="N416" s="100">
        <v>10.3</v>
      </c>
      <c r="O416" s="98" t="s">
        <v>48</v>
      </c>
      <c r="P416" s="98">
        <v>4</v>
      </c>
      <c r="Q416" s="98">
        <v>10</v>
      </c>
      <c r="R416" s="98" t="s">
        <v>64</v>
      </c>
      <c r="S416" s="98" t="s">
        <v>50</v>
      </c>
      <c r="T416" s="98" t="s">
        <v>50</v>
      </c>
      <c r="U416" s="98" t="s">
        <v>50</v>
      </c>
      <c r="V416" s="98" t="s">
        <v>50</v>
      </c>
      <c r="W416" s="98" t="s">
        <v>50</v>
      </c>
      <c r="X416" s="98" t="s">
        <v>50</v>
      </c>
    </row>
    <row r="417" spans="1:25" s="154" customFormat="1" x14ac:dyDescent="0.25">
      <c r="A417" s="195">
        <v>44097</v>
      </c>
      <c r="B417" s="154" t="s">
        <v>87</v>
      </c>
      <c r="C417" s="154" t="s">
        <v>126</v>
      </c>
      <c r="D417" s="154">
        <v>38.287179999999999</v>
      </c>
      <c r="E417" s="154">
        <v>-121.71718</v>
      </c>
      <c r="F417" s="154" t="s">
        <v>1341</v>
      </c>
      <c r="G417" s="154" t="s">
        <v>90</v>
      </c>
      <c r="H417" s="154" t="s">
        <v>126</v>
      </c>
      <c r="I417" s="636">
        <v>0.32222222222222224</v>
      </c>
      <c r="J417" s="156" t="s">
        <v>50</v>
      </c>
      <c r="K417" s="156" t="s">
        <v>50</v>
      </c>
      <c r="L417" s="156" t="s">
        <v>50</v>
      </c>
      <c r="M417" s="156" t="s">
        <v>50</v>
      </c>
      <c r="N417" s="156" t="s">
        <v>50</v>
      </c>
      <c r="O417" s="154" t="s">
        <v>48</v>
      </c>
      <c r="P417" s="154">
        <v>0</v>
      </c>
      <c r="Q417" s="154" t="s">
        <v>50</v>
      </c>
      <c r="R417" s="154" t="s">
        <v>50</v>
      </c>
      <c r="S417" s="154" t="s">
        <v>50</v>
      </c>
      <c r="T417" s="154" t="s">
        <v>50</v>
      </c>
      <c r="U417" s="154" t="s">
        <v>50</v>
      </c>
      <c r="V417" s="154" t="s">
        <v>50</v>
      </c>
      <c r="W417" s="154" t="s">
        <v>50</v>
      </c>
      <c r="X417" s="154" t="s">
        <v>50</v>
      </c>
      <c r="Y417" s="627" t="s">
        <v>784</v>
      </c>
    </row>
    <row r="418" spans="1:25" x14ac:dyDescent="0.25">
      <c r="A418" s="194">
        <v>44097</v>
      </c>
      <c r="B418" s="98" t="s">
        <v>87</v>
      </c>
      <c r="C418" s="98" t="s">
        <v>88</v>
      </c>
      <c r="D418" s="98">
        <v>38.13035</v>
      </c>
      <c r="E418" s="98">
        <v>-121.69068</v>
      </c>
      <c r="F418" s="98" t="s">
        <v>1342</v>
      </c>
      <c r="G418" s="98" t="s">
        <v>90</v>
      </c>
      <c r="H418" s="98" t="s">
        <v>91</v>
      </c>
      <c r="I418" s="621">
        <v>0.35486111111111113</v>
      </c>
      <c r="J418" s="100">
        <v>394.17</v>
      </c>
      <c r="K418" s="100">
        <v>20.97</v>
      </c>
      <c r="L418" s="100">
        <v>6.26</v>
      </c>
      <c r="M418" s="100">
        <v>1.72</v>
      </c>
      <c r="N418" s="100">
        <v>3.15</v>
      </c>
      <c r="O418" s="98" t="s">
        <v>48</v>
      </c>
      <c r="P418" s="98">
        <v>4</v>
      </c>
      <c r="Q418" s="98">
        <v>10</v>
      </c>
      <c r="R418" s="98" t="s">
        <v>64</v>
      </c>
      <c r="S418" s="98" t="s">
        <v>50</v>
      </c>
      <c r="T418" s="98" t="s">
        <v>50</v>
      </c>
      <c r="U418" s="98" t="s">
        <v>50</v>
      </c>
      <c r="V418" s="98" t="s">
        <v>50</v>
      </c>
      <c r="W418" s="98" t="s">
        <v>50</v>
      </c>
      <c r="X418" s="98" t="s">
        <v>50</v>
      </c>
    </row>
    <row r="419" spans="1:25" x14ac:dyDescent="0.25">
      <c r="A419" s="194">
        <v>44097</v>
      </c>
      <c r="B419" s="98" t="s">
        <v>87</v>
      </c>
      <c r="C419" s="98" t="s">
        <v>88</v>
      </c>
      <c r="D419" s="98">
        <v>38.059919999999998</v>
      </c>
      <c r="E419" s="98">
        <v>-121.82214</v>
      </c>
      <c r="F419" s="98" t="s">
        <v>1343</v>
      </c>
      <c r="G419" s="98" t="s">
        <v>27</v>
      </c>
      <c r="H419" s="98" t="s">
        <v>25</v>
      </c>
      <c r="I419" s="621">
        <v>0.46111111111111108</v>
      </c>
      <c r="J419" s="765">
        <v>7166.5</v>
      </c>
      <c r="K419" s="765">
        <v>21.15</v>
      </c>
      <c r="L419" s="765">
        <v>11.7</v>
      </c>
      <c r="M419" s="765">
        <v>0.74</v>
      </c>
      <c r="N419" s="765">
        <v>10.88</v>
      </c>
      <c r="O419" s="98" t="s">
        <v>48</v>
      </c>
      <c r="P419" s="98">
        <v>4</v>
      </c>
      <c r="Q419" s="98">
        <v>10</v>
      </c>
      <c r="R419" s="98" t="s">
        <v>64</v>
      </c>
      <c r="S419" s="98" t="s">
        <v>50</v>
      </c>
      <c r="T419" s="98" t="s">
        <v>50</v>
      </c>
      <c r="U419" s="98" t="s">
        <v>50</v>
      </c>
      <c r="V419" s="98" t="s">
        <v>50</v>
      </c>
      <c r="W419" s="98" t="s">
        <v>50</v>
      </c>
      <c r="X419" s="98" t="s">
        <v>50</v>
      </c>
    </row>
    <row r="420" spans="1:25" x14ac:dyDescent="0.25">
      <c r="A420" s="194">
        <v>44097</v>
      </c>
      <c r="B420" s="98" t="s">
        <v>87</v>
      </c>
      <c r="C420" s="98" t="s">
        <v>88</v>
      </c>
      <c r="D420" s="98">
        <v>38.06718</v>
      </c>
      <c r="E420" s="98">
        <v>-121.82040000000001</v>
      </c>
      <c r="F420" s="98" t="s">
        <v>1344</v>
      </c>
      <c r="G420" s="98" t="s">
        <v>27</v>
      </c>
      <c r="H420" s="98" t="s">
        <v>25</v>
      </c>
      <c r="I420" s="621">
        <v>0.41388888888888892</v>
      </c>
      <c r="J420" s="100">
        <v>6205</v>
      </c>
      <c r="K420" s="100">
        <v>20.97</v>
      </c>
      <c r="L420" s="100">
        <v>16.649999999999999</v>
      </c>
      <c r="M420" s="100">
        <v>0.7</v>
      </c>
      <c r="N420" s="100">
        <v>6.1</v>
      </c>
      <c r="O420" s="98" t="s">
        <v>48</v>
      </c>
      <c r="P420" s="98">
        <v>4</v>
      </c>
      <c r="Q420" s="98">
        <v>10</v>
      </c>
      <c r="R420" s="98" t="s">
        <v>64</v>
      </c>
      <c r="S420" s="98" t="s">
        <v>50</v>
      </c>
      <c r="T420" s="98" t="s">
        <v>50</v>
      </c>
      <c r="U420" s="98" t="s">
        <v>50</v>
      </c>
      <c r="V420" s="98" t="s">
        <v>50</v>
      </c>
      <c r="W420" s="98" t="s">
        <v>50</v>
      </c>
      <c r="X420" s="98" t="s">
        <v>50</v>
      </c>
    </row>
    <row r="421" spans="1:25" x14ac:dyDescent="0.25">
      <c r="A421" s="194">
        <v>44097</v>
      </c>
      <c r="B421" s="98" t="s">
        <v>87</v>
      </c>
      <c r="C421" s="98" t="s">
        <v>62</v>
      </c>
      <c r="D421" s="98">
        <v>38.106380000000001</v>
      </c>
      <c r="E421" s="98">
        <v>-122.03892</v>
      </c>
      <c r="F421" s="98" t="s">
        <v>1345</v>
      </c>
      <c r="G421" s="98" t="s">
        <v>27</v>
      </c>
      <c r="H421" s="98" t="s">
        <v>173</v>
      </c>
      <c r="I421" s="621">
        <v>0.33819444444444446</v>
      </c>
      <c r="J421" s="100">
        <v>20505.25</v>
      </c>
      <c r="K421" s="100">
        <v>20.5</v>
      </c>
      <c r="L421" s="100">
        <v>43.3</v>
      </c>
      <c r="M421" s="100">
        <v>0.32</v>
      </c>
      <c r="N421" s="100">
        <v>3.15</v>
      </c>
      <c r="O421" s="98" t="s">
        <v>48</v>
      </c>
      <c r="P421" s="98">
        <v>4</v>
      </c>
      <c r="Q421" s="98">
        <v>10</v>
      </c>
      <c r="R421" s="98" t="s">
        <v>64</v>
      </c>
      <c r="S421" s="98" t="s">
        <v>50</v>
      </c>
      <c r="T421" s="98" t="s">
        <v>50</v>
      </c>
      <c r="U421" s="98" t="s">
        <v>50</v>
      </c>
      <c r="V421" s="98" t="s">
        <v>50</v>
      </c>
      <c r="W421" s="98" t="s">
        <v>50</v>
      </c>
      <c r="X421" s="98" t="s">
        <v>50</v>
      </c>
    </row>
    <row r="422" spans="1:25" s="154" customFormat="1" x14ac:dyDescent="0.25">
      <c r="A422" s="195">
        <v>44097</v>
      </c>
      <c r="B422" s="154" t="s">
        <v>87</v>
      </c>
      <c r="C422" s="154" t="s">
        <v>62</v>
      </c>
      <c r="D422" s="154">
        <v>38.121130000000001</v>
      </c>
      <c r="E422" s="154">
        <v>-122.06994</v>
      </c>
      <c r="F422" s="154" t="s">
        <v>1346</v>
      </c>
      <c r="G422" s="154" t="s">
        <v>27</v>
      </c>
      <c r="H422" s="154" t="s">
        <v>62</v>
      </c>
      <c r="I422" s="636">
        <v>0.3840277777777778</v>
      </c>
      <c r="J422" s="156" t="s">
        <v>50</v>
      </c>
      <c r="K422" s="156" t="s">
        <v>50</v>
      </c>
      <c r="L422" s="156" t="s">
        <v>50</v>
      </c>
      <c r="M422" s="156" t="s">
        <v>50</v>
      </c>
      <c r="N422" s="156" t="s">
        <v>50</v>
      </c>
      <c r="O422" s="154" t="s">
        <v>48</v>
      </c>
      <c r="P422" s="154">
        <v>0</v>
      </c>
      <c r="Q422" s="154" t="s">
        <v>50</v>
      </c>
      <c r="R422" s="154" t="s">
        <v>50</v>
      </c>
      <c r="S422" s="154" t="s">
        <v>50</v>
      </c>
      <c r="T422" s="154" t="s">
        <v>50</v>
      </c>
      <c r="U422" s="154" t="s">
        <v>50</v>
      </c>
      <c r="V422" s="154" t="s">
        <v>50</v>
      </c>
      <c r="W422" s="154" t="s">
        <v>50</v>
      </c>
      <c r="X422" s="154" t="s">
        <v>50</v>
      </c>
      <c r="Y422" s="627" t="s">
        <v>734</v>
      </c>
    </row>
    <row r="423" spans="1:25" x14ac:dyDescent="0.25">
      <c r="A423" s="194">
        <v>44097</v>
      </c>
      <c r="B423" s="98" t="s">
        <v>87</v>
      </c>
      <c r="C423" s="98" t="s">
        <v>62</v>
      </c>
      <c r="D423" s="98">
        <v>38.173760000000001</v>
      </c>
      <c r="E423" s="98">
        <v>-122.0561</v>
      </c>
      <c r="F423" s="98" t="s">
        <v>1347</v>
      </c>
      <c r="G423" s="98" t="s">
        <v>27</v>
      </c>
      <c r="H423" s="98" t="s">
        <v>62</v>
      </c>
      <c r="I423" s="621">
        <v>0.40069444444444446</v>
      </c>
      <c r="J423" s="100">
        <v>12551.25</v>
      </c>
      <c r="K423" s="100">
        <v>20.77</v>
      </c>
      <c r="L423" s="100">
        <v>29.85</v>
      </c>
      <c r="M423" s="100">
        <v>0.46</v>
      </c>
      <c r="N423" s="100">
        <v>6.9</v>
      </c>
      <c r="O423" s="98" t="s">
        <v>48</v>
      </c>
      <c r="P423" s="98">
        <v>4</v>
      </c>
      <c r="Q423" s="98">
        <v>10</v>
      </c>
      <c r="R423" s="98" t="s">
        <v>49</v>
      </c>
      <c r="S423" s="98" t="s">
        <v>50</v>
      </c>
      <c r="T423" s="98" t="s">
        <v>50</v>
      </c>
      <c r="U423" s="98" t="s">
        <v>50</v>
      </c>
      <c r="V423" s="98" t="s">
        <v>50</v>
      </c>
      <c r="W423" s="98" t="s">
        <v>50</v>
      </c>
      <c r="X423" s="98" t="s">
        <v>50</v>
      </c>
    </row>
    <row r="424" spans="1:25" s="592" customFormat="1" x14ac:dyDescent="0.25">
      <c r="A424" s="590">
        <v>44097</v>
      </c>
      <c r="B424" s="592" t="s">
        <v>87</v>
      </c>
      <c r="C424" s="592" t="s">
        <v>62</v>
      </c>
      <c r="D424" s="592">
        <v>38.166490000000003</v>
      </c>
      <c r="E424" s="592">
        <v>-122.04318000000001</v>
      </c>
      <c r="F424" s="592" t="s">
        <v>1348</v>
      </c>
      <c r="G424" s="592" t="s">
        <v>27</v>
      </c>
      <c r="H424" s="592" t="s">
        <v>62</v>
      </c>
      <c r="I424" s="619">
        <v>0.45</v>
      </c>
      <c r="J424" s="593">
        <v>13776</v>
      </c>
      <c r="K424" s="593">
        <v>20.83</v>
      </c>
      <c r="L424" s="593">
        <v>21.43</v>
      </c>
      <c r="M424" s="593">
        <v>0.5</v>
      </c>
      <c r="N424" s="593">
        <v>5.5</v>
      </c>
      <c r="O424" s="592" t="s">
        <v>48</v>
      </c>
      <c r="P424" s="592">
        <v>4</v>
      </c>
      <c r="Q424" s="592">
        <v>10</v>
      </c>
      <c r="R424" s="592" t="s">
        <v>49</v>
      </c>
      <c r="S424" s="592" t="s">
        <v>323</v>
      </c>
      <c r="T424" s="592">
        <v>1</v>
      </c>
      <c r="U424" s="592">
        <v>50</v>
      </c>
      <c r="V424" s="592" t="s">
        <v>66</v>
      </c>
      <c r="W424" s="592" t="s">
        <v>50</v>
      </c>
      <c r="X424" s="592" t="s">
        <v>228</v>
      </c>
      <c r="Y424" s="669" t="s">
        <v>894</v>
      </c>
    </row>
    <row r="425" spans="1:25" x14ac:dyDescent="0.25">
      <c r="A425" s="194">
        <v>44098</v>
      </c>
      <c r="B425" s="98" t="s">
        <v>105</v>
      </c>
      <c r="C425" s="98" t="s">
        <v>126</v>
      </c>
      <c r="D425" s="98">
        <v>38.235880000000002</v>
      </c>
      <c r="E425" s="98">
        <v>-121.68151</v>
      </c>
      <c r="F425" s="98" t="s">
        <v>1349</v>
      </c>
      <c r="G425" s="98" t="s">
        <v>90</v>
      </c>
      <c r="H425" s="98" t="s">
        <v>126</v>
      </c>
      <c r="I425" s="621">
        <v>0.4770833333333333</v>
      </c>
      <c r="J425" s="100">
        <v>163.12</v>
      </c>
      <c r="K425" s="100">
        <v>20.9</v>
      </c>
      <c r="L425" s="100">
        <v>6.01</v>
      </c>
      <c r="M425" s="100">
        <v>1.8</v>
      </c>
      <c r="N425" s="100">
        <v>11.82</v>
      </c>
      <c r="O425" s="98" t="s">
        <v>48</v>
      </c>
      <c r="P425" s="98">
        <v>4</v>
      </c>
      <c r="Q425" s="98">
        <v>10</v>
      </c>
      <c r="R425" s="98" t="s">
        <v>64</v>
      </c>
      <c r="S425" s="98" t="s">
        <v>50</v>
      </c>
      <c r="T425" s="98" t="s">
        <v>50</v>
      </c>
      <c r="U425" s="98" t="s">
        <v>50</v>
      </c>
      <c r="V425" s="98" t="s">
        <v>50</v>
      </c>
      <c r="W425" s="98" t="s">
        <v>50</v>
      </c>
      <c r="X425" s="98" t="s">
        <v>50</v>
      </c>
    </row>
    <row r="426" spans="1:25" x14ac:dyDescent="0.25">
      <c r="A426" s="194">
        <v>44098</v>
      </c>
      <c r="B426" s="98" t="s">
        <v>105</v>
      </c>
      <c r="C426" s="98" t="s">
        <v>126</v>
      </c>
      <c r="D426" s="98">
        <v>38.294550000000001</v>
      </c>
      <c r="E426" s="98">
        <v>-121.69284</v>
      </c>
      <c r="F426" s="98" t="s">
        <v>1350</v>
      </c>
      <c r="G426" s="98" t="s">
        <v>90</v>
      </c>
      <c r="H426" s="98" t="s">
        <v>126</v>
      </c>
      <c r="I426" s="621">
        <v>0.4201388888888889</v>
      </c>
      <c r="J426" s="100">
        <v>233.78</v>
      </c>
      <c r="K426" s="100">
        <v>21</v>
      </c>
      <c r="L426" s="100">
        <v>9</v>
      </c>
      <c r="M426" s="100">
        <v>1.77</v>
      </c>
      <c r="N426" s="100">
        <v>7.08</v>
      </c>
      <c r="O426" s="98" t="s">
        <v>48</v>
      </c>
      <c r="P426" s="98">
        <v>4</v>
      </c>
      <c r="Q426" s="98">
        <v>10</v>
      </c>
      <c r="R426" s="98" t="s">
        <v>64</v>
      </c>
      <c r="S426" s="98" t="s">
        <v>50</v>
      </c>
      <c r="T426" s="98" t="s">
        <v>50</v>
      </c>
      <c r="U426" s="98" t="s">
        <v>50</v>
      </c>
      <c r="V426" s="98" t="s">
        <v>50</v>
      </c>
      <c r="W426" s="98" t="s">
        <v>50</v>
      </c>
      <c r="X426" s="98" t="s">
        <v>50</v>
      </c>
    </row>
    <row r="427" spans="1:25" s="154" customFormat="1" x14ac:dyDescent="0.25">
      <c r="A427" s="195">
        <v>44098</v>
      </c>
      <c r="B427" s="154" t="s">
        <v>105</v>
      </c>
      <c r="C427" s="154" t="s">
        <v>126</v>
      </c>
      <c r="D427" s="154">
        <v>38.270269999999996</v>
      </c>
      <c r="E427" s="154">
        <v>-121.70358</v>
      </c>
      <c r="F427" s="154" t="s">
        <v>1351</v>
      </c>
      <c r="G427" s="154" t="s">
        <v>90</v>
      </c>
      <c r="H427" s="154" t="s">
        <v>126</v>
      </c>
      <c r="I427" s="636">
        <v>0.41666666666666669</v>
      </c>
      <c r="J427" s="156" t="s">
        <v>50</v>
      </c>
      <c r="K427" s="156" t="s">
        <v>50</v>
      </c>
      <c r="L427" s="156" t="s">
        <v>50</v>
      </c>
      <c r="M427" s="156" t="s">
        <v>50</v>
      </c>
      <c r="N427" s="156" t="s">
        <v>50</v>
      </c>
      <c r="O427" s="154" t="s">
        <v>48</v>
      </c>
      <c r="P427" s="154">
        <v>0</v>
      </c>
      <c r="Q427" s="154" t="s">
        <v>50</v>
      </c>
      <c r="R427" s="154" t="s">
        <v>50</v>
      </c>
      <c r="S427" s="154" t="s">
        <v>50</v>
      </c>
      <c r="T427" s="154" t="s">
        <v>50</v>
      </c>
      <c r="U427" s="154" t="s">
        <v>50</v>
      </c>
      <c r="V427" s="154" t="s">
        <v>50</v>
      </c>
      <c r="W427" s="154" t="s">
        <v>50</v>
      </c>
      <c r="X427" s="154" t="s">
        <v>50</v>
      </c>
      <c r="Y427" s="627" t="s">
        <v>784</v>
      </c>
    </row>
    <row r="428" spans="1:25" x14ac:dyDescent="0.25">
      <c r="A428" s="194">
        <v>44098</v>
      </c>
      <c r="B428" s="98" t="s">
        <v>105</v>
      </c>
      <c r="C428" s="98" t="s">
        <v>126</v>
      </c>
      <c r="D428" s="98">
        <v>38.390639999999998</v>
      </c>
      <c r="E428" s="98">
        <v>-121.62612</v>
      </c>
      <c r="F428" s="98" t="s">
        <v>1352</v>
      </c>
      <c r="G428" s="98" t="s">
        <v>90</v>
      </c>
      <c r="H428" s="98" t="s">
        <v>126</v>
      </c>
      <c r="I428" s="621">
        <v>0.3430555555555555</v>
      </c>
      <c r="J428" s="100">
        <v>497.75</v>
      </c>
      <c r="K428" s="100">
        <v>21.63</v>
      </c>
      <c r="L428" s="100">
        <v>47.98</v>
      </c>
      <c r="M428" s="100">
        <v>0.3</v>
      </c>
      <c r="N428" s="100">
        <v>3.1</v>
      </c>
      <c r="O428" s="98" t="s">
        <v>48</v>
      </c>
      <c r="P428" s="98">
        <v>4</v>
      </c>
      <c r="Q428" s="98">
        <v>10</v>
      </c>
      <c r="R428" s="98" t="s">
        <v>64</v>
      </c>
      <c r="S428" s="98" t="s">
        <v>50</v>
      </c>
      <c r="T428" s="98" t="s">
        <v>50</v>
      </c>
      <c r="U428" s="98" t="s">
        <v>50</v>
      </c>
      <c r="V428" s="98" t="s">
        <v>50</v>
      </c>
      <c r="W428" s="98" t="s">
        <v>50</v>
      </c>
      <c r="X428" s="98" t="s">
        <v>50</v>
      </c>
    </row>
    <row r="429" spans="1:25" x14ac:dyDescent="0.25">
      <c r="A429" s="194">
        <v>44098</v>
      </c>
      <c r="B429" s="98" t="s">
        <v>105</v>
      </c>
      <c r="C429" s="98" t="s">
        <v>88</v>
      </c>
      <c r="D429" s="98">
        <v>38.103189999999998</v>
      </c>
      <c r="E429" s="98">
        <v>-121.72483</v>
      </c>
      <c r="F429" s="98" t="s">
        <v>1353</v>
      </c>
      <c r="G429" s="98" t="s">
        <v>90</v>
      </c>
      <c r="H429" s="98" t="s">
        <v>91</v>
      </c>
      <c r="I429" s="621">
        <v>0.40208333333333335</v>
      </c>
      <c r="J429" s="100">
        <v>506.75</v>
      </c>
      <c r="K429" s="100">
        <v>21.1</v>
      </c>
      <c r="L429" s="100">
        <v>15.2</v>
      </c>
      <c r="M429" s="100">
        <v>0.95</v>
      </c>
      <c r="N429" s="100">
        <v>17</v>
      </c>
      <c r="O429" s="98" t="s">
        <v>48</v>
      </c>
      <c r="P429" s="98">
        <v>4</v>
      </c>
      <c r="Q429" s="98">
        <v>10</v>
      </c>
      <c r="R429" s="98" t="s">
        <v>64</v>
      </c>
      <c r="S429" s="98" t="s">
        <v>50</v>
      </c>
      <c r="T429" s="98" t="s">
        <v>50</v>
      </c>
      <c r="U429" s="98" t="s">
        <v>50</v>
      </c>
      <c r="V429" s="98" t="s">
        <v>50</v>
      </c>
      <c r="W429" s="98" t="s">
        <v>50</v>
      </c>
      <c r="X429" s="98" t="s">
        <v>50</v>
      </c>
    </row>
    <row r="430" spans="1:25" x14ac:dyDescent="0.25">
      <c r="A430" s="194">
        <v>44098</v>
      </c>
      <c r="B430" s="98" t="s">
        <v>105</v>
      </c>
      <c r="C430" s="98" t="s">
        <v>88</v>
      </c>
      <c r="D430" s="98">
        <v>38.12283</v>
      </c>
      <c r="E430" s="98">
        <v>-121.69497</v>
      </c>
      <c r="F430" s="98" t="s">
        <v>1354</v>
      </c>
      <c r="G430" s="98" t="s">
        <v>90</v>
      </c>
      <c r="H430" s="98" t="s">
        <v>91</v>
      </c>
      <c r="I430" s="621">
        <v>0.46249999999999997</v>
      </c>
      <c r="J430" s="100">
        <v>520.5</v>
      </c>
      <c r="K430" s="100">
        <v>21.28</v>
      </c>
      <c r="L430" s="100">
        <v>7.55</v>
      </c>
      <c r="M430" s="100">
        <v>1.63</v>
      </c>
      <c r="N430" s="100">
        <v>4.62</v>
      </c>
      <c r="O430" s="98" t="s">
        <v>48</v>
      </c>
      <c r="P430" s="98">
        <v>4</v>
      </c>
      <c r="Q430" s="98">
        <v>10</v>
      </c>
      <c r="R430" s="98" t="s">
        <v>64</v>
      </c>
      <c r="S430" s="98" t="s">
        <v>50</v>
      </c>
      <c r="T430" s="98" t="s">
        <v>50</v>
      </c>
      <c r="U430" s="98" t="s">
        <v>50</v>
      </c>
      <c r="V430" s="98" t="s">
        <v>50</v>
      </c>
      <c r="W430" s="98" t="s">
        <v>50</v>
      </c>
      <c r="X430" s="98" t="s">
        <v>50</v>
      </c>
    </row>
    <row r="431" spans="1:25" x14ac:dyDescent="0.25">
      <c r="A431" s="194">
        <v>44098</v>
      </c>
      <c r="B431" s="98" t="s">
        <v>105</v>
      </c>
      <c r="C431" s="98" t="s">
        <v>88</v>
      </c>
      <c r="D431" s="98">
        <v>38.064979999999998</v>
      </c>
      <c r="E431" s="98">
        <v>-121.81386999999999</v>
      </c>
      <c r="F431" s="98" t="s">
        <v>1355</v>
      </c>
      <c r="G431" s="98" t="s">
        <v>27</v>
      </c>
      <c r="H431" s="98" t="s">
        <v>25</v>
      </c>
      <c r="I431" s="621">
        <v>0.34930555555555554</v>
      </c>
      <c r="J431" s="100">
        <v>2862</v>
      </c>
      <c r="K431" s="100">
        <v>20.8</v>
      </c>
      <c r="L431" s="100">
        <v>22.95</v>
      </c>
      <c r="M431" s="100">
        <v>0.69</v>
      </c>
      <c r="N431" s="100">
        <v>4.3</v>
      </c>
      <c r="O431" s="98" t="s">
        <v>48</v>
      </c>
      <c r="P431" s="98">
        <v>4</v>
      </c>
      <c r="Q431" s="98">
        <v>10</v>
      </c>
      <c r="R431" s="98" t="s">
        <v>64</v>
      </c>
      <c r="S431" s="98" t="s">
        <v>50</v>
      </c>
      <c r="T431" s="98" t="s">
        <v>50</v>
      </c>
      <c r="U431" s="98" t="s">
        <v>50</v>
      </c>
      <c r="V431" s="98" t="s">
        <v>50</v>
      </c>
      <c r="W431" s="98" t="s">
        <v>50</v>
      </c>
      <c r="X431" s="98" t="s">
        <v>50</v>
      </c>
      <c r="Y431" s="622" t="s">
        <v>139</v>
      </c>
    </row>
    <row r="432" spans="1:25" x14ac:dyDescent="0.25">
      <c r="A432" s="194">
        <v>44098</v>
      </c>
      <c r="B432" s="98" t="s">
        <v>105</v>
      </c>
      <c r="C432" s="98" t="s">
        <v>62</v>
      </c>
      <c r="D432" s="98">
        <v>38.111609999999999</v>
      </c>
      <c r="E432" s="98">
        <v>-122.05624</v>
      </c>
      <c r="F432" s="98" t="s">
        <v>1356</v>
      </c>
      <c r="G432" s="98" t="s">
        <v>27</v>
      </c>
      <c r="H432" s="98" t="s">
        <v>173</v>
      </c>
      <c r="I432" s="621">
        <v>0.46388888888888885</v>
      </c>
      <c r="J432" s="100">
        <v>19389.25</v>
      </c>
      <c r="K432" s="100">
        <v>20.87</v>
      </c>
      <c r="L432" s="100">
        <v>20.170000000000002</v>
      </c>
      <c r="M432" s="100">
        <v>0.61</v>
      </c>
      <c r="N432" s="100">
        <v>3.73</v>
      </c>
      <c r="O432" s="98" t="s">
        <v>48</v>
      </c>
      <c r="P432" s="98">
        <v>4</v>
      </c>
      <c r="Q432" s="98">
        <v>10</v>
      </c>
      <c r="R432" s="98" t="s">
        <v>49</v>
      </c>
      <c r="S432" s="98" t="s">
        <v>50</v>
      </c>
      <c r="T432" s="98" t="s">
        <v>50</v>
      </c>
      <c r="U432" s="98" t="s">
        <v>50</v>
      </c>
      <c r="V432" s="98" t="s">
        <v>50</v>
      </c>
      <c r="W432" s="98" t="s">
        <v>50</v>
      </c>
      <c r="X432" s="98" t="s">
        <v>50</v>
      </c>
    </row>
    <row r="433" spans="1:25" x14ac:dyDescent="0.25">
      <c r="A433" s="194">
        <v>44098</v>
      </c>
      <c r="B433" s="98" t="s">
        <v>105</v>
      </c>
      <c r="C433" s="98" t="s">
        <v>62</v>
      </c>
      <c r="D433" s="98">
        <v>38.120809999999999</v>
      </c>
      <c r="E433" s="98">
        <v>-121.902</v>
      </c>
      <c r="F433" s="98" t="s">
        <v>1357</v>
      </c>
      <c r="G433" s="98" t="s">
        <v>27</v>
      </c>
      <c r="H433" s="98" t="s">
        <v>62</v>
      </c>
      <c r="I433" s="621">
        <v>0.3430555555555555</v>
      </c>
      <c r="J433" s="100">
        <v>8879.25</v>
      </c>
      <c r="K433" s="100">
        <v>20.8</v>
      </c>
      <c r="L433" s="100">
        <v>15.97</v>
      </c>
      <c r="M433" s="100">
        <v>0.7</v>
      </c>
      <c r="N433" s="100">
        <v>6.12</v>
      </c>
      <c r="O433" s="98" t="s">
        <v>48</v>
      </c>
      <c r="P433" s="98">
        <v>4</v>
      </c>
      <c r="Q433" s="98">
        <v>10</v>
      </c>
      <c r="R433" s="98" t="s">
        <v>64</v>
      </c>
      <c r="S433" s="98" t="s">
        <v>50</v>
      </c>
      <c r="T433" s="98" t="s">
        <v>50</v>
      </c>
      <c r="U433" s="98" t="s">
        <v>50</v>
      </c>
      <c r="V433" s="98" t="s">
        <v>50</v>
      </c>
      <c r="W433" s="98" t="s">
        <v>50</v>
      </c>
      <c r="X433" s="98" t="s">
        <v>50</v>
      </c>
    </row>
    <row r="434" spans="1:25" s="362" customFormat="1" x14ac:dyDescent="0.25">
      <c r="A434" s="360">
        <v>44098</v>
      </c>
      <c r="B434" s="362" t="s">
        <v>105</v>
      </c>
      <c r="C434" s="362" t="s">
        <v>62</v>
      </c>
      <c r="D434" s="362">
        <v>38.126719999999999</v>
      </c>
      <c r="E434" s="362">
        <v>-122.05914</v>
      </c>
      <c r="F434" s="362" t="s">
        <v>1358</v>
      </c>
      <c r="G434" s="362" t="s">
        <v>27</v>
      </c>
      <c r="H434" s="362" t="s">
        <v>62</v>
      </c>
      <c r="I434" s="618">
        <v>0.41041666666666665</v>
      </c>
      <c r="J434" s="364">
        <v>18180</v>
      </c>
      <c r="K434" s="364">
        <v>20.55</v>
      </c>
      <c r="L434" s="364">
        <v>18.600000000000001</v>
      </c>
      <c r="M434" s="364">
        <v>0.66</v>
      </c>
      <c r="N434" s="364">
        <v>4.72</v>
      </c>
      <c r="O434" s="362" t="s">
        <v>48</v>
      </c>
      <c r="P434" s="362">
        <v>4</v>
      </c>
      <c r="Q434" s="362">
        <v>10</v>
      </c>
      <c r="R434" s="362" t="s">
        <v>64</v>
      </c>
      <c r="S434" s="362" t="s">
        <v>50</v>
      </c>
      <c r="T434" s="362" t="s">
        <v>50</v>
      </c>
      <c r="U434" s="362" t="s">
        <v>50</v>
      </c>
      <c r="V434" s="362" t="s">
        <v>50</v>
      </c>
      <c r="W434" s="362" t="s">
        <v>50</v>
      </c>
      <c r="X434" s="362" t="s">
        <v>50</v>
      </c>
      <c r="Y434" s="603"/>
    </row>
    <row r="435" spans="1:25" x14ac:dyDescent="0.25">
      <c r="A435" s="194">
        <v>44102</v>
      </c>
      <c r="B435" s="98" t="s">
        <v>43</v>
      </c>
      <c r="C435" s="98" t="s">
        <v>106</v>
      </c>
      <c r="D435" s="98">
        <v>38.299689999999998</v>
      </c>
      <c r="E435" s="98">
        <v>-121.66413</v>
      </c>
      <c r="F435" s="98" t="s">
        <v>1359</v>
      </c>
      <c r="G435" s="98" t="s">
        <v>90</v>
      </c>
      <c r="H435" s="98" t="s">
        <v>108</v>
      </c>
      <c r="I435" s="621">
        <v>0.51388888888888895</v>
      </c>
      <c r="J435" s="100">
        <v>163.44999999999999</v>
      </c>
      <c r="K435" s="100">
        <v>21.05</v>
      </c>
      <c r="L435" s="100">
        <v>8.3949999999999996</v>
      </c>
      <c r="M435" s="100">
        <v>1.2124999999999999</v>
      </c>
      <c r="N435" s="100">
        <v>12.6</v>
      </c>
      <c r="O435" s="98" t="s">
        <v>48</v>
      </c>
      <c r="P435" s="98">
        <v>4</v>
      </c>
      <c r="Q435" s="98">
        <v>10</v>
      </c>
      <c r="R435" s="98" t="s">
        <v>64</v>
      </c>
      <c r="S435" s="98" t="s">
        <v>50</v>
      </c>
      <c r="T435" s="98" t="s">
        <v>50</v>
      </c>
      <c r="U435" s="98" t="s">
        <v>50</v>
      </c>
      <c r="V435" s="98" t="s">
        <v>50</v>
      </c>
      <c r="W435" s="98" t="s">
        <v>50</v>
      </c>
      <c r="X435" s="98" t="s">
        <v>50</v>
      </c>
    </row>
    <row r="436" spans="1:25" x14ac:dyDescent="0.25">
      <c r="A436" s="194">
        <v>44102</v>
      </c>
      <c r="B436" s="98" t="s">
        <v>43</v>
      </c>
      <c r="C436" s="98" t="s">
        <v>78</v>
      </c>
      <c r="D436" s="98">
        <v>38.052900000000001</v>
      </c>
      <c r="E436" s="98">
        <v>-122.08595</v>
      </c>
      <c r="F436" s="98" t="s">
        <v>1360</v>
      </c>
      <c r="G436" s="98" t="s">
        <v>80</v>
      </c>
      <c r="H436" s="98" t="s">
        <v>81</v>
      </c>
      <c r="I436" s="621">
        <v>0.34722222222222227</v>
      </c>
      <c r="J436" s="100">
        <v>18667.5</v>
      </c>
      <c r="K436" s="100">
        <v>20.9</v>
      </c>
      <c r="L436" s="100">
        <v>14.750000000000002</v>
      </c>
      <c r="M436" s="100">
        <v>0.92249999999999988</v>
      </c>
      <c r="N436" s="100">
        <v>10.925000000000001</v>
      </c>
      <c r="O436" s="98" t="s">
        <v>48</v>
      </c>
      <c r="P436" s="98">
        <v>4</v>
      </c>
      <c r="Q436" s="98">
        <v>10</v>
      </c>
      <c r="R436" s="98" t="s">
        <v>49</v>
      </c>
      <c r="S436" s="98" t="s">
        <v>50</v>
      </c>
      <c r="T436" s="98" t="s">
        <v>50</v>
      </c>
      <c r="U436" s="98" t="s">
        <v>50</v>
      </c>
      <c r="V436" s="98" t="s">
        <v>50</v>
      </c>
      <c r="W436" s="98" t="s">
        <v>50</v>
      </c>
      <c r="X436" s="98" t="s">
        <v>50</v>
      </c>
    </row>
    <row r="437" spans="1:25" x14ac:dyDescent="0.25">
      <c r="A437" s="194">
        <v>44102</v>
      </c>
      <c r="B437" s="98" t="s">
        <v>43</v>
      </c>
      <c r="C437" s="98" t="s">
        <v>106</v>
      </c>
      <c r="D437" s="98">
        <v>38.560980000000001</v>
      </c>
      <c r="E437" s="98">
        <v>-121.54879</v>
      </c>
      <c r="F437" s="98" t="s">
        <v>1361</v>
      </c>
      <c r="G437" s="98" t="s">
        <v>90</v>
      </c>
      <c r="H437" s="98" t="s">
        <v>158</v>
      </c>
      <c r="I437" s="621">
        <v>0.36249999999999999</v>
      </c>
      <c r="J437" s="100">
        <v>1055.75</v>
      </c>
      <c r="K437" s="100">
        <v>22.824999999999999</v>
      </c>
      <c r="L437" s="100">
        <v>7.5150000000000006</v>
      </c>
      <c r="M437" s="100">
        <v>1.3374999999999999</v>
      </c>
      <c r="N437" s="100">
        <v>8.3999999999999986</v>
      </c>
      <c r="O437" s="98" t="s">
        <v>48</v>
      </c>
      <c r="P437" s="98">
        <v>4</v>
      </c>
      <c r="Q437" s="98">
        <v>10</v>
      </c>
      <c r="R437" s="98" t="s">
        <v>49</v>
      </c>
      <c r="S437" s="98" t="s">
        <v>50</v>
      </c>
      <c r="T437" s="98" t="s">
        <v>50</v>
      </c>
      <c r="U437" s="98" t="s">
        <v>50</v>
      </c>
      <c r="V437" s="98" t="s">
        <v>50</v>
      </c>
      <c r="W437" s="98" t="s">
        <v>50</v>
      </c>
      <c r="X437" s="98" t="s">
        <v>50</v>
      </c>
    </row>
    <row r="438" spans="1:25" x14ac:dyDescent="0.25">
      <c r="A438" s="194">
        <v>44102</v>
      </c>
      <c r="B438" s="98" t="s">
        <v>43</v>
      </c>
      <c r="C438" s="98" t="s">
        <v>78</v>
      </c>
      <c r="D438" s="98">
        <v>38.065249999999999</v>
      </c>
      <c r="E438" s="98">
        <v>-121.97887</v>
      </c>
      <c r="F438" s="98" t="s">
        <v>1362</v>
      </c>
      <c r="G438" s="98" t="s">
        <v>27</v>
      </c>
      <c r="H438" s="98" t="s">
        <v>62</v>
      </c>
      <c r="I438" s="621">
        <v>0.45902777777777781</v>
      </c>
      <c r="J438" s="100">
        <v>12196.75</v>
      </c>
      <c r="K438" s="100">
        <v>21.024999999999999</v>
      </c>
      <c r="L438" s="100">
        <v>10.9975</v>
      </c>
      <c r="M438" s="100">
        <v>1.1424999999999998</v>
      </c>
      <c r="N438" s="100">
        <v>6.0500000000000007</v>
      </c>
      <c r="O438" s="98" t="s">
        <v>48</v>
      </c>
      <c r="P438" s="98">
        <v>4</v>
      </c>
      <c r="Q438" s="98">
        <v>10</v>
      </c>
      <c r="R438" s="98" t="s">
        <v>64</v>
      </c>
      <c r="S438" s="98" t="s">
        <v>50</v>
      </c>
      <c r="T438" s="98" t="s">
        <v>50</v>
      </c>
      <c r="U438" s="98" t="s">
        <v>50</v>
      </c>
      <c r="V438" s="98" t="s">
        <v>50</v>
      </c>
      <c r="W438" s="98" t="s">
        <v>50</v>
      </c>
      <c r="X438" s="98" t="s">
        <v>50</v>
      </c>
      <c r="Y438" s="622" t="s">
        <v>1363</v>
      </c>
    </row>
    <row r="439" spans="1:25" x14ac:dyDescent="0.25">
      <c r="A439" s="194">
        <v>44102</v>
      </c>
      <c r="B439" s="98" t="s">
        <v>43</v>
      </c>
      <c r="C439" s="98" t="s">
        <v>106</v>
      </c>
      <c r="D439" s="98">
        <v>38.557490000000001</v>
      </c>
      <c r="E439" s="98">
        <v>-121.57080000000001</v>
      </c>
      <c r="F439" s="98" t="s">
        <v>1364</v>
      </c>
      <c r="G439" s="98" t="s">
        <v>90</v>
      </c>
      <c r="H439" s="98" t="s">
        <v>158</v>
      </c>
      <c r="I439" s="621">
        <v>0.42152777777777778</v>
      </c>
      <c r="J439" s="100">
        <v>1026.5</v>
      </c>
      <c r="K439" s="100">
        <v>22.574999999999999</v>
      </c>
      <c r="L439" s="100">
        <v>16.2</v>
      </c>
      <c r="M439" s="100">
        <v>0.65999999999999992</v>
      </c>
      <c r="N439" s="100">
        <v>9.125</v>
      </c>
      <c r="O439" s="98" t="s">
        <v>48</v>
      </c>
      <c r="P439" s="98">
        <v>4</v>
      </c>
      <c r="Q439" s="98">
        <v>10</v>
      </c>
      <c r="R439" s="98" t="s">
        <v>49</v>
      </c>
      <c r="S439" s="98" t="s">
        <v>50</v>
      </c>
      <c r="T439" s="98" t="s">
        <v>50</v>
      </c>
      <c r="U439" s="98" t="s">
        <v>50</v>
      </c>
      <c r="V439" s="98" t="s">
        <v>50</v>
      </c>
      <c r="W439" s="98" t="s">
        <v>50</v>
      </c>
      <c r="X439" s="98" t="s">
        <v>50</v>
      </c>
      <c r="Y439" s="622" t="s">
        <v>1365</v>
      </c>
    </row>
    <row r="440" spans="1:25" x14ac:dyDescent="0.25">
      <c r="A440" s="194">
        <v>44102</v>
      </c>
      <c r="B440" s="98" t="s">
        <v>43</v>
      </c>
      <c r="C440" s="98" t="s">
        <v>78</v>
      </c>
      <c r="D440" s="98">
        <v>38.099379999999996</v>
      </c>
      <c r="E440" s="98">
        <v>-122.06515</v>
      </c>
      <c r="F440" s="98" t="s">
        <v>1366</v>
      </c>
      <c r="G440" s="98" t="s">
        <v>27</v>
      </c>
      <c r="H440" s="98" t="s">
        <v>62</v>
      </c>
      <c r="I440" s="621">
        <v>0.43124999999999997</v>
      </c>
      <c r="J440" s="100">
        <v>17935.5</v>
      </c>
      <c r="K440" s="100">
        <v>20.9</v>
      </c>
      <c r="L440" s="100">
        <v>15.850000000000001</v>
      </c>
      <c r="M440" s="100">
        <v>0.97750000000000004</v>
      </c>
      <c r="N440" s="100">
        <v>5.2249999999999996</v>
      </c>
      <c r="O440" s="98" t="s">
        <v>48</v>
      </c>
      <c r="P440" s="98">
        <v>4</v>
      </c>
      <c r="Q440" s="98">
        <v>10</v>
      </c>
      <c r="R440" s="98" t="s">
        <v>64</v>
      </c>
      <c r="S440" s="98" t="s">
        <v>50</v>
      </c>
      <c r="T440" s="98" t="s">
        <v>50</v>
      </c>
      <c r="U440" s="98" t="s">
        <v>50</v>
      </c>
      <c r="V440" s="98" t="s">
        <v>50</v>
      </c>
      <c r="W440" s="98" t="s">
        <v>50</v>
      </c>
      <c r="X440" s="98" t="s">
        <v>50</v>
      </c>
    </row>
    <row r="441" spans="1:25" x14ac:dyDescent="0.25">
      <c r="A441" s="194">
        <v>44103</v>
      </c>
      <c r="B441" s="98" t="s">
        <v>849</v>
      </c>
      <c r="C441" s="98" t="s">
        <v>88</v>
      </c>
      <c r="D441" s="98">
        <v>38.103119999999997</v>
      </c>
      <c r="E441" s="98">
        <v>-121.71781</v>
      </c>
      <c r="F441" s="98" t="s">
        <v>1367</v>
      </c>
      <c r="G441" s="98" t="s">
        <v>90</v>
      </c>
      <c r="H441" s="98" t="s">
        <v>91</v>
      </c>
      <c r="I441" s="621">
        <v>0.35833333333333334</v>
      </c>
      <c r="J441" s="100">
        <v>391.12</v>
      </c>
      <c r="K441" s="100">
        <v>21.3</v>
      </c>
      <c r="L441" s="100">
        <v>10.99</v>
      </c>
      <c r="M441" s="100">
        <v>1.42</v>
      </c>
      <c r="N441" s="100">
        <v>3.15</v>
      </c>
      <c r="O441" s="98" t="s">
        <v>48</v>
      </c>
      <c r="P441" s="98">
        <v>4</v>
      </c>
      <c r="Q441" s="98">
        <v>10</v>
      </c>
      <c r="R441" s="98" t="s">
        <v>49</v>
      </c>
      <c r="S441" s="98" t="s">
        <v>50</v>
      </c>
      <c r="T441" s="98" t="s">
        <v>50</v>
      </c>
      <c r="U441" s="98" t="s">
        <v>50</v>
      </c>
      <c r="V441" s="98" t="s">
        <v>50</v>
      </c>
      <c r="W441" s="98" t="s">
        <v>50</v>
      </c>
      <c r="X441" s="98" t="s">
        <v>50</v>
      </c>
    </row>
    <row r="442" spans="1:25" x14ac:dyDescent="0.25">
      <c r="A442" s="194">
        <v>44103</v>
      </c>
      <c r="B442" s="98" t="s">
        <v>849</v>
      </c>
      <c r="C442" s="98" t="s">
        <v>88</v>
      </c>
      <c r="D442" s="98">
        <v>38.123179999999998</v>
      </c>
      <c r="E442" s="98">
        <v>-121.69543</v>
      </c>
      <c r="F442" s="98" t="s">
        <v>1368</v>
      </c>
      <c r="G442" s="98" t="s">
        <v>90</v>
      </c>
      <c r="H442" s="98" t="s">
        <v>91</v>
      </c>
      <c r="I442" s="621">
        <v>0.40902777777777777</v>
      </c>
      <c r="J442" s="100">
        <v>189.38</v>
      </c>
      <c r="K442" s="100">
        <v>16.3</v>
      </c>
      <c r="L442" s="100">
        <v>7.17</v>
      </c>
      <c r="M442" s="100">
        <v>1.8</v>
      </c>
      <c r="N442" s="100">
        <v>3.38</v>
      </c>
      <c r="O442" s="98" t="s">
        <v>48</v>
      </c>
      <c r="P442" s="98">
        <v>4</v>
      </c>
      <c r="Q442" s="98">
        <v>10</v>
      </c>
      <c r="R442" s="98" t="s">
        <v>49</v>
      </c>
      <c r="S442" s="98" t="s">
        <v>50</v>
      </c>
      <c r="T442" s="98" t="s">
        <v>50</v>
      </c>
      <c r="U442" s="98" t="s">
        <v>50</v>
      </c>
      <c r="V442" s="98" t="s">
        <v>50</v>
      </c>
      <c r="W442" s="98" t="s">
        <v>50</v>
      </c>
      <c r="X442" s="98" t="s">
        <v>50</v>
      </c>
    </row>
    <row r="443" spans="1:25" x14ac:dyDescent="0.25">
      <c r="A443" s="194">
        <v>44103</v>
      </c>
      <c r="B443" s="98" t="s">
        <v>849</v>
      </c>
      <c r="C443" s="98" t="s">
        <v>88</v>
      </c>
      <c r="D443" s="98">
        <v>38.07002</v>
      </c>
      <c r="E443" s="98">
        <v>-121.76894</v>
      </c>
      <c r="F443" s="98" t="s">
        <v>1369</v>
      </c>
      <c r="G443" s="98" t="s">
        <v>27</v>
      </c>
      <c r="H443" s="98" t="s">
        <v>25</v>
      </c>
      <c r="I443" s="621">
        <v>0.46388888888888885</v>
      </c>
      <c r="J443" s="100">
        <v>662.67</v>
      </c>
      <c r="K443" s="100">
        <v>21.3</v>
      </c>
      <c r="L443" s="100">
        <v>12.63</v>
      </c>
      <c r="M443" s="100">
        <v>1.04</v>
      </c>
      <c r="N443" s="100">
        <v>8.3699999999999992</v>
      </c>
      <c r="O443" s="98" t="s">
        <v>48</v>
      </c>
      <c r="P443" s="98">
        <v>3</v>
      </c>
      <c r="Q443" s="98">
        <v>10</v>
      </c>
      <c r="R443" s="98" t="s">
        <v>64</v>
      </c>
      <c r="S443" s="98" t="s">
        <v>50</v>
      </c>
      <c r="T443" s="98" t="s">
        <v>50</v>
      </c>
      <c r="U443" s="98" t="s">
        <v>50</v>
      </c>
      <c r="V443" s="98" t="s">
        <v>50</v>
      </c>
      <c r="W443" s="98" t="s">
        <v>50</v>
      </c>
      <c r="X443" s="98" t="s">
        <v>50</v>
      </c>
      <c r="Y443" s="622" t="s">
        <v>1370</v>
      </c>
    </row>
    <row r="444" spans="1:25" x14ac:dyDescent="0.25">
      <c r="A444" s="194">
        <v>44103</v>
      </c>
      <c r="B444" s="98" t="s">
        <v>849</v>
      </c>
      <c r="C444" s="98" t="s">
        <v>106</v>
      </c>
      <c r="D444" s="98">
        <v>38.238860000000003</v>
      </c>
      <c r="E444" s="98">
        <v>-121.67288000000001</v>
      </c>
      <c r="F444" s="98" t="s">
        <v>1371</v>
      </c>
      <c r="G444" s="98" t="s">
        <v>90</v>
      </c>
      <c r="H444" s="98" t="s">
        <v>108</v>
      </c>
      <c r="I444" s="621">
        <v>0.43263888888888885</v>
      </c>
      <c r="J444" s="100">
        <v>188.12</v>
      </c>
      <c r="K444" s="100">
        <v>21.25</v>
      </c>
      <c r="L444" s="100">
        <v>14.53</v>
      </c>
      <c r="M444" s="100">
        <v>0.95</v>
      </c>
      <c r="N444" s="100">
        <v>10.1</v>
      </c>
      <c r="O444" s="98" t="s">
        <v>48</v>
      </c>
      <c r="P444" s="98">
        <v>4</v>
      </c>
      <c r="Q444" s="98">
        <v>10</v>
      </c>
      <c r="R444" s="98" t="s">
        <v>49</v>
      </c>
      <c r="S444" s="98" t="s">
        <v>50</v>
      </c>
      <c r="T444" s="98" t="s">
        <v>50</v>
      </c>
      <c r="U444" s="98" t="s">
        <v>50</v>
      </c>
      <c r="V444" s="98" t="s">
        <v>50</v>
      </c>
      <c r="W444" s="98" t="s">
        <v>50</v>
      </c>
      <c r="X444" s="98" t="s">
        <v>50</v>
      </c>
      <c r="Y444" s="622" t="s">
        <v>1238</v>
      </c>
    </row>
    <row r="445" spans="1:25" x14ac:dyDescent="0.25">
      <c r="A445" s="194">
        <v>44103</v>
      </c>
      <c r="B445" s="98" t="s">
        <v>849</v>
      </c>
      <c r="C445" s="98" t="s">
        <v>106</v>
      </c>
      <c r="D445" s="98">
        <v>38.182540000000003</v>
      </c>
      <c r="E445" s="98">
        <v>-121.66322</v>
      </c>
      <c r="F445" s="98" t="s">
        <v>1372</v>
      </c>
      <c r="G445" s="98" t="s">
        <v>90</v>
      </c>
      <c r="H445" s="98" t="s">
        <v>108</v>
      </c>
      <c r="I445" s="621">
        <v>0.48402777777777778</v>
      </c>
      <c r="J445" s="100">
        <v>163.95</v>
      </c>
      <c r="K445" s="100">
        <v>21.3</v>
      </c>
      <c r="L445" s="100">
        <v>7.97</v>
      </c>
      <c r="M445" s="100">
        <v>1.8</v>
      </c>
      <c r="N445" s="100">
        <v>13.93</v>
      </c>
      <c r="O445" s="98" t="s">
        <v>48</v>
      </c>
      <c r="P445" s="98">
        <v>4</v>
      </c>
      <c r="Q445" s="98">
        <v>10</v>
      </c>
      <c r="R445" s="98" t="s">
        <v>64</v>
      </c>
      <c r="S445" s="98" t="s">
        <v>50</v>
      </c>
      <c r="T445" s="98" t="s">
        <v>50</v>
      </c>
      <c r="U445" s="98" t="s">
        <v>50</v>
      </c>
      <c r="V445" s="98" t="s">
        <v>50</v>
      </c>
      <c r="W445" s="98" t="s">
        <v>50</v>
      </c>
      <c r="X445" s="98" t="s">
        <v>50</v>
      </c>
    </row>
    <row r="446" spans="1:25" x14ac:dyDescent="0.25">
      <c r="A446" s="194">
        <v>44103</v>
      </c>
      <c r="B446" s="98" t="s">
        <v>849</v>
      </c>
      <c r="C446" s="98" t="s">
        <v>106</v>
      </c>
      <c r="D446" s="98">
        <v>38.473370000000003</v>
      </c>
      <c r="E446" s="98">
        <v>-121.58427</v>
      </c>
      <c r="F446" s="98" t="s">
        <v>1373</v>
      </c>
      <c r="G446" s="98" t="s">
        <v>90</v>
      </c>
      <c r="H446" s="98" t="s">
        <v>108</v>
      </c>
      <c r="I446" s="621">
        <v>0.34375</v>
      </c>
      <c r="J446" s="100">
        <v>778.5</v>
      </c>
      <c r="K446" s="100">
        <v>21.8</v>
      </c>
      <c r="L446" s="100">
        <v>57.35</v>
      </c>
      <c r="M446" s="100">
        <v>0.23</v>
      </c>
      <c r="N446" s="100">
        <v>11.45</v>
      </c>
      <c r="O446" s="98" t="s">
        <v>48</v>
      </c>
      <c r="P446" s="98">
        <v>4</v>
      </c>
      <c r="Q446" s="98">
        <v>10</v>
      </c>
      <c r="R446" s="98" t="s">
        <v>49</v>
      </c>
      <c r="S446" s="98" t="s">
        <v>50</v>
      </c>
      <c r="T446" s="98" t="s">
        <v>50</v>
      </c>
      <c r="U446" s="98" t="s">
        <v>50</v>
      </c>
      <c r="V446" s="98" t="s">
        <v>50</v>
      </c>
      <c r="W446" s="98" t="s">
        <v>50</v>
      </c>
      <c r="X446" s="98" t="s">
        <v>50</v>
      </c>
      <c r="Y446" s="622" t="s">
        <v>1374</v>
      </c>
    </row>
    <row r="447" spans="1:25" x14ac:dyDescent="0.25">
      <c r="A447" s="194">
        <v>44103</v>
      </c>
      <c r="B447" s="98" t="s">
        <v>849</v>
      </c>
      <c r="C447" s="98" t="s">
        <v>78</v>
      </c>
      <c r="D447" s="98">
        <v>38.041330000000002</v>
      </c>
      <c r="E447" s="98">
        <v>-122.11049</v>
      </c>
      <c r="F447" s="98" t="s">
        <v>1375</v>
      </c>
      <c r="G447" s="98" t="s">
        <v>80</v>
      </c>
      <c r="H447" s="98" t="s">
        <v>81</v>
      </c>
      <c r="I447" s="621">
        <v>0.34861111111111115</v>
      </c>
      <c r="J447" s="100">
        <v>22095.75</v>
      </c>
      <c r="K447" s="100">
        <v>20.92</v>
      </c>
      <c r="L447" s="100">
        <v>19.28</v>
      </c>
      <c r="M447" s="100">
        <v>0.7</v>
      </c>
      <c r="N447" s="100">
        <v>7.55</v>
      </c>
      <c r="O447" s="98" t="s">
        <v>48</v>
      </c>
      <c r="P447" s="98">
        <v>4</v>
      </c>
      <c r="Q447" s="98">
        <v>10</v>
      </c>
      <c r="R447" s="98" t="s">
        <v>49</v>
      </c>
      <c r="S447" s="98" t="s">
        <v>50</v>
      </c>
      <c r="T447" s="98" t="s">
        <v>50</v>
      </c>
      <c r="U447" s="98" t="s">
        <v>50</v>
      </c>
      <c r="V447" s="98" t="s">
        <v>50</v>
      </c>
      <c r="W447" s="98" t="s">
        <v>50</v>
      </c>
      <c r="X447" s="98" t="s">
        <v>50</v>
      </c>
    </row>
    <row r="448" spans="1:25" s="154" customFormat="1" x14ac:dyDescent="0.25">
      <c r="A448" s="194">
        <v>44103</v>
      </c>
      <c r="B448" s="98" t="s">
        <v>849</v>
      </c>
      <c r="C448" s="98" t="s">
        <v>78</v>
      </c>
      <c r="D448" s="98">
        <v>38.08569</v>
      </c>
      <c r="E448" s="98">
        <v>-122.07485</v>
      </c>
      <c r="F448" s="98" t="s">
        <v>1376</v>
      </c>
      <c r="G448" s="98" t="s">
        <v>80</v>
      </c>
      <c r="H448" s="98" t="s">
        <v>81</v>
      </c>
      <c r="I448" s="621">
        <v>0.39999999999999997</v>
      </c>
      <c r="J448" s="100">
        <v>18967.75</v>
      </c>
      <c r="K448" s="100">
        <v>21.1</v>
      </c>
      <c r="L448" s="100">
        <v>22.15</v>
      </c>
      <c r="M448" s="100">
        <v>0.68</v>
      </c>
      <c r="N448" s="100">
        <v>7.9</v>
      </c>
      <c r="O448" s="98" t="s">
        <v>48</v>
      </c>
      <c r="P448" s="98">
        <v>4</v>
      </c>
      <c r="Q448" s="98">
        <v>10</v>
      </c>
      <c r="R448" s="98" t="s">
        <v>64</v>
      </c>
      <c r="S448" s="98" t="s">
        <v>50</v>
      </c>
      <c r="T448" s="98" t="s">
        <v>50</v>
      </c>
      <c r="U448" s="98" t="s">
        <v>50</v>
      </c>
      <c r="V448" s="98" t="s">
        <v>50</v>
      </c>
      <c r="W448" s="98" t="s">
        <v>50</v>
      </c>
      <c r="X448" s="98" t="s">
        <v>50</v>
      </c>
      <c r="Y448" s="627"/>
    </row>
    <row r="449" spans="1:25" s="154" customFormat="1" x14ac:dyDescent="0.25">
      <c r="A449" s="194">
        <v>44103</v>
      </c>
      <c r="B449" s="98" t="s">
        <v>849</v>
      </c>
      <c r="C449" s="98" t="s">
        <v>78</v>
      </c>
      <c r="D449" s="98">
        <v>38.043529999999997</v>
      </c>
      <c r="E449" s="98">
        <v>-121.89612</v>
      </c>
      <c r="F449" s="98" t="s">
        <v>1377</v>
      </c>
      <c r="G449" s="98" t="s">
        <v>27</v>
      </c>
      <c r="H449" s="98" t="s">
        <v>101</v>
      </c>
      <c r="I449" s="621">
        <v>0.46736111111111112</v>
      </c>
      <c r="J449" s="100">
        <v>7034</v>
      </c>
      <c r="K449" s="100">
        <v>21.5</v>
      </c>
      <c r="L449" s="100">
        <v>10.99</v>
      </c>
      <c r="M449" s="100">
        <v>1.19</v>
      </c>
      <c r="N449" s="100">
        <v>19.73</v>
      </c>
      <c r="O449" s="98" t="s">
        <v>48</v>
      </c>
      <c r="P449" s="98">
        <v>4</v>
      </c>
      <c r="Q449" s="98">
        <v>10</v>
      </c>
      <c r="R449" s="98" t="s">
        <v>64</v>
      </c>
      <c r="S449" s="98" t="s">
        <v>50</v>
      </c>
      <c r="T449" s="98" t="s">
        <v>50</v>
      </c>
      <c r="U449" s="98" t="s">
        <v>50</v>
      </c>
      <c r="V449" s="98" t="s">
        <v>50</v>
      </c>
      <c r="W449" s="98" t="s">
        <v>50</v>
      </c>
      <c r="X449" s="98" t="s">
        <v>50</v>
      </c>
      <c r="Y449" s="627"/>
    </row>
    <row r="450" spans="1:25" x14ac:dyDescent="0.25">
      <c r="A450" s="194">
        <v>44104</v>
      </c>
      <c r="B450" s="98" t="s">
        <v>87</v>
      </c>
      <c r="C450" s="98" t="s">
        <v>126</v>
      </c>
      <c r="D450" s="98">
        <v>38.386090000000003</v>
      </c>
      <c r="E450" s="98">
        <v>-121.62772</v>
      </c>
      <c r="F450" s="98" t="s">
        <v>1378</v>
      </c>
      <c r="G450" s="98" t="s">
        <v>90</v>
      </c>
      <c r="H450" s="98" t="s">
        <v>126</v>
      </c>
      <c r="I450" s="621">
        <v>0.34236111111111112</v>
      </c>
      <c r="J450" s="100">
        <v>230.62</v>
      </c>
      <c r="K450" s="100">
        <v>21.5</v>
      </c>
      <c r="L450" s="100">
        <v>24.88</v>
      </c>
      <c r="M450" s="100">
        <v>0.55000000000000004</v>
      </c>
      <c r="N450" s="100">
        <v>3.45</v>
      </c>
      <c r="O450" s="98" t="s">
        <v>48</v>
      </c>
      <c r="P450" s="98">
        <v>4</v>
      </c>
      <c r="Q450" s="98">
        <v>10</v>
      </c>
      <c r="R450" s="98" t="s">
        <v>49</v>
      </c>
      <c r="S450" s="98" t="s">
        <v>50</v>
      </c>
      <c r="T450" s="98" t="s">
        <v>50</v>
      </c>
      <c r="U450" s="98" t="s">
        <v>50</v>
      </c>
      <c r="V450" s="98" t="s">
        <v>50</v>
      </c>
      <c r="W450" s="98" t="s">
        <v>50</v>
      </c>
      <c r="X450" s="98" t="s">
        <v>50</v>
      </c>
      <c r="Y450" s="622" t="s">
        <v>1379</v>
      </c>
    </row>
    <row r="451" spans="1:25" x14ac:dyDescent="0.25">
      <c r="A451" s="194">
        <v>44104</v>
      </c>
      <c r="B451" s="98" t="s">
        <v>87</v>
      </c>
      <c r="C451" s="98" t="s">
        <v>126</v>
      </c>
      <c r="D451" s="98">
        <v>38.233159999999998</v>
      </c>
      <c r="E451" s="98">
        <v>-121.67627</v>
      </c>
      <c r="F451" s="98" t="s">
        <v>1380</v>
      </c>
      <c r="G451" s="98" t="s">
        <v>90</v>
      </c>
      <c r="H451" s="98" t="s">
        <v>126</v>
      </c>
      <c r="I451" s="621">
        <v>0.46388888888888885</v>
      </c>
      <c r="J451" s="100">
        <v>183.15</v>
      </c>
      <c r="K451" s="100">
        <v>21.2</v>
      </c>
      <c r="L451" s="100">
        <v>8.81</v>
      </c>
      <c r="M451" s="100">
        <v>1.8</v>
      </c>
      <c r="N451" s="100">
        <v>10.85</v>
      </c>
      <c r="O451" s="98" t="s">
        <v>48</v>
      </c>
      <c r="P451" s="98">
        <v>2</v>
      </c>
      <c r="Q451" s="98">
        <v>10</v>
      </c>
      <c r="R451" s="98" t="s">
        <v>49</v>
      </c>
      <c r="S451" s="98" t="s">
        <v>50</v>
      </c>
      <c r="T451" s="98" t="s">
        <v>50</v>
      </c>
      <c r="U451" s="98" t="s">
        <v>50</v>
      </c>
      <c r="V451" s="98" t="s">
        <v>50</v>
      </c>
      <c r="W451" s="98" t="s">
        <v>50</v>
      </c>
      <c r="X451" s="98" t="s">
        <v>50</v>
      </c>
      <c r="Y451" s="622" t="s">
        <v>1381</v>
      </c>
    </row>
    <row r="452" spans="1:25" s="362" customFormat="1" x14ac:dyDescent="0.25">
      <c r="A452" s="360">
        <v>44104</v>
      </c>
      <c r="B452" s="362" t="s">
        <v>87</v>
      </c>
      <c r="C452" s="362" t="s">
        <v>126</v>
      </c>
      <c r="D452" s="362">
        <v>38.299590000000002</v>
      </c>
      <c r="E452" s="362">
        <v>-121.65886999999999</v>
      </c>
      <c r="F452" s="362" t="s">
        <v>1382</v>
      </c>
      <c r="G452" s="362" t="s">
        <v>90</v>
      </c>
      <c r="H452" s="362" t="s">
        <v>126</v>
      </c>
      <c r="I452" s="618">
        <v>0.40138888888888885</v>
      </c>
      <c r="J452" s="364">
        <v>193.42</v>
      </c>
      <c r="K452" s="364">
        <v>21.15</v>
      </c>
      <c r="L452" s="364">
        <v>14.9</v>
      </c>
      <c r="M452" s="364">
        <v>1.45</v>
      </c>
      <c r="N452" s="364">
        <v>4.0199999999999996</v>
      </c>
      <c r="O452" s="362" t="s">
        <v>48</v>
      </c>
      <c r="P452" s="362">
        <v>4</v>
      </c>
      <c r="Q452" s="362">
        <v>10</v>
      </c>
      <c r="R452" s="362" t="s">
        <v>49</v>
      </c>
      <c r="S452" s="362" t="s">
        <v>50</v>
      </c>
      <c r="T452" s="362" t="s">
        <v>50</v>
      </c>
      <c r="U452" s="362" t="s">
        <v>50</v>
      </c>
      <c r="V452" s="362" t="s">
        <v>50</v>
      </c>
      <c r="W452" s="362" t="s">
        <v>50</v>
      </c>
      <c r="X452" s="362" t="s">
        <v>50</v>
      </c>
      <c r="Y452" s="603" t="s">
        <v>1383</v>
      </c>
    </row>
    <row r="453" spans="1:25" x14ac:dyDescent="0.25">
      <c r="A453" s="194">
        <v>44109</v>
      </c>
      <c r="B453" s="98" t="s">
        <v>43</v>
      </c>
      <c r="C453" s="98" t="s">
        <v>95</v>
      </c>
      <c r="D453" s="98">
        <v>38.063429999999997</v>
      </c>
      <c r="E453" s="98">
        <v>-121.53093</v>
      </c>
      <c r="F453" s="98" t="s">
        <v>1384</v>
      </c>
      <c r="G453" s="98" t="s">
        <v>46</v>
      </c>
      <c r="H453" s="98" t="s">
        <v>115</v>
      </c>
      <c r="I453" s="621">
        <v>0.35972222222222222</v>
      </c>
      <c r="J453" s="100">
        <v>288.89999999999998</v>
      </c>
      <c r="K453" s="100">
        <v>21.88</v>
      </c>
      <c r="L453" s="100">
        <v>5.09</v>
      </c>
      <c r="M453" s="100">
        <v>1.8</v>
      </c>
      <c r="N453" s="100">
        <v>10.97</v>
      </c>
      <c r="O453" s="98" t="s">
        <v>48</v>
      </c>
      <c r="P453" s="98">
        <v>4</v>
      </c>
      <c r="Q453" s="98">
        <v>10</v>
      </c>
      <c r="R453" s="98" t="s">
        <v>64</v>
      </c>
      <c r="S453" s="98" t="s">
        <v>50</v>
      </c>
      <c r="T453" s="98" t="s">
        <v>50</v>
      </c>
      <c r="U453" s="98" t="s">
        <v>50</v>
      </c>
      <c r="V453" s="98" t="s">
        <v>50</v>
      </c>
      <c r="W453" s="98" t="s">
        <v>50</v>
      </c>
      <c r="X453" s="98" t="s">
        <v>50</v>
      </c>
      <c r="Y453" s="622" t="s">
        <v>139</v>
      </c>
    </row>
    <row r="454" spans="1:25" x14ac:dyDescent="0.25">
      <c r="A454" s="194">
        <v>44109</v>
      </c>
      <c r="B454" s="98" t="s">
        <v>43</v>
      </c>
      <c r="C454" s="98" t="s">
        <v>95</v>
      </c>
      <c r="D454" s="98">
        <v>38.051130000000001</v>
      </c>
      <c r="E454" s="98">
        <v>-121.69379000000001</v>
      </c>
      <c r="F454" s="98" t="s">
        <v>1385</v>
      </c>
      <c r="G454" s="98" t="s">
        <v>46</v>
      </c>
      <c r="H454" s="98" t="s">
        <v>97</v>
      </c>
      <c r="I454" s="621">
        <v>0.42986111111111108</v>
      </c>
      <c r="J454" s="100">
        <v>1135</v>
      </c>
      <c r="K454" s="100">
        <v>22.05</v>
      </c>
      <c r="L454" s="100">
        <v>6.63</v>
      </c>
      <c r="M454" s="100">
        <v>1.75</v>
      </c>
      <c r="N454" s="100">
        <v>13.2</v>
      </c>
      <c r="O454" s="98" t="s">
        <v>48</v>
      </c>
      <c r="P454" s="98">
        <v>4</v>
      </c>
      <c r="Q454" s="98">
        <v>10</v>
      </c>
      <c r="R454" s="98" t="s">
        <v>49</v>
      </c>
      <c r="S454" s="98" t="s">
        <v>50</v>
      </c>
      <c r="T454" s="98" t="s">
        <v>50</v>
      </c>
      <c r="U454" s="98" t="s">
        <v>50</v>
      </c>
      <c r="V454" s="98" t="s">
        <v>50</v>
      </c>
      <c r="W454" s="98" t="s">
        <v>50</v>
      </c>
      <c r="X454" s="98" t="s">
        <v>50</v>
      </c>
    </row>
    <row r="455" spans="1:25" x14ac:dyDescent="0.25">
      <c r="A455" s="194">
        <v>44109</v>
      </c>
      <c r="B455" s="98" t="s">
        <v>43</v>
      </c>
      <c r="C455" s="98" t="s">
        <v>95</v>
      </c>
      <c r="D455" s="98">
        <v>38.028849999999998</v>
      </c>
      <c r="E455" s="98">
        <v>-121.76326</v>
      </c>
      <c r="F455" s="98" t="s">
        <v>1386</v>
      </c>
      <c r="G455" s="98" t="s">
        <v>27</v>
      </c>
      <c r="H455" s="98" t="s">
        <v>95</v>
      </c>
      <c r="I455" s="621">
        <v>0.48819444444444443</v>
      </c>
      <c r="J455" s="100">
        <v>2984.5</v>
      </c>
      <c r="K455" s="100">
        <v>21.9</v>
      </c>
      <c r="L455" s="100">
        <v>8.02</v>
      </c>
      <c r="M455" s="100">
        <v>1.57</v>
      </c>
      <c r="N455" s="100">
        <v>11.8</v>
      </c>
      <c r="O455" s="98" t="s">
        <v>48</v>
      </c>
      <c r="P455" s="98">
        <v>4</v>
      </c>
      <c r="Q455" s="98">
        <v>10</v>
      </c>
      <c r="R455" s="98" t="s">
        <v>49</v>
      </c>
      <c r="S455" s="98" t="s">
        <v>50</v>
      </c>
      <c r="T455" s="98" t="s">
        <v>50</v>
      </c>
      <c r="U455" s="98" t="s">
        <v>50</v>
      </c>
      <c r="V455" s="98" t="s">
        <v>50</v>
      </c>
      <c r="W455" s="98" t="s">
        <v>50</v>
      </c>
      <c r="X455" s="98" t="s">
        <v>50</v>
      </c>
      <c r="Y455" s="622" t="s">
        <v>1387</v>
      </c>
    </row>
    <row r="456" spans="1:25" x14ac:dyDescent="0.25">
      <c r="A456" s="194">
        <v>44109</v>
      </c>
      <c r="B456" s="98" t="s">
        <v>43</v>
      </c>
      <c r="C456" s="98" t="s">
        <v>106</v>
      </c>
      <c r="D456" s="98">
        <v>38.18168</v>
      </c>
      <c r="E456" s="98">
        <v>-121.66323</v>
      </c>
      <c r="F456" s="98" t="s">
        <v>1388</v>
      </c>
      <c r="G456" s="98" t="s">
        <v>90</v>
      </c>
      <c r="H456" s="98" t="s">
        <v>108</v>
      </c>
      <c r="I456" s="621">
        <v>0.50972222222222219</v>
      </c>
      <c r="J456" s="100">
        <v>144.65</v>
      </c>
      <c r="K456" s="100">
        <v>21.5</v>
      </c>
      <c r="L456" s="100">
        <v>10.26</v>
      </c>
      <c r="M456" s="100">
        <v>1.8</v>
      </c>
      <c r="N456" s="100">
        <v>15.65</v>
      </c>
      <c r="O456" s="98" t="s">
        <v>48</v>
      </c>
      <c r="P456" s="98">
        <v>2</v>
      </c>
      <c r="Q456" s="98">
        <v>10</v>
      </c>
      <c r="R456" s="98" t="s">
        <v>49</v>
      </c>
      <c r="S456" s="98" t="s">
        <v>50</v>
      </c>
      <c r="T456" s="98" t="s">
        <v>50</v>
      </c>
      <c r="U456" s="98" t="s">
        <v>50</v>
      </c>
      <c r="V456" s="98" t="s">
        <v>50</v>
      </c>
      <c r="W456" s="98" t="s">
        <v>50</v>
      </c>
      <c r="X456" s="98" t="s">
        <v>50</v>
      </c>
      <c r="Y456" s="622" t="s">
        <v>1387</v>
      </c>
    </row>
    <row r="457" spans="1:25" x14ac:dyDescent="0.25">
      <c r="A457" s="194">
        <v>44109</v>
      </c>
      <c r="B457" s="98" t="s">
        <v>43</v>
      </c>
      <c r="C457" s="98" t="s">
        <v>106</v>
      </c>
      <c r="D457" s="98">
        <v>38.384140000000002</v>
      </c>
      <c r="E457" s="98">
        <v>-121.62505</v>
      </c>
      <c r="F457" s="98" t="s">
        <v>1389</v>
      </c>
      <c r="G457" s="98" t="s">
        <v>90</v>
      </c>
      <c r="H457" s="98" t="s">
        <v>108</v>
      </c>
      <c r="I457" s="621">
        <v>0.4375</v>
      </c>
      <c r="J457" s="100">
        <v>433.12</v>
      </c>
      <c r="K457" s="100">
        <v>21.8</v>
      </c>
      <c r="L457" s="100">
        <v>65.900000000000006</v>
      </c>
      <c r="M457" s="100">
        <v>0.21</v>
      </c>
      <c r="N457" s="100">
        <v>10.25</v>
      </c>
      <c r="O457" s="98" t="s">
        <v>48</v>
      </c>
      <c r="P457" s="98">
        <v>4</v>
      </c>
      <c r="Q457" s="98">
        <v>10</v>
      </c>
      <c r="R457" s="98" t="s">
        <v>49</v>
      </c>
      <c r="S457" s="98" t="s">
        <v>50</v>
      </c>
      <c r="T457" s="98" t="s">
        <v>50</v>
      </c>
      <c r="U457" s="98" t="s">
        <v>50</v>
      </c>
      <c r="V457" s="98" t="s">
        <v>50</v>
      </c>
      <c r="W457" s="98" t="s">
        <v>50</v>
      </c>
      <c r="X457" s="98" t="s">
        <v>50</v>
      </c>
      <c r="Y457" s="622" t="s">
        <v>1390</v>
      </c>
    </row>
    <row r="458" spans="1:25" x14ac:dyDescent="0.25">
      <c r="A458" s="194">
        <v>44109</v>
      </c>
      <c r="B458" s="98" t="s">
        <v>43</v>
      </c>
      <c r="C458" s="98" t="s">
        <v>106</v>
      </c>
      <c r="D458" s="98">
        <v>38.560789999999997</v>
      </c>
      <c r="E458" s="98">
        <v>-121.54129</v>
      </c>
      <c r="F458" s="98" t="s">
        <v>1391</v>
      </c>
      <c r="G458" s="98" t="s">
        <v>90</v>
      </c>
      <c r="H458" s="98" t="s">
        <v>158</v>
      </c>
      <c r="I458" s="621">
        <v>0.36874999999999997</v>
      </c>
      <c r="J458" s="100">
        <v>1047.25</v>
      </c>
      <c r="K458" s="100">
        <v>22.53</v>
      </c>
      <c r="L458" s="100">
        <v>4.5199999999999996</v>
      </c>
      <c r="M458" s="100">
        <v>1.67</v>
      </c>
      <c r="N458" s="100">
        <v>11</v>
      </c>
      <c r="O458" s="98" t="s">
        <v>48</v>
      </c>
      <c r="P458" s="98">
        <v>4</v>
      </c>
      <c r="Q458" s="98">
        <v>10</v>
      </c>
      <c r="R458" s="98" t="s">
        <v>64</v>
      </c>
      <c r="S458" s="98" t="s">
        <v>50</v>
      </c>
      <c r="T458" s="98" t="s">
        <v>50</v>
      </c>
      <c r="U458" s="98" t="s">
        <v>50</v>
      </c>
      <c r="V458" s="98" t="s">
        <v>50</v>
      </c>
      <c r="W458" s="98" t="s">
        <v>50</v>
      </c>
      <c r="X458" s="98" t="s">
        <v>50</v>
      </c>
    </row>
    <row r="459" spans="1:25" x14ac:dyDescent="0.25">
      <c r="A459" s="194">
        <v>44109</v>
      </c>
      <c r="B459" s="98" t="s">
        <v>43</v>
      </c>
      <c r="C459" s="98" t="s">
        <v>78</v>
      </c>
      <c r="D459" s="98">
        <v>38.045839999999998</v>
      </c>
      <c r="E459" s="98">
        <v>-121.89379</v>
      </c>
      <c r="F459" s="98" t="s">
        <v>1392</v>
      </c>
      <c r="G459" s="98" t="s">
        <v>27</v>
      </c>
      <c r="H459" s="98" t="s">
        <v>101</v>
      </c>
      <c r="I459" s="621">
        <v>0.34097222222222223</v>
      </c>
      <c r="J459" s="100">
        <v>12079.75</v>
      </c>
      <c r="K459" s="100">
        <v>21.08</v>
      </c>
      <c r="L459" s="100">
        <v>7.44</v>
      </c>
      <c r="M459" s="100">
        <v>1.1000000000000001</v>
      </c>
      <c r="N459" s="100">
        <v>25.15</v>
      </c>
      <c r="O459" s="98" t="s">
        <v>48</v>
      </c>
      <c r="P459" s="98">
        <v>4</v>
      </c>
      <c r="Q459" s="98">
        <v>10</v>
      </c>
      <c r="R459" s="98" t="s">
        <v>49</v>
      </c>
      <c r="S459" s="98" t="s">
        <v>50</v>
      </c>
      <c r="T459" s="98" t="s">
        <v>50</v>
      </c>
      <c r="U459" s="98" t="s">
        <v>50</v>
      </c>
      <c r="V459" s="98" t="s">
        <v>50</v>
      </c>
      <c r="W459" s="98" t="s">
        <v>50</v>
      </c>
      <c r="X459" s="98" t="s">
        <v>50</v>
      </c>
    </row>
    <row r="460" spans="1:25" x14ac:dyDescent="0.25">
      <c r="A460" s="194">
        <v>44109</v>
      </c>
      <c r="B460" s="98" t="s">
        <v>43</v>
      </c>
      <c r="C460" s="98" t="s">
        <v>78</v>
      </c>
      <c r="D460" s="98">
        <v>38.054020000000001</v>
      </c>
      <c r="E460" s="98">
        <v>-121.9599</v>
      </c>
      <c r="F460" s="98" t="s">
        <v>1393</v>
      </c>
      <c r="G460" s="98" t="s">
        <v>27</v>
      </c>
      <c r="H460" s="98" t="s">
        <v>170</v>
      </c>
      <c r="I460" s="621">
        <v>0.39930555555555558</v>
      </c>
      <c r="J460" s="100">
        <v>81768.5</v>
      </c>
      <c r="K460" s="100">
        <v>20.9</v>
      </c>
      <c r="L460" s="100">
        <v>9.07</v>
      </c>
      <c r="M460" s="100">
        <v>1.1200000000000001</v>
      </c>
      <c r="N460" s="100">
        <v>12.02</v>
      </c>
      <c r="O460" s="98" t="s">
        <v>48</v>
      </c>
      <c r="P460" s="98">
        <v>4</v>
      </c>
      <c r="Q460" s="98">
        <v>10</v>
      </c>
      <c r="R460" s="98" t="s">
        <v>49</v>
      </c>
      <c r="S460" s="98" t="s">
        <v>50</v>
      </c>
      <c r="T460" s="98" t="s">
        <v>50</v>
      </c>
      <c r="U460" s="98" t="s">
        <v>50</v>
      </c>
      <c r="V460" s="98" t="s">
        <v>50</v>
      </c>
      <c r="W460" s="98" t="s">
        <v>50</v>
      </c>
      <c r="X460" s="98" t="s">
        <v>50</v>
      </c>
      <c r="Y460" s="622" t="s">
        <v>1394</v>
      </c>
    </row>
    <row r="461" spans="1:25" x14ac:dyDescent="0.25">
      <c r="A461" s="194">
        <v>44110</v>
      </c>
      <c r="B461" s="98" t="s">
        <v>70</v>
      </c>
      <c r="C461" s="98" t="s">
        <v>95</v>
      </c>
      <c r="D461" s="98">
        <v>38.094410000000003</v>
      </c>
      <c r="E461" s="98">
        <v>-121.65716</v>
      </c>
      <c r="F461" s="98" t="s">
        <v>1395</v>
      </c>
      <c r="G461" s="98" t="s">
        <v>46</v>
      </c>
      <c r="H461" s="98" t="s">
        <v>97</v>
      </c>
      <c r="I461" s="621">
        <v>0.33888888888888885</v>
      </c>
      <c r="J461" s="100">
        <v>909.5</v>
      </c>
      <c r="K461" s="100">
        <v>22.1</v>
      </c>
      <c r="L461" s="100">
        <v>6.14</v>
      </c>
      <c r="M461" s="100">
        <v>1.8</v>
      </c>
      <c r="N461" s="100">
        <v>9.9499999999999993</v>
      </c>
      <c r="O461" s="98" t="s">
        <v>48</v>
      </c>
      <c r="P461" s="98">
        <v>4</v>
      </c>
      <c r="Q461" s="98">
        <v>10</v>
      </c>
      <c r="R461" s="98" t="s">
        <v>64</v>
      </c>
      <c r="S461" s="98" t="s">
        <v>50</v>
      </c>
      <c r="T461" s="98" t="s">
        <v>50</v>
      </c>
      <c r="U461" s="98" t="s">
        <v>50</v>
      </c>
      <c r="V461" s="98" t="s">
        <v>50</v>
      </c>
      <c r="W461" s="98" t="s">
        <v>50</v>
      </c>
      <c r="X461" s="98" t="s">
        <v>50</v>
      </c>
    </row>
    <row r="462" spans="1:25" x14ac:dyDescent="0.25">
      <c r="A462" s="194">
        <v>44110</v>
      </c>
      <c r="B462" s="98" t="s">
        <v>70</v>
      </c>
      <c r="C462" s="98" t="s">
        <v>95</v>
      </c>
      <c r="D462" s="98">
        <v>38.02937</v>
      </c>
      <c r="E462" s="98">
        <v>-121.7306</v>
      </c>
      <c r="F462" s="98" t="s">
        <v>1396</v>
      </c>
      <c r="G462" s="98" t="s">
        <v>27</v>
      </c>
      <c r="H462" s="98" t="s">
        <v>95</v>
      </c>
      <c r="I462" s="621">
        <v>0.41319444444444442</v>
      </c>
      <c r="J462" s="100">
        <v>2499.5</v>
      </c>
      <c r="K462" s="100">
        <v>21.92</v>
      </c>
      <c r="L462" s="100">
        <v>5.05</v>
      </c>
      <c r="M462" s="100">
        <v>1.8</v>
      </c>
      <c r="N462" s="100">
        <v>11.47</v>
      </c>
      <c r="O462" s="98" t="s">
        <v>48</v>
      </c>
      <c r="P462" s="98">
        <v>4</v>
      </c>
      <c r="Q462" s="98">
        <v>10</v>
      </c>
      <c r="R462" s="98" t="s">
        <v>64</v>
      </c>
      <c r="S462" s="98" t="s">
        <v>50</v>
      </c>
      <c r="T462" s="98" t="s">
        <v>50</v>
      </c>
      <c r="U462" s="98" t="s">
        <v>50</v>
      </c>
      <c r="V462" s="98" t="s">
        <v>50</v>
      </c>
      <c r="W462" s="98" t="s">
        <v>50</v>
      </c>
      <c r="X462" s="98" t="s">
        <v>50</v>
      </c>
    </row>
    <row r="463" spans="1:25" x14ac:dyDescent="0.25">
      <c r="A463" s="194">
        <v>44110</v>
      </c>
      <c r="B463" s="98" t="s">
        <v>70</v>
      </c>
      <c r="C463" s="98" t="s">
        <v>95</v>
      </c>
      <c r="D463" s="98">
        <v>38.020719999999997</v>
      </c>
      <c r="E463" s="98">
        <v>-121.80419000000001</v>
      </c>
      <c r="F463" s="98" t="s">
        <v>1397</v>
      </c>
      <c r="G463" s="98" t="s">
        <v>27</v>
      </c>
      <c r="H463" s="98" t="s">
        <v>95</v>
      </c>
      <c r="I463" s="621">
        <v>0.47222222222222227</v>
      </c>
      <c r="J463" s="100">
        <v>4360.5</v>
      </c>
      <c r="K463" s="100">
        <v>21.6</v>
      </c>
      <c r="L463" s="100">
        <v>6.91</v>
      </c>
      <c r="M463" s="100">
        <v>1.48</v>
      </c>
      <c r="N463" s="100">
        <v>7.8</v>
      </c>
      <c r="O463" s="98" t="s">
        <v>48</v>
      </c>
      <c r="P463" s="98">
        <v>4</v>
      </c>
      <c r="Q463" s="98">
        <v>10</v>
      </c>
      <c r="R463" s="98" t="s">
        <v>49</v>
      </c>
      <c r="S463" s="98" t="s">
        <v>50</v>
      </c>
      <c r="T463" s="98" t="s">
        <v>50</v>
      </c>
      <c r="U463" s="98" t="s">
        <v>50</v>
      </c>
      <c r="V463" s="98" t="s">
        <v>50</v>
      </c>
      <c r="W463" s="98" t="s">
        <v>50</v>
      </c>
      <c r="X463" s="98" t="s">
        <v>50</v>
      </c>
    </row>
    <row r="464" spans="1:25" x14ac:dyDescent="0.25">
      <c r="A464" s="194">
        <v>44110</v>
      </c>
      <c r="B464" s="98" t="s">
        <v>70</v>
      </c>
      <c r="C464" s="98" t="s">
        <v>106</v>
      </c>
      <c r="D464" s="98">
        <v>38.211469999999998</v>
      </c>
      <c r="E464" s="98">
        <v>-121.6662</v>
      </c>
      <c r="F464" s="98" t="s">
        <v>1398</v>
      </c>
      <c r="G464" s="98" t="s">
        <v>90</v>
      </c>
      <c r="H464" s="98" t="s">
        <v>108</v>
      </c>
      <c r="I464" s="621">
        <v>0.48680555555555555</v>
      </c>
      <c r="J464" s="100">
        <v>144.5</v>
      </c>
      <c r="K464" s="100">
        <v>21.4</v>
      </c>
      <c r="L464" s="100">
        <v>5.0599999999999996</v>
      </c>
      <c r="M464" s="100">
        <v>1.8</v>
      </c>
      <c r="N464" s="100">
        <v>12.63</v>
      </c>
      <c r="O464" s="98" t="s">
        <v>48</v>
      </c>
      <c r="P464" s="98">
        <v>4</v>
      </c>
      <c r="Q464" s="98">
        <v>10</v>
      </c>
      <c r="R464" s="98" t="s">
        <v>49</v>
      </c>
      <c r="S464" s="98" t="s">
        <v>50</v>
      </c>
      <c r="T464" s="98" t="s">
        <v>50</v>
      </c>
      <c r="U464" s="98" t="s">
        <v>50</v>
      </c>
      <c r="V464" s="98" t="s">
        <v>50</v>
      </c>
      <c r="W464" s="98" t="s">
        <v>50</v>
      </c>
      <c r="X464" s="98" t="s">
        <v>50</v>
      </c>
      <c r="Y464" s="622" t="s">
        <v>1399</v>
      </c>
    </row>
    <row r="465" spans="1:25" x14ac:dyDescent="0.25">
      <c r="A465" s="194">
        <v>44110</v>
      </c>
      <c r="B465" s="98" t="s">
        <v>70</v>
      </c>
      <c r="C465" s="98" t="s">
        <v>106</v>
      </c>
      <c r="D465" s="98">
        <v>38.240049999999997</v>
      </c>
      <c r="E465" s="98">
        <v>-121.67205</v>
      </c>
      <c r="F465" s="98" t="s">
        <v>1400</v>
      </c>
      <c r="G465" s="98" t="s">
        <v>90</v>
      </c>
      <c r="H465" s="98" t="s">
        <v>108</v>
      </c>
      <c r="I465" s="621">
        <v>0.43472222222222223</v>
      </c>
      <c r="J465" s="100">
        <v>154.65</v>
      </c>
      <c r="K465" s="100">
        <v>21.5</v>
      </c>
      <c r="L465" s="100">
        <v>4.62</v>
      </c>
      <c r="M465" s="100">
        <v>1.8</v>
      </c>
      <c r="N465" s="100">
        <v>8.4700000000000006</v>
      </c>
      <c r="O465" s="98" t="s">
        <v>48</v>
      </c>
      <c r="P465" s="98">
        <v>4</v>
      </c>
      <c r="Q465" s="98">
        <v>10</v>
      </c>
      <c r="R465" s="98" t="s">
        <v>49</v>
      </c>
      <c r="S465" s="98" t="s">
        <v>50</v>
      </c>
      <c r="T465" s="98" t="s">
        <v>50</v>
      </c>
      <c r="U465" s="98" t="s">
        <v>50</v>
      </c>
      <c r="V465" s="98" t="s">
        <v>50</v>
      </c>
      <c r="W465" s="98" t="s">
        <v>50</v>
      </c>
      <c r="X465" s="98" t="s">
        <v>50</v>
      </c>
    </row>
    <row r="466" spans="1:25" x14ac:dyDescent="0.25">
      <c r="A466" s="194">
        <v>44110</v>
      </c>
      <c r="B466" s="98" t="s">
        <v>70</v>
      </c>
      <c r="C466" s="98" t="s">
        <v>106</v>
      </c>
      <c r="D466" s="98">
        <v>38.487050000000004</v>
      </c>
      <c r="E466" s="98">
        <v>-121.58461</v>
      </c>
      <c r="F466" s="98" t="s">
        <v>1401</v>
      </c>
      <c r="G466" s="98" t="s">
        <v>90</v>
      </c>
      <c r="H466" s="98" t="s">
        <v>158</v>
      </c>
      <c r="I466" s="621">
        <v>0.3576388888888889</v>
      </c>
      <c r="J466" s="100">
        <v>756.75</v>
      </c>
      <c r="K466" s="100">
        <v>22.18</v>
      </c>
      <c r="L466" s="100">
        <v>31.4</v>
      </c>
      <c r="M466" s="100">
        <v>0.37</v>
      </c>
      <c r="N466" s="100">
        <v>11.05</v>
      </c>
      <c r="O466" s="98" t="s">
        <v>48</v>
      </c>
      <c r="P466" s="98">
        <v>4</v>
      </c>
      <c r="Q466" s="98">
        <v>10</v>
      </c>
      <c r="R466" s="98" t="s">
        <v>64</v>
      </c>
      <c r="S466" s="98" t="s">
        <v>50</v>
      </c>
      <c r="T466" s="98" t="s">
        <v>50</v>
      </c>
      <c r="U466" s="98" t="s">
        <v>50</v>
      </c>
      <c r="V466" s="98" t="s">
        <v>50</v>
      </c>
      <c r="W466" s="98" t="s">
        <v>50</v>
      </c>
      <c r="X466" s="98" t="s">
        <v>50</v>
      </c>
      <c r="Y466" s="622" t="s">
        <v>1402</v>
      </c>
    </row>
    <row r="467" spans="1:25" x14ac:dyDescent="0.25">
      <c r="A467" s="194">
        <v>44110</v>
      </c>
      <c r="B467" s="98" t="s">
        <v>70</v>
      </c>
      <c r="C467" s="98" t="s">
        <v>78</v>
      </c>
      <c r="D467" s="98">
        <v>38.076030000000003</v>
      </c>
      <c r="E467" s="98">
        <v>-122.09173</v>
      </c>
      <c r="F467" s="98" t="s">
        <v>1403</v>
      </c>
      <c r="G467" s="98" t="s">
        <v>80</v>
      </c>
      <c r="H467" s="98" t="s">
        <v>81</v>
      </c>
      <c r="I467" s="621">
        <v>0.36319444444444443</v>
      </c>
      <c r="J467" s="100">
        <v>25127.75</v>
      </c>
      <c r="K467" s="100">
        <v>20.75</v>
      </c>
      <c r="L467" s="100">
        <v>17.27</v>
      </c>
      <c r="M467" s="100">
        <v>1.06</v>
      </c>
      <c r="N467" s="100">
        <v>10.62</v>
      </c>
      <c r="O467" s="98" t="s">
        <v>48</v>
      </c>
      <c r="P467" s="98">
        <v>4</v>
      </c>
      <c r="Q467" s="98">
        <v>10</v>
      </c>
      <c r="R467" s="98" t="s">
        <v>49</v>
      </c>
      <c r="S467" s="98" t="s">
        <v>50</v>
      </c>
      <c r="T467" s="98" t="s">
        <v>50</v>
      </c>
      <c r="U467" s="98" t="s">
        <v>50</v>
      </c>
      <c r="V467" s="98" t="s">
        <v>50</v>
      </c>
      <c r="W467" s="98" t="s">
        <v>50</v>
      </c>
      <c r="X467" s="98" t="s">
        <v>50</v>
      </c>
    </row>
    <row r="468" spans="1:25" x14ac:dyDescent="0.25">
      <c r="A468" s="194">
        <v>44110</v>
      </c>
      <c r="B468" s="98" t="s">
        <v>70</v>
      </c>
      <c r="C468" s="98" t="s">
        <v>78</v>
      </c>
      <c r="D468" s="98">
        <v>38.072389999999999</v>
      </c>
      <c r="E468" s="98">
        <v>-121.85796000000001</v>
      </c>
      <c r="F468" s="98" t="s">
        <v>1404</v>
      </c>
      <c r="G468" s="98" t="s">
        <v>27</v>
      </c>
      <c r="H468" s="98" t="s">
        <v>101</v>
      </c>
      <c r="I468" s="621">
        <v>0.48819444444444443</v>
      </c>
      <c r="J468" s="100">
        <v>7880.75</v>
      </c>
      <c r="K468" s="100">
        <v>21.87</v>
      </c>
      <c r="L468" s="100">
        <v>8.58</v>
      </c>
      <c r="M468" s="100">
        <v>1.2</v>
      </c>
      <c r="N468" s="100">
        <v>9.6199999999999992</v>
      </c>
      <c r="O468" s="98" t="s">
        <v>48</v>
      </c>
      <c r="P468" s="98">
        <v>4</v>
      </c>
      <c r="Q468" s="98">
        <v>10</v>
      </c>
      <c r="R468" s="98" t="s">
        <v>49</v>
      </c>
      <c r="S468" s="98" t="s">
        <v>50</v>
      </c>
      <c r="T468" s="98" t="s">
        <v>50</v>
      </c>
      <c r="U468" s="98" t="s">
        <v>50</v>
      </c>
      <c r="V468" s="98" t="s">
        <v>50</v>
      </c>
      <c r="W468" s="98" t="s">
        <v>50</v>
      </c>
      <c r="X468" s="98" t="s">
        <v>50</v>
      </c>
    </row>
    <row r="469" spans="1:25" x14ac:dyDescent="0.25">
      <c r="A469" s="194">
        <v>44110</v>
      </c>
      <c r="B469" s="98" t="s">
        <v>70</v>
      </c>
      <c r="C469" s="98" t="s">
        <v>78</v>
      </c>
      <c r="D469" s="98">
        <v>38.051360000000003</v>
      </c>
      <c r="E469" s="98">
        <v>-121.94444</v>
      </c>
      <c r="F469" s="98" t="s">
        <v>1405</v>
      </c>
      <c r="G469" s="98" t="s">
        <v>27</v>
      </c>
      <c r="H469" s="98" t="s">
        <v>170</v>
      </c>
      <c r="I469" s="621">
        <v>0.42708333333333331</v>
      </c>
      <c r="J469" s="100">
        <v>12982</v>
      </c>
      <c r="K469" s="100">
        <v>20.92</v>
      </c>
      <c r="L469" s="100">
        <v>10.65</v>
      </c>
      <c r="M469" s="100">
        <v>1.1100000000000001</v>
      </c>
      <c r="N469" s="100">
        <v>18.48</v>
      </c>
      <c r="O469" s="98" t="s">
        <v>48</v>
      </c>
      <c r="P469" s="98">
        <v>4</v>
      </c>
      <c r="Q469" s="98">
        <v>10</v>
      </c>
      <c r="R469" s="98" t="s">
        <v>49</v>
      </c>
      <c r="S469" s="98" t="s">
        <v>50</v>
      </c>
      <c r="T469" s="98" t="s">
        <v>50</v>
      </c>
      <c r="U469" s="98" t="s">
        <v>50</v>
      </c>
      <c r="V469" s="98" t="s">
        <v>50</v>
      </c>
      <c r="W469" s="98" t="s">
        <v>50</v>
      </c>
      <c r="X469" s="98" t="s">
        <v>50</v>
      </c>
    </row>
    <row r="470" spans="1:25" x14ac:dyDescent="0.25">
      <c r="A470" s="194">
        <v>44111</v>
      </c>
      <c r="B470" s="98" t="s">
        <v>87</v>
      </c>
      <c r="C470" s="98" t="s">
        <v>126</v>
      </c>
      <c r="D470" s="98">
        <v>38.286479999999997</v>
      </c>
      <c r="E470" s="98">
        <v>-121.66305</v>
      </c>
      <c r="F470" s="98" t="s">
        <v>1406</v>
      </c>
      <c r="G470" s="98" t="s">
        <v>90</v>
      </c>
      <c r="H470" s="98" t="s">
        <v>126</v>
      </c>
      <c r="I470" s="621">
        <v>0.47916666666666669</v>
      </c>
      <c r="J470" s="100">
        <v>165.43</v>
      </c>
      <c r="K470" s="100">
        <v>21.45</v>
      </c>
      <c r="L470" s="100">
        <v>4.04</v>
      </c>
      <c r="M470" s="100">
        <v>1.8</v>
      </c>
      <c r="N470" s="100">
        <v>7.3</v>
      </c>
      <c r="O470" s="98" t="s">
        <v>48</v>
      </c>
      <c r="P470" s="98">
        <v>4</v>
      </c>
      <c r="Q470" s="98">
        <v>10</v>
      </c>
      <c r="R470" s="98" t="s">
        <v>49</v>
      </c>
      <c r="S470" s="98" t="s">
        <v>50</v>
      </c>
      <c r="T470" s="98" t="s">
        <v>50</v>
      </c>
      <c r="U470" s="98" t="s">
        <v>50</v>
      </c>
      <c r="V470" s="98" t="s">
        <v>50</v>
      </c>
      <c r="W470" s="98" t="s">
        <v>50</v>
      </c>
      <c r="X470" s="98" t="s">
        <v>50</v>
      </c>
    </row>
    <row r="471" spans="1:25" s="154" customFormat="1" x14ac:dyDescent="0.25">
      <c r="A471" s="195">
        <v>44111</v>
      </c>
      <c r="B471" s="154" t="s">
        <v>87</v>
      </c>
      <c r="C471" s="154" t="s">
        <v>126</v>
      </c>
      <c r="D471" s="154">
        <v>38.259590000000003</v>
      </c>
      <c r="E471" s="154">
        <v>-121.68628</v>
      </c>
      <c r="F471" s="154" t="s">
        <v>1407</v>
      </c>
      <c r="G471" s="154" t="s">
        <v>90</v>
      </c>
      <c r="H471" s="154" t="s">
        <v>126</v>
      </c>
      <c r="I471" s="636">
        <v>0.33333333333333331</v>
      </c>
      <c r="J471" s="156" t="s">
        <v>50</v>
      </c>
      <c r="K471" s="156" t="s">
        <v>50</v>
      </c>
      <c r="L471" s="156" t="s">
        <v>50</v>
      </c>
      <c r="M471" s="156" t="s">
        <v>50</v>
      </c>
      <c r="N471" s="156" t="s">
        <v>50</v>
      </c>
      <c r="O471" s="154" t="s">
        <v>48</v>
      </c>
      <c r="P471" s="154">
        <v>0</v>
      </c>
      <c r="Q471" s="154" t="s">
        <v>50</v>
      </c>
      <c r="R471" s="154" t="s">
        <v>50</v>
      </c>
      <c r="S471" s="154" t="s">
        <v>50</v>
      </c>
      <c r="T471" s="154" t="s">
        <v>50</v>
      </c>
      <c r="U471" s="154" t="s">
        <v>50</v>
      </c>
      <c r="V471" s="154" t="s">
        <v>50</v>
      </c>
      <c r="W471" s="154" t="s">
        <v>50</v>
      </c>
      <c r="X471" s="154" t="s">
        <v>50</v>
      </c>
      <c r="Y471" s="627" t="s">
        <v>1408</v>
      </c>
    </row>
    <row r="472" spans="1:25" x14ac:dyDescent="0.25">
      <c r="A472" s="194">
        <v>44111</v>
      </c>
      <c r="B472" s="98" t="s">
        <v>87</v>
      </c>
      <c r="C472" s="98" t="s">
        <v>126</v>
      </c>
      <c r="D472" s="98">
        <v>38.284599999999998</v>
      </c>
      <c r="E472" s="98">
        <v>-121.71872999999999</v>
      </c>
      <c r="F472" s="98" t="s">
        <v>1409</v>
      </c>
      <c r="G472" s="98" t="s">
        <v>90</v>
      </c>
      <c r="H472" s="98" t="s">
        <v>126</v>
      </c>
      <c r="I472" s="621">
        <v>0.33611111111111108</v>
      </c>
      <c r="J472" s="100">
        <v>183.5</v>
      </c>
      <c r="K472" s="100">
        <v>21.3</v>
      </c>
      <c r="L472" s="100">
        <v>2.5499999999999998</v>
      </c>
      <c r="M472" s="100">
        <v>1.8</v>
      </c>
      <c r="N472" s="100">
        <v>3</v>
      </c>
      <c r="O472" s="98" t="s">
        <v>48</v>
      </c>
      <c r="P472" s="98">
        <v>1</v>
      </c>
      <c r="Q472" s="98">
        <v>5</v>
      </c>
      <c r="R472" s="98" t="s">
        <v>64</v>
      </c>
      <c r="S472" s="98" t="s">
        <v>50</v>
      </c>
      <c r="T472" s="98" t="s">
        <v>50</v>
      </c>
      <c r="U472" s="98" t="s">
        <v>50</v>
      </c>
      <c r="V472" s="98" t="s">
        <v>50</v>
      </c>
      <c r="W472" s="98" t="s">
        <v>50</v>
      </c>
      <c r="X472" s="98" t="s">
        <v>50</v>
      </c>
      <c r="Y472" s="622" t="s">
        <v>1410</v>
      </c>
    </row>
    <row r="473" spans="1:25" x14ac:dyDescent="0.25">
      <c r="A473" s="194">
        <v>44111</v>
      </c>
      <c r="B473" s="98" t="s">
        <v>87</v>
      </c>
      <c r="C473" s="98" t="s">
        <v>126</v>
      </c>
      <c r="D473" s="98">
        <v>38.251150000000003</v>
      </c>
      <c r="E473" s="98">
        <v>-121.72112</v>
      </c>
      <c r="F473" s="98" t="s">
        <v>1411</v>
      </c>
      <c r="G473" s="98" t="s">
        <v>90</v>
      </c>
      <c r="H473" s="98" t="s">
        <v>126</v>
      </c>
      <c r="I473" s="621">
        <v>0.36319444444444443</v>
      </c>
      <c r="J473" s="100">
        <v>169.9</v>
      </c>
      <c r="K473" s="100">
        <v>21.18</v>
      </c>
      <c r="L473" s="100">
        <v>5.89</v>
      </c>
      <c r="M473" s="100">
        <v>1.24</v>
      </c>
      <c r="N473" s="100">
        <v>5.6</v>
      </c>
      <c r="O473" s="98" t="s">
        <v>48</v>
      </c>
      <c r="P473" s="98">
        <v>4</v>
      </c>
      <c r="Q473" s="98">
        <v>10</v>
      </c>
      <c r="R473" s="98" t="s">
        <v>64</v>
      </c>
      <c r="S473" s="98" t="s">
        <v>50</v>
      </c>
      <c r="T473" s="98" t="s">
        <v>50</v>
      </c>
      <c r="U473" s="98" t="s">
        <v>50</v>
      </c>
      <c r="V473" s="98" t="s">
        <v>50</v>
      </c>
      <c r="W473" s="98" t="s">
        <v>50</v>
      </c>
      <c r="X473" s="98" t="s">
        <v>50</v>
      </c>
      <c r="Y473" s="622" t="s">
        <v>313</v>
      </c>
    </row>
    <row r="474" spans="1:25" x14ac:dyDescent="0.25">
      <c r="A474" s="194">
        <v>44111</v>
      </c>
      <c r="B474" s="98" t="s">
        <v>87</v>
      </c>
      <c r="C474" s="98" t="s">
        <v>126</v>
      </c>
      <c r="D474" s="98">
        <v>38.23471</v>
      </c>
      <c r="E474" s="98">
        <v>-121.68017</v>
      </c>
      <c r="F474" s="98" t="s">
        <v>1412</v>
      </c>
      <c r="G474" s="98" t="s">
        <v>90</v>
      </c>
      <c r="H474" s="98" t="s">
        <v>126</v>
      </c>
      <c r="I474" s="621">
        <v>0.41805555555555557</v>
      </c>
      <c r="J474" s="100">
        <v>141.35</v>
      </c>
      <c r="K474" s="100">
        <v>21.18</v>
      </c>
      <c r="L474" s="100">
        <v>6.59</v>
      </c>
      <c r="M474" s="100">
        <v>1.8</v>
      </c>
      <c r="N474" s="100">
        <v>14.27</v>
      </c>
      <c r="O474" s="98" t="s">
        <v>48</v>
      </c>
      <c r="P474" s="98">
        <v>4</v>
      </c>
      <c r="Q474" s="98">
        <v>10</v>
      </c>
      <c r="R474" s="98" t="s">
        <v>49</v>
      </c>
      <c r="S474" s="98" t="s">
        <v>50</v>
      </c>
      <c r="T474" s="98" t="s">
        <v>50</v>
      </c>
      <c r="U474" s="98" t="s">
        <v>50</v>
      </c>
      <c r="V474" s="98" t="s">
        <v>50</v>
      </c>
      <c r="W474" s="98" t="s">
        <v>50</v>
      </c>
      <c r="X474" s="98" t="s">
        <v>50</v>
      </c>
    </row>
    <row r="475" spans="1:25" x14ac:dyDescent="0.25">
      <c r="A475" s="194">
        <v>44111</v>
      </c>
      <c r="B475" s="98" t="s">
        <v>87</v>
      </c>
      <c r="C475" s="98" t="s">
        <v>88</v>
      </c>
      <c r="D475" s="98">
        <v>38.126939999999998</v>
      </c>
      <c r="E475" s="98">
        <v>-121.69602999999999</v>
      </c>
      <c r="F475" s="98" t="s">
        <v>1413</v>
      </c>
      <c r="G475" s="98" t="s">
        <v>90</v>
      </c>
      <c r="H475" s="98" t="s">
        <v>91</v>
      </c>
      <c r="I475" s="621">
        <v>0.36319444444444443</v>
      </c>
      <c r="J475" s="100">
        <v>544.57000000000005</v>
      </c>
      <c r="K475" s="100">
        <v>21.45</v>
      </c>
      <c r="L475" s="100">
        <v>7.19</v>
      </c>
      <c r="M475" s="100">
        <v>1.66</v>
      </c>
      <c r="N475" s="100">
        <v>10.220000000000001</v>
      </c>
      <c r="O475" s="98" t="s">
        <v>48</v>
      </c>
      <c r="P475" s="98">
        <v>4</v>
      </c>
      <c r="Q475" s="98">
        <v>10</v>
      </c>
      <c r="R475" s="98" t="s">
        <v>64</v>
      </c>
      <c r="S475" s="98" t="s">
        <v>50</v>
      </c>
      <c r="T475" s="98" t="s">
        <v>50</v>
      </c>
      <c r="U475" s="98" t="s">
        <v>50</v>
      </c>
      <c r="V475" s="98" t="s">
        <v>50</v>
      </c>
      <c r="W475" s="98" t="s">
        <v>50</v>
      </c>
      <c r="X475" s="98" t="s">
        <v>50</v>
      </c>
    </row>
    <row r="476" spans="1:25" x14ac:dyDescent="0.25">
      <c r="A476" s="194">
        <v>44111</v>
      </c>
      <c r="B476" s="98" t="s">
        <v>87</v>
      </c>
      <c r="C476" s="98" t="s">
        <v>88</v>
      </c>
      <c r="D476" s="98">
        <v>38.056199999999997</v>
      </c>
      <c r="E476" s="98">
        <v>-121.80325000000001</v>
      </c>
      <c r="F476" s="98" t="s">
        <v>1414</v>
      </c>
      <c r="G476" s="98" t="s">
        <v>27</v>
      </c>
      <c r="H476" s="98" t="s">
        <v>25</v>
      </c>
      <c r="I476" s="621">
        <v>0.48402777777777778</v>
      </c>
      <c r="J476" s="100">
        <v>6902.25</v>
      </c>
      <c r="K476" s="100">
        <v>21.2</v>
      </c>
      <c r="L476" s="100">
        <v>8.39</v>
      </c>
      <c r="M476" s="100">
        <v>1.3</v>
      </c>
      <c r="N476" s="100">
        <v>8.75</v>
      </c>
      <c r="O476" s="98" t="s">
        <v>48</v>
      </c>
      <c r="P476" s="98">
        <v>4</v>
      </c>
      <c r="Q476" s="98">
        <v>10</v>
      </c>
      <c r="R476" s="98" t="s">
        <v>49</v>
      </c>
      <c r="S476" s="98" t="s">
        <v>50</v>
      </c>
      <c r="T476" s="98" t="s">
        <v>50</v>
      </c>
      <c r="U476" s="98" t="s">
        <v>50</v>
      </c>
      <c r="V476" s="98" t="s">
        <v>50</v>
      </c>
      <c r="W476" s="98" t="s">
        <v>50</v>
      </c>
      <c r="X476" s="98" t="s">
        <v>50</v>
      </c>
    </row>
    <row r="477" spans="1:25" x14ac:dyDescent="0.25">
      <c r="A477" s="194">
        <v>44111</v>
      </c>
      <c r="B477" s="98" t="s">
        <v>87</v>
      </c>
      <c r="C477" s="98" t="s">
        <v>88</v>
      </c>
      <c r="D477" s="98">
        <v>38.061750000000004</v>
      </c>
      <c r="E477" s="98">
        <v>-121.79571</v>
      </c>
      <c r="F477" s="98" t="s">
        <v>1415</v>
      </c>
      <c r="G477" s="98" t="s">
        <v>27</v>
      </c>
      <c r="H477" s="98" t="s">
        <v>25</v>
      </c>
      <c r="I477" s="621">
        <v>0.4284722222222222</v>
      </c>
      <c r="J477" s="100">
        <v>6499</v>
      </c>
      <c r="K477" s="100">
        <v>21.15</v>
      </c>
      <c r="L477" s="100">
        <v>12.01</v>
      </c>
      <c r="M477" s="100">
        <v>1</v>
      </c>
      <c r="N477" s="100">
        <v>11.18</v>
      </c>
      <c r="O477" s="98" t="s">
        <v>48</v>
      </c>
      <c r="P477" s="98">
        <v>4</v>
      </c>
      <c r="Q477" s="98">
        <v>10</v>
      </c>
      <c r="R477" s="98" t="s">
        <v>49</v>
      </c>
      <c r="S477" s="98" t="s">
        <v>50</v>
      </c>
      <c r="T477" s="98" t="s">
        <v>50</v>
      </c>
      <c r="U477" s="98" t="s">
        <v>50</v>
      </c>
      <c r="V477" s="98" t="s">
        <v>50</v>
      </c>
      <c r="W477" s="98" t="s">
        <v>50</v>
      </c>
      <c r="X477" s="98" t="s">
        <v>50</v>
      </c>
    </row>
    <row r="478" spans="1:25" x14ac:dyDescent="0.25">
      <c r="A478" s="194">
        <v>44111</v>
      </c>
      <c r="B478" s="98" t="s">
        <v>87</v>
      </c>
      <c r="C478" s="98" t="s">
        <v>78</v>
      </c>
      <c r="D478" s="98">
        <v>38.096679999999999</v>
      </c>
      <c r="E478" s="98">
        <v>-122.06728</v>
      </c>
      <c r="F478" s="98" t="s">
        <v>1416</v>
      </c>
      <c r="G478" s="98" t="s">
        <v>27</v>
      </c>
      <c r="H478" s="98" t="s">
        <v>86</v>
      </c>
      <c r="I478" s="621">
        <v>0.51180555555555551</v>
      </c>
      <c r="J478" s="100">
        <v>20843.330000000002</v>
      </c>
      <c r="K478" s="100">
        <v>20.2</v>
      </c>
      <c r="L478" s="100">
        <v>31.17</v>
      </c>
      <c r="M478" s="100">
        <v>0.47</v>
      </c>
      <c r="N478" s="100">
        <v>4.57</v>
      </c>
      <c r="O478" s="98" t="s">
        <v>48</v>
      </c>
      <c r="P478" s="98">
        <v>3</v>
      </c>
      <c r="Q478" s="98">
        <v>10</v>
      </c>
      <c r="R478" s="98" t="s">
        <v>49</v>
      </c>
      <c r="S478" s="98" t="s">
        <v>50</v>
      </c>
      <c r="T478" s="98" t="s">
        <v>50</v>
      </c>
      <c r="U478" s="98" t="s">
        <v>50</v>
      </c>
      <c r="V478" s="98" t="s">
        <v>50</v>
      </c>
      <c r="W478" s="98" t="s">
        <v>50</v>
      </c>
      <c r="X478" s="98" t="s">
        <v>50</v>
      </c>
      <c r="Y478" s="622" t="s">
        <v>1417</v>
      </c>
    </row>
    <row r="479" spans="1:25" x14ac:dyDescent="0.25">
      <c r="A479" s="194">
        <v>44111</v>
      </c>
      <c r="B479" s="98" t="s">
        <v>87</v>
      </c>
      <c r="C479" s="98" t="s">
        <v>62</v>
      </c>
      <c r="D479" s="98">
        <v>38.073459999999997</v>
      </c>
      <c r="E479" s="98">
        <v>-121.87891</v>
      </c>
      <c r="F479" s="98" t="s">
        <v>1418</v>
      </c>
      <c r="G479" s="98" t="s">
        <v>27</v>
      </c>
      <c r="H479" s="98" t="s">
        <v>62</v>
      </c>
      <c r="I479" s="621">
        <v>0.33888888888888885</v>
      </c>
      <c r="J479" s="100">
        <v>8391</v>
      </c>
      <c r="K479" s="100">
        <v>20.73</v>
      </c>
      <c r="L479" s="100">
        <v>13.97</v>
      </c>
      <c r="M479" s="100">
        <v>0.72</v>
      </c>
      <c r="N479" s="100">
        <v>8.6999999999999993</v>
      </c>
      <c r="O479" s="98" t="s">
        <v>48</v>
      </c>
      <c r="P479" s="98">
        <v>4</v>
      </c>
      <c r="Q479" s="98">
        <v>10</v>
      </c>
      <c r="R479" s="98" t="s">
        <v>64</v>
      </c>
      <c r="S479" s="98" t="s">
        <v>50</v>
      </c>
      <c r="T479" s="98" t="s">
        <v>50</v>
      </c>
      <c r="U479" s="98" t="s">
        <v>50</v>
      </c>
      <c r="V479" s="98" t="s">
        <v>50</v>
      </c>
      <c r="W479" s="98" t="s">
        <v>50</v>
      </c>
      <c r="X479" s="98" t="s">
        <v>50</v>
      </c>
    </row>
    <row r="480" spans="1:25" x14ac:dyDescent="0.25">
      <c r="A480" s="194">
        <v>44111</v>
      </c>
      <c r="B480" s="98" t="s">
        <v>87</v>
      </c>
      <c r="C480" s="98" t="s">
        <v>62</v>
      </c>
      <c r="D480" s="98">
        <v>38.118699999999997</v>
      </c>
      <c r="E480" s="98">
        <v>-122.06125</v>
      </c>
      <c r="F480" s="98" t="s">
        <v>1419</v>
      </c>
      <c r="G480" s="98" t="s">
        <v>27</v>
      </c>
      <c r="H480" s="98" t="s">
        <v>62</v>
      </c>
      <c r="I480" s="621">
        <v>0.48819444444444443</v>
      </c>
      <c r="J480" s="100">
        <v>18489</v>
      </c>
      <c r="K480" s="100">
        <v>20.3</v>
      </c>
      <c r="L480" s="100">
        <v>19.5</v>
      </c>
      <c r="M480" s="100">
        <v>0.56000000000000005</v>
      </c>
      <c r="N480" s="100">
        <v>1.9</v>
      </c>
      <c r="O480" s="98" t="s">
        <v>48</v>
      </c>
      <c r="P480" s="98">
        <v>1</v>
      </c>
      <c r="Q480" s="98">
        <v>10</v>
      </c>
      <c r="R480" s="98" t="s">
        <v>49</v>
      </c>
      <c r="S480" s="98" t="s">
        <v>50</v>
      </c>
      <c r="T480" s="98" t="s">
        <v>50</v>
      </c>
      <c r="U480" s="98" t="s">
        <v>50</v>
      </c>
      <c r="V480" s="98" t="s">
        <v>50</v>
      </c>
      <c r="W480" s="98" t="s">
        <v>50</v>
      </c>
      <c r="X480" s="98" t="s">
        <v>50</v>
      </c>
      <c r="Y480" s="622" t="s">
        <v>1420</v>
      </c>
    </row>
    <row r="481" spans="1:25" x14ac:dyDescent="0.25">
      <c r="A481" s="194">
        <v>44111</v>
      </c>
      <c r="B481" s="98" t="s">
        <v>87</v>
      </c>
      <c r="C481" s="98" t="s">
        <v>62</v>
      </c>
      <c r="D481" s="98">
        <v>38.180300000000003</v>
      </c>
      <c r="E481" s="98">
        <v>-121.9958</v>
      </c>
      <c r="F481" s="98" t="s">
        <v>1421</v>
      </c>
      <c r="G481" s="98" t="s">
        <v>27</v>
      </c>
      <c r="H481" s="98" t="s">
        <v>62</v>
      </c>
      <c r="I481" s="621">
        <v>0.42638888888888887</v>
      </c>
      <c r="J481" s="100">
        <v>15117.75</v>
      </c>
      <c r="K481" s="100">
        <v>21.42</v>
      </c>
      <c r="L481" s="100">
        <v>16.7</v>
      </c>
      <c r="M481" s="100">
        <v>0.7</v>
      </c>
      <c r="N481" s="100">
        <v>11.25</v>
      </c>
      <c r="O481" s="98" t="s">
        <v>48</v>
      </c>
      <c r="P481" s="98">
        <v>4</v>
      </c>
      <c r="Q481" s="98">
        <v>10</v>
      </c>
      <c r="R481" s="98" t="s">
        <v>49</v>
      </c>
      <c r="S481" s="98" t="s">
        <v>50</v>
      </c>
      <c r="T481" s="98" t="s">
        <v>50</v>
      </c>
      <c r="U481" s="98" t="s">
        <v>50</v>
      </c>
      <c r="V481" s="98" t="s">
        <v>50</v>
      </c>
      <c r="W481" s="98" t="s">
        <v>50</v>
      </c>
      <c r="X481" s="98" t="s">
        <v>50</v>
      </c>
    </row>
    <row r="482" spans="1:25" x14ac:dyDescent="0.25">
      <c r="A482" s="194">
        <v>44112</v>
      </c>
      <c r="B482" s="98" t="s">
        <v>105</v>
      </c>
      <c r="C482" s="98" t="s">
        <v>126</v>
      </c>
      <c r="D482" s="98">
        <v>38.263660000000002</v>
      </c>
      <c r="E482" s="98">
        <v>-121.66994</v>
      </c>
      <c r="F482" s="98" t="s">
        <v>1422</v>
      </c>
      <c r="G482" s="98" t="s">
        <v>90</v>
      </c>
      <c r="H482" s="98" t="s">
        <v>126</v>
      </c>
      <c r="I482" s="621">
        <v>0.40902777777777777</v>
      </c>
      <c r="J482" s="100">
        <v>148.62</v>
      </c>
      <c r="K482" s="100">
        <v>20.6</v>
      </c>
      <c r="L482" s="100">
        <v>10.9</v>
      </c>
      <c r="M482" s="100">
        <v>1.5</v>
      </c>
      <c r="N482" s="100">
        <v>7.92</v>
      </c>
      <c r="O482" s="98" t="s">
        <v>48</v>
      </c>
      <c r="P482" s="98">
        <v>4</v>
      </c>
      <c r="Q482" s="98">
        <v>10</v>
      </c>
      <c r="R482" s="98" t="s">
        <v>64</v>
      </c>
      <c r="S482" s="98" t="s">
        <v>50</v>
      </c>
      <c r="T482" s="98" t="s">
        <v>50</v>
      </c>
      <c r="U482" s="98" t="s">
        <v>50</v>
      </c>
      <c r="V482" s="98" t="s">
        <v>50</v>
      </c>
      <c r="W482" s="98" t="s">
        <v>50</v>
      </c>
      <c r="X482" s="98" t="s">
        <v>50</v>
      </c>
      <c r="Y482" s="622" t="s">
        <v>1423</v>
      </c>
    </row>
    <row r="483" spans="1:25" s="815" customFormat="1" x14ac:dyDescent="0.25">
      <c r="A483" s="814">
        <v>44112</v>
      </c>
      <c r="B483" s="815" t="s">
        <v>105</v>
      </c>
      <c r="C483" s="815" t="s">
        <v>126</v>
      </c>
      <c r="D483" s="815">
        <v>38.398479999999999</v>
      </c>
      <c r="E483" s="815">
        <v>-121.62242000000001</v>
      </c>
      <c r="F483" s="815" t="s">
        <v>1424</v>
      </c>
      <c r="G483" s="815" t="s">
        <v>90</v>
      </c>
      <c r="H483" s="815" t="s">
        <v>126</v>
      </c>
      <c r="I483" s="816">
        <v>0.34791666666666665</v>
      </c>
      <c r="J483" s="817">
        <v>205.72</v>
      </c>
      <c r="K483" s="817">
        <v>20.9</v>
      </c>
      <c r="L483" s="817">
        <v>32.619999999999997</v>
      </c>
      <c r="M483" s="817">
        <v>0.36</v>
      </c>
      <c r="N483" s="817">
        <v>3.6</v>
      </c>
      <c r="O483" s="815" t="s">
        <v>48</v>
      </c>
      <c r="P483" s="815">
        <v>4</v>
      </c>
      <c r="Q483" s="815">
        <v>10</v>
      </c>
      <c r="R483" s="815" t="s">
        <v>64</v>
      </c>
      <c r="S483" s="819" t="s">
        <v>1425</v>
      </c>
      <c r="T483" s="815">
        <v>1</v>
      </c>
      <c r="U483" s="815">
        <v>525</v>
      </c>
      <c r="V483" s="815" t="s">
        <v>50</v>
      </c>
      <c r="W483" s="815" t="s">
        <v>50</v>
      </c>
      <c r="X483" s="815" t="s">
        <v>50</v>
      </c>
      <c r="Y483" s="818" t="s">
        <v>1426</v>
      </c>
    </row>
    <row r="484" spans="1:25" x14ac:dyDescent="0.25">
      <c r="A484" s="194">
        <v>44112</v>
      </c>
      <c r="B484" s="98" t="s">
        <v>105</v>
      </c>
      <c r="C484" s="98" t="s">
        <v>126</v>
      </c>
      <c r="D484" s="98">
        <v>38.23892</v>
      </c>
      <c r="E484" s="98">
        <v>-121.68474000000001</v>
      </c>
      <c r="F484" s="98" t="s">
        <v>1427</v>
      </c>
      <c r="G484" s="98" t="s">
        <v>90</v>
      </c>
      <c r="H484" s="98" t="s">
        <v>126</v>
      </c>
      <c r="I484" s="621">
        <v>0.46458333333333335</v>
      </c>
      <c r="J484" s="100">
        <v>138.12</v>
      </c>
      <c r="K484" s="100">
        <v>20.6</v>
      </c>
      <c r="L484" s="100">
        <v>6.79</v>
      </c>
      <c r="M484" s="100">
        <v>1.8</v>
      </c>
      <c r="N484" s="100">
        <v>12.1</v>
      </c>
      <c r="O484" s="98" t="s">
        <v>48</v>
      </c>
      <c r="P484" s="98">
        <v>4</v>
      </c>
      <c r="Q484" s="98">
        <v>10</v>
      </c>
      <c r="R484" s="98" t="s">
        <v>64</v>
      </c>
      <c r="S484" s="98" t="s">
        <v>50</v>
      </c>
      <c r="T484" s="98" t="s">
        <v>50</v>
      </c>
      <c r="U484" s="98" t="s">
        <v>50</v>
      </c>
      <c r="V484" s="98" t="s">
        <v>50</v>
      </c>
      <c r="W484" s="98" t="s">
        <v>50</v>
      </c>
      <c r="X484" s="98" t="s">
        <v>50</v>
      </c>
      <c r="Y484" s="622" t="s">
        <v>1428</v>
      </c>
    </row>
    <row r="485" spans="1:25" s="154" customFormat="1" x14ac:dyDescent="0.25">
      <c r="A485" s="195">
        <v>44112</v>
      </c>
      <c r="B485" s="154" t="s">
        <v>105</v>
      </c>
      <c r="C485" s="154" t="s">
        <v>126</v>
      </c>
      <c r="D485" s="154">
        <v>38.271929999999998</v>
      </c>
      <c r="E485" s="154">
        <v>-121.70757999999999</v>
      </c>
      <c r="F485" s="154" t="s">
        <v>1429</v>
      </c>
      <c r="G485" s="154" t="s">
        <v>90</v>
      </c>
      <c r="H485" s="154" t="s">
        <v>126</v>
      </c>
      <c r="I485" s="636">
        <v>0.33333333333333331</v>
      </c>
      <c r="J485" s="156" t="s">
        <v>50</v>
      </c>
      <c r="K485" s="156" t="s">
        <v>50</v>
      </c>
      <c r="L485" s="156" t="s">
        <v>50</v>
      </c>
      <c r="M485" s="156" t="s">
        <v>50</v>
      </c>
      <c r="N485" s="156" t="s">
        <v>50</v>
      </c>
      <c r="O485" s="154" t="s">
        <v>48</v>
      </c>
      <c r="P485" s="154">
        <v>0</v>
      </c>
      <c r="Q485" s="154" t="s">
        <v>50</v>
      </c>
      <c r="R485" s="154" t="s">
        <v>50</v>
      </c>
      <c r="S485" s="154" t="s">
        <v>50</v>
      </c>
      <c r="T485" s="154" t="s">
        <v>50</v>
      </c>
      <c r="U485" s="154" t="s">
        <v>50</v>
      </c>
      <c r="V485" s="154" t="s">
        <v>50</v>
      </c>
      <c r="W485" s="154" t="s">
        <v>50</v>
      </c>
      <c r="X485" s="154" t="s">
        <v>50</v>
      </c>
      <c r="Y485" s="627" t="s">
        <v>784</v>
      </c>
    </row>
    <row r="486" spans="1:25" x14ac:dyDescent="0.25">
      <c r="A486" s="194">
        <v>44112</v>
      </c>
      <c r="B486" s="98" t="s">
        <v>105</v>
      </c>
      <c r="C486" s="98" t="s">
        <v>88</v>
      </c>
      <c r="D486" s="98">
        <v>38.177199999999999</v>
      </c>
      <c r="E486" s="98">
        <v>-121.66217</v>
      </c>
      <c r="F486" s="98" t="s">
        <v>1430</v>
      </c>
      <c r="G486" s="98" t="s">
        <v>90</v>
      </c>
      <c r="H486" s="98" t="s">
        <v>91</v>
      </c>
      <c r="I486" s="621">
        <v>0.3659722222222222</v>
      </c>
      <c r="J486" s="100">
        <v>149.18</v>
      </c>
      <c r="K486" s="100">
        <v>20.7</v>
      </c>
      <c r="L486" s="100">
        <v>3.61</v>
      </c>
      <c r="M486" s="100">
        <v>1.8</v>
      </c>
      <c r="N486" s="100">
        <v>10.9</v>
      </c>
      <c r="O486" s="98" t="s">
        <v>48</v>
      </c>
      <c r="P486" s="98">
        <v>4</v>
      </c>
      <c r="Q486" s="98">
        <v>10</v>
      </c>
      <c r="R486" s="98" t="s">
        <v>64</v>
      </c>
      <c r="S486" s="98" t="s">
        <v>50</v>
      </c>
      <c r="T486" s="98" t="s">
        <v>50</v>
      </c>
      <c r="U486" s="98" t="s">
        <v>50</v>
      </c>
      <c r="V486" s="98" t="s">
        <v>50</v>
      </c>
      <c r="W486" s="98" t="s">
        <v>50</v>
      </c>
      <c r="X486" s="98" t="s">
        <v>50</v>
      </c>
    </row>
    <row r="487" spans="1:25" x14ac:dyDescent="0.25">
      <c r="A487" s="194">
        <v>44112</v>
      </c>
      <c r="B487" s="98" t="s">
        <v>105</v>
      </c>
      <c r="C487" s="98" t="s">
        <v>88</v>
      </c>
      <c r="D487" s="98">
        <v>38.10539</v>
      </c>
      <c r="E487" s="98">
        <v>-121.71211</v>
      </c>
      <c r="F487" s="98" t="s">
        <v>1431</v>
      </c>
      <c r="G487" s="98" t="s">
        <v>90</v>
      </c>
      <c r="H487" s="98" t="s">
        <v>91</v>
      </c>
      <c r="I487" s="621">
        <v>0.48749999999999999</v>
      </c>
      <c r="J487" s="98">
        <v>1326.25</v>
      </c>
      <c r="K487" s="100">
        <v>20.8</v>
      </c>
      <c r="L487" s="100">
        <v>9.65</v>
      </c>
      <c r="M487" s="100">
        <v>1.41</v>
      </c>
      <c r="N487" s="100">
        <v>4.1500000000000004</v>
      </c>
      <c r="O487" s="98" t="s">
        <v>48</v>
      </c>
      <c r="P487" s="98">
        <v>4</v>
      </c>
      <c r="Q487" s="98">
        <v>10</v>
      </c>
      <c r="R487" s="98" t="s">
        <v>49</v>
      </c>
      <c r="S487" s="98" t="s">
        <v>50</v>
      </c>
      <c r="T487" s="98" t="s">
        <v>50</v>
      </c>
      <c r="U487" s="98" t="s">
        <v>50</v>
      </c>
      <c r="V487" s="98" t="s">
        <v>50</v>
      </c>
      <c r="W487" s="98" t="s">
        <v>50</v>
      </c>
      <c r="X487" s="98" t="s">
        <v>50</v>
      </c>
    </row>
    <row r="488" spans="1:25" x14ac:dyDescent="0.25">
      <c r="A488" s="194">
        <v>44112</v>
      </c>
      <c r="B488" s="98" t="s">
        <v>105</v>
      </c>
      <c r="C488" s="98" t="s">
        <v>88</v>
      </c>
      <c r="D488" s="98">
        <v>38.072940000000003</v>
      </c>
      <c r="E488" s="98">
        <v>-121.77463</v>
      </c>
      <c r="F488" s="98" t="s">
        <v>1432</v>
      </c>
      <c r="G488" s="98" t="s">
        <v>27</v>
      </c>
      <c r="H488" s="98" t="s">
        <v>25</v>
      </c>
      <c r="I488" s="621">
        <v>0.4368055555555555</v>
      </c>
      <c r="J488" s="98">
        <v>5750.33</v>
      </c>
      <c r="K488" s="100">
        <v>20.5</v>
      </c>
      <c r="L488" s="100">
        <v>13.6</v>
      </c>
      <c r="M488" s="100">
        <v>0.94</v>
      </c>
      <c r="N488" s="100">
        <v>9.8699999999999992</v>
      </c>
      <c r="O488" s="98" t="s">
        <v>48</v>
      </c>
      <c r="P488" s="98">
        <v>3</v>
      </c>
      <c r="Q488" s="98">
        <v>10</v>
      </c>
      <c r="R488" s="98" t="s">
        <v>64</v>
      </c>
      <c r="S488" s="98" t="s">
        <v>50</v>
      </c>
      <c r="T488" s="98" t="s">
        <v>50</v>
      </c>
      <c r="U488" s="98" t="s">
        <v>50</v>
      </c>
      <c r="V488" s="98" t="s">
        <v>50</v>
      </c>
      <c r="W488" s="98" t="s">
        <v>50</v>
      </c>
      <c r="X488" s="98" t="s">
        <v>50</v>
      </c>
      <c r="Y488" s="622" t="s">
        <v>1417</v>
      </c>
    </row>
    <row r="489" spans="1:25" s="154" customFormat="1" x14ac:dyDescent="0.25">
      <c r="A489" s="195">
        <v>44112</v>
      </c>
      <c r="B489" s="154" t="s">
        <v>105</v>
      </c>
      <c r="C489" s="154" t="s">
        <v>62</v>
      </c>
      <c r="D489" s="154">
        <v>38.104170000000003</v>
      </c>
      <c r="E489" s="154">
        <v>-122.04617</v>
      </c>
      <c r="F489" s="154" t="s">
        <v>1433</v>
      </c>
      <c r="G489" s="154" t="s">
        <v>27</v>
      </c>
      <c r="H489" s="154" t="s">
        <v>173</v>
      </c>
      <c r="I489" s="636">
        <v>0.35902777777777778</v>
      </c>
      <c r="J489" s="156" t="s">
        <v>50</v>
      </c>
      <c r="K489" s="156" t="s">
        <v>50</v>
      </c>
      <c r="L489" s="156" t="s">
        <v>50</v>
      </c>
      <c r="M489" s="156" t="s">
        <v>50</v>
      </c>
      <c r="N489" s="156" t="s">
        <v>50</v>
      </c>
      <c r="O489" s="154" t="s">
        <v>48</v>
      </c>
      <c r="P489" s="154">
        <v>0</v>
      </c>
      <c r="Q489" s="154" t="s">
        <v>50</v>
      </c>
      <c r="R489" s="154" t="s">
        <v>50</v>
      </c>
      <c r="S489" s="154" t="s">
        <v>50</v>
      </c>
      <c r="T489" s="154" t="s">
        <v>50</v>
      </c>
      <c r="U489" s="154" t="s">
        <v>50</v>
      </c>
      <c r="V489" s="154" t="s">
        <v>50</v>
      </c>
      <c r="W489" s="154" t="s">
        <v>50</v>
      </c>
      <c r="X489" s="154" t="s">
        <v>50</v>
      </c>
      <c r="Y489" s="627" t="s">
        <v>1042</v>
      </c>
    </row>
    <row r="490" spans="1:25" s="154" customFormat="1" x14ac:dyDescent="0.25">
      <c r="A490" s="195">
        <v>44112</v>
      </c>
      <c r="B490" s="154" t="s">
        <v>105</v>
      </c>
      <c r="C490" s="154" t="s">
        <v>62</v>
      </c>
      <c r="D490" s="154">
        <v>38.105400000000003</v>
      </c>
      <c r="E490" s="154">
        <v>-122.03369000000001</v>
      </c>
      <c r="F490" s="154" t="s">
        <v>1434</v>
      </c>
      <c r="G490" s="154" t="s">
        <v>27</v>
      </c>
      <c r="H490" s="154" t="s">
        <v>173</v>
      </c>
      <c r="I490" s="636">
        <v>0.35555555555555557</v>
      </c>
      <c r="J490" s="156" t="s">
        <v>50</v>
      </c>
      <c r="K490" s="156" t="s">
        <v>50</v>
      </c>
      <c r="L490" s="156" t="s">
        <v>50</v>
      </c>
      <c r="M490" s="156" t="s">
        <v>50</v>
      </c>
      <c r="N490" s="156" t="s">
        <v>50</v>
      </c>
      <c r="O490" s="154" t="s">
        <v>48</v>
      </c>
      <c r="P490" s="154">
        <v>0</v>
      </c>
      <c r="Q490" s="154" t="s">
        <v>50</v>
      </c>
      <c r="R490" s="154" t="s">
        <v>50</v>
      </c>
      <c r="S490" s="154" t="s">
        <v>50</v>
      </c>
      <c r="T490" s="154" t="s">
        <v>50</v>
      </c>
      <c r="U490" s="154" t="s">
        <v>50</v>
      </c>
      <c r="V490" s="154" t="s">
        <v>50</v>
      </c>
      <c r="W490" s="154" t="s">
        <v>50</v>
      </c>
      <c r="X490" s="154" t="s">
        <v>50</v>
      </c>
      <c r="Y490" s="627" t="s">
        <v>1042</v>
      </c>
    </row>
    <row r="491" spans="1:25" s="154" customFormat="1" x14ac:dyDescent="0.25">
      <c r="A491" s="195">
        <v>44112</v>
      </c>
      <c r="B491" s="154" t="s">
        <v>105</v>
      </c>
      <c r="C491" s="154" t="s">
        <v>62</v>
      </c>
      <c r="D491" s="154">
        <v>38.1126</v>
      </c>
      <c r="E491" s="154">
        <v>-122.05755000000001</v>
      </c>
      <c r="F491" s="154" t="s">
        <v>1435</v>
      </c>
      <c r="G491" s="154" t="s">
        <v>27</v>
      </c>
      <c r="H491" s="154" t="s">
        <v>173</v>
      </c>
      <c r="I491" s="636">
        <v>0.3756944444444445</v>
      </c>
      <c r="J491" s="156" t="s">
        <v>50</v>
      </c>
      <c r="K491" s="156" t="s">
        <v>50</v>
      </c>
      <c r="L491" s="156" t="s">
        <v>50</v>
      </c>
      <c r="M491" s="156" t="s">
        <v>50</v>
      </c>
      <c r="N491" s="156" t="s">
        <v>50</v>
      </c>
      <c r="O491" s="154" t="s">
        <v>48</v>
      </c>
      <c r="P491" s="154">
        <v>0</v>
      </c>
      <c r="Q491" s="154" t="s">
        <v>50</v>
      </c>
      <c r="R491" s="154" t="s">
        <v>50</v>
      </c>
      <c r="S491" s="154" t="s">
        <v>50</v>
      </c>
      <c r="T491" s="154" t="s">
        <v>50</v>
      </c>
      <c r="U491" s="154" t="s">
        <v>50</v>
      </c>
      <c r="V491" s="154" t="s">
        <v>50</v>
      </c>
      <c r="W491" s="154" t="s">
        <v>50</v>
      </c>
      <c r="X491" s="154" t="s">
        <v>50</v>
      </c>
      <c r="Y491" s="627" t="s">
        <v>1042</v>
      </c>
    </row>
    <row r="492" spans="1:25" x14ac:dyDescent="0.25">
      <c r="A492" s="194">
        <v>44112</v>
      </c>
      <c r="B492" s="98" t="s">
        <v>105</v>
      </c>
      <c r="C492" s="98" t="s">
        <v>62</v>
      </c>
      <c r="D492" s="98">
        <v>38.182400000000001</v>
      </c>
      <c r="E492" s="98">
        <v>-122.05336</v>
      </c>
      <c r="F492" s="98" t="s">
        <v>1436</v>
      </c>
      <c r="G492" s="98" t="s">
        <v>27</v>
      </c>
      <c r="H492" s="98" t="s">
        <v>62</v>
      </c>
      <c r="I492" s="621">
        <v>0.42569444444444443</v>
      </c>
      <c r="J492" s="98">
        <v>15837.75</v>
      </c>
      <c r="K492" s="100">
        <v>20.57</v>
      </c>
      <c r="L492" s="100">
        <v>27.15</v>
      </c>
      <c r="M492" s="100">
        <v>0.61</v>
      </c>
      <c r="N492" s="100">
        <v>5.42</v>
      </c>
      <c r="O492" s="98" t="s">
        <v>48</v>
      </c>
      <c r="P492" s="98">
        <v>4</v>
      </c>
      <c r="Q492" s="98">
        <v>10</v>
      </c>
      <c r="R492" s="98" t="s">
        <v>49</v>
      </c>
      <c r="S492" s="98" t="s">
        <v>50</v>
      </c>
      <c r="T492" s="98" t="s">
        <v>50</v>
      </c>
      <c r="U492" s="98" t="s">
        <v>50</v>
      </c>
      <c r="V492" s="98" t="s">
        <v>50</v>
      </c>
      <c r="W492" s="98" t="s">
        <v>50</v>
      </c>
      <c r="X492" s="98" t="s">
        <v>50</v>
      </c>
    </row>
    <row r="493" spans="1:25" s="154" customFormat="1" x14ac:dyDescent="0.25">
      <c r="A493" s="195">
        <v>44112</v>
      </c>
      <c r="B493" s="154" t="s">
        <v>105</v>
      </c>
      <c r="C493" s="154" t="s">
        <v>62</v>
      </c>
      <c r="D493" s="154">
        <v>38.121470000000002</v>
      </c>
      <c r="E493" s="154">
        <v>-122.07416000000001</v>
      </c>
      <c r="F493" s="154" t="s">
        <v>1437</v>
      </c>
      <c r="G493" s="154" t="s">
        <v>27</v>
      </c>
      <c r="H493" s="154" t="s">
        <v>62</v>
      </c>
      <c r="I493" s="636">
        <v>0.35902777777777778</v>
      </c>
      <c r="J493" s="156" t="s">
        <v>50</v>
      </c>
      <c r="K493" s="156" t="s">
        <v>50</v>
      </c>
      <c r="L493" s="156" t="s">
        <v>50</v>
      </c>
      <c r="M493" s="156" t="s">
        <v>50</v>
      </c>
      <c r="N493" s="156" t="s">
        <v>50</v>
      </c>
      <c r="O493" s="154" t="s">
        <v>48</v>
      </c>
      <c r="P493" s="154">
        <v>0</v>
      </c>
      <c r="Q493" s="154" t="s">
        <v>50</v>
      </c>
      <c r="R493" s="154" t="s">
        <v>50</v>
      </c>
      <c r="S493" s="154" t="s">
        <v>50</v>
      </c>
      <c r="T493" s="154" t="s">
        <v>50</v>
      </c>
      <c r="U493" s="154" t="s">
        <v>50</v>
      </c>
      <c r="V493" s="154" t="s">
        <v>50</v>
      </c>
      <c r="W493" s="154" t="s">
        <v>50</v>
      </c>
      <c r="X493" s="154" t="s">
        <v>50</v>
      </c>
      <c r="Y493" s="627" t="s">
        <v>734</v>
      </c>
    </row>
    <row r="494" spans="1:25" s="154" customFormat="1" x14ac:dyDescent="0.25">
      <c r="A494" s="195">
        <v>44112</v>
      </c>
      <c r="B494" s="154" t="s">
        <v>105</v>
      </c>
      <c r="C494" s="154" t="s">
        <v>62</v>
      </c>
      <c r="D494" s="154">
        <v>38.145069999999997</v>
      </c>
      <c r="E494" s="154">
        <v>-122.06842</v>
      </c>
      <c r="F494" s="154" t="s">
        <v>1438</v>
      </c>
      <c r="G494" s="154" t="s">
        <v>27</v>
      </c>
      <c r="H494" s="154" t="s">
        <v>62</v>
      </c>
      <c r="I494" s="636">
        <v>0.37638888888888888</v>
      </c>
      <c r="J494" s="156" t="s">
        <v>50</v>
      </c>
      <c r="K494" s="156" t="s">
        <v>50</v>
      </c>
      <c r="L494" s="156" t="s">
        <v>50</v>
      </c>
      <c r="M494" s="156" t="s">
        <v>50</v>
      </c>
      <c r="N494" s="156" t="s">
        <v>50</v>
      </c>
      <c r="O494" s="154" t="s">
        <v>48</v>
      </c>
      <c r="P494" s="154">
        <v>0</v>
      </c>
      <c r="Q494" s="154" t="s">
        <v>50</v>
      </c>
      <c r="R494" s="154" t="s">
        <v>50</v>
      </c>
      <c r="S494" s="154" t="s">
        <v>50</v>
      </c>
      <c r="T494" s="154" t="s">
        <v>50</v>
      </c>
      <c r="U494" s="154" t="s">
        <v>50</v>
      </c>
      <c r="V494" s="154" t="s">
        <v>50</v>
      </c>
      <c r="W494" s="154" t="s">
        <v>50</v>
      </c>
      <c r="X494" s="154" t="s">
        <v>50</v>
      </c>
      <c r="Y494" s="627" t="s">
        <v>734</v>
      </c>
    </row>
    <row r="495" spans="1:25" x14ac:dyDescent="0.25">
      <c r="A495" s="194">
        <v>44112</v>
      </c>
      <c r="B495" s="98" t="s">
        <v>105</v>
      </c>
      <c r="C495" s="98" t="s">
        <v>62</v>
      </c>
      <c r="D495" s="98">
        <v>38.172080000000001</v>
      </c>
      <c r="E495" s="98">
        <v>38.171259999999997</v>
      </c>
      <c r="F495" s="98" t="s">
        <v>1439</v>
      </c>
      <c r="G495" s="98" t="s">
        <v>27</v>
      </c>
      <c r="H495" s="98" t="s">
        <v>62</v>
      </c>
      <c r="I495" s="621">
        <v>0.49027777777777781</v>
      </c>
      <c r="J495" s="98">
        <v>12786</v>
      </c>
      <c r="K495" s="100">
        <v>21.05</v>
      </c>
      <c r="L495" s="100">
        <v>18.920000000000002</v>
      </c>
      <c r="M495" s="100">
        <v>0.81</v>
      </c>
      <c r="N495" s="100">
        <v>9.9499999999999993</v>
      </c>
      <c r="O495" s="98" t="s">
        <v>48</v>
      </c>
      <c r="P495" s="98">
        <v>4</v>
      </c>
      <c r="Q495" s="98">
        <v>10</v>
      </c>
      <c r="R495" s="98" t="s">
        <v>49</v>
      </c>
      <c r="S495" s="98" t="s">
        <v>50</v>
      </c>
      <c r="T495" s="98" t="s">
        <v>50</v>
      </c>
      <c r="U495" s="98" t="s">
        <v>50</v>
      </c>
      <c r="V495" s="98" t="s">
        <v>50</v>
      </c>
      <c r="W495" s="98" t="s">
        <v>50</v>
      </c>
      <c r="X495" s="98" t="s">
        <v>50</v>
      </c>
    </row>
    <row r="496" spans="1:25" x14ac:dyDescent="0.25">
      <c r="A496" s="194">
        <v>44112</v>
      </c>
      <c r="B496" s="98" t="s">
        <v>105</v>
      </c>
      <c r="C496" s="98" t="s">
        <v>62</v>
      </c>
      <c r="D496" s="98">
        <v>38.172130000000003</v>
      </c>
      <c r="E496" s="98">
        <v>-122.05853999999999</v>
      </c>
      <c r="F496" s="98" t="s">
        <v>1440</v>
      </c>
      <c r="G496" s="98" t="s">
        <v>27</v>
      </c>
      <c r="H496" s="98" t="s">
        <v>62</v>
      </c>
      <c r="I496" s="621">
        <v>0.3756944444444445</v>
      </c>
      <c r="J496" s="98">
        <v>13666.25</v>
      </c>
      <c r="K496" s="100">
        <v>20.2</v>
      </c>
      <c r="L496" s="100">
        <v>16.399999999999999</v>
      </c>
      <c r="M496" s="100">
        <v>0.79</v>
      </c>
      <c r="N496" s="100">
        <v>9.07</v>
      </c>
      <c r="O496" s="98" t="s">
        <v>48</v>
      </c>
      <c r="P496" s="98">
        <v>4</v>
      </c>
      <c r="Q496" s="98">
        <v>10</v>
      </c>
      <c r="R496" s="98" t="s">
        <v>64</v>
      </c>
      <c r="S496" s="98" t="s">
        <v>50</v>
      </c>
      <c r="T496" s="98" t="s">
        <v>50</v>
      </c>
      <c r="U496" s="98" t="s">
        <v>50</v>
      </c>
      <c r="V496" s="98" t="s">
        <v>50</v>
      </c>
      <c r="W496" s="98" t="s">
        <v>50</v>
      </c>
      <c r="X496" s="98" t="s">
        <v>50</v>
      </c>
    </row>
    <row r="497" spans="1:25" s="362" customFormat="1" x14ac:dyDescent="0.25">
      <c r="A497" s="360">
        <v>44112</v>
      </c>
      <c r="B497" s="362" t="s">
        <v>105</v>
      </c>
      <c r="C497" s="362" t="s">
        <v>62</v>
      </c>
      <c r="D497" s="362">
        <v>38.174259999999997</v>
      </c>
      <c r="E497" s="362">
        <v>-121.92417</v>
      </c>
      <c r="F497" s="362" t="s">
        <v>1441</v>
      </c>
      <c r="G497" s="362" t="s">
        <v>27</v>
      </c>
      <c r="H497" s="362" t="s">
        <v>62</v>
      </c>
      <c r="I497" s="618">
        <v>0.54583333333333328</v>
      </c>
      <c r="J497" s="364">
        <v>11361</v>
      </c>
      <c r="K497" s="364">
        <v>20.2</v>
      </c>
      <c r="L497" s="364">
        <v>19.100000000000001</v>
      </c>
      <c r="M497" s="364">
        <v>0.71</v>
      </c>
      <c r="N497" s="364">
        <v>4.3499999999999996</v>
      </c>
      <c r="O497" s="362" t="s">
        <v>48</v>
      </c>
      <c r="P497" s="362">
        <v>2</v>
      </c>
      <c r="Q497" s="362">
        <v>10</v>
      </c>
      <c r="R497" s="362" t="s">
        <v>49</v>
      </c>
      <c r="S497" s="362" t="s">
        <v>50</v>
      </c>
      <c r="T497" s="362" t="s">
        <v>50</v>
      </c>
      <c r="U497" s="362" t="s">
        <v>50</v>
      </c>
      <c r="V497" s="362" t="s">
        <v>50</v>
      </c>
      <c r="W497" s="362" t="s">
        <v>50</v>
      </c>
      <c r="X497" s="362" t="s">
        <v>50</v>
      </c>
      <c r="Y497" s="603" t="s">
        <v>1442</v>
      </c>
    </row>
    <row r="498" spans="1:25" x14ac:dyDescent="0.25">
      <c r="A498" s="194">
        <v>44117</v>
      </c>
      <c r="B498" s="98" t="s">
        <v>70</v>
      </c>
      <c r="C498" s="98" t="s">
        <v>95</v>
      </c>
      <c r="D498" s="98">
        <v>38.047150000000002</v>
      </c>
      <c r="E498" s="98">
        <v>-121.50291</v>
      </c>
      <c r="F498" s="98" t="s">
        <v>1443</v>
      </c>
      <c r="G498" s="98" t="s">
        <v>46</v>
      </c>
      <c r="H498" s="98" t="s">
        <v>115</v>
      </c>
      <c r="I498" s="621">
        <v>0.35972222222222222</v>
      </c>
      <c r="J498" s="100">
        <v>256.89999999999998</v>
      </c>
      <c r="K498" s="100">
        <v>20.77</v>
      </c>
      <c r="L498" s="100">
        <v>4.8099999999999996</v>
      </c>
      <c r="M498" s="100" t="s">
        <v>1233</v>
      </c>
      <c r="N498" s="100">
        <v>11.15</v>
      </c>
      <c r="O498" s="98" t="s">
        <v>48</v>
      </c>
      <c r="P498" s="98">
        <v>4</v>
      </c>
      <c r="Q498" s="98">
        <v>10</v>
      </c>
      <c r="R498" s="98" t="s">
        <v>49</v>
      </c>
      <c r="S498" s="98" t="s">
        <v>50</v>
      </c>
      <c r="T498" s="98" t="s">
        <v>50</v>
      </c>
      <c r="U498" s="98" t="s">
        <v>50</v>
      </c>
      <c r="V498" s="98" t="s">
        <v>50</v>
      </c>
      <c r="W498" s="98" t="s">
        <v>50</v>
      </c>
      <c r="X498" s="98" t="s">
        <v>50</v>
      </c>
    </row>
    <row r="499" spans="1:25" x14ac:dyDescent="0.25">
      <c r="A499" s="194">
        <v>44117</v>
      </c>
      <c r="B499" s="98" t="s">
        <v>70</v>
      </c>
      <c r="C499" s="98" t="s">
        <v>95</v>
      </c>
      <c r="D499" s="98">
        <v>38.080440000000003</v>
      </c>
      <c r="E499" s="98">
        <v>-121.57118</v>
      </c>
      <c r="F499" s="98" t="s">
        <v>1444</v>
      </c>
      <c r="G499" s="98" t="s">
        <v>46</v>
      </c>
      <c r="H499" s="98" t="s">
        <v>115</v>
      </c>
      <c r="I499" s="621">
        <v>0.41388888888888892</v>
      </c>
      <c r="J499" s="100">
        <v>290.88</v>
      </c>
      <c r="K499" s="100">
        <v>20.53</v>
      </c>
      <c r="L499" s="100">
        <v>3.89</v>
      </c>
      <c r="M499" s="100" t="s">
        <v>1233</v>
      </c>
      <c r="N499" s="100">
        <v>13.28</v>
      </c>
      <c r="O499" s="98" t="s">
        <v>48</v>
      </c>
      <c r="P499" s="98">
        <v>4</v>
      </c>
      <c r="Q499" s="98">
        <v>10</v>
      </c>
      <c r="R499" s="98" t="s">
        <v>49</v>
      </c>
      <c r="S499" s="98" t="s">
        <v>50</v>
      </c>
      <c r="T499" s="98" t="s">
        <v>50</v>
      </c>
      <c r="U499" s="98" t="s">
        <v>50</v>
      </c>
      <c r="V499" s="98" t="s">
        <v>50</v>
      </c>
      <c r="W499" s="98" t="s">
        <v>50</v>
      </c>
      <c r="X499" s="98" t="s">
        <v>50</v>
      </c>
      <c r="Y499" s="622" t="s">
        <v>1445</v>
      </c>
    </row>
    <row r="500" spans="1:25" x14ac:dyDescent="0.25">
      <c r="A500" s="194">
        <v>44117</v>
      </c>
      <c r="B500" s="98" t="s">
        <v>70</v>
      </c>
      <c r="C500" s="98" t="s">
        <v>95</v>
      </c>
      <c r="D500" s="98">
        <v>38.086010000000002</v>
      </c>
      <c r="E500" s="98">
        <v>-121.56525000000001</v>
      </c>
      <c r="F500" s="98" t="s">
        <v>1446</v>
      </c>
      <c r="G500" s="98" t="s">
        <v>46</v>
      </c>
      <c r="H500" s="98" t="s">
        <v>115</v>
      </c>
      <c r="I500" s="621">
        <v>0.4604166666666667</v>
      </c>
      <c r="J500" s="100">
        <v>235.83</v>
      </c>
      <c r="K500" s="100">
        <v>20.350000000000001</v>
      </c>
      <c r="L500" s="100">
        <v>4.92</v>
      </c>
      <c r="M500" s="100" t="s">
        <v>1233</v>
      </c>
      <c r="N500" s="100">
        <v>7.8</v>
      </c>
      <c r="O500" s="98" t="s">
        <v>48</v>
      </c>
      <c r="P500" s="98">
        <v>4</v>
      </c>
      <c r="Q500" s="98">
        <v>10</v>
      </c>
      <c r="R500" s="98" t="s">
        <v>64</v>
      </c>
      <c r="S500" s="98" t="s">
        <v>50</v>
      </c>
      <c r="T500" s="98" t="s">
        <v>50</v>
      </c>
      <c r="U500" s="98" t="s">
        <v>50</v>
      </c>
      <c r="V500" s="98" t="s">
        <v>50</v>
      </c>
      <c r="W500" s="98" t="s">
        <v>50</v>
      </c>
      <c r="X500" s="98" t="s">
        <v>50</v>
      </c>
    </row>
    <row r="501" spans="1:25" x14ac:dyDescent="0.25">
      <c r="A501" s="194">
        <v>44117</v>
      </c>
      <c r="B501" s="98" t="s">
        <v>70</v>
      </c>
      <c r="C501" s="98" t="s">
        <v>106</v>
      </c>
      <c r="D501" s="98">
        <v>38.557290000000002</v>
      </c>
      <c r="E501" s="98">
        <v>-121.57319</v>
      </c>
      <c r="F501" s="98" t="s">
        <v>1447</v>
      </c>
      <c r="G501" s="98" t="s">
        <v>90</v>
      </c>
      <c r="H501" s="98" t="s">
        <v>158</v>
      </c>
      <c r="I501" s="621">
        <v>0.37222222222222223</v>
      </c>
      <c r="J501" s="100">
        <v>997.75</v>
      </c>
      <c r="K501" s="100">
        <v>21.53</v>
      </c>
      <c r="L501" s="100">
        <v>9.3699999999999992</v>
      </c>
      <c r="M501" s="100">
        <v>1.1000000000000001</v>
      </c>
      <c r="N501" s="100">
        <v>10.4</v>
      </c>
      <c r="O501" s="98" t="s">
        <v>48</v>
      </c>
      <c r="P501" s="98">
        <v>4</v>
      </c>
      <c r="Q501" s="98">
        <v>10</v>
      </c>
      <c r="R501" s="98" t="s">
        <v>64</v>
      </c>
      <c r="S501" s="98" t="s">
        <v>50</v>
      </c>
      <c r="T501" s="98" t="s">
        <v>50</v>
      </c>
      <c r="U501" s="98" t="s">
        <v>50</v>
      </c>
      <c r="V501" s="98" t="s">
        <v>50</v>
      </c>
      <c r="W501" s="98" t="s">
        <v>50</v>
      </c>
      <c r="X501" s="98" t="s">
        <v>50</v>
      </c>
    </row>
    <row r="502" spans="1:25" x14ac:dyDescent="0.25">
      <c r="A502" s="194">
        <v>44117</v>
      </c>
      <c r="B502" s="98" t="s">
        <v>70</v>
      </c>
      <c r="C502" s="98" t="s">
        <v>106</v>
      </c>
      <c r="D502" s="98">
        <v>38.536819999999999</v>
      </c>
      <c r="E502" s="98">
        <v>-121.58489</v>
      </c>
      <c r="F502" s="98" t="s">
        <v>1448</v>
      </c>
      <c r="G502" s="98" t="s">
        <v>90</v>
      </c>
      <c r="H502" s="98" t="s">
        <v>158</v>
      </c>
      <c r="I502" s="621">
        <v>0.43402777777777773</v>
      </c>
      <c r="J502" s="100">
        <v>969.75</v>
      </c>
      <c r="K502" s="100">
        <v>21.37</v>
      </c>
      <c r="L502" s="100">
        <v>14.22</v>
      </c>
      <c r="M502" s="100">
        <v>0.79</v>
      </c>
      <c r="N502" s="100">
        <v>9.85</v>
      </c>
      <c r="O502" s="98" t="s">
        <v>48</v>
      </c>
      <c r="P502" s="98">
        <v>4</v>
      </c>
      <c r="Q502" s="98">
        <v>10</v>
      </c>
      <c r="R502" s="98" t="s">
        <v>64</v>
      </c>
      <c r="S502" s="98" t="s">
        <v>50</v>
      </c>
      <c r="T502" s="98" t="s">
        <v>50</v>
      </c>
      <c r="U502" s="98" t="s">
        <v>50</v>
      </c>
      <c r="V502" s="98" t="s">
        <v>50</v>
      </c>
      <c r="W502" s="98" t="s">
        <v>50</v>
      </c>
      <c r="X502" s="98" t="s">
        <v>50</v>
      </c>
    </row>
    <row r="503" spans="1:25" x14ac:dyDescent="0.25">
      <c r="A503" s="194">
        <v>44117</v>
      </c>
      <c r="B503" s="98" t="s">
        <v>70</v>
      </c>
      <c r="C503" s="98" t="s">
        <v>106</v>
      </c>
      <c r="D503" s="98">
        <v>38.251719999999999</v>
      </c>
      <c r="E503" s="98">
        <v>-121.66828</v>
      </c>
      <c r="F503" s="98" t="s">
        <v>1449</v>
      </c>
      <c r="G503" s="98" t="s">
        <v>90</v>
      </c>
      <c r="H503" s="98" t="s">
        <v>108</v>
      </c>
      <c r="I503" s="621">
        <v>0.52013888888888882</v>
      </c>
      <c r="J503" s="100">
        <v>143.55000000000001</v>
      </c>
      <c r="K503" s="100">
        <v>19.3</v>
      </c>
      <c r="L503" s="100">
        <v>10.69</v>
      </c>
      <c r="M503" s="100">
        <v>1.37</v>
      </c>
      <c r="N503" s="100">
        <v>10.3</v>
      </c>
      <c r="O503" s="98" t="s">
        <v>48</v>
      </c>
      <c r="P503" s="98">
        <v>4</v>
      </c>
      <c r="Q503" s="98">
        <v>10</v>
      </c>
      <c r="R503" s="98" t="s">
        <v>64</v>
      </c>
      <c r="S503" s="98" t="s">
        <v>50</v>
      </c>
      <c r="T503" s="98" t="s">
        <v>50</v>
      </c>
      <c r="U503" s="98" t="s">
        <v>50</v>
      </c>
      <c r="V503" s="98" t="s">
        <v>50</v>
      </c>
      <c r="W503" s="98" t="s">
        <v>50</v>
      </c>
      <c r="X503" s="98" t="s">
        <v>50</v>
      </c>
    </row>
    <row r="504" spans="1:25" x14ac:dyDescent="0.25">
      <c r="A504" s="194">
        <v>44117</v>
      </c>
      <c r="B504" s="98" t="s">
        <v>70</v>
      </c>
      <c r="C504" s="98" t="s">
        <v>62</v>
      </c>
      <c r="D504" s="98">
        <v>38.115070000000003</v>
      </c>
      <c r="E504" s="98">
        <v>-121.89060000000001</v>
      </c>
      <c r="F504" s="98" t="s">
        <v>1450</v>
      </c>
      <c r="G504" s="98" t="s">
        <v>27</v>
      </c>
      <c r="H504" s="98" t="s">
        <v>62</v>
      </c>
      <c r="I504" s="621">
        <v>0.37013888888888885</v>
      </c>
      <c r="J504" s="100">
        <v>10716.25</v>
      </c>
      <c r="K504" s="100">
        <v>19.7</v>
      </c>
      <c r="L504" s="100">
        <v>17.149999999999999</v>
      </c>
      <c r="M504" s="100">
        <v>0.73</v>
      </c>
      <c r="N504" s="100">
        <v>4.05</v>
      </c>
      <c r="O504" s="98" t="s">
        <v>48</v>
      </c>
      <c r="P504" s="98">
        <v>4</v>
      </c>
      <c r="Q504" s="98">
        <v>10</v>
      </c>
      <c r="R504" s="98" t="s">
        <v>49</v>
      </c>
      <c r="S504" s="98" t="s">
        <v>50</v>
      </c>
      <c r="T504" s="98" t="s">
        <v>50</v>
      </c>
      <c r="U504" s="98" t="s">
        <v>50</v>
      </c>
      <c r="V504" s="98" t="s">
        <v>50</v>
      </c>
      <c r="W504" s="98" t="s">
        <v>50</v>
      </c>
      <c r="X504" s="98" t="s">
        <v>50</v>
      </c>
    </row>
    <row r="505" spans="1:25" x14ac:dyDescent="0.25">
      <c r="A505" s="194">
        <v>44117</v>
      </c>
      <c r="B505" s="98" t="s">
        <v>70</v>
      </c>
      <c r="C505" s="98" t="s">
        <v>62</v>
      </c>
      <c r="D505" s="98">
        <v>38.170380000000002</v>
      </c>
      <c r="E505" s="98">
        <v>-122.02852</v>
      </c>
      <c r="F505" s="98" t="s">
        <v>1451</v>
      </c>
      <c r="G505" s="98" t="s">
        <v>27</v>
      </c>
      <c r="H505" s="98" t="s">
        <v>62</v>
      </c>
      <c r="I505" s="621">
        <v>0.4381944444444445</v>
      </c>
      <c r="J505" s="100">
        <v>13830.75</v>
      </c>
      <c r="K505" s="100">
        <v>19.87</v>
      </c>
      <c r="L505" s="100">
        <v>22.25</v>
      </c>
      <c r="M505" s="100">
        <v>0.52</v>
      </c>
      <c r="N505" s="100">
        <v>8.9</v>
      </c>
      <c r="O505" s="98" t="s">
        <v>48</v>
      </c>
      <c r="P505" s="98">
        <v>4</v>
      </c>
      <c r="Q505" s="98">
        <v>10</v>
      </c>
      <c r="R505" s="98" t="s">
        <v>64</v>
      </c>
      <c r="S505" s="98" t="s">
        <v>50</v>
      </c>
      <c r="T505" s="98" t="s">
        <v>50</v>
      </c>
      <c r="U505" s="98" t="s">
        <v>50</v>
      </c>
      <c r="V505" s="98" t="s">
        <v>50</v>
      </c>
      <c r="W505" s="98" t="s">
        <v>50</v>
      </c>
      <c r="X505" s="98" t="s">
        <v>50</v>
      </c>
    </row>
    <row r="506" spans="1:25" x14ac:dyDescent="0.25">
      <c r="A506" s="194">
        <v>44117</v>
      </c>
      <c r="B506" s="98" t="s">
        <v>70</v>
      </c>
      <c r="C506" s="98" t="s">
        <v>62</v>
      </c>
      <c r="D506" s="98">
        <v>38.16236</v>
      </c>
      <c r="E506" s="98">
        <v>-122.06159</v>
      </c>
      <c r="F506" s="98" t="s">
        <v>1452</v>
      </c>
      <c r="G506" s="98" t="s">
        <v>27</v>
      </c>
      <c r="H506" s="98" t="s">
        <v>62</v>
      </c>
      <c r="I506" s="621">
        <v>0.49513888888888885</v>
      </c>
      <c r="J506" s="100">
        <v>17539.5</v>
      </c>
      <c r="K506" s="100">
        <v>19.45</v>
      </c>
      <c r="L506" s="100">
        <v>48.57</v>
      </c>
      <c r="M506" s="100">
        <v>0.39</v>
      </c>
      <c r="N506" s="100">
        <v>6.47</v>
      </c>
      <c r="O506" s="98" t="s">
        <v>48</v>
      </c>
      <c r="P506" s="98">
        <v>4</v>
      </c>
      <c r="Q506" s="98">
        <v>10</v>
      </c>
      <c r="R506" s="98" t="s">
        <v>64</v>
      </c>
      <c r="S506" s="98" t="s">
        <v>50</v>
      </c>
      <c r="T506" s="98" t="s">
        <v>50</v>
      </c>
      <c r="U506" s="98" t="s">
        <v>50</v>
      </c>
      <c r="V506" s="98" t="s">
        <v>50</v>
      </c>
      <c r="W506" s="98" t="s">
        <v>50</v>
      </c>
      <c r="X506" s="98" t="s">
        <v>50</v>
      </c>
    </row>
    <row r="507" spans="1:25" x14ac:dyDescent="0.25">
      <c r="A507" s="194">
        <v>44118</v>
      </c>
      <c r="B507" s="98" t="s">
        <v>87</v>
      </c>
      <c r="C507" s="98" t="s">
        <v>126</v>
      </c>
      <c r="D507" s="98">
        <v>38.25732</v>
      </c>
      <c r="E507" s="98">
        <v>-121.72826999999999</v>
      </c>
      <c r="F507" s="98" t="s">
        <v>1453</v>
      </c>
      <c r="G507" s="98" t="s">
        <v>90</v>
      </c>
      <c r="H507" s="98" t="s">
        <v>126</v>
      </c>
      <c r="I507" s="621">
        <v>0.34236111111111112</v>
      </c>
      <c r="J507" s="100">
        <v>167.25</v>
      </c>
      <c r="K507" s="100">
        <v>19.399999999999999</v>
      </c>
      <c r="L507" s="100">
        <v>5.8</v>
      </c>
      <c r="M507" s="100">
        <v>1.56</v>
      </c>
      <c r="N507" s="100">
        <v>5.15</v>
      </c>
      <c r="O507" s="98" t="s">
        <v>48</v>
      </c>
      <c r="P507" s="98">
        <v>4</v>
      </c>
      <c r="Q507" s="98">
        <v>10</v>
      </c>
      <c r="R507" s="98" t="s">
        <v>49</v>
      </c>
      <c r="S507" s="98" t="s">
        <v>50</v>
      </c>
      <c r="T507" s="98" t="s">
        <v>50</v>
      </c>
      <c r="U507" s="98" t="s">
        <v>50</v>
      </c>
      <c r="V507" s="98" t="s">
        <v>50</v>
      </c>
      <c r="W507" s="98" t="s">
        <v>50</v>
      </c>
      <c r="X507" s="98" t="s">
        <v>50</v>
      </c>
    </row>
    <row r="508" spans="1:25" x14ac:dyDescent="0.25">
      <c r="A508" s="194">
        <v>44118</v>
      </c>
      <c r="B508" s="98" t="s">
        <v>87</v>
      </c>
      <c r="C508" s="98" t="s">
        <v>126</v>
      </c>
      <c r="D508" s="98">
        <v>38.241239999999998</v>
      </c>
      <c r="E508" s="98">
        <v>-121.68765999999999</v>
      </c>
      <c r="F508" s="98" t="s">
        <v>1454</v>
      </c>
      <c r="G508" s="98" t="s">
        <v>90</v>
      </c>
      <c r="H508" s="98" t="s">
        <v>126</v>
      </c>
      <c r="I508" s="621">
        <v>0.40625</v>
      </c>
      <c r="J508" s="100">
        <v>152.69999999999999</v>
      </c>
      <c r="K508" s="100">
        <v>19.47</v>
      </c>
      <c r="L508" s="100">
        <v>6.03</v>
      </c>
      <c r="M508" s="100">
        <v>1.8</v>
      </c>
      <c r="N508" s="100">
        <v>10.68</v>
      </c>
      <c r="O508" s="98" t="s">
        <v>48</v>
      </c>
      <c r="P508" s="98">
        <v>4</v>
      </c>
      <c r="Q508" s="98">
        <v>10</v>
      </c>
      <c r="R508" s="98" t="s">
        <v>49</v>
      </c>
      <c r="S508" s="98" t="s">
        <v>50</v>
      </c>
      <c r="T508" s="98" t="s">
        <v>50</v>
      </c>
      <c r="U508" s="98" t="s">
        <v>50</v>
      </c>
      <c r="V508" s="98" t="s">
        <v>50</v>
      </c>
      <c r="W508" s="98" t="s">
        <v>50</v>
      </c>
      <c r="X508" s="98" t="s">
        <v>50</v>
      </c>
    </row>
    <row r="509" spans="1:25" s="154" customFormat="1" x14ac:dyDescent="0.25">
      <c r="A509" s="195">
        <v>44118</v>
      </c>
      <c r="B509" s="154" t="s">
        <v>87</v>
      </c>
      <c r="C509" s="154" t="s">
        <v>126</v>
      </c>
      <c r="D509" s="154">
        <v>38.285400000000003</v>
      </c>
      <c r="E509" s="154">
        <v>-121.72096999999999</v>
      </c>
      <c r="F509" s="154" t="s">
        <v>1455</v>
      </c>
      <c r="G509" s="154" t="s">
        <v>90</v>
      </c>
      <c r="H509" s="154" t="s">
        <v>126</v>
      </c>
      <c r="I509" s="636">
        <v>0.4604166666666667</v>
      </c>
      <c r="J509" s="156" t="s">
        <v>50</v>
      </c>
      <c r="K509" s="156" t="s">
        <v>50</v>
      </c>
      <c r="L509" s="156" t="s">
        <v>50</v>
      </c>
      <c r="M509" s="156" t="s">
        <v>50</v>
      </c>
      <c r="N509" s="156" t="s">
        <v>50</v>
      </c>
      <c r="O509" s="154" t="s">
        <v>48</v>
      </c>
      <c r="P509" s="154">
        <v>0</v>
      </c>
      <c r="Q509" s="154" t="s">
        <v>50</v>
      </c>
      <c r="R509" s="154" t="s">
        <v>50</v>
      </c>
      <c r="S509" s="154" t="s">
        <v>50</v>
      </c>
      <c r="T509" s="154" t="s">
        <v>50</v>
      </c>
      <c r="U509" s="154" t="s">
        <v>50</v>
      </c>
      <c r="V509" s="154" t="s">
        <v>50</v>
      </c>
      <c r="W509" s="154" t="s">
        <v>50</v>
      </c>
      <c r="X509" s="154" t="s">
        <v>50</v>
      </c>
      <c r="Y509" s="627" t="s">
        <v>1081</v>
      </c>
    </row>
    <row r="510" spans="1:25" x14ac:dyDescent="0.25">
      <c r="A510" s="194">
        <v>44118</v>
      </c>
      <c r="B510" s="98" t="s">
        <v>87</v>
      </c>
      <c r="C510" s="98" t="s">
        <v>126</v>
      </c>
      <c r="D510" s="98">
        <v>38.287909999999997</v>
      </c>
      <c r="E510" s="98">
        <v>-121.68584</v>
      </c>
      <c r="F510" s="98" t="s">
        <v>1456</v>
      </c>
      <c r="G510" s="98" t="s">
        <v>90</v>
      </c>
      <c r="H510" s="98" t="s">
        <v>126</v>
      </c>
      <c r="I510" s="621">
        <v>0.47569444444444442</v>
      </c>
      <c r="J510" s="100">
        <v>170</v>
      </c>
      <c r="K510" s="100">
        <v>19.63</v>
      </c>
      <c r="L510" s="100">
        <v>7.38</v>
      </c>
      <c r="M510" s="100">
        <v>1.22</v>
      </c>
      <c r="N510" s="100">
        <v>7.15</v>
      </c>
      <c r="O510" s="98" t="s">
        <v>48</v>
      </c>
      <c r="P510" s="98">
        <v>4</v>
      </c>
      <c r="Q510" s="98">
        <v>10</v>
      </c>
      <c r="R510" s="98" t="s">
        <v>64</v>
      </c>
      <c r="S510" s="98" t="s">
        <v>50</v>
      </c>
      <c r="T510" s="98" t="s">
        <v>50</v>
      </c>
      <c r="U510" s="98" t="s">
        <v>50</v>
      </c>
      <c r="V510" s="98" t="s">
        <v>50</v>
      </c>
      <c r="W510" s="98" t="s">
        <v>50</v>
      </c>
      <c r="X510" s="98" t="s">
        <v>50</v>
      </c>
    </row>
    <row r="511" spans="1:25" x14ac:dyDescent="0.25">
      <c r="A511" s="194">
        <v>44118</v>
      </c>
      <c r="B511" s="98" t="s">
        <v>87</v>
      </c>
      <c r="C511" s="98" t="s">
        <v>95</v>
      </c>
      <c r="D511" s="98">
        <v>38.018929999999997</v>
      </c>
      <c r="E511" s="98">
        <v>-121.80088000000001</v>
      </c>
      <c r="F511" s="98" t="s">
        <v>1457</v>
      </c>
      <c r="G511" s="98" t="s">
        <v>27</v>
      </c>
      <c r="H511" s="98" t="s">
        <v>95</v>
      </c>
      <c r="I511" s="621">
        <v>0.34722222222222227</v>
      </c>
      <c r="J511" s="100">
        <v>3001.25</v>
      </c>
      <c r="K511" s="100">
        <v>20.399999999999999</v>
      </c>
      <c r="L511" s="100">
        <v>9.08</v>
      </c>
      <c r="M511" s="100">
        <v>1.25</v>
      </c>
      <c r="N511" s="100">
        <v>13.62</v>
      </c>
      <c r="O511" s="98" t="s">
        <v>48</v>
      </c>
      <c r="P511" s="98">
        <v>4</v>
      </c>
      <c r="Q511" s="98">
        <v>10</v>
      </c>
      <c r="R511" s="98" t="s">
        <v>49</v>
      </c>
      <c r="S511" s="98" t="s">
        <v>50</v>
      </c>
      <c r="T511" s="98" t="s">
        <v>50</v>
      </c>
      <c r="U511" s="98" t="s">
        <v>50</v>
      </c>
      <c r="V511" s="98" t="s">
        <v>50</v>
      </c>
      <c r="W511" s="98" t="s">
        <v>50</v>
      </c>
      <c r="X511" s="98" t="s">
        <v>50</v>
      </c>
    </row>
    <row r="512" spans="1:25" x14ac:dyDescent="0.25">
      <c r="A512" s="194">
        <v>44118</v>
      </c>
      <c r="B512" s="98" t="s">
        <v>87</v>
      </c>
      <c r="C512" s="98" t="s">
        <v>95</v>
      </c>
      <c r="D512" s="98">
        <v>38.025230000000001</v>
      </c>
      <c r="E512" s="98">
        <v>-121.75673</v>
      </c>
      <c r="F512" s="98" t="s">
        <v>1458</v>
      </c>
      <c r="G512" s="98" t="s">
        <v>27</v>
      </c>
      <c r="H512" s="98" t="s">
        <v>95</v>
      </c>
      <c r="I512" s="621">
        <v>0.39861111111111108</v>
      </c>
      <c r="J512" s="100">
        <v>1234</v>
      </c>
      <c r="K512" s="100">
        <v>20.5</v>
      </c>
      <c r="L512" s="100">
        <v>8.39</v>
      </c>
      <c r="M512" s="100">
        <v>1.35</v>
      </c>
      <c r="N512" s="100">
        <v>6.97</v>
      </c>
      <c r="O512" s="98" t="s">
        <v>48</v>
      </c>
      <c r="P512" s="98">
        <v>4</v>
      </c>
      <c r="Q512" s="98">
        <v>10</v>
      </c>
      <c r="R512" s="98" t="s">
        <v>49</v>
      </c>
      <c r="S512" s="98" t="s">
        <v>50</v>
      </c>
      <c r="T512" s="98" t="s">
        <v>50</v>
      </c>
      <c r="U512" s="98" t="s">
        <v>50</v>
      </c>
      <c r="V512" s="98" t="s">
        <v>50</v>
      </c>
      <c r="W512" s="98" t="s">
        <v>50</v>
      </c>
      <c r="X512" s="98" t="s">
        <v>50</v>
      </c>
    </row>
    <row r="513" spans="1:25" x14ac:dyDescent="0.25">
      <c r="A513" s="194">
        <v>44118</v>
      </c>
      <c r="B513" s="98" t="s">
        <v>87</v>
      </c>
      <c r="C513" s="98" t="s">
        <v>95</v>
      </c>
      <c r="D513" s="98">
        <v>38.035589999999999</v>
      </c>
      <c r="E513" s="98">
        <v>-121.71711000000001</v>
      </c>
      <c r="F513" s="98" t="s">
        <v>1459</v>
      </c>
      <c r="G513" s="98" t="s">
        <v>27</v>
      </c>
      <c r="H513" s="98" t="s">
        <v>95</v>
      </c>
      <c r="I513" s="621">
        <v>0.45069444444444445</v>
      </c>
      <c r="J513" s="100">
        <v>1019.25</v>
      </c>
      <c r="K513" s="100">
        <v>20.6</v>
      </c>
      <c r="L513" s="100">
        <v>7.04</v>
      </c>
      <c r="M513" s="100">
        <v>1.32</v>
      </c>
      <c r="N513" s="100">
        <v>12</v>
      </c>
      <c r="O513" s="98" t="s">
        <v>48</v>
      </c>
      <c r="P513" s="98">
        <v>4</v>
      </c>
      <c r="Q513" s="98">
        <v>10</v>
      </c>
      <c r="R513" s="98" t="s">
        <v>64</v>
      </c>
      <c r="S513" s="98" t="s">
        <v>50</v>
      </c>
      <c r="T513" s="98" t="s">
        <v>50</v>
      </c>
      <c r="U513" s="98" t="s">
        <v>50</v>
      </c>
      <c r="V513" s="98" t="s">
        <v>50</v>
      </c>
      <c r="W513" s="98" t="s">
        <v>50</v>
      </c>
      <c r="X513" s="98" t="s">
        <v>50</v>
      </c>
      <c r="Y513" s="622" t="s">
        <v>1460</v>
      </c>
    </row>
    <row r="514" spans="1:25" x14ac:dyDescent="0.25">
      <c r="A514" s="194">
        <v>44118</v>
      </c>
      <c r="B514" s="98" t="s">
        <v>87</v>
      </c>
      <c r="C514" s="98" t="s">
        <v>62</v>
      </c>
      <c r="D514" s="98">
        <v>38.154159999999997</v>
      </c>
      <c r="E514" s="98">
        <v>-121.92161</v>
      </c>
      <c r="F514" s="98" t="s">
        <v>1461</v>
      </c>
      <c r="G514" s="98" t="s">
        <v>27</v>
      </c>
      <c r="H514" s="98" t="s">
        <v>62</v>
      </c>
      <c r="I514" s="621">
        <v>0.35347222222222219</v>
      </c>
      <c r="J514" s="100">
        <v>6408.65</v>
      </c>
      <c r="K514" s="100">
        <v>19.87</v>
      </c>
      <c r="L514" s="100">
        <v>36.119999999999997</v>
      </c>
      <c r="M514" s="100">
        <v>0.44</v>
      </c>
      <c r="N514" s="100">
        <v>2.9</v>
      </c>
      <c r="O514" s="98" t="s">
        <v>48</v>
      </c>
      <c r="P514" s="98">
        <v>4</v>
      </c>
      <c r="Q514" s="98">
        <v>10</v>
      </c>
      <c r="R514" s="98" t="s">
        <v>49</v>
      </c>
      <c r="S514" s="98" t="s">
        <v>50</v>
      </c>
      <c r="T514" s="98" t="s">
        <v>50</v>
      </c>
      <c r="U514" s="98" t="s">
        <v>50</v>
      </c>
      <c r="V514" s="98" t="s">
        <v>50</v>
      </c>
      <c r="W514" s="98" t="s">
        <v>50</v>
      </c>
      <c r="X514" s="98" t="s">
        <v>50</v>
      </c>
    </row>
    <row r="515" spans="1:25" s="815" customFormat="1" x14ac:dyDescent="0.25">
      <c r="A515" s="814">
        <v>44118</v>
      </c>
      <c r="B515" s="815" t="s">
        <v>87</v>
      </c>
      <c r="C515" s="815" t="s">
        <v>62</v>
      </c>
      <c r="D515" s="815">
        <v>38.113160000000001</v>
      </c>
      <c r="E515" s="815">
        <v>-122.06088</v>
      </c>
      <c r="F515" s="815" t="s">
        <v>1462</v>
      </c>
      <c r="G515" s="815" t="s">
        <v>27</v>
      </c>
      <c r="H515" s="815" t="s">
        <v>173</v>
      </c>
      <c r="I515" s="816">
        <v>0.4777777777777778</v>
      </c>
      <c r="J515" s="817">
        <v>19815</v>
      </c>
      <c r="K515" s="817">
        <v>20.18</v>
      </c>
      <c r="L515" s="817">
        <v>41.2</v>
      </c>
      <c r="M515" s="817">
        <v>0.38</v>
      </c>
      <c r="N515" s="817">
        <v>2.7</v>
      </c>
      <c r="O515" s="815" t="s">
        <v>48</v>
      </c>
      <c r="P515" s="815">
        <v>4</v>
      </c>
      <c r="Q515" s="815">
        <v>10</v>
      </c>
      <c r="R515" s="815" t="s">
        <v>64</v>
      </c>
      <c r="S515" s="819" t="s">
        <v>31</v>
      </c>
      <c r="T515" s="815">
        <v>1</v>
      </c>
      <c r="U515" s="815">
        <v>62</v>
      </c>
      <c r="V515" s="815" t="s">
        <v>50</v>
      </c>
      <c r="W515" s="815" t="s">
        <v>50</v>
      </c>
      <c r="X515" s="815" t="s">
        <v>50</v>
      </c>
      <c r="Y515" s="818" t="s">
        <v>1463</v>
      </c>
    </row>
    <row r="516" spans="1:25" x14ac:dyDescent="0.25">
      <c r="A516" s="194">
        <v>44118</v>
      </c>
      <c r="B516" s="98" t="s">
        <v>87</v>
      </c>
      <c r="C516" s="98" t="s">
        <v>62</v>
      </c>
      <c r="D516" s="98">
        <v>38.180599999999998</v>
      </c>
      <c r="E516" s="98">
        <v>-121.99708</v>
      </c>
      <c r="F516" s="98" t="s">
        <v>1464</v>
      </c>
      <c r="G516" s="98" t="s">
        <v>27</v>
      </c>
      <c r="H516" s="98" t="s">
        <v>62</v>
      </c>
      <c r="I516" s="621">
        <v>0.41666666666666669</v>
      </c>
      <c r="J516" s="100">
        <v>9568</v>
      </c>
      <c r="K516" s="100">
        <v>20.03</v>
      </c>
      <c r="L516" s="100">
        <v>35.65</v>
      </c>
      <c r="M516" s="100">
        <v>0.41</v>
      </c>
      <c r="N516" s="100">
        <v>7.4</v>
      </c>
      <c r="O516" s="98" t="s">
        <v>48</v>
      </c>
      <c r="P516" s="98">
        <v>4</v>
      </c>
      <c r="Q516" s="98">
        <v>10</v>
      </c>
      <c r="R516" s="98" t="s">
        <v>64</v>
      </c>
      <c r="S516" s="98" t="s">
        <v>50</v>
      </c>
      <c r="T516" s="98" t="s">
        <v>50</v>
      </c>
      <c r="U516" s="98" t="s">
        <v>50</v>
      </c>
      <c r="V516" s="98" t="s">
        <v>50</v>
      </c>
      <c r="W516" s="98" t="s">
        <v>50</v>
      </c>
      <c r="X516" s="98" t="s">
        <v>50</v>
      </c>
    </row>
    <row r="517" spans="1:25" x14ac:dyDescent="0.25">
      <c r="A517" s="194">
        <v>44119</v>
      </c>
      <c r="B517" s="98" t="s">
        <v>105</v>
      </c>
      <c r="C517" s="98" t="s">
        <v>88</v>
      </c>
      <c r="D517" s="98">
        <v>38.09863</v>
      </c>
      <c r="E517" s="98">
        <v>-121.73033</v>
      </c>
      <c r="F517" s="98" t="s">
        <v>1465</v>
      </c>
      <c r="G517" s="98" t="s">
        <v>90</v>
      </c>
      <c r="H517" s="98" t="s">
        <v>91</v>
      </c>
      <c r="I517" s="621">
        <v>0.36874999999999997</v>
      </c>
      <c r="J517" s="100">
        <v>251.22</v>
      </c>
      <c r="K517" s="100">
        <v>19.7</v>
      </c>
      <c r="L517" s="100">
        <v>15.1</v>
      </c>
      <c r="M517" s="100">
        <v>0.89</v>
      </c>
      <c r="N517" s="100">
        <v>8.85</v>
      </c>
      <c r="O517" s="98" t="s">
        <v>48</v>
      </c>
      <c r="P517" s="98">
        <v>4</v>
      </c>
      <c r="Q517" s="98">
        <v>10</v>
      </c>
      <c r="R517" s="98" t="s">
        <v>49</v>
      </c>
      <c r="S517" s="98" t="s">
        <v>50</v>
      </c>
      <c r="T517" s="98" t="s">
        <v>50</v>
      </c>
      <c r="U517" s="98" t="s">
        <v>50</v>
      </c>
      <c r="V517" s="98" t="s">
        <v>50</v>
      </c>
      <c r="W517" s="98" t="s">
        <v>50</v>
      </c>
      <c r="X517" s="98" t="s">
        <v>50</v>
      </c>
      <c r="Y517" s="622" t="s">
        <v>139</v>
      </c>
    </row>
    <row r="518" spans="1:25" x14ac:dyDescent="0.25">
      <c r="A518" s="194">
        <v>44119</v>
      </c>
      <c r="B518" s="98" t="s">
        <v>105</v>
      </c>
      <c r="C518" s="98" t="s">
        <v>88</v>
      </c>
      <c r="D518" s="98">
        <v>38.060090000000002</v>
      </c>
      <c r="E518" s="98">
        <v>-121.79975</v>
      </c>
      <c r="F518" s="98" t="s">
        <v>1466</v>
      </c>
      <c r="G518" s="98" t="s">
        <v>27</v>
      </c>
      <c r="H518" s="98" t="s">
        <v>25</v>
      </c>
      <c r="I518" s="621">
        <v>0.41944444444444445</v>
      </c>
      <c r="J518" s="100">
        <v>921.18</v>
      </c>
      <c r="K518" s="100">
        <v>20</v>
      </c>
      <c r="L518" s="100">
        <v>19.38</v>
      </c>
      <c r="M518" s="100">
        <v>0.67</v>
      </c>
      <c r="N518" s="100">
        <v>10.75</v>
      </c>
      <c r="O518" s="98" t="s">
        <v>48</v>
      </c>
      <c r="P518" s="98">
        <v>4</v>
      </c>
      <c r="Q518" s="98">
        <v>10</v>
      </c>
      <c r="R518" s="98" t="s">
        <v>49</v>
      </c>
      <c r="S518" s="98" t="s">
        <v>50</v>
      </c>
      <c r="T518" s="98" t="s">
        <v>50</v>
      </c>
      <c r="U518" s="98" t="s">
        <v>50</v>
      </c>
      <c r="V518" s="98" t="s">
        <v>50</v>
      </c>
      <c r="W518" s="98" t="s">
        <v>50</v>
      </c>
      <c r="X518" s="98" t="s">
        <v>50</v>
      </c>
    </row>
    <row r="519" spans="1:25" x14ac:dyDescent="0.25">
      <c r="A519" s="194">
        <v>44119</v>
      </c>
      <c r="B519" s="98" t="s">
        <v>105</v>
      </c>
      <c r="C519" s="98" t="s">
        <v>88</v>
      </c>
      <c r="D519" s="98">
        <v>38.084789999999998</v>
      </c>
      <c r="E519" s="98">
        <v>-121.75297999999999</v>
      </c>
      <c r="F519" s="98" t="s">
        <v>1467</v>
      </c>
      <c r="G519" s="98" t="s">
        <v>27</v>
      </c>
      <c r="H519" s="98" t="s">
        <v>25</v>
      </c>
      <c r="I519" s="621">
        <v>0.4694444444444445</v>
      </c>
      <c r="J519" s="100">
        <v>415.9</v>
      </c>
      <c r="K519" s="100">
        <v>19.899999999999999</v>
      </c>
      <c r="L519" s="100">
        <v>12.77</v>
      </c>
      <c r="M519" s="100">
        <v>0.88</v>
      </c>
      <c r="N519" s="100">
        <v>9.1</v>
      </c>
      <c r="O519" s="98" t="s">
        <v>48</v>
      </c>
      <c r="P519" s="98">
        <v>4</v>
      </c>
      <c r="Q519" s="98">
        <v>10</v>
      </c>
      <c r="R519" s="98" t="s">
        <v>64</v>
      </c>
      <c r="S519" s="98" t="s">
        <v>50</v>
      </c>
      <c r="T519" s="98" t="s">
        <v>50</v>
      </c>
      <c r="U519" s="98" t="s">
        <v>50</v>
      </c>
      <c r="V519" s="98" t="s">
        <v>50</v>
      </c>
      <c r="W519" s="98" t="s">
        <v>50</v>
      </c>
      <c r="X519" s="98" t="s">
        <v>50</v>
      </c>
    </row>
    <row r="520" spans="1:25" x14ac:dyDescent="0.25">
      <c r="A520" s="194">
        <v>44119</v>
      </c>
      <c r="B520" s="98" t="s">
        <v>105</v>
      </c>
      <c r="C520" s="98" t="s">
        <v>78</v>
      </c>
      <c r="D520" s="98">
        <v>38.064480000000003</v>
      </c>
      <c r="E520" s="98">
        <v>-122.04388</v>
      </c>
      <c r="F520" s="98" t="s">
        <v>1468</v>
      </c>
      <c r="G520" s="98" t="s">
        <v>27</v>
      </c>
      <c r="H520" s="98" t="s">
        <v>86</v>
      </c>
      <c r="I520" s="621">
        <v>0.34513888888888888</v>
      </c>
      <c r="J520" s="100">
        <v>18120.25</v>
      </c>
      <c r="K520" s="100">
        <v>20</v>
      </c>
      <c r="L520" s="100">
        <v>13.7</v>
      </c>
      <c r="M520" s="100">
        <v>0.85</v>
      </c>
      <c r="N520" s="100">
        <v>7.85</v>
      </c>
      <c r="O520" s="98" t="s">
        <v>48</v>
      </c>
      <c r="P520" s="98">
        <v>4</v>
      </c>
      <c r="Q520" s="98">
        <v>10</v>
      </c>
      <c r="R520" s="98" t="s">
        <v>49</v>
      </c>
      <c r="S520" s="98" t="s">
        <v>50</v>
      </c>
      <c r="T520" s="98" t="s">
        <v>50</v>
      </c>
      <c r="U520" s="98" t="s">
        <v>50</v>
      </c>
      <c r="V520" s="98" t="s">
        <v>50</v>
      </c>
      <c r="W520" s="98" t="s">
        <v>50</v>
      </c>
      <c r="X520" s="98" t="s">
        <v>50</v>
      </c>
    </row>
    <row r="521" spans="1:25" x14ac:dyDescent="0.25">
      <c r="A521" s="194">
        <v>44119</v>
      </c>
      <c r="B521" s="98" t="s">
        <v>105</v>
      </c>
      <c r="C521" s="98" t="s">
        <v>78</v>
      </c>
      <c r="D521" s="98">
        <v>38.031939999999999</v>
      </c>
      <c r="E521" s="98">
        <v>-122.14144</v>
      </c>
      <c r="F521" s="98" t="s">
        <v>1469</v>
      </c>
      <c r="G521" s="98" t="s">
        <v>80</v>
      </c>
      <c r="H521" s="98" t="s">
        <v>81</v>
      </c>
      <c r="I521" s="621">
        <v>0.40486111111111112</v>
      </c>
      <c r="J521" s="100">
        <v>23304.5</v>
      </c>
      <c r="K521" s="100">
        <v>19.97</v>
      </c>
      <c r="L521" s="100">
        <v>16.88</v>
      </c>
      <c r="M521" s="100">
        <v>0.77</v>
      </c>
      <c r="N521" s="100">
        <v>18.95</v>
      </c>
      <c r="O521" s="98" t="s">
        <v>48</v>
      </c>
      <c r="P521" s="98">
        <v>4</v>
      </c>
      <c r="Q521" s="98">
        <v>10</v>
      </c>
      <c r="R521" s="98" t="s">
        <v>64</v>
      </c>
      <c r="S521" s="98" t="s">
        <v>50</v>
      </c>
      <c r="T521" s="98" t="s">
        <v>50</v>
      </c>
      <c r="U521" s="98" t="s">
        <v>50</v>
      </c>
      <c r="V521" s="98" t="s">
        <v>50</v>
      </c>
      <c r="W521" s="98" t="s">
        <v>50</v>
      </c>
      <c r="X521" s="98" t="s">
        <v>50</v>
      </c>
      <c r="Y521" s="622" t="s">
        <v>1470</v>
      </c>
    </row>
    <row r="522" spans="1:25" s="815" customFormat="1" x14ac:dyDescent="0.25">
      <c r="A522" s="814">
        <v>44119</v>
      </c>
      <c r="B522" s="815" t="s">
        <v>105</v>
      </c>
      <c r="C522" s="815" t="s">
        <v>78</v>
      </c>
      <c r="D522" s="815">
        <v>38.094650000000001</v>
      </c>
      <c r="E522" s="815">
        <v>-122.06972</v>
      </c>
      <c r="F522" s="815" t="s">
        <v>1471</v>
      </c>
      <c r="G522" s="815" t="s">
        <v>80</v>
      </c>
      <c r="H522" s="815" t="s">
        <v>81</v>
      </c>
      <c r="I522" s="816">
        <v>0.47013888888888888</v>
      </c>
      <c r="J522" s="817">
        <v>20542.25</v>
      </c>
      <c r="K522" s="817">
        <v>20.2</v>
      </c>
      <c r="L522" s="817">
        <v>37.35</v>
      </c>
      <c r="M522" s="817">
        <v>0.48</v>
      </c>
      <c r="N522" s="817">
        <v>7.25</v>
      </c>
      <c r="O522" s="815" t="s">
        <v>48</v>
      </c>
      <c r="P522" s="815">
        <v>4</v>
      </c>
      <c r="Q522" s="815">
        <v>10</v>
      </c>
      <c r="R522" s="815" t="s">
        <v>64</v>
      </c>
      <c r="S522" s="819" t="s">
        <v>31</v>
      </c>
      <c r="T522" s="815">
        <v>1</v>
      </c>
      <c r="U522" s="815">
        <v>101</v>
      </c>
      <c r="V522" s="815" t="s">
        <v>66</v>
      </c>
      <c r="W522" s="815" t="s">
        <v>50</v>
      </c>
      <c r="X522" s="815" t="s">
        <v>50</v>
      </c>
      <c r="Y522" s="818" t="s">
        <v>1472</v>
      </c>
    </row>
    <row r="523" spans="1:25" x14ac:dyDescent="0.25">
      <c r="A523" s="194">
        <v>44119</v>
      </c>
      <c r="B523" s="98" t="s">
        <v>105</v>
      </c>
      <c r="C523" s="98" t="s">
        <v>106</v>
      </c>
      <c r="D523" s="98">
        <v>38.487299999999998</v>
      </c>
      <c r="E523" s="98">
        <v>-121.58459999999999</v>
      </c>
      <c r="F523" s="98" t="s">
        <v>1473</v>
      </c>
      <c r="G523" s="98" t="s">
        <v>90</v>
      </c>
      <c r="H523" s="98" t="s">
        <v>158</v>
      </c>
      <c r="I523" s="621">
        <v>0.3666666666666667</v>
      </c>
      <c r="J523" s="100">
        <v>797</v>
      </c>
      <c r="K523" s="100">
        <v>20.6</v>
      </c>
      <c r="L523" s="100">
        <v>31.32</v>
      </c>
      <c r="M523" s="100">
        <v>0.32</v>
      </c>
      <c r="N523" s="100">
        <v>10.5</v>
      </c>
      <c r="O523" s="98" t="s">
        <v>48</v>
      </c>
      <c r="P523" s="98">
        <v>4</v>
      </c>
      <c r="Q523" s="98">
        <v>10</v>
      </c>
      <c r="R523" s="98" t="s">
        <v>49</v>
      </c>
      <c r="S523" s="98" t="s">
        <v>50</v>
      </c>
      <c r="T523" s="98" t="s">
        <v>50</v>
      </c>
      <c r="U523" s="98" t="s">
        <v>50</v>
      </c>
      <c r="V523" s="98" t="s">
        <v>50</v>
      </c>
      <c r="W523" s="98" t="s">
        <v>50</v>
      </c>
      <c r="X523" s="98" t="s">
        <v>50</v>
      </c>
      <c r="Y523" s="622" t="s">
        <v>1474</v>
      </c>
    </row>
    <row r="524" spans="1:25" x14ac:dyDescent="0.25">
      <c r="A524" s="194">
        <v>44119</v>
      </c>
      <c r="B524" s="98" t="s">
        <v>105</v>
      </c>
      <c r="C524" s="98" t="s">
        <v>106</v>
      </c>
      <c r="D524" s="98">
        <v>38.361159999999998</v>
      </c>
      <c r="E524" s="98">
        <v>-121.63578</v>
      </c>
      <c r="F524" s="98" t="s">
        <v>1475</v>
      </c>
      <c r="G524" s="98" t="s">
        <v>90</v>
      </c>
      <c r="H524" s="98" t="s">
        <v>108</v>
      </c>
      <c r="I524" s="621">
        <v>0.44513888888888892</v>
      </c>
      <c r="J524" s="100">
        <v>432.2</v>
      </c>
      <c r="K524" s="100">
        <v>20.075000000000003</v>
      </c>
      <c r="L524" s="100">
        <v>77.875</v>
      </c>
      <c r="M524" s="100">
        <v>0.2</v>
      </c>
      <c r="N524" s="100">
        <v>9.7250000000000014</v>
      </c>
      <c r="O524" s="98" t="s">
        <v>48</v>
      </c>
      <c r="P524" s="98">
        <v>4</v>
      </c>
      <c r="Q524" s="98">
        <v>10</v>
      </c>
      <c r="R524" s="98" t="s">
        <v>49</v>
      </c>
      <c r="S524" s="98" t="s">
        <v>50</v>
      </c>
      <c r="T524" s="98" t="s">
        <v>50</v>
      </c>
      <c r="U524" s="98" t="s">
        <v>50</v>
      </c>
      <c r="V524" s="98" t="s">
        <v>50</v>
      </c>
      <c r="W524" s="98" t="s">
        <v>50</v>
      </c>
      <c r="X524" s="98" t="s">
        <v>50</v>
      </c>
      <c r="Y524" s="622" t="s">
        <v>1476</v>
      </c>
    </row>
    <row r="525" spans="1:25" s="362" customFormat="1" x14ac:dyDescent="0.25">
      <c r="A525" s="360">
        <v>44119</v>
      </c>
      <c r="B525" s="362" t="s">
        <v>105</v>
      </c>
      <c r="C525" s="362" t="s">
        <v>106</v>
      </c>
      <c r="D525" s="362">
        <v>38.23348</v>
      </c>
      <c r="E525" s="362">
        <v>-121.67382000000001</v>
      </c>
      <c r="F525" s="362" t="s">
        <v>1477</v>
      </c>
      <c r="G525" s="362" t="s">
        <v>90</v>
      </c>
      <c r="H525" s="362" t="s">
        <v>108</v>
      </c>
      <c r="I525" s="618">
        <v>0.51944444444444449</v>
      </c>
      <c r="J525" s="364">
        <v>140.55000000000001</v>
      </c>
      <c r="K525" s="364">
        <v>19.3</v>
      </c>
      <c r="L525" s="364">
        <v>12.142499999999998</v>
      </c>
      <c r="M525" s="364">
        <v>1.6175000000000002</v>
      </c>
      <c r="N525" s="364">
        <v>10.074999999999999</v>
      </c>
      <c r="O525" s="362" t="s">
        <v>48</v>
      </c>
      <c r="P525" s="362">
        <v>4</v>
      </c>
      <c r="Q525" s="362">
        <v>10</v>
      </c>
      <c r="R525" s="362" t="s">
        <v>64</v>
      </c>
      <c r="S525" s="362" t="s">
        <v>50</v>
      </c>
      <c r="T525" s="362" t="s">
        <v>50</v>
      </c>
      <c r="U525" s="362" t="s">
        <v>50</v>
      </c>
      <c r="V525" s="362" t="s">
        <v>50</v>
      </c>
      <c r="W525" s="362" t="s">
        <v>50</v>
      </c>
      <c r="X525" s="362" t="s">
        <v>50</v>
      </c>
      <c r="Y525" s="603"/>
    </row>
    <row r="526" spans="1:25" x14ac:dyDescent="0.25">
      <c r="A526" s="194">
        <v>44123</v>
      </c>
      <c r="B526" s="98" t="s">
        <v>43</v>
      </c>
      <c r="C526" s="98" t="s">
        <v>126</v>
      </c>
      <c r="D526" s="98">
        <v>38.23677</v>
      </c>
      <c r="E526" s="98">
        <v>-121.68261</v>
      </c>
      <c r="F526" s="98" t="s">
        <v>1478</v>
      </c>
      <c r="G526" s="98" t="s">
        <v>90</v>
      </c>
      <c r="H526" s="98" t="s">
        <v>126</v>
      </c>
      <c r="I526" s="621">
        <v>0.33680555555555558</v>
      </c>
      <c r="J526" s="100">
        <v>134.18</v>
      </c>
      <c r="K526" s="100">
        <v>19.45</v>
      </c>
      <c r="L526" s="100">
        <v>6.07</v>
      </c>
      <c r="M526" s="100">
        <v>1.8</v>
      </c>
      <c r="N526" s="100">
        <v>9.9499999999999993</v>
      </c>
      <c r="O526" s="98" t="s">
        <v>48</v>
      </c>
      <c r="P526" s="98">
        <v>4</v>
      </c>
      <c r="Q526" s="98">
        <v>10</v>
      </c>
      <c r="R526" s="98" t="s">
        <v>49</v>
      </c>
      <c r="S526" s="98" t="s">
        <v>50</v>
      </c>
      <c r="T526" s="98" t="s">
        <v>50</v>
      </c>
      <c r="U526" s="98" t="s">
        <v>50</v>
      </c>
      <c r="V526" s="98" t="s">
        <v>50</v>
      </c>
      <c r="W526" s="98" t="s">
        <v>50</v>
      </c>
      <c r="X526" s="98" t="s">
        <v>50</v>
      </c>
    </row>
    <row r="527" spans="1:25" x14ac:dyDescent="0.25">
      <c r="A527" s="194">
        <v>44123</v>
      </c>
      <c r="B527" s="98" t="s">
        <v>43</v>
      </c>
      <c r="C527" s="98" t="s">
        <v>126</v>
      </c>
      <c r="D527" s="98">
        <v>38.257849999999998</v>
      </c>
      <c r="E527" s="98">
        <v>-121.69194</v>
      </c>
      <c r="F527" s="98" t="s">
        <v>1479</v>
      </c>
      <c r="G527" s="98" t="s">
        <v>90</v>
      </c>
      <c r="H527" s="98" t="s">
        <v>126</v>
      </c>
      <c r="I527" s="621">
        <v>0.39166666666666666</v>
      </c>
      <c r="J527" s="100">
        <v>141.30000000000001</v>
      </c>
      <c r="K527" s="100">
        <v>19.600000000000001</v>
      </c>
      <c r="L527" s="100">
        <v>7.41</v>
      </c>
      <c r="M527" s="100">
        <v>1.8</v>
      </c>
      <c r="N527" s="100">
        <v>4.97</v>
      </c>
      <c r="O527" s="98" t="s">
        <v>48</v>
      </c>
      <c r="P527" s="98">
        <v>4</v>
      </c>
      <c r="Q527" s="98">
        <v>10</v>
      </c>
      <c r="R527" s="98" t="s">
        <v>49</v>
      </c>
      <c r="S527" s="98" t="s">
        <v>50</v>
      </c>
      <c r="T527" s="98" t="s">
        <v>50</v>
      </c>
      <c r="U527" s="98" t="s">
        <v>50</v>
      </c>
      <c r="V527" s="98" t="s">
        <v>50</v>
      </c>
      <c r="W527" s="98" t="s">
        <v>50</v>
      </c>
      <c r="X527" s="98" t="s">
        <v>50</v>
      </c>
      <c r="Y527" s="622" t="s">
        <v>139</v>
      </c>
    </row>
    <row r="528" spans="1:25" x14ac:dyDescent="0.25">
      <c r="A528" s="194">
        <v>44123</v>
      </c>
      <c r="B528" s="98" t="s">
        <v>43</v>
      </c>
      <c r="C528" s="98" t="s">
        <v>126</v>
      </c>
      <c r="D528" s="98">
        <v>38.375349999999997</v>
      </c>
      <c r="E528" s="98">
        <v>-121.63303000000001</v>
      </c>
      <c r="F528" s="98" t="s">
        <v>1480</v>
      </c>
      <c r="G528" s="98" t="s">
        <v>90</v>
      </c>
      <c r="H528" s="98" t="s">
        <v>126</v>
      </c>
      <c r="I528" s="621">
        <v>0.45763888888888887</v>
      </c>
      <c r="J528" s="100">
        <v>180.43</v>
      </c>
      <c r="K528" s="100">
        <v>20.13</v>
      </c>
      <c r="L528" s="100">
        <v>13.6</v>
      </c>
      <c r="M528" s="100">
        <v>0.75</v>
      </c>
      <c r="N528" s="100">
        <v>3.8</v>
      </c>
      <c r="O528" s="98" t="s">
        <v>48</v>
      </c>
      <c r="P528" s="98">
        <v>3</v>
      </c>
      <c r="Q528" s="98">
        <v>10</v>
      </c>
      <c r="R528" s="98" t="s">
        <v>49</v>
      </c>
      <c r="S528" s="98" t="s">
        <v>50</v>
      </c>
      <c r="T528" s="98" t="s">
        <v>50</v>
      </c>
      <c r="U528" s="98" t="s">
        <v>50</v>
      </c>
      <c r="V528" s="98" t="s">
        <v>50</v>
      </c>
      <c r="W528" s="98" t="s">
        <v>50</v>
      </c>
      <c r="X528" s="98" t="s">
        <v>50</v>
      </c>
      <c r="Y528" s="622" t="s">
        <v>1460</v>
      </c>
    </row>
    <row r="529" spans="1:25" x14ac:dyDescent="0.25">
      <c r="A529" s="194">
        <v>44123</v>
      </c>
      <c r="B529" s="98" t="s">
        <v>43</v>
      </c>
      <c r="C529" s="98" t="s">
        <v>88</v>
      </c>
      <c r="D529" s="98">
        <v>38.087910000000001</v>
      </c>
      <c r="E529" s="98">
        <v>-121.68579</v>
      </c>
      <c r="F529" s="98" t="s">
        <v>1481</v>
      </c>
      <c r="G529" s="98" t="s">
        <v>90</v>
      </c>
      <c r="H529" s="98" t="s">
        <v>91</v>
      </c>
      <c r="I529" s="621">
        <v>0.33819444444444446</v>
      </c>
      <c r="J529" s="100">
        <v>1383.25</v>
      </c>
      <c r="K529" s="100">
        <v>20.420000000000002</v>
      </c>
      <c r="L529" s="100">
        <v>8.23</v>
      </c>
      <c r="M529" s="100">
        <v>1.37</v>
      </c>
      <c r="N529" s="100">
        <v>5.83</v>
      </c>
      <c r="O529" s="98" t="s">
        <v>48</v>
      </c>
      <c r="P529" s="98">
        <v>4</v>
      </c>
      <c r="Q529" s="98">
        <v>10</v>
      </c>
      <c r="R529" s="98" t="s">
        <v>49</v>
      </c>
      <c r="S529" s="98" t="s">
        <v>50</v>
      </c>
      <c r="T529" s="98" t="s">
        <v>50</v>
      </c>
      <c r="U529" s="98" t="s">
        <v>50</v>
      </c>
      <c r="V529" s="98" t="s">
        <v>50</v>
      </c>
      <c r="W529" s="98" t="s">
        <v>50</v>
      </c>
      <c r="X529" s="98" t="s">
        <v>50</v>
      </c>
    </row>
    <row r="530" spans="1:25" x14ac:dyDescent="0.25">
      <c r="A530" s="194">
        <v>44123</v>
      </c>
      <c r="B530" s="98" t="s">
        <v>43</v>
      </c>
      <c r="C530" s="98" t="s">
        <v>88</v>
      </c>
      <c r="D530" s="98">
        <v>38.092959999999998</v>
      </c>
      <c r="E530" s="98">
        <v>-121.73235</v>
      </c>
      <c r="F530" s="98" t="s">
        <v>1482</v>
      </c>
      <c r="G530" s="98" t="s">
        <v>90</v>
      </c>
      <c r="H530" s="98" t="s">
        <v>91</v>
      </c>
      <c r="I530" s="621">
        <v>0.40138888888888885</v>
      </c>
      <c r="J530" s="100">
        <v>3026.25</v>
      </c>
      <c r="K530" s="100">
        <v>20.100000000000001</v>
      </c>
      <c r="L530" s="100">
        <v>11.93</v>
      </c>
      <c r="M530" s="100">
        <v>0.81</v>
      </c>
      <c r="N530" s="100">
        <v>7.45</v>
      </c>
      <c r="O530" s="98" t="s">
        <v>48</v>
      </c>
      <c r="P530" s="98">
        <v>4</v>
      </c>
      <c r="Q530" s="98">
        <v>10</v>
      </c>
      <c r="R530" s="98" t="s">
        <v>49</v>
      </c>
      <c r="S530" s="98" t="s">
        <v>50</v>
      </c>
      <c r="T530" s="98" t="s">
        <v>50</v>
      </c>
      <c r="U530" s="98" t="s">
        <v>50</v>
      </c>
      <c r="V530" s="98" t="s">
        <v>50</v>
      </c>
      <c r="W530" s="98" t="s">
        <v>50</v>
      </c>
      <c r="X530" s="98" t="s">
        <v>50</v>
      </c>
    </row>
    <row r="531" spans="1:25" x14ac:dyDescent="0.25">
      <c r="A531" s="194">
        <v>44123</v>
      </c>
      <c r="B531" s="98" t="s">
        <v>43</v>
      </c>
      <c r="C531" s="98" t="s">
        <v>88</v>
      </c>
      <c r="D531" s="98">
        <v>38.133189999999999</v>
      </c>
      <c r="E531" s="98">
        <v>-121.69265</v>
      </c>
      <c r="F531" s="98" t="s">
        <v>1483</v>
      </c>
      <c r="G531" s="98" t="s">
        <v>90</v>
      </c>
      <c r="H531" s="98" t="s">
        <v>91</v>
      </c>
      <c r="I531" s="621">
        <v>0.45555555555555555</v>
      </c>
      <c r="J531" s="100">
        <v>360.97</v>
      </c>
      <c r="K531" s="100">
        <v>19.899999999999999</v>
      </c>
      <c r="L531" s="100">
        <v>10.28</v>
      </c>
      <c r="M531" s="100">
        <v>1.32</v>
      </c>
      <c r="N531" s="100">
        <v>6.88</v>
      </c>
      <c r="O531" s="98" t="s">
        <v>48</v>
      </c>
      <c r="P531" s="98">
        <v>4</v>
      </c>
      <c r="Q531" s="98">
        <v>10</v>
      </c>
      <c r="R531" s="98" t="s">
        <v>49</v>
      </c>
      <c r="S531" s="98" t="s">
        <v>50</v>
      </c>
      <c r="T531" s="98" t="s">
        <v>50</v>
      </c>
      <c r="U531" s="98" t="s">
        <v>50</v>
      </c>
      <c r="V531" s="98" t="s">
        <v>50</v>
      </c>
      <c r="W531" s="98" t="s">
        <v>50</v>
      </c>
      <c r="X531" s="98" t="s">
        <v>50</v>
      </c>
    </row>
    <row r="532" spans="1:25" x14ac:dyDescent="0.25">
      <c r="A532" s="194">
        <v>44123</v>
      </c>
      <c r="B532" s="98" t="s">
        <v>43</v>
      </c>
      <c r="C532" s="98" t="s">
        <v>78</v>
      </c>
      <c r="D532" s="98">
        <v>38.056109999999997</v>
      </c>
      <c r="E532" s="98">
        <v>-122.0825</v>
      </c>
      <c r="F532" s="98" t="s">
        <v>1484</v>
      </c>
      <c r="G532" s="98" t="s">
        <v>80</v>
      </c>
      <c r="H532" s="98" t="s">
        <v>81</v>
      </c>
      <c r="I532" s="621">
        <v>0.34861111111111115</v>
      </c>
      <c r="J532" s="100">
        <v>25190.5</v>
      </c>
      <c r="K532" s="100">
        <v>19.82</v>
      </c>
      <c r="L532" s="100">
        <v>15.78</v>
      </c>
      <c r="M532" s="100">
        <v>0.72</v>
      </c>
      <c r="N532" s="100">
        <v>8.18</v>
      </c>
      <c r="O532" s="98" t="s">
        <v>48</v>
      </c>
      <c r="P532" s="98">
        <v>4</v>
      </c>
      <c r="Q532" s="98">
        <v>10</v>
      </c>
      <c r="R532" s="98" t="s">
        <v>49</v>
      </c>
      <c r="S532" s="98" t="s">
        <v>50</v>
      </c>
      <c r="T532" s="98" t="s">
        <v>50</v>
      </c>
      <c r="U532" s="98" t="s">
        <v>50</v>
      </c>
      <c r="V532" s="98" t="s">
        <v>50</v>
      </c>
      <c r="W532" s="98" t="s">
        <v>50</v>
      </c>
      <c r="X532" s="98" t="s">
        <v>50</v>
      </c>
    </row>
    <row r="533" spans="1:25" x14ac:dyDescent="0.25">
      <c r="A533" s="194">
        <v>44123</v>
      </c>
      <c r="B533" s="98" t="s">
        <v>43</v>
      </c>
      <c r="C533" s="98" t="s">
        <v>78</v>
      </c>
      <c r="D533" s="98">
        <v>38.059159999999999</v>
      </c>
      <c r="E533" s="98">
        <v>-121.86536</v>
      </c>
      <c r="F533" s="98" t="s">
        <v>1485</v>
      </c>
      <c r="G533" s="98" t="s">
        <v>27</v>
      </c>
      <c r="H533" s="98" t="s">
        <v>101</v>
      </c>
      <c r="I533" s="621">
        <v>0.47847222222222219</v>
      </c>
      <c r="J533" s="100">
        <v>10414.5</v>
      </c>
      <c r="K533" s="100">
        <v>20.3</v>
      </c>
      <c r="L533" s="100">
        <v>11.99</v>
      </c>
      <c r="M533" s="100">
        <v>0.96</v>
      </c>
      <c r="N533" s="100">
        <v>12.68</v>
      </c>
      <c r="O533" s="98" t="s">
        <v>48</v>
      </c>
      <c r="P533" s="98">
        <v>4</v>
      </c>
      <c r="Q533" s="98">
        <v>10</v>
      </c>
      <c r="R533" s="98" t="s">
        <v>49</v>
      </c>
      <c r="S533" s="98" t="s">
        <v>50</v>
      </c>
      <c r="T533" s="98" t="s">
        <v>50</v>
      </c>
      <c r="U533" s="98" t="s">
        <v>50</v>
      </c>
      <c r="V533" s="98" t="s">
        <v>50</v>
      </c>
      <c r="W533" s="98" t="s">
        <v>50</v>
      </c>
      <c r="X533" s="98" t="s">
        <v>50</v>
      </c>
    </row>
    <row r="534" spans="1:25" x14ac:dyDescent="0.25">
      <c r="A534" s="194">
        <v>44123</v>
      </c>
      <c r="B534" s="98" t="s">
        <v>43</v>
      </c>
      <c r="C534" s="98" t="s">
        <v>78</v>
      </c>
      <c r="D534" s="98">
        <v>38.067230000000002</v>
      </c>
      <c r="E534" s="98">
        <v>-121.97935</v>
      </c>
      <c r="F534" s="98" t="s">
        <v>1486</v>
      </c>
      <c r="G534" s="98" t="s">
        <v>27</v>
      </c>
      <c r="H534" s="98" t="s">
        <v>86</v>
      </c>
      <c r="I534" s="621">
        <v>0.4055555555555555</v>
      </c>
      <c r="J534" s="100">
        <v>17556.75</v>
      </c>
      <c r="K534" s="100">
        <v>19.920000000000002</v>
      </c>
      <c r="L534" s="100">
        <v>18.45</v>
      </c>
      <c r="M534" s="100">
        <v>0.69</v>
      </c>
      <c r="N534" s="100">
        <v>5.62</v>
      </c>
      <c r="O534" s="98" t="s">
        <v>48</v>
      </c>
      <c r="P534" s="98">
        <v>4</v>
      </c>
      <c r="Q534" s="98">
        <v>10</v>
      </c>
      <c r="R534" s="98" t="s">
        <v>49</v>
      </c>
      <c r="S534" s="98" t="s">
        <v>50</v>
      </c>
      <c r="T534" s="98" t="s">
        <v>50</v>
      </c>
      <c r="U534" s="98" t="s">
        <v>50</v>
      </c>
      <c r="V534" s="98" t="s">
        <v>50</v>
      </c>
      <c r="W534" s="98" t="s">
        <v>50</v>
      </c>
      <c r="X534" s="98" t="s">
        <v>50</v>
      </c>
    </row>
    <row r="535" spans="1:25" x14ac:dyDescent="0.25">
      <c r="A535" s="194">
        <v>44124</v>
      </c>
      <c r="B535" s="98" t="s">
        <v>70</v>
      </c>
      <c r="C535" s="98" t="s">
        <v>126</v>
      </c>
      <c r="D535" s="98">
        <v>38.273980000000002</v>
      </c>
      <c r="E535" s="98">
        <v>-121.69477000000001</v>
      </c>
      <c r="F535" s="98" t="s">
        <v>1487</v>
      </c>
      <c r="G535" s="98" t="s">
        <v>90</v>
      </c>
      <c r="H535" s="98" t="s">
        <v>126</v>
      </c>
      <c r="I535" s="621">
        <v>0.3430555555555555</v>
      </c>
      <c r="J535" s="100">
        <v>144</v>
      </c>
      <c r="K535" s="100">
        <v>19.75</v>
      </c>
      <c r="L535" s="100">
        <v>6.81</v>
      </c>
      <c r="M535" s="100">
        <v>1.65</v>
      </c>
      <c r="N535" s="100">
        <v>6.08</v>
      </c>
      <c r="O535" s="98" t="s">
        <v>48</v>
      </c>
      <c r="P535" s="98">
        <v>4</v>
      </c>
      <c r="Q535" s="98">
        <v>10</v>
      </c>
      <c r="R535" s="98" t="s">
        <v>64</v>
      </c>
      <c r="S535" s="98" t="s">
        <v>50</v>
      </c>
      <c r="T535" s="98" t="s">
        <v>50</v>
      </c>
      <c r="U535" s="98" t="s">
        <v>50</v>
      </c>
      <c r="V535" s="98" t="s">
        <v>50</v>
      </c>
      <c r="W535" s="98" t="s">
        <v>50</v>
      </c>
      <c r="X535" s="98" t="s">
        <v>50</v>
      </c>
    </row>
    <row r="536" spans="1:25" s="154" customFormat="1" x14ac:dyDescent="0.25">
      <c r="A536" s="195">
        <v>44124</v>
      </c>
      <c r="B536" s="154" t="s">
        <v>70</v>
      </c>
      <c r="C536" s="154" t="s">
        <v>126</v>
      </c>
      <c r="D536" s="154">
        <v>38.297939999999997</v>
      </c>
      <c r="E536" s="154">
        <v>-121.72953</v>
      </c>
      <c r="F536" s="154" t="s">
        <v>1488</v>
      </c>
      <c r="G536" s="154" t="s">
        <v>90</v>
      </c>
      <c r="H536" s="154" t="s">
        <v>126</v>
      </c>
      <c r="I536" s="636">
        <v>0.3833333333333333</v>
      </c>
      <c r="J536" s="156" t="s">
        <v>50</v>
      </c>
      <c r="K536" s="156" t="s">
        <v>50</v>
      </c>
      <c r="L536" s="156" t="s">
        <v>50</v>
      </c>
      <c r="M536" s="156" t="s">
        <v>50</v>
      </c>
      <c r="N536" s="156" t="s">
        <v>50</v>
      </c>
      <c r="O536" s="154" t="s">
        <v>48</v>
      </c>
      <c r="P536" s="154">
        <v>0</v>
      </c>
      <c r="Q536" s="154" t="s">
        <v>50</v>
      </c>
      <c r="R536" s="154" t="s">
        <v>50</v>
      </c>
      <c r="S536" s="154" t="s">
        <v>50</v>
      </c>
      <c r="T536" s="154" t="s">
        <v>50</v>
      </c>
      <c r="U536" s="154" t="s">
        <v>50</v>
      </c>
      <c r="V536" s="154" t="s">
        <v>50</v>
      </c>
      <c r="W536" s="154" t="s">
        <v>50</v>
      </c>
      <c r="X536" s="154" t="s">
        <v>50</v>
      </c>
      <c r="Y536" s="627" t="s">
        <v>784</v>
      </c>
    </row>
    <row r="537" spans="1:25" s="154" customFormat="1" x14ac:dyDescent="0.25">
      <c r="A537" s="195">
        <v>44124</v>
      </c>
      <c r="B537" s="154" t="s">
        <v>70</v>
      </c>
      <c r="C537" s="154" t="s">
        <v>126</v>
      </c>
      <c r="D537" s="154">
        <v>38.266759999999998</v>
      </c>
      <c r="E537" s="154">
        <v>-121.69763</v>
      </c>
      <c r="F537" s="154" t="s">
        <v>1489</v>
      </c>
      <c r="G537" s="154" t="s">
        <v>90</v>
      </c>
      <c r="H537" s="154" t="s">
        <v>126</v>
      </c>
      <c r="I537" s="636">
        <v>0.3888888888888889</v>
      </c>
      <c r="J537" s="156" t="s">
        <v>50</v>
      </c>
      <c r="K537" s="156" t="s">
        <v>50</v>
      </c>
      <c r="L537" s="156" t="s">
        <v>50</v>
      </c>
      <c r="M537" s="156" t="s">
        <v>50</v>
      </c>
      <c r="N537" s="156" t="s">
        <v>50</v>
      </c>
      <c r="O537" s="154" t="s">
        <v>48</v>
      </c>
      <c r="P537" s="154">
        <v>0</v>
      </c>
      <c r="Q537" s="154" t="s">
        <v>50</v>
      </c>
      <c r="R537" s="154" t="s">
        <v>50</v>
      </c>
      <c r="S537" s="154" t="s">
        <v>50</v>
      </c>
      <c r="T537" s="154" t="s">
        <v>50</v>
      </c>
      <c r="U537" s="154" t="s">
        <v>50</v>
      </c>
      <c r="V537" s="154" t="s">
        <v>50</v>
      </c>
      <c r="W537" s="154" t="s">
        <v>50</v>
      </c>
      <c r="X537" s="154" t="s">
        <v>50</v>
      </c>
      <c r="Y537" s="627" t="s">
        <v>784</v>
      </c>
    </row>
    <row r="538" spans="1:25" x14ac:dyDescent="0.25">
      <c r="A538" s="194">
        <v>44124</v>
      </c>
      <c r="B538" s="98" t="s">
        <v>70</v>
      </c>
      <c r="C538" s="98" t="s">
        <v>126</v>
      </c>
      <c r="D538" s="98">
        <v>38.241900000000001</v>
      </c>
      <c r="E538" s="98">
        <v>-121.68649000000001</v>
      </c>
      <c r="F538" s="98" t="s">
        <v>1490</v>
      </c>
      <c r="G538" s="98" t="s">
        <v>90</v>
      </c>
      <c r="H538" s="98" t="s">
        <v>126</v>
      </c>
      <c r="I538" s="621">
        <v>0.39652777777777781</v>
      </c>
      <c r="J538" s="100">
        <v>136.15</v>
      </c>
      <c r="K538" s="100">
        <v>19.600000000000001</v>
      </c>
      <c r="L538" s="100">
        <v>7.54</v>
      </c>
      <c r="M538" s="100">
        <v>1.8</v>
      </c>
      <c r="N538" s="100">
        <v>12.25</v>
      </c>
      <c r="O538" s="98" t="s">
        <v>48</v>
      </c>
      <c r="P538" s="98">
        <v>2</v>
      </c>
      <c r="Q538" s="98">
        <v>10</v>
      </c>
      <c r="R538" s="98" t="s">
        <v>64</v>
      </c>
      <c r="S538" s="98" t="s">
        <v>50</v>
      </c>
      <c r="T538" s="98" t="s">
        <v>50</v>
      </c>
      <c r="U538" s="98" t="s">
        <v>50</v>
      </c>
      <c r="V538" s="98" t="s">
        <v>50</v>
      </c>
      <c r="W538" s="98" t="s">
        <v>50</v>
      </c>
      <c r="X538" s="98" t="s">
        <v>50</v>
      </c>
      <c r="Y538" s="622" t="s">
        <v>1491</v>
      </c>
    </row>
    <row r="539" spans="1:25" x14ac:dyDescent="0.25">
      <c r="A539" s="194">
        <v>44124</v>
      </c>
      <c r="B539" s="98" t="s">
        <v>70</v>
      </c>
      <c r="C539" s="98" t="s">
        <v>126</v>
      </c>
      <c r="D539" s="98">
        <v>38.32396</v>
      </c>
      <c r="E539" s="98">
        <v>-121.65315</v>
      </c>
      <c r="F539" s="98" t="s">
        <v>1492</v>
      </c>
      <c r="G539" s="98" t="s">
        <v>90</v>
      </c>
      <c r="H539" s="98" t="s">
        <v>126</v>
      </c>
      <c r="I539" s="621">
        <v>0.42708333333333331</v>
      </c>
      <c r="J539" s="100">
        <v>157.83000000000001</v>
      </c>
      <c r="K539" s="100">
        <v>20.3</v>
      </c>
      <c r="L539" s="100">
        <v>6.99</v>
      </c>
      <c r="M539" s="100">
        <v>1.8</v>
      </c>
      <c r="N539" s="100">
        <v>5.17</v>
      </c>
      <c r="O539" s="98" t="s">
        <v>48</v>
      </c>
      <c r="P539" s="98">
        <v>3</v>
      </c>
      <c r="Q539" s="98">
        <v>10</v>
      </c>
      <c r="R539" s="98" t="s">
        <v>64</v>
      </c>
      <c r="S539" s="98" t="s">
        <v>50</v>
      </c>
      <c r="T539" s="98" t="s">
        <v>50</v>
      </c>
      <c r="U539" s="98" t="s">
        <v>50</v>
      </c>
      <c r="V539" s="98" t="s">
        <v>50</v>
      </c>
      <c r="W539" s="98" t="s">
        <v>50</v>
      </c>
      <c r="X539" s="98" t="s">
        <v>50</v>
      </c>
      <c r="Y539" s="622" t="s">
        <v>1493</v>
      </c>
    </row>
    <row r="540" spans="1:25" x14ac:dyDescent="0.25">
      <c r="A540" s="194">
        <v>44124</v>
      </c>
      <c r="B540" s="98" t="s">
        <v>70</v>
      </c>
      <c r="C540" s="98" t="s">
        <v>126</v>
      </c>
      <c r="D540" s="98">
        <v>38.252749999999999</v>
      </c>
      <c r="E540" s="98">
        <v>-121.67189</v>
      </c>
      <c r="F540" s="98" t="s">
        <v>1494</v>
      </c>
      <c r="G540" s="98" t="s">
        <v>90</v>
      </c>
      <c r="H540" s="98" t="s">
        <v>126</v>
      </c>
      <c r="I540" s="621">
        <v>0.48055555555555557</v>
      </c>
      <c r="J540" s="100">
        <v>143.44999999999999</v>
      </c>
      <c r="K540" s="100">
        <v>19.920000000000002</v>
      </c>
      <c r="L540" s="100">
        <v>6.53</v>
      </c>
      <c r="M540" s="100">
        <v>1.8</v>
      </c>
      <c r="N540" s="100">
        <v>4.3499999999999996</v>
      </c>
      <c r="O540" s="98" t="s">
        <v>48</v>
      </c>
      <c r="P540" s="98">
        <v>4</v>
      </c>
      <c r="Q540" s="98">
        <v>10</v>
      </c>
      <c r="R540" s="98" t="s">
        <v>49</v>
      </c>
      <c r="S540" s="98" t="s">
        <v>50</v>
      </c>
      <c r="T540" s="98" t="s">
        <v>50</v>
      </c>
      <c r="U540" s="98" t="s">
        <v>50</v>
      </c>
      <c r="V540" s="98" t="s">
        <v>50</v>
      </c>
      <c r="W540" s="98" t="s">
        <v>50</v>
      </c>
      <c r="X540" s="98" t="s">
        <v>50</v>
      </c>
      <c r="Y540" s="622" t="s">
        <v>1495</v>
      </c>
    </row>
    <row r="541" spans="1:25" x14ac:dyDescent="0.25">
      <c r="A541" s="194">
        <v>44124</v>
      </c>
      <c r="B541" s="98" t="s">
        <v>70</v>
      </c>
      <c r="C541" s="98" t="s">
        <v>88</v>
      </c>
      <c r="D541" s="98">
        <v>38.107390000000002</v>
      </c>
      <c r="E541" s="98">
        <v>-121.70985</v>
      </c>
      <c r="F541" s="98" t="s">
        <v>1496</v>
      </c>
      <c r="G541" s="98" t="s">
        <v>90</v>
      </c>
      <c r="H541" s="98" t="s">
        <v>91</v>
      </c>
      <c r="I541" s="621">
        <v>0.35347222222222219</v>
      </c>
      <c r="J541" s="100">
        <v>2389.25</v>
      </c>
      <c r="K541" s="100">
        <v>20.05</v>
      </c>
      <c r="L541" s="100">
        <v>12.12</v>
      </c>
      <c r="M541" s="100">
        <v>0.82</v>
      </c>
      <c r="N541" s="100">
        <v>5.03</v>
      </c>
      <c r="O541" s="98" t="s">
        <v>48</v>
      </c>
      <c r="P541" s="98">
        <v>4</v>
      </c>
      <c r="Q541" s="98">
        <v>10</v>
      </c>
      <c r="R541" s="98" t="s">
        <v>64</v>
      </c>
      <c r="S541" s="98" t="s">
        <v>50</v>
      </c>
      <c r="T541" s="98" t="s">
        <v>50</v>
      </c>
      <c r="U541" s="98" t="s">
        <v>50</v>
      </c>
      <c r="V541" s="98" t="s">
        <v>50</v>
      </c>
      <c r="W541" s="98" t="s">
        <v>50</v>
      </c>
      <c r="X541" s="98" t="s">
        <v>50</v>
      </c>
      <c r="Y541" s="622" t="s">
        <v>1497</v>
      </c>
    </row>
    <row r="542" spans="1:25" x14ac:dyDescent="0.25">
      <c r="A542" s="194">
        <v>44124</v>
      </c>
      <c r="B542" s="98" t="s">
        <v>70</v>
      </c>
      <c r="C542" s="98" t="s">
        <v>88</v>
      </c>
      <c r="D542" s="98">
        <v>38.091709999999999</v>
      </c>
      <c r="E542" s="98">
        <v>-121.73671</v>
      </c>
      <c r="F542" s="98" t="s">
        <v>1498</v>
      </c>
      <c r="G542" s="98" t="s">
        <v>90</v>
      </c>
      <c r="H542" s="98" t="s">
        <v>91</v>
      </c>
      <c r="I542" s="621">
        <v>0.4145833333333333</v>
      </c>
      <c r="J542" s="100">
        <v>3756</v>
      </c>
      <c r="K542" s="100">
        <v>20.18</v>
      </c>
      <c r="L542" s="100">
        <v>15.35</v>
      </c>
      <c r="M542" s="100">
        <v>0.6</v>
      </c>
      <c r="N542" s="100">
        <v>8.82</v>
      </c>
      <c r="O542" s="98" t="s">
        <v>48</v>
      </c>
      <c r="P542" s="98">
        <v>4</v>
      </c>
      <c r="Q542" s="98">
        <v>10</v>
      </c>
      <c r="R542" s="98" t="s">
        <v>49</v>
      </c>
      <c r="S542" s="98" t="s">
        <v>50</v>
      </c>
      <c r="T542" s="98" t="s">
        <v>50</v>
      </c>
      <c r="U542" s="98" t="s">
        <v>50</v>
      </c>
      <c r="V542" s="98" t="s">
        <v>50</v>
      </c>
      <c r="W542" s="98" t="s">
        <v>50</v>
      </c>
      <c r="X542" s="98" t="s">
        <v>50</v>
      </c>
    </row>
    <row r="543" spans="1:25" x14ac:dyDescent="0.25">
      <c r="A543" s="194">
        <v>44124</v>
      </c>
      <c r="B543" s="98" t="s">
        <v>70</v>
      </c>
      <c r="C543" s="98" t="s">
        <v>88</v>
      </c>
      <c r="D543" s="98">
        <v>38.063090000000003</v>
      </c>
      <c r="E543" s="98">
        <v>-121.78395</v>
      </c>
      <c r="F543" s="98" t="s">
        <v>1499</v>
      </c>
      <c r="G543" s="98" t="s">
        <v>27</v>
      </c>
      <c r="H543" s="98" t="s">
        <v>25</v>
      </c>
      <c r="I543" s="621">
        <v>0.47430555555555554</v>
      </c>
      <c r="J543" s="100">
        <v>4852.75</v>
      </c>
      <c r="K543" s="100">
        <v>20.58</v>
      </c>
      <c r="L543" s="100">
        <v>10.06</v>
      </c>
      <c r="M543" s="100">
        <v>0.84</v>
      </c>
      <c r="N543" s="100">
        <v>8.7799999999999994</v>
      </c>
      <c r="O543" s="98" t="s">
        <v>48</v>
      </c>
      <c r="P543" s="98">
        <v>4</v>
      </c>
      <c r="Q543" s="98">
        <v>10</v>
      </c>
      <c r="R543" s="98" t="s">
        <v>49</v>
      </c>
      <c r="S543" s="98" t="s">
        <v>50</v>
      </c>
      <c r="T543" s="98" t="s">
        <v>50</v>
      </c>
      <c r="U543" s="98" t="s">
        <v>50</v>
      </c>
      <c r="V543" s="98" t="s">
        <v>50</v>
      </c>
      <c r="W543" s="98" t="s">
        <v>50</v>
      </c>
      <c r="X543" s="98" t="s">
        <v>50</v>
      </c>
    </row>
    <row r="544" spans="1:25" x14ac:dyDescent="0.25">
      <c r="A544" s="194">
        <v>44124</v>
      </c>
      <c r="B544" s="98" t="s">
        <v>70</v>
      </c>
      <c r="C544" s="98" t="s">
        <v>78</v>
      </c>
      <c r="D544" s="98">
        <v>38.091430000000003</v>
      </c>
      <c r="E544" s="98">
        <v>-122.07080000000001</v>
      </c>
      <c r="F544" s="98" t="s">
        <v>1500</v>
      </c>
      <c r="G544" s="98" t="s">
        <v>80</v>
      </c>
      <c r="H544" s="98" t="s">
        <v>81</v>
      </c>
      <c r="I544" s="621">
        <v>0.35000000000000003</v>
      </c>
      <c r="J544" s="100">
        <v>24391.25</v>
      </c>
      <c r="K544" s="100">
        <v>19.93</v>
      </c>
      <c r="L544" s="100">
        <v>24.02</v>
      </c>
      <c r="M544" s="100">
        <v>0.56000000000000005</v>
      </c>
      <c r="N544" s="100">
        <v>11.55</v>
      </c>
      <c r="O544" s="98" t="s">
        <v>48</v>
      </c>
      <c r="P544" s="98">
        <v>4</v>
      </c>
      <c r="Q544" s="98">
        <v>10</v>
      </c>
      <c r="R544" s="98" t="s">
        <v>49</v>
      </c>
      <c r="S544" s="98" t="s">
        <v>50</v>
      </c>
      <c r="T544" s="98" t="s">
        <v>50</v>
      </c>
      <c r="U544" s="98" t="s">
        <v>50</v>
      </c>
      <c r="V544" s="98" t="s">
        <v>50</v>
      </c>
      <c r="W544" s="98" t="s">
        <v>50</v>
      </c>
      <c r="X544" s="98" t="s">
        <v>50</v>
      </c>
    </row>
    <row r="545" spans="1:25" x14ac:dyDescent="0.25">
      <c r="A545" s="194">
        <v>44124</v>
      </c>
      <c r="B545" s="98" t="s">
        <v>70</v>
      </c>
      <c r="C545" s="98" t="s">
        <v>78</v>
      </c>
      <c r="D545" s="98">
        <v>38.049210000000002</v>
      </c>
      <c r="E545" s="98">
        <v>-121.92033000000001</v>
      </c>
      <c r="F545" s="98" t="s">
        <v>1501</v>
      </c>
      <c r="G545" s="98" t="s">
        <v>27</v>
      </c>
      <c r="H545" s="98" t="s">
        <v>101</v>
      </c>
      <c r="I545" s="621">
        <v>0.41041666666666665</v>
      </c>
      <c r="J545" s="100">
        <v>15544.67</v>
      </c>
      <c r="K545" s="100">
        <v>19.97</v>
      </c>
      <c r="L545" s="100">
        <v>13.6</v>
      </c>
      <c r="M545" s="100">
        <v>0.76</v>
      </c>
      <c r="N545" s="100">
        <v>11.93</v>
      </c>
      <c r="O545" s="98" t="s">
        <v>48</v>
      </c>
      <c r="P545" s="98">
        <v>4</v>
      </c>
      <c r="Q545" s="98">
        <v>10</v>
      </c>
      <c r="R545" s="98" t="s">
        <v>49</v>
      </c>
      <c r="S545" s="98" t="s">
        <v>50</v>
      </c>
      <c r="T545" s="98" t="s">
        <v>50</v>
      </c>
      <c r="U545" s="98" t="s">
        <v>50</v>
      </c>
      <c r="V545" s="98" t="s">
        <v>50</v>
      </c>
      <c r="W545" s="98" t="s">
        <v>50</v>
      </c>
      <c r="X545" s="98" t="s">
        <v>50</v>
      </c>
    </row>
    <row r="546" spans="1:25" x14ac:dyDescent="0.25">
      <c r="A546" s="194">
        <v>44124</v>
      </c>
      <c r="B546" s="98" t="s">
        <v>70</v>
      </c>
      <c r="C546" s="98" t="s">
        <v>78</v>
      </c>
      <c r="D546" s="98">
        <v>38.045879999999997</v>
      </c>
      <c r="E546" s="98">
        <v>-121.83514</v>
      </c>
      <c r="F546" s="98" t="s">
        <v>1502</v>
      </c>
      <c r="G546" s="98" t="s">
        <v>27</v>
      </c>
      <c r="H546" s="98" t="s">
        <v>101</v>
      </c>
      <c r="I546" s="621">
        <v>0.47222222222222227</v>
      </c>
      <c r="J546" s="100">
        <v>9031</v>
      </c>
      <c r="K546" s="100">
        <v>20.45</v>
      </c>
      <c r="L546" s="100">
        <v>8.2799999999999994</v>
      </c>
      <c r="M546" s="100">
        <v>1.1000000000000001</v>
      </c>
      <c r="N546" s="100">
        <v>9.3800000000000008</v>
      </c>
      <c r="O546" s="98" t="s">
        <v>48</v>
      </c>
      <c r="P546" s="98">
        <v>4</v>
      </c>
      <c r="Q546" s="98">
        <v>10</v>
      </c>
      <c r="R546" s="98" t="s">
        <v>49</v>
      </c>
      <c r="S546" s="98" t="s">
        <v>50</v>
      </c>
      <c r="T546" s="98" t="s">
        <v>50</v>
      </c>
      <c r="U546" s="98" t="s">
        <v>50</v>
      </c>
      <c r="V546" s="98" t="s">
        <v>50</v>
      </c>
      <c r="W546" s="98" t="s">
        <v>50</v>
      </c>
      <c r="X546" s="98" t="s">
        <v>50</v>
      </c>
      <c r="Y546" s="622" t="s">
        <v>1503</v>
      </c>
    </row>
    <row r="547" spans="1:25" x14ac:dyDescent="0.25">
      <c r="A547" s="194">
        <v>44125</v>
      </c>
      <c r="B547" s="98" t="s">
        <v>87</v>
      </c>
      <c r="C547" s="98" t="s">
        <v>95</v>
      </c>
      <c r="D547" s="98">
        <v>38.082059999999998</v>
      </c>
      <c r="E547" s="98">
        <v>-121.57011</v>
      </c>
      <c r="F547" s="98" t="s">
        <v>1504</v>
      </c>
      <c r="G547" s="98" t="s">
        <v>46</v>
      </c>
      <c r="H547" s="98" t="s">
        <v>115</v>
      </c>
      <c r="I547" s="621">
        <v>0.3520833333333333</v>
      </c>
      <c r="J547" s="100">
        <v>305.18</v>
      </c>
      <c r="K547" s="100">
        <v>20.399999999999999</v>
      </c>
      <c r="L547" s="100">
        <v>5.57</v>
      </c>
      <c r="M547" s="100">
        <v>1.8</v>
      </c>
      <c r="N547" s="100">
        <v>5.75</v>
      </c>
      <c r="O547" s="98" t="s">
        <v>48</v>
      </c>
      <c r="P547" s="98">
        <v>4</v>
      </c>
      <c r="Q547" s="98">
        <v>10</v>
      </c>
      <c r="R547" s="98" t="s">
        <v>49</v>
      </c>
      <c r="S547" s="98" t="s">
        <v>50</v>
      </c>
      <c r="T547" s="98" t="s">
        <v>50</v>
      </c>
      <c r="U547" s="98" t="s">
        <v>50</v>
      </c>
      <c r="V547" s="98" t="s">
        <v>50</v>
      </c>
      <c r="W547" s="98" t="s">
        <v>50</v>
      </c>
      <c r="X547" s="98" t="s">
        <v>50</v>
      </c>
    </row>
    <row r="548" spans="1:25" x14ac:dyDescent="0.25">
      <c r="A548" s="194">
        <v>44125</v>
      </c>
      <c r="B548" s="98" t="s">
        <v>87</v>
      </c>
      <c r="C548" s="98" t="s">
        <v>95</v>
      </c>
      <c r="D548" s="98">
        <v>38.088009999999997</v>
      </c>
      <c r="E548" s="98">
        <v>-121.57498</v>
      </c>
      <c r="F548" s="98" t="s">
        <v>1505</v>
      </c>
      <c r="G548" s="98" t="s">
        <v>46</v>
      </c>
      <c r="H548" s="98" t="s">
        <v>115</v>
      </c>
      <c r="I548" s="621">
        <v>0.40347222222222223</v>
      </c>
      <c r="J548" s="100">
        <v>396.7</v>
      </c>
      <c r="K548" s="100">
        <v>20.5</v>
      </c>
      <c r="L548" s="100">
        <v>8.26</v>
      </c>
      <c r="M548" s="100">
        <v>1.51</v>
      </c>
      <c r="N548" s="100">
        <v>12</v>
      </c>
      <c r="O548" s="98" t="s">
        <v>48</v>
      </c>
      <c r="P548" s="98">
        <v>4</v>
      </c>
      <c r="Q548" s="98">
        <v>10</v>
      </c>
      <c r="R548" s="98" t="s">
        <v>49</v>
      </c>
      <c r="S548" s="98" t="s">
        <v>50</v>
      </c>
      <c r="T548" s="98" t="s">
        <v>50</v>
      </c>
      <c r="U548" s="98" t="s">
        <v>50</v>
      </c>
      <c r="V548" s="98" t="s">
        <v>50</v>
      </c>
      <c r="W548" s="98" t="s">
        <v>50</v>
      </c>
      <c r="X548" s="98" t="s">
        <v>50</v>
      </c>
    </row>
    <row r="549" spans="1:25" x14ac:dyDescent="0.25">
      <c r="A549" s="194">
        <v>44125</v>
      </c>
      <c r="B549" s="98" t="s">
        <v>87</v>
      </c>
      <c r="C549" s="98" t="s">
        <v>95</v>
      </c>
      <c r="D549" s="98">
        <v>38.086300000000001</v>
      </c>
      <c r="E549" s="98">
        <v>-121.67922</v>
      </c>
      <c r="F549" s="98" t="s">
        <v>1506</v>
      </c>
      <c r="G549" s="98" t="s">
        <v>46</v>
      </c>
      <c r="H549" s="98" t="s">
        <v>97</v>
      </c>
      <c r="I549" s="621">
        <v>0.4604166666666667</v>
      </c>
      <c r="J549" s="100">
        <v>1265.5</v>
      </c>
      <c r="K549" s="100">
        <v>20.6</v>
      </c>
      <c r="L549" s="100">
        <v>6.16</v>
      </c>
      <c r="M549" s="100">
        <v>1.77</v>
      </c>
      <c r="N549" s="100">
        <v>14.25</v>
      </c>
      <c r="O549" s="98" t="s">
        <v>48</v>
      </c>
      <c r="P549" s="98">
        <v>4</v>
      </c>
      <c r="Q549" s="98">
        <v>10</v>
      </c>
      <c r="R549" s="98" t="s">
        <v>64</v>
      </c>
      <c r="S549" s="98" t="s">
        <v>50</v>
      </c>
      <c r="T549" s="98" t="s">
        <v>50</v>
      </c>
      <c r="U549" s="98" t="s">
        <v>50</v>
      </c>
      <c r="V549" s="98" t="s">
        <v>50</v>
      </c>
      <c r="W549" s="98" t="s">
        <v>50</v>
      </c>
      <c r="X549" s="98" t="s">
        <v>50</v>
      </c>
    </row>
    <row r="550" spans="1:25" x14ac:dyDescent="0.25">
      <c r="A550" s="194">
        <v>44125</v>
      </c>
      <c r="B550" s="98" t="s">
        <v>87</v>
      </c>
      <c r="C550" s="98" t="s">
        <v>62</v>
      </c>
      <c r="D550" s="98">
        <v>38.124720000000003</v>
      </c>
      <c r="E550" s="98">
        <v>-122.08152</v>
      </c>
      <c r="F550" s="98" t="s">
        <v>1507</v>
      </c>
      <c r="G550" s="98" t="s">
        <v>27</v>
      </c>
      <c r="H550" s="98" t="s">
        <v>62</v>
      </c>
      <c r="I550" s="621">
        <v>0.35069444444444442</v>
      </c>
      <c r="J550" s="100">
        <v>18570.75</v>
      </c>
      <c r="K550" s="100">
        <v>19.350000000000001</v>
      </c>
      <c r="L550" s="100">
        <v>22.65</v>
      </c>
      <c r="M550" s="100">
        <v>0.48</v>
      </c>
      <c r="N550" s="100">
        <v>4.3</v>
      </c>
      <c r="O550" s="98" t="s">
        <v>48</v>
      </c>
      <c r="P550" s="98">
        <v>4</v>
      </c>
      <c r="Q550" s="98">
        <v>10</v>
      </c>
      <c r="R550" s="98" t="s">
        <v>49</v>
      </c>
      <c r="S550" s="98" t="s">
        <v>50</v>
      </c>
      <c r="T550" s="98" t="s">
        <v>50</v>
      </c>
      <c r="U550" s="98" t="s">
        <v>50</v>
      </c>
      <c r="V550" s="98" t="s">
        <v>50</v>
      </c>
      <c r="W550" s="98" t="s">
        <v>50</v>
      </c>
      <c r="X550" s="98" t="s">
        <v>50</v>
      </c>
    </row>
    <row r="551" spans="1:25" x14ac:dyDescent="0.25">
      <c r="A551" s="194">
        <v>44125</v>
      </c>
      <c r="B551" s="98" t="s">
        <v>87</v>
      </c>
      <c r="C551" s="98" t="s">
        <v>62</v>
      </c>
      <c r="D551" s="98">
        <v>38.1051</v>
      </c>
      <c r="E551" s="98">
        <v>-122.03883999999999</v>
      </c>
      <c r="F551" s="98" t="s">
        <v>1508</v>
      </c>
      <c r="G551" s="98" t="s">
        <v>27</v>
      </c>
      <c r="H551" s="98" t="s">
        <v>173</v>
      </c>
      <c r="I551" s="621">
        <v>0.40347222222222223</v>
      </c>
      <c r="J551" s="100">
        <v>23474.75</v>
      </c>
      <c r="K551" s="100">
        <v>20.05</v>
      </c>
      <c r="L551" s="100">
        <v>19.28</v>
      </c>
      <c r="M551" s="100">
        <v>0.67</v>
      </c>
      <c r="N551" s="100">
        <v>3.38</v>
      </c>
      <c r="O551" s="98" t="s">
        <v>48</v>
      </c>
      <c r="P551" s="98">
        <v>4</v>
      </c>
      <c r="Q551" s="98">
        <v>10</v>
      </c>
      <c r="R551" s="98" t="s">
        <v>64</v>
      </c>
      <c r="S551" s="98" t="s">
        <v>50</v>
      </c>
      <c r="T551" s="98" t="s">
        <v>50</v>
      </c>
      <c r="U551" s="98" t="s">
        <v>50</v>
      </c>
      <c r="V551" s="98" t="s">
        <v>50</v>
      </c>
      <c r="W551" s="98" t="s">
        <v>50</v>
      </c>
      <c r="X551" s="98" t="s">
        <v>50</v>
      </c>
      <c r="Y551" s="622" t="s">
        <v>1509</v>
      </c>
    </row>
    <row r="552" spans="1:25" x14ac:dyDescent="0.25">
      <c r="A552" s="194">
        <v>44125</v>
      </c>
      <c r="B552" s="98" t="s">
        <v>87</v>
      </c>
      <c r="C552" s="98" t="s">
        <v>62</v>
      </c>
      <c r="D552" s="98">
        <v>38.109290000000001</v>
      </c>
      <c r="E552" s="98">
        <v>-122.05956999999999</v>
      </c>
      <c r="F552" s="98" t="s">
        <v>1510</v>
      </c>
      <c r="G552" s="98" t="s">
        <v>27</v>
      </c>
      <c r="H552" s="98" t="s">
        <v>173</v>
      </c>
      <c r="I552" s="621">
        <v>0.45833333333333331</v>
      </c>
      <c r="J552" s="100">
        <v>20028</v>
      </c>
      <c r="K552" s="100">
        <v>20.03</v>
      </c>
      <c r="L552" s="100">
        <v>16.38</v>
      </c>
      <c r="M552" s="100">
        <v>0.61</v>
      </c>
      <c r="N552" s="100">
        <v>2.6</v>
      </c>
      <c r="O552" s="98" t="s">
        <v>48</v>
      </c>
      <c r="P552" s="98">
        <v>4</v>
      </c>
      <c r="Q552" s="98">
        <v>10</v>
      </c>
      <c r="R552" s="98" t="s">
        <v>49</v>
      </c>
      <c r="S552" s="98" t="s">
        <v>50</v>
      </c>
      <c r="T552" s="98" t="s">
        <v>50</v>
      </c>
      <c r="U552" s="98" t="s">
        <v>50</v>
      </c>
      <c r="V552" s="98" t="s">
        <v>50</v>
      </c>
      <c r="W552" s="98" t="s">
        <v>50</v>
      </c>
      <c r="X552" s="98" t="s">
        <v>50</v>
      </c>
    </row>
    <row r="553" spans="1:25" x14ac:dyDescent="0.25">
      <c r="A553" s="194">
        <v>44125</v>
      </c>
      <c r="B553" s="98" t="s">
        <v>87</v>
      </c>
      <c r="C553" s="98" t="s">
        <v>106</v>
      </c>
      <c r="D553" s="98">
        <v>38.235370000000003</v>
      </c>
      <c r="E553" s="98">
        <v>-121.67398</v>
      </c>
      <c r="F553" s="98" t="s">
        <v>1511</v>
      </c>
      <c r="G553" s="98" t="s">
        <v>90</v>
      </c>
      <c r="H553" s="98" t="s">
        <v>108</v>
      </c>
      <c r="I553" s="621">
        <v>0.49513888888888885</v>
      </c>
      <c r="J553" s="100">
        <v>138.5</v>
      </c>
      <c r="K553" s="100">
        <v>20</v>
      </c>
      <c r="L553" s="100">
        <v>6.31</v>
      </c>
      <c r="M553" s="100">
        <v>1.8</v>
      </c>
      <c r="N553" s="100">
        <v>11.17</v>
      </c>
      <c r="O553" s="98" t="s">
        <v>48</v>
      </c>
      <c r="P553" s="98">
        <v>4</v>
      </c>
      <c r="Q553" s="98">
        <v>10</v>
      </c>
      <c r="R553" s="98" t="s">
        <v>49</v>
      </c>
      <c r="S553" s="98" t="s">
        <v>50</v>
      </c>
      <c r="T553" s="98" t="s">
        <v>50</v>
      </c>
      <c r="U553" s="98" t="s">
        <v>50</v>
      </c>
      <c r="V553" s="98" t="s">
        <v>50</v>
      </c>
      <c r="W553" s="98" t="s">
        <v>50</v>
      </c>
      <c r="X553" s="98" t="s">
        <v>50</v>
      </c>
    </row>
    <row r="554" spans="1:25" x14ac:dyDescent="0.25">
      <c r="A554" s="194">
        <v>44125</v>
      </c>
      <c r="B554" s="98" t="s">
        <v>87</v>
      </c>
      <c r="C554" s="98" t="s">
        <v>106</v>
      </c>
      <c r="D554" s="98">
        <v>38.308889999999998</v>
      </c>
      <c r="E554" s="98">
        <v>-121.6533</v>
      </c>
      <c r="F554" s="98" t="s">
        <v>1512</v>
      </c>
      <c r="G554" s="98" t="s">
        <v>90</v>
      </c>
      <c r="H554" s="98" t="s">
        <v>108</v>
      </c>
      <c r="I554" s="621">
        <v>0.43263888888888885</v>
      </c>
      <c r="J554" s="100">
        <v>184.67</v>
      </c>
      <c r="K554" s="100">
        <v>20.100000000000001</v>
      </c>
      <c r="L554" s="100">
        <v>16.600000000000001</v>
      </c>
      <c r="M554" s="100">
        <v>0.98</v>
      </c>
      <c r="N554" s="100">
        <v>9.0500000000000007</v>
      </c>
      <c r="O554" s="98" t="s">
        <v>48</v>
      </c>
      <c r="P554" s="98">
        <v>4</v>
      </c>
      <c r="Q554" s="98">
        <v>10</v>
      </c>
      <c r="R554" s="98" t="s">
        <v>64</v>
      </c>
      <c r="S554" s="98" t="s">
        <v>50</v>
      </c>
      <c r="T554" s="98" t="s">
        <v>50</v>
      </c>
      <c r="U554" s="98" t="s">
        <v>50</v>
      </c>
      <c r="V554" s="98" t="s">
        <v>50</v>
      </c>
      <c r="W554" s="98" t="s">
        <v>50</v>
      </c>
      <c r="X554" s="98" t="s">
        <v>50</v>
      </c>
    </row>
    <row r="555" spans="1:25" x14ac:dyDescent="0.25">
      <c r="A555" s="194">
        <v>44125</v>
      </c>
      <c r="B555" s="98" t="s">
        <v>87</v>
      </c>
      <c r="C555" s="98" t="s">
        <v>106</v>
      </c>
      <c r="D555" s="98">
        <v>38.44576</v>
      </c>
      <c r="E555" s="98">
        <v>-121.5968</v>
      </c>
      <c r="F555" s="98" t="s">
        <v>1513</v>
      </c>
      <c r="G555" s="98" t="s">
        <v>90</v>
      </c>
      <c r="H555" s="98" t="s">
        <v>108</v>
      </c>
      <c r="I555" s="621">
        <v>0.35694444444444445</v>
      </c>
      <c r="J555" s="100">
        <v>538.25</v>
      </c>
      <c r="K555" s="100">
        <v>20.399999999999999</v>
      </c>
      <c r="L555" s="100">
        <v>82.1</v>
      </c>
      <c r="M555" s="100">
        <v>0.18</v>
      </c>
      <c r="N555" s="100">
        <v>8.5</v>
      </c>
      <c r="O555" s="98" t="s">
        <v>48</v>
      </c>
      <c r="P555" s="98">
        <v>4</v>
      </c>
      <c r="Q555" s="98">
        <v>10</v>
      </c>
      <c r="R555" s="98" t="s">
        <v>64</v>
      </c>
      <c r="S555" s="98" t="s">
        <v>50</v>
      </c>
      <c r="T555" s="98" t="s">
        <v>50</v>
      </c>
      <c r="U555" s="98" t="s">
        <v>50</v>
      </c>
      <c r="V555" s="98" t="s">
        <v>50</v>
      </c>
      <c r="W555" s="98" t="s">
        <v>50</v>
      </c>
      <c r="X555" s="98" t="s">
        <v>50</v>
      </c>
      <c r="Y555" s="622" t="s">
        <v>1514</v>
      </c>
    </row>
    <row r="556" spans="1:25" x14ac:dyDescent="0.25">
      <c r="A556" s="194">
        <v>44126</v>
      </c>
      <c r="B556" s="98" t="s">
        <v>105</v>
      </c>
      <c r="C556" s="98" t="s">
        <v>95</v>
      </c>
      <c r="D556" s="98">
        <v>38.024529999999999</v>
      </c>
      <c r="E556" s="98">
        <v>-121.79253</v>
      </c>
      <c r="F556" s="98" t="s">
        <v>1515</v>
      </c>
      <c r="G556" s="98" t="s">
        <v>27</v>
      </c>
      <c r="H556" s="98" t="s">
        <v>95</v>
      </c>
      <c r="I556" s="621">
        <v>0.33749999999999997</v>
      </c>
      <c r="J556" s="100">
        <v>4799.5</v>
      </c>
      <c r="K556" s="100">
        <v>20.53</v>
      </c>
      <c r="L556" s="100">
        <v>6.01</v>
      </c>
      <c r="M556" s="100">
        <v>1.47</v>
      </c>
      <c r="N556" s="100">
        <v>12.03</v>
      </c>
      <c r="O556" s="98" t="s">
        <v>48</v>
      </c>
      <c r="P556" s="98">
        <v>4</v>
      </c>
      <c r="Q556" s="98">
        <v>10</v>
      </c>
      <c r="R556" s="98" t="s">
        <v>64</v>
      </c>
      <c r="S556" s="98" t="s">
        <v>50</v>
      </c>
      <c r="T556" s="98" t="s">
        <v>50</v>
      </c>
      <c r="U556" s="98" t="s">
        <v>50</v>
      </c>
      <c r="V556" s="98" t="s">
        <v>50</v>
      </c>
      <c r="W556" s="98" t="s">
        <v>50</v>
      </c>
      <c r="X556" s="98" t="s">
        <v>50</v>
      </c>
      <c r="Y556" s="622" t="s">
        <v>1516</v>
      </c>
    </row>
    <row r="557" spans="1:25" x14ac:dyDescent="0.25">
      <c r="A557" s="194">
        <v>44126</v>
      </c>
      <c r="B557" s="98" t="s">
        <v>105</v>
      </c>
      <c r="C557" s="98" t="s">
        <v>95</v>
      </c>
      <c r="D557" s="98">
        <v>38.03248</v>
      </c>
      <c r="E557" s="98">
        <v>-121.73591</v>
      </c>
      <c r="F557" s="98" t="s">
        <v>1517</v>
      </c>
      <c r="G557" s="98" t="s">
        <v>27</v>
      </c>
      <c r="H557" s="98" t="s">
        <v>95</v>
      </c>
      <c r="I557" s="621">
        <v>0.38611111111111113</v>
      </c>
      <c r="J557" s="100">
        <v>3580</v>
      </c>
      <c r="K557" s="100">
        <v>20.6</v>
      </c>
      <c r="L557" s="100">
        <v>8.3800000000000008</v>
      </c>
      <c r="M557" s="100">
        <v>1.35</v>
      </c>
      <c r="N557" s="100">
        <v>6.85</v>
      </c>
      <c r="O557" s="98" t="s">
        <v>48</v>
      </c>
      <c r="P557" s="98">
        <v>4</v>
      </c>
      <c r="Q557" s="98">
        <v>10</v>
      </c>
      <c r="R557" s="98" t="s">
        <v>64</v>
      </c>
      <c r="S557" s="98" t="s">
        <v>50</v>
      </c>
      <c r="T557" s="98" t="s">
        <v>50</v>
      </c>
      <c r="U557" s="98" t="s">
        <v>50</v>
      </c>
      <c r="V557" s="98" t="s">
        <v>50</v>
      </c>
      <c r="W557" s="98" t="s">
        <v>50</v>
      </c>
      <c r="X557" s="98" t="s">
        <v>50</v>
      </c>
      <c r="Y557" s="622" t="s">
        <v>1518</v>
      </c>
    </row>
    <row r="558" spans="1:25" x14ac:dyDescent="0.25">
      <c r="A558" s="194">
        <v>44126</v>
      </c>
      <c r="B558" s="98" t="s">
        <v>105</v>
      </c>
      <c r="C558" s="98" t="s">
        <v>95</v>
      </c>
      <c r="D558" s="98">
        <v>38.045740000000002</v>
      </c>
      <c r="E558" s="98">
        <v>-121.70335</v>
      </c>
      <c r="F558" s="98" t="s">
        <v>1519</v>
      </c>
      <c r="G558" s="98" t="s">
        <v>27</v>
      </c>
      <c r="H558" s="98" t="s">
        <v>95</v>
      </c>
      <c r="I558" s="621">
        <v>0.4375</v>
      </c>
      <c r="J558" s="100">
        <v>2763.25</v>
      </c>
      <c r="K558" s="100">
        <v>20.53</v>
      </c>
      <c r="L558" s="100">
        <v>7.41</v>
      </c>
      <c r="M558" s="100">
        <v>1.4</v>
      </c>
      <c r="N558" s="100">
        <v>7.47</v>
      </c>
      <c r="O558" s="98" t="s">
        <v>48</v>
      </c>
      <c r="P558" s="98">
        <v>4</v>
      </c>
      <c r="Q558" s="98">
        <v>10</v>
      </c>
      <c r="R558" s="98" t="s">
        <v>64</v>
      </c>
      <c r="S558" s="98" t="s">
        <v>50</v>
      </c>
      <c r="T558" s="98" t="s">
        <v>50</v>
      </c>
      <c r="U558" s="98" t="s">
        <v>50</v>
      </c>
      <c r="V558" s="98" t="s">
        <v>50</v>
      </c>
      <c r="W558" s="98" t="s">
        <v>50</v>
      </c>
      <c r="X558" s="98" t="s">
        <v>50</v>
      </c>
      <c r="Y558" s="622" t="s">
        <v>139</v>
      </c>
    </row>
    <row r="559" spans="1:25" x14ac:dyDescent="0.25">
      <c r="A559" s="194">
        <v>44126</v>
      </c>
      <c r="B559" s="98" t="s">
        <v>105</v>
      </c>
      <c r="C559" s="98" t="s">
        <v>106</v>
      </c>
      <c r="D559" s="98">
        <v>38.453119999999998</v>
      </c>
      <c r="E559" s="98">
        <v>-121.59265000000001</v>
      </c>
      <c r="F559" s="98" t="s">
        <v>1520</v>
      </c>
      <c r="G559" s="98" t="s">
        <v>90</v>
      </c>
      <c r="H559" s="98" t="s">
        <v>108</v>
      </c>
      <c r="I559" s="621">
        <v>0.3576388888888889</v>
      </c>
      <c r="J559" s="100">
        <v>583.25</v>
      </c>
      <c r="K559" s="100">
        <v>20.25</v>
      </c>
      <c r="L559" s="100">
        <v>62.3</v>
      </c>
      <c r="M559" s="100">
        <v>0.28999999999999998</v>
      </c>
      <c r="N559" s="100">
        <v>8.8800000000000008</v>
      </c>
      <c r="O559" s="98" t="s">
        <v>48</v>
      </c>
      <c r="P559" s="98">
        <v>4</v>
      </c>
      <c r="Q559" s="98">
        <v>10</v>
      </c>
      <c r="R559" s="98" t="s">
        <v>49</v>
      </c>
      <c r="S559" s="98" t="s">
        <v>50</v>
      </c>
      <c r="T559" s="98" t="s">
        <v>50</v>
      </c>
      <c r="U559" s="98" t="s">
        <v>50</v>
      </c>
      <c r="V559" s="98" t="s">
        <v>50</v>
      </c>
      <c r="W559" s="98" t="s">
        <v>50</v>
      </c>
      <c r="X559" s="98" t="s">
        <v>50</v>
      </c>
      <c r="Y559" s="622" t="s">
        <v>1521</v>
      </c>
    </row>
    <row r="560" spans="1:25" x14ac:dyDescent="0.25">
      <c r="A560" s="194">
        <v>44126</v>
      </c>
      <c r="B560" s="98" t="s">
        <v>105</v>
      </c>
      <c r="C560" s="98" t="s">
        <v>106</v>
      </c>
      <c r="D560" s="98">
        <v>38.257680000000001</v>
      </c>
      <c r="E560" s="98">
        <v>-121.66698</v>
      </c>
      <c r="F560" s="98" t="s">
        <v>1522</v>
      </c>
      <c r="G560" s="98" t="s">
        <v>90</v>
      </c>
      <c r="H560" s="98" t="s">
        <v>108</v>
      </c>
      <c r="I560" s="621">
        <v>0.4548611111111111</v>
      </c>
      <c r="J560" s="100">
        <v>138.25</v>
      </c>
      <c r="K560" s="100">
        <v>19.649999999999999</v>
      </c>
      <c r="L560" s="100">
        <v>8.35</v>
      </c>
      <c r="M560" s="100">
        <v>1.8</v>
      </c>
      <c r="N560" s="100">
        <v>10.8</v>
      </c>
      <c r="O560" s="98" t="s">
        <v>48</v>
      </c>
      <c r="P560" s="98">
        <v>4</v>
      </c>
      <c r="Q560" s="98">
        <v>10</v>
      </c>
      <c r="R560" s="98" t="s">
        <v>64</v>
      </c>
      <c r="S560" s="98" t="s">
        <v>50</v>
      </c>
      <c r="T560" s="98" t="s">
        <v>50</v>
      </c>
      <c r="U560" s="98" t="s">
        <v>50</v>
      </c>
      <c r="V560" s="98" t="s">
        <v>50</v>
      </c>
      <c r="W560" s="98" t="s">
        <v>50</v>
      </c>
      <c r="X560" s="98" t="s">
        <v>50</v>
      </c>
      <c r="Y560" s="622" t="s">
        <v>1523</v>
      </c>
    </row>
    <row r="561" spans="1:25" x14ac:dyDescent="0.25">
      <c r="A561" s="194">
        <v>44126</v>
      </c>
      <c r="B561" s="98" t="s">
        <v>105</v>
      </c>
      <c r="C561" s="98" t="s">
        <v>106</v>
      </c>
      <c r="D561" s="98">
        <v>38.20017</v>
      </c>
      <c r="E561" s="98">
        <v>-121.65658000000001</v>
      </c>
      <c r="F561" s="98" t="s">
        <v>1524</v>
      </c>
      <c r="G561" s="98" t="s">
        <v>90</v>
      </c>
      <c r="H561" s="98" t="s">
        <v>108</v>
      </c>
      <c r="I561" s="621">
        <v>0.5131944444444444</v>
      </c>
      <c r="J561" s="100">
        <v>142.69999999999999</v>
      </c>
      <c r="K561" s="100">
        <v>19.53</v>
      </c>
      <c r="L561" s="100">
        <v>5.7</v>
      </c>
      <c r="M561" s="100">
        <v>1.72</v>
      </c>
      <c r="N561" s="100">
        <v>13.55</v>
      </c>
      <c r="O561" s="98" t="s">
        <v>48</v>
      </c>
      <c r="P561" s="98">
        <v>4</v>
      </c>
      <c r="Q561" s="98">
        <v>10</v>
      </c>
      <c r="R561" s="98" t="s">
        <v>49</v>
      </c>
      <c r="S561" s="98" t="s">
        <v>50</v>
      </c>
      <c r="T561" s="98" t="s">
        <v>50</v>
      </c>
      <c r="U561" s="98" t="s">
        <v>50</v>
      </c>
      <c r="V561" s="98" t="s">
        <v>50</v>
      </c>
      <c r="W561" s="98" t="s">
        <v>50</v>
      </c>
      <c r="X561" s="98" t="s">
        <v>50</v>
      </c>
      <c r="Y561" s="622" t="s">
        <v>139</v>
      </c>
    </row>
    <row r="562" spans="1:25" x14ac:dyDescent="0.25">
      <c r="A562" s="194">
        <v>44126</v>
      </c>
      <c r="B562" s="98" t="s">
        <v>105</v>
      </c>
      <c r="C562" s="98" t="s">
        <v>62</v>
      </c>
      <c r="D562" s="98">
        <v>38.173310000000001</v>
      </c>
      <c r="E562" s="98">
        <v>-121.92748</v>
      </c>
      <c r="F562" s="98" t="s">
        <v>1525</v>
      </c>
      <c r="G562" s="98" t="s">
        <v>27</v>
      </c>
      <c r="H562" s="98" t="s">
        <v>62</v>
      </c>
      <c r="I562" s="621">
        <v>0.35972222222222222</v>
      </c>
      <c r="J562" s="100">
        <v>11563</v>
      </c>
      <c r="K562" s="100">
        <v>20.22</v>
      </c>
      <c r="L562" s="100">
        <v>12.82</v>
      </c>
      <c r="M562" s="100">
        <v>0.83</v>
      </c>
      <c r="N562" s="100">
        <v>8.5</v>
      </c>
      <c r="O562" s="98" t="s">
        <v>48</v>
      </c>
      <c r="P562" s="98">
        <v>4</v>
      </c>
      <c r="Q562" s="98">
        <v>10</v>
      </c>
      <c r="R562" s="98" t="s">
        <v>64</v>
      </c>
      <c r="S562" s="98" t="s">
        <v>50</v>
      </c>
      <c r="T562" s="98" t="s">
        <v>50</v>
      </c>
      <c r="U562" s="98" t="s">
        <v>50</v>
      </c>
      <c r="V562" s="98" t="s">
        <v>50</v>
      </c>
      <c r="W562" s="98" t="s">
        <v>50</v>
      </c>
      <c r="X562" s="98" t="s">
        <v>50</v>
      </c>
      <c r="Y562" s="622" t="s">
        <v>1526</v>
      </c>
    </row>
    <row r="563" spans="1:25" x14ac:dyDescent="0.25">
      <c r="A563" s="194">
        <v>44126</v>
      </c>
      <c r="B563" s="98" t="s">
        <v>105</v>
      </c>
      <c r="C563" s="98" t="s">
        <v>62</v>
      </c>
      <c r="D563" s="98">
        <v>38.161679999999997</v>
      </c>
      <c r="E563" s="98">
        <v>-122.04594</v>
      </c>
      <c r="F563" s="98" t="s">
        <v>1527</v>
      </c>
      <c r="G563" s="98" t="s">
        <v>27</v>
      </c>
      <c r="H563" s="98" t="s">
        <v>62</v>
      </c>
      <c r="I563" s="621">
        <v>0.41597222222222219</v>
      </c>
      <c r="J563" s="100">
        <v>15513.5</v>
      </c>
      <c r="K563" s="100">
        <v>20.02</v>
      </c>
      <c r="L563" s="100">
        <v>17.899999999999999</v>
      </c>
      <c r="M563" s="100">
        <v>0.59</v>
      </c>
      <c r="N563" s="100">
        <v>5.97</v>
      </c>
      <c r="O563" s="98" t="s">
        <v>48</v>
      </c>
      <c r="P563" s="98">
        <v>4</v>
      </c>
      <c r="Q563" s="98">
        <v>10</v>
      </c>
      <c r="R563" s="98" t="s">
        <v>49</v>
      </c>
      <c r="S563" s="98" t="s">
        <v>50</v>
      </c>
      <c r="T563" s="98" t="s">
        <v>50</v>
      </c>
      <c r="U563" s="98" t="s">
        <v>50</v>
      </c>
      <c r="V563" s="98" t="s">
        <v>50</v>
      </c>
      <c r="W563" s="98" t="s">
        <v>50</v>
      </c>
      <c r="X563" s="98" t="s">
        <v>50</v>
      </c>
    </row>
    <row r="564" spans="1:25" s="362" customFormat="1" x14ac:dyDescent="0.25">
      <c r="A564" s="360">
        <v>44126</v>
      </c>
      <c r="B564" s="362" t="s">
        <v>105</v>
      </c>
      <c r="C564" s="362" t="s">
        <v>62</v>
      </c>
      <c r="D564" s="362">
        <v>38.107230000000001</v>
      </c>
      <c r="E564" s="362">
        <v>-122.04387</v>
      </c>
      <c r="F564" s="362" t="s">
        <v>1528</v>
      </c>
      <c r="G564" s="362" t="s">
        <v>27</v>
      </c>
      <c r="H564" s="362" t="s">
        <v>173</v>
      </c>
      <c r="I564" s="618">
        <v>0.46736111111111112</v>
      </c>
      <c r="J564" s="364">
        <v>24403.25</v>
      </c>
      <c r="K564" s="364">
        <v>20.13</v>
      </c>
      <c r="L564" s="364">
        <v>13.36</v>
      </c>
      <c r="M564" s="364">
        <v>0.81</v>
      </c>
      <c r="N564" s="364">
        <v>2.75</v>
      </c>
      <c r="O564" s="362" t="s">
        <v>48</v>
      </c>
      <c r="P564" s="362">
        <v>4</v>
      </c>
      <c r="Q564" s="362">
        <v>10</v>
      </c>
      <c r="R564" s="362" t="s">
        <v>49</v>
      </c>
      <c r="S564" s="362" t="s">
        <v>50</v>
      </c>
      <c r="T564" s="362" t="s">
        <v>50</v>
      </c>
      <c r="U564" s="362" t="s">
        <v>50</v>
      </c>
      <c r="V564" s="362" t="s">
        <v>50</v>
      </c>
      <c r="W564" s="362" t="s">
        <v>50</v>
      </c>
      <c r="X564" s="362" t="s">
        <v>50</v>
      </c>
      <c r="Y564" s="603"/>
    </row>
    <row r="565" spans="1:25" s="154" customFormat="1" x14ac:dyDescent="0.25">
      <c r="A565" s="195">
        <v>44130</v>
      </c>
      <c r="B565" s="154" t="s">
        <v>43</v>
      </c>
      <c r="C565" s="154" t="s">
        <v>50</v>
      </c>
      <c r="D565" s="154" t="s">
        <v>50</v>
      </c>
      <c r="E565" s="154" t="s">
        <v>50</v>
      </c>
      <c r="F565" s="154" t="s">
        <v>50</v>
      </c>
      <c r="G565" s="154" t="s">
        <v>50</v>
      </c>
      <c r="H565" s="154" t="s">
        <v>50</v>
      </c>
      <c r="I565" s="636" t="s">
        <v>50</v>
      </c>
      <c r="J565" s="156" t="s">
        <v>50</v>
      </c>
      <c r="K565" s="156" t="s">
        <v>50</v>
      </c>
      <c r="L565" s="156" t="s">
        <v>50</v>
      </c>
      <c r="M565" s="156" t="s">
        <v>50</v>
      </c>
      <c r="N565" s="156" t="s">
        <v>50</v>
      </c>
      <c r="O565" s="154" t="s">
        <v>48</v>
      </c>
      <c r="P565" s="154" t="s">
        <v>50</v>
      </c>
      <c r="Q565" s="154" t="s">
        <v>50</v>
      </c>
      <c r="R565" s="154" t="s">
        <v>50</v>
      </c>
      <c r="S565" s="154" t="s">
        <v>50</v>
      </c>
      <c r="T565" s="154" t="s">
        <v>50</v>
      </c>
      <c r="U565" s="154" t="s">
        <v>50</v>
      </c>
      <c r="V565" s="154" t="s">
        <v>50</v>
      </c>
      <c r="W565" s="154" t="s">
        <v>50</v>
      </c>
      <c r="X565" s="154" t="s">
        <v>50</v>
      </c>
      <c r="Y565" s="627" t="s">
        <v>1529</v>
      </c>
    </row>
    <row r="566" spans="1:25" x14ac:dyDescent="0.25">
      <c r="A566" s="194">
        <v>44131</v>
      </c>
      <c r="B566" s="98" t="s">
        <v>70</v>
      </c>
      <c r="C566" s="98" t="s">
        <v>126</v>
      </c>
      <c r="D566" s="98">
        <v>38.240189999999998</v>
      </c>
      <c r="E566" s="98">
        <v>-121.68633</v>
      </c>
      <c r="F566" s="98" t="s">
        <v>1530</v>
      </c>
      <c r="G566" s="98" t="s">
        <v>90</v>
      </c>
      <c r="H566" s="98" t="s">
        <v>126</v>
      </c>
      <c r="I566" s="621">
        <v>0.39583333333333331</v>
      </c>
      <c r="J566" s="100">
        <v>130.69999999999999</v>
      </c>
      <c r="K566" s="100">
        <v>14.47</v>
      </c>
      <c r="L566" s="100">
        <v>13.12</v>
      </c>
      <c r="M566" s="100">
        <v>0.89</v>
      </c>
      <c r="N566" s="100">
        <v>7.22</v>
      </c>
      <c r="O566" s="98" t="s">
        <v>48</v>
      </c>
      <c r="P566" s="98">
        <v>4</v>
      </c>
      <c r="Q566" s="98">
        <v>10</v>
      </c>
      <c r="R566" s="98" t="s">
        <v>49</v>
      </c>
      <c r="S566" s="98" t="s">
        <v>50</v>
      </c>
      <c r="T566" s="98" t="s">
        <v>50</v>
      </c>
      <c r="U566" s="98" t="s">
        <v>50</v>
      </c>
      <c r="V566" s="98" t="s">
        <v>50</v>
      </c>
      <c r="W566" s="98" t="s">
        <v>50</v>
      </c>
      <c r="X566" s="98" t="s">
        <v>50</v>
      </c>
      <c r="Y566" s="622" t="s">
        <v>1531</v>
      </c>
    </row>
    <row r="567" spans="1:25" x14ac:dyDescent="0.25">
      <c r="A567" s="194">
        <v>44131</v>
      </c>
      <c r="B567" s="98" t="s">
        <v>70</v>
      </c>
      <c r="C567" s="98" t="s">
        <v>126</v>
      </c>
      <c r="D567" s="98">
        <v>38.280070000000002</v>
      </c>
      <c r="E567" s="98">
        <v>-121.66495999999999</v>
      </c>
      <c r="F567" s="98" t="s">
        <v>1532</v>
      </c>
      <c r="G567" s="98" t="s">
        <v>90</v>
      </c>
      <c r="H567" s="98" t="s">
        <v>126</v>
      </c>
      <c r="I567" s="621">
        <v>0.33888888888888885</v>
      </c>
      <c r="J567" s="100">
        <v>133.5</v>
      </c>
      <c r="K567" s="100">
        <v>13.4</v>
      </c>
      <c r="L567" s="100">
        <v>17.57</v>
      </c>
      <c r="M567" s="100">
        <v>0.83</v>
      </c>
      <c r="N567" s="100">
        <v>5.47</v>
      </c>
      <c r="O567" s="98" t="s">
        <v>48</v>
      </c>
      <c r="P567" s="98">
        <v>4</v>
      </c>
      <c r="Q567" s="98">
        <v>10</v>
      </c>
      <c r="R567" s="98" t="s">
        <v>49</v>
      </c>
      <c r="S567" s="98" t="s">
        <v>50</v>
      </c>
      <c r="T567" s="98" t="s">
        <v>50</v>
      </c>
      <c r="U567" s="98" t="s">
        <v>50</v>
      </c>
      <c r="V567" s="98" t="s">
        <v>50</v>
      </c>
      <c r="W567" s="98" t="s">
        <v>50</v>
      </c>
      <c r="X567" s="98" t="s">
        <v>50</v>
      </c>
    </row>
    <row r="568" spans="1:25" x14ac:dyDescent="0.25">
      <c r="A568" s="194">
        <v>44131</v>
      </c>
      <c r="B568" s="98" t="s">
        <v>70</v>
      </c>
      <c r="C568" s="98" t="s">
        <v>126</v>
      </c>
      <c r="D568" s="98">
        <v>38.246899999999997</v>
      </c>
      <c r="E568" s="98">
        <v>-121.69982</v>
      </c>
      <c r="F568" s="98" t="s">
        <v>1533</v>
      </c>
      <c r="G568" s="98" t="s">
        <v>90</v>
      </c>
      <c r="H568" s="98" t="s">
        <v>126</v>
      </c>
      <c r="I568" s="621">
        <v>0.44375000000000003</v>
      </c>
      <c r="J568" s="100">
        <v>132.38</v>
      </c>
      <c r="K568" s="100">
        <v>14.58</v>
      </c>
      <c r="L568" s="100">
        <v>11.08</v>
      </c>
      <c r="M568" s="100">
        <v>1</v>
      </c>
      <c r="N568" s="100">
        <v>6.4</v>
      </c>
      <c r="O568" s="98" t="s">
        <v>48</v>
      </c>
      <c r="P568" s="98">
        <v>4</v>
      </c>
      <c r="Q568" s="98">
        <v>10</v>
      </c>
      <c r="R568" s="98" t="s">
        <v>64</v>
      </c>
      <c r="S568" s="98" t="s">
        <v>50</v>
      </c>
      <c r="T568" s="98" t="s">
        <v>50</v>
      </c>
      <c r="U568" s="98" t="s">
        <v>50</v>
      </c>
      <c r="V568" s="98" t="s">
        <v>50</v>
      </c>
      <c r="W568" s="98" t="s">
        <v>50</v>
      </c>
      <c r="X568" s="98" t="s">
        <v>50</v>
      </c>
    </row>
    <row r="569" spans="1:25" x14ac:dyDescent="0.25">
      <c r="A569" s="194">
        <v>44131</v>
      </c>
      <c r="B569" s="98" t="s">
        <v>70</v>
      </c>
      <c r="C569" s="98" t="s">
        <v>88</v>
      </c>
      <c r="D569" s="98">
        <v>38.107149999999997</v>
      </c>
      <c r="E569" s="98">
        <v>-121.70914999999999</v>
      </c>
      <c r="F569" s="98" t="s">
        <v>1534</v>
      </c>
      <c r="G569" s="98" t="s">
        <v>90</v>
      </c>
      <c r="H569" s="98" t="s">
        <v>91</v>
      </c>
      <c r="I569" s="621">
        <v>0.40833333333333338</v>
      </c>
      <c r="J569" s="100">
        <v>495.2</v>
      </c>
      <c r="K569" s="100">
        <v>16.649999999999999</v>
      </c>
      <c r="L569" s="100">
        <v>9.66</v>
      </c>
      <c r="M569" s="100">
        <v>1.32</v>
      </c>
      <c r="N569" s="100">
        <v>5</v>
      </c>
      <c r="O569" s="98" t="s">
        <v>48</v>
      </c>
      <c r="P569" s="98">
        <v>4</v>
      </c>
      <c r="Q569" s="98">
        <v>10</v>
      </c>
      <c r="R569" s="98" t="s">
        <v>64</v>
      </c>
      <c r="S569" s="98" t="s">
        <v>50</v>
      </c>
      <c r="T569" s="98" t="s">
        <v>50</v>
      </c>
      <c r="U569" s="98" t="s">
        <v>50</v>
      </c>
      <c r="V569" s="98" t="s">
        <v>50</v>
      </c>
      <c r="W569" s="98" t="s">
        <v>50</v>
      </c>
      <c r="X569" s="98" t="s">
        <v>50</v>
      </c>
    </row>
    <row r="570" spans="1:25" x14ac:dyDescent="0.25">
      <c r="A570" s="194">
        <v>44131</v>
      </c>
      <c r="B570" s="98" t="s">
        <v>70</v>
      </c>
      <c r="C570" s="98" t="s">
        <v>88</v>
      </c>
      <c r="D570" s="98">
        <v>38.058210000000003</v>
      </c>
      <c r="E570" s="98">
        <v>-121.80419000000001</v>
      </c>
      <c r="F570" s="98" t="s">
        <v>1535</v>
      </c>
      <c r="G570" s="98" t="s">
        <v>27</v>
      </c>
      <c r="H570" s="98" t="s">
        <v>25</v>
      </c>
      <c r="I570" s="621">
        <v>0.35138888888888892</v>
      </c>
      <c r="J570" s="100">
        <v>3522.25</v>
      </c>
      <c r="K570" s="100">
        <v>16.75</v>
      </c>
      <c r="L570" s="100">
        <v>23.4</v>
      </c>
      <c r="M570" s="100">
        <v>0.51</v>
      </c>
      <c r="N570" s="100">
        <v>8.6199999999999992</v>
      </c>
      <c r="O570" s="98" t="s">
        <v>48</v>
      </c>
      <c r="P570" s="98">
        <v>4</v>
      </c>
      <c r="Q570" s="98">
        <v>10</v>
      </c>
      <c r="R570" s="98" t="s">
        <v>49</v>
      </c>
      <c r="S570" s="98" t="s">
        <v>50</v>
      </c>
      <c r="T570" s="98" t="s">
        <v>50</v>
      </c>
      <c r="U570" s="98" t="s">
        <v>50</v>
      </c>
      <c r="V570" s="98" t="s">
        <v>50</v>
      </c>
      <c r="W570" s="98" t="s">
        <v>50</v>
      </c>
      <c r="X570" s="98" t="s">
        <v>50</v>
      </c>
    </row>
    <row r="571" spans="1:25" x14ac:dyDescent="0.25">
      <c r="A571" s="194">
        <v>44131</v>
      </c>
      <c r="B571" s="98" t="s">
        <v>70</v>
      </c>
      <c r="C571" s="98" t="s">
        <v>88</v>
      </c>
      <c r="D571" s="98">
        <v>38.14141</v>
      </c>
      <c r="E571" s="98">
        <v>-121.688</v>
      </c>
      <c r="F571" s="98" t="s">
        <v>1536</v>
      </c>
      <c r="G571" s="98" t="s">
        <v>90</v>
      </c>
      <c r="H571" s="98" t="s">
        <v>91</v>
      </c>
      <c r="I571" s="621">
        <v>0.46736111111111112</v>
      </c>
      <c r="J571" s="100">
        <v>157.5</v>
      </c>
      <c r="K571" s="100">
        <v>16.68</v>
      </c>
      <c r="L571" s="100">
        <v>7.12</v>
      </c>
      <c r="M571" s="100">
        <v>1.8</v>
      </c>
      <c r="N571" s="100">
        <v>5.6</v>
      </c>
      <c r="O571" s="98" t="s">
        <v>48</v>
      </c>
      <c r="P571" s="98">
        <v>4</v>
      </c>
      <c r="Q571" s="98">
        <v>10</v>
      </c>
      <c r="R571" s="98" t="s">
        <v>64</v>
      </c>
      <c r="S571" s="98" t="s">
        <v>50</v>
      </c>
      <c r="T571" s="98" t="s">
        <v>50</v>
      </c>
      <c r="U571" s="98" t="s">
        <v>50</v>
      </c>
      <c r="V571" s="98" t="s">
        <v>50</v>
      </c>
      <c r="W571" s="98" t="s">
        <v>50</v>
      </c>
      <c r="X571" s="98" t="s">
        <v>50</v>
      </c>
    </row>
    <row r="572" spans="1:25" x14ac:dyDescent="0.25">
      <c r="A572" s="194">
        <v>44131</v>
      </c>
      <c r="B572" s="98" t="s">
        <v>70</v>
      </c>
      <c r="C572" s="98" t="s">
        <v>62</v>
      </c>
      <c r="D572" s="98">
        <v>38.185600000000001</v>
      </c>
      <c r="E572" s="98">
        <v>-121.96964</v>
      </c>
      <c r="F572" s="98" t="s">
        <v>1537</v>
      </c>
      <c r="G572" s="98" t="s">
        <v>27</v>
      </c>
      <c r="H572" s="98" t="s">
        <v>62</v>
      </c>
      <c r="I572" s="621">
        <v>0.36736111111111108</v>
      </c>
      <c r="J572" s="100">
        <v>12369</v>
      </c>
      <c r="K572" s="100">
        <v>15.54</v>
      </c>
      <c r="L572" s="100">
        <v>31.64</v>
      </c>
      <c r="M572" s="100">
        <v>0.44</v>
      </c>
      <c r="N572" s="100">
        <v>7.89</v>
      </c>
      <c r="O572" s="98" t="s">
        <v>48</v>
      </c>
      <c r="P572" s="98">
        <v>8</v>
      </c>
      <c r="Q572" s="98">
        <v>10</v>
      </c>
      <c r="R572" s="98" t="s">
        <v>64</v>
      </c>
      <c r="S572" s="98" t="s">
        <v>50</v>
      </c>
      <c r="T572" s="98" t="s">
        <v>50</v>
      </c>
      <c r="U572" s="98" t="s">
        <v>50</v>
      </c>
      <c r="V572" s="98" t="s">
        <v>50</v>
      </c>
      <c r="W572" s="98" t="s">
        <v>50</v>
      </c>
      <c r="X572" s="98" t="s">
        <v>50</v>
      </c>
      <c r="Y572" s="622" t="s">
        <v>1538</v>
      </c>
    </row>
    <row r="573" spans="1:25" x14ac:dyDescent="0.25">
      <c r="A573" s="194">
        <v>44131</v>
      </c>
      <c r="B573" s="98" t="s">
        <v>70</v>
      </c>
      <c r="C573" s="98" t="s">
        <v>62</v>
      </c>
      <c r="D573" s="98">
        <v>38.156730000000003</v>
      </c>
      <c r="E573" s="98">
        <v>-122.05023</v>
      </c>
      <c r="F573" s="98" t="s">
        <v>1539</v>
      </c>
      <c r="G573" s="98" t="s">
        <v>27</v>
      </c>
      <c r="H573" s="98" t="s">
        <v>62</v>
      </c>
      <c r="I573" s="621">
        <v>0.4826388888888889</v>
      </c>
      <c r="J573" s="100">
        <v>18597.75</v>
      </c>
      <c r="K573" s="100">
        <v>16.149999999999999</v>
      </c>
      <c r="L573" s="100">
        <v>44.43</v>
      </c>
      <c r="M573" s="100">
        <v>0.33</v>
      </c>
      <c r="N573" s="100">
        <v>8.7799999999999994</v>
      </c>
      <c r="O573" s="98" t="s">
        <v>48</v>
      </c>
      <c r="P573" s="98">
        <v>4</v>
      </c>
      <c r="Q573" s="98">
        <v>10</v>
      </c>
      <c r="R573" s="98" t="s">
        <v>64</v>
      </c>
      <c r="S573" s="98" t="s">
        <v>50</v>
      </c>
      <c r="T573" s="98" t="s">
        <v>50</v>
      </c>
      <c r="U573" s="98" t="s">
        <v>50</v>
      </c>
      <c r="V573" s="98" t="s">
        <v>50</v>
      </c>
      <c r="W573" s="98" t="s">
        <v>50</v>
      </c>
      <c r="X573" s="98" t="s">
        <v>50</v>
      </c>
    </row>
    <row r="574" spans="1:25" x14ac:dyDescent="0.25">
      <c r="A574" s="194">
        <v>44132</v>
      </c>
      <c r="B574" s="98" t="s">
        <v>87</v>
      </c>
      <c r="C574" s="98" t="s">
        <v>126</v>
      </c>
      <c r="D574" s="98">
        <v>38.319279999999999</v>
      </c>
      <c r="E574" s="98">
        <v>-121.65412999999999</v>
      </c>
      <c r="F574" s="98" t="s">
        <v>1540</v>
      </c>
      <c r="G574" s="98" t="s">
        <v>90</v>
      </c>
      <c r="H574" s="98" t="s">
        <v>126</v>
      </c>
      <c r="I574" s="621">
        <v>0.33611111111111108</v>
      </c>
      <c r="J574" s="100">
        <v>139.22999999999999</v>
      </c>
      <c r="K574" s="100">
        <v>13.78</v>
      </c>
      <c r="L574" s="100">
        <v>9.61</v>
      </c>
      <c r="M574" s="100">
        <v>1.52</v>
      </c>
      <c r="N574" s="100">
        <v>3.6</v>
      </c>
      <c r="O574" s="98" t="s">
        <v>48</v>
      </c>
      <c r="P574" s="98">
        <v>4</v>
      </c>
      <c r="Q574" s="98">
        <v>10</v>
      </c>
      <c r="R574" s="98" t="s">
        <v>49</v>
      </c>
      <c r="S574" s="98" t="s">
        <v>50</v>
      </c>
      <c r="T574" s="98" t="s">
        <v>50</v>
      </c>
      <c r="U574" s="98" t="s">
        <v>50</v>
      </c>
      <c r="V574" s="98" t="s">
        <v>50</v>
      </c>
      <c r="W574" s="98" t="s">
        <v>50</v>
      </c>
      <c r="X574" s="98" t="s">
        <v>50</v>
      </c>
      <c r="Y574" s="622" t="s">
        <v>183</v>
      </c>
    </row>
    <row r="575" spans="1:25" x14ac:dyDescent="0.25">
      <c r="A575" s="194">
        <v>44132</v>
      </c>
      <c r="B575" s="98" t="s">
        <v>87</v>
      </c>
      <c r="C575" s="98" t="s">
        <v>126</v>
      </c>
      <c r="D575" s="98">
        <v>38.24418</v>
      </c>
      <c r="E575" s="98">
        <v>-121.68957</v>
      </c>
      <c r="F575" s="98" t="s">
        <v>1541</v>
      </c>
      <c r="G575" s="98" t="s">
        <v>90</v>
      </c>
      <c r="H575" s="98" t="s">
        <v>126</v>
      </c>
      <c r="I575" s="621">
        <v>0.3888888888888889</v>
      </c>
      <c r="J575" s="100">
        <v>132.97</v>
      </c>
      <c r="K575" s="100">
        <v>14.72</v>
      </c>
      <c r="L575" s="100">
        <v>9.2100000000000009</v>
      </c>
      <c r="M575" s="100">
        <v>1.27</v>
      </c>
      <c r="N575" s="100">
        <v>4.75</v>
      </c>
      <c r="O575" s="98" t="s">
        <v>48</v>
      </c>
      <c r="P575" s="98">
        <v>4</v>
      </c>
      <c r="Q575" s="98">
        <v>10</v>
      </c>
      <c r="R575" s="98" t="s">
        <v>49</v>
      </c>
      <c r="S575" s="98" t="s">
        <v>50</v>
      </c>
      <c r="T575" s="98" t="s">
        <v>50</v>
      </c>
      <c r="U575" s="98" t="s">
        <v>50</v>
      </c>
      <c r="V575" s="98" t="s">
        <v>50</v>
      </c>
      <c r="W575" s="98" t="s">
        <v>50</v>
      </c>
      <c r="X575" s="98" t="s">
        <v>50</v>
      </c>
    </row>
    <row r="576" spans="1:25" x14ac:dyDescent="0.25">
      <c r="A576" s="194">
        <v>44132</v>
      </c>
      <c r="B576" s="98" t="s">
        <v>87</v>
      </c>
      <c r="C576" s="98" t="s">
        <v>126</v>
      </c>
      <c r="D576" s="98">
        <v>38.271479999999997</v>
      </c>
      <c r="E576" s="98">
        <v>-121.69458</v>
      </c>
      <c r="F576" s="98" t="s">
        <v>1542</v>
      </c>
      <c r="G576" s="98" t="s">
        <v>90</v>
      </c>
      <c r="H576" s="98" t="s">
        <v>126</v>
      </c>
      <c r="I576" s="621">
        <v>0.4381944444444445</v>
      </c>
      <c r="J576" s="100">
        <v>134.5</v>
      </c>
      <c r="K576" s="100">
        <v>14.25</v>
      </c>
      <c r="L576" s="100">
        <v>6.73</v>
      </c>
      <c r="M576" s="100">
        <v>1.74</v>
      </c>
      <c r="N576" s="100">
        <v>4.95</v>
      </c>
      <c r="O576" s="98" t="s">
        <v>48</v>
      </c>
      <c r="P576" s="98">
        <v>4</v>
      </c>
      <c r="Q576" s="98">
        <v>10</v>
      </c>
      <c r="R576" s="98" t="s">
        <v>49</v>
      </c>
      <c r="S576" s="98" t="s">
        <v>50</v>
      </c>
      <c r="T576" s="98" t="s">
        <v>50</v>
      </c>
      <c r="U576" s="98" t="s">
        <v>50</v>
      </c>
      <c r="V576" s="98" t="s">
        <v>50</v>
      </c>
      <c r="W576" s="98" t="s">
        <v>50</v>
      </c>
      <c r="X576" s="98" t="s">
        <v>50</v>
      </c>
      <c r="Y576" s="622" t="s">
        <v>1083</v>
      </c>
    </row>
    <row r="577" spans="1:25" s="154" customFormat="1" x14ac:dyDescent="0.25">
      <c r="A577" s="195">
        <v>44132</v>
      </c>
      <c r="B577" s="154" t="s">
        <v>87</v>
      </c>
      <c r="C577" s="154" t="s">
        <v>88</v>
      </c>
      <c r="D577" s="154">
        <v>38.050759999999997</v>
      </c>
      <c r="E577" s="154">
        <v>-121.79861</v>
      </c>
      <c r="F577" s="154" t="s">
        <v>1543</v>
      </c>
      <c r="G577" s="154" t="s">
        <v>27</v>
      </c>
      <c r="H577" s="154" t="s">
        <v>25</v>
      </c>
      <c r="I577" s="636">
        <v>0.33611111111111108</v>
      </c>
      <c r="J577" s="156" t="s">
        <v>50</v>
      </c>
      <c r="K577" s="156" t="s">
        <v>50</v>
      </c>
      <c r="L577" s="156" t="s">
        <v>50</v>
      </c>
      <c r="M577" s="156" t="s">
        <v>50</v>
      </c>
      <c r="N577" s="156" t="s">
        <v>50</v>
      </c>
      <c r="O577" s="154" t="s">
        <v>48</v>
      </c>
      <c r="P577" s="154">
        <v>0</v>
      </c>
      <c r="Q577" s="154" t="s">
        <v>50</v>
      </c>
      <c r="R577" s="154" t="s">
        <v>50</v>
      </c>
      <c r="S577" s="154" t="s">
        <v>50</v>
      </c>
      <c r="T577" s="154" t="s">
        <v>50</v>
      </c>
      <c r="U577" s="154" t="s">
        <v>50</v>
      </c>
      <c r="V577" s="154" t="s">
        <v>50</v>
      </c>
      <c r="W577" s="154" t="s">
        <v>50</v>
      </c>
      <c r="X577" s="154" t="s">
        <v>50</v>
      </c>
      <c r="Y577" s="627" t="s">
        <v>1544</v>
      </c>
    </row>
    <row r="578" spans="1:25" x14ac:dyDescent="0.25">
      <c r="A578" s="194">
        <v>44132</v>
      </c>
      <c r="B578" s="98" t="s">
        <v>87</v>
      </c>
      <c r="C578" s="98" t="s">
        <v>88</v>
      </c>
      <c r="D578" s="98">
        <v>38.068550000000002</v>
      </c>
      <c r="E578" s="98">
        <v>-121.83268</v>
      </c>
      <c r="F578" s="98" t="s">
        <v>1545</v>
      </c>
      <c r="G578" s="98" t="s">
        <v>27</v>
      </c>
      <c r="H578" s="98" t="s">
        <v>25</v>
      </c>
      <c r="I578" s="621">
        <v>0.34513888888888888</v>
      </c>
      <c r="J578" s="100">
        <v>6024</v>
      </c>
      <c r="K578" s="100">
        <v>16.82</v>
      </c>
      <c r="L578" s="100">
        <v>16.28</v>
      </c>
      <c r="M578" s="100">
        <v>0.5</v>
      </c>
      <c r="N578" s="100">
        <v>6.47</v>
      </c>
      <c r="O578" s="98" t="s">
        <v>48</v>
      </c>
      <c r="P578" s="98">
        <v>4</v>
      </c>
      <c r="Q578" s="98">
        <v>10</v>
      </c>
      <c r="R578" s="98" t="s">
        <v>49</v>
      </c>
      <c r="S578" s="98" t="s">
        <v>50</v>
      </c>
      <c r="T578" s="98" t="s">
        <v>50</v>
      </c>
      <c r="U578" s="98" t="s">
        <v>50</v>
      </c>
      <c r="V578" s="98" t="s">
        <v>50</v>
      </c>
      <c r="W578" s="98" t="s">
        <v>50</v>
      </c>
      <c r="X578" s="98" t="s">
        <v>50</v>
      </c>
    </row>
    <row r="579" spans="1:25" x14ac:dyDescent="0.25">
      <c r="A579" s="194">
        <v>44132</v>
      </c>
      <c r="B579" s="98" t="s">
        <v>87</v>
      </c>
      <c r="C579" s="98" t="s">
        <v>88</v>
      </c>
      <c r="D579" s="98">
        <v>38.074910000000003</v>
      </c>
      <c r="E579" s="98">
        <v>-121.75740999999999</v>
      </c>
      <c r="F579" s="98" t="s">
        <v>1546</v>
      </c>
      <c r="G579" s="98" t="s">
        <v>27</v>
      </c>
      <c r="H579" s="98" t="s">
        <v>25</v>
      </c>
      <c r="I579" s="621">
        <v>0.39652777777777781</v>
      </c>
      <c r="J579" s="100">
        <v>1608.75</v>
      </c>
      <c r="K579" s="100">
        <v>16.63</v>
      </c>
      <c r="L579" s="100">
        <v>21.03</v>
      </c>
      <c r="M579" s="100">
        <v>0.44</v>
      </c>
      <c r="N579" s="100">
        <v>7.08</v>
      </c>
      <c r="O579" s="98" t="s">
        <v>48</v>
      </c>
      <c r="P579" s="98">
        <v>4</v>
      </c>
      <c r="Q579" s="98">
        <v>10</v>
      </c>
      <c r="R579" s="98" t="s">
        <v>49</v>
      </c>
      <c r="S579" s="98" t="s">
        <v>50</v>
      </c>
      <c r="T579" s="98" t="s">
        <v>50</v>
      </c>
      <c r="U579" s="98" t="s">
        <v>50</v>
      </c>
      <c r="V579" s="98" t="s">
        <v>50</v>
      </c>
      <c r="W579" s="98" t="s">
        <v>50</v>
      </c>
      <c r="X579" s="98" t="s">
        <v>50</v>
      </c>
    </row>
    <row r="580" spans="1:25" x14ac:dyDescent="0.25">
      <c r="A580" s="194">
        <v>44132</v>
      </c>
      <c r="B580" s="98" t="s">
        <v>87</v>
      </c>
      <c r="C580" s="98" t="s">
        <v>88</v>
      </c>
      <c r="D580" s="98">
        <v>38.14331</v>
      </c>
      <c r="E580" s="98">
        <v>-121.69183</v>
      </c>
      <c r="F580" s="98" t="s">
        <v>1547</v>
      </c>
      <c r="G580" s="98" t="s">
        <v>90</v>
      </c>
      <c r="H580" s="98" t="s">
        <v>91</v>
      </c>
      <c r="I580" s="621">
        <v>0.44722222222222219</v>
      </c>
      <c r="J580" s="100">
        <v>147.28</v>
      </c>
      <c r="K580" s="100">
        <v>16.22</v>
      </c>
      <c r="L580" s="100">
        <v>9.8000000000000007</v>
      </c>
      <c r="M580" s="100">
        <v>1.24</v>
      </c>
      <c r="N580" s="100">
        <v>11.8</v>
      </c>
      <c r="O580" s="98" t="s">
        <v>48</v>
      </c>
      <c r="P580" s="98">
        <v>4</v>
      </c>
      <c r="Q580" s="98">
        <v>10</v>
      </c>
      <c r="R580" s="98" t="s">
        <v>49</v>
      </c>
      <c r="S580" s="98" t="s">
        <v>50</v>
      </c>
      <c r="T580" s="98" t="s">
        <v>50</v>
      </c>
      <c r="U580" s="98" t="s">
        <v>50</v>
      </c>
      <c r="V580" s="98" t="s">
        <v>50</v>
      </c>
      <c r="W580" s="98" t="s">
        <v>50</v>
      </c>
      <c r="X580" s="98" t="s">
        <v>50</v>
      </c>
      <c r="Y580" s="622" t="s">
        <v>1548</v>
      </c>
    </row>
    <row r="581" spans="1:25" x14ac:dyDescent="0.25">
      <c r="A581" s="194">
        <v>44132</v>
      </c>
      <c r="B581" s="98" t="s">
        <v>87</v>
      </c>
      <c r="C581" s="98" t="s">
        <v>78</v>
      </c>
      <c r="D581" s="98">
        <v>38.075920000000004</v>
      </c>
      <c r="E581" s="98">
        <v>-122.07335999999999</v>
      </c>
      <c r="F581" s="98" t="s">
        <v>1549</v>
      </c>
      <c r="G581" s="98" t="s">
        <v>80</v>
      </c>
      <c r="H581" s="98" t="s">
        <v>81</v>
      </c>
      <c r="I581" s="621">
        <v>0.3354166666666667</v>
      </c>
      <c r="J581" s="100">
        <v>20990.5</v>
      </c>
      <c r="K581" s="100">
        <v>16.38</v>
      </c>
      <c r="L581" s="100">
        <v>29.65</v>
      </c>
      <c r="M581" s="100">
        <v>0.56999999999999995</v>
      </c>
      <c r="N581" s="100">
        <v>5.15</v>
      </c>
      <c r="O581" s="98" t="s">
        <v>48</v>
      </c>
      <c r="P581" s="98">
        <v>4</v>
      </c>
      <c r="Q581" s="98">
        <v>10</v>
      </c>
      <c r="R581" s="98" t="s">
        <v>49</v>
      </c>
      <c r="S581" s="98" t="s">
        <v>50</v>
      </c>
      <c r="T581" s="98" t="s">
        <v>50</v>
      </c>
      <c r="U581" s="98" t="s">
        <v>50</v>
      </c>
      <c r="V581" s="98" t="s">
        <v>50</v>
      </c>
      <c r="W581" s="98" t="s">
        <v>50</v>
      </c>
      <c r="X581" s="98" t="s">
        <v>50</v>
      </c>
      <c r="Y581" s="622" t="s">
        <v>1550</v>
      </c>
    </row>
    <row r="582" spans="1:25" x14ac:dyDescent="0.25">
      <c r="A582" s="194">
        <v>44132</v>
      </c>
      <c r="B582" s="98" t="s">
        <v>87</v>
      </c>
      <c r="C582" s="98" t="s">
        <v>78</v>
      </c>
      <c r="D582" s="98">
        <v>38.073689999999999</v>
      </c>
      <c r="E582" s="98">
        <v>-121.96776</v>
      </c>
      <c r="F582" s="98" t="s">
        <v>1551</v>
      </c>
      <c r="G582" s="98" t="s">
        <v>27</v>
      </c>
      <c r="H582" s="98" t="s">
        <v>170</v>
      </c>
      <c r="I582" s="621">
        <v>0.39444444444444443</v>
      </c>
      <c r="J582" s="100">
        <v>13302.5</v>
      </c>
      <c r="K582" s="100">
        <v>16.899999999999999</v>
      </c>
      <c r="L582" s="100">
        <v>24.62</v>
      </c>
      <c r="M582" s="100">
        <v>0.57999999999999996</v>
      </c>
      <c r="N582" s="100">
        <v>3.42</v>
      </c>
      <c r="O582" s="98" t="s">
        <v>48</v>
      </c>
      <c r="P582" s="98">
        <v>4</v>
      </c>
      <c r="Q582" s="98">
        <v>10</v>
      </c>
      <c r="R582" s="98" t="s">
        <v>64</v>
      </c>
      <c r="S582" s="98" t="s">
        <v>50</v>
      </c>
      <c r="T582" s="98" t="s">
        <v>50</v>
      </c>
      <c r="U582" s="98" t="s">
        <v>50</v>
      </c>
      <c r="V582" s="98" t="s">
        <v>50</v>
      </c>
      <c r="W582" s="98" t="s">
        <v>50</v>
      </c>
      <c r="X582" s="98" t="s">
        <v>50</v>
      </c>
    </row>
    <row r="583" spans="1:25" x14ac:dyDescent="0.25">
      <c r="A583" s="194">
        <v>44132</v>
      </c>
      <c r="B583" s="98" t="s">
        <v>87</v>
      </c>
      <c r="C583" s="98" t="s">
        <v>78</v>
      </c>
      <c r="D583" s="98">
        <v>38.026490000000003</v>
      </c>
      <c r="E583" s="98">
        <v>-121.83314</v>
      </c>
      <c r="F583" s="98" t="s">
        <v>1552</v>
      </c>
      <c r="G583" s="98" t="s">
        <v>27</v>
      </c>
      <c r="H583" s="98" t="s">
        <v>101</v>
      </c>
      <c r="I583" s="621">
        <v>0.45208333333333334</v>
      </c>
      <c r="J583" s="100">
        <v>5610.25</v>
      </c>
      <c r="K583" s="100">
        <v>16.82</v>
      </c>
      <c r="L583" s="100">
        <v>18.78</v>
      </c>
      <c r="M583" s="100">
        <v>0.88</v>
      </c>
      <c r="N583" s="100">
        <v>8.4700000000000006</v>
      </c>
      <c r="O583" s="98" t="s">
        <v>48</v>
      </c>
      <c r="P583" s="98">
        <v>4</v>
      </c>
      <c r="Q583" s="98">
        <v>10</v>
      </c>
      <c r="R583" s="98" t="s">
        <v>64</v>
      </c>
      <c r="S583" s="98" t="s">
        <v>50</v>
      </c>
      <c r="T583" s="98" t="s">
        <v>50</v>
      </c>
      <c r="U583" s="98" t="s">
        <v>50</v>
      </c>
      <c r="V583" s="98" t="s">
        <v>50</v>
      </c>
      <c r="W583" s="98" t="s">
        <v>50</v>
      </c>
      <c r="X583" s="98" t="s">
        <v>50</v>
      </c>
    </row>
    <row r="584" spans="1:25" x14ac:dyDescent="0.25">
      <c r="A584" s="194">
        <v>44133</v>
      </c>
      <c r="B584" s="98" t="s">
        <v>105</v>
      </c>
      <c r="C584" s="98" t="s">
        <v>106</v>
      </c>
      <c r="D584" s="98">
        <v>38.358910000000002</v>
      </c>
      <c r="E584" s="98">
        <v>-121.63659</v>
      </c>
      <c r="F584" s="98" t="s">
        <v>1553</v>
      </c>
      <c r="G584" s="98" t="s">
        <v>90</v>
      </c>
      <c r="H584" s="98" t="s">
        <v>108</v>
      </c>
      <c r="I584" s="621">
        <v>0.3347222222222222</v>
      </c>
      <c r="J584" s="100">
        <v>345.9</v>
      </c>
      <c r="K584" s="100">
        <v>16.63</v>
      </c>
      <c r="L584" s="100">
        <v>74.849999999999994</v>
      </c>
      <c r="M584" s="100">
        <v>0.24</v>
      </c>
      <c r="N584" s="100">
        <v>10.3</v>
      </c>
      <c r="O584" s="98" t="s">
        <v>48</v>
      </c>
      <c r="P584" s="98">
        <v>4</v>
      </c>
      <c r="Q584" s="98">
        <v>10</v>
      </c>
      <c r="R584" s="98" t="s">
        <v>49</v>
      </c>
      <c r="S584" s="98" t="s">
        <v>50</v>
      </c>
      <c r="T584" s="98" t="s">
        <v>50</v>
      </c>
      <c r="U584" s="98" t="s">
        <v>50</v>
      </c>
      <c r="V584" s="98" t="s">
        <v>50</v>
      </c>
      <c r="W584" s="98" t="s">
        <v>50</v>
      </c>
      <c r="X584" s="98" t="s">
        <v>50</v>
      </c>
      <c r="Y584" s="622" t="s">
        <v>1554</v>
      </c>
    </row>
    <row r="585" spans="1:25" x14ac:dyDescent="0.25">
      <c r="A585" s="194">
        <v>44133</v>
      </c>
      <c r="B585" s="98" t="s">
        <v>105</v>
      </c>
      <c r="C585" s="98" t="s">
        <v>106</v>
      </c>
      <c r="D585" s="98">
        <v>38.316719999999997</v>
      </c>
      <c r="E585" s="98">
        <v>-121.65185</v>
      </c>
      <c r="F585" s="98" t="s">
        <v>1555</v>
      </c>
      <c r="G585" s="98" t="s">
        <v>90</v>
      </c>
      <c r="H585" s="98" t="s">
        <v>108</v>
      </c>
      <c r="I585" s="621">
        <v>0.3888888888888889</v>
      </c>
      <c r="J585" s="100">
        <v>271.12</v>
      </c>
      <c r="K585" s="100">
        <v>16.75</v>
      </c>
      <c r="L585" s="100">
        <v>66.98</v>
      </c>
      <c r="M585" s="100">
        <v>0.36</v>
      </c>
      <c r="N585" s="100">
        <v>9.35</v>
      </c>
      <c r="O585" s="98" t="s">
        <v>48</v>
      </c>
      <c r="P585" s="98">
        <v>4</v>
      </c>
      <c r="Q585" s="98">
        <v>10</v>
      </c>
      <c r="R585" s="98" t="s">
        <v>49</v>
      </c>
      <c r="S585" s="98" t="s">
        <v>50</v>
      </c>
      <c r="T585" s="98" t="s">
        <v>50</v>
      </c>
      <c r="U585" s="98" t="s">
        <v>50</v>
      </c>
      <c r="V585" s="98" t="s">
        <v>50</v>
      </c>
      <c r="W585" s="98" t="s">
        <v>50</v>
      </c>
      <c r="X585" s="98" t="s">
        <v>50</v>
      </c>
      <c r="Y585" s="622" t="s">
        <v>1556</v>
      </c>
    </row>
    <row r="586" spans="1:25" x14ac:dyDescent="0.25">
      <c r="A586" s="194">
        <v>44133</v>
      </c>
      <c r="B586" s="98" t="s">
        <v>105</v>
      </c>
      <c r="C586" s="98" t="s">
        <v>106</v>
      </c>
      <c r="D586" s="98">
        <v>38.179989999999997</v>
      </c>
      <c r="E586" s="98">
        <v>-121.66585000000001</v>
      </c>
      <c r="F586" s="98" t="s">
        <v>1557</v>
      </c>
      <c r="G586" s="98" t="s">
        <v>90</v>
      </c>
      <c r="H586" s="98" t="s">
        <v>108</v>
      </c>
      <c r="I586" s="621">
        <v>0.46249999999999997</v>
      </c>
      <c r="J586" s="100">
        <v>125.33</v>
      </c>
      <c r="K586" s="100">
        <v>15.73</v>
      </c>
      <c r="L586" s="100">
        <v>9.81</v>
      </c>
      <c r="M586" s="100">
        <v>1.47</v>
      </c>
      <c r="N586" s="100">
        <v>19.07</v>
      </c>
      <c r="O586" s="98" t="s">
        <v>48</v>
      </c>
      <c r="P586" s="98">
        <v>4</v>
      </c>
      <c r="Q586" s="98">
        <v>10</v>
      </c>
      <c r="R586" s="98" t="s">
        <v>49</v>
      </c>
      <c r="S586" s="98" t="s">
        <v>50</v>
      </c>
      <c r="T586" s="98" t="s">
        <v>50</v>
      </c>
      <c r="U586" s="98" t="s">
        <v>50</v>
      </c>
      <c r="V586" s="98" t="s">
        <v>50</v>
      </c>
      <c r="W586" s="98" t="s">
        <v>50</v>
      </c>
      <c r="X586" s="98" t="s">
        <v>50</v>
      </c>
      <c r="Y586" s="622" t="s">
        <v>1558</v>
      </c>
    </row>
    <row r="587" spans="1:25" x14ac:dyDescent="0.25">
      <c r="A587" s="194">
        <v>44133</v>
      </c>
      <c r="B587" s="98" t="s">
        <v>105</v>
      </c>
      <c r="C587" s="98" t="s">
        <v>78</v>
      </c>
      <c r="D587" s="98">
        <v>38.058480000000003</v>
      </c>
      <c r="E587" s="98">
        <v>-122.11577</v>
      </c>
      <c r="F587" s="98" t="s">
        <v>1559</v>
      </c>
      <c r="G587" s="98" t="s">
        <v>80</v>
      </c>
      <c r="H587" s="98" t="s">
        <v>81</v>
      </c>
      <c r="I587" s="621">
        <v>0.35069444444444442</v>
      </c>
      <c r="J587" s="100">
        <v>21400.5</v>
      </c>
      <c r="K587" s="100">
        <v>16.47</v>
      </c>
      <c r="L587" s="100">
        <v>40.75</v>
      </c>
      <c r="M587" s="100">
        <v>0.35</v>
      </c>
      <c r="N587" s="100">
        <v>6.83</v>
      </c>
      <c r="O587" s="98" t="s">
        <v>48</v>
      </c>
      <c r="P587" s="98">
        <v>4</v>
      </c>
      <c r="Q587" s="98">
        <v>10</v>
      </c>
      <c r="R587" s="98" t="s">
        <v>49</v>
      </c>
      <c r="S587" s="98" t="s">
        <v>50</v>
      </c>
      <c r="T587" s="98" t="s">
        <v>50</v>
      </c>
      <c r="U587" s="98" t="s">
        <v>50</v>
      </c>
      <c r="V587" s="98" t="s">
        <v>50</v>
      </c>
      <c r="W587" s="98" t="s">
        <v>50</v>
      </c>
      <c r="X587" s="98" t="s">
        <v>50</v>
      </c>
    </row>
    <row r="588" spans="1:25" x14ac:dyDescent="0.25">
      <c r="A588" s="194">
        <v>44133</v>
      </c>
      <c r="B588" s="98" t="s">
        <v>105</v>
      </c>
      <c r="C588" s="98" t="s">
        <v>78</v>
      </c>
      <c r="D588" s="98">
        <v>38.052869999999999</v>
      </c>
      <c r="E588" s="98">
        <v>-121.94513999999999</v>
      </c>
      <c r="F588" s="98" t="s">
        <v>1560</v>
      </c>
      <c r="G588" s="98" t="s">
        <v>27</v>
      </c>
      <c r="H588" s="98" t="s">
        <v>170</v>
      </c>
      <c r="I588" s="621">
        <v>0.4145833333333333</v>
      </c>
      <c r="J588" s="100">
        <v>11543</v>
      </c>
      <c r="K588" s="100">
        <v>16.87</v>
      </c>
      <c r="L588" s="100">
        <v>19.329999999999998</v>
      </c>
      <c r="M588" s="100">
        <v>0.83</v>
      </c>
      <c r="N588" s="100">
        <v>16.95</v>
      </c>
      <c r="O588" s="98" t="s">
        <v>48</v>
      </c>
      <c r="P588" s="98">
        <v>4</v>
      </c>
      <c r="Q588" s="98">
        <v>10</v>
      </c>
      <c r="R588" s="98" t="s">
        <v>49</v>
      </c>
      <c r="S588" s="98" t="s">
        <v>50</v>
      </c>
      <c r="T588" s="98" t="s">
        <v>50</v>
      </c>
      <c r="U588" s="98" t="s">
        <v>50</v>
      </c>
      <c r="V588" s="98" t="s">
        <v>50</v>
      </c>
      <c r="W588" s="98" t="s">
        <v>50</v>
      </c>
      <c r="X588" s="98" t="s">
        <v>50</v>
      </c>
      <c r="Y588" s="622" t="s">
        <v>1445</v>
      </c>
    </row>
    <row r="589" spans="1:25" x14ac:dyDescent="0.25">
      <c r="A589" s="194">
        <v>44133</v>
      </c>
      <c r="B589" s="98" t="s">
        <v>105</v>
      </c>
      <c r="C589" s="98" t="s">
        <v>78</v>
      </c>
      <c r="D589" s="98">
        <v>38.072110000000002</v>
      </c>
      <c r="E589" s="98">
        <v>-121.84111</v>
      </c>
      <c r="F589" s="98" t="s">
        <v>1561</v>
      </c>
      <c r="G589" s="98" t="s">
        <v>27</v>
      </c>
      <c r="H589" s="98" t="s">
        <v>101</v>
      </c>
      <c r="I589" s="621">
        <v>0.47361111111111115</v>
      </c>
      <c r="J589" s="100">
        <v>6266.5</v>
      </c>
      <c r="K589" s="100">
        <v>16.72</v>
      </c>
      <c r="L589" s="100">
        <v>16.93</v>
      </c>
      <c r="M589" s="100">
        <v>0.72</v>
      </c>
      <c r="N589" s="100">
        <v>6.92</v>
      </c>
      <c r="O589" s="98" t="s">
        <v>48</v>
      </c>
      <c r="P589" s="98">
        <v>4</v>
      </c>
      <c r="Q589" s="98">
        <v>10</v>
      </c>
      <c r="R589" s="98" t="s">
        <v>64</v>
      </c>
      <c r="S589" s="98" t="s">
        <v>50</v>
      </c>
      <c r="T589" s="98" t="s">
        <v>50</v>
      </c>
      <c r="U589" s="98" t="s">
        <v>50</v>
      </c>
      <c r="V589" s="98" t="s">
        <v>50</v>
      </c>
      <c r="W589" s="98" t="s">
        <v>50</v>
      </c>
      <c r="X589" s="98" t="s">
        <v>50</v>
      </c>
      <c r="Y589" s="622" t="s">
        <v>67</v>
      </c>
    </row>
    <row r="590" spans="1:25" x14ac:dyDescent="0.25">
      <c r="A590" s="194">
        <v>44133</v>
      </c>
      <c r="B590" s="98" t="s">
        <v>105</v>
      </c>
      <c r="C590" s="98" t="s">
        <v>95</v>
      </c>
      <c r="D590" s="98">
        <v>38.079659999999997</v>
      </c>
      <c r="E590" s="98">
        <v>-121.56948</v>
      </c>
      <c r="F590" s="98" t="s">
        <v>1562</v>
      </c>
      <c r="G590" s="98" t="s">
        <v>46</v>
      </c>
      <c r="H590" s="98" t="s">
        <v>115</v>
      </c>
      <c r="I590" s="621">
        <v>0.34097222222222223</v>
      </c>
      <c r="J590" s="100">
        <v>341.05</v>
      </c>
      <c r="K590" s="100">
        <v>16.77</v>
      </c>
      <c r="L590" s="100">
        <v>5.44</v>
      </c>
      <c r="M590" s="100">
        <v>1.8</v>
      </c>
      <c r="N590" s="100">
        <v>11.28</v>
      </c>
      <c r="O590" s="98" t="s">
        <v>48</v>
      </c>
      <c r="P590" s="98">
        <v>4</v>
      </c>
      <c r="Q590" s="98">
        <v>10</v>
      </c>
      <c r="R590" s="98" t="s">
        <v>49</v>
      </c>
      <c r="S590" s="98" t="s">
        <v>50</v>
      </c>
      <c r="T590" s="98" t="s">
        <v>50</v>
      </c>
      <c r="U590" s="98" t="s">
        <v>50</v>
      </c>
      <c r="V590" s="98" t="s">
        <v>50</v>
      </c>
      <c r="W590" s="98" t="s">
        <v>50</v>
      </c>
      <c r="X590" s="98" t="s">
        <v>50</v>
      </c>
      <c r="Y590" s="98"/>
    </row>
    <row r="591" spans="1:25" x14ac:dyDescent="0.25">
      <c r="A591" s="194">
        <v>44133</v>
      </c>
      <c r="B591" s="98" t="s">
        <v>105</v>
      </c>
      <c r="C591" s="98" t="s">
        <v>95</v>
      </c>
      <c r="D591" s="98">
        <v>38.093209999999999</v>
      </c>
      <c r="E591" s="98">
        <v>-121.57388</v>
      </c>
      <c r="F591" s="98" t="s">
        <v>1563</v>
      </c>
      <c r="G591" s="98" t="s">
        <v>46</v>
      </c>
      <c r="H591" s="98" t="s">
        <v>115</v>
      </c>
      <c r="I591" s="621">
        <v>0.38750000000000001</v>
      </c>
      <c r="J591" s="100">
        <v>301.32</v>
      </c>
      <c r="K591" s="100">
        <v>16.68</v>
      </c>
      <c r="L591" s="100">
        <v>6.83</v>
      </c>
      <c r="M591" s="100">
        <v>1.79</v>
      </c>
      <c r="N591" s="100">
        <v>8.25</v>
      </c>
      <c r="O591" s="98" t="s">
        <v>48</v>
      </c>
      <c r="P591" s="98">
        <v>4</v>
      </c>
      <c r="Q591" s="98">
        <v>10</v>
      </c>
      <c r="R591" s="98" t="s">
        <v>49</v>
      </c>
      <c r="S591" s="98" t="s">
        <v>50</v>
      </c>
      <c r="T591" s="98" t="s">
        <v>50</v>
      </c>
      <c r="U591" s="98" t="s">
        <v>50</v>
      </c>
      <c r="V591" s="98" t="s">
        <v>50</v>
      </c>
      <c r="W591" s="98" t="s">
        <v>50</v>
      </c>
      <c r="X591" s="98" t="s">
        <v>50</v>
      </c>
      <c r="Y591" s="622" t="s">
        <v>139</v>
      </c>
    </row>
    <row r="592" spans="1:25" x14ac:dyDescent="0.25">
      <c r="A592" s="194">
        <v>44133</v>
      </c>
      <c r="B592" s="98" t="s">
        <v>105</v>
      </c>
      <c r="C592" s="98" t="s">
        <v>95</v>
      </c>
      <c r="D592" s="98">
        <v>38.044460000000001</v>
      </c>
      <c r="E592" s="98">
        <v>-121.70198000000001</v>
      </c>
      <c r="F592" s="98" t="s">
        <v>1564</v>
      </c>
      <c r="G592" s="98" t="s">
        <v>27</v>
      </c>
      <c r="H592" s="98" t="s">
        <v>95</v>
      </c>
      <c r="I592" s="621">
        <v>0.44791666666666669</v>
      </c>
      <c r="J592" s="100">
        <v>1234</v>
      </c>
      <c r="K592" s="100">
        <v>17.13</v>
      </c>
      <c r="L592" s="100">
        <v>10.55</v>
      </c>
      <c r="M592" s="100">
        <v>1.21</v>
      </c>
      <c r="N592" s="100">
        <v>9.1</v>
      </c>
      <c r="O592" s="98" t="s">
        <v>48</v>
      </c>
      <c r="P592" s="98">
        <v>4</v>
      </c>
      <c r="Q592" s="98">
        <v>10</v>
      </c>
      <c r="R592" s="98" t="s">
        <v>49</v>
      </c>
      <c r="S592" s="98" t="s">
        <v>50</v>
      </c>
      <c r="T592" s="98" t="s">
        <v>50</v>
      </c>
      <c r="U592" s="98" t="s">
        <v>50</v>
      </c>
      <c r="V592" s="98" t="s">
        <v>50</v>
      </c>
      <c r="W592" s="98" t="s">
        <v>50</v>
      </c>
      <c r="X592" s="98" t="s">
        <v>50</v>
      </c>
    </row>
    <row r="593" spans="1:25" x14ac:dyDescent="0.25">
      <c r="A593" s="194">
        <v>44134</v>
      </c>
      <c r="B593" s="98" t="s">
        <v>125</v>
      </c>
      <c r="C593" s="98" t="s">
        <v>95</v>
      </c>
      <c r="D593" s="98">
        <v>38.018819999999998</v>
      </c>
      <c r="E593" s="98">
        <v>-121.79203</v>
      </c>
      <c r="F593" s="98" t="s">
        <v>1565</v>
      </c>
      <c r="G593" s="98" t="s">
        <v>27</v>
      </c>
      <c r="H593" s="98" t="s">
        <v>95</v>
      </c>
      <c r="I593" s="621">
        <v>0.34791666666666665</v>
      </c>
      <c r="J593" s="100">
        <v>3744</v>
      </c>
      <c r="K593" s="100">
        <v>16.77</v>
      </c>
      <c r="L593" s="100">
        <v>13.71</v>
      </c>
      <c r="M593" s="100">
        <v>0.84</v>
      </c>
      <c r="N593" s="100">
        <v>5.92</v>
      </c>
      <c r="O593" s="98" t="s">
        <v>48</v>
      </c>
      <c r="P593" s="98">
        <v>4</v>
      </c>
      <c r="Q593" s="98">
        <v>10</v>
      </c>
      <c r="R593" s="98" t="s">
        <v>49</v>
      </c>
      <c r="S593" s="98" t="s">
        <v>50</v>
      </c>
      <c r="T593" s="98" t="s">
        <v>50</v>
      </c>
      <c r="U593" s="98" t="s">
        <v>50</v>
      </c>
      <c r="V593" s="98" t="s">
        <v>50</v>
      </c>
      <c r="W593" s="98" t="s">
        <v>50</v>
      </c>
      <c r="X593" s="98" t="s">
        <v>50</v>
      </c>
    </row>
    <row r="594" spans="1:25" x14ac:dyDescent="0.25">
      <c r="A594" s="194">
        <v>44134</v>
      </c>
      <c r="B594" s="98" t="s">
        <v>125</v>
      </c>
      <c r="C594" s="98" t="s">
        <v>95</v>
      </c>
      <c r="D594" s="98">
        <v>38.025190000000002</v>
      </c>
      <c r="E594" s="98">
        <v>-121.74468</v>
      </c>
      <c r="F594" s="98" t="s">
        <v>1566</v>
      </c>
      <c r="G594" s="98" t="s">
        <v>27</v>
      </c>
      <c r="H594" s="98" t="s">
        <v>95</v>
      </c>
      <c r="I594" s="621">
        <v>0.40763888888888888</v>
      </c>
      <c r="J594" s="100">
        <v>2046.25</v>
      </c>
      <c r="K594" s="100">
        <v>16.82</v>
      </c>
      <c r="L594" s="100">
        <v>13.18</v>
      </c>
      <c r="M594" s="100">
        <v>1.05</v>
      </c>
      <c r="N594" s="100">
        <v>6.75</v>
      </c>
      <c r="O594" s="98" t="s">
        <v>48</v>
      </c>
      <c r="P594" s="98">
        <v>4</v>
      </c>
      <c r="Q594" s="98">
        <v>10</v>
      </c>
      <c r="R594" s="98" t="s">
        <v>49</v>
      </c>
      <c r="S594" s="98" t="s">
        <v>50</v>
      </c>
      <c r="T594" s="98" t="s">
        <v>50</v>
      </c>
      <c r="U594" s="98" t="s">
        <v>50</v>
      </c>
      <c r="V594" s="98" t="s">
        <v>50</v>
      </c>
      <c r="W594" s="98" t="s">
        <v>50</v>
      </c>
      <c r="X594" s="98" t="s">
        <v>50</v>
      </c>
    </row>
    <row r="595" spans="1:25" x14ac:dyDescent="0.25">
      <c r="A595" s="194">
        <v>44134</v>
      </c>
      <c r="B595" s="98" t="s">
        <v>125</v>
      </c>
      <c r="C595" s="98" t="s">
        <v>95</v>
      </c>
      <c r="D595" s="98">
        <v>38.039270000000002</v>
      </c>
      <c r="E595" s="98">
        <v>-121.72448</v>
      </c>
      <c r="F595" s="98" t="s">
        <v>1567</v>
      </c>
      <c r="G595" s="98" t="s">
        <v>27</v>
      </c>
      <c r="H595" s="98" t="s">
        <v>95</v>
      </c>
      <c r="I595" s="621">
        <v>0.46249999999999997</v>
      </c>
      <c r="J595" s="100">
        <v>1573.25</v>
      </c>
      <c r="K595" s="100">
        <v>16.97</v>
      </c>
      <c r="L595" s="100">
        <v>8.8699999999999992</v>
      </c>
      <c r="M595" s="100">
        <v>1.1100000000000001</v>
      </c>
      <c r="N595" s="100">
        <v>5.38</v>
      </c>
      <c r="O595" s="98" t="s">
        <v>48</v>
      </c>
      <c r="P595" s="98">
        <v>4</v>
      </c>
      <c r="Q595" s="98">
        <v>10</v>
      </c>
      <c r="R595" s="98" t="s">
        <v>49</v>
      </c>
      <c r="S595" s="98" t="s">
        <v>50</v>
      </c>
      <c r="T595" s="98" t="s">
        <v>50</v>
      </c>
      <c r="U595" s="98" t="s">
        <v>50</v>
      </c>
      <c r="V595" s="98" t="s">
        <v>50</v>
      </c>
      <c r="W595" s="98" t="s">
        <v>50</v>
      </c>
      <c r="X595" s="98" t="s">
        <v>50</v>
      </c>
    </row>
    <row r="596" spans="1:25" x14ac:dyDescent="0.25">
      <c r="A596" s="194">
        <v>44134</v>
      </c>
      <c r="B596" s="98" t="s">
        <v>125</v>
      </c>
      <c r="C596" s="98" t="s">
        <v>106</v>
      </c>
      <c r="D596" s="98">
        <v>38.563699999999997</v>
      </c>
      <c r="E596" s="98">
        <v>-121.55065</v>
      </c>
      <c r="F596" s="98" t="s">
        <v>1568</v>
      </c>
      <c r="G596" s="98" t="s">
        <v>90</v>
      </c>
      <c r="H596" s="98" t="s">
        <v>158</v>
      </c>
      <c r="I596" s="621">
        <v>0.35416666666666669</v>
      </c>
      <c r="J596" s="100">
        <v>930.5</v>
      </c>
      <c r="K596" s="100">
        <v>18.399999999999999</v>
      </c>
      <c r="L596" s="100">
        <v>9.27</v>
      </c>
      <c r="M596" s="100">
        <v>1.5</v>
      </c>
      <c r="N596" s="100">
        <v>10.78</v>
      </c>
      <c r="O596" s="98" t="s">
        <v>48</v>
      </c>
      <c r="P596" s="98">
        <v>4</v>
      </c>
      <c r="Q596" s="98">
        <v>10</v>
      </c>
      <c r="R596" s="98" t="s">
        <v>49</v>
      </c>
      <c r="S596" s="98" t="s">
        <v>50</v>
      </c>
      <c r="T596" s="98" t="s">
        <v>50</v>
      </c>
      <c r="U596" s="98" t="s">
        <v>50</v>
      </c>
      <c r="V596" s="98" t="s">
        <v>50</v>
      </c>
      <c r="W596" s="98" t="s">
        <v>50</v>
      </c>
      <c r="X596" s="98" t="s">
        <v>50</v>
      </c>
      <c r="Y596" s="622" t="s">
        <v>67</v>
      </c>
    </row>
    <row r="597" spans="1:25" x14ac:dyDescent="0.25">
      <c r="A597" s="194">
        <v>44134</v>
      </c>
      <c r="B597" s="98" t="s">
        <v>125</v>
      </c>
      <c r="C597" s="98" t="s">
        <v>106</v>
      </c>
      <c r="D597" s="98">
        <v>38.389279999999999</v>
      </c>
      <c r="E597" s="98">
        <v>-121.62244</v>
      </c>
      <c r="F597" s="98" t="s">
        <v>1569</v>
      </c>
      <c r="G597" s="98" t="s">
        <v>90</v>
      </c>
      <c r="H597" s="98" t="s">
        <v>108</v>
      </c>
      <c r="I597" s="621">
        <v>0.47083333333333338</v>
      </c>
      <c r="J597" s="100">
        <v>433.18</v>
      </c>
      <c r="K597" s="100">
        <v>16.78</v>
      </c>
      <c r="L597" s="100">
        <v>90.82</v>
      </c>
      <c r="M597" s="100">
        <v>0.2</v>
      </c>
      <c r="N597" s="100">
        <v>9.9499999999999993</v>
      </c>
      <c r="O597" s="98" t="s">
        <v>48</v>
      </c>
      <c r="P597" s="98">
        <v>4</v>
      </c>
      <c r="Q597" s="98">
        <v>10</v>
      </c>
      <c r="R597" s="98" t="s">
        <v>49</v>
      </c>
      <c r="S597" s="98" t="s">
        <v>50</v>
      </c>
      <c r="T597" s="98" t="s">
        <v>50</v>
      </c>
      <c r="U597" s="98" t="s">
        <v>50</v>
      </c>
      <c r="V597" s="98" t="s">
        <v>50</v>
      </c>
      <c r="W597" s="98" t="s">
        <v>50</v>
      </c>
      <c r="X597" s="98" t="s">
        <v>50</v>
      </c>
      <c r="Y597" s="622" t="s">
        <v>1570</v>
      </c>
    </row>
    <row r="598" spans="1:25" x14ac:dyDescent="0.25">
      <c r="A598" s="194">
        <v>44134</v>
      </c>
      <c r="B598" s="98" t="s">
        <v>125</v>
      </c>
      <c r="C598" s="98" t="s">
        <v>106</v>
      </c>
      <c r="D598" s="98">
        <v>38.510539999999999</v>
      </c>
      <c r="E598" s="98">
        <v>-121.58449</v>
      </c>
      <c r="F598" s="98" t="s">
        <v>1571</v>
      </c>
      <c r="G598" s="98" t="s">
        <v>90</v>
      </c>
      <c r="H598" s="98" t="s">
        <v>158</v>
      </c>
      <c r="I598" s="621">
        <v>0.41180555555555554</v>
      </c>
      <c r="J598" s="100">
        <v>818.25</v>
      </c>
      <c r="K598" s="100">
        <v>17.57</v>
      </c>
      <c r="L598" s="100">
        <v>31.88</v>
      </c>
      <c r="M598" s="100">
        <v>0.44</v>
      </c>
      <c r="N598" s="100">
        <v>10.25</v>
      </c>
      <c r="O598" s="98" t="s">
        <v>48</v>
      </c>
      <c r="P598" s="98">
        <v>4</v>
      </c>
      <c r="Q598" s="98">
        <v>10</v>
      </c>
      <c r="R598" s="98" t="s">
        <v>49</v>
      </c>
      <c r="S598" s="98" t="s">
        <v>50</v>
      </c>
      <c r="T598" s="98" t="s">
        <v>50</v>
      </c>
      <c r="U598" s="98" t="s">
        <v>50</v>
      </c>
      <c r="V598" s="98" t="s">
        <v>50</v>
      </c>
      <c r="W598" s="98" t="s">
        <v>50</v>
      </c>
      <c r="X598" s="98" t="s">
        <v>50</v>
      </c>
      <c r="Y598" s="622" t="s">
        <v>1445</v>
      </c>
    </row>
    <row r="599" spans="1:25" s="154" customFormat="1" x14ac:dyDescent="0.25">
      <c r="A599" s="195">
        <v>44134</v>
      </c>
      <c r="B599" s="154" t="s">
        <v>125</v>
      </c>
      <c r="C599" s="154" t="s">
        <v>62</v>
      </c>
      <c r="D599" s="154">
        <v>38.149189999999997</v>
      </c>
      <c r="E599" s="154">
        <v>-122.0701</v>
      </c>
      <c r="F599" s="154" t="s">
        <v>1572</v>
      </c>
      <c r="G599" s="154" t="s">
        <v>27</v>
      </c>
      <c r="H599" s="154" t="s">
        <v>62</v>
      </c>
      <c r="I599" s="636">
        <v>0.4152777777777778</v>
      </c>
      <c r="J599" s="156" t="s">
        <v>50</v>
      </c>
      <c r="K599" s="156" t="s">
        <v>50</v>
      </c>
      <c r="L599" s="156" t="s">
        <v>50</v>
      </c>
      <c r="M599" s="156" t="s">
        <v>50</v>
      </c>
      <c r="N599" s="156" t="s">
        <v>50</v>
      </c>
      <c r="O599" s="154" t="s">
        <v>48</v>
      </c>
      <c r="P599" s="154">
        <v>0</v>
      </c>
      <c r="Q599" s="154" t="s">
        <v>50</v>
      </c>
      <c r="R599" s="154" t="s">
        <v>50</v>
      </c>
      <c r="S599" s="154" t="s">
        <v>50</v>
      </c>
      <c r="T599" s="154" t="s">
        <v>50</v>
      </c>
      <c r="U599" s="154" t="s">
        <v>50</v>
      </c>
      <c r="V599" s="154" t="s">
        <v>50</v>
      </c>
      <c r="W599" s="154" t="s">
        <v>50</v>
      </c>
      <c r="X599" s="154" t="s">
        <v>50</v>
      </c>
      <c r="Y599" s="627" t="s">
        <v>734</v>
      </c>
    </row>
    <row r="600" spans="1:25" x14ac:dyDescent="0.25">
      <c r="A600" s="194">
        <v>44134</v>
      </c>
      <c r="B600" s="98" t="s">
        <v>125</v>
      </c>
      <c r="C600" s="98" t="s">
        <v>62</v>
      </c>
      <c r="D600" s="98">
        <v>38.176659999999998</v>
      </c>
      <c r="E600" s="98">
        <v>-122.01066</v>
      </c>
      <c r="F600" s="98" t="s">
        <v>1573</v>
      </c>
      <c r="G600" s="98" t="s">
        <v>27</v>
      </c>
      <c r="H600" s="98" t="s">
        <v>62</v>
      </c>
      <c r="I600" s="621">
        <v>0.35416666666666669</v>
      </c>
      <c r="J600" s="100">
        <v>10816.5</v>
      </c>
      <c r="K600" s="100">
        <v>15.85</v>
      </c>
      <c r="L600" s="100">
        <v>24.88</v>
      </c>
      <c r="M600" s="100">
        <v>0.47</v>
      </c>
      <c r="N600" s="100">
        <v>5.77</v>
      </c>
      <c r="O600" s="98" t="s">
        <v>48</v>
      </c>
      <c r="P600" s="98">
        <v>4</v>
      </c>
      <c r="Q600" s="98">
        <v>10</v>
      </c>
      <c r="R600" s="98" t="s">
        <v>49</v>
      </c>
      <c r="S600" s="98" t="s">
        <v>50</v>
      </c>
      <c r="T600" s="98" t="s">
        <v>50</v>
      </c>
      <c r="U600" s="98" t="s">
        <v>50</v>
      </c>
      <c r="V600" s="98" t="s">
        <v>50</v>
      </c>
      <c r="W600" s="98" t="s">
        <v>50</v>
      </c>
      <c r="X600" s="98" t="s">
        <v>50</v>
      </c>
      <c r="Y600" s="622" t="s">
        <v>139</v>
      </c>
    </row>
    <row r="601" spans="1:25" x14ac:dyDescent="0.25">
      <c r="A601" s="194">
        <v>44134</v>
      </c>
      <c r="B601" s="98" t="s">
        <v>125</v>
      </c>
      <c r="C601" s="98" t="s">
        <v>62</v>
      </c>
      <c r="D601" s="98">
        <v>38.103340000000003</v>
      </c>
      <c r="E601" s="98">
        <v>-122.06112</v>
      </c>
      <c r="F601" s="98" t="s">
        <v>1574</v>
      </c>
      <c r="G601" s="98" t="s">
        <v>27</v>
      </c>
      <c r="H601" s="98" t="s">
        <v>62</v>
      </c>
      <c r="I601" s="621">
        <v>0.42083333333333334</v>
      </c>
      <c r="J601" s="100">
        <v>20331.5</v>
      </c>
      <c r="K601" s="100">
        <v>16.350000000000001</v>
      </c>
      <c r="L601" s="100">
        <v>23.900000000000002</v>
      </c>
      <c r="M601" s="100">
        <v>0.57250000000000001</v>
      </c>
      <c r="N601" s="100">
        <v>4.45</v>
      </c>
      <c r="O601" s="98" t="s">
        <v>48</v>
      </c>
      <c r="P601" s="98">
        <v>4</v>
      </c>
      <c r="Q601" s="98">
        <v>10</v>
      </c>
      <c r="R601" s="98" t="s">
        <v>49</v>
      </c>
      <c r="S601" s="98" t="s">
        <v>50</v>
      </c>
      <c r="T601" s="98" t="s">
        <v>50</v>
      </c>
      <c r="U601" s="98" t="s">
        <v>50</v>
      </c>
      <c r="V601" s="98" t="s">
        <v>50</v>
      </c>
      <c r="W601" s="98" t="s">
        <v>50</v>
      </c>
      <c r="X601" s="98" t="s">
        <v>50</v>
      </c>
    </row>
    <row r="602" spans="1:25" s="362" customFormat="1" x14ac:dyDescent="0.25">
      <c r="A602" s="360">
        <v>44134</v>
      </c>
      <c r="B602" s="362" t="s">
        <v>125</v>
      </c>
      <c r="C602" s="362" t="s">
        <v>62</v>
      </c>
      <c r="D602" s="362">
        <v>38.107819999999997</v>
      </c>
      <c r="E602" s="362">
        <v>-122.06243000000001</v>
      </c>
      <c r="F602" s="362" t="s">
        <v>1575</v>
      </c>
      <c r="G602" s="362" t="s">
        <v>27</v>
      </c>
      <c r="H602" s="362" t="s">
        <v>62</v>
      </c>
      <c r="I602" s="618">
        <v>0.47291666666666665</v>
      </c>
      <c r="J602" s="364">
        <v>21867.75</v>
      </c>
      <c r="K602" s="364">
        <v>16.75</v>
      </c>
      <c r="L602" s="364">
        <v>57.650000000000006</v>
      </c>
      <c r="M602" s="364">
        <v>0.33250000000000002</v>
      </c>
      <c r="N602" s="364">
        <v>2.6749999999999998</v>
      </c>
      <c r="O602" s="362" t="s">
        <v>48</v>
      </c>
      <c r="P602" s="362">
        <v>4</v>
      </c>
      <c r="Q602" s="362">
        <v>10</v>
      </c>
      <c r="R602" s="362" t="s">
        <v>49</v>
      </c>
      <c r="S602" s="362" t="s">
        <v>50</v>
      </c>
      <c r="T602" s="362" t="s">
        <v>50</v>
      </c>
      <c r="U602" s="362" t="s">
        <v>50</v>
      </c>
      <c r="V602" s="362" t="s">
        <v>50</v>
      </c>
      <c r="W602" s="362" t="s">
        <v>50</v>
      </c>
      <c r="X602" s="362" t="s">
        <v>50</v>
      </c>
      <c r="Y602" s="603"/>
    </row>
    <row r="603" spans="1:25" x14ac:dyDescent="0.25">
      <c r="A603" s="194">
        <v>44137</v>
      </c>
      <c r="B603" s="98" t="s">
        <v>43</v>
      </c>
      <c r="C603" s="98" t="s">
        <v>126</v>
      </c>
      <c r="D603" s="98">
        <v>38.31711</v>
      </c>
      <c r="E603" s="98">
        <v>-121.66735</v>
      </c>
      <c r="F603" s="98" t="s">
        <v>1576</v>
      </c>
      <c r="G603" s="98" t="s">
        <v>90</v>
      </c>
      <c r="H603" s="98" t="s">
        <v>126</v>
      </c>
      <c r="I603" s="621">
        <v>0.46597222222222223</v>
      </c>
      <c r="J603" s="100">
        <v>159.97999999999999</v>
      </c>
      <c r="K603" s="100">
        <v>15.15</v>
      </c>
      <c r="L603" s="100">
        <v>7.07</v>
      </c>
      <c r="M603" s="100">
        <v>1.43</v>
      </c>
      <c r="N603" s="100">
        <v>6.15</v>
      </c>
      <c r="O603" s="98" t="s">
        <v>48</v>
      </c>
      <c r="P603" s="98">
        <v>4</v>
      </c>
      <c r="Q603" s="98">
        <v>10</v>
      </c>
      <c r="R603" s="98" t="s">
        <v>64</v>
      </c>
      <c r="S603" s="98" t="s">
        <v>50</v>
      </c>
      <c r="T603" s="98" t="s">
        <v>50</v>
      </c>
      <c r="U603" s="98" t="s">
        <v>50</v>
      </c>
      <c r="V603" s="98" t="s">
        <v>50</v>
      </c>
      <c r="W603" s="98" t="s">
        <v>50</v>
      </c>
      <c r="X603" s="98" t="s">
        <v>50</v>
      </c>
    </row>
    <row r="604" spans="1:25" s="154" customFormat="1" x14ac:dyDescent="0.25">
      <c r="A604" s="195">
        <v>44137</v>
      </c>
      <c r="B604" s="154" t="s">
        <v>43</v>
      </c>
      <c r="C604" s="154" t="s">
        <v>126</v>
      </c>
      <c r="D604" s="154">
        <v>38.289340000000003</v>
      </c>
      <c r="E604" s="154">
        <v>-121.72387000000001</v>
      </c>
      <c r="F604" s="154" t="s">
        <v>1577</v>
      </c>
      <c r="G604" s="154" t="s">
        <v>90</v>
      </c>
      <c r="H604" s="154" t="s">
        <v>126</v>
      </c>
      <c r="I604" s="636">
        <v>0.33402777777777781</v>
      </c>
      <c r="J604" s="156" t="s">
        <v>50</v>
      </c>
      <c r="K604" s="156" t="s">
        <v>50</v>
      </c>
      <c r="L604" s="156" t="s">
        <v>50</v>
      </c>
      <c r="M604" s="156" t="s">
        <v>50</v>
      </c>
      <c r="N604" s="156" t="s">
        <v>50</v>
      </c>
      <c r="O604" s="154" t="s">
        <v>48</v>
      </c>
      <c r="P604" s="154">
        <v>0</v>
      </c>
      <c r="Q604" s="154" t="s">
        <v>50</v>
      </c>
      <c r="R604" s="154" t="s">
        <v>50</v>
      </c>
      <c r="S604" s="154" t="s">
        <v>50</v>
      </c>
      <c r="T604" s="154" t="s">
        <v>50</v>
      </c>
      <c r="U604" s="154" t="s">
        <v>50</v>
      </c>
      <c r="V604" s="154" t="s">
        <v>50</v>
      </c>
      <c r="W604" s="154" t="s">
        <v>50</v>
      </c>
      <c r="X604" s="154" t="s">
        <v>50</v>
      </c>
      <c r="Y604" s="627" t="s">
        <v>734</v>
      </c>
    </row>
    <row r="605" spans="1:25" x14ac:dyDescent="0.25">
      <c r="A605" s="194">
        <v>44137</v>
      </c>
      <c r="B605" s="98" t="s">
        <v>43</v>
      </c>
      <c r="C605" s="98" t="s">
        <v>126</v>
      </c>
      <c r="D605" s="98">
        <v>38.247689999999999</v>
      </c>
      <c r="E605" s="98">
        <v>-121.70401</v>
      </c>
      <c r="F605" s="98" t="s">
        <v>1578</v>
      </c>
      <c r="G605" s="98" t="s">
        <v>90</v>
      </c>
      <c r="H605" s="98" t="s">
        <v>126</v>
      </c>
      <c r="I605" s="621">
        <v>0.4055555555555555</v>
      </c>
      <c r="J605" s="100">
        <v>135.75</v>
      </c>
      <c r="K605" s="100">
        <v>15.42</v>
      </c>
      <c r="L605" s="100">
        <v>7.34</v>
      </c>
      <c r="M605" s="100">
        <v>1.78</v>
      </c>
      <c r="N605" s="100">
        <v>3.67</v>
      </c>
      <c r="O605" s="98" t="s">
        <v>48</v>
      </c>
      <c r="P605" s="98">
        <v>4</v>
      </c>
      <c r="Q605" s="98">
        <v>10</v>
      </c>
      <c r="R605" s="98" t="s">
        <v>49</v>
      </c>
      <c r="S605" s="98" t="s">
        <v>50</v>
      </c>
      <c r="T605" s="98" t="s">
        <v>50</v>
      </c>
      <c r="U605" s="98" t="s">
        <v>50</v>
      </c>
      <c r="V605" s="98" t="s">
        <v>50</v>
      </c>
      <c r="W605" s="98" t="s">
        <v>50</v>
      </c>
      <c r="X605" s="98" t="s">
        <v>50</v>
      </c>
    </row>
    <row r="606" spans="1:25" x14ac:dyDescent="0.25">
      <c r="A606" s="194">
        <v>44137</v>
      </c>
      <c r="B606" s="98" t="s">
        <v>43</v>
      </c>
      <c r="C606" s="98" t="s">
        <v>126</v>
      </c>
      <c r="D606" s="98">
        <v>38.264749999999999</v>
      </c>
      <c r="E606" s="98">
        <v>-121.69165</v>
      </c>
      <c r="F606" s="98" t="s">
        <v>1579</v>
      </c>
      <c r="G606" s="98" t="s">
        <v>90</v>
      </c>
      <c r="H606" s="98" t="s">
        <v>126</v>
      </c>
      <c r="I606" s="621">
        <v>0.34375</v>
      </c>
      <c r="J606" s="100">
        <v>131.12</v>
      </c>
      <c r="K606" s="100">
        <v>15.4</v>
      </c>
      <c r="L606" s="100">
        <v>5.68</v>
      </c>
      <c r="M606" s="100">
        <v>1.8</v>
      </c>
      <c r="N606" s="100">
        <v>7.38</v>
      </c>
      <c r="O606" s="98" t="s">
        <v>48</v>
      </c>
      <c r="P606" s="98">
        <v>4</v>
      </c>
      <c r="Q606" s="98">
        <v>10</v>
      </c>
      <c r="R606" s="98" t="s">
        <v>49</v>
      </c>
      <c r="S606" s="98" t="s">
        <v>50</v>
      </c>
      <c r="T606" s="98" t="s">
        <v>50</v>
      </c>
      <c r="U606" s="98" t="s">
        <v>50</v>
      </c>
      <c r="V606" s="98" t="s">
        <v>50</v>
      </c>
      <c r="W606" s="98" t="s">
        <v>50</v>
      </c>
      <c r="X606" s="98" t="s">
        <v>50</v>
      </c>
    </row>
    <row r="607" spans="1:25" x14ac:dyDescent="0.25">
      <c r="A607" s="194">
        <v>44137</v>
      </c>
      <c r="B607" s="98" t="s">
        <v>43</v>
      </c>
      <c r="C607" s="98" t="s">
        <v>95</v>
      </c>
      <c r="D607" s="98">
        <v>38.057940000000002</v>
      </c>
      <c r="E607" s="98">
        <v>-121.55137999999999</v>
      </c>
      <c r="F607" s="98" t="s">
        <v>1580</v>
      </c>
      <c r="G607" s="98" t="s">
        <v>46</v>
      </c>
      <c r="H607" s="98" t="s">
        <v>115</v>
      </c>
      <c r="I607" s="621">
        <v>0.34375</v>
      </c>
      <c r="J607" s="100">
        <v>351.25</v>
      </c>
      <c r="K607" s="100">
        <v>16.579999999999998</v>
      </c>
      <c r="L607" s="100">
        <v>4.12</v>
      </c>
      <c r="M607" s="100">
        <v>1.8</v>
      </c>
      <c r="N607" s="100">
        <v>12.9</v>
      </c>
      <c r="O607" s="98" t="s">
        <v>48</v>
      </c>
      <c r="P607" s="98">
        <v>4</v>
      </c>
      <c r="Q607" s="98">
        <v>10</v>
      </c>
      <c r="R607" s="98" t="s">
        <v>49</v>
      </c>
      <c r="S607" s="98" t="s">
        <v>50</v>
      </c>
      <c r="T607" s="98" t="s">
        <v>50</v>
      </c>
      <c r="U607" s="98" t="s">
        <v>50</v>
      </c>
      <c r="V607" s="98" t="s">
        <v>50</v>
      </c>
      <c r="W607" s="98" t="s">
        <v>50</v>
      </c>
      <c r="X607" s="98" t="s">
        <v>50</v>
      </c>
    </row>
    <row r="608" spans="1:25" x14ac:dyDescent="0.25">
      <c r="A608" s="194">
        <v>44137</v>
      </c>
      <c r="B608" s="98" t="s">
        <v>43</v>
      </c>
      <c r="C608" s="98" t="s">
        <v>95</v>
      </c>
      <c r="D608" s="98">
        <v>38.086010000000002</v>
      </c>
      <c r="E608" s="98">
        <v>-121.64221999999999</v>
      </c>
      <c r="F608" s="98" t="s">
        <v>1581</v>
      </c>
      <c r="G608" s="98" t="s">
        <v>46</v>
      </c>
      <c r="H608" s="98" t="s">
        <v>97</v>
      </c>
      <c r="I608" s="621">
        <v>0.40277777777777773</v>
      </c>
      <c r="J608" s="100">
        <v>559</v>
      </c>
      <c r="K608" s="100">
        <v>17.03</v>
      </c>
      <c r="L608" s="100">
        <v>10.19</v>
      </c>
      <c r="M608" s="100">
        <v>1.4</v>
      </c>
      <c r="N608" s="100">
        <v>11.62</v>
      </c>
      <c r="O608" s="98" t="s">
        <v>48</v>
      </c>
      <c r="P608" s="98">
        <v>4</v>
      </c>
      <c r="Q608" s="98">
        <v>10</v>
      </c>
      <c r="R608" s="98" t="s">
        <v>49</v>
      </c>
      <c r="S608" s="98" t="s">
        <v>50</v>
      </c>
      <c r="T608" s="98" t="s">
        <v>50</v>
      </c>
      <c r="U608" s="98" t="s">
        <v>50</v>
      </c>
      <c r="V608" s="98" t="s">
        <v>50</v>
      </c>
      <c r="W608" s="98" t="s">
        <v>50</v>
      </c>
      <c r="X608" s="98" t="s">
        <v>50</v>
      </c>
    </row>
    <row r="609" spans="1:25" x14ac:dyDescent="0.25">
      <c r="A609" s="194">
        <v>44137</v>
      </c>
      <c r="B609" s="98" t="s">
        <v>43</v>
      </c>
      <c r="C609" s="98" t="s">
        <v>95</v>
      </c>
      <c r="D609" s="98">
        <v>38.044040000000003</v>
      </c>
      <c r="E609" s="98">
        <v>-121.69412</v>
      </c>
      <c r="F609" s="98" t="s">
        <v>1582</v>
      </c>
      <c r="G609" s="98" t="s">
        <v>27</v>
      </c>
      <c r="H609" s="98" t="s">
        <v>95</v>
      </c>
      <c r="I609" s="621">
        <v>0.46388888888888885</v>
      </c>
      <c r="J609" s="100">
        <v>1226.5</v>
      </c>
      <c r="K609" s="100">
        <v>17.05</v>
      </c>
      <c r="L609" s="100">
        <v>7.83</v>
      </c>
      <c r="M609" s="100">
        <v>1.6</v>
      </c>
      <c r="N609" s="100">
        <v>7.9</v>
      </c>
      <c r="O609" s="98" t="s">
        <v>48</v>
      </c>
      <c r="P609" s="98">
        <v>4</v>
      </c>
      <c r="Q609" s="98">
        <v>10</v>
      </c>
      <c r="R609" s="98" t="s">
        <v>49</v>
      </c>
      <c r="S609" s="98" t="s">
        <v>50</v>
      </c>
      <c r="T609" s="98" t="s">
        <v>50</v>
      </c>
      <c r="U609" s="98" t="s">
        <v>50</v>
      </c>
      <c r="V609" s="98" t="s">
        <v>50</v>
      </c>
      <c r="W609" s="98" t="s">
        <v>50</v>
      </c>
      <c r="X609" s="98" t="s">
        <v>50</v>
      </c>
    </row>
    <row r="610" spans="1:25" s="154" customFormat="1" x14ac:dyDescent="0.25">
      <c r="A610" s="194">
        <v>44137</v>
      </c>
      <c r="B610" s="98" t="s">
        <v>43</v>
      </c>
      <c r="C610" s="98" t="s">
        <v>78</v>
      </c>
      <c r="D610" s="98">
        <v>38.045200000000001</v>
      </c>
      <c r="E610" s="98">
        <v>-121.87072000000001</v>
      </c>
      <c r="F610" s="98" t="s">
        <v>1583</v>
      </c>
      <c r="G610" s="98" t="s">
        <v>27</v>
      </c>
      <c r="H610" s="98" t="s">
        <v>101</v>
      </c>
      <c r="I610" s="621">
        <v>0.33888888888888885</v>
      </c>
      <c r="J610" s="100">
        <v>12353</v>
      </c>
      <c r="K610" s="100">
        <v>16.8</v>
      </c>
      <c r="L610" s="100">
        <v>11.93</v>
      </c>
      <c r="M610" s="100">
        <v>0.88</v>
      </c>
      <c r="N610" s="100">
        <v>3.85</v>
      </c>
      <c r="O610" s="98" t="s">
        <v>48</v>
      </c>
      <c r="P610" s="98">
        <v>4</v>
      </c>
      <c r="Q610" s="98">
        <v>10</v>
      </c>
      <c r="R610" s="98" t="s">
        <v>49</v>
      </c>
      <c r="S610" s="98" t="s">
        <v>50</v>
      </c>
      <c r="T610" s="98" t="s">
        <v>50</v>
      </c>
      <c r="U610" s="98" t="s">
        <v>50</v>
      </c>
      <c r="V610" s="98" t="s">
        <v>50</v>
      </c>
      <c r="W610" s="98" t="s">
        <v>50</v>
      </c>
      <c r="X610" s="98" t="s">
        <v>50</v>
      </c>
      <c r="Y610" s="627"/>
    </row>
    <row r="611" spans="1:25" x14ac:dyDescent="0.25">
      <c r="A611" s="194">
        <v>44137</v>
      </c>
      <c r="B611" s="98" t="s">
        <v>43</v>
      </c>
      <c r="C611" s="98" t="s">
        <v>78</v>
      </c>
      <c r="D611" s="98">
        <v>38.036499999999997</v>
      </c>
      <c r="E611" s="98">
        <v>-122.1318</v>
      </c>
      <c r="F611" s="98" t="s">
        <v>1584</v>
      </c>
      <c r="G611" s="98" t="s">
        <v>80</v>
      </c>
      <c r="H611" s="98" t="s">
        <v>81</v>
      </c>
      <c r="I611" s="621">
        <v>0.46597222222222223</v>
      </c>
      <c r="J611" s="100">
        <v>24838.75</v>
      </c>
      <c r="K611" s="100">
        <v>17.12</v>
      </c>
      <c r="L611" s="100">
        <v>11.53</v>
      </c>
      <c r="M611" s="100">
        <v>0.82</v>
      </c>
      <c r="N611" s="100">
        <v>18.77</v>
      </c>
      <c r="O611" s="98" t="s">
        <v>48</v>
      </c>
      <c r="P611" s="98">
        <v>4</v>
      </c>
      <c r="Q611" s="98">
        <v>10</v>
      </c>
      <c r="R611" s="98" t="s">
        <v>64</v>
      </c>
      <c r="S611" s="98" t="s">
        <v>50</v>
      </c>
      <c r="T611" s="98" t="s">
        <v>50</v>
      </c>
      <c r="U611" s="98" t="s">
        <v>50</v>
      </c>
      <c r="V611" s="98" t="s">
        <v>50</v>
      </c>
      <c r="W611" s="98" t="s">
        <v>50</v>
      </c>
      <c r="X611" s="98" t="s">
        <v>50</v>
      </c>
    </row>
    <row r="612" spans="1:25" x14ac:dyDescent="0.25">
      <c r="A612" s="194">
        <v>44137</v>
      </c>
      <c r="B612" s="98" t="s">
        <v>43</v>
      </c>
      <c r="C612" s="98" t="s">
        <v>78</v>
      </c>
      <c r="D612" s="98">
        <v>38.074570000000001</v>
      </c>
      <c r="E612" s="98">
        <v>-121.94580000000001</v>
      </c>
      <c r="F612" s="98" t="s">
        <v>1585</v>
      </c>
      <c r="G612" s="98" t="s">
        <v>27</v>
      </c>
      <c r="H612" s="98" t="s">
        <v>170</v>
      </c>
      <c r="I612" s="621">
        <v>0.39652777777777781</v>
      </c>
      <c r="J612" s="100">
        <v>15200</v>
      </c>
      <c r="K612" s="100">
        <v>16.829999999999998</v>
      </c>
      <c r="L612" s="100">
        <v>11.43</v>
      </c>
      <c r="M612" s="100">
        <v>0.91</v>
      </c>
      <c r="N612" s="100">
        <v>2.67</v>
      </c>
      <c r="O612" s="98" t="s">
        <v>48</v>
      </c>
      <c r="P612" s="98">
        <v>3</v>
      </c>
      <c r="Q612" s="98">
        <v>10</v>
      </c>
      <c r="R612" s="98" t="s">
        <v>64</v>
      </c>
      <c r="S612" s="98" t="s">
        <v>50</v>
      </c>
      <c r="T612" s="98" t="s">
        <v>50</v>
      </c>
      <c r="U612" s="98" t="s">
        <v>50</v>
      </c>
      <c r="V612" s="98" t="s">
        <v>50</v>
      </c>
      <c r="W612" s="98" t="s">
        <v>50</v>
      </c>
      <c r="X612" s="98" t="s">
        <v>50</v>
      </c>
    </row>
    <row r="613" spans="1:25" x14ac:dyDescent="0.25">
      <c r="A613" s="194">
        <v>44138</v>
      </c>
      <c r="B613" s="98" t="s">
        <v>70</v>
      </c>
      <c r="C613" s="98" t="s">
        <v>126</v>
      </c>
      <c r="D613" s="98">
        <v>38.312449999999998</v>
      </c>
      <c r="E613" s="98">
        <v>-121.69244</v>
      </c>
      <c r="F613" s="98" t="s">
        <v>1586</v>
      </c>
      <c r="G613" s="98" t="s">
        <v>90</v>
      </c>
      <c r="H613" s="98" t="s">
        <v>126</v>
      </c>
      <c r="I613" s="621">
        <v>0.33333333333333331</v>
      </c>
      <c r="J613" s="100">
        <v>199.55</v>
      </c>
      <c r="K613" s="100">
        <v>15.25</v>
      </c>
      <c r="L613" s="100">
        <v>4.1100000000000003</v>
      </c>
      <c r="M613" s="100">
        <v>1.8</v>
      </c>
      <c r="N613" s="100">
        <v>3.9</v>
      </c>
      <c r="O613" s="98" t="s">
        <v>48</v>
      </c>
      <c r="P613" s="98">
        <v>4</v>
      </c>
      <c r="Q613" s="98">
        <v>10</v>
      </c>
      <c r="R613" s="98" t="s">
        <v>64</v>
      </c>
      <c r="S613" s="98" t="s">
        <v>50</v>
      </c>
      <c r="T613" s="98" t="s">
        <v>50</v>
      </c>
      <c r="U613" s="98" t="s">
        <v>50</v>
      </c>
      <c r="V613" s="98" t="s">
        <v>50</v>
      </c>
      <c r="W613" s="98" t="s">
        <v>50</v>
      </c>
      <c r="X613" s="98" t="s">
        <v>50</v>
      </c>
    </row>
    <row r="614" spans="1:25" x14ac:dyDescent="0.25">
      <c r="A614" s="194">
        <v>44138</v>
      </c>
      <c r="B614" s="98" t="s">
        <v>70</v>
      </c>
      <c r="C614" s="98" t="s">
        <v>126</v>
      </c>
      <c r="D614" s="98">
        <v>38.257869999999997</v>
      </c>
      <c r="E614" s="98">
        <v>-121.72774</v>
      </c>
      <c r="F614" s="98" t="s">
        <v>1587</v>
      </c>
      <c r="G614" s="98" t="s">
        <v>90</v>
      </c>
      <c r="H614" s="98" t="s">
        <v>126</v>
      </c>
      <c r="I614" s="621">
        <v>0.39305555555555555</v>
      </c>
      <c r="J614" s="100">
        <v>137.75</v>
      </c>
      <c r="K614" s="100">
        <v>15.4</v>
      </c>
      <c r="L614" s="100">
        <v>5.26</v>
      </c>
      <c r="M614" s="100">
        <v>1.76</v>
      </c>
      <c r="N614" s="100">
        <v>5.58</v>
      </c>
      <c r="O614" s="98" t="s">
        <v>48</v>
      </c>
      <c r="P614" s="98">
        <v>4</v>
      </c>
      <c r="Q614" s="98">
        <v>10</v>
      </c>
      <c r="R614" s="98" t="s">
        <v>49</v>
      </c>
      <c r="S614" s="98" t="s">
        <v>50</v>
      </c>
      <c r="T614" s="98" t="s">
        <v>50</v>
      </c>
      <c r="U614" s="98" t="s">
        <v>50</v>
      </c>
      <c r="V614" s="98" t="s">
        <v>50</v>
      </c>
      <c r="W614" s="98" t="s">
        <v>50</v>
      </c>
      <c r="X614" s="98" t="s">
        <v>50</v>
      </c>
    </row>
    <row r="615" spans="1:25" x14ac:dyDescent="0.25">
      <c r="A615" s="194">
        <v>44138</v>
      </c>
      <c r="B615" s="98" t="s">
        <v>70</v>
      </c>
      <c r="C615" s="98" t="s">
        <v>126</v>
      </c>
      <c r="D615" s="98">
        <v>38.269410000000001</v>
      </c>
      <c r="E615" s="98">
        <v>-121.66719000000001</v>
      </c>
      <c r="F615" s="98" t="s">
        <v>1588</v>
      </c>
      <c r="G615" s="98" t="s">
        <v>90</v>
      </c>
      <c r="H615" s="98" t="s">
        <v>126</v>
      </c>
      <c r="I615" s="621">
        <v>0.44791666666666669</v>
      </c>
      <c r="J615" s="100">
        <v>135.9</v>
      </c>
      <c r="K615" s="100">
        <v>15.7</v>
      </c>
      <c r="L615" s="100">
        <v>6.43</v>
      </c>
      <c r="M615" s="100">
        <v>1.8</v>
      </c>
      <c r="N615" s="100">
        <v>5.38</v>
      </c>
      <c r="O615" s="98" t="s">
        <v>48</v>
      </c>
      <c r="P615" s="98">
        <v>4</v>
      </c>
      <c r="Q615" s="98">
        <v>10</v>
      </c>
      <c r="R615" s="98" t="s">
        <v>49</v>
      </c>
      <c r="S615" s="98" t="s">
        <v>50</v>
      </c>
      <c r="T615" s="98" t="s">
        <v>50</v>
      </c>
      <c r="U615" s="98" t="s">
        <v>50</v>
      </c>
      <c r="V615" s="98" t="s">
        <v>50</v>
      </c>
      <c r="W615" s="98" t="s">
        <v>50</v>
      </c>
      <c r="X615" s="98" t="s">
        <v>50</v>
      </c>
    </row>
    <row r="616" spans="1:25" x14ac:dyDescent="0.25">
      <c r="A616" s="194">
        <v>44138</v>
      </c>
      <c r="B616" s="98" t="s">
        <v>70</v>
      </c>
      <c r="C616" s="98" t="s">
        <v>95</v>
      </c>
      <c r="D616" s="98">
        <v>38.021500000000003</v>
      </c>
      <c r="E616" s="98">
        <v>-121.77669</v>
      </c>
      <c r="F616" s="98" t="s">
        <v>1589</v>
      </c>
      <c r="G616" s="98" t="s">
        <v>27</v>
      </c>
      <c r="H616" s="98" t="s">
        <v>95</v>
      </c>
      <c r="I616" s="621">
        <v>0.33680555555555558</v>
      </c>
      <c r="J616" s="100">
        <v>5512</v>
      </c>
      <c r="K616" s="100">
        <v>16.899999999999999</v>
      </c>
      <c r="L616" s="100">
        <v>7.48</v>
      </c>
      <c r="M616" s="100">
        <v>1.2</v>
      </c>
      <c r="N616" s="100">
        <v>4.9000000000000004</v>
      </c>
      <c r="O616" s="98" t="s">
        <v>48</v>
      </c>
      <c r="P616" s="98">
        <v>4</v>
      </c>
      <c r="Q616" s="98">
        <v>10</v>
      </c>
      <c r="R616" s="98" t="s">
        <v>49</v>
      </c>
      <c r="S616" s="98" t="s">
        <v>50</v>
      </c>
      <c r="T616" s="98" t="s">
        <v>50</v>
      </c>
      <c r="U616" s="98" t="s">
        <v>50</v>
      </c>
      <c r="V616" s="98" t="s">
        <v>50</v>
      </c>
      <c r="W616" s="98" t="s">
        <v>50</v>
      </c>
      <c r="X616" s="98" t="s">
        <v>50</v>
      </c>
    </row>
    <row r="617" spans="1:25" x14ac:dyDescent="0.25">
      <c r="A617" s="194">
        <v>44138</v>
      </c>
      <c r="B617" s="98" t="s">
        <v>70</v>
      </c>
      <c r="C617" s="98" t="s">
        <v>95</v>
      </c>
      <c r="D617" s="98">
        <v>38.024149999999999</v>
      </c>
      <c r="E617" s="98">
        <v>-121.74603999999999</v>
      </c>
      <c r="F617" s="98" t="s">
        <v>1590</v>
      </c>
      <c r="G617" s="98" t="s">
        <v>27</v>
      </c>
      <c r="H617" s="98" t="s">
        <v>95</v>
      </c>
      <c r="I617" s="621">
        <v>0.38680555555555557</v>
      </c>
      <c r="J617" s="100">
        <v>4061</v>
      </c>
      <c r="K617" s="100">
        <v>17</v>
      </c>
      <c r="L617" s="100">
        <v>5.9</v>
      </c>
      <c r="M617" s="100">
        <v>1.29</v>
      </c>
      <c r="N617" s="100">
        <v>7.7</v>
      </c>
      <c r="O617" s="98" t="s">
        <v>48</v>
      </c>
      <c r="P617" s="98">
        <v>4</v>
      </c>
      <c r="Q617" s="98">
        <v>10</v>
      </c>
      <c r="R617" s="98" t="s">
        <v>49</v>
      </c>
      <c r="S617" s="98" t="s">
        <v>50</v>
      </c>
      <c r="T617" s="98" t="s">
        <v>50</v>
      </c>
      <c r="U617" s="98" t="s">
        <v>50</v>
      </c>
      <c r="V617" s="98" t="s">
        <v>50</v>
      </c>
      <c r="W617" s="98" t="s">
        <v>50</v>
      </c>
      <c r="X617" s="98" t="s">
        <v>50</v>
      </c>
    </row>
    <row r="618" spans="1:25" x14ac:dyDescent="0.25">
      <c r="A618" s="194">
        <v>44138</v>
      </c>
      <c r="B618" s="98" t="s">
        <v>70</v>
      </c>
      <c r="C618" s="98" t="s">
        <v>95</v>
      </c>
      <c r="D618" s="98">
        <v>38.038220000000003</v>
      </c>
      <c r="E618" s="98">
        <v>-121.72445999999999</v>
      </c>
      <c r="F618" s="98" t="s">
        <v>1591</v>
      </c>
      <c r="G618" s="98" t="s">
        <v>27</v>
      </c>
      <c r="H618" s="98" t="s">
        <v>95</v>
      </c>
      <c r="I618" s="621">
        <v>0.43958333333333338</v>
      </c>
      <c r="J618" s="100">
        <v>2319.5</v>
      </c>
      <c r="K618" s="100">
        <v>17.03</v>
      </c>
      <c r="L618" s="100">
        <v>9.3699999999999992</v>
      </c>
      <c r="M618" s="100">
        <v>1.2</v>
      </c>
      <c r="N618" s="100">
        <v>5.92</v>
      </c>
      <c r="O618" s="98" t="s">
        <v>48</v>
      </c>
      <c r="P618" s="98">
        <v>4</v>
      </c>
      <c r="Q618" s="98">
        <v>10</v>
      </c>
      <c r="R618" s="98" t="s">
        <v>49</v>
      </c>
      <c r="S618" s="98" t="s">
        <v>50</v>
      </c>
      <c r="T618" s="98" t="s">
        <v>50</v>
      </c>
      <c r="U618" s="98" t="s">
        <v>50</v>
      </c>
      <c r="V618" s="98" t="s">
        <v>50</v>
      </c>
      <c r="W618" s="98" t="s">
        <v>50</v>
      </c>
      <c r="X618" s="98" t="s">
        <v>50</v>
      </c>
    </row>
    <row r="619" spans="1:25" x14ac:dyDescent="0.25">
      <c r="A619" s="194">
        <v>44138</v>
      </c>
      <c r="B619" s="98" t="s">
        <v>70</v>
      </c>
      <c r="C619" s="98" t="s">
        <v>78</v>
      </c>
      <c r="D619" s="98">
        <v>38.058199999999999</v>
      </c>
      <c r="E619" s="98">
        <v>-121.83748</v>
      </c>
      <c r="F619" s="98" t="s">
        <v>1592</v>
      </c>
      <c r="G619" s="98" t="s">
        <v>27</v>
      </c>
      <c r="H619" s="98" t="s">
        <v>101</v>
      </c>
      <c r="I619" s="621">
        <v>0.33611111111111108</v>
      </c>
      <c r="J619" s="100">
        <v>11024.25</v>
      </c>
      <c r="K619" s="100">
        <v>16.649999999999999</v>
      </c>
      <c r="L619" s="100">
        <v>12.81</v>
      </c>
      <c r="M619" s="100">
        <v>0.98</v>
      </c>
      <c r="N619" s="100">
        <v>8.0399999999999991</v>
      </c>
      <c r="O619" s="98" t="s">
        <v>48</v>
      </c>
      <c r="P619" s="98">
        <v>4</v>
      </c>
      <c r="Q619" s="98">
        <v>10</v>
      </c>
      <c r="R619" s="98" t="s">
        <v>64</v>
      </c>
      <c r="S619" s="98" t="s">
        <v>50</v>
      </c>
      <c r="T619" s="98" t="s">
        <v>50</v>
      </c>
      <c r="U619" s="98" t="s">
        <v>50</v>
      </c>
      <c r="V619" s="98" t="s">
        <v>50</v>
      </c>
      <c r="W619" s="98" t="s">
        <v>50</v>
      </c>
      <c r="X619" s="98" t="s">
        <v>50</v>
      </c>
    </row>
    <row r="620" spans="1:25" x14ac:dyDescent="0.25">
      <c r="A620" s="194">
        <v>44138</v>
      </c>
      <c r="B620" s="98" t="s">
        <v>70</v>
      </c>
      <c r="C620" s="98" t="s">
        <v>78</v>
      </c>
      <c r="D620" s="98">
        <v>3807261</v>
      </c>
      <c r="E620" s="98">
        <v>-121.96899999999999</v>
      </c>
      <c r="F620" s="98" t="s">
        <v>1593</v>
      </c>
      <c r="G620" s="98" t="s">
        <v>27</v>
      </c>
      <c r="H620" s="98" t="s">
        <v>170</v>
      </c>
      <c r="I620" s="621">
        <v>0.40277777777777773</v>
      </c>
      <c r="J620" s="100">
        <v>17663.75</v>
      </c>
      <c r="K620" s="100">
        <v>16.55</v>
      </c>
      <c r="L620" s="100">
        <v>22.1</v>
      </c>
      <c r="M620" s="100">
        <v>0.77</v>
      </c>
      <c r="N620" s="100">
        <v>5.2</v>
      </c>
      <c r="O620" s="98" t="s">
        <v>48</v>
      </c>
      <c r="P620" s="98">
        <v>4</v>
      </c>
      <c r="Q620" s="98">
        <v>10</v>
      </c>
      <c r="R620" s="98" t="s">
        <v>64</v>
      </c>
      <c r="S620" s="98" t="s">
        <v>50</v>
      </c>
      <c r="T620" s="98" t="s">
        <v>50</v>
      </c>
      <c r="U620" s="98" t="s">
        <v>50</v>
      </c>
      <c r="V620" s="98" t="s">
        <v>50</v>
      </c>
      <c r="W620" s="98" t="s">
        <v>50</v>
      </c>
      <c r="X620" s="98" t="s">
        <v>50</v>
      </c>
    </row>
    <row r="621" spans="1:25" x14ac:dyDescent="0.25">
      <c r="A621" s="194">
        <v>44138</v>
      </c>
      <c r="B621" s="98" t="s">
        <v>70</v>
      </c>
      <c r="C621" s="98" t="s">
        <v>78</v>
      </c>
      <c r="D621" s="98">
        <v>38.067309999999999</v>
      </c>
      <c r="E621" s="98">
        <v>-122.08119000000001</v>
      </c>
      <c r="F621" s="98" t="s">
        <v>1594</v>
      </c>
      <c r="G621" s="98" t="s">
        <v>80</v>
      </c>
      <c r="H621" s="98" t="s">
        <v>81</v>
      </c>
      <c r="I621" s="621">
        <v>0.4680555555555555</v>
      </c>
      <c r="J621" s="100">
        <v>25333.5</v>
      </c>
      <c r="K621" s="100">
        <v>17.05</v>
      </c>
      <c r="L621" s="100">
        <v>15.4</v>
      </c>
      <c r="M621" s="100">
        <v>0.9</v>
      </c>
      <c r="N621" s="100">
        <v>3.83</v>
      </c>
      <c r="O621" s="98" t="s">
        <v>48</v>
      </c>
      <c r="P621" s="98">
        <v>4</v>
      </c>
      <c r="Q621" s="98">
        <v>10</v>
      </c>
      <c r="R621" s="98" t="s">
        <v>64</v>
      </c>
      <c r="S621" s="98" t="s">
        <v>50</v>
      </c>
      <c r="T621" s="98" t="s">
        <v>50</v>
      </c>
      <c r="U621" s="98" t="s">
        <v>50</v>
      </c>
      <c r="V621" s="98" t="s">
        <v>50</v>
      </c>
      <c r="W621" s="98" t="s">
        <v>50</v>
      </c>
      <c r="X621" s="98" t="s">
        <v>50</v>
      </c>
    </row>
    <row r="622" spans="1:25" x14ac:dyDescent="0.25">
      <c r="A622" s="194">
        <v>44139</v>
      </c>
      <c r="B622" s="98" t="s">
        <v>87</v>
      </c>
      <c r="C622" s="98" t="s">
        <v>106</v>
      </c>
      <c r="D622" s="98">
        <v>38.564860000000003</v>
      </c>
      <c r="E622" s="98">
        <v>-121.55168999999999</v>
      </c>
      <c r="F622" s="98" t="s">
        <v>1595</v>
      </c>
      <c r="G622" s="98" t="s">
        <v>90</v>
      </c>
      <c r="H622" s="98" t="s">
        <v>158</v>
      </c>
      <c r="I622" s="621">
        <v>0.35694444444444445</v>
      </c>
      <c r="J622" s="100">
        <v>916</v>
      </c>
      <c r="K622" s="100">
        <v>17.920000000000002</v>
      </c>
      <c r="L622" s="100">
        <v>7.78</v>
      </c>
      <c r="M622" s="100">
        <v>1.37</v>
      </c>
      <c r="N622" s="100">
        <v>11.75</v>
      </c>
      <c r="O622" s="98" t="s">
        <v>48</v>
      </c>
      <c r="P622" s="98">
        <v>4</v>
      </c>
      <c r="Q622" s="98">
        <v>10</v>
      </c>
      <c r="R622" s="98" t="s">
        <v>64</v>
      </c>
      <c r="S622" s="98" t="s">
        <v>50</v>
      </c>
      <c r="T622" s="98" t="s">
        <v>50</v>
      </c>
      <c r="U622" s="98" t="s">
        <v>50</v>
      </c>
      <c r="V622" s="98" t="s">
        <v>50</v>
      </c>
      <c r="W622" s="98" t="s">
        <v>50</v>
      </c>
      <c r="X622" s="98" t="s">
        <v>50</v>
      </c>
    </row>
    <row r="623" spans="1:25" x14ac:dyDescent="0.25">
      <c r="A623" s="194">
        <v>44139</v>
      </c>
      <c r="B623" s="98" t="s">
        <v>87</v>
      </c>
      <c r="C623" s="98" t="s">
        <v>106</v>
      </c>
      <c r="D623" s="98">
        <v>38.512239999999998</v>
      </c>
      <c r="E623" s="98">
        <v>-121.58457</v>
      </c>
      <c r="F623" s="98" t="s">
        <v>1596</v>
      </c>
      <c r="G623" s="98" t="s">
        <v>90</v>
      </c>
      <c r="H623" s="98" t="s">
        <v>158</v>
      </c>
      <c r="I623" s="621">
        <v>0.41597222222222219</v>
      </c>
      <c r="J623" s="100">
        <v>772.25</v>
      </c>
      <c r="K623" s="100">
        <v>56.47</v>
      </c>
      <c r="L623" s="100">
        <v>16.03</v>
      </c>
      <c r="M623" s="100">
        <v>0.59</v>
      </c>
      <c r="N623" s="100">
        <v>10.9</v>
      </c>
      <c r="O623" s="98" t="s">
        <v>48</v>
      </c>
      <c r="P623" s="98">
        <v>4</v>
      </c>
      <c r="Q623" s="98">
        <v>10</v>
      </c>
      <c r="R623" s="98" t="s">
        <v>64</v>
      </c>
      <c r="S623" s="98" t="s">
        <v>50</v>
      </c>
      <c r="T623" s="98" t="s">
        <v>50</v>
      </c>
      <c r="U623" s="98" t="s">
        <v>50</v>
      </c>
      <c r="V623" s="98" t="s">
        <v>50</v>
      </c>
      <c r="W623" s="98" t="s">
        <v>50</v>
      </c>
      <c r="X623" s="98" t="s">
        <v>50</v>
      </c>
    </row>
    <row r="624" spans="1:25" x14ac:dyDescent="0.25">
      <c r="A624" s="194">
        <v>44139</v>
      </c>
      <c r="B624" s="98" t="s">
        <v>87</v>
      </c>
      <c r="C624" s="98" t="s">
        <v>106</v>
      </c>
      <c r="D624" s="98">
        <v>38.270850000000003</v>
      </c>
      <c r="E624" s="98">
        <v>-121.66231000000001</v>
      </c>
      <c r="F624" s="98" t="s">
        <v>1597</v>
      </c>
      <c r="G624" s="98" t="s">
        <v>90</v>
      </c>
      <c r="H624" s="98" t="s">
        <v>108</v>
      </c>
      <c r="I624" s="621">
        <v>0.49027777777777781</v>
      </c>
      <c r="J624" s="100">
        <v>162.41999999999999</v>
      </c>
      <c r="K624" s="100">
        <v>16.03</v>
      </c>
      <c r="L624" s="100">
        <v>13.97</v>
      </c>
      <c r="M624" s="100">
        <v>0.77</v>
      </c>
      <c r="N624" s="100">
        <v>10.1</v>
      </c>
      <c r="O624" s="98" t="s">
        <v>48</v>
      </c>
      <c r="P624" s="98">
        <v>4</v>
      </c>
      <c r="Q624" s="98">
        <v>10</v>
      </c>
      <c r="R624" s="98" t="s">
        <v>49</v>
      </c>
      <c r="S624" s="98" t="s">
        <v>50</v>
      </c>
      <c r="T624" s="98" t="s">
        <v>50</v>
      </c>
      <c r="U624" s="98" t="s">
        <v>50</v>
      </c>
      <c r="V624" s="98" t="s">
        <v>50</v>
      </c>
      <c r="W624" s="98" t="s">
        <v>50</v>
      </c>
      <c r="X624" s="98" t="s">
        <v>50</v>
      </c>
    </row>
    <row r="625" spans="1:25" x14ac:dyDescent="0.25">
      <c r="A625" s="194">
        <v>44139</v>
      </c>
      <c r="B625" s="98" t="s">
        <v>87</v>
      </c>
      <c r="C625" s="98" t="s">
        <v>88</v>
      </c>
      <c r="D625" s="98">
        <v>38.060780000000001</v>
      </c>
      <c r="E625" s="98">
        <v>-121.81103</v>
      </c>
      <c r="F625" s="98" t="s">
        <v>1598</v>
      </c>
      <c r="G625" s="98" t="s">
        <v>27</v>
      </c>
      <c r="H625" s="98" t="s">
        <v>25</v>
      </c>
      <c r="I625" s="621">
        <v>0.34861111111111115</v>
      </c>
      <c r="J625" s="100">
        <v>8782.75</v>
      </c>
      <c r="K625" s="100">
        <v>16.7</v>
      </c>
      <c r="L625" s="100">
        <v>13.7</v>
      </c>
      <c r="M625" s="100">
        <v>0.79</v>
      </c>
      <c r="N625" s="100">
        <v>11.62</v>
      </c>
      <c r="O625" s="98" t="s">
        <v>48</v>
      </c>
      <c r="P625" s="98">
        <v>4</v>
      </c>
      <c r="Q625" s="98">
        <v>10</v>
      </c>
      <c r="R625" s="98" t="s">
        <v>49</v>
      </c>
      <c r="S625" s="98" t="s">
        <v>50</v>
      </c>
      <c r="T625" s="98" t="s">
        <v>50</v>
      </c>
      <c r="U625" s="98" t="s">
        <v>50</v>
      </c>
      <c r="V625" s="98" t="s">
        <v>50</v>
      </c>
      <c r="W625" s="98" t="s">
        <v>50</v>
      </c>
      <c r="X625" s="98" t="s">
        <v>50</v>
      </c>
      <c r="Y625" s="622" t="s">
        <v>139</v>
      </c>
    </row>
    <row r="626" spans="1:25" x14ac:dyDescent="0.25">
      <c r="A626" s="194">
        <v>44139</v>
      </c>
      <c r="B626" s="98" t="s">
        <v>87</v>
      </c>
      <c r="C626" s="98" t="s">
        <v>88</v>
      </c>
      <c r="D626" s="98">
        <v>38.106119999999997</v>
      </c>
      <c r="E626" s="98">
        <v>-121.71534</v>
      </c>
      <c r="F626" s="98" t="s">
        <v>1599</v>
      </c>
      <c r="G626" s="98" t="s">
        <v>90</v>
      </c>
      <c r="H626" s="98" t="s">
        <v>91</v>
      </c>
      <c r="I626" s="621">
        <v>0.45416666666666666</v>
      </c>
      <c r="J626" s="100">
        <v>1363.25</v>
      </c>
      <c r="K626" s="100">
        <v>16.37</v>
      </c>
      <c r="L626" s="100">
        <v>14.33</v>
      </c>
      <c r="M626" s="100">
        <v>0.77</v>
      </c>
      <c r="N626" s="100">
        <v>5.7</v>
      </c>
      <c r="O626" s="98" t="s">
        <v>48</v>
      </c>
      <c r="P626" s="98">
        <v>4</v>
      </c>
      <c r="Q626" s="98">
        <v>10</v>
      </c>
      <c r="R626" s="98" t="s">
        <v>49</v>
      </c>
      <c r="S626" s="98" t="s">
        <v>50</v>
      </c>
      <c r="T626" s="98" t="s">
        <v>50</v>
      </c>
      <c r="U626" s="98" t="s">
        <v>50</v>
      </c>
      <c r="V626" s="98" t="s">
        <v>50</v>
      </c>
      <c r="W626" s="98" t="s">
        <v>50</v>
      </c>
      <c r="X626" s="98" t="s">
        <v>50</v>
      </c>
    </row>
    <row r="627" spans="1:25" x14ac:dyDescent="0.25">
      <c r="A627" s="194">
        <v>44139</v>
      </c>
      <c r="B627" s="98" t="s">
        <v>87</v>
      </c>
      <c r="C627" s="98" t="s">
        <v>88</v>
      </c>
      <c r="D627" s="98">
        <v>38.072360000000003</v>
      </c>
      <c r="E627" s="98">
        <v>-121.77522</v>
      </c>
      <c r="F627" s="98" t="s">
        <v>1600</v>
      </c>
      <c r="G627" s="98" t="s">
        <v>27</v>
      </c>
      <c r="H627" s="98" t="s">
        <v>25</v>
      </c>
      <c r="I627" s="621">
        <v>0.40138888888888885</v>
      </c>
      <c r="J627" s="100">
        <v>5780.5</v>
      </c>
      <c r="K627" s="100">
        <v>16.62</v>
      </c>
      <c r="L627" s="100">
        <v>20.75</v>
      </c>
      <c r="M627" s="100">
        <v>0.55000000000000004</v>
      </c>
      <c r="N627" s="100">
        <v>9.5299999999999994</v>
      </c>
      <c r="O627" s="98" t="s">
        <v>48</v>
      </c>
      <c r="P627" s="98">
        <v>4</v>
      </c>
      <c r="Q627" s="98">
        <v>10</v>
      </c>
      <c r="R627" s="98" t="s">
        <v>49</v>
      </c>
      <c r="S627" s="98" t="s">
        <v>50</v>
      </c>
      <c r="T627" s="98" t="s">
        <v>50</v>
      </c>
      <c r="U627" s="98" t="s">
        <v>50</v>
      </c>
      <c r="V627" s="98" t="s">
        <v>50</v>
      </c>
      <c r="W627" s="98" t="s">
        <v>50</v>
      </c>
      <c r="X627" s="98" t="s">
        <v>50</v>
      </c>
    </row>
    <row r="628" spans="1:25" x14ac:dyDescent="0.25">
      <c r="A628" s="194">
        <v>44139</v>
      </c>
      <c r="B628" s="98" t="s">
        <v>87</v>
      </c>
      <c r="C628" s="98" t="s">
        <v>62</v>
      </c>
      <c r="D628" s="98">
        <v>38.169420000000002</v>
      </c>
      <c r="E628" s="98">
        <v>-122.02213</v>
      </c>
      <c r="F628" s="98" t="s">
        <v>1601</v>
      </c>
      <c r="G628" s="98" t="s">
        <v>27</v>
      </c>
      <c r="H628" s="98" t="s">
        <v>62</v>
      </c>
      <c r="I628" s="621">
        <v>0.39652777777777781</v>
      </c>
      <c r="J628" s="100">
        <v>10553.25</v>
      </c>
      <c r="K628" s="100">
        <v>16.579999999999998</v>
      </c>
      <c r="L628" s="100">
        <v>28.97</v>
      </c>
      <c r="M628" s="100">
        <v>0.56000000000000005</v>
      </c>
      <c r="N628" s="100">
        <v>8.5500000000000007</v>
      </c>
      <c r="O628" s="98" t="s">
        <v>48</v>
      </c>
      <c r="P628" s="98">
        <v>4</v>
      </c>
      <c r="Q628" s="98">
        <v>10</v>
      </c>
      <c r="R628" s="98" t="s">
        <v>49</v>
      </c>
      <c r="S628" s="98" t="s">
        <v>50</v>
      </c>
      <c r="T628" s="98" t="s">
        <v>50</v>
      </c>
      <c r="U628" s="98" t="s">
        <v>50</v>
      </c>
      <c r="V628" s="98" t="s">
        <v>50</v>
      </c>
      <c r="W628" s="98" t="s">
        <v>50</v>
      </c>
      <c r="X628" s="98" t="s">
        <v>50</v>
      </c>
    </row>
    <row r="629" spans="1:25" x14ac:dyDescent="0.25">
      <c r="A629" s="194">
        <v>44139</v>
      </c>
      <c r="B629" s="98" t="s">
        <v>87</v>
      </c>
      <c r="C629" s="98" t="s">
        <v>62</v>
      </c>
      <c r="D629" s="98">
        <v>38.100140000000003</v>
      </c>
      <c r="E629" s="98">
        <v>-122.06535</v>
      </c>
      <c r="F629" s="98" t="s">
        <v>1602</v>
      </c>
      <c r="G629" s="98" t="s">
        <v>27</v>
      </c>
      <c r="H629" s="98" t="s">
        <v>173</v>
      </c>
      <c r="I629" s="621">
        <v>0.34097222222222223</v>
      </c>
      <c r="J629" s="100">
        <v>21257</v>
      </c>
      <c r="K629" s="100">
        <v>16.23</v>
      </c>
      <c r="L629" s="100">
        <v>29.13</v>
      </c>
      <c r="M629" s="100">
        <v>0.47</v>
      </c>
      <c r="N629" s="100">
        <v>3.3</v>
      </c>
      <c r="O629" s="98" t="s">
        <v>48</v>
      </c>
      <c r="P629" s="98">
        <v>3</v>
      </c>
      <c r="Q629" s="98">
        <v>10</v>
      </c>
      <c r="R629" s="98" t="s">
        <v>49</v>
      </c>
      <c r="S629" s="98" t="s">
        <v>50</v>
      </c>
      <c r="T629" s="98" t="s">
        <v>50</v>
      </c>
      <c r="U629" s="98" t="s">
        <v>50</v>
      </c>
      <c r="V629" s="98" t="s">
        <v>50</v>
      </c>
      <c r="W629" s="98" t="s">
        <v>50</v>
      </c>
      <c r="X629" s="98" t="s">
        <v>50</v>
      </c>
    </row>
    <row r="630" spans="1:25" x14ac:dyDescent="0.25">
      <c r="A630" s="194">
        <v>44139</v>
      </c>
      <c r="B630" s="98" t="s">
        <v>87</v>
      </c>
      <c r="C630" s="98" t="s">
        <v>62</v>
      </c>
      <c r="D630" s="98">
        <v>38.175849999999997</v>
      </c>
      <c r="E630" s="98">
        <v>-122.01425</v>
      </c>
      <c r="F630" s="98" t="s">
        <v>1603</v>
      </c>
      <c r="G630" s="98" t="s">
        <v>27</v>
      </c>
      <c r="H630" s="98" t="s">
        <v>62</v>
      </c>
      <c r="I630" s="621">
        <v>0.44305555555555554</v>
      </c>
      <c r="J630" s="100">
        <v>10364.75</v>
      </c>
      <c r="K630" s="100">
        <v>16.75</v>
      </c>
      <c r="L630" s="100">
        <v>23.4</v>
      </c>
      <c r="M630" s="100">
        <v>0.62</v>
      </c>
      <c r="N630" s="100">
        <v>7.93</v>
      </c>
      <c r="O630" s="98" t="s">
        <v>48</v>
      </c>
      <c r="P630" s="98">
        <v>4</v>
      </c>
      <c r="Q630" s="98">
        <v>10</v>
      </c>
      <c r="R630" s="98" t="s">
        <v>64</v>
      </c>
      <c r="S630" s="98" t="s">
        <v>50</v>
      </c>
      <c r="T630" s="98" t="s">
        <v>50</v>
      </c>
      <c r="U630" s="98" t="s">
        <v>50</v>
      </c>
      <c r="V630" s="98" t="s">
        <v>50</v>
      </c>
      <c r="W630" s="98" t="s">
        <v>50</v>
      </c>
      <c r="X630" s="98" t="s">
        <v>50</v>
      </c>
    </row>
    <row r="631" spans="1:25" x14ac:dyDescent="0.25">
      <c r="A631" s="194">
        <v>44140</v>
      </c>
      <c r="B631" s="98" t="s">
        <v>105</v>
      </c>
      <c r="C631" s="98" t="s">
        <v>106</v>
      </c>
      <c r="D631" s="98">
        <v>38.181899999999999</v>
      </c>
      <c r="E631" s="98">
        <v>-121.66519</v>
      </c>
      <c r="F631" s="98" t="s">
        <v>1604</v>
      </c>
      <c r="G631" s="98" t="s">
        <v>90</v>
      </c>
      <c r="H631" s="98" t="s">
        <v>108</v>
      </c>
      <c r="I631" s="621">
        <v>0.49027777777777781</v>
      </c>
      <c r="J631" s="100">
        <v>125.83</v>
      </c>
      <c r="K631" s="100">
        <v>15.45</v>
      </c>
      <c r="L631" s="100">
        <v>7.31</v>
      </c>
      <c r="M631" s="100">
        <v>1.8</v>
      </c>
      <c r="N631" s="100">
        <v>12.32</v>
      </c>
      <c r="O631" s="98" t="s">
        <v>48</v>
      </c>
      <c r="P631" s="98">
        <v>4</v>
      </c>
      <c r="Q631" s="98">
        <v>10</v>
      </c>
      <c r="R631" s="98" t="s">
        <v>49</v>
      </c>
      <c r="S631" s="98" t="s">
        <v>50</v>
      </c>
      <c r="T631" s="98" t="s">
        <v>50</v>
      </c>
      <c r="U631" s="98" t="s">
        <v>50</v>
      </c>
      <c r="V631" s="98" t="s">
        <v>50</v>
      </c>
      <c r="W631" s="98" t="s">
        <v>50</v>
      </c>
      <c r="X631" s="98" t="s">
        <v>50</v>
      </c>
      <c r="Y631" s="622" t="s">
        <v>1605</v>
      </c>
    </row>
    <row r="632" spans="1:25" x14ac:dyDescent="0.25">
      <c r="A632" s="194">
        <v>44140</v>
      </c>
      <c r="B632" s="98" t="s">
        <v>105</v>
      </c>
      <c r="C632" s="98" t="s">
        <v>106</v>
      </c>
      <c r="D632" s="98">
        <v>38.45391</v>
      </c>
      <c r="E632" s="98">
        <v>-121.59296999999999</v>
      </c>
      <c r="F632" s="98" t="s">
        <v>1606</v>
      </c>
      <c r="G632" s="98" t="s">
        <v>90</v>
      </c>
      <c r="H632" s="98" t="s">
        <v>108</v>
      </c>
      <c r="I632" s="621">
        <v>0.3430555555555555</v>
      </c>
      <c r="J632" s="100">
        <v>512</v>
      </c>
      <c r="K632" s="100">
        <v>16.48</v>
      </c>
      <c r="L632" s="100">
        <v>90.92</v>
      </c>
      <c r="M632" s="100">
        <v>0.18</v>
      </c>
      <c r="N632" s="100">
        <v>8.65</v>
      </c>
      <c r="O632" s="98" t="s">
        <v>48</v>
      </c>
      <c r="P632" s="98">
        <v>4</v>
      </c>
      <c r="Q632" s="98">
        <v>10</v>
      </c>
      <c r="R632" s="98" t="s">
        <v>64</v>
      </c>
      <c r="S632" s="98" t="s">
        <v>50</v>
      </c>
      <c r="T632" s="98" t="s">
        <v>50</v>
      </c>
      <c r="U632" s="98" t="s">
        <v>50</v>
      </c>
      <c r="V632" s="98" t="s">
        <v>50</v>
      </c>
      <c r="W632" s="98" t="s">
        <v>50</v>
      </c>
      <c r="X632" s="98" t="s">
        <v>50</v>
      </c>
      <c r="Y632" s="622" t="s">
        <v>1607</v>
      </c>
    </row>
    <row r="633" spans="1:25" x14ac:dyDescent="0.25">
      <c r="A633" s="194">
        <v>44140</v>
      </c>
      <c r="B633" s="98" t="s">
        <v>105</v>
      </c>
      <c r="C633" s="98" t="s">
        <v>106</v>
      </c>
      <c r="D633" s="98">
        <v>38.34431</v>
      </c>
      <c r="E633" s="98">
        <v>-121.64377</v>
      </c>
      <c r="F633" s="98" t="s">
        <v>1608</v>
      </c>
      <c r="G633" s="98" t="s">
        <v>90</v>
      </c>
      <c r="H633" s="98" t="s">
        <v>108</v>
      </c>
      <c r="I633" s="621">
        <v>0.41736111111111113</v>
      </c>
      <c r="J633" s="100">
        <v>249.3</v>
      </c>
      <c r="K633" s="100">
        <v>16.600000000000001</v>
      </c>
      <c r="L633" s="100">
        <v>39.85</v>
      </c>
      <c r="M633" s="100">
        <v>0.3</v>
      </c>
      <c r="N633" s="100">
        <v>10.95</v>
      </c>
      <c r="O633" s="98" t="s">
        <v>48</v>
      </c>
      <c r="P633" s="98">
        <v>4</v>
      </c>
      <c r="Q633" s="98">
        <v>10</v>
      </c>
      <c r="R633" s="98" t="s">
        <v>64</v>
      </c>
      <c r="S633" s="98" t="s">
        <v>50</v>
      </c>
      <c r="T633" s="98" t="s">
        <v>50</v>
      </c>
      <c r="U633" s="98" t="s">
        <v>50</v>
      </c>
      <c r="V633" s="98" t="s">
        <v>50</v>
      </c>
      <c r="W633" s="98" t="s">
        <v>50</v>
      </c>
      <c r="X633" s="98" t="s">
        <v>50</v>
      </c>
      <c r="Y633" s="622" t="s">
        <v>1363</v>
      </c>
    </row>
    <row r="634" spans="1:25" x14ac:dyDescent="0.25">
      <c r="A634" s="194">
        <v>44140</v>
      </c>
      <c r="B634" s="98" t="s">
        <v>105</v>
      </c>
      <c r="C634" s="98" t="s">
        <v>62</v>
      </c>
      <c r="D634" s="98">
        <v>38.122230000000002</v>
      </c>
      <c r="E634" s="98">
        <v>-122.07802</v>
      </c>
      <c r="F634" s="98" t="s">
        <v>1609</v>
      </c>
      <c r="G634" s="98" t="s">
        <v>27</v>
      </c>
      <c r="H634" s="98" t="s">
        <v>62</v>
      </c>
      <c r="I634" s="621">
        <v>0.3444444444444445</v>
      </c>
      <c r="J634" s="100">
        <v>16878.75</v>
      </c>
      <c r="K634" s="100">
        <v>16.079999999999998</v>
      </c>
      <c r="L634" s="100">
        <v>17.829999999999998</v>
      </c>
      <c r="M634" s="100">
        <v>0.54</v>
      </c>
      <c r="N634" s="100">
        <v>3.67</v>
      </c>
      <c r="O634" s="98" t="s">
        <v>48</v>
      </c>
      <c r="P634" s="98">
        <v>4</v>
      </c>
      <c r="Q634" s="98">
        <v>10</v>
      </c>
      <c r="R634" s="98" t="s">
        <v>49</v>
      </c>
      <c r="S634" s="98" t="s">
        <v>50</v>
      </c>
      <c r="T634" s="98" t="s">
        <v>50</v>
      </c>
      <c r="U634" s="98" t="s">
        <v>50</v>
      </c>
      <c r="V634" s="98" t="s">
        <v>50</v>
      </c>
      <c r="W634" s="98" t="s">
        <v>50</v>
      </c>
      <c r="X634" s="98" t="s">
        <v>50</v>
      </c>
    </row>
    <row r="635" spans="1:25" x14ac:dyDescent="0.25">
      <c r="A635" s="194">
        <v>44140</v>
      </c>
      <c r="B635" s="98" t="s">
        <v>105</v>
      </c>
      <c r="C635" s="98" t="s">
        <v>62</v>
      </c>
      <c r="D635" s="98">
        <v>38.172739999999997</v>
      </c>
      <c r="E635" s="98">
        <v>-122.05574</v>
      </c>
      <c r="F635" s="98" t="s">
        <v>1610</v>
      </c>
      <c r="G635" s="98" t="s">
        <v>27</v>
      </c>
      <c r="H635" s="98" t="s">
        <v>62</v>
      </c>
      <c r="I635" s="621">
        <v>0.39999999999999997</v>
      </c>
      <c r="J635" s="100">
        <v>12801.25</v>
      </c>
      <c r="K635" s="100">
        <v>16.350000000000001</v>
      </c>
      <c r="L635" s="100">
        <v>28.85</v>
      </c>
      <c r="M635" s="100">
        <v>0.39</v>
      </c>
      <c r="N635" s="100">
        <v>5.88</v>
      </c>
      <c r="O635" s="98" t="s">
        <v>48</v>
      </c>
      <c r="P635" s="98">
        <v>4</v>
      </c>
      <c r="Q635" s="98">
        <v>10</v>
      </c>
      <c r="R635" s="98" t="s">
        <v>49</v>
      </c>
      <c r="S635" s="98" t="s">
        <v>50</v>
      </c>
      <c r="T635" s="98" t="s">
        <v>50</v>
      </c>
      <c r="U635" s="98" t="s">
        <v>50</v>
      </c>
      <c r="V635" s="98" t="s">
        <v>50</v>
      </c>
      <c r="W635" s="98" t="s">
        <v>50</v>
      </c>
      <c r="X635" s="98" t="s">
        <v>50</v>
      </c>
    </row>
    <row r="636" spans="1:25" x14ac:dyDescent="0.25">
      <c r="A636" s="194">
        <v>44140</v>
      </c>
      <c r="B636" s="98" t="s">
        <v>105</v>
      </c>
      <c r="C636" s="98" t="s">
        <v>62</v>
      </c>
      <c r="D636" s="98">
        <v>38.167180000000002</v>
      </c>
      <c r="E636" s="98">
        <v>-121.944366</v>
      </c>
      <c r="F636" s="98" t="s">
        <v>1611</v>
      </c>
      <c r="G636" s="98" t="s">
        <v>27</v>
      </c>
      <c r="H636" s="98" t="s">
        <v>62</v>
      </c>
      <c r="I636" s="621">
        <v>0.46458333333333335</v>
      </c>
      <c r="J636" s="100">
        <v>11627.25</v>
      </c>
      <c r="K636" s="100">
        <v>16.97</v>
      </c>
      <c r="L636" s="100">
        <v>16.45</v>
      </c>
      <c r="M636" s="100">
        <v>0.72</v>
      </c>
      <c r="N636" s="100">
        <v>10.07</v>
      </c>
      <c r="O636" s="98" t="s">
        <v>48</v>
      </c>
      <c r="P636" s="98">
        <v>4</v>
      </c>
      <c r="Q636" s="98">
        <v>10</v>
      </c>
      <c r="R636" s="98" t="s">
        <v>49</v>
      </c>
      <c r="S636" s="98" t="s">
        <v>50</v>
      </c>
      <c r="T636" s="98" t="s">
        <v>50</v>
      </c>
      <c r="U636" s="98" t="s">
        <v>50</v>
      </c>
      <c r="V636" s="98" t="s">
        <v>50</v>
      </c>
      <c r="W636" s="98" t="s">
        <v>50</v>
      </c>
      <c r="X636" s="98" t="s">
        <v>50</v>
      </c>
    </row>
    <row r="637" spans="1:25" x14ac:dyDescent="0.25">
      <c r="A637" s="194">
        <v>44141</v>
      </c>
      <c r="B637" s="98" t="s">
        <v>125</v>
      </c>
      <c r="C637" s="98" t="s">
        <v>88</v>
      </c>
      <c r="D637" s="98">
        <v>38.106529999999999</v>
      </c>
      <c r="E637" s="98">
        <v>-121.70173</v>
      </c>
      <c r="F637" s="98" t="s">
        <v>1612</v>
      </c>
      <c r="G637" s="98" t="s">
        <v>90</v>
      </c>
      <c r="H637" s="98" t="s">
        <v>91</v>
      </c>
      <c r="I637" s="621">
        <v>0.41180555555555554</v>
      </c>
      <c r="J637" s="100">
        <v>2259.5</v>
      </c>
      <c r="K637" s="100">
        <v>16.2</v>
      </c>
      <c r="L637" s="100">
        <v>17.05</v>
      </c>
      <c r="M637" s="100">
        <v>0.73</v>
      </c>
      <c r="N637" s="100">
        <v>5.8</v>
      </c>
      <c r="O637" s="98" t="s">
        <v>48</v>
      </c>
      <c r="P637" s="98">
        <v>4</v>
      </c>
      <c r="Q637" s="98">
        <v>10</v>
      </c>
      <c r="R637" s="98" t="s">
        <v>64</v>
      </c>
      <c r="S637" s="98" t="s">
        <v>50</v>
      </c>
      <c r="T637" s="98" t="s">
        <v>50</v>
      </c>
      <c r="U637" s="98" t="s">
        <v>50</v>
      </c>
      <c r="V637" s="98" t="s">
        <v>50</v>
      </c>
      <c r="W637" s="98" t="s">
        <v>50</v>
      </c>
      <c r="X637" s="98" t="s">
        <v>50</v>
      </c>
    </row>
    <row r="638" spans="1:25" x14ac:dyDescent="0.25">
      <c r="A638" s="194">
        <v>44141</v>
      </c>
      <c r="B638" s="98" t="s">
        <v>125</v>
      </c>
      <c r="C638" s="98" t="s">
        <v>88</v>
      </c>
      <c r="D638" s="98">
        <v>38.113120000000002</v>
      </c>
      <c r="E638" s="98">
        <v>-121.70816000000001</v>
      </c>
      <c r="F638" s="98" t="s">
        <v>1613</v>
      </c>
      <c r="G638" s="98" t="s">
        <v>90</v>
      </c>
      <c r="H638" s="98" t="s">
        <v>91</v>
      </c>
      <c r="I638" s="621">
        <v>0.46111111111111108</v>
      </c>
      <c r="J638" s="100">
        <v>2582</v>
      </c>
      <c r="K638" s="100">
        <v>16.3</v>
      </c>
      <c r="L638" s="100">
        <v>24.05</v>
      </c>
      <c r="M638" s="100">
        <v>0.51</v>
      </c>
      <c r="N638" s="100">
        <v>9</v>
      </c>
      <c r="O638" s="98" t="s">
        <v>48</v>
      </c>
      <c r="P638" s="98">
        <v>4</v>
      </c>
      <c r="Q638" s="98">
        <v>10</v>
      </c>
      <c r="R638" s="98" t="s">
        <v>49</v>
      </c>
      <c r="S638" s="98" t="s">
        <v>50</v>
      </c>
      <c r="T638" s="98" t="s">
        <v>50</v>
      </c>
      <c r="U638" s="98" t="s">
        <v>50</v>
      </c>
      <c r="V638" s="98" t="s">
        <v>50</v>
      </c>
      <c r="W638" s="98" t="s">
        <v>50</v>
      </c>
      <c r="X638" s="98" t="s">
        <v>50</v>
      </c>
    </row>
    <row r="639" spans="1:25" s="362" customFormat="1" x14ac:dyDescent="0.25">
      <c r="A639" s="360">
        <v>44141</v>
      </c>
      <c r="B639" s="362" t="s">
        <v>125</v>
      </c>
      <c r="C639" s="362" t="s">
        <v>88</v>
      </c>
      <c r="D639" s="362">
        <v>38.059600000000003</v>
      </c>
      <c r="E639" s="362">
        <v>-121.80331</v>
      </c>
      <c r="F639" s="362" t="s">
        <v>1614</v>
      </c>
      <c r="G639" s="362" t="s">
        <v>27</v>
      </c>
      <c r="H639" s="362" t="s">
        <v>25</v>
      </c>
      <c r="I639" s="618">
        <v>0.34583333333333338</v>
      </c>
      <c r="J639" s="364">
        <v>8596</v>
      </c>
      <c r="K639" s="364">
        <v>16.7</v>
      </c>
      <c r="L639" s="364">
        <v>14.75</v>
      </c>
      <c r="M639" s="364">
        <v>0.78</v>
      </c>
      <c r="N639" s="364">
        <v>11.62</v>
      </c>
      <c r="O639" s="362" t="s">
        <v>48</v>
      </c>
      <c r="P639" s="362">
        <v>4</v>
      </c>
      <c r="Q639" s="362">
        <v>10</v>
      </c>
      <c r="R639" s="362" t="s">
        <v>64</v>
      </c>
      <c r="S639" s="362" t="s">
        <v>50</v>
      </c>
      <c r="T639" s="362" t="s">
        <v>50</v>
      </c>
      <c r="U639" s="362" t="s">
        <v>50</v>
      </c>
      <c r="V639" s="362" t="s">
        <v>50</v>
      </c>
      <c r="W639" s="362" t="s">
        <v>50</v>
      </c>
      <c r="X639" s="362" t="s">
        <v>50</v>
      </c>
      <c r="Y639" s="603"/>
    </row>
    <row r="640" spans="1:25" x14ac:dyDescent="0.25">
      <c r="A640" s="194">
        <v>44144</v>
      </c>
      <c r="B640" s="98" t="s">
        <v>43</v>
      </c>
      <c r="C640" s="98" t="s">
        <v>95</v>
      </c>
      <c r="D640" s="98">
        <v>38.077370000000002</v>
      </c>
      <c r="E640" s="98">
        <v>-121.57603</v>
      </c>
      <c r="F640" s="98" t="s">
        <v>1615</v>
      </c>
      <c r="G640" s="98" t="s">
        <v>46</v>
      </c>
      <c r="H640" s="98" t="s">
        <v>115</v>
      </c>
      <c r="I640" s="621">
        <v>0.36319444444444443</v>
      </c>
      <c r="J640" s="100">
        <v>436.32</v>
      </c>
      <c r="K640" s="100">
        <v>14.62</v>
      </c>
      <c r="L640" s="100">
        <v>6.25</v>
      </c>
      <c r="M640" s="100">
        <v>1.75</v>
      </c>
      <c r="N640" s="100">
        <v>4.3499999999999996</v>
      </c>
      <c r="O640" s="98" t="s">
        <v>48</v>
      </c>
      <c r="P640" s="98">
        <v>4</v>
      </c>
      <c r="Q640" s="98">
        <v>10</v>
      </c>
      <c r="R640" s="98" t="s">
        <v>64</v>
      </c>
      <c r="S640" s="98" t="s">
        <v>50</v>
      </c>
      <c r="T640" s="98" t="s">
        <v>50</v>
      </c>
      <c r="U640" s="98" t="s">
        <v>50</v>
      </c>
      <c r="V640" s="98" t="s">
        <v>50</v>
      </c>
      <c r="W640" s="98" t="s">
        <v>50</v>
      </c>
      <c r="X640" s="98" t="s">
        <v>50</v>
      </c>
    </row>
    <row r="641" spans="1:25" x14ac:dyDescent="0.25">
      <c r="A641" s="194">
        <v>44144</v>
      </c>
      <c r="B641" s="98" t="s">
        <v>43</v>
      </c>
      <c r="C641" s="98" t="s">
        <v>95</v>
      </c>
      <c r="D641" s="98">
        <v>38.101379999999999</v>
      </c>
      <c r="E641" s="98">
        <v>-121.61476</v>
      </c>
      <c r="F641" s="98" t="s">
        <v>1616</v>
      </c>
      <c r="G641" s="98" t="s">
        <v>46</v>
      </c>
      <c r="H641" s="98" t="s">
        <v>97</v>
      </c>
      <c r="I641" s="621">
        <v>0.41805555555555557</v>
      </c>
      <c r="J641" s="100">
        <v>366.95</v>
      </c>
      <c r="K641" s="100">
        <v>15</v>
      </c>
      <c r="L641" s="100">
        <v>6.79</v>
      </c>
      <c r="M641" s="100">
        <v>1.58</v>
      </c>
      <c r="N641" s="100">
        <v>6.62</v>
      </c>
      <c r="O641" s="98" t="s">
        <v>48</v>
      </c>
      <c r="P641" s="98">
        <v>4</v>
      </c>
      <c r="Q641" s="98">
        <v>10</v>
      </c>
      <c r="R641" s="98" t="s">
        <v>64</v>
      </c>
      <c r="S641" s="98" t="s">
        <v>50</v>
      </c>
      <c r="T641" s="98" t="s">
        <v>50</v>
      </c>
      <c r="U641" s="98" t="s">
        <v>50</v>
      </c>
      <c r="V641" s="98" t="s">
        <v>50</v>
      </c>
      <c r="W641" s="98" t="s">
        <v>50</v>
      </c>
      <c r="X641" s="98" t="s">
        <v>50</v>
      </c>
    </row>
    <row r="642" spans="1:25" x14ac:dyDescent="0.25">
      <c r="A642" s="194">
        <v>44144</v>
      </c>
      <c r="B642" s="98" t="s">
        <v>43</v>
      </c>
      <c r="C642" s="98" t="s">
        <v>95</v>
      </c>
      <c r="D642" s="98">
        <v>38.041870000000003</v>
      </c>
      <c r="E642" s="98">
        <v>-121.71387</v>
      </c>
      <c r="F642" s="98" t="s">
        <v>1617</v>
      </c>
      <c r="G642" s="98" t="s">
        <v>27</v>
      </c>
      <c r="H642" s="98" t="s">
        <v>95</v>
      </c>
      <c r="I642" s="621">
        <v>0.4680555555555555</v>
      </c>
      <c r="J642" s="100">
        <v>2363.25</v>
      </c>
      <c r="K642" s="100">
        <v>14.97</v>
      </c>
      <c r="L642" s="100">
        <v>14.88</v>
      </c>
      <c r="M642" s="100">
        <v>0.86</v>
      </c>
      <c r="N642" s="100">
        <v>3.9</v>
      </c>
      <c r="O642" s="98" t="s">
        <v>48</v>
      </c>
      <c r="P642" s="98">
        <v>4</v>
      </c>
      <c r="Q642" s="98">
        <v>10</v>
      </c>
      <c r="R642" s="98" t="s">
        <v>64</v>
      </c>
      <c r="S642" s="98" t="s">
        <v>50</v>
      </c>
      <c r="T642" s="98" t="s">
        <v>50</v>
      </c>
      <c r="U642" s="98" t="s">
        <v>50</v>
      </c>
      <c r="V642" s="98" t="s">
        <v>50</v>
      </c>
      <c r="W642" s="98" t="s">
        <v>50</v>
      </c>
      <c r="X642" s="98" t="s">
        <v>50</v>
      </c>
    </row>
    <row r="643" spans="1:25" x14ac:dyDescent="0.25">
      <c r="A643" s="194">
        <v>44144</v>
      </c>
      <c r="B643" s="98" t="s">
        <v>43</v>
      </c>
      <c r="C643" s="98" t="s">
        <v>62</v>
      </c>
      <c r="D643" s="98">
        <v>38.174129999999998</v>
      </c>
      <c r="E643" s="98">
        <v>-121.92413000000001</v>
      </c>
      <c r="F643" s="98" t="s">
        <v>1618</v>
      </c>
      <c r="G643" s="98" t="s">
        <v>27</v>
      </c>
      <c r="H643" s="98" t="s">
        <v>62</v>
      </c>
      <c r="I643" s="621">
        <v>0.41388888888888892</v>
      </c>
      <c r="J643" s="100">
        <v>8779.75</v>
      </c>
      <c r="K643" s="100">
        <v>14.33</v>
      </c>
      <c r="L643" s="100">
        <v>19.75</v>
      </c>
      <c r="M643" s="100">
        <v>0.78</v>
      </c>
      <c r="N643" s="100">
        <v>4.7</v>
      </c>
      <c r="O643" s="98" t="s">
        <v>48</v>
      </c>
      <c r="P643" s="98">
        <v>4</v>
      </c>
      <c r="Q643" s="98">
        <v>10</v>
      </c>
      <c r="R643" s="98" t="s">
        <v>49</v>
      </c>
      <c r="S643" s="98" t="s">
        <v>50</v>
      </c>
      <c r="T643" s="98" t="s">
        <v>50</v>
      </c>
      <c r="U643" s="98" t="s">
        <v>50</v>
      </c>
      <c r="V643" s="98" t="s">
        <v>50</v>
      </c>
      <c r="W643" s="98" t="s">
        <v>50</v>
      </c>
      <c r="X643" s="98" t="s">
        <v>50</v>
      </c>
    </row>
    <row r="644" spans="1:25" x14ac:dyDescent="0.25">
      <c r="A644" s="194">
        <v>44144</v>
      </c>
      <c r="B644" s="98" t="s">
        <v>43</v>
      </c>
      <c r="C644" s="98" t="s">
        <v>62</v>
      </c>
      <c r="D644" s="98">
        <v>38.117400000000004</v>
      </c>
      <c r="E644" s="98">
        <v>-121.88967</v>
      </c>
      <c r="F644" s="98" t="s">
        <v>1619</v>
      </c>
      <c r="G644" s="98" t="s">
        <v>27</v>
      </c>
      <c r="H644" s="98" t="s">
        <v>62</v>
      </c>
      <c r="I644" s="621">
        <v>0.3520833333333333</v>
      </c>
      <c r="J644" s="100">
        <v>11120.75</v>
      </c>
      <c r="K644" s="100">
        <v>14.63</v>
      </c>
      <c r="L644" s="100">
        <v>15.8</v>
      </c>
      <c r="M644" s="100">
        <v>0.81</v>
      </c>
      <c r="N644" s="100">
        <v>6.15</v>
      </c>
      <c r="O644" s="98" t="s">
        <v>48</v>
      </c>
      <c r="P644" s="98">
        <v>4</v>
      </c>
      <c r="Q644" s="98">
        <v>10</v>
      </c>
      <c r="R644" s="98" t="s">
        <v>64</v>
      </c>
      <c r="S644" s="98" t="s">
        <v>50</v>
      </c>
      <c r="T644" s="98" t="s">
        <v>50</v>
      </c>
      <c r="U644" s="98" t="s">
        <v>50</v>
      </c>
      <c r="V644" s="98" t="s">
        <v>50</v>
      </c>
      <c r="W644" s="98" t="s">
        <v>50</v>
      </c>
      <c r="X644" s="98" t="s">
        <v>50</v>
      </c>
    </row>
    <row r="645" spans="1:25" s="592" customFormat="1" x14ac:dyDescent="0.25">
      <c r="A645" s="590">
        <v>44144</v>
      </c>
      <c r="B645" s="592" t="s">
        <v>43</v>
      </c>
      <c r="C645" s="592" t="s">
        <v>62</v>
      </c>
      <c r="D645" s="592">
        <v>38.177399999999999</v>
      </c>
      <c r="E645" s="592">
        <v>-122.01036000000001</v>
      </c>
      <c r="F645" s="592" t="s">
        <v>1620</v>
      </c>
      <c r="G645" s="592" t="s">
        <v>27</v>
      </c>
      <c r="H645" s="592" t="s">
        <v>62</v>
      </c>
      <c r="I645" s="619">
        <v>0.47847222222222219</v>
      </c>
      <c r="J645" s="593">
        <v>13365.75</v>
      </c>
      <c r="K645" s="593">
        <v>14.7</v>
      </c>
      <c r="L645" s="593">
        <v>18.55</v>
      </c>
      <c r="M645" s="593">
        <v>0.66</v>
      </c>
      <c r="N645" s="593">
        <v>5.92</v>
      </c>
      <c r="O645" s="592" t="s">
        <v>48</v>
      </c>
      <c r="P645" s="592">
        <v>4</v>
      </c>
      <c r="Q645" s="592">
        <v>10</v>
      </c>
      <c r="R645" s="592" t="s">
        <v>49</v>
      </c>
      <c r="S645" s="675" t="s">
        <v>323</v>
      </c>
      <c r="T645" s="592">
        <v>1</v>
      </c>
      <c r="U645" s="592">
        <v>57</v>
      </c>
      <c r="V645" s="592" t="s">
        <v>66</v>
      </c>
      <c r="W645" s="592" t="s">
        <v>50</v>
      </c>
      <c r="X645" s="592" t="s">
        <v>50</v>
      </c>
      <c r="Y645" s="669"/>
    </row>
    <row r="646" spans="1:25" x14ac:dyDescent="0.25">
      <c r="A646" s="194">
        <v>44144</v>
      </c>
      <c r="B646" s="98" t="s">
        <v>43</v>
      </c>
      <c r="C646" s="98" t="s">
        <v>106</v>
      </c>
      <c r="D646" s="98">
        <v>38.563980000000001</v>
      </c>
      <c r="E646" s="98">
        <v>-121.55179</v>
      </c>
      <c r="F646" s="98" t="s">
        <v>1621</v>
      </c>
      <c r="G646" s="98" t="s">
        <v>90</v>
      </c>
      <c r="H646" s="98" t="s">
        <v>158</v>
      </c>
      <c r="I646" s="621">
        <v>0.36874999999999997</v>
      </c>
      <c r="J646" s="100">
        <v>888.75</v>
      </c>
      <c r="K646" s="100">
        <v>16.575000000000003</v>
      </c>
      <c r="L646" s="100">
        <v>6.4750000000000005</v>
      </c>
      <c r="M646" s="100">
        <v>1.5500000000000003</v>
      </c>
      <c r="N646" s="100">
        <v>11.45</v>
      </c>
      <c r="O646" s="98" t="s">
        <v>48</v>
      </c>
      <c r="P646" s="98">
        <v>4</v>
      </c>
      <c r="Q646" s="98">
        <v>10</v>
      </c>
      <c r="R646" s="98" t="s">
        <v>64</v>
      </c>
      <c r="S646" s="98" t="s">
        <v>50</v>
      </c>
      <c r="T646" s="98" t="s">
        <v>50</v>
      </c>
      <c r="U646" s="98" t="s">
        <v>50</v>
      </c>
      <c r="V646" s="98" t="s">
        <v>50</v>
      </c>
      <c r="W646" s="98" t="s">
        <v>50</v>
      </c>
      <c r="X646" s="98" t="s">
        <v>50</v>
      </c>
      <c r="Y646" s="622" t="s">
        <v>139</v>
      </c>
    </row>
    <row r="647" spans="1:25" x14ac:dyDescent="0.25">
      <c r="A647" s="194">
        <v>44144</v>
      </c>
      <c r="B647" s="98" t="s">
        <v>43</v>
      </c>
      <c r="C647" s="98" t="s">
        <v>106</v>
      </c>
      <c r="D647" s="98">
        <v>38.38053</v>
      </c>
      <c r="E647" s="98">
        <v>-121.62709</v>
      </c>
      <c r="F647" s="98" t="s">
        <v>1622</v>
      </c>
      <c r="G647" s="98" t="s">
        <v>90</v>
      </c>
      <c r="H647" s="98" t="s">
        <v>108</v>
      </c>
      <c r="I647" s="621">
        <v>0.50694444444444442</v>
      </c>
      <c r="J647" s="100">
        <v>317.10000000000002</v>
      </c>
      <c r="K647" s="100">
        <v>15.075000000000001</v>
      </c>
      <c r="L647" s="100">
        <v>54.949999999999996</v>
      </c>
      <c r="M647" s="100">
        <v>0.24</v>
      </c>
      <c r="N647" s="100">
        <v>9.1499999999999986</v>
      </c>
      <c r="O647" s="98" t="s">
        <v>48</v>
      </c>
      <c r="P647" s="98">
        <v>4</v>
      </c>
      <c r="Q647" s="98">
        <v>10</v>
      </c>
      <c r="R647" s="98" t="s">
        <v>64</v>
      </c>
      <c r="S647" s="98" t="s">
        <v>50</v>
      </c>
      <c r="T647" s="98" t="s">
        <v>50</v>
      </c>
      <c r="U647" s="98" t="s">
        <v>50</v>
      </c>
      <c r="V647" s="98" t="s">
        <v>50</v>
      </c>
      <c r="W647" s="98" t="s">
        <v>50</v>
      </c>
      <c r="X647" s="98" t="s">
        <v>50</v>
      </c>
      <c r="Y647" s="622" t="s">
        <v>1623</v>
      </c>
    </row>
    <row r="648" spans="1:25" x14ac:dyDescent="0.25">
      <c r="A648" s="194">
        <v>44144</v>
      </c>
      <c r="B648" s="98" t="s">
        <v>43</v>
      </c>
      <c r="C648" s="98" t="s">
        <v>106</v>
      </c>
      <c r="D648" s="98">
        <v>38.514229999999998</v>
      </c>
      <c r="E648" s="98">
        <v>-121.58423999999999</v>
      </c>
      <c r="F648" s="98" t="s">
        <v>1624</v>
      </c>
      <c r="G648" s="98" t="s">
        <v>90</v>
      </c>
      <c r="H648" s="98" t="s">
        <v>158</v>
      </c>
      <c r="I648" s="621">
        <v>0.43472222222222223</v>
      </c>
      <c r="J648" s="100">
        <v>730.5</v>
      </c>
      <c r="K648" s="100">
        <v>15.5</v>
      </c>
      <c r="L648" s="100">
        <v>17.125</v>
      </c>
      <c r="M648" s="100">
        <v>0.60750000000000004</v>
      </c>
      <c r="N648" s="100">
        <v>10.925000000000001</v>
      </c>
      <c r="O648" s="98" t="s">
        <v>48</v>
      </c>
      <c r="P648" s="98">
        <v>4</v>
      </c>
      <c r="Q648" s="98">
        <v>10</v>
      </c>
      <c r="R648" s="98" t="s">
        <v>64</v>
      </c>
      <c r="S648" s="98" t="s">
        <v>50</v>
      </c>
      <c r="T648" s="98" t="s">
        <v>50</v>
      </c>
      <c r="U648" s="98" t="s">
        <v>50</v>
      </c>
      <c r="V648" s="98" t="s">
        <v>50</v>
      </c>
      <c r="W648" s="98" t="s">
        <v>50</v>
      </c>
      <c r="X648" s="98" t="s">
        <v>50</v>
      </c>
    </row>
    <row r="649" spans="1:25" x14ac:dyDescent="0.25">
      <c r="A649" s="194">
        <v>44145</v>
      </c>
      <c r="B649" s="98" t="s">
        <v>70</v>
      </c>
      <c r="C649" s="98" t="s">
        <v>95</v>
      </c>
      <c r="D649" s="98">
        <v>38.021410000000003</v>
      </c>
      <c r="E649" s="98">
        <v>-121.80001</v>
      </c>
      <c r="F649" s="98" t="s">
        <v>1625</v>
      </c>
      <c r="G649" s="98" t="s">
        <v>27</v>
      </c>
      <c r="H649" s="98" t="s">
        <v>95</v>
      </c>
      <c r="I649" s="621">
        <v>0.34930555555555554</v>
      </c>
      <c r="J649" s="100">
        <v>2318.5</v>
      </c>
      <c r="K649" s="100">
        <v>14.63</v>
      </c>
      <c r="L649" s="100">
        <v>10.87</v>
      </c>
      <c r="M649" s="100">
        <v>1.18</v>
      </c>
      <c r="N649" s="100">
        <v>8.4700000000000006</v>
      </c>
      <c r="O649" s="98" t="s">
        <v>48</v>
      </c>
      <c r="P649" s="98">
        <v>4</v>
      </c>
      <c r="Q649" s="98">
        <v>10</v>
      </c>
      <c r="R649" s="98" t="s">
        <v>64</v>
      </c>
      <c r="S649" s="98" t="s">
        <v>50</v>
      </c>
      <c r="T649" s="98" t="s">
        <v>50</v>
      </c>
      <c r="U649" s="98" t="s">
        <v>50</v>
      </c>
      <c r="V649" s="98" t="s">
        <v>50</v>
      </c>
      <c r="W649" s="98" t="s">
        <v>50</v>
      </c>
      <c r="X649" s="98" t="s">
        <v>50</v>
      </c>
    </row>
    <row r="650" spans="1:25" x14ac:dyDescent="0.25">
      <c r="A650" s="194">
        <v>44145</v>
      </c>
      <c r="B650" s="98" t="s">
        <v>70</v>
      </c>
      <c r="C650" s="98" t="s">
        <v>95</v>
      </c>
      <c r="D650" s="98">
        <v>38.020940000000003</v>
      </c>
      <c r="E650" s="98">
        <v>-121.76791</v>
      </c>
      <c r="F650" s="98" t="s">
        <v>1626</v>
      </c>
      <c r="G650" s="98" t="s">
        <v>27</v>
      </c>
      <c r="H650" s="98" t="s">
        <v>95</v>
      </c>
      <c r="I650" s="621">
        <v>0.39999999999999997</v>
      </c>
      <c r="J650" s="100">
        <v>2347.75</v>
      </c>
      <c r="K650" s="100">
        <v>14.6</v>
      </c>
      <c r="L650" s="100">
        <v>17.474999999999998</v>
      </c>
      <c r="M650" s="100">
        <v>0.9375</v>
      </c>
      <c r="N650" s="100">
        <v>10.700000000000001</v>
      </c>
      <c r="O650" s="98" t="s">
        <v>48</v>
      </c>
      <c r="P650" s="98">
        <v>4</v>
      </c>
      <c r="Q650" s="98">
        <v>10</v>
      </c>
      <c r="R650" s="98" t="s">
        <v>64</v>
      </c>
      <c r="S650" s="98" t="s">
        <v>50</v>
      </c>
      <c r="T650" s="98" t="s">
        <v>50</v>
      </c>
      <c r="U650" s="98" t="s">
        <v>50</v>
      </c>
      <c r="V650" s="98" t="s">
        <v>50</v>
      </c>
      <c r="W650" s="98" t="s">
        <v>50</v>
      </c>
      <c r="X650" s="98" t="s">
        <v>50</v>
      </c>
    </row>
    <row r="651" spans="1:25" x14ac:dyDescent="0.25">
      <c r="A651" s="194">
        <v>44145</v>
      </c>
      <c r="B651" s="98" t="s">
        <v>70</v>
      </c>
      <c r="C651" s="98" t="s">
        <v>95</v>
      </c>
      <c r="D651" s="98">
        <v>38.022080000000003</v>
      </c>
      <c r="E651" s="98">
        <v>-121.76267</v>
      </c>
      <c r="F651" s="98" t="s">
        <v>1627</v>
      </c>
      <c r="G651" s="98" t="s">
        <v>27</v>
      </c>
      <c r="H651" s="98" t="s">
        <v>95</v>
      </c>
      <c r="I651" s="621">
        <v>0.44930555555555557</v>
      </c>
      <c r="J651" s="100">
        <v>2913.75</v>
      </c>
      <c r="K651" s="100">
        <v>14.675000000000001</v>
      </c>
      <c r="L651" s="100">
        <v>21.75</v>
      </c>
      <c r="M651" s="100">
        <v>0.77499999999999991</v>
      </c>
      <c r="N651" s="100">
        <v>5.2750000000000004</v>
      </c>
      <c r="O651" s="98" t="s">
        <v>48</v>
      </c>
      <c r="P651" s="98">
        <v>4</v>
      </c>
      <c r="Q651" s="98">
        <v>10</v>
      </c>
      <c r="R651" s="98" t="s">
        <v>64</v>
      </c>
      <c r="S651" s="98" t="s">
        <v>50</v>
      </c>
      <c r="T651" s="98" t="s">
        <v>50</v>
      </c>
      <c r="U651" s="98" t="s">
        <v>50</v>
      </c>
      <c r="V651" s="98" t="s">
        <v>50</v>
      </c>
      <c r="W651" s="98" t="s">
        <v>50</v>
      </c>
      <c r="X651" s="98" t="s">
        <v>50</v>
      </c>
    </row>
    <row r="652" spans="1:25" x14ac:dyDescent="0.25">
      <c r="A652" s="194">
        <v>44145</v>
      </c>
      <c r="B652" s="98" t="s">
        <v>70</v>
      </c>
      <c r="C652" s="98" t="s">
        <v>106</v>
      </c>
      <c r="D652" s="98">
        <v>38.195149999999998</v>
      </c>
      <c r="E652" s="98">
        <v>-121.65742</v>
      </c>
      <c r="F652" s="98" t="s">
        <v>1628</v>
      </c>
      <c r="G652" s="98" t="s">
        <v>90</v>
      </c>
      <c r="H652" s="98" t="s">
        <v>108</v>
      </c>
      <c r="I652" s="621">
        <v>0.3215277777777778</v>
      </c>
      <c r="J652" s="100">
        <v>100.78</v>
      </c>
      <c r="K652" s="100">
        <v>13.65</v>
      </c>
      <c r="L652" s="100">
        <v>7.81</v>
      </c>
      <c r="M652" s="100">
        <v>1.55</v>
      </c>
      <c r="N652" s="100">
        <v>14.65</v>
      </c>
      <c r="O652" s="98" t="s">
        <v>48</v>
      </c>
      <c r="P652" s="98">
        <v>4</v>
      </c>
      <c r="Q652" s="98">
        <v>10</v>
      </c>
      <c r="R652" s="98" t="s">
        <v>64</v>
      </c>
      <c r="S652" s="98" t="s">
        <v>50</v>
      </c>
      <c r="T652" s="98" t="s">
        <v>50</v>
      </c>
      <c r="U652" s="98" t="s">
        <v>50</v>
      </c>
      <c r="V652" s="98" t="s">
        <v>50</v>
      </c>
      <c r="W652" s="98" t="s">
        <v>50</v>
      </c>
      <c r="X652" s="98" t="s">
        <v>50</v>
      </c>
    </row>
    <row r="653" spans="1:25" x14ac:dyDescent="0.25">
      <c r="A653" s="194">
        <v>44145</v>
      </c>
      <c r="B653" s="98" t="s">
        <v>70</v>
      </c>
      <c r="C653" s="98" t="s">
        <v>106</v>
      </c>
      <c r="D653" s="98">
        <v>38.241259999999997</v>
      </c>
      <c r="E653" s="98">
        <v>-121.67153</v>
      </c>
      <c r="F653" s="98" t="s">
        <v>1629</v>
      </c>
      <c r="G653" s="98" t="s">
        <v>90</v>
      </c>
      <c r="H653" s="98" t="s">
        <v>108</v>
      </c>
      <c r="I653" s="621">
        <v>0.39513888888888887</v>
      </c>
      <c r="J653" s="100">
        <v>128.19999999999999</v>
      </c>
      <c r="K653" s="100">
        <v>13.27</v>
      </c>
      <c r="L653" s="100">
        <v>13.93</v>
      </c>
      <c r="M653" s="100">
        <v>1.21</v>
      </c>
      <c r="N653" s="100">
        <v>10.65</v>
      </c>
      <c r="O653" s="98" t="s">
        <v>48</v>
      </c>
      <c r="P653" s="98">
        <v>4</v>
      </c>
      <c r="Q653" s="98">
        <v>10</v>
      </c>
      <c r="R653" s="98" t="s">
        <v>64</v>
      </c>
      <c r="S653" s="98" t="s">
        <v>50</v>
      </c>
      <c r="T653" s="98" t="s">
        <v>50</v>
      </c>
      <c r="U653" s="98" t="s">
        <v>50</v>
      </c>
      <c r="V653" s="98" t="s">
        <v>50</v>
      </c>
      <c r="W653" s="98" t="s">
        <v>50</v>
      </c>
      <c r="X653" s="98" t="s">
        <v>50</v>
      </c>
    </row>
    <row r="654" spans="1:25" x14ac:dyDescent="0.25">
      <c r="A654" s="194">
        <v>44145</v>
      </c>
      <c r="B654" s="98" t="s">
        <v>70</v>
      </c>
      <c r="C654" s="98" t="s">
        <v>106</v>
      </c>
      <c r="D654" s="98">
        <v>38.537170000000003</v>
      </c>
      <c r="E654" s="98">
        <v>-121.58421</v>
      </c>
      <c r="F654" s="98" t="s">
        <v>1630</v>
      </c>
      <c r="G654" s="98" t="s">
        <v>90</v>
      </c>
      <c r="H654" s="98" t="s">
        <v>158</v>
      </c>
      <c r="I654" s="621">
        <v>0.47083333333333338</v>
      </c>
      <c r="J654" s="100">
        <v>811.5</v>
      </c>
      <c r="K654" s="100">
        <v>15.78</v>
      </c>
      <c r="L654" s="100">
        <v>22.9</v>
      </c>
      <c r="M654" s="100">
        <v>0.49</v>
      </c>
      <c r="N654" s="100">
        <v>11.3</v>
      </c>
      <c r="O654" s="98" t="s">
        <v>48</v>
      </c>
      <c r="P654" s="98">
        <v>4</v>
      </c>
      <c r="Q654" s="98">
        <v>10</v>
      </c>
      <c r="R654" s="98" t="s">
        <v>64</v>
      </c>
      <c r="S654" s="98" t="s">
        <v>50</v>
      </c>
      <c r="T654" s="98" t="s">
        <v>50</v>
      </c>
      <c r="U654" s="98" t="s">
        <v>50</v>
      </c>
      <c r="V654" s="98" t="s">
        <v>50</v>
      </c>
      <c r="W654" s="98" t="s">
        <v>50</v>
      </c>
      <c r="X654" s="98" t="s">
        <v>50</v>
      </c>
    </row>
    <row r="655" spans="1:25" s="154" customFormat="1" x14ac:dyDescent="0.25">
      <c r="A655" s="195">
        <v>44145</v>
      </c>
      <c r="B655" s="154" t="s">
        <v>70</v>
      </c>
      <c r="C655" s="154" t="s">
        <v>62</v>
      </c>
      <c r="D655" s="154">
        <v>38.121119999999998</v>
      </c>
      <c r="E655" s="154">
        <v>-122.07164</v>
      </c>
      <c r="F655" s="154" t="s">
        <v>1631</v>
      </c>
      <c r="G655" s="154" t="s">
        <v>27</v>
      </c>
      <c r="H655" s="154" t="s">
        <v>62</v>
      </c>
      <c r="I655" s="636">
        <v>0.34375</v>
      </c>
      <c r="J655" s="156" t="s">
        <v>50</v>
      </c>
      <c r="K655" s="156" t="s">
        <v>50</v>
      </c>
      <c r="L655" s="156" t="s">
        <v>50</v>
      </c>
      <c r="M655" s="156" t="s">
        <v>50</v>
      </c>
      <c r="N655" s="156" t="s">
        <v>50</v>
      </c>
      <c r="O655" s="154" t="s">
        <v>48</v>
      </c>
      <c r="P655" s="154">
        <v>0</v>
      </c>
      <c r="Q655" s="154" t="s">
        <v>50</v>
      </c>
      <c r="R655" s="154" t="s">
        <v>50</v>
      </c>
      <c r="S655" s="154" t="s">
        <v>50</v>
      </c>
      <c r="T655" s="154" t="s">
        <v>50</v>
      </c>
      <c r="U655" s="154" t="s">
        <v>50</v>
      </c>
      <c r="V655" s="154" t="s">
        <v>50</v>
      </c>
      <c r="W655" s="154" t="s">
        <v>50</v>
      </c>
      <c r="X655" s="154" t="s">
        <v>50</v>
      </c>
      <c r="Y655" s="627" t="s">
        <v>734</v>
      </c>
    </row>
    <row r="656" spans="1:25" x14ac:dyDescent="0.25">
      <c r="A656" s="194">
        <v>44145</v>
      </c>
      <c r="B656" s="98" t="s">
        <v>70</v>
      </c>
      <c r="C656" s="98" t="s">
        <v>62</v>
      </c>
      <c r="D656" s="98">
        <v>38.185859999999998</v>
      </c>
      <c r="E656" s="98">
        <v>-121.98308</v>
      </c>
      <c r="F656" s="98" t="s">
        <v>1632</v>
      </c>
      <c r="G656" s="98" t="s">
        <v>27</v>
      </c>
      <c r="H656" s="98" t="s">
        <v>62</v>
      </c>
      <c r="I656" s="621">
        <v>0.35555555555555557</v>
      </c>
      <c r="J656" s="100">
        <v>11721</v>
      </c>
      <c r="K656" s="100">
        <v>14.05</v>
      </c>
      <c r="L656" s="100">
        <v>33.83</v>
      </c>
      <c r="M656" s="100">
        <v>0.57999999999999996</v>
      </c>
      <c r="N656" s="100">
        <v>10.3</v>
      </c>
      <c r="O656" s="98" t="s">
        <v>48</v>
      </c>
      <c r="P656" s="98">
        <v>4</v>
      </c>
      <c r="Q656" s="98">
        <v>10</v>
      </c>
      <c r="R656" s="98" t="s">
        <v>64</v>
      </c>
      <c r="S656" s="98" t="s">
        <v>50</v>
      </c>
      <c r="T656" s="98" t="s">
        <v>50</v>
      </c>
      <c r="U656" s="98" t="s">
        <v>50</v>
      </c>
      <c r="V656" s="98" t="s">
        <v>50</v>
      </c>
      <c r="W656" s="98" t="s">
        <v>50</v>
      </c>
      <c r="X656" s="98" t="s">
        <v>50</v>
      </c>
      <c r="Y656" s="622" t="s">
        <v>139</v>
      </c>
    </row>
    <row r="657" spans="1:25" x14ac:dyDescent="0.25">
      <c r="A657" s="194">
        <v>44145</v>
      </c>
      <c r="B657" s="98" t="s">
        <v>70</v>
      </c>
      <c r="C657" s="98" t="s">
        <v>62</v>
      </c>
      <c r="D657" s="98">
        <v>38.158290000000001</v>
      </c>
      <c r="E657" s="98">
        <v>-122.04949000000001</v>
      </c>
      <c r="F657" s="98" t="s">
        <v>1633</v>
      </c>
      <c r="G657" s="98" t="s">
        <v>27</v>
      </c>
      <c r="H657" s="98" t="s">
        <v>62</v>
      </c>
      <c r="I657" s="621">
        <v>0.41111111111111115</v>
      </c>
      <c r="J657" s="100">
        <v>17044.5</v>
      </c>
      <c r="K657" s="100">
        <v>13.7</v>
      </c>
      <c r="L657" s="100">
        <v>38.299999999999997</v>
      </c>
      <c r="M657" s="100">
        <v>0.53</v>
      </c>
      <c r="N657" s="100">
        <v>9.3800000000000008</v>
      </c>
      <c r="O657" s="98" t="s">
        <v>48</v>
      </c>
      <c r="P657" s="98">
        <v>4</v>
      </c>
      <c r="Q657" s="98">
        <v>10</v>
      </c>
      <c r="R657" s="98" t="s">
        <v>64</v>
      </c>
      <c r="S657" s="98" t="s">
        <v>50</v>
      </c>
      <c r="T657" s="98" t="s">
        <v>50</v>
      </c>
      <c r="U657" s="98" t="s">
        <v>50</v>
      </c>
      <c r="V657" s="98" t="s">
        <v>50</v>
      </c>
      <c r="W657" s="98" t="s">
        <v>50</v>
      </c>
      <c r="X657" s="98" t="s">
        <v>50</v>
      </c>
      <c r="Y657" s="622" t="s">
        <v>67</v>
      </c>
    </row>
    <row r="658" spans="1:25" x14ac:dyDescent="0.25">
      <c r="A658" s="194">
        <v>44145</v>
      </c>
      <c r="B658" s="98" t="s">
        <v>70</v>
      </c>
      <c r="C658" s="98" t="s">
        <v>62</v>
      </c>
      <c r="D658" s="98">
        <v>38.101329999999997</v>
      </c>
      <c r="E658" s="98">
        <v>-122.02692999999999</v>
      </c>
      <c r="F658" s="98" t="s">
        <v>1634</v>
      </c>
      <c r="G658" s="98" t="s">
        <v>27</v>
      </c>
      <c r="H658" s="98" t="s">
        <v>173</v>
      </c>
      <c r="I658" s="621">
        <v>0.47152777777777777</v>
      </c>
      <c r="J658" s="100">
        <v>19817</v>
      </c>
      <c r="K658" s="100">
        <v>14.4</v>
      </c>
      <c r="L658" s="100">
        <v>33.85</v>
      </c>
      <c r="M658" s="100">
        <v>0.48</v>
      </c>
      <c r="N658" s="100">
        <v>3</v>
      </c>
      <c r="O658" s="98" t="s">
        <v>48</v>
      </c>
      <c r="P658" s="98">
        <v>2</v>
      </c>
      <c r="Q658" s="98">
        <v>10</v>
      </c>
      <c r="R658" s="98" t="s">
        <v>49</v>
      </c>
      <c r="S658" s="98" t="s">
        <v>50</v>
      </c>
      <c r="T658" s="98" t="s">
        <v>50</v>
      </c>
      <c r="U658" s="98" t="s">
        <v>50</v>
      </c>
      <c r="V658" s="98" t="s">
        <v>50</v>
      </c>
      <c r="W658" s="98" t="s">
        <v>50</v>
      </c>
      <c r="X658" s="98" t="s">
        <v>50</v>
      </c>
      <c r="Y658" s="622" t="s">
        <v>1635</v>
      </c>
    </row>
    <row r="659" spans="1:25" x14ac:dyDescent="0.25">
      <c r="A659" s="194">
        <v>44147</v>
      </c>
      <c r="B659" s="98" t="s">
        <v>105</v>
      </c>
      <c r="C659" s="98" t="s">
        <v>126</v>
      </c>
      <c r="D659" s="98">
        <v>38.26811</v>
      </c>
      <c r="E659" s="98">
        <v>-121.66937</v>
      </c>
      <c r="F659" s="98" t="s">
        <v>1636</v>
      </c>
      <c r="G659" s="98" t="s">
        <v>90</v>
      </c>
      <c r="H659" s="98" t="s">
        <v>126</v>
      </c>
      <c r="I659" s="621">
        <v>0.47222222222222227</v>
      </c>
      <c r="J659" s="100">
        <v>131.37</v>
      </c>
      <c r="K659" s="100">
        <v>12.4</v>
      </c>
      <c r="L659" s="100">
        <v>9.1199999999999992</v>
      </c>
      <c r="M659" s="100">
        <v>1.36</v>
      </c>
      <c r="N659" s="100">
        <v>6.92</v>
      </c>
      <c r="O659" s="98" t="s">
        <v>48</v>
      </c>
      <c r="P659" s="98">
        <v>4</v>
      </c>
      <c r="Q659" s="98">
        <v>10</v>
      </c>
      <c r="R659" s="98" t="s">
        <v>64</v>
      </c>
      <c r="S659" s="98" t="s">
        <v>50</v>
      </c>
      <c r="T659" s="98" t="s">
        <v>50</v>
      </c>
      <c r="U659" s="98" t="s">
        <v>50</v>
      </c>
      <c r="V659" s="98" t="s">
        <v>50</v>
      </c>
      <c r="W659" s="98" t="s">
        <v>50</v>
      </c>
      <c r="X659" s="98" t="s">
        <v>50</v>
      </c>
    </row>
    <row r="660" spans="1:25" x14ac:dyDescent="0.25">
      <c r="A660" s="194">
        <v>44147</v>
      </c>
      <c r="B660" s="98" t="s">
        <v>105</v>
      </c>
      <c r="C660" s="98" t="s">
        <v>126</v>
      </c>
      <c r="D660" s="98">
        <v>38.234349999999999</v>
      </c>
      <c r="E660" s="98">
        <v>-121.67870000000001</v>
      </c>
      <c r="F660" s="98" t="s">
        <v>1637</v>
      </c>
      <c r="G660" s="98" t="s">
        <v>90</v>
      </c>
      <c r="H660" s="98" t="s">
        <v>126</v>
      </c>
      <c r="I660" s="621">
        <v>0.34791666666666665</v>
      </c>
      <c r="J660" s="100">
        <v>127.83</v>
      </c>
      <c r="K660" s="100">
        <v>12.65</v>
      </c>
      <c r="L660" s="100">
        <v>8.98</v>
      </c>
      <c r="M660" s="100">
        <v>1.77</v>
      </c>
      <c r="N660" s="100">
        <v>11.7</v>
      </c>
      <c r="O660" s="98" t="s">
        <v>48</v>
      </c>
      <c r="P660" s="98">
        <v>4</v>
      </c>
      <c r="Q660" s="98">
        <v>10</v>
      </c>
      <c r="R660" s="98" t="s">
        <v>64</v>
      </c>
      <c r="S660" s="98" t="s">
        <v>50</v>
      </c>
      <c r="T660" s="98" t="s">
        <v>50</v>
      </c>
      <c r="U660" s="98" t="s">
        <v>50</v>
      </c>
      <c r="V660" s="98" t="s">
        <v>50</v>
      </c>
      <c r="W660" s="98" t="s">
        <v>50</v>
      </c>
      <c r="X660" s="98" t="s">
        <v>50</v>
      </c>
    </row>
    <row r="661" spans="1:25" x14ac:dyDescent="0.25">
      <c r="A661" s="194">
        <v>44147</v>
      </c>
      <c r="B661" s="98" t="s">
        <v>105</v>
      </c>
      <c r="C661" s="98" t="s">
        <v>126</v>
      </c>
      <c r="D661" s="98">
        <v>38.259720000000002</v>
      </c>
      <c r="E661" s="98">
        <v>-121.76302</v>
      </c>
      <c r="F661" s="98" t="s">
        <v>1638</v>
      </c>
      <c r="G661" s="98" t="s">
        <v>90</v>
      </c>
      <c r="H661" s="98" t="s">
        <v>126</v>
      </c>
      <c r="I661" s="621">
        <v>0.40347222222222223</v>
      </c>
      <c r="J661" s="100">
        <v>130.16999999999999</v>
      </c>
      <c r="K661" s="100">
        <v>12.42</v>
      </c>
      <c r="L661" s="100">
        <v>13.65</v>
      </c>
      <c r="M661" s="100">
        <v>1.71</v>
      </c>
      <c r="N661" s="100">
        <v>3.62</v>
      </c>
      <c r="O661" s="98" t="s">
        <v>48</v>
      </c>
      <c r="P661" s="98">
        <v>4</v>
      </c>
      <c r="Q661" s="98">
        <v>10</v>
      </c>
      <c r="R661" s="98" t="s">
        <v>64</v>
      </c>
      <c r="S661" s="98" t="s">
        <v>50</v>
      </c>
      <c r="T661" s="98" t="s">
        <v>50</v>
      </c>
      <c r="U661" s="98" t="s">
        <v>50</v>
      </c>
      <c r="V661" s="98" t="s">
        <v>50</v>
      </c>
      <c r="W661" s="98" t="s">
        <v>50</v>
      </c>
      <c r="X661" s="98" t="s">
        <v>50</v>
      </c>
      <c r="Y661" s="622" t="s">
        <v>183</v>
      </c>
    </row>
    <row r="662" spans="1:25" x14ac:dyDescent="0.25">
      <c r="A662" s="194">
        <v>44147</v>
      </c>
      <c r="B662" s="98" t="s">
        <v>105</v>
      </c>
      <c r="C662" s="98" t="s">
        <v>78</v>
      </c>
      <c r="D662" s="98">
        <v>38.099580000000003</v>
      </c>
      <c r="E662" s="98">
        <v>-122.03701</v>
      </c>
      <c r="F662" s="98" t="s">
        <v>1639</v>
      </c>
      <c r="G662" s="98" t="s">
        <v>27</v>
      </c>
      <c r="H662" s="98" t="s">
        <v>86</v>
      </c>
      <c r="I662" s="621">
        <v>0.34861111111111115</v>
      </c>
      <c r="J662" s="100">
        <v>18320.75</v>
      </c>
      <c r="K662" s="100">
        <v>13.88</v>
      </c>
      <c r="L662" s="100">
        <v>39.630000000000003</v>
      </c>
      <c r="M662" s="100">
        <v>0.51</v>
      </c>
      <c r="N662" s="100">
        <v>8.1199999999999992</v>
      </c>
      <c r="O662" s="98" t="s">
        <v>48</v>
      </c>
      <c r="P662" s="98">
        <v>4</v>
      </c>
      <c r="Q662" s="98">
        <v>10</v>
      </c>
      <c r="R662" s="98" t="s">
        <v>64</v>
      </c>
      <c r="S662" s="98" t="s">
        <v>50</v>
      </c>
      <c r="T662" s="98" t="s">
        <v>50</v>
      </c>
      <c r="U662" s="98" t="s">
        <v>50</v>
      </c>
      <c r="V662" s="98" t="s">
        <v>50</v>
      </c>
      <c r="W662" s="98" t="s">
        <v>50</v>
      </c>
      <c r="X662" s="98" t="s">
        <v>50</v>
      </c>
      <c r="Y662" s="622" t="s">
        <v>139</v>
      </c>
    </row>
    <row r="663" spans="1:25" x14ac:dyDescent="0.25">
      <c r="A663" s="194">
        <v>44147</v>
      </c>
      <c r="B663" s="98" t="s">
        <v>105</v>
      </c>
      <c r="C663" s="98" t="s">
        <v>78</v>
      </c>
      <c r="D663" s="98">
        <v>38.052379999999999</v>
      </c>
      <c r="E663" s="98">
        <v>-122.08441000000001</v>
      </c>
      <c r="F663" s="98" t="s">
        <v>1640</v>
      </c>
      <c r="G663" s="98" t="s">
        <v>80</v>
      </c>
      <c r="H663" s="98" t="s">
        <v>81</v>
      </c>
      <c r="I663" s="621">
        <v>0.40625</v>
      </c>
      <c r="J663" s="100">
        <v>25877.75</v>
      </c>
      <c r="K663" s="100">
        <v>14.53</v>
      </c>
      <c r="L663" s="100">
        <v>43.3</v>
      </c>
      <c r="M663" s="100">
        <v>0.52</v>
      </c>
      <c r="N663" s="100">
        <v>9.64</v>
      </c>
      <c r="O663" s="98" t="s">
        <v>48</v>
      </c>
      <c r="P663" s="98">
        <v>4</v>
      </c>
      <c r="Q663" s="98">
        <v>10</v>
      </c>
      <c r="R663" s="98" t="s">
        <v>64</v>
      </c>
      <c r="S663" s="98" t="s">
        <v>50</v>
      </c>
      <c r="T663" s="98" t="s">
        <v>50</v>
      </c>
      <c r="U663" s="98" t="s">
        <v>50</v>
      </c>
      <c r="V663" s="98" t="s">
        <v>50</v>
      </c>
      <c r="W663" s="98" t="s">
        <v>50</v>
      </c>
      <c r="X663" s="98" t="s">
        <v>50</v>
      </c>
    </row>
    <row r="664" spans="1:25" x14ac:dyDescent="0.25">
      <c r="A664" s="194">
        <v>44147</v>
      </c>
      <c r="B664" s="98" t="s">
        <v>105</v>
      </c>
      <c r="C664" s="98" t="s">
        <v>78</v>
      </c>
      <c r="D664" s="98">
        <v>38.051270000000002</v>
      </c>
      <c r="E664" s="98">
        <v>-121.93420999999999</v>
      </c>
      <c r="F664" s="98" t="s">
        <v>1641</v>
      </c>
      <c r="G664" s="98" t="s">
        <v>27</v>
      </c>
      <c r="H664" s="98" t="s">
        <v>101</v>
      </c>
      <c r="I664" s="621">
        <v>0.46388888888888885</v>
      </c>
      <c r="J664" s="100">
        <v>13451.5</v>
      </c>
      <c r="K664" s="100">
        <v>14.42</v>
      </c>
      <c r="L664" s="100">
        <v>48.5</v>
      </c>
      <c r="M664" s="100">
        <v>0.45</v>
      </c>
      <c r="N664" s="100">
        <v>14.38</v>
      </c>
      <c r="O664" s="98" t="s">
        <v>48</v>
      </c>
      <c r="P664" s="98">
        <v>4</v>
      </c>
      <c r="Q664" s="98">
        <v>10</v>
      </c>
      <c r="R664" s="98" t="s">
        <v>64</v>
      </c>
      <c r="S664" s="98" t="s">
        <v>50</v>
      </c>
      <c r="T664" s="98" t="s">
        <v>50</v>
      </c>
      <c r="U664" s="98" t="s">
        <v>50</v>
      </c>
      <c r="V664" s="98" t="s">
        <v>50</v>
      </c>
      <c r="W664" s="98" t="s">
        <v>50</v>
      </c>
      <c r="X664" s="98" t="s">
        <v>50</v>
      </c>
    </row>
    <row r="665" spans="1:25" x14ac:dyDescent="0.25">
      <c r="A665" s="194">
        <v>44147</v>
      </c>
      <c r="B665" s="98" t="s">
        <v>105</v>
      </c>
      <c r="C665" s="98" t="s">
        <v>88</v>
      </c>
      <c r="D665" s="98">
        <v>38.142769999999999</v>
      </c>
      <c r="E665" s="98">
        <v>-121.6906</v>
      </c>
      <c r="F665" s="98" t="s">
        <v>1642</v>
      </c>
      <c r="G665" s="98" t="s">
        <v>90</v>
      </c>
      <c r="H665" s="98" t="s">
        <v>91</v>
      </c>
      <c r="I665" s="621">
        <v>0.36736111111111108</v>
      </c>
      <c r="J665" s="100">
        <v>152.66999999999999</v>
      </c>
      <c r="K665" s="100">
        <v>13.47</v>
      </c>
      <c r="L665" s="100">
        <v>5.22</v>
      </c>
      <c r="M665" s="100">
        <v>1.77</v>
      </c>
      <c r="N665" s="100">
        <v>9.7200000000000006</v>
      </c>
      <c r="O665" s="98" t="s">
        <v>48</v>
      </c>
      <c r="P665" s="98">
        <v>4</v>
      </c>
      <c r="Q665" s="98">
        <v>10</v>
      </c>
      <c r="R665" s="98" t="s">
        <v>64</v>
      </c>
      <c r="S665" s="98" t="s">
        <v>50</v>
      </c>
      <c r="T665" s="98" t="s">
        <v>50</v>
      </c>
      <c r="U665" s="98" t="s">
        <v>50</v>
      </c>
      <c r="V665" s="98" t="s">
        <v>50</v>
      </c>
      <c r="W665" s="98" t="s">
        <v>50</v>
      </c>
      <c r="X665" s="98" t="s">
        <v>50</v>
      </c>
    </row>
    <row r="666" spans="1:25" x14ac:dyDescent="0.25">
      <c r="A666" s="194">
        <v>44147</v>
      </c>
      <c r="B666" s="98" t="s">
        <v>105</v>
      </c>
      <c r="C666" s="98" t="s">
        <v>88</v>
      </c>
      <c r="D666" s="98">
        <v>38.056910000000002</v>
      </c>
      <c r="E666" s="98">
        <v>-121.81404000000001</v>
      </c>
      <c r="F666" s="98" t="s">
        <v>1643</v>
      </c>
      <c r="G666" s="98" t="s">
        <v>27</v>
      </c>
      <c r="H666" s="98" t="s">
        <v>25</v>
      </c>
      <c r="I666" s="621">
        <v>0.4291666666666667</v>
      </c>
      <c r="J666" s="100">
        <v>6162</v>
      </c>
      <c r="K666" s="100">
        <v>14.35</v>
      </c>
      <c r="L666" s="100">
        <v>17.22</v>
      </c>
      <c r="M666" s="100">
        <v>0.7</v>
      </c>
      <c r="N666" s="100">
        <v>9.2200000000000006</v>
      </c>
      <c r="O666" s="98" t="s">
        <v>48</v>
      </c>
      <c r="P666" s="98">
        <v>4</v>
      </c>
      <c r="Q666" s="98">
        <v>10</v>
      </c>
      <c r="R666" s="98" t="s">
        <v>64</v>
      </c>
      <c r="S666" s="98" t="s">
        <v>50</v>
      </c>
      <c r="T666" s="98" t="s">
        <v>50</v>
      </c>
      <c r="U666" s="98" t="s">
        <v>50</v>
      </c>
      <c r="V666" s="98" t="s">
        <v>50</v>
      </c>
      <c r="W666" s="98" t="s">
        <v>50</v>
      </c>
      <c r="X666" s="98" t="s">
        <v>50</v>
      </c>
      <c r="Y666" s="622" t="s">
        <v>139</v>
      </c>
    </row>
    <row r="667" spans="1:25" x14ac:dyDescent="0.25">
      <c r="A667" s="194">
        <v>44147</v>
      </c>
      <c r="B667" s="98" t="s">
        <v>105</v>
      </c>
      <c r="C667" s="98" t="s">
        <v>88</v>
      </c>
      <c r="D667" s="98">
        <v>38.067729999999997</v>
      </c>
      <c r="E667" s="98">
        <v>-121.78745000000001</v>
      </c>
      <c r="F667" s="98" t="s">
        <v>1644</v>
      </c>
      <c r="G667" s="98" t="s">
        <v>27</v>
      </c>
      <c r="H667" s="98" t="s">
        <v>25</v>
      </c>
      <c r="I667" s="621">
        <v>0.4777777777777778</v>
      </c>
      <c r="J667" s="100">
        <v>5474.25</v>
      </c>
      <c r="K667" s="100">
        <v>14.5</v>
      </c>
      <c r="L667" s="100">
        <v>41.75</v>
      </c>
      <c r="M667" s="100">
        <v>0.46</v>
      </c>
      <c r="N667" s="100">
        <v>6.97</v>
      </c>
      <c r="O667" s="98" t="s">
        <v>48</v>
      </c>
      <c r="P667" s="98">
        <v>4</v>
      </c>
      <c r="Q667" s="98">
        <v>10</v>
      </c>
      <c r="R667" s="98" t="s">
        <v>64</v>
      </c>
      <c r="S667" s="98" t="s">
        <v>50</v>
      </c>
      <c r="T667" s="98" t="s">
        <v>50</v>
      </c>
      <c r="U667" s="98" t="s">
        <v>50</v>
      </c>
      <c r="V667" s="98" t="s">
        <v>50</v>
      </c>
      <c r="W667" s="98" t="s">
        <v>50</v>
      </c>
      <c r="X667" s="98" t="s">
        <v>50</v>
      </c>
    </row>
    <row r="668" spans="1:25" s="154" customFormat="1" x14ac:dyDescent="0.25">
      <c r="A668" s="195">
        <v>44148</v>
      </c>
      <c r="B668" s="154" t="s">
        <v>125</v>
      </c>
      <c r="C668" s="154" t="s">
        <v>126</v>
      </c>
      <c r="D668" s="154">
        <v>38.270330000000001</v>
      </c>
      <c r="E668" s="154">
        <v>-121.70384</v>
      </c>
      <c r="F668" s="154" t="s">
        <v>1645</v>
      </c>
      <c r="G668" s="154" t="s">
        <v>90</v>
      </c>
      <c r="H668" s="154" t="s">
        <v>126</v>
      </c>
      <c r="I668" s="636">
        <v>0.34375</v>
      </c>
      <c r="J668" s="156" t="s">
        <v>50</v>
      </c>
      <c r="K668" s="156" t="s">
        <v>50</v>
      </c>
      <c r="L668" s="156" t="s">
        <v>50</v>
      </c>
      <c r="M668" s="156" t="s">
        <v>50</v>
      </c>
      <c r="N668" s="156" t="s">
        <v>50</v>
      </c>
      <c r="O668" s="154" t="s">
        <v>48</v>
      </c>
      <c r="P668" s="154">
        <v>0</v>
      </c>
      <c r="Q668" s="154" t="s">
        <v>50</v>
      </c>
      <c r="R668" s="154" t="s">
        <v>50</v>
      </c>
      <c r="S668" s="154" t="s">
        <v>50</v>
      </c>
      <c r="T668" s="154" t="s">
        <v>50</v>
      </c>
      <c r="U668" s="154" t="s">
        <v>50</v>
      </c>
      <c r="V668" s="154" t="s">
        <v>50</v>
      </c>
      <c r="W668" s="154" t="s">
        <v>50</v>
      </c>
      <c r="X668" s="154" t="s">
        <v>50</v>
      </c>
      <c r="Y668" s="627" t="s">
        <v>734</v>
      </c>
    </row>
    <row r="669" spans="1:25" x14ac:dyDescent="0.25">
      <c r="A669" s="194">
        <v>44148</v>
      </c>
      <c r="B669" s="98" t="s">
        <v>125</v>
      </c>
      <c r="C669" s="98" t="s">
        <v>126</v>
      </c>
      <c r="D669" s="98">
        <v>38.267879999999998</v>
      </c>
      <c r="E669" s="98">
        <v>-121.69269</v>
      </c>
      <c r="F669" s="98" t="s">
        <v>1646</v>
      </c>
      <c r="G669" s="98" t="s">
        <v>90</v>
      </c>
      <c r="H669" s="98" t="s">
        <v>126</v>
      </c>
      <c r="I669" s="621">
        <v>0.3430555555555555</v>
      </c>
      <c r="J669" s="100">
        <v>135.08000000000001</v>
      </c>
      <c r="K669" s="100">
        <v>12.13</v>
      </c>
      <c r="L669" s="100">
        <v>4.32</v>
      </c>
      <c r="M669" s="100">
        <v>1.8</v>
      </c>
      <c r="N669" s="100">
        <v>4.33</v>
      </c>
      <c r="O669" s="98" t="s">
        <v>48</v>
      </c>
      <c r="P669" s="98">
        <v>4</v>
      </c>
      <c r="Q669" s="98">
        <v>10</v>
      </c>
      <c r="R669" s="98" t="s">
        <v>49</v>
      </c>
      <c r="S669" s="98" t="s">
        <v>50</v>
      </c>
      <c r="T669" s="98" t="s">
        <v>50</v>
      </c>
      <c r="U669" s="98" t="s">
        <v>50</v>
      </c>
      <c r="V669" s="98" t="s">
        <v>50</v>
      </c>
      <c r="W669" s="98" t="s">
        <v>50</v>
      </c>
      <c r="X669" s="98" t="s">
        <v>50</v>
      </c>
    </row>
    <row r="670" spans="1:25" x14ac:dyDescent="0.25">
      <c r="A670" s="194">
        <v>44148</v>
      </c>
      <c r="B670" s="98" t="s">
        <v>125</v>
      </c>
      <c r="C670" s="98" t="s">
        <v>126</v>
      </c>
      <c r="D670" s="98">
        <v>38.255070000000003</v>
      </c>
      <c r="E670" s="98">
        <v>-121.67139</v>
      </c>
      <c r="F670" s="98" t="s">
        <v>1647</v>
      </c>
      <c r="G670" s="98" t="s">
        <v>90</v>
      </c>
      <c r="H670" s="98" t="s">
        <v>126</v>
      </c>
      <c r="I670" s="621">
        <v>0.48194444444444445</v>
      </c>
      <c r="J670" s="100">
        <v>127.75</v>
      </c>
      <c r="K670" s="100">
        <v>12.75</v>
      </c>
      <c r="L670" s="100">
        <v>7.83</v>
      </c>
      <c r="M670" s="100">
        <v>1.55</v>
      </c>
      <c r="N670" s="100">
        <v>10</v>
      </c>
      <c r="O670" s="98" t="s">
        <v>48</v>
      </c>
      <c r="P670" s="98">
        <v>3</v>
      </c>
      <c r="Q670" s="98">
        <v>10</v>
      </c>
      <c r="R670" s="98" t="s">
        <v>64</v>
      </c>
      <c r="S670" s="98" t="s">
        <v>50</v>
      </c>
      <c r="T670" s="98" t="s">
        <v>50</v>
      </c>
      <c r="U670" s="98" t="s">
        <v>50</v>
      </c>
      <c r="V670" s="98" t="s">
        <v>50</v>
      </c>
      <c r="W670" s="98" t="s">
        <v>50</v>
      </c>
      <c r="X670" s="98" t="s">
        <v>50</v>
      </c>
    </row>
    <row r="671" spans="1:25" x14ac:dyDescent="0.25">
      <c r="A671" s="194">
        <v>44148</v>
      </c>
      <c r="B671" s="98" t="s">
        <v>125</v>
      </c>
      <c r="C671" s="98" t="s">
        <v>126</v>
      </c>
      <c r="D671" s="98">
        <v>38.24615</v>
      </c>
      <c r="E671" s="98">
        <v>-121.70358</v>
      </c>
      <c r="F671" s="98" t="s">
        <v>1648</v>
      </c>
      <c r="G671" s="98" t="s">
        <v>90</v>
      </c>
      <c r="H671" s="98" t="s">
        <v>126</v>
      </c>
      <c r="I671" s="621">
        <v>0.3972222222222222</v>
      </c>
      <c r="J671" s="100">
        <v>131.84</v>
      </c>
      <c r="K671" s="100">
        <v>12.72</v>
      </c>
      <c r="L671" s="100">
        <v>6.26</v>
      </c>
      <c r="M671" s="100">
        <v>1.72</v>
      </c>
      <c r="N671" s="100">
        <v>4.62</v>
      </c>
      <c r="O671" s="98" t="s">
        <v>48</v>
      </c>
      <c r="P671" s="98">
        <v>5</v>
      </c>
      <c r="Q671" s="98">
        <v>10</v>
      </c>
      <c r="R671" s="98" t="s">
        <v>64</v>
      </c>
      <c r="S671" s="98" t="s">
        <v>50</v>
      </c>
      <c r="T671" s="98" t="s">
        <v>50</v>
      </c>
      <c r="U671" s="98" t="s">
        <v>50</v>
      </c>
      <c r="V671" s="98" t="s">
        <v>50</v>
      </c>
      <c r="W671" s="98" t="s">
        <v>50</v>
      </c>
      <c r="X671" s="98" t="s">
        <v>50</v>
      </c>
      <c r="Y671" s="622" t="s">
        <v>1649</v>
      </c>
    </row>
    <row r="672" spans="1:25" x14ac:dyDescent="0.25">
      <c r="A672" s="194">
        <v>44148</v>
      </c>
      <c r="B672" s="98" t="s">
        <v>125</v>
      </c>
      <c r="C672" s="98" t="s">
        <v>88</v>
      </c>
      <c r="D672" s="98">
        <v>38.058529999999998</v>
      </c>
      <c r="E672" s="98">
        <v>-121.804</v>
      </c>
      <c r="F672" s="98" t="s">
        <v>1650</v>
      </c>
      <c r="G672" s="98" t="s">
        <v>27</v>
      </c>
      <c r="H672" s="98" t="s">
        <v>25</v>
      </c>
      <c r="I672" s="621">
        <v>0.35486111111111113</v>
      </c>
      <c r="J672" s="100">
        <v>1335.25</v>
      </c>
      <c r="K672" s="100">
        <v>13.87</v>
      </c>
      <c r="L672" s="100">
        <v>16.02</v>
      </c>
      <c r="M672" s="100">
        <v>0.71</v>
      </c>
      <c r="N672" s="100">
        <v>9.3000000000000007</v>
      </c>
      <c r="O672" s="98" t="s">
        <v>48</v>
      </c>
      <c r="P672" s="98">
        <v>4</v>
      </c>
      <c r="Q672" s="98">
        <v>10</v>
      </c>
      <c r="R672" s="98" t="s">
        <v>64</v>
      </c>
      <c r="S672" s="98" t="s">
        <v>50</v>
      </c>
      <c r="T672" s="98" t="s">
        <v>50</v>
      </c>
      <c r="U672" s="98" t="s">
        <v>50</v>
      </c>
      <c r="V672" s="98" t="s">
        <v>50</v>
      </c>
      <c r="W672" s="98" t="s">
        <v>50</v>
      </c>
      <c r="X672" s="98" t="s">
        <v>50</v>
      </c>
    </row>
    <row r="673" spans="1:25" x14ac:dyDescent="0.25">
      <c r="A673" s="194">
        <v>44148</v>
      </c>
      <c r="B673" s="98" t="s">
        <v>125</v>
      </c>
      <c r="C673" s="98" t="s">
        <v>88</v>
      </c>
      <c r="D673" s="98">
        <v>38.138260000000002</v>
      </c>
      <c r="E673" s="98">
        <v>-121.69323</v>
      </c>
      <c r="F673" s="98" t="s">
        <v>1651</v>
      </c>
      <c r="G673" s="98" t="s">
        <v>90</v>
      </c>
      <c r="H673" s="98" t="s">
        <v>91</v>
      </c>
      <c r="I673" s="621">
        <v>0.4201388888888889</v>
      </c>
      <c r="J673" s="100">
        <v>154.15</v>
      </c>
      <c r="K673" s="100">
        <v>13.4</v>
      </c>
      <c r="L673" s="100">
        <v>9.35</v>
      </c>
      <c r="M673" s="100">
        <v>1.74</v>
      </c>
      <c r="N673" s="100">
        <v>10.5</v>
      </c>
      <c r="O673" s="98" t="s">
        <v>48</v>
      </c>
      <c r="P673" s="98">
        <v>4</v>
      </c>
      <c r="Q673" s="98">
        <v>10</v>
      </c>
      <c r="R673" s="98" t="s">
        <v>64</v>
      </c>
      <c r="S673" s="98" t="s">
        <v>50</v>
      </c>
      <c r="T673" s="98" t="s">
        <v>50</v>
      </c>
      <c r="U673" s="98" t="s">
        <v>50</v>
      </c>
      <c r="V673" s="98" t="s">
        <v>50</v>
      </c>
      <c r="W673" s="98" t="s">
        <v>50</v>
      </c>
      <c r="X673" s="98" t="s">
        <v>50</v>
      </c>
    </row>
    <row r="674" spans="1:25" x14ac:dyDescent="0.25">
      <c r="A674" s="194">
        <v>44148</v>
      </c>
      <c r="B674" s="98" t="s">
        <v>125</v>
      </c>
      <c r="C674" s="98" t="s">
        <v>88</v>
      </c>
      <c r="D674" s="98">
        <v>38.152520000000003</v>
      </c>
      <c r="E674" s="98">
        <v>-121.68947</v>
      </c>
      <c r="F674" s="98" t="s">
        <v>1652</v>
      </c>
      <c r="G674" s="98" t="s">
        <v>90</v>
      </c>
      <c r="H674" s="98" t="s">
        <v>91</v>
      </c>
      <c r="I674" s="621">
        <v>0.47083333333333338</v>
      </c>
      <c r="J674" s="100">
        <v>155.15</v>
      </c>
      <c r="K674" s="100">
        <v>13.42</v>
      </c>
      <c r="L674" s="100">
        <v>10.06</v>
      </c>
      <c r="M674" s="100">
        <v>1.5</v>
      </c>
      <c r="N674" s="100">
        <v>10.35</v>
      </c>
      <c r="O674" s="98" t="s">
        <v>48</v>
      </c>
      <c r="P674" s="98">
        <v>4</v>
      </c>
      <c r="Q674" s="98">
        <v>10</v>
      </c>
      <c r="R674" s="98" t="s">
        <v>64</v>
      </c>
      <c r="S674" s="98" t="s">
        <v>50</v>
      </c>
      <c r="T674" s="98" t="s">
        <v>50</v>
      </c>
      <c r="U674" s="98" t="s">
        <v>50</v>
      </c>
      <c r="V674" s="98" t="s">
        <v>50</v>
      </c>
      <c r="W674" s="98" t="s">
        <v>50</v>
      </c>
      <c r="X674" s="98" t="s">
        <v>50</v>
      </c>
    </row>
    <row r="675" spans="1:25" x14ac:dyDescent="0.25">
      <c r="A675" s="194">
        <v>44148</v>
      </c>
      <c r="B675" s="98" t="s">
        <v>125</v>
      </c>
      <c r="C675" s="98" t="s">
        <v>78</v>
      </c>
      <c r="D675" s="98">
        <v>38.041539999999998</v>
      </c>
      <c r="E675" s="98">
        <v>-122.21221</v>
      </c>
      <c r="F675" s="98" t="s">
        <v>1653</v>
      </c>
      <c r="G675" s="98" t="s">
        <v>80</v>
      </c>
      <c r="H675" s="98" t="s">
        <v>81</v>
      </c>
      <c r="I675" s="621">
        <v>0.3444444444444445</v>
      </c>
      <c r="J675" s="100">
        <v>24130.5</v>
      </c>
      <c r="K675" s="100">
        <v>14.15</v>
      </c>
      <c r="L675" s="100">
        <v>17.7</v>
      </c>
      <c r="M675" s="100">
        <v>0.78</v>
      </c>
      <c r="N675" s="100">
        <v>12.78</v>
      </c>
      <c r="O675" s="98" t="s">
        <v>48</v>
      </c>
      <c r="P675" s="98">
        <v>4</v>
      </c>
      <c r="Q675" s="98">
        <v>10</v>
      </c>
      <c r="R675" s="98" t="s">
        <v>64</v>
      </c>
      <c r="S675" s="98" t="s">
        <v>50</v>
      </c>
      <c r="T675" s="98" t="s">
        <v>50</v>
      </c>
      <c r="U675" s="98" t="s">
        <v>50</v>
      </c>
      <c r="V675" s="98" t="s">
        <v>50</v>
      </c>
      <c r="W675" s="98" t="s">
        <v>50</v>
      </c>
      <c r="X675" s="98" t="s">
        <v>50</v>
      </c>
    </row>
    <row r="676" spans="1:25" x14ac:dyDescent="0.25">
      <c r="A676" s="194">
        <v>44148</v>
      </c>
      <c r="B676" s="98" t="s">
        <v>125</v>
      </c>
      <c r="C676" s="98" t="s">
        <v>78</v>
      </c>
      <c r="D676" s="98">
        <v>38.067749999999997</v>
      </c>
      <c r="E676" s="98">
        <v>-122.02594999999999</v>
      </c>
      <c r="F676" s="98" t="s">
        <v>1654</v>
      </c>
      <c r="G676" s="98" t="s">
        <v>27</v>
      </c>
      <c r="H676" s="98" t="s">
        <v>86</v>
      </c>
      <c r="I676" s="621">
        <v>0.39999999999999997</v>
      </c>
      <c r="J676" s="100">
        <v>18474.75</v>
      </c>
      <c r="K676" s="100">
        <v>14.05</v>
      </c>
      <c r="L676" s="100">
        <v>42.22</v>
      </c>
      <c r="M676" s="100">
        <v>0.59</v>
      </c>
      <c r="N676" s="100">
        <v>3.7</v>
      </c>
      <c r="O676" s="98" t="s">
        <v>48</v>
      </c>
      <c r="P676" s="98">
        <v>4</v>
      </c>
      <c r="Q676" s="98">
        <v>10</v>
      </c>
      <c r="R676" s="98" t="s">
        <v>64</v>
      </c>
      <c r="S676" s="98" t="s">
        <v>50</v>
      </c>
      <c r="T676" s="98" t="s">
        <v>50</v>
      </c>
      <c r="U676" s="98" t="s">
        <v>50</v>
      </c>
      <c r="V676" s="98" t="s">
        <v>50</v>
      </c>
      <c r="W676" s="98" t="s">
        <v>50</v>
      </c>
      <c r="X676" s="98" t="s">
        <v>50</v>
      </c>
    </row>
    <row r="677" spans="1:25" s="362" customFormat="1" x14ac:dyDescent="0.25">
      <c r="A677" s="360">
        <v>44148</v>
      </c>
      <c r="B677" s="362" t="s">
        <v>125</v>
      </c>
      <c r="C677" s="362" t="s">
        <v>78</v>
      </c>
      <c r="D677" s="362">
        <v>3806247</v>
      </c>
      <c r="E677" s="362">
        <v>-121.8633</v>
      </c>
      <c r="F677" s="362" t="s">
        <v>1655</v>
      </c>
      <c r="G677" s="362" t="s">
        <v>27</v>
      </c>
      <c r="H677" s="362" t="s">
        <v>101</v>
      </c>
      <c r="I677" s="618">
        <v>0.4597222222222222</v>
      </c>
      <c r="J677" s="364">
        <v>9920</v>
      </c>
      <c r="K677" s="364">
        <v>14.3</v>
      </c>
      <c r="L677" s="364">
        <v>22.1</v>
      </c>
      <c r="M677" s="364">
        <v>0.96</v>
      </c>
      <c r="N677" s="364">
        <v>18.48</v>
      </c>
      <c r="O677" s="362" t="s">
        <v>48</v>
      </c>
      <c r="P677" s="362">
        <v>4</v>
      </c>
      <c r="Q677" s="362">
        <v>10</v>
      </c>
      <c r="R677" s="362" t="s">
        <v>64</v>
      </c>
      <c r="S677" s="362" t="s">
        <v>50</v>
      </c>
      <c r="T677" s="362" t="s">
        <v>50</v>
      </c>
      <c r="U677" s="362" t="s">
        <v>50</v>
      </c>
      <c r="V677" s="362" t="s">
        <v>50</v>
      </c>
      <c r="W677" s="362" t="s">
        <v>50</v>
      </c>
      <c r="X677" s="362" t="s">
        <v>50</v>
      </c>
      <c r="Y677" s="603"/>
    </row>
    <row r="678" spans="1:25" x14ac:dyDescent="0.25">
      <c r="A678" s="194">
        <v>44151</v>
      </c>
      <c r="B678" s="98" t="s">
        <v>43</v>
      </c>
      <c r="C678" s="98" t="s">
        <v>88</v>
      </c>
      <c r="D678" s="98">
        <v>38.110860000000002</v>
      </c>
      <c r="E678" s="98">
        <v>-121.68288</v>
      </c>
      <c r="F678" s="98" t="s">
        <v>1656</v>
      </c>
      <c r="G678" s="98" t="s">
        <v>90</v>
      </c>
      <c r="H678" s="98" t="s">
        <v>91</v>
      </c>
      <c r="I678" s="621">
        <v>0.48055555555555557</v>
      </c>
      <c r="J678" s="100">
        <v>1069.75</v>
      </c>
      <c r="K678" s="100">
        <v>14</v>
      </c>
      <c r="L678" s="100">
        <v>10.17</v>
      </c>
      <c r="M678" s="100">
        <v>1.26</v>
      </c>
      <c r="N678" s="100">
        <v>7.03</v>
      </c>
      <c r="O678" s="98" t="s">
        <v>48</v>
      </c>
      <c r="P678" s="98">
        <v>4</v>
      </c>
      <c r="Q678" s="98">
        <v>10</v>
      </c>
      <c r="R678" s="98" t="s">
        <v>49</v>
      </c>
      <c r="S678" s="98" t="s">
        <v>50</v>
      </c>
      <c r="T678" s="98" t="s">
        <v>50</v>
      </c>
      <c r="U678" s="98" t="s">
        <v>50</v>
      </c>
      <c r="V678" s="98" t="s">
        <v>50</v>
      </c>
      <c r="W678" s="98" t="s">
        <v>50</v>
      </c>
      <c r="X678" s="98" t="s">
        <v>50</v>
      </c>
    </row>
    <row r="679" spans="1:25" x14ac:dyDescent="0.25">
      <c r="A679" s="194">
        <v>44151</v>
      </c>
      <c r="B679" s="98" t="s">
        <v>43</v>
      </c>
      <c r="C679" s="98" t="s">
        <v>88</v>
      </c>
      <c r="D679" s="98">
        <v>38.107869999999998</v>
      </c>
      <c r="E679" s="98">
        <v>-121.71634</v>
      </c>
      <c r="F679" s="98" t="s">
        <v>1657</v>
      </c>
      <c r="G679" s="98" t="s">
        <v>90</v>
      </c>
      <c r="H679" s="98" t="s">
        <v>91</v>
      </c>
      <c r="I679" s="621">
        <v>0.41944444444444445</v>
      </c>
      <c r="J679" s="100">
        <v>496.4</v>
      </c>
      <c r="K679" s="100">
        <v>13.3</v>
      </c>
      <c r="L679" s="100">
        <v>19.22</v>
      </c>
      <c r="M679" s="100">
        <v>0.86</v>
      </c>
      <c r="N679" s="100">
        <v>9.4700000000000006</v>
      </c>
      <c r="O679" s="98" t="s">
        <v>48</v>
      </c>
      <c r="P679" s="98">
        <v>4</v>
      </c>
      <c r="Q679" s="98">
        <v>10</v>
      </c>
      <c r="R679" s="98" t="s">
        <v>49</v>
      </c>
      <c r="S679" s="98" t="s">
        <v>50</v>
      </c>
      <c r="T679" s="98" t="s">
        <v>50</v>
      </c>
      <c r="U679" s="98" t="s">
        <v>50</v>
      </c>
      <c r="V679" s="98" t="s">
        <v>50</v>
      </c>
      <c r="W679" s="98" t="s">
        <v>50</v>
      </c>
      <c r="X679" s="98" t="s">
        <v>50</v>
      </c>
    </row>
    <row r="680" spans="1:25" x14ac:dyDescent="0.25">
      <c r="A680" s="194">
        <v>44151</v>
      </c>
      <c r="B680" s="98" t="s">
        <v>43</v>
      </c>
      <c r="C680" s="98" t="s">
        <v>88</v>
      </c>
      <c r="D680" s="98">
        <v>38.061999999999998</v>
      </c>
      <c r="E680" s="98">
        <v>-121.79782</v>
      </c>
      <c r="F680" s="98" t="s">
        <v>1658</v>
      </c>
      <c r="G680" s="98" t="s">
        <v>27</v>
      </c>
      <c r="H680" s="98" t="s">
        <v>25</v>
      </c>
      <c r="I680" s="621">
        <v>0.35833333333333334</v>
      </c>
      <c r="J680" s="100">
        <v>5075.5</v>
      </c>
      <c r="K680" s="100">
        <v>13.95</v>
      </c>
      <c r="L680" s="100">
        <v>19.55</v>
      </c>
      <c r="M680" s="100">
        <v>0.68</v>
      </c>
      <c r="N680" s="100">
        <v>11.37</v>
      </c>
      <c r="O680" s="98" t="s">
        <v>48</v>
      </c>
      <c r="P680" s="98">
        <v>4</v>
      </c>
      <c r="Q680" s="98">
        <v>10</v>
      </c>
      <c r="R680" s="98" t="s">
        <v>49</v>
      </c>
      <c r="S680" s="98" t="s">
        <v>50</v>
      </c>
      <c r="T680" s="98" t="s">
        <v>50</v>
      </c>
      <c r="U680" s="98" t="s">
        <v>50</v>
      </c>
      <c r="V680" s="98" t="s">
        <v>50</v>
      </c>
      <c r="W680" s="98" t="s">
        <v>50</v>
      </c>
      <c r="X680" s="98" t="s">
        <v>50</v>
      </c>
    </row>
    <row r="681" spans="1:25" x14ac:dyDescent="0.25">
      <c r="A681" s="194">
        <v>44151</v>
      </c>
      <c r="B681" s="98" t="s">
        <v>43</v>
      </c>
      <c r="C681" s="98" t="s">
        <v>106</v>
      </c>
      <c r="D681" s="98">
        <v>38.246189999999999</v>
      </c>
      <c r="E681" s="98">
        <v>-121.66967</v>
      </c>
      <c r="F681" s="98" t="s">
        <v>1659</v>
      </c>
      <c r="G681" s="98" t="s">
        <v>90</v>
      </c>
      <c r="H681" s="98" t="s">
        <v>108</v>
      </c>
      <c r="I681" s="621">
        <v>0.37708333333333338</v>
      </c>
      <c r="J681" s="100">
        <v>131.05000000000001</v>
      </c>
      <c r="K681" s="100">
        <v>12.6</v>
      </c>
      <c r="L681" s="100">
        <v>16.600000000000001</v>
      </c>
      <c r="M681" s="100">
        <v>1.1000000000000001</v>
      </c>
      <c r="N681" s="100">
        <v>9.25</v>
      </c>
      <c r="O681" s="98" t="s">
        <v>48</v>
      </c>
      <c r="P681" s="98">
        <v>4</v>
      </c>
      <c r="Q681" s="98">
        <v>10</v>
      </c>
      <c r="R681" s="98" t="s">
        <v>49</v>
      </c>
      <c r="S681" s="98" t="s">
        <v>50</v>
      </c>
      <c r="T681" s="98" t="s">
        <v>50</v>
      </c>
      <c r="U681" s="98" t="s">
        <v>50</v>
      </c>
      <c r="V681" s="98" t="s">
        <v>50</v>
      </c>
      <c r="W681" s="98" t="s">
        <v>50</v>
      </c>
      <c r="X681" s="98" t="s">
        <v>50</v>
      </c>
    </row>
    <row r="682" spans="1:25" x14ac:dyDescent="0.25">
      <c r="A682" s="194">
        <v>44151</v>
      </c>
      <c r="B682" s="98" t="s">
        <v>43</v>
      </c>
      <c r="C682" s="98" t="s">
        <v>106</v>
      </c>
      <c r="D682" s="98">
        <v>38.206249999999997</v>
      </c>
      <c r="E682" s="98">
        <v>-121.65761000000001</v>
      </c>
      <c r="F682" s="98" t="s">
        <v>1660</v>
      </c>
      <c r="G682" s="98" t="s">
        <v>90</v>
      </c>
      <c r="H682" s="98" t="s">
        <v>108</v>
      </c>
      <c r="I682" s="621">
        <v>0.3263888888888889</v>
      </c>
      <c r="J682" s="100">
        <v>124.6</v>
      </c>
      <c r="K682" s="100">
        <v>12.5</v>
      </c>
      <c r="L682" s="100">
        <v>7.99</v>
      </c>
      <c r="M682" s="100">
        <v>1.8</v>
      </c>
      <c r="N682" s="100">
        <v>12.75</v>
      </c>
      <c r="O682" s="98" t="s">
        <v>48</v>
      </c>
      <c r="P682" s="98">
        <v>4</v>
      </c>
      <c r="Q682" s="98">
        <v>10</v>
      </c>
      <c r="R682" s="98" t="s">
        <v>49</v>
      </c>
      <c r="S682" s="98" t="s">
        <v>50</v>
      </c>
      <c r="T682" s="98" t="s">
        <v>50</v>
      </c>
      <c r="U682" s="98" t="s">
        <v>50</v>
      </c>
      <c r="V682" s="98" t="s">
        <v>50</v>
      </c>
      <c r="W682" s="98" t="s">
        <v>50</v>
      </c>
      <c r="X682" s="98" t="s">
        <v>50</v>
      </c>
    </row>
    <row r="683" spans="1:25" x14ac:dyDescent="0.25">
      <c r="A683" s="194">
        <v>44151</v>
      </c>
      <c r="B683" s="98" t="s">
        <v>43</v>
      </c>
      <c r="C683" s="98" t="s">
        <v>106</v>
      </c>
      <c r="D683" s="98">
        <v>38.547620000000002</v>
      </c>
      <c r="E683" s="98">
        <v>-121.58242</v>
      </c>
      <c r="F683" s="98" t="s">
        <v>1661</v>
      </c>
      <c r="G683" s="98" t="s">
        <v>90</v>
      </c>
      <c r="H683" s="98" t="s">
        <v>158</v>
      </c>
      <c r="I683" s="621">
        <v>0.45208333333333334</v>
      </c>
      <c r="J683" s="100">
        <v>844.5</v>
      </c>
      <c r="K683" s="100">
        <v>15.15</v>
      </c>
      <c r="L683" s="100">
        <v>10.82</v>
      </c>
      <c r="M683" s="100">
        <v>1.05</v>
      </c>
      <c r="N683" s="100">
        <v>11.18</v>
      </c>
      <c r="O683" s="98" t="s">
        <v>48</v>
      </c>
      <c r="P683" s="98">
        <v>4</v>
      </c>
      <c r="Q683" s="98">
        <v>10</v>
      </c>
      <c r="R683" s="98" t="s">
        <v>49</v>
      </c>
      <c r="S683" s="98" t="s">
        <v>50</v>
      </c>
      <c r="T683" s="98" t="s">
        <v>50</v>
      </c>
      <c r="U683" s="98" t="s">
        <v>50</v>
      </c>
      <c r="V683" s="98" t="s">
        <v>50</v>
      </c>
      <c r="W683" s="98" t="s">
        <v>50</v>
      </c>
      <c r="X683" s="98" t="s">
        <v>50</v>
      </c>
    </row>
    <row r="684" spans="1:25" x14ac:dyDescent="0.25">
      <c r="A684" s="194">
        <v>44151</v>
      </c>
      <c r="B684" s="98" t="s">
        <v>43</v>
      </c>
      <c r="C684" s="98" t="s">
        <v>62</v>
      </c>
      <c r="D684" s="98">
        <v>38.106250000000003</v>
      </c>
      <c r="E684" s="98">
        <v>-122.04895</v>
      </c>
      <c r="F684" s="98" t="s">
        <v>1662</v>
      </c>
      <c r="G684" s="98" t="s">
        <v>27</v>
      </c>
      <c r="H684" s="98" t="s">
        <v>173</v>
      </c>
      <c r="I684" s="621">
        <v>0.47291666666666665</v>
      </c>
      <c r="J684" s="100">
        <v>16444.25</v>
      </c>
      <c r="K684" s="100">
        <v>13.9</v>
      </c>
      <c r="L684" s="100">
        <v>43</v>
      </c>
      <c r="M684" s="100">
        <v>0.55000000000000004</v>
      </c>
      <c r="N684" s="100">
        <v>3.73</v>
      </c>
      <c r="O684" s="98" t="s">
        <v>48</v>
      </c>
      <c r="P684" s="98">
        <v>4</v>
      </c>
      <c r="Q684" s="98">
        <v>10</v>
      </c>
      <c r="R684" s="98" t="s">
        <v>64</v>
      </c>
      <c r="S684" s="98" t="s">
        <v>50</v>
      </c>
      <c r="T684" s="98" t="s">
        <v>50</v>
      </c>
      <c r="U684" s="98" t="s">
        <v>50</v>
      </c>
      <c r="V684" s="98" t="s">
        <v>50</v>
      </c>
      <c r="W684" s="98" t="s">
        <v>50</v>
      </c>
      <c r="X684" s="98" t="s">
        <v>50</v>
      </c>
    </row>
    <row r="685" spans="1:25" x14ac:dyDescent="0.25">
      <c r="A685" s="194">
        <v>44151</v>
      </c>
      <c r="B685" s="98" t="s">
        <v>43</v>
      </c>
      <c r="C685" s="98" t="s">
        <v>62</v>
      </c>
      <c r="D685" s="98">
        <v>38.104460000000003</v>
      </c>
      <c r="E685" s="98">
        <v>-121.88941</v>
      </c>
      <c r="F685" s="98" t="s">
        <v>1663</v>
      </c>
      <c r="G685" s="98" t="s">
        <v>27</v>
      </c>
      <c r="H685" s="98" t="s">
        <v>62</v>
      </c>
      <c r="I685" s="621">
        <v>0.34375</v>
      </c>
      <c r="J685" s="100">
        <v>8933.5</v>
      </c>
      <c r="K685" s="100">
        <v>13.85</v>
      </c>
      <c r="L685" s="100">
        <v>19.88</v>
      </c>
      <c r="M685" s="100">
        <v>0.64</v>
      </c>
      <c r="N685" s="100">
        <v>5.65</v>
      </c>
      <c r="O685" s="98" t="s">
        <v>48</v>
      </c>
      <c r="P685" s="98">
        <v>4</v>
      </c>
      <c r="Q685" s="98">
        <v>10</v>
      </c>
      <c r="R685" s="98" t="s">
        <v>49</v>
      </c>
      <c r="S685" s="98" t="s">
        <v>50</v>
      </c>
      <c r="T685" s="98" t="s">
        <v>50</v>
      </c>
      <c r="U685" s="98" t="s">
        <v>50</v>
      </c>
      <c r="V685" s="98" t="s">
        <v>50</v>
      </c>
      <c r="W685" s="98" t="s">
        <v>50</v>
      </c>
      <c r="X685" s="98" t="s">
        <v>50</v>
      </c>
    </row>
    <row r="686" spans="1:25" x14ac:dyDescent="0.25">
      <c r="A686" s="194">
        <v>44151</v>
      </c>
      <c r="B686" s="98" t="s">
        <v>43</v>
      </c>
      <c r="C686" s="98" t="s">
        <v>62</v>
      </c>
      <c r="D686" s="98">
        <v>38.142740000000003</v>
      </c>
      <c r="E686" s="98">
        <v>-121.90934</v>
      </c>
      <c r="F686" s="98" t="s">
        <v>1664</v>
      </c>
      <c r="G686" s="98" t="s">
        <v>27</v>
      </c>
      <c r="H686" s="98" t="s">
        <v>62</v>
      </c>
      <c r="I686" s="621">
        <v>0.3972222222222222</v>
      </c>
      <c r="J686" s="100">
        <v>9439.75</v>
      </c>
      <c r="K686" s="100">
        <v>13.95</v>
      </c>
      <c r="L686" s="100">
        <v>22.6</v>
      </c>
      <c r="M686" s="100">
        <v>0.7</v>
      </c>
      <c r="N686" s="100">
        <v>5.0999999999999996</v>
      </c>
      <c r="O686" s="98" t="s">
        <v>48</v>
      </c>
      <c r="P686" s="98">
        <v>4</v>
      </c>
      <c r="Q686" s="98">
        <v>10</v>
      </c>
      <c r="R686" s="98" t="s">
        <v>49</v>
      </c>
      <c r="S686" s="98" t="s">
        <v>50</v>
      </c>
      <c r="T686" s="98" t="s">
        <v>50</v>
      </c>
      <c r="U686" s="98" t="s">
        <v>50</v>
      </c>
      <c r="V686" s="98" t="s">
        <v>50</v>
      </c>
      <c r="W686" s="98" t="s">
        <v>50</v>
      </c>
      <c r="X686" s="98" t="s">
        <v>50</v>
      </c>
    </row>
    <row r="687" spans="1:25" x14ac:dyDescent="0.25">
      <c r="A687" s="194">
        <v>44152</v>
      </c>
      <c r="B687" s="98" t="s">
        <v>70</v>
      </c>
      <c r="C687" s="98" t="s">
        <v>88</v>
      </c>
      <c r="D687" s="98">
        <v>38.102069999999998</v>
      </c>
      <c r="E687" s="98">
        <v>-121.70841</v>
      </c>
      <c r="F687" s="98" t="s">
        <v>1665</v>
      </c>
      <c r="G687" s="98" t="s">
        <v>90</v>
      </c>
      <c r="H687" s="98" t="s">
        <v>91</v>
      </c>
      <c r="I687" s="621">
        <v>0.35555555555555557</v>
      </c>
      <c r="J687" s="100">
        <v>1777.5</v>
      </c>
      <c r="K687" s="100">
        <v>13.65</v>
      </c>
      <c r="L687" s="100">
        <v>14</v>
      </c>
      <c r="M687" s="100">
        <v>0.9</v>
      </c>
      <c r="N687" s="100">
        <v>9.18</v>
      </c>
      <c r="O687" s="98" t="s">
        <v>48</v>
      </c>
      <c r="P687" s="98">
        <v>4</v>
      </c>
      <c r="Q687" s="98">
        <v>10</v>
      </c>
      <c r="R687" s="98" t="s">
        <v>49</v>
      </c>
      <c r="S687" s="98" t="s">
        <v>50</v>
      </c>
      <c r="T687" s="98" t="s">
        <v>50</v>
      </c>
      <c r="U687" s="98" t="s">
        <v>50</v>
      </c>
      <c r="V687" s="98" t="s">
        <v>50</v>
      </c>
      <c r="W687" s="98" t="s">
        <v>50</v>
      </c>
      <c r="X687" s="98" t="s">
        <v>50</v>
      </c>
    </row>
    <row r="688" spans="1:25" x14ac:dyDescent="0.25">
      <c r="A688" s="194">
        <v>44152</v>
      </c>
      <c r="B688" s="98" t="s">
        <v>70</v>
      </c>
      <c r="C688" s="98" t="s">
        <v>88</v>
      </c>
      <c r="D688" s="98">
        <v>38.128959999999999</v>
      </c>
      <c r="E688" s="98">
        <v>-121.69168000000001</v>
      </c>
      <c r="F688" s="98" t="s">
        <v>1666</v>
      </c>
      <c r="G688" s="98" t="s">
        <v>90</v>
      </c>
      <c r="H688" s="98" t="s">
        <v>91</v>
      </c>
      <c r="I688" s="621">
        <v>0.4055555555555555</v>
      </c>
      <c r="J688" s="100">
        <v>810</v>
      </c>
      <c r="K688" s="100">
        <v>13.42</v>
      </c>
      <c r="L688" s="100">
        <v>13.3</v>
      </c>
      <c r="M688" s="100">
        <v>1.07</v>
      </c>
      <c r="N688" s="100">
        <v>3.65</v>
      </c>
      <c r="O688" s="98" t="s">
        <v>48</v>
      </c>
      <c r="P688" s="98">
        <v>4</v>
      </c>
      <c r="Q688" s="98">
        <v>10</v>
      </c>
      <c r="R688" s="98" t="s">
        <v>49</v>
      </c>
      <c r="S688" s="98" t="s">
        <v>50</v>
      </c>
      <c r="T688" s="98" t="s">
        <v>50</v>
      </c>
      <c r="U688" s="98" t="s">
        <v>50</v>
      </c>
      <c r="V688" s="98" t="s">
        <v>50</v>
      </c>
      <c r="W688" s="98" t="s">
        <v>50</v>
      </c>
      <c r="X688" s="98" t="s">
        <v>50</v>
      </c>
    </row>
    <row r="689" spans="1:31" x14ac:dyDescent="0.25">
      <c r="A689" s="194">
        <v>44152</v>
      </c>
      <c r="B689" s="98" t="s">
        <v>70</v>
      </c>
      <c r="C689" s="98" t="s">
        <v>88</v>
      </c>
      <c r="D689" s="98">
        <v>38.155479999999997</v>
      </c>
      <c r="E689" s="98">
        <v>-121.68847</v>
      </c>
      <c r="F689" s="98" t="s">
        <v>1667</v>
      </c>
      <c r="G689" s="98" t="s">
        <v>90</v>
      </c>
      <c r="H689" s="98" t="s">
        <v>91</v>
      </c>
      <c r="I689" s="621">
        <v>0.45555555555555555</v>
      </c>
      <c r="J689" s="100">
        <v>176.92</v>
      </c>
      <c r="K689" s="100">
        <v>12.85</v>
      </c>
      <c r="L689" s="100">
        <v>8.6</v>
      </c>
      <c r="M689" s="100">
        <v>3.58</v>
      </c>
      <c r="N689" s="100">
        <v>8.7200000000000006</v>
      </c>
      <c r="O689" s="98" t="s">
        <v>48</v>
      </c>
      <c r="P689" s="98">
        <v>4</v>
      </c>
      <c r="Q689" s="98">
        <v>10</v>
      </c>
      <c r="R689" s="98" t="s">
        <v>49</v>
      </c>
      <c r="S689" s="98" t="s">
        <v>50</v>
      </c>
      <c r="T689" s="98" t="s">
        <v>50</v>
      </c>
      <c r="U689" s="98" t="s">
        <v>50</v>
      </c>
      <c r="V689" s="98" t="s">
        <v>50</v>
      </c>
      <c r="W689" s="98" t="s">
        <v>50</v>
      </c>
      <c r="X689" s="98" t="s">
        <v>50</v>
      </c>
      <c r="Y689" s="622" t="s">
        <v>1668</v>
      </c>
    </row>
    <row r="690" spans="1:31" x14ac:dyDescent="0.25">
      <c r="A690" s="194">
        <v>44152</v>
      </c>
      <c r="B690" s="98" t="s">
        <v>70</v>
      </c>
      <c r="C690" s="98" t="s">
        <v>106</v>
      </c>
      <c r="D690" s="98">
        <v>38.51708</v>
      </c>
      <c r="E690" s="98">
        <v>-121.58499999999999</v>
      </c>
      <c r="F690" s="98" t="s">
        <v>1669</v>
      </c>
      <c r="G690" s="98" t="s">
        <v>90</v>
      </c>
      <c r="H690" s="98" t="s">
        <v>158</v>
      </c>
      <c r="I690" s="621">
        <v>0.34513888888888888</v>
      </c>
      <c r="J690" s="100">
        <v>706.75</v>
      </c>
      <c r="K690" s="100">
        <v>14.1</v>
      </c>
      <c r="L690" s="100">
        <v>40.479999999999997</v>
      </c>
      <c r="M690" s="100">
        <v>0.36</v>
      </c>
      <c r="N690" s="100">
        <v>10.7</v>
      </c>
      <c r="O690" s="98" t="s">
        <v>48</v>
      </c>
      <c r="P690" s="98">
        <v>4</v>
      </c>
      <c r="Q690" s="98">
        <v>10</v>
      </c>
      <c r="R690" s="98" t="s">
        <v>64</v>
      </c>
      <c r="S690" s="98" t="s">
        <v>50</v>
      </c>
      <c r="T690" s="98" t="s">
        <v>50</v>
      </c>
      <c r="U690" s="98" t="s">
        <v>50</v>
      </c>
      <c r="V690" s="98" t="s">
        <v>50</v>
      </c>
      <c r="W690" s="98" t="s">
        <v>50</v>
      </c>
      <c r="X690" s="98" t="s">
        <v>50</v>
      </c>
      <c r="Y690" s="622" t="s">
        <v>1670</v>
      </c>
    </row>
    <row r="691" spans="1:31" x14ac:dyDescent="0.25">
      <c r="A691" s="194">
        <v>44152</v>
      </c>
      <c r="B691" s="98" t="s">
        <v>70</v>
      </c>
      <c r="C691" s="98" t="s">
        <v>106</v>
      </c>
      <c r="D691" s="98">
        <v>38.352429999999998</v>
      </c>
      <c r="E691" s="98">
        <v>-121.64008</v>
      </c>
      <c r="F691" s="98" t="s">
        <v>1671</v>
      </c>
      <c r="G691" s="98" t="s">
        <v>90</v>
      </c>
      <c r="H691" s="98" t="s">
        <v>108</v>
      </c>
      <c r="I691" s="621">
        <v>0.43194444444444446</v>
      </c>
      <c r="J691" s="100">
        <v>275.95</v>
      </c>
      <c r="K691" s="100">
        <v>13.67</v>
      </c>
      <c r="L691" s="100">
        <v>73.150000000000006</v>
      </c>
      <c r="M691" s="100">
        <v>0.27</v>
      </c>
      <c r="N691" s="100">
        <v>10.119999999999999</v>
      </c>
      <c r="O691" s="98" t="s">
        <v>48</v>
      </c>
      <c r="P691" s="98">
        <v>4</v>
      </c>
      <c r="Q691" s="98">
        <v>10</v>
      </c>
      <c r="R691" s="98" t="s">
        <v>49</v>
      </c>
      <c r="S691" s="98" t="s">
        <v>50</v>
      </c>
      <c r="T691" s="98" t="s">
        <v>50</v>
      </c>
      <c r="U691" s="98" t="s">
        <v>50</v>
      </c>
      <c r="V691" s="98" t="s">
        <v>50</v>
      </c>
      <c r="W691" s="98" t="s">
        <v>50</v>
      </c>
      <c r="X691" s="98" t="s">
        <v>50</v>
      </c>
      <c r="Y691" s="622" t="s">
        <v>1672</v>
      </c>
    </row>
    <row r="692" spans="1:31" x14ac:dyDescent="0.25">
      <c r="A692" s="194">
        <v>44152</v>
      </c>
      <c r="B692" s="98" t="s">
        <v>70</v>
      </c>
      <c r="C692" s="98" t="s">
        <v>106</v>
      </c>
      <c r="D692" s="98">
        <v>38.215940000000003</v>
      </c>
      <c r="E692" s="98">
        <v>-121.67021</v>
      </c>
      <c r="F692" s="98" t="s">
        <v>1673</v>
      </c>
      <c r="G692" s="98" t="s">
        <v>90</v>
      </c>
      <c r="H692" s="98" t="s">
        <v>108</v>
      </c>
      <c r="I692" s="621">
        <v>0.51180555555555551</v>
      </c>
      <c r="J692" s="100">
        <v>124.73</v>
      </c>
      <c r="K692" s="100">
        <v>13.57</v>
      </c>
      <c r="L692" s="100">
        <v>9.6199999999999992</v>
      </c>
      <c r="M692" s="100">
        <v>1.8</v>
      </c>
      <c r="N692" s="100">
        <v>15.15</v>
      </c>
      <c r="O692" s="98" t="s">
        <v>48</v>
      </c>
      <c r="P692" s="98">
        <v>4</v>
      </c>
      <c r="Q692" s="98">
        <v>10</v>
      </c>
      <c r="R692" s="98" t="s">
        <v>64</v>
      </c>
      <c r="S692" s="98" t="s">
        <v>50</v>
      </c>
      <c r="T692" s="98" t="s">
        <v>50</v>
      </c>
      <c r="U692" s="98" t="s">
        <v>50</v>
      </c>
      <c r="V692" s="98" t="s">
        <v>50</v>
      </c>
      <c r="W692" s="98" t="s">
        <v>50</v>
      </c>
      <c r="X692" s="98" t="s">
        <v>50</v>
      </c>
      <c r="Y692" s="622" t="s">
        <v>1516</v>
      </c>
    </row>
    <row r="693" spans="1:31" s="154" customFormat="1" x14ac:dyDescent="0.25">
      <c r="A693" s="195">
        <v>44152</v>
      </c>
      <c r="B693" s="154" t="s">
        <v>70</v>
      </c>
      <c r="C693" s="154" t="s">
        <v>62</v>
      </c>
      <c r="D693" s="154">
        <v>38.108029999999999</v>
      </c>
      <c r="E693" s="154">
        <v>-122.04468</v>
      </c>
      <c r="F693" s="154" t="s">
        <v>1674</v>
      </c>
      <c r="G693" s="154" t="s">
        <v>27</v>
      </c>
      <c r="H693" s="154" t="s">
        <v>173</v>
      </c>
      <c r="I693" s="636">
        <v>0.32777777777777778</v>
      </c>
      <c r="J693" s="156" t="s">
        <v>50</v>
      </c>
      <c r="K693" s="156" t="s">
        <v>50</v>
      </c>
      <c r="L693" s="156" t="s">
        <v>50</v>
      </c>
      <c r="M693" s="156" t="s">
        <v>50</v>
      </c>
      <c r="N693" s="156" t="s">
        <v>50</v>
      </c>
      <c r="O693" s="154" t="s">
        <v>48</v>
      </c>
      <c r="P693" s="154">
        <v>0</v>
      </c>
      <c r="Q693" s="154" t="s">
        <v>50</v>
      </c>
      <c r="R693" s="154" t="s">
        <v>50</v>
      </c>
      <c r="S693" s="154" t="s">
        <v>50</v>
      </c>
      <c r="T693" s="154" t="s">
        <v>50</v>
      </c>
      <c r="U693" s="154" t="s">
        <v>50</v>
      </c>
      <c r="V693" s="154" t="s">
        <v>50</v>
      </c>
      <c r="W693" s="154" t="s">
        <v>50</v>
      </c>
      <c r="X693" s="154" t="s">
        <v>50</v>
      </c>
      <c r="Y693" s="627" t="s">
        <v>734</v>
      </c>
      <c r="AE693" s="627"/>
    </row>
    <row r="694" spans="1:31" x14ac:dyDescent="0.25">
      <c r="A694" s="194">
        <v>44152</v>
      </c>
      <c r="B694" s="98" t="s">
        <v>70</v>
      </c>
      <c r="C694" s="98" t="s">
        <v>62</v>
      </c>
      <c r="D694" s="98">
        <v>38.106920000000002</v>
      </c>
      <c r="E694" s="98">
        <v>-122.05811</v>
      </c>
      <c r="F694" s="98" t="s">
        <v>1675</v>
      </c>
      <c r="G694" s="98" t="s">
        <v>27</v>
      </c>
      <c r="H694" s="98" t="s">
        <v>173</v>
      </c>
      <c r="I694" s="621">
        <v>0.3347222222222222</v>
      </c>
      <c r="J694" s="100">
        <v>17797.599999999999</v>
      </c>
      <c r="K694" s="100">
        <v>13.58</v>
      </c>
      <c r="L694" s="100">
        <v>28.74</v>
      </c>
      <c r="M694" s="100">
        <v>0.66</v>
      </c>
      <c r="N694" s="100">
        <v>4.0199999999999996</v>
      </c>
      <c r="O694" s="98" t="s">
        <v>48</v>
      </c>
      <c r="P694" s="98">
        <v>4</v>
      </c>
      <c r="Q694" s="98">
        <v>10</v>
      </c>
      <c r="R694" s="98" t="s">
        <v>49</v>
      </c>
      <c r="S694" s="98" t="s">
        <v>50</v>
      </c>
      <c r="T694" s="98" t="s">
        <v>50</v>
      </c>
      <c r="U694" s="98" t="s">
        <v>50</v>
      </c>
      <c r="V694" s="98" t="s">
        <v>50</v>
      </c>
      <c r="W694" s="98" t="s">
        <v>50</v>
      </c>
      <c r="X694" s="98" t="s">
        <v>50</v>
      </c>
      <c r="Y694" s="622" t="s">
        <v>1445</v>
      </c>
    </row>
    <row r="695" spans="1:31" x14ac:dyDescent="0.25">
      <c r="A695" s="194">
        <v>44152</v>
      </c>
      <c r="B695" s="98" t="s">
        <v>70</v>
      </c>
      <c r="C695" s="98" t="s">
        <v>62</v>
      </c>
      <c r="D695" s="98">
        <v>38.167529999999999</v>
      </c>
      <c r="E695" s="98">
        <v>-122.06752</v>
      </c>
      <c r="F695" s="98" t="s">
        <v>1676</v>
      </c>
      <c r="G695" s="98" t="s">
        <v>27</v>
      </c>
      <c r="H695" s="98" t="s">
        <v>62</v>
      </c>
      <c r="I695" s="621">
        <v>0.38819444444444445</v>
      </c>
      <c r="J695" s="100">
        <v>11766.33</v>
      </c>
      <c r="K695" s="100">
        <v>13.4</v>
      </c>
      <c r="L695" s="100">
        <v>45.73</v>
      </c>
      <c r="M695" s="100">
        <v>0.43</v>
      </c>
      <c r="N695" s="100">
        <v>8.73</v>
      </c>
      <c r="O695" s="98" t="s">
        <v>48</v>
      </c>
      <c r="P695" s="98">
        <v>3</v>
      </c>
      <c r="Q695" s="98">
        <v>10</v>
      </c>
      <c r="R695" s="98" t="s">
        <v>64</v>
      </c>
      <c r="S695" s="98" t="s">
        <v>50</v>
      </c>
      <c r="T695" s="98" t="s">
        <v>50</v>
      </c>
      <c r="U695" s="98" t="s">
        <v>50</v>
      </c>
      <c r="V695" s="98" t="s">
        <v>50</v>
      </c>
      <c r="W695" s="98" t="s">
        <v>50</v>
      </c>
      <c r="X695" s="98" t="s">
        <v>50</v>
      </c>
    </row>
    <row r="696" spans="1:31" s="815" customFormat="1" x14ac:dyDescent="0.25">
      <c r="A696" s="814">
        <v>44152</v>
      </c>
      <c r="B696" s="815" t="s">
        <v>70</v>
      </c>
      <c r="C696" s="815" t="s">
        <v>62</v>
      </c>
      <c r="D696" s="815">
        <v>38.179679999999998</v>
      </c>
      <c r="E696" s="815">
        <v>-122.05585000000001</v>
      </c>
      <c r="F696" s="815" t="s">
        <v>1677</v>
      </c>
      <c r="G696" s="815" t="s">
        <v>27</v>
      </c>
      <c r="H696" s="815" t="s">
        <v>62</v>
      </c>
      <c r="I696" s="816">
        <v>0.44791666666666669</v>
      </c>
      <c r="J696" s="817">
        <v>11522</v>
      </c>
      <c r="K696" s="817">
        <v>13.45</v>
      </c>
      <c r="L696" s="817">
        <v>73.430000000000007</v>
      </c>
      <c r="M696" s="817">
        <v>0.37</v>
      </c>
      <c r="N696" s="817">
        <v>7.23</v>
      </c>
      <c r="O696" s="815" t="s">
        <v>48</v>
      </c>
      <c r="P696" s="815">
        <v>4</v>
      </c>
      <c r="Q696" s="815">
        <v>10</v>
      </c>
      <c r="R696" s="815" t="s">
        <v>64</v>
      </c>
      <c r="S696" s="819" t="s">
        <v>31</v>
      </c>
      <c r="T696" s="815">
        <v>3</v>
      </c>
      <c r="U696" s="815" t="s">
        <v>1678</v>
      </c>
      <c r="V696" s="815" t="s">
        <v>66</v>
      </c>
      <c r="W696" s="815" t="s">
        <v>50</v>
      </c>
      <c r="X696" s="815" t="s">
        <v>50</v>
      </c>
      <c r="Y696" s="818"/>
    </row>
    <row r="697" spans="1:31" x14ac:dyDescent="0.25">
      <c r="A697" s="194">
        <v>44153</v>
      </c>
      <c r="B697" s="98" t="s">
        <v>87</v>
      </c>
      <c r="C697" s="98" t="s">
        <v>126</v>
      </c>
      <c r="D697" s="98">
        <v>38.259399999999999</v>
      </c>
      <c r="E697" s="98">
        <v>-121.74250000000001</v>
      </c>
      <c r="F697" s="98" t="s">
        <v>1679</v>
      </c>
      <c r="G697" s="98" t="s">
        <v>90</v>
      </c>
      <c r="H697" s="98" t="s">
        <v>126</v>
      </c>
      <c r="I697" s="621">
        <v>0.32777777777777778</v>
      </c>
      <c r="J697" s="100">
        <v>134.32</v>
      </c>
      <c r="K697" s="100">
        <v>12.7</v>
      </c>
      <c r="L697" s="100">
        <v>7.14</v>
      </c>
      <c r="M697" s="100">
        <v>1.8</v>
      </c>
      <c r="N697" s="100">
        <v>4.72</v>
      </c>
      <c r="O697" s="98" t="s">
        <v>48</v>
      </c>
      <c r="P697" s="98">
        <v>4</v>
      </c>
      <c r="Q697" s="98">
        <v>10</v>
      </c>
      <c r="R697" s="98" t="s">
        <v>49</v>
      </c>
      <c r="S697" s="98" t="s">
        <v>50</v>
      </c>
      <c r="T697" s="98" t="s">
        <v>50</v>
      </c>
      <c r="U697" s="98" t="s">
        <v>50</v>
      </c>
      <c r="V697" s="98" t="s">
        <v>50</v>
      </c>
      <c r="W697" s="98" t="s">
        <v>50</v>
      </c>
      <c r="X697" s="98" t="s">
        <v>50</v>
      </c>
      <c r="Y697" s="622" t="s">
        <v>67</v>
      </c>
    </row>
    <row r="698" spans="1:31" x14ac:dyDescent="0.25">
      <c r="A698" s="194">
        <v>44153</v>
      </c>
      <c r="B698" s="98" t="s">
        <v>87</v>
      </c>
      <c r="C698" s="98" t="s">
        <v>126</v>
      </c>
      <c r="D698" s="98">
        <v>38.255389999999998</v>
      </c>
      <c r="E698" s="98">
        <v>-121.72508999999999</v>
      </c>
      <c r="F698" s="98" t="s">
        <v>1680</v>
      </c>
      <c r="G698" s="98" t="s">
        <v>90</v>
      </c>
      <c r="H698" s="98" t="s">
        <v>126</v>
      </c>
      <c r="I698" s="621">
        <v>0.38819444444444445</v>
      </c>
      <c r="J698" s="100">
        <v>134.85</v>
      </c>
      <c r="K698" s="100">
        <v>12.78</v>
      </c>
      <c r="L698" s="100">
        <v>6.99</v>
      </c>
      <c r="M698" s="100">
        <v>1.46</v>
      </c>
      <c r="N698" s="100">
        <v>5.8</v>
      </c>
      <c r="O698" s="98" t="s">
        <v>48</v>
      </c>
      <c r="P698" s="98">
        <v>4</v>
      </c>
      <c r="Q698" s="98">
        <v>10</v>
      </c>
      <c r="R698" s="98" t="s">
        <v>49</v>
      </c>
      <c r="S698" s="98" t="s">
        <v>50</v>
      </c>
      <c r="T698" s="98" t="s">
        <v>50</v>
      </c>
      <c r="U698" s="98" t="s">
        <v>50</v>
      </c>
      <c r="V698" s="98" t="s">
        <v>50</v>
      </c>
      <c r="W698" s="98" t="s">
        <v>50</v>
      </c>
      <c r="X698" s="98" t="s">
        <v>50</v>
      </c>
    </row>
    <row r="699" spans="1:31" x14ac:dyDescent="0.25">
      <c r="A699" s="194">
        <v>44153</v>
      </c>
      <c r="B699" s="98" t="s">
        <v>87</v>
      </c>
      <c r="C699" s="98" t="s">
        <v>126</v>
      </c>
      <c r="D699" s="98">
        <v>38.251089999999998</v>
      </c>
      <c r="E699" s="98">
        <v>-121.71805999999999</v>
      </c>
      <c r="F699" s="98" t="s">
        <v>1681</v>
      </c>
      <c r="G699" s="98" t="s">
        <v>90</v>
      </c>
      <c r="H699" s="98" t="s">
        <v>126</v>
      </c>
      <c r="I699" s="621">
        <v>0.44305555555555554</v>
      </c>
      <c r="J699" s="100">
        <v>134.75</v>
      </c>
      <c r="K699" s="100">
        <v>12.95</v>
      </c>
      <c r="L699" s="100">
        <v>9.85</v>
      </c>
      <c r="M699" s="100">
        <v>1.36</v>
      </c>
      <c r="N699" s="100">
        <v>4.67</v>
      </c>
      <c r="O699" s="98" t="s">
        <v>48</v>
      </c>
      <c r="P699" s="98">
        <v>4</v>
      </c>
      <c r="Q699" s="98">
        <v>10</v>
      </c>
      <c r="R699" s="98" t="s">
        <v>49</v>
      </c>
      <c r="S699" s="98" t="s">
        <v>50</v>
      </c>
      <c r="T699" s="98" t="s">
        <v>50</v>
      </c>
      <c r="U699" s="98" t="s">
        <v>50</v>
      </c>
      <c r="V699" s="98" t="s">
        <v>50</v>
      </c>
      <c r="W699" s="98" t="s">
        <v>50</v>
      </c>
      <c r="X699" s="98" t="s">
        <v>50</v>
      </c>
    </row>
    <row r="700" spans="1:31" x14ac:dyDescent="0.25">
      <c r="A700" s="194">
        <v>44153</v>
      </c>
      <c r="B700" s="98" t="s">
        <v>87</v>
      </c>
      <c r="C700" s="98" t="s">
        <v>95</v>
      </c>
      <c r="D700" s="98">
        <v>38.05959</v>
      </c>
      <c r="E700" s="98">
        <v>-121.55222999999999</v>
      </c>
      <c r="F700" s="98" t="s">
        <v>1682</v>
      </c>
      <c r="G700" s="98" t="s">
        <v>46</v>
      </c>
      <c r="H700" s="98" t="s">
        <v>115</v>
      </c>
      <c r="I700" s="621">
        <v>0.35902777777777778</v>
      </c>
      <c r="J700" s="100">
        <v>366.2</v>
      </c>
      <c r="K700" s="100">
        <v>13.6</v>
      </c>
      <c r="L700" s="100">
        <v>7.24</v>
      </c>
      <c r="M700" s="100">
        <v>1.56</v>
      </c>
      <c r="N700" s="100">
        <v>4.93</v>
      </c>
      <c r="O700" s="98" t="s">
        <v>48</v>
      </c>
      <c r="P700" s="98">
        <v>4</v>
      </c>
      <c r="Q700" s="98">
        <v>10</v>
      </c>
      <c r="R700" s="98" t="s">
        <v>64</v>
      </c>
      <c r="S700" s="98" t="s">
        <v>50</v>
      </c>
      <c r="T700" s="98" t="s">
        <v>50</v>
      </c>
      <c r="U700" s="98" t="s">
        <v>50</v>
      </c>
      <c r="V700" s="98" t="s">
        <v>50</v>
      </c>
      <c r="W700" s="98" t="s">
        <v>50</v>
      </c>
      <c r="X700" s="98" t="s">
        <v>50</v>
      </c>
      <c r="Y700" s="622" t="s">
        <v>1445</v>
      </c>
    </row>
    <row r="701" spans="1:31" x14ac:dyDescent="0.25">
      <c r="A701" s="194">
        <v>44153</v>
      </c>
      <c r="B701" s="98" t="s">
        <v>87</v>
      </c>
      <c r="C701" s="98" t="s">
        <v>95</v>
      </c>
      <c r="D701" s="98">
        <v>38.078020000000002</v>
      </c>
      <c r="E701" s="98">
        <v>-121.56981</v>
      </c>
      <c r="F701" s="98" t="s">
        <v>1683</v>
      </c>
      <c r="G701" s="98" t="s">
        <v>46</v>
      </c>
      <c r="H701" s="98" t="s">
        <v>115</v>
      </c>
      <c r="I701" s="621">
        <v>0.4069444444444445</v>
      </c>
      <c r="J701" s="100">
        <v>401.15</v>
      </c>
      <c r="K701" s="100">
        <v>13.67</v>
      </c>
      <c r="L701" s="100">
        <v>7.1</v>
      </c>
      <c r="M701" s="100">
        <v>1.56</v>
      </c>
      <c r="N701" s="100">
        <v>10.82</v>
      </c>
      <c r="O701" s="98" t="s">
        <v>48</v>
      </c>
      <c r="P701" s="98">
        <v>4</v>
      </c>
      <c r="Q701" s="98">
        <v>10</v>
      </c>
      <c r="R701" s="98" t="s">
        <v>49</v>
      </c>
      <c r="S701" s="98" t="s">
        <v>50</v>
      </c>
      <c r="T701" s="98" t="s">
        <v>50</v>
      </c>
      <c r="U701" s="98" t="s">
        <v>50</v>
      </c>
      <c r="V701" s="98" t="s">
        <v>50</v>
      </c>
      <c r="W701" s="98" t="s">
        <v>50</v>
      </c>
      <c r="X701" s="98" t="s">
        <v>50</v>
      </c>
    </row>
    <row r="702" spans="1:31" x14ac:dyDescent="0.25">
      <c r="A702" s="194">
        <v>44153</v>
      </c>
      <c r="B702" s="98" t="s">
        <v>87</v>
      </c>
      <c r="C702" s="98" t="s">
        <v>95</v>
      </c>
      <c r="D702" s="98">
        <v>38.099670000000003</v>
      </c>
      <c r="E702" s="98">
        <v>-121.15902</v>
      </c>
      <c r="F702" s="98" t="s">
        <v>1684</v>
      </c>
      <c r="G702" s="98" t="s">
        <v>46</v>
      </c>
      <c r="H702" s="98" t="s">
        <v>115</v>
      </c>
      <c r="I702" s="621">
        <v>0.4548611111111111</v>
      </c>
      <c r="J702" s="100">
        <v>510</v>
      </c>
      <c r="K702" s="100">
        <v>13.85</v>
      </c>
      <c r="L702" s="100">
        <v>6.98</v>
      </c>
      <c r="M702" s="100">
        <v>1.46</v>
      </c>
      <c r="N702" s="100">
        <v>11.53</v>
      </c>
      <c r="O702" s="98" t="s">
        <v>48</v>
      </c>
      <c r="P702" s="98">
        <v>4</v>
      </c>
      <c r="Q702" s="98">
        <v>10</v>
      </c>
      <c r="R702" s="98" t="s">
        <v>49</v>
      </c>
      <c r="S702" s="98" t="s">
        <v>50</v>
      </c>
      <c r="T702" s="98" t="s">
        <v>50</v>
      </c>
      <c r="U702" s="98" t="s">
        <v>50</v>
      </c>
      <c r="V702" s="98" t="s">
        <v>50</v>
      </c>
      <c r="W702" s="98" t="s">
        <v>50</v>
      </c>
      <c r="X702" s="98" t="s">
        <v>50</v>
      </c>
    </row>
    <row r="703" spans="1:31" x14ac:dyDescent="0.25">
      <c r="A703" s="194">
        <v>44153</v>
      </c>
      <c r="B703" s="98" t="s">
        <v>87</v>
      </c>
      <c r="C703" s="98" t="s">
        <v>78</v>
      </c>
      <c r="D703" s="98">
        <v>38.063319999999997</v>
      </c>
      <c r="E703" s="98">
        <v>-122.11246</v>
      </c>
      <c r="F703" s="98" t="s">
        <v>1685</v>
      </c>
      <c r="G703" s="98" t="s">
        <v>80</v>
      </c>
      <c r="H703" s="98" t="s">
        <v>81</v>
      </c>
      <c r="I703" s="621">
        <v>0.3444444444444445</v>
      </c>
      <c r="J703" s="100">
        <v>27127.25</v>
      </c>
      <c r="K703" s="100">
        <v>14.08</v>
      </c>
      <c r="L703" s="100">
        <v>27.3</v>
      </c>
      <c r="M703" s="100">
        <v>0.56000000000000005</v>
      </c>
      <c r="N703" s="100">
        <v>5.97</v>
      </c>
      <c r="O703" s="98" t="s">
        <v>48</v>
      </c>
      <c r="P703" s="98">
        <v>4</v>
      </c>
      <c r="Q703" s="98">
        <v>10</v>
      </c>
      <c r="R703" s="98" t="s">
        <v>49</v>
      </c>
      <c r="S703" s="98" t="s">
        <v>50</v>
      </c>
      <c r="T703" s="98" t="s">
        <v>50</v>
      </c>
      <c r="U703" s="98" t="s">
        <v>50</v>
      </c>
      <c r="V703" s="98" t="s">
        <v>50</v>
      </c>
      <c r="W703" s="98" t="s">
        <v>50</v>
      </c>
      <c r="X703" s="98" t="s">
        <v>50</v>
      </c>
    </row>
    <row r="704" spans="1:31" x14ac:dyDescent="0.25">
      <c r="A704" s="194">
        <v>44153</v>
      </c>
      <c r="B704" s="98" t="s">
        <v>87</v>
      </c>
      <c r="C704" s="98" t="s">
        <v>78</v>
      </c>
      <c r="D704" s="98">
        <v>38.091059999999999</v>
      </c>
      <c r="E704" s="98">
        <v>-122.00789</v>
      </c>
      <c r="F704" s="98" t="s">
        <v>1686</v>
      </c>
      <c r="G704" s="98" t="s">
        <v>27</v>
      </c>
      <c r="H704" s="98" t="s">
        <v>86</v>
      </c>
      <c r="I704" s="621">
        <v>0.39999999999999997</v>
      </c>
      <c r="J704" s="100">
        <v>20939</v>
      </c>
      <c r="K704" s="100">
        <v>14.1</v>
      </c>
      <c r="L704" s="100">
        <v>25.85</v>
      </c>
      <c r="M704" s="100">
        <v>0.57999999999999996</v>
      </c>
      <c r="N704" s="100">
        <v>9.4</v>
      </c>
      <c r="O704" s="98" t="s">
        <v>48</v>
      </c>
      <c r="P704" s="98">
        <v>4</v>
      </c>
      <c r="Q704" s="98">
        <v>10</v>
      </c>
      <c r="R704" s="98" t="s">
        <v>49</v>
      </c>
      <c r="S704" s="98" t="s">
        <v>50</v>
      </c>
      <c r="T704" s="98" t="s">
        <v>50</v>
      </c>
      <c r="U704" s="98" t="s">
        <v>50</v>
      </c>
      <c r="V704" s="98" t="s">
        <v>50</v>
      </c>
      <c r="W704" s="98" t="s">
        <v>50</v>
      </c>
      <c r="X704" s="98" t="s">
        <v>50</v>
      </c>
    </row>
    <row r="705" spans="1:25" x14ac:dyDescent="0.25">
      <c r="A705" s="194">
        <v>44153</v>
      </c>
      <c r="B705" s="98" t="s">
        <v>87</v>
      </c>
      <c r="C705" s="98" t="s">
        <v>78</v>
      </c>
      <c r="D705" s="98">
        <v>38.024439999999998</v>
      </c>
      <c r="E705" s="98">
        <v>-121.82944999999999</v>
      </c>
      <c r="F705" s="98" t="s">
        <v>1687</v>
      </c>
      <c r="G705" s="98" t="s">
        <v>27</v>
      </c>
      <c r="H705" s="98" t="s">
        <v>101</v>
      </c>
      <c r="I705" s="621">
        <v>0.47083333333333338</v>
      </c>
      <c r="J705" s="100">
        <v>7803.25</v>
      </c>
      <c r="K705" s="100">
        <v>14.27</v>
      </c>
      <c r="L705" s="100">
        <v>15.4</v>
      </c>
      <c r="M705" s="100">
        <v>0.95</v>
      </c>
      <c r="N705" s="100">
        <v>14.82</v>
      </c>
      <c r="O705" s="98" t="s">
        <v>48</v>
      </c>
      <c r="P705" s="98">
        <v>4</v>
      </c>
      <c r="Q705" s="98">
        <v>10</v>
      </c>
      <c r="R705" s="98" t="s">
        <v>49</v>
      </c>
      <c r="S705" s="98" t="s">
        <v>50</v>
      </c>
      <c r="T705" s="98" t="s">
        <v>50</v>
      </c>
      <c r="U705" s="98" t="s">
        <v>50</v>
      </c>
      <c r="V705" s="98" t="s">
        <v>50</v>
      </c>
      <c r="W705" s="98" t="s">
        <v>50</v>
      </c>
      <c r="X705" s="98" t="s">
        <v>50</v>
      </c>
    </row>
    <row r="706" spans="1:25" x14ac:dyDescent="0.25">
      <c r="A706" s="194">
        <v>44154</v>
      </c>
      <c r="B706" s="98" t="s">
        <v>105</v>
      </c>
      <c r="C706" s="98" t="s">
        <v>126</v>
      </c>
      <c r="D706" s="98">
        <v>38.276980000000002</v>
      </c>
      <c r="E706" s="98">
        <v>-121.69479</v>
      </c>
      <c r="F706" s="98" t="s">
        <v>1688</v>
      </c>
      <c r="G706" s="98" t="s">
        <v>90</v>
      </c>
      <c r="H706" s="98" t="s">
        <v>126</v>
      </c>
      <c r="I706" s="621">
        <v>0.3347222222222222</v>
      </c>
      <c r="J706" s="100">
        <v>133.66999999999999</v>
      </c>
      <c r="K706" s="100">
        <v>12.7</v>
      </c>
      <c r="L706" s="100">
        <v>10.79</v>
      </c>
      <c r="M706" s="100">
        <v>1.66</v>
      </c>
      <c r="N706" s="100">
        <v>6.55</v>
      </c>
      <c r="O706" s="98" t="s">
        <v>48</v>
      </c>
      <c r="P706" s="98">
        <v>4</v>
      </c>
      <c r="Q706" s="98">
        <v>10</v>
      </c>
      <c r="R706" s="98" t="s">
        <v>64</v>
      </c>
      <c r="S706" s="98" t="s">
        <v>50</v>
      </c>
      <c r="T706" s="98" t="s">
        <v>50</v>
      </c>
      <c r="U706" s="98" t="s">
        <v>50</v>
      </c>
      <c r="V706" s="98" t="s">
        <v>50</v>
      </c>
      <c r="W706" s="98" t="s">
        <v>50</v>
      </c>
      <c r="X706" s="98" t="s">
        <v>50</v>
      </c>
    </row>
    <row r="707" spans="1:25" x14ac:dyDescent="0.25">
      <c r="A707" s="194">
        <v>44154</v>
      </c>
      <c r="B707" s="98" t="s">
        <v>105</v>
      </c>
      <c r="C707" s="98" t="s">
        <v>126</v>
      </c>
      <c r="D707" s="98">
        <v>38.24586</v>
      </c>
      <c r="E707" s="98">
        <v>-121.69555</v>
      </c>
      <c r="F707" s="98" t="s">
        <v>1689</v>
      </c>
      <c r="G707" s="98" t="s">
        <v>90</v>
      </c>
      <c r="H707" s="98" t="s">
        <v>126</v>
      </c>
      <c r="I707" s="621">
        <v>0.38541666666666669</v>
      </c>
      <c r="J707" s="100">
        <v>28.4</v>
      </c>
      <c r="K707" s="100">
        <v>12.6</v>
      </c>
      <c r="L707" s="100">
        <v>15.3</v>
      </c>
      <c r="M707" s="100">
        <v>1.8</v>
      </c>
      <c r="N707" s="100">
        <v>3.6</v>
      </c>
      <c r="O707" s="98" t="s">
        <v>48</v>
      </c>
      <c r="P707" s="98">
        <v>1</v>
      </c>
      <c r="Q707" s="98">
        <v>10</v>
      </c>
      <c r="R707" s="98" t="s">
        <v>49</v>
      </c>
      <c r="S707" s="98" t="s">
        <v>50</v>
      </c>
      <c r="T707" s="98" t="s">
        <v>50</v>
      </c>
      <c r="U707" s="98" t="s">
        <v>50</v>
      </c>
      <c r="V707" s="98" t="s">
        <v>50</v>
      </c>
      <c r="W707" s="98" t="s">
        <v>50</v>
      </c>
      <c r="X707" s="98" t="s">
        <v>50</v>
      </c>
      <c r="Y707" s="622" t="s">
        <v>1690</v>
      </c>
    </row>
    <row r="708" spans="1:25" x14ac:dyDescent="0.25">
      <c r="A708" s="194">
        <v>44154</v>
      </c>
      <c r="B708" s="98" t="s">
        <v>105</v>
      </c>
      <c r="C708" s="98" t="s">
        <v>126</v>
      </c>
      <c r="D708" s="98">
        <v>38.311880000000002</v>
      </c>
      <c r="E708" s="98">
        <v>-121.65586</v>
      </c>
      <c r="F708" s="98" t="s">
        <v>1691</v>
      </c>
      <c r="G708" s="98" t="s">
        <v>90</v>
      </c>
      <c r="H708" s="98" t="s">
        <v>126</v>
      </c>
      <c r="I708" s="621">
        <v>0.4381944444444445</v>
      </c>
      <c r="J708" s="100">
        <v>139.12</v>
      </c>
      <c r="K708" s="100">
        <v>13.03</v>
      </c>
      <c r="L708" s="100">
        <v>7.89</v>
      </c>
      <c r="M708" s="100">
        <v>1.8</v>
      </c>
      <c r="N708" s="100">
        <v>3.65</v>
      </c>
      <c r="O708" s="98" t="s">
        <v>48</v>
      </c>
      <c r="P708" s="98">
        <v>4</v>
      </c>
      <c r="Q708" s="98">
        <v>10</v>
      </c>
      <c r="R708" s="98" t="s">
        <v>49</v>
      </c>
      <c r="S708" s="98" t="s">
        <v>50</v>
      </c>
      <c r="T708" s="98" t="s">
        <v>50</v>
      </c>
      <c r="U708" s="98" t="s">
        <v>50</v>
      </c>
      <c r="V708" s="98" t="s">
        <v>50</v>
      </c>
      <c r="W708" s="98" t="s">
        <v>50</v>
      </c>
      <c r="X708" s="98" t="s">
        <v>50</v>
      </c>
    </row>
    <row r="709" spans="1:25" x14ac:dyDescent="0.25">
      <c r="A709" s="194">
        <v>44154</v>
      </c>
      <c r="B709" s="98" t="s">
        <v>105</v>
      </c>
      <c r="C709" s="98" t="s">
        <v>126</v>
      </c>
      <c r="D709" s="98">
        <v>38.234830000000002</v>
      </c>
      <c r="E709" s="98">
        <v>-121.67901999999999</v>
      </c>
      <c r="F709" s="98" t="s">
        <v>1692</v>
      </c>
      <c r="G709" s="98" t="s">
        <v>90</v>
      </c>
      <c r="H709" s="98" t="s">
        <v>126</v>
      </c>
      <c r="I709" s="621">
        <v>0.49652777777777773</v>
      </c>
      <c r="J709" s="100">
        <v>126.55</v>
      </c>
      <c r="K709" s="100">
        <v>12.65</v>
      </c>
      <c r="L709" s="100">
        <v>7.63</v>
      </c>
      <c r="M709" s="100">
        <v>1.8</v>
      </c>
      <c r="N709" s="100">
        <v>14.4</v>
      </c>
      <c r="O709" s="98" t="s">
        <v>48</v>
      </c>
      <c r="P709" s="98">
        <v>4</v>
      </c>
      <c r="Q709" s="98">
        <v>10</v>
      </c>
      <c r="R709" s="98" t="s">
        <v>49</v>
      </c>
      <c r="S709" s="98" t="s">
        <v>50</v>
      </c>
      <c r="T709" s="98" t="s">
        <v>50</v>
      </c>
      <c r="U709" s="98" t="s">
        <v>50</v>
      </c>
      <c r="V709" s="98" t="s">
        <v>50</v>
      </c>
      <c r="W709" s="98" t="s">
        <v>50</v>
      </c>
      <c r="X709" s="98" t="s">
        <v>50</v>
      </c>
      <c r="Y709" s="622" t="s">
        <v>1693</v>
      </c>
    </row>
    <row r="710" spans="1:25" x14ac:dyDescent="0.25">
      <c r="A710" s="194">
        <v>44154</v>
      </c>
      <c r="B710" s="98" t="s">
        <v>105</v>
      </c>
      <c r="C710" s="98" t="s">
        <v>95</v>
      </c>
      <c r="D710" s="98">
        <v>38.094009999999997</v>
      </c>
      <c r="E710" s="98">
        <v>-121.64912</v>
      </c>
      <c r="F710" s="98" t="s">
        <v>1694</v>
      </c>
      <c r="G710" s="98" t="s">
        <v>46</v>
      </c>
      <c r="H710" s="98" t="s">
        <v>97</v>
      </c>
      <c r="I710" s="621">
        <v>0.34722222222222227</v>
      </c>
      <c r="J710" s="100">
        <v>940</v>
      </c>
      <c r="K710" s="100">
        <v>13.8</v>
      </c>
      <c r="L710" s="100">
        <v>6.93</v>
      </c>
      <c r="M710" s="100">
        <v>1.52</v>
      </c>
      <c r="N710" s="100">
        <v>8.5500000000000007</v>
      </c>
      <c r="O710" s="98" t="s">
        <v>48</v>
      </c>
      <c r="P710" s="98">
        <v>4</v>
      </c>
      <c r="Q710" s="98">
        <v>10</v>
      </c>
      <c r="R710" s="98" t="s">
        <v>64</v>
      </c>
      <c r="S710" s="98" t="s">
        <v>50</v>
      </c>
      <c r="T710" s="98" t="s">
        <v>50</v>
      </c>
      <c r="U710" s="98" t="s">
        <v>50</v>
      </c>
      <c r="V710" s="98" t="s">
        <v>50</v>
      </c>
      <c r="W710" s="98" t="s">
        <v>50</v>
      </c>
      <c r="X710" s="98" t="s">
        <v>50</v>
      </c>
    </row>
    <row r="711" spans="1:25" x14ac:dyDescent="0.25">
      <c r="A711" s="194">
        <v>44154</v>
      </c>
      <c r="B711" s="98" t="s">
        <v>105</v>
      </c>
      <c r="C711" s="98" t="s">
        <v>95</v>
      </c>
      <c r="D711" s="98">
        <v>38.095480000000002</v>
      </c>
      <c r="E711" s="98">
        <v>-121.62748000000001</v>
      </c>
      <c r="F711" s="98" t="s">
        <v>1695</v>
      </c>
      <c r="G711" s="98" t="s">
        <v>46</v>
      </c>
      <c r="H711" s="98" t="s">
        <v>97</v>
      </c>
      <c r="I711" s="621">
        <v>0.39861111111111108</v>
      </c>
      <c r="J711" s="100">
        <v>855.5</v>
      </c>
      <c r="K711" s="100">
        <v>13.9</v>
      </c>
      <c r="L711" s="100">
        <v>8.9700000000000006</v>
      </c>
      <c r="M711" s="100">
        <v>1.29</v>
      </c>
      <c r="N711" s="100">
        <v>6.88</v>
      </c>
      <c r="O711" s="98" t="s">
        <v>48</v>
      </c>
      <c r="P711" s="98">
        <v>4</v>
      </c>
      <c r="Q711" s="98">
        <v>10</v>
      </c>
      <c r="R711" s="98" t="s">
        <v>64</v>
      </c>
      <c r="S711" s="98" t="s">
        <v>50</v>
      </c>
      <c r="T711" s="98" t="s">
        <v>50</v>
      </c>
      <c r="U711" s="98" t="s">
        <v>50</v>
      </c>
      <c r="V711" s="98" t="s">
        <v>50</v>
      </c>
      <c r="W711" s="98" t="s">
        <v>50</v>
      </c>
      <c r="X711" s="98" t="s">
        <v>50</v>
      </c>
      <c r="Y711" s="622" t="s">
        <v>1526</v>
      </c>
    </row>
    <row r="712" spans="1:25" x14ac:dyDescent="0.25">
      <c r="A712" s="194">
        <v>44154</v>
      </c>
      <c r="B712" s="98" t="s">
        <v>105</v>
      </c>
      <c r="C712" s="98" t="s">
        <v>95</v>
      </c>
      <c r="D712" s="98">
        <v>38.025559999999999</v>
      </c>
      <c r="E712" s="98">
        <v>-121.77724000000001</v>
      </c>
      <c r="F712" s="98" t="s">
        <v>1696</v>
      </c>
      <c r="G712" s="98" t="s">
        <v>27</v>
      </c>
      <c r="H712" s="98" t="s">
        <v>95</v>
      </c>
      <c r="I712" s="621">
        <v>0.46319444444444446</v>
      </c>
      <c r="J712" s="100">
        <v>5212.75</v>
      </c>
      <c r="K712" s="100">
        <v>14.03</v>
      </c>
      <c r="L712" s="100">
        <v>10.84</v>
      </c>
      <c r="M712" s="100">
        <v>1.04</v>
      </c>
      <c r="N712" s="100">
        <v>14.28</v>
      </c>
      <c r="O712" s="98" t="s">
        <v>48</v>
      </c>
      <c r="P712" s="98">
        <v>4</v>
      </c>
      <c r="Q712" s="98">
        <v>10</v>
      </c>
      <c r="R712" s="98" t="s">
        <v>49</v>
      </c>
      <c r="S712" s="98" t="s">
        <v>50</v>
      </c>
      <c r="T712" s="98" t="s">
        <v>50</v>
      </c>
      <c r="U712" s="98" t="s">
        <v>50</v>
      </c>
      <c r="V712" s="98" t="s">
        <v>50</v>
      </c>
      <c r="W712" s="98" t="s">
        <v>50</v>
      </c>
      <c r="X712" s="98" t="s">
        <v>50</v>
      </c>
    </row>
    <row r="713" spans="1:25" x14ac:dyDescent="0.25">
      <c r="A713" s="194">
        <v>44154</v>
      </c>
      <c r="B713" s="98" t="s">
        <v>105</v>
      </c>
      <c r="C713" s="98" t="s">
        <v>78</v>
      </c>
      <c r="D713" s="98">
        <v>38.045760000000001</v>
      </c>
      <c r="E713" s="98">
        <v>-121.89397</v>
      </c>
      <c r="F713" s="98" t="s">
        <v>1697</v>
      </c>
      <c r="G713" s="98" t="s">
        <v>27</v>
      </c>
      <c r="H713" s="98" t="s">
        <v>101</v>
      </c>
      <c r="I713" s="621">
        <v>0.32430555555555557</v>
      </c>
      <c r="J713" s="100">
        <v>13930.75</v>
      </c>
      <c r="K713" s="100">
        <v>13.85</v>
      </c>
      <c r="L713" s="100">
        <v>31.35</v>
      </c>
      <c r="M713" s="100">
        <v>0.48</v>
      </c>
      <c r="N713" s="100">
        <v>15.5</v>
      </c>
      <c r="O713" s="98" t="s">
        <v>48</v>
      </c>
      <c r="P713" s="98">
        <v>4</v>
      </c>
      <c r="Q713" s="98">
        <v>10</v>
      </c>
      <c r="R713" s="98" t="s">
        <v>64</v>
      </c>
      <c r="S713" s="98" t="s">
        <v>50</v>
      </c>
      <c r="T713" s="98" t="s">
        <v>50</v>
      </c>
      <c r="U713" s="98" t="s">
        <v>50</v>
      </c>
      <c r="V713" s="98" t="s">
        <v>50</v>
      </c>
      <c r="W713" s="98" t="s">
        <v>50</v>
      </c>
      <c r="X713" s="98" t="s">
        <v>50</v>
      </c>
    </row>
    <row r="714" spans="1:25" x14ac:dyDescent="0.25">
      <c r="A714" s="194">
        <v>44154</v>
      </c>
      <c r="B714" s="98" t="s">
        <v>105</v>
      </c>
      <c r="C714" s="98" t="s">
        <v>78</v>
      </c>
      <c r="D714" s="98">
        <v>38.07264</v>
      </c>
      <c r="E714" s="98">
        <v>-121.98913</v>
      </c>
      <c r="F714" s="98" t="s">
        <v>1698</v>
      </c>
      <c r="G714" s="98" t="s">
        <v>27</v>
      </c>
      <c r="H714" s="98" t="s">
        <v>86</v>
      </c>
      <c r="I714" s="621">
        <v>0.37916666666666665</v>
      </c>
      <c r="J714" s="100">
        <v>19358</v>
      </c>
      <c r="K714" s="100">
        <v>13.85</v>
      </c>
      <c r="L714" s="100">
        <v>32</v>
      </c>
      <c r="M714" s="100">
        <v>0.52</v>
      </c>
      <c r="N714" s="100">
        <v>6</v>
      </c>
      <c r="O714" s="98" t="s">
        <v>48</v>
      </c>
      <c r="P714" s="98">
        <v>4</v>
      </c>
      <c r="Q714" s="98">
        <v>10</v>
      </c>
      <c r="R714" s="98" t="s">
        <v>49</v>
      </c>
      <c r="S714" s="98" t="s">
        <v>50</v>
      </c>
      <c r="T714" s="98" t="s">
        <v>50</v>
      </c>
      <c r="U714" s="98" t="s">
        <v>50</v>
      </c>
      <c r="V714" s="98" t="s">
        <v>50</v>
      </c>
      <c r="W714" s="98" t="s">
        <v>50</v>
      </c>
      <c r="X714" s="98" t="s">
        <v>50</v>
      </c>
      <c r="Y714" s="622" t="s">
        <v>1699</v>
      </c>
    </row>
    <row r="715" spans="1:25" s="362" customFormat="1" x14ac:dyDescent="0.25">
      <c r="A715" s="360">
        <v>44154</v>
      </c>
      <c r="B715" s="362" t="s">
        <v>105</v>
      </c>
      <c r="C715" s="362" t="s">
        <v>78</v>
      </c>
      <c r="D715" s="362">
        <v>38.071680000000001</v>
      </c>
      <c r="E715" s="362">
        <v>-122.09556000000001</v>
      </c>
      <c r="F715" s="362" t="s">
        <v>1700</v>
      </c>
      <c r="G715" s="362" t="s">
        <v>80</v>
      </c>
      <c r="H715" s="362" t="s">
        <v>81</v>
      </c>
      <c r="I715" s="618">
        <v>0.44305555555555554</v>
      </c>
      <c r="J715" s="364">
        <v>21598.25</v>
      </c>
      <c r="K715" s="364">
        <v>13.95</v>
      </c>
      <c r="L715" s="364">
        <v>22.83</v>
      </c>
      <c r="M715" s="364">
        <v>0.62</v>
      </c>
      <c r="N715" s="364">
        <v>11.97</v>
      </c>
      <c r="O715" s="362" t="s">
        <v>48</v>
      </c>
      <c r="P715" s="362">
        <v>4</v>
      </c>
      <c r="Q715" s="362">
        <v>10</v>
      </c>
      <c r="R715" s="362" t="s">
        <v>49</v>
      </c>
      <c r="S715" s="362" t="s">
        <v>50</v>
      </c>
      <c r="T715" s="362" t="s">
        <v>50</v>
      </c>
      <c r="U715" s="362" t="s">
        <v>50</v>
      </c>
      <c r="V715" s="362" t="s">
        <v>50</v>
      </c>
      <c r="W715" s="362" t="s">
        <v>50</v>
      </c>
      <c r="X715" s="362" t="s">
        <v>50</v>
      </c>
      <c r="Y715" s="603"/>
    </row>
    <row r="716" spans="1:25" x14ac:dyDescent="0.25">
      <c r="A716" s="821">
        <v>44158</v>
      </c>
      <c r="B716" s="51" t="s">
        <v>43</v>
      </c>
      <c r="C716" s="51" t="s">
        <v>162</v>
      </c>
      <c r="D716" s="51">
        <v>38.286070000000002</v>
      </c>
      <c r="E716" s="51">
        <v>-121.66537</v>
      </c>
      <c r="F716" s="51" t="s">
        <v>1701</v>
      </c>
      <c r="G716" s="51" t="s">
        <v>90</v>
      </c>
      <c r="H716" s="51" t="s">
        <v>126</v>
      </c>
      <c r="I716" s="822">
        <v>0.35000000000000003</v>
      </c>
      <c r="J716" s="51">
        <v>140.30000000000001</v>
      </c>
      <c r="K716" s="51">
        <v>11.8</v>
      </c>
      <c r="L716" s="51">
        <v>5.34</v>
      </c>
      <c r="M716" s="51">
        <v>1.8</v>
      </c>
      <c r="N716" s="51">
        <v>6.85</v>
      </c>
      <c r="O716" s="51" t="s">
        <v>48</v>
      </c>
      <c r="P716" s="51">
        <v>4</v>
      </c>
      <c r="Q716" s="51">
        <v>10</v>
      </c>
      <c r="R716" s="51" t="s">
        <v>64</v>
      </c>
      <c r="S716" s="98" t="s">
        <v>50</v>
      </c>
      <c r="T716" s="98" t="s">
        <v>50</v>
      </c>
      <c r="U716" s="98" t="s">
        <v>50</v>
      </c>
      <c r="V716" s="98" t="s">
        <v>50</v>
      </c>
      <c r="W716" s="98" t="s">
        <v>50</v>
      </c>
      <c r="X716" s="98" t="s">
        <v>50</v>
      </c>
    </row>
    <row r="717" spans="1:25" s="154" customFormat="1" x14ac:dyDescent="0.25">
      <c r="A717" s="821">
        <v>44158</v>
      </c>
      <c r="B717" s="51" t="s">
        <v>43</v>
      </c>
      <c r="C717" s="51" t="s">
        <v>162</v>
      </c>
      <c r="D717" s="51">
        <v>38.237819999999999</v>
      </c>
      <c r="E717" s="51">
        <v>-121.6841</v>
      </c>
      <c r="F717" s="51" t="s">
        <v>1702</v>
      </c>
      <c r="G717" s="51" t="s">
        <v>90</v>
      </c>
      <c r="H717" s="51" t="s">
        <v>126</v>
      </c>
      <c r="I717" s="822">
        <v>0.40347222222222223</v>
      </c>
      <c r="J717" s="51">
        <v>128.05000000000001</v>
      </c>
      <c r="K717" s="51">
        <v>12.2</v>
      </c>
      <c r="L717" s="51">
        <v>8.61</v>
      </c>
      <c r="M717" s="51">
        <v>1.76</v>
      </c>
      <c r="N717" s="51">
        <v>12.95</v>
      </c>
      <c r="O717" s="51" t="s">
        <v>48</v>
      </c>
      <c r="P717" s="51">
        <v>4</v>
      </c>
      <c r="Q717" s="51">
        <v>10</v>
      </c>
      <c r="R717" s="51" t="s">
        <v>64</v>
      </c>
      <c r="S717" s="98" t="s">
        <v>50</v>
      </c>
      <c r="T717" s="98" t="s">
        <v>50</v>
      </c>
      <c r="U717" s="98" t="s">
        <v>50</v>
      </c>
      <c r="V717" s="98" t="s">
        <v>50</v>
      </c>
      <c r="W717" s="98" t="s">
        <v>50</v>
      </c>
      <c r="X717" s="98" t="s">
        <v>50</v>
      </c>
      <c r="Y717" s="627"/>
    </row>
    <row r="718" spans="1:25" s="154" customFormat="1" x14ac:dyDescent="0.25">
      <c r="A718" s="446">
        <v>44158</v>
      </c>
      <c r="B718" s="424" t="s">
        <v>43</v>
      </c>
      <c r="C718" s="424" t="s">
        <v>162</v>
      </c>
      <c r="D718" s="424">
        <v>38.261339999999997</v>
      </c>
      <c r="E718" s="424">
        <v>-121.68598</v>
      </c>
      <c r="F718" s="424" t="s">
        <v>1703</v>
      </c>
      <c r="G718" s="424" t="s">
        <v>90</v>
      </c>
      <c r="H718" s="424" t="s">
        <v>126</v>
      </c>
      <c r="I718" s="820">
        <v>0.4513888888888889</v>
      </c>
      <c r="J718" s="424" t="s">
        <v>50</v>
      </c>
      <c r="K718" s="424" t="s">
        <v>50</v>
      </c>
      <c r="L718" s="424" t="s">
        <v>50</v>
      </c>
      <c r="M718" s="424" t="s">
        <v>50</v>
      </c>
      <c r="N718" s="424" t="s">
        <v>50</v>
      </c>
      <c r="O718" s="424" t="s">
        <v>48</v>
      </c>
      <c r="P718" s="424">
        <v>0</v>
      </c>
      <c r="Q718" s="424" t="s">
        <v>50</v>
      </c>
      <c r="R718" s="154" t="s">
        <v>50</v>
      </c>
      <c r="S718" s="154" t="s">
        <v>50</v>
      </c>
      <c r="T718" s="154" t="s">
        <v>50</v>
      </c>
      <c r="U718" s="154" t="s">
        <v>50</v>
      </c>
      <c r="V718" s="154" t="s">
        <v>50</v>
      </c>
      <c r="W718" s="154" t="s">
        <v>50</v>
      </c>
      <c r="X718" s="154" t="s">
        <v>50</v>
      </c>
      <c r="Y718" s="627" t="s">
        <v>734</v>
      </c>
    </row>
    <row r="719" spans="1:25" x14ac:dyDescent="0.25">
      <c r="A719" s="821">
        <v>44158</v>
      </c>
      <c r="B719" s="51" t="s">
        <v>43</v>
      </c>
      <c r="C719" s="51" t="s">
        <v>162</v>
      </c>
      <c r="D719" s="51">
        <v>38.281199999999998</v>
      </c>
      <c r="E719" s="51">
        <v>-121.71259000000001</v>
      </c>
      <c r="F719" s="51" t="s">
        <v>1704</v>
      </c>
      <c r="G719" s="51" t="s">
        <v>90</v>
      </c>
      <c r="H719" s="51" t="s">
        <v>126</v>
      </c>
      <c r="I719" s="822">
        <v>0.47152777777777777</v>
      </c>
      <c r="J719" s="51">
        <v>183.68</v>
      </c>
      <c r="K719" s="51">
        <v>11.95</v>
      </c>
      <c r="L719" s="51">
        <v>4.29</v>
      </c>
      <c r="M719" s="51">
        <v>1.8</v>
      </c>
      <c r="N719" s="51">
        <v>4.33</v>
      </c>
      <c r="O719" s="51" t="s">
        <v>48</v>
      </c>
      <c r="P719" s="51">
        <v>4</v>
      </c>
      <c r="Q719" s="51">
        <v>10</v>
      </c>
      <c r="R719" s="51" t="s">
        <v>64</v>
      </c>
      <c r="S719" s="98" t="s">
        <v>50</v>
      </c>
      <c r="T719" s="98" t="s">
        <v>50</v>
      </c>
      <c r="U719" s="98" t="s">
        <v>50</v>
      </c>
      <c r="V719" s="98" t="s">
        <v>50</v>
      </c>
      <c r="W719" s="98" t="s">
        <v>50</v>
      </c>
      <c r="X719" s="98" t="s">
        <v>50</v>
      </c>
      <c r="Y719" s="622" t="s">
        <v>1705</v>
      </c>
    </row>
    <row r="720" spans="1:25" s="154" customFormat="1" x14ac:dyDescent="0.25">
      <c r="A720" s="446">
        <v>44158</v>
      </c>
      <c r="B720" s="424" t="s">
        <v>43</v>
      </c>
      <c r="C720" s="424" t="s">
        <v>95</v>
      </c>
      <c r="D720" s="424">
        <v>38.050170000000001</v>
      </c>
      <c r="E720" s="424">
        <v>-121.52439</v>
      </c>
      <c r="F720" s="424" t="s">
        <v>1706</v>
      </c>
      <c r="G720" s="424" t="s">
        <v>46</v>
      </c>
      <c r="H720" s="424" t="s">
        <v>115</v>
      </c>
      <c r="I720" s="820">
        <v>0.34930555555555554</v>
      </c>
      <c r="J720" s="424" t="s">
        <v>50</v>
      </c>
      <c r="K720" s="424" t="s">
        <v>50</v>
      </c>
      <c r="L720" s="424" t="s">
        <v>50</v>
      </c>
      <c r="M720" s="424" t="s">
        <v>50</v>
      </c>
      <c r="N720" s="424" t="s">
        <v>50</v>
      </c>
      <c r="O720" s="424" t="s">
        <v>48</v>
      </c>
      <c r="P720" s="424">
        <v>0</v>
      </c>
      <c r="Q720" s="424" t="s">
        <v>50</v>
      </c>
      <c r="R720" s="424" t="s">
        <v>50</v>
      </c>
      <c r="S720" s="424" t="s">
        <v>50</v>
      </c>
      <c r="T720" s="424" t="s">
        <v>50</v>
      </c>
      <c r="U720" s="424" t="s">
        <v>50</v>
      </c>
      <c r="V720" s="424" t="s">
        <v>50</v>
      </c>
      <c r="W720" s="424" t="s">
        <v>50</v>
      </c>
      <c r="X720" s="424" t="s">
        <v>50</v>
      </c>
      <c r="Y720" s="627" t="s">
        <v>734</v>
      </c>
    </row>
    <row r="721" spans="1:25" x14ac:dyDescent="0.25">
      <c r="A721" s="821">
        <v>44158</v>
      </c>
      <c r="B721" s="51" t="s">
        <v>43</v>
      </c>
      <c r="C721" s="51" t="s">
        <v>95</v>
      </c>
      <c r="D721" s="51">
        <v>38.07497</v>
      </c>
      <c r="E721" s="51">
        <v>-121.56349</v>
      </c>
      <c r="F721" s="51" t="s">
        <v>1707</v>
      </c>
      <c r="G721" s="51" t="s">
        <v>46</v>
      </c>
      <c r="H721" s="51" t="s">
        <v>115</v>
      </c>
      <c r="I721" s="822">
        <v>0.3611111111111111</v>
      </c>
      <c r="J721" s="51">
        <v>1025.6199999999999</v>
      </c>
      <c r="K721" s="51">
        <v>12.85</v>
      </c>
      <c r="L721" s="51">
        <v>6.25</v>
      </c>
      <c r="M721" s="51">
        <v>1.74</v>
      </c>
      <c r="N721" s="51">
        <v>10.25</v>
      </c>
      <c r="O721" s="51" t="s">
        <v>48</v>
      </c>
      <c r="P721" s="51">
        <v>4</v>
      </c>
      <c r="Q721" s="51">
        <v>10</v>
      </c>
      <c r="R721" s="51" t="s">
        <v>64</v>
      </c>
      <c r="S721" s="51" t="s">
        <v>50</v>
      </c>
      <c r="T721" s="51" t="s">
        <v>50</v>
      </c>
      <c r="U721" s="51" t="s">
        <v>50</v>
      </c>
      <c r="V721" s="51" t="s">
        <v>50</v>
      </c>
      <c r="W721" s="51" t="s">
        <v>50</v>
      </c>
      <c r="X721" s="51" t="s">
        <v>50</v>
      </c>
    </row>
    <row r="722" spans="1:25" x14ac:dyDescent="0.25">
      <c r="A722" s="821">
        <v>44158</v>
      </c>
      <c r="B722" s="51" t="s">
        <v>43</v>
      </c>
      <c r="C722" s="51" t="s">
        <v>95</v>
      </c>
      <c r="D722" s="51">
        <v>38.087429999999998</v>
      </c>
      <c r="E722" s="51">
        <v>-121.63182999999999</v>
      </c>
      <c r="F722" s="51" t="s">
        <v>1708</v>
      </c>
      <c r="G722" s="51" t="s">
        <v>46</v>
      </c>
      <c r="H722" s="51" t="s">
        <v>97</v>
      </c>
      <c r="I722" s="822">
        <v>0.41666666666666669</v>
      </c>
      <c r="J722" s="51">
        <v>718</v>
      </c>
      <c r="K722" s="51">
        <v>13.28</v>
      </c>
      <c r="L722" s="51">
        <v>8.15</v>
      </c>
      <c r="M722" s="51">
        <v>1.37</v>
      </c>
      <c r="N722" s="51">
        <v>8.8800000000000008</v>
      </c>
      <c r="O722" s="51" t="s">
        <v>48</v>
      </c>
      <c r="P722" s="51">
        <v>5</v>
      </c>
      <c r="Q722" s="51">
        <v>10</v>
      </c>
      <c r="R722" s="51" t="s">
        <v>64</v>
      </c>
      <c r="S722" s="51" t="s">
        <v>50</v>
      </c>
      <c r="T722" s="51" t="s">
        <v>50</v>
      </c>
      <c r="U722" s="51" t="s">
        <v>50</v>
      </c>
      <c r="V722" s="51" t="s">
        <v>50</v>
      </c>
      <c r="W722" s="51" t="s">
        <v>50</v>
      </c>
      <c r="X722" s="51" t="s">
        <v>50</v>
      </c>
      <c r="Y722" s="622" t="s">
        <v>1709</v>
      </c>
    </row>
    <row r="723" spans="1:25" x14ac:dyDescent="0.25">
      <c r="A723" s="821">
        <v>44158</v>
      </c>
      <c r="B723" s="51" t="s">
        <v>43</v>
      </c>
      <c r="C723" s="51" t="s">
        <v>95</v>
      </c>
      <c r="D723" s="51">
        <v>38.097560000000001</v>
      </c>
      <c r="E723" s="51">
        <v>-121.66046</v>
      </c>
      <c r="F723" s="51" t="s">
        <v>1710</v>
      </c>
      <c r="G723" s="51" t="s">
        <v>46</v>
      </c>
      <c r="H723" s="51" t="s">
        <v>97</v>
      </c>
      <c r="I723" s="822">
        <v>0.48472222222222222</v>
      </c>
      <c r="J723" s="51">
        <v>1093.25</v>
      </c>
      <c r="K723" s="51">
        <v>13.18</v>
      </c>
      <c r="L723" s="51">
        <v>7.18</v>
      </c>
      <c r="M723" s="51">
        <v>1.4</v>
      </c>
      <c r="N723" s="51">
        <v>12.45</v>
      </c>
      <c r="O723" s="51" t="s">
        <v>48</v>
      </c>
      <c r="P723" s="51">
        <v>4</v>
      </c>
      <c r="Q723" s="51">
        <v>10</v>
      </c>
      <c r="R723" s="51" t="s">
        <v>64</v>
      </c>
      <c r="S723" s="51" t="s">
        <v>50</v>
      </c>
      <c r="T723" s="51" t="s">
        <v>50</v>
      </c>
      <c r="U723" s="51" t="s">
        <v>50</v>
      </c>
      <c r="V723" s="51" t="s">
        <v>50</v>
      </c>
      <c r="W723" s="51" t="s">
        <v>50</v>
      </c>
      <c r="X723" s="51" t="s">
        <v>50</v>
      </c>
    </row>
    <row r="724" spans="1:25" x14ac:dyDescent="0.25">
      <c r="A724" s="821">
        <v>44158</v>
      </c>
      <c r="B724" s="51" t="s">
        <v>43</v>
      </c>
      <c r="C724" s="51" t="s">
        <v>78</v>
      </c>
      <c r="D724" s="51">
        <v>38.031469999999999</v>
      </c>
      <c r="E724" s="51">
        <v>-122.13986</v>
      </c>
      <c r="F724" s="51" t="s">
        <v>1711</v>
      </c>
      <c r="G724" s="51" t="s">
        <v>80</v>
      </c>
      <c r="H724" s="51" t="s">
        <v>81</v>
      </c>
      <c r="I724" s="822">
        <v>0.36805555555555558</v>
      </c>
      <c r="J724" s="51">
        <v>27044</v>
      </c>
      <c r="K724" s="51">
        <v>13.6</v>
      </c>
      <c r="L724" s="51">
        <v>11.53</v>
      </c>
      <c r="M724" s="51">
        <v>0.86</v>
      </c>
      <c r="N724" s="51">
        <v>19.45</v>
      </c>
      <c r="O724" s="51" t="s">
        <v>48</v>
      </c>
      <c r="P724" s="51">
        <v>4</v>
      </c>
      <c r="Q724" s="51">
        <v>10</v>
      </c>
      <c r="R724" s="51" t="s">
        <v>64</v>
      </c>
      <c r="S724" s="51" t="s">
        <v>50</v>
      </c>
      <c r="T724" s="51" t="s">
        <v>50</v>
      </c>
      <c r="U724" s="51" t="s">
        <v>50</v>
      </c>
      <c r="V724" s="51" t="s">
        <v>50</v>
      </c>
      <c r="W724" s="51" t="s">
        <v>50</v>
      </c>
      <c r="X724" s="51" t="s">
        <v>50</v>
      </c>
    </row>
    <row r="725" spans="1:25" x14ac:dyDescent="0.25">
      <c r="A725" s="823">
        <v>44158</v>
      </c>
      <c r="B725" s="325" t="s">
        <v>43</v>
      </c>
      <c r="C725" s="325" t="s">
        <v>78</v>
      </c>
      <c r="D725" s="325">
        <v>38.056899999999999</v>
      </c>
      <c r="E725" s="325">
        <v>-122.08199</v>
      </c>
      <c r="F725" s="325" t="s">
        <v>1712</v>
      </c>
      <c r="G725" s="325" t="s">
        <v>80</v>
      </c>
      <c r="H725" s="325" t="s">
        <v>81</v>
      </c>
      <c r="I725" s="824">
        <v>0.42569444444444443</v>
      </c>
      <c r="J725" s="325">
        <v>88107.75</v>
      </c>
      <c r="K725" s="325">
        <v>13.72</v>
      </c>
      <c r="L725" s="325">
        <v>24.68</v>
      </c>
      <c r="M725" s="325">
        <v>0.67</v>
      </c>
      <c r="N725" s="325">
        <v>9.77</v>
      </c>
      <c r="O725" s="325" t="s">
        <v>48</v>
      </c>
      <c r="P725" s="325">
        <v>4</v>
      </c>
      <c r="Q725" s="325">
        <v>10</v>
      </c>
      <c r="R725" s="325" t="s">
        <v>64</v>
      </c>
      <c r="S725" s="325" t="s">
        <v>50</v>
      </c>
      <c r="T725" s="325" t="s">
        <v>50</v>
      </c>
      <c r="U725" s="325" t="s">
        <v>50</v>
      </c>
      <c r="V725" s="325" t="s">
        <v>50</v>
      </c>
      <c r="W725" s="325" t="s">
        <v>50</v>
      </c>
      <c r="X725" s="325" t="s">
        <v>50</v>
      </c>
    </row>
    <row r="726" spans="1:25" x14ac:dyDescent="0.25">
      <c r="A726" s="823">
        <v>44158</v>
      </c>
      <c r="B726" s="325" t="s">
        <v>43</v>
      </c>
      <c r="C726" s="325" t="s">
        <v>78</v>
      </c>
      <c r="D726" s="325">
        <v>38.095309999999998</v>
      </c>
      <c r="E726" s="325">
        <v>-122.051</v>
      </c>
      <c r="F726" s="325" t="s">
        <v>1713</v>
      </c>
      <c r="G726" s="325" t="s">
        <v>27</v>
      </c>
      <c r="H726" s="325" t="s">
        <v>86</v>
      </c>
      <c r="I726" s="824">
        <v>0.48541666666666666</v>
      </c>
      <c r="J726" s="325">
        <v>21608.75</v>
      </c>
      <c r="K726" s="325">
        <v>14</v>
      </c>
      <c r="L726" s="325">
        <v>24.1</v>
      </c>
      <c r="M726" s="325">
        <v>0.61</v>
      </c>
      <c r="N726" s="325">
        <v>5</v>
      </c>
      <c r="O726" s="325" t="s">
        <v>48</v>
      </c>
      <c r="P726" s="325">
        <v>4</v>
      </c>
      <c r="Q726" s="325">
        <v>10</v>
      </c>
      <c r="R726" s="325" t="s">
        <v>64</v>
      </c>
      <c r="S726" s="325" t="s">
        <v>50</v>
      </c>
      <c r="T726" s="325" t="s">
        <v>50</v>
      </c>
      <c r="U726" s="325" t="s">
        <v>50</v>
      </c>
      <c r="V726" s="325" t="s">
        <v>50</v>
      </c>
      <c r="W726" s="325" t="s">
        <v>50</v>
      </c>
      <c r="X726" s="325" t="s">
        <v>50</v>
      </c>
    </row>
    <row r="727" spans="1:25" x14ac:dyDescent="0.25">
      <c r="A727" s="823">
        <v>44159</v>
      </c>
      <c r="B727" s="325" t="s">
        <v>70</v>
      </c>
      <c r="C727" s="98" t="s">
        <v>126</v>
      </c>
      <c r="D727" s="325">
        <v>38.243560000000002</v>
      </c>
      <c r="E727" s="325">
        <v>-121.68236</v>
      </c>
      <c r="F727" s="325" t="s">
        <v>1714</v>
      </c>
      <c r="G727" s="325" t="s">
        <v>90</v>
      </c>
      <c r="H727" s="325" t="s">
        <v>126</v>
      </c>
      <c r="I727" s="326">
        <v>0.33888888888888885</v>
      </c>
      <c r="J727" s="325">
        <v>135.80000000000001</v>
      </c>
      <c r="K727" s="325">
        <v>12.03</v>
      </c>
      <c r="L727" s="325">
        <v>8.75</v>
      </c>
      <c r="M727" s="325">
        <v>1.46</v>
      </c>
      <c r="N727" s="325">
        <v>2.8</v>
      </c>
      <c r="O727" s="325" t="s">
        <v>48</v>
      </c>
      <c r="P727" s="325">
        <v>4</v>
      </c>
      <c r="Q727" s="325">
        <v>10</v>
      </c>
      <c r="R727" s="325" t="s">
        <v>64</v>
      </c>
      <c r="S727" s="325" t="s">
        <v>50</v>
      </c>
      <c r="T727" s="325" t="s">
        <v>50</v>
      </c>
      <c r="U727" s="325" t="s">
        <v>50</v>
      </c>
      <c r="V727" s="325" t="s">
        <v>50</v>
      </c>
      <c r="W727" s="325" t="s">
        <v>50</v>
      </c>
      <c r="X727" s="325" t="s">
        <v>50</v>
      </c>
    </row>
    <row r="728" spans="1:25" x14ac:dyDescent="0.25">
      <c r="A728" s="823">
        <v>44159</v>
      </c>
      <c r="B728" s="325" t="s">
        <v>70</v>
      </c>
      <c r="C728" s="98" t="s">
        <v>126</v>
      </c>
      <c r="D728" s="325">
        <v>38.255969999999998</v>
      </c>
      <c r="E728" s="325">
        <v>-121.69007999999999</v>
      </c>
      <c r="F728" s="325" t="s">
        <v>1715</v>
      </c>
      <c r="G728" s="325" t="s">
        <v>90</v>
      </c>
      <c r="H728" s="325" t="s">
        <v>126</v>
      </c>
      <c r="I728" s="326">
        <v>0.44444444444444442</v>
      </c>
      <c r="J728" s="325">
        <v>133.33000000000001</v>
      </c>
      <c r="K728" s="325">
        <v>12.25</v>
      </c>
      <c r="L728" s="325">
        <v>7.94</v>
      </c>
      <c r="M728" s="325">
        <v>1.42</v>
      </c>
      <c r="N728" s="325">
        <v>9.4</v>
      </c>
      <c r="O728" s="325" t="s">
        <v>48</v>
      </c>
      <c r="P728" s="325">
        <v>4</v>
      </c>
      <c r="Q728" s="325">
        <v>10</v>
      </c>
      <c r="R728" s="325" t="s">
        <v>64</v>
      </c>
      <c r="S728" s="325" t="s">
        <v>50</v>
      </c>
      <c r="T728" s="325" t="s">
        <v>50</v>
      </c>
      <c r="U728" s="325" t="s">
        <v>50</v>
      </c>
      <c r="V728" s="325" t="s">
        <v>50</v>
      </c>
      <c r="W728" s="325" t="s">
        <v>50</v>
      </c>
      <c r="X728" s="325" t="s">
        <v>50</v>
      </c>
      <c r="Y728" s="622" t="s">
        <v>139</v>
      </c>
    </row>
    <row r="729" spans="1:25" x14ac:dyDescent="0.25">
      <c r="A729" s="823">
        <v>44159</v>
      </c>
      <c r="B729" s="325" t="s">
        <v>70</v>
      </c>
      <c r="C729" s="98" t="s">
        <v>126</v>
      </c>
      <c r="D729" s="325">
        <v>38.257309999999997</v>
      </c>
      <c r="E729" s="325">
        <v>-121.72584999999999</v>
      </c>
      <c r="F729" s="325" t="s">
        <v>1716</v>
      </c>
      <c r="G729" s="325" t="s">
        <v>90</v>
      </c>
      <c r="H729" s="325" t="s">
        <v>126</v>
      </c>
      <c r="I729" s="326">
        <v>0.39305555555555555</v>
      </c>
      <c r="J729" s="325">
        <v>135.15</v>
      </c>
      <c r="K729" s="325">
        <v>11.83</v>
      </c>
      <c r="L729" s="325">
        <v>13.35</v>
      </c>
      <c r="M729" s="325">
        <v>1.37</v>
      </c>
      <c r="N729" s="325">
        <v>5.58</v>
      </c>
      <c r="O729" s="325" t="s">
        <v>48</v>
      </c>
      <c r="P729" s="325">
        <v>4</v>
      </c>
      <c r="Q729" s="325">
        <v>10</v>
      </c>
      <c r="R729" s="325" t="s">
        <v>64</v>
      </c>
      <c r="S729" s="325" t="s">
        <v>50</v>
      </c>
      <c r="T729" s="325" t="s">
        <v>50</v>
      </c>
      <c r="U729" s="325" t="s">
        <v>50</v>
      </c>
      <c r="V729" s="325" t="s">
        <v>50</v>
      </c>
      <c r="W729" s="325" t="s">
        <v>50</v>
      </c>
      <c r="X729" s="325" t="s">
        <v>50</v>
      </c>
    </row>
    <row r="730" spans="1:25" x14ac:dyDescent="0.25">
      <c r="A730" s="823">
        <v>44159</v>
      </c>
      <c r="B730" s="325" t="s">
        <v>70</v>
      </c>
      <c r="C730" s="325" t="s">
        <v>95</v>
      </c>
      <c r="D730" s="325">
        <v>38.020760000000003</v>
      </c>
      <c r="E730" s="325">
        <v>-121.74525</v>
      </c>
      <c r="F730" s="325" t="s">
        <v>1717</v>
      </c>
      <c r="G730" s="325" t="s">
        <v>27</v>
      </c>
      <c r="H730" s="325" t="s">
        <v>95</v>
      </c>
      <c r="I730" s="326">
        <v>0.3354166666666667</v>
      </c>
      <c r="J730" s="325">
        <v>1876.25</v>
      </c>
      <c r="K730" s="325">
        <v>13</v>
      </c>
      <c r="L730" s="325">
        <v>7.26</v>
      </c>
      <c r="M730" s="325">
        <v>1.57</v>
      </c>
      <c r="N730" s="325">
        <v>2.5</v>
      </c>
      <c r="O730" s="325" t="s">
        <v>48</v>
      </c>
      <c r="P730" s="325">
        <v>4</v>
      </c>
      <c r="Q730" s="325">
        <v>10</v>
      </c>
      <c r="R730" s="325" t="s">
        <v>64</v>
      </c>
      <c r="S730" s="325" t="s">
        <v>50</v>
      </c>
      <c r="T730" s="325" t="s">
        <v>50</v>
      </c>
      <c r="U730" s="325" t="s">
        <v>50</v>
      </c>
      <c r="V730" s="325" t="s">
        <v>50</v>
      </c>
      <c r="W730" s="325" t="s">
        <v>50</v>
      </c>
      <c r="X730" s="325" t="s">
        <v>50</v>
      </c>
    </row>
    <row r="731" spans="1:25" x14ac:dyDescent="0.25">
      <c r="A731" s="823">
        <v>44159</v>
      </c>
      <c r="B731" s="325" t="s">
        <v>70</v>
      </c>
      <c r="C731" s="325" t="s">
        <v>95</v>
      </c>
      <c r="D731" s="325">
        <v>38.033200000000001</v>
      </c>
      <c r="E731" s="325">
        <v>-121.72362</v>
      </c>
      <c r="F731" s="325" t="s">
        <v>1718</v>
      </c>
      <c r="G731" s="325" t="s">
        <v>27</v>
      </c>
      <c r="H731" s="325" t="s">
        <v>95</v>
      </c>
      <c r="I731" s="326">
        <v>0.38541666666666669</v>
      </c>
      <c r="J731" s="325">
        <v>1837.5</v>
      </c>
      <c r="K731" s="325">
        <v>13.08</v>
      </c>
      <c r="L731" s="325">
        <v>10.62</v>
      </c>
      <c r="M731" s="325">
        <v>1.49</v>
      </c>
      <c r="N731" s="325">
        <v>13.12</v>
      </c>
      <c r="O731" s="325" t="s">
        <v>48</v>
      </c>
      <c r="P731" s="325">
        <v>4</v>
      </c>
      <c r="Q731" s="325">
        <v>10</v>
      </c>
      <c r="R731" s="325" t="s">
        <v>64</v>
      </c>
      <c r="S731" s="325" t="s">
        <v>50</v>
      </c>
      <c r="T731" s="325" t="s">
        <v>50</v>
      </c>
      <c r="U731" s="325" t="s">
        <v>50</v>
      </c>
      <c r="V731" s="325" t="s">
        <v>50</v>
      </c>
      <c r="W731" s="325" t="s">
        <v>50</v>
      </c>
      <c r="X731" s="325" t="s">
        <v>50</v>
      </c>
    </row>
    <row r="732" spans="1:25" x14ac:dyDescent="0.25">
      <c r="A732" s="823">
        <v>44159</v>
      </c>
      <c r="B732" s="325" t="s">
        <v>70</v>
      </c>
      <c r="C732" s="325" t="s">
        <v>95</v>
      </c>
      <c r="D732" s="325">
        <v>38.03839</v>
      </c>
      <c r="E732" s="325">
        <v>-121.70457</v>
      </c>
      <c r="F732" s="325" t="s">
        <v>1719</v>
      </c>
      <c r="G732" s="325" t="s">
        <v>27</v>
      </c>
      <c r="H732" s="325" t="s">
        <v>95</v>
      </c>
      <c r="I732" s="326">
        <v>0.43333333333333335</v>
      </c>
      <c r="J732" s="325">
        <v>2131.5</v>
      </c>
      <c r="K732" s="325">
        <v>13.17</v>
      </c>
      <c r="L732" s="325">
        <v>10.25</v>
      </c>
      <c r="M732" s="325">
        <v>1.32</v>
      </c>
      <c r="N732" s="325">
        <v>3.77</v>
      </c>
      <c r="O732" s="325" t="s">
        <v>48</v>
      </c>
      <c r="P732" s="325">
        <v>4</v>
      </c>
      <c r="Q732" s="325">
        <v>10</v>
      </c>
      <c r="R732" s="325" t="s">
        <v>64</v>
      </c>
      <c r="S732" s="325" t="s">
        <v>50</v>
      </c>
      <c r="T732" s="325" t="s">
        <v>50</v>
      </c>
      <c r="U732" s="325" t="s">
        <v>50</v>
      </c>
      <c r="V732" s="325" t="s">
        <v>50</v>
      </c>
      <c r="W732" s="325" t="s">
        <v>50</v>
      </c>
      <c r="X732" s="325" t="s">
        <v>50</v>
      </c>
    </row>
    <row r="733" spans="1:25" s="815" customFormat="1" x14ac:dyDescent="0.25">
      <c r="A733" s="828">
        <v>44159</v>
      </c>
      <c r="B733" s="825" t="s">
        <v>70</v>
      </c>
      <c r="C733" s="825" t="s">
        <v>62</v>
      </c>
      <c r="D733" s="825">
        <v>38.102679999999999</v>
      </c>
      <c r="E733" s="825">
        <v>-122.03115</v>
      </c>
      <c r="F733" s="825" t="s">
        <v>1720</v>
      </c>
      <c r="G733" s="825" t="s">
        <v>27</v>
      </c>
      <c r="H733" s="825" t="s">
        <v>173</v>
      </c>
      <c r="I733" s="826">
        <v>0.54097222222222219</v>
      </c>
      <c r="J733" s="825">
        <v>19709</v>
      </c>
      <c r="K733" s="825">
        <v>13.7</v>
      </c>
      <c r="L733" s="825">
        <v>25.45</v>
      </c>
      <c r="M733" s="825">
        <v>0.63</v>
      </c>
      <c r="N733" s="825">
        <v>2.85</v>
      </c>
      <c r="O733" s="825" t="s">
        <v>48</v>
      </c>
      <c r="P733" s="825">
        <v>4</v>
      </c>
      <c r="Q733" s="825">
        <v>10</v>
      </c>
      <c r="R733" s="825" t="s">
        <v>49</v>
      </c>
      <c r="S733" s="829" t="s">
        <v>31</v>
      </c>
      <c r="T733" s="825">
        <v>1</v>
      </c>
      <c r="U733" s="825">
        <v>61</v>
      </c>
      <c r="V733" s="825" t="s">
        <v>50</v>
      </c>
      <c r="W733" s="825" t="s">
        <v>50</v>
      </c>
      <c r="X733" s="825" t="s">
        <v>50</v>
      </c>
      <c r="Y733" s="818"/>
    </row>
    <row r="734" spans="1:25" s="154" customFormat="1" x14ac:dyDescent="0.25">
      <c r="A734" s="823">
        <v>44159</v>
      </c>
      <c r="B734" s="325" t="s">
        <v>70</v>
      </c>
      <c r="C734" s="325" t="s">
        <v>62</v>
      </c>
      <c r="D734" s="325">
        <v>38.11139</v>
      </c>
      <c r="E734" s="325">
        <v>-122.05880000000001</v>
      </c>
      <c r="F734" s="325" t="s">
        <v>1721</v>
      </c>
      <c r="G734" s="325" t="s">
        <v>27</v>
      </c>
      <c r="H734" s="325" t="s">
        <v>173</v>
      </c>
      <c r="I734" s="326">
        <v>0.48472222222222222</v>
      </c>
      <c r="J734" s="325">
        <v>20489.5</v>
      </c>
      <c r="K734" s="325">
        <v>13.28</v>
      </c>
      <c r="L734" s="325">
        <v>40.4</v>
      </c>
      <c r="M734" s="325">
        <v>1.05</v>
      </c>
      <c r="N734" s="325">
        <v>3.17</v>
      </c>
      <c r="O734" s="325" t="s">
        <v>48</v>
      </c>
      <c r="P734" s="325">
        <v>4</v>
      </c>
      <c r="Q734" s="325">
        <v>10</v>
      </c>
      <c r="R734" s="325" t="s">
        <v>64</v>
      </c>
      <c r="S734" s="325" t="s">
        <v>50</v>
      </c>
      <c r="T734" s="325" t="s">
        <v>50</v>
      </c>
      <c r="U734" s="325" t="s">
        <v>50</v>
      </c>
      <c r="V734" s="325" t="s">
        <v>50</v>
      </c>
      <c r="W734" s="325" t="s">
        <v>50</v>
      </c>
      <c r="X734" s="325" t="s">
        <v>50</v>
      </c>
      <c r="Y734" s="622" t="s">
        <v>993</v>
      </c>
    </row>
    <row r="735" spans="1:25" s="154" customFormat="1" x14ac:dyDescent="0.25">
      <c r="A735" s="823">
        <v>44159</v>
      </c>
      <c r="B735" s="325" t="s">
        <v>70</v>
      </c>
      <c r="C735" s="325" t="s">
        <v>62</v>
      </c>
      <c r="D735" s="325">
        <v>38.185879999999997</v>
      </c>
      <c r="E735" s="325">
        <v>-121.96969</v>
      </c>
      <c r="F735" s="325" t="s">
        <v>1722</v>
      </c>
      <c r="G735" s="325" t="s">
        <v>27</v>
      </c>
      <c r="H735" s="325" t="s">
        <v>62</v>
      </c>
      <c r="I735" s="326">
        <v>0.37013888888888885</v>
      </c>
      <c r="J735" s="325">
        <v>11240</v>
      </c>
      <c r="K735" s="325">
        <v>12.95</v>
      </c>
      <c r="L735" s="325">
        <v>39.549999999999997</v>
      </c>
      <c r="M735" s="325">
        <v>0.44</v>
      </c>
      <c r="N735" s="325">
        <v>8.4499999999999993</v>
      </c>
      <c r="O735" s="325" t="s">
        <v>48</v>
      </c>
      <c r="P735" s="325">
        <v>4</v>
      </c>
      <c r="Q735" s="325">
        <v>10</v>
      </c>
      <c r="R735" s="325" t="s">
        <v>49</v>
      </c>
      <c r="S735" s="325" t="s">
        <v>50</v>
      </c>
      <c r="T735" s="325" t="s">
        <v>50</v>
      </c>
      <c r="U735" s="325" t="s">
        <v>50</v>
      </c>
      <c r="V735" s="325" t="s">
        <v>50</v>
      </c>
      <c r="W735" s="325" t="s">
        <v>50</v>
      </c>
      <c r="X735" s="325" t="s">
        <v>50</v>
      </c>
      <c r="Y735" s="627"/>
    </row>
    <row r="736" spans="1:25" x14ac:dyDescent="0.25">
      <c r="A736" s="194">
        <v>44160</v>
      </c>
      <c r="B736" s="98" t="s">
        <v>87</v>
      </c>
      <c r="C736" s="98" t="s">
        <v>88</v>
      </c>
      <c r="D736" s="98">
        <v>38.157040000000002</v>
      </c>
      <c r="E736" s="98">
        <v>-121.68689000000001</v>
      </c>
      <c r="F736" s="98" t="s">
        <v>1723</v>
      </c>
      <c r="G736" s="98" t="s">
        <v>90</v>
      </c>
      <c r="H736" s="98" t="s">
        <v>91</v>
      </c>
      <c r="I736" s="621">
        <v>0.32083333333333336</v>
      </c>
      <c r="J736" s="100">
        <v>163.28</v>
      </c>
      <c r="K736" s="100">
        <v>12.3</v>
      </c>
      <c r="L736" s="100">
        <v>5.66</v>
      </c>
      <c r="M736" s="100">
        <v>1.8</v>
      </c>
      <c r="N736" s="100">
        <v>9.2200000000000006</v>
      </c>
      <c r="O736" s="98" t="s">
        <v>48</v>
      </c>
      <c r="P736" s="98">
        <v>4</v>
      </c>
      <c r="Q736" s="98">
        <v>10</v>
      </c>
      <c r="R736" s="98" t="s">
        <v>64</v>
      </c>
      <c r="S736" s="325" t="s">
        <v>50</v>
      </c>
      <c r="T736" s="325" t="s">
        <v>50</v>
      </c>
      <c r="U736" s="325" t="s">
        <v>50</v>
      </c>
      <c r="V736" s="325" t="s">
        <v>50</v>
      </c>
      <c r="W736" s="325" t="s">
        <v>50</v>
      </c>
      <c r="X736" s="325" t="s">
        <v>50</v>
      </c>
    </row>
    <row r="737" spans="1:25" x14ac:dyDescent="0.25">
      <c r="A737" s="194">
        <v>44160</v>
      </c>
      <c r="B737" s="98" t="s">
        <v>87</v>
      </c>
      <c r="C737" s="98" t="s">
        <v>88</v>
      </c>
      <c r="D737" s="98">
        <v>38.116770000000002</v>
      </c>
      <c r="E737" s="98">
        <v>-121.70654999999999</v>
      </c>
      <c r="F737" s="98" t="s">
        <v>1724</v>
      </c>
      <c r="G737" s="98" t="s">
        <v>90</v>
      </c>
      <c r="H737" s="98" t="s">
        <v>91</v>
      </c>
      <c r="I737" s="621">
        <v>0.375</v>
      </c>
      <c r="J737" s="100">
        <v>178.38</v>
      </c>
      <c r="K737" s="100">
        <v>12.3</v>
      </c>
      <c r="L737" s="100">
        <v>10.88</v>
      </c>
      <c r="M737" s="100">
        <v>1.2</v>
      </c>
      <c r="N737" s="100">
        <v>5.3</v>
      </c>
      <c r="O737" s="98" t="s">
        <v>48</v>
      </c>
      <c r="P737" s="98">
        <v>4</v>
      </c>
      <c r="Q737" s="98">
        <v>10</v>
      </c>
      <c r="R737" s="98" t="s">
        <v>64</v>
      </c>
      <c r="S737" s="325" t="s">
        <v>50</v>
      </c>
      <c r="T737" s="325" t="s">
        <v>50</v>
      </c>
      <c r="U737" s="325" t="s">
        <v>50</v>
      </c>
      <c r="V737" s="325" t="s">
        <v>50</v>
      </c>
      <c r="W737" s="325" t="s">
        <v>50</v>
      </c>
      <c r="X737" s="325" t="s">
        <v>50</v>
      </c>
    </row>
    <row r="738" spans="1:25" x14ac:dyDescent="0.25">
      <c r="A738" s="194">
        <v>44160</v>
      </c>
      <c r="B738" s="98" t="s">
        <v>87</v>
      </c>
      <c r="C738" s="98" t="s">
        <v>88</v>
      </c>
      <c r="D738" s="98">
        <v>38.099690000000002</v>
      </c>
      <c r="E738" s="98">
        <v>-121.7277</v>
      </c>
      <c r="F738" s="98" t="s">
        <v>1725</v>
      </c>
      <c r="G738" s="98" t="s">
        <v>90</v>
      </c>
      <c r="H738" s="98" t="s">
        <v>91</v>
      </c>
      <c r="I738" s="621">
        <v>0.42083333333333334</v>
      </c>
      <c r="J738" s="100">
        <v>974.5</v>
      </c>
      <c r="K738" s="100">
        <v>12.47</v>
      </c>
      <c r="L738" s="100">
        <v>22.38</v>
      </c>
      <c r="M738" s="100">
        <v>0.6</v>
      </c>
      <c r="N738" s="100">
        <v>10.1</v>
      </c>
      <c r="O738" s="98" t="s">
        <v>48</v>
      </c>
      <c r="P738" s="98">
        <v>4</v>
      </c>
      <c r="Q738" s="98">
        <v>10</v>
      </c>
      <c r="R738" s="98" t="s">
        <v>64</v>
      </c>
      <c r="S738" s="325" t="s">
        <v>50</v>
      </c>
      <c r="T738" s="325" t="s">
        <v>50</v>
      </c>
      <c r="U738" s="325" t="s">
        <v>50</v>
      </c>
      <c r="V738" s="325" t="s">
        <v>50</v>
      </c>
      <c r="W738" s="325" t="s">
        <v>50</v>
      </c>
      <c r="X738" s="325" t="s">
        <v>50</v>
      </c>
    </row>
    <row r="739" spans="1:25" x14ac:dyDescent="0.25">
      <c r="A739" s="194">
        <v>44160</v>
      </c>
      <c r="B739" s="98" t="s">
        <v>87</v>
      </c>
      <c r="C739" s="98" t="s">
        <v>106</v>
      </c>
      <c r="D739" s="98">
        <v>38.408920000000002</v>
      </c>
      <c r="E739" s="98">
        <v>-121.61297</v>
      </c>
      <c r="F739" s="98" t="s">
        <v>1726</v>
      </c>
      <c r="G739" s="98" t="s">
        <v>90</v>
      </c>
      <c r="H739" s="98" t="s">
        <v>108</v>
      </c>
      <c r="I739" s="621">
        <v>0.49444444444444446</v>
      </c>
      <c r="J739" s="100">
        <v>356.95</v>
      </c>
      <c r="K739" s="100">
        <v>12.8</v>
      </c>
      <c r="L739" s="100">
        <v>133.25</v>
      </c>
      <c r="M739" s="100">
        <v>0.23</v>
      </c>
      <c r="N739" s="100">
        <v>5.0999999999999996</v>
      </c>
      <c r="O739" s="98" t="s">
        <v>48</v>
      </c>
      <c r="P739" s="98">
        <v>4</v>
      </c>
      <c r="Q739" s="98">
        <v>10</v>
      </c>
      <c r="R739" s="98" t="s">
        <v>64</v>
      </c>
      <c r="S739" s="325" t="s">
        <v>50</v>
      </c>
      <c r="T739" s="325" t="s">
        <v>50</v>
      </c>
      <c r="U739" s="325" t="s">
        <v>50</v>
      </c>
      <c r="V739" s="325" t="s">
        <v>50</v>
      </c>
      <c r="W739" s="325" t="s">
        <v>50</v>
      </c>
      <c r="X739" s="325" t="s">
        <v>50</v>
      </c>
      <c r="Y739" s="622" t="s">
        <v>1727</v>
      </c>
    </row>
    <row r="740" spans="1:25" x14ac:dyDescent="0.25">
      <c r="A740" s="194">
        <v>44160</v>
      </c>
      <c r="B740" s="98" t="s">
        <v>87</v>
      </c>
      <c r="C740" s="98" t="s">
        <v>106</v>
      </c>
      <c r="D740" s="98">
        <v>38.494950000000003</v>
      </c>
      <c r="E740" s="98">
        <v>-121.58450999999999</v>
      </c>
      <c r="F740" s="98" t="s">
        <v>1728</v>
      </c>
      <c r="G740" s="98" t="s">
        <v>90</v>
      </c>
      <c r="H740" s="98" t="s">
        <v>158</v>
      </c>
      <c r="I740" s="621">
        <v>0.41944444444444445</v>
      </c>
      <c r="J740" s="100">
        <v>613.5</v>
      </c>
      <c r="K740" s="100">
        <v>13.03</v>
      </c>
      <c r="L740" s="100">
        <v>42.32</v>
      </c>
      <c r="M740" s="100">
        <v>0.4</v>
      </c>
      <c r="N740" s="100">
        <v>11.12</v>
      </c>
      <c r="O740" s="98" t="s">
        <v>48</v>
      </c>
      <c r="P740" s="98">
        <v>4</v>
      </c>
      <c r="Q740" s="98">
        <v>10</v>
      </c>
      <c r="R740" s="98" t="s">
        <v>64</v>
      </c>
      <c r="S740" s="325" t="s">
        <v>50</v>
      </c>
      <c r="T740" s="325" t="s">
        <v>50</v>
      </c>
      <c r="U740" s="325" t="s">
        <v>50</v>
      </c>
      <c r="V740" s="325" t="s">
        <v>50</v>
      </c>
      <c r="W740" s="325" t="s">
        <v>50</v>
      </c>
      <c r="X740" s="325" t="s">
        <v>50</v>
      </c>
      <c r="Y740" s="622" t="s">
        <v>1729</v>
      </c>
    </row>
    <row r="741" spans="1:25" x14ac:dyDescent="0.25">
      <c r="A741" s="194">
        <v>44160</v>
      </c>
      <c r="B741" s="98" t="s">
        <v>87</v>
      </c>
      <c r="C741" s="98" t="s">
        <v>106</v>
      </c>
      <c r="D741" s="98">
        <v>38.554510000000001</v>
      </c>
      <c r="E741" s="98">
        <v>-121.57599</v>
      </c>
      <c r="F741" s="98" t="s">
        <v>1730</v>
      </c>
      <c r="G741" s="98" t="s">
        <v>90</v>
      </c>
      <c r="H741" s="98" t="s">
        <v>158</v>
      </c>
      <c r="I741" s="621">
        <v>0.35625000000000001</v>
      </c>
      <c r="J741" s="100">
        <v>823.5</v>
      </c>
      <c r="K741" s="100">
        <v>13.9</v>
      </c>
      <c r="L741" s="100">
        <v>9.51</v>
      </c>
      <c r="M741" s="100">
        <v>1.1200000000000001</v>
      </c>
      <c r="N741" s="100">
        <v>10.07</v>
      </c>
      <c r="O741" s="98" t="s">
        <v>48</v>
      </c>
      <c r="P741" s="98">
        <v>4</v>
      </c>
      <c r="Q741" s="98">
        <v>10</v>
      </c>
      <c r="R741" s="98" t="s">
        <v>49</v>
      </c>
      <c r="S741" s="325" t="s">
        <v>50</v>
      </c>
      <c r="T741" s="325" t="s">
        <v>50</v>
      </c>
      <c r="U741" s="325" t="s">
        <v>50</v>
      </c>
      <c r="V741" s="325" t="s">
        <v>50</v>
      </c>
      <c r="W741" s="325" t="s">
        <v>50</v>
      </c>
      <c r="X741" s="325" t="s">
        <v>50</v>
      </c>
    </row>
    <row r="742" spans="1:25" s="154" customFormat="1" x14ac:dyDescent="0.25">
      <c r="A742" s="195">
        <v>44160</v>
      </c>
      <c r="B742" s="154" t="s">
        <v>87</v>
      </c>
      <c r="C742" s="154" t="s">
        <v>78</v>
      </c>
      <c r="D742" s="154">
        <v>38.08446</v>
      </c>
      <c r="E742" s="154">
        <v>-122.09121</v>
      </c>
      <c r="F742" s="154" t="s">
        <v>1731</v>
      </c>
      <c r="G742" s="154" t="s">
        <v>80</v>
      </c>
      <c r="H742" s="154" t="s">
        <v>81</v>
      </c>
      <c r="I742" s="636">
        <v>0.33611111111111108</v>
      </c>
      <c r="J742" s="424" t="s">
        <v>50</v>
      </c>
      <c r="K742" s="424" t="s">
        <v>50</v>
      </c>
      <c r="L742" s="424" t="s">
        <v>50</v>
      </c>
      <c r="M742" s="424" t="s">
        <v>50</v>
      </c>
      <c r="N742" s="424" t="s">
        <v>50</v>
      </c>
      <c r="O742" s="424" t="s">
        <v>48</v>
      </c>
      <c r="P742" s="424">
        <v>0</v>
      </c>
      <c r="Q742" s="424" t="s">
        <v>50</v>
      </c>
      <c r="R742" s="154" t="s">
        <v>50</v>
      </c>
      <c r="S742" s="154" t="s">
        <v>50</v>
      </c>
      <c r="T742" s="154" t="s">
        <v>50</v>
      </c>
      <c r="U742" s="154" t="s">
        <v>50</v>
      </c>
      <c r="V742" s="154" t="s">
        <v>50</v>
      </c>
      <c r="W742" s="154" t="s">
        <v>50</v>
      </c>
      <c r="X742" s="154" t="s">
        <v>50</v>
      </c>
      <c r="Y742" s="627" t="s">
        <v>1408</v>
      </c>
    </row>
    <row r="743" spans="1:25" x14ac:dyDescent="0.25">
      <c r="A743" s="194">
        <v>44160</v>
      </c>
      <c r="B743" s="98" t="s">
        <v>87</v>
      </c>
      <c r="C743" s="98" t="s">
        <v>78</v>
      </c>
      <c r="D743" s="98">
        <v>38.077120000000001</v>
      </c>
      <c r="E743" s="98">
        <v>-122.07724</v>
      </c>
      <c r="F743" s="98" t="s">
        <v>1732</v>
      </c>
      <c r="G743" s="98" t="s">
        <v>80</v>
      </c>
      <c r="H743" s="98" t="s">
        <v>81</v>
      </c>
      <c r="I743" s="621">
        <v>0.3444444444444445</v>
      </c>
      <c r="J743" s="100">
        <v>22519.25</v>
      </c>
      <c r="K743" s="100">
        <v>13.18</v>
      </c>
      <c r="L743" s="100">
        <v>31</v>
      </c>
      <c r="M743" s="100">
        <v>0.5</v>
      </c>
      <c r="N743" s="100">
        <v>4.5</v>
      </c>
      <c r="O743" s="98" t="s">
        <v>48</v>
      </c>
      <c r="P743" s="98">
        <v>4</v>
      </c>
      <c r="Q743" s="98">
        <v>10</v>
      </c>
      <c r="R743" s="98" t="s">
        <v>64</v>
      </c>
      <c r="S743" s="325" t="s">
        <v>50</v>
      </c>
      <c r="T743" s="325" t="s">
        <v>50</v>
      </c>
      <c r="U743" s="325" t="s">
        <v>50</v>
      </c>
      <c r="V743" s="325" t="s">
        <v>50</v>
      </c>
      <c r="W743" s="325" t="s">
        <v>50</v>
      </c>
      <c r="X743" s="325" t="s">
        <v>50</v>
      </c>
    </row>
    <row r="744" spans="1:25" x14ac:dyDescent="0.25">
      <c r="A744" s="194">
        <v>44160</v>
      </c>
      <c r="B744" s="98" t="s">
        <v>87</v>
      </c>
      <c r="C744" s="98" t="s">
        <v>78</v>
      </c>
      <c r="D744" s="98">
        <v>38.061639999999997</v>
      </c>
      <c r="E744" s="98">
        <v>-121.98652</v>
      </c>
      <c r="F744" s="98" t="s">
        <v>1733</v>
      </c>
      <c r="G744" s="98" t="s">
        <v>27</v>
      </c>
      <c r="H744" s="98" t="s">
        <v>86</v>
      </c>
      <c r="I744" s="621">
        <v>0.41041666666666665</v>
      </c>
      <c r="J744" s="100">
        <v>14937.5</v>
      </c>
      <c r="K744" s="100">
        <v>13.05</v>
      </c>
      <c r="L744" s="100">
        <v>28.65</v>
      </c>
      <c r="M744" s="100">
        <v>0.53</v>
      </c>
      <c r="N744" s="100">
        <v>15.25</v>
      </c>
      <c r="O744" s="98" t="s">
        <v>48</v>
      </c>
      <c r="P744" s="98">
        <v>3</v>
      </c>
      <c r="Q744" s="98">
        <v>10</v>
      </c>
      <c r="R744" s="98" t="s">
        <v>64</v>
      </c>
      <c r="S744" s="325" t="s">
        <v>50</v>
      </c>
      <c r="T744" s="325" t="s">
        <v>50</v>
      </c>
      <c r="U744" s="325" t="s">
        <v>50</v>
      </c>
      <c r="V744" s="325" t="s">
        <v>50</v>
      </c>
      <c r="W744" s="325" t="s">
        <v>50</v>
      </c>
      <c r="X744" s="325" t="s">
        <v>50</v>
      </c>
      <c r="Y744" s="622" t="s">
        <v>1734</v>
      </c>
    </row>
    <row r="745" spans="1:25" x14ac:dyDescent="0.25">
      <c r="A745" s="194">
        <v>44162</v>
      </c>
      <c r="B745" s="98" t="s">
        <v>125</v>
      </c>
      <c r="C745" s="98" t="s">
        <v>88</v>
      </c>
      <c r="D745" s="98">
        <v>38.109650000000002</v>
      </c>
      <c r="E745" s="98">
        <v>-121.70977000000001</v>
      </c>
      <c r="F745" s="98" t="s">
        <v>1735</v>
      </c>
      <c r="G745" s="98" t="s">
        <v>90</v>
      </c>
      <c r="H745" s="98" t="s">
        <v>91</v>
      </c>
      <c r="I745" s="621">
        <v>0.33749999999999997</v>
      </c>
      <c r="J745" s="100">
        <v>309.14999999999998</v>
      </c>
      <c r="K745" s="100">
        <v>11.7</v>
      </c>
      <c r="L745" s="100">
        <v>6.51</v>
      </c>
      <c r="M745" s="100">
        <v>1.78</v>
      </c>
      <c r="N745" s="100">
        <v>5.85</v>
      </c>
      <c r="O745" s="98" t="s">
        <v>48</v>
      </c>
      <c r="P745" s="98">
        <v>4</v>
      </c>
      <c r="Q745" s="98">
        <v>10</v>
      </c>
      <c r="R745" s="98" t="s">
        <v>49</v>
      </c>
      <c r="S745" s="325" t="s">
        <v>50</v>
      </c>
      <c r="T745" s="325" t="s">
        <v>50</v>
      </c>
      <c r="U745" s="325" t="s">
        <v>50</v>
      </c>
      <c r="V745" s="325" t="s">
        <v>50</v>
      </c>
      <c r="W745" s="325" t="s">
        <v>50</v>
      </c>
      <c r="X745" s="325" t="s">
        <v>50</v>
      </c>
      <c r="Y745" s="622" t="s">
        <v>644</v>
      </c>
    </row>
    <row r="746" spans="1:25" x14ac:dyDescent="0.25">
      <c r="A746" s="194">
        <v>44162</v>
      </c>
      <c r="B746" s="98" t="s">
        <v>125</v>
      </c>
      <c r="C746" s="98" t="s">
        <v>88</v>
      </c>
      <c r="D746" s="98">
        <v>38.067050000000002</v>
      </c>
      <c r="E746" s="98">
        <v>-121.83320999999999</v>
      </c>
      <c r="F746" s="98" t="s">
        <v>1736</v>
      </c>
      <c r="G746" s="98" t="s">
        <v>27</v>
      </c>
      <c r="H746" s="98" t="s">
        <v>25</v>
      </c>
      <c r="I746" s="621">
        <v>0.4375</v>
      </c>
      <c r="J746" s="100">
        <v>6011.5</v>
      </c>
      <c r="K746" s="100">
        <v>12.37</v>
      </c>
      <c r="L746" s="100">
        <v>26.7</v>
      </c>
      <c r="M746" s="100">
        <v>0.61</v>
      </c>
      <c r="N746" s="100">
        <v>8.0500000000000007</v>
      </c>
      <c r="O746" s="98" t="s">
        <v>48</v>
      </c>
      <c r="P746" s="98">
        <v>4</v>
      </c>
      <c r="Q746" s="98">
        <v>10</v>
      </c>
      <c r="R746" s="98" t="s">
        <v>64</v>
      </c>
      <c r="S746" s="325" t="s">
        <v>50</v>
      </c>
      <c r="T746" s="325" t="s">
        <v>50</v>
      </c>
      <c r="U746" s="325" t="s">
        <v>50</v>
      </c>
      <c r="V746" s="325" t="s">
        <v>50</v>
      </c>
      <c r="W746" s="325" t="s">
        <v>50</v>
      </c>
      <c r="X746" s="325" t="s">
        <v>50</v>
      </c>
    </row>
    <row r="747" spans="1:25" x14ac:dyDescent="0.25">
      <c r="A747" s="194">
        <v>44162</v>
      </c>
      <c r="B747" s="98" t="s">
        <v>125</v>
      </c>
      <c r="C747" s="98" t="s">
        <v>88</v>
      </c>
      <c r="D747" s="98">
        <v>38.072159999999997</v>
      </c>
      <c r="E747" s="98">
        <v>-121.77721</v>
      </c>
      <c r="F747" s="98" t="s">
        <v>1737</v>
      </c>
      <c r="G747" s="98" t="s">
        <v>27</v>
      </c>
      <c r="H747" s="98" t="s">
        <v>25</v>
      </c>
      <c r="I747" s="621">
        <v>0.38750000000000001</v>
      </c>
      <c r="J747" s="100">
        <v>1447.75</v>
      </c>
      <c r="K747" s="100">
        <v>11.8</v>
      </c>
      <c r="L747" s="100">
        <v>25.82</v>
      </c>
      <c r="M747" s="100">
        <v>0.64</v>
      </c>
      <c r="N747" s="100">
        <v>8.8000000000000007</v>
      </c>
      <c r="O747" s="98" t="s">
        <v>48</v>
      </c>
      <c r="P747" s="98">
        <v>4</v>
      </c>
      <c r="Q747" s="98">
        <v>10</v>
      </c>
      <c r="R747" s="98" t="s">
        <v>64</v>
      </c>
      <c r="S747" s="325" t="s">
        <v>50</v>
      </c>
      <c r="T747" s="325" t="s">
        <v>50</v>
      </c>
      <c r="U747" s="325" t="s">
        <v>50</v>
      </c>
      <c r="V747" s="325" t="s">
        <v>50</v>
      </c>
      <c r="W747" s="325" t="s">
        <v>50</v>
      </c>
      <c r="X747" s="325" t="s">
        <v>50</v>
      </c>
    </row>
    <row r="748" spans="1:25" x14ac:dyDescent="0.25">
      <c r="A748" s="194">
        <v>44162</v>
      </c>
      <c r="B748" s="98" t="s">
        <v>125</v>
      </c>
      <c r="C748" s="98" t="s">
        <v>106</v>
      </c>
      <c r="D748" s="98">
        <v>38.209629999999997</v>
      </c>
      <c r="E748" s="98">
        <v>-121.66194</v>
      </c>
      <c r="F748" s="98" t="s">
        <v>1738</v>
      </c>
      <c r="G748" s="98" t="s">
        <v>90</v>
      </c>
      <c r="H748" s="98" t="s">
        <v>108</v>
      </c>
      <c r="I748" s="621">
        <v>0.50277777777777777</v>
      </c>
      <c r="J748" s="100">
        <v>125.52</v>
      </c>
      <c r="K748" s="100">
        <v>11.47</v>
      </c>
      <c r="L748" s="100">
        <v>12.52</v>
      </c>
      <c r="M748" s="100">
        <v>1.23</v>
      </c>
      <c r="N748" s="100">
        <v>14.53</v>
      </c>
      <c r="O748" s="98" t="s">
        <v>48</v>
      </c>
      <c r="P748" s="98">
        <v>4</v>
      </c>
      <c r="Q748" s="98">
        <v>10</v>
      </c>
      <c r="R748" s="98" t="s">
        <v>64</v>
      </c>
      <c r="S748" s="325" t="s">
        <v>50</v>
      </c>
      <c r="T748" s="325" t="s">
        <v>50</v>
      </c>
      <c r="U748" s="325" t="s">
        <v>50</v>
      </c>
      <c r="V748" s="325" t="s">
        <v>50</v>
      </c>
      <c r="W748" s="325" t="s">
        <v>50</v>
      </c>
      <c r="X748" s="325" t="s">
        <v>50</v>
      </c>
    </row>
    <row r="749" spans="1:25" x14ac:dyDescent="0.25">
      <c r="A749" s="194">
        <v>44162</v>
      </c>
      <c r="B749" s="98" t="s">
        <v>125</v>
      </c>
      <c r="C749" s="98" t="s">
        <v>106</v>
      </c>
      <c r="D749" s="98">
        <v>38.447360000000003</v>
      </c>
      <c r="E749" s="98">
        <v>-121.59601000000001</v>
      </c>
      <c r="F749" s="98" t="s">
        <v>1739</v>
      </c>
      <c r="G749" s="98" t="s">
        <v>90</v>
      </c>
      <c r="H749" s="98" t="s">
        <v>108</v>
      </c>
      <c r="I749" s="621">
        <v>0.3444444444444445</v>
      </c>
      <c r="J749" s="100">
        <v>506.5</v>
      </c>
      <c r="K749" s="100">
        <v>12.08</v>
      </c>
      <c r="L749" s="100">
        <v>77.599999999999994</v>
      </c>
      <c r="M749" s="100">
        <v>0.28999999999999998</v>
      </c>
      <c r="N749" s="100">
        <v>9.4499999999999993</v>
      </c>
      <c r="O749" s="98" t="s">
        <v>48</v>
      </c>
      <c r="P749" s="98">
        <v>4</v>
      </c>
      <c r="Q749" s="98">
        <v>10</v>
      </c>
      <c r="R749" s="98" t="s">
        <v>49</v>
      </c>
      <c r="S749" s="325" t="s">
        <v>50</v>
      </c>
      <c r="T749" s="325" t="s">
        <v>50</v>
      </c>
      <c r="U749" s="325" t="s">
        <v>50</v>
      </c>
      <c r="V749" s="325" t="s">
        <v>50</v>
      </c>
      <c r="W749" s="325" t="s">
        <v>50</v>
      </c>
      <c r="X749" s="325" t="s">
        <v>50</v>
      </c>
      <c r="Y749" s="622" t="s">
        <v>1740</v>
      </c>
    </row>
    <row r="750" spans="1:25" x14ac:dyDescent="0.25">
      <c r="A750" s="194">
        <v>44162</v>
      </c>
      <c r="B750" s="98" t="s">
        <v>125</v>
      </c>
      <c r="C750" s="98" t="s">
        <v>106</v>
      </c>
      <c r="D750" s="98">
        <v>38.3446</v>
      </c>
      <c r="E750" s="98">
        <v>-121.64355999999999</v>
      </c>
      <c r="F750" s="98" t="s">
        <v>1741</v>
      </c>
      <c r="G750" s="98" t="s">
        <v>90</v>
      </c>
      <c r="H750" s="98" t="s">
        <v>108</v>
      </c>
      <c r="I750" s="621">
        <v>0.42222222222222222</v>
      </c>
      <c r="J750" s="100">
        <v>904.75</v>
      </c>
      <c r="K750" s="100">
        <v>12.03</v>
      </c>
      <c r="L750" s="100">
        <v>83.65</v>
      </c>
      <c r="M750" s="100">
        <v>0.28999999999999998</v>
      </c>
      <c r="N750" s="100">
        <v>10.62</v>
      </c>
      <c r="O750" s="98" t="s">
        <v>48</v>
      </c>
      <c r="P750" s="98">
        <v>4</v>
      </c>
      <c r="Q750" s="98">
        <v>10</v>
      </c>
      <c r="R750" s="98" t="s">
        <v>64</v>
      </c>
      <c r="S750" s="325" t="s">
        <v>50</v>
      </c>
      <c r="T750" s="325" t="s">
        <v>50</v>
      </c>
      <c r="U750" s="325" t="s">
        <v>50</v>
      </c>
      <c r="V750" s="325" t="s">
        <v>50</v>
      </c>
      <c r="W750" s="325" t="s">
        <v>50</v>
      </c>
      <c r="X750" s="325" t="s">
        <v>50</v>
      </c>
      <c r="Y750" s="622" t="s">
        <v>1742</v>
      </c>
    </row>
    <row r="751" spans="1:25" x14ac:dyDescent="0.25">
      <c r="A751" s="194">
        <v>44162</v>
      </c>
      <c r="B751" s="98" t="s">
        <v>125</v>
      </c>
      <c r="C751" s="98" t="s">
        <v>78</v>
      </c>
      <c r="D751" s="98">
        <v>38.052419999999998</v>
      </c>
      <c r="E751" s="98">
        <v>-121.95277</v>
      </c>
      <c r="F751" s="98" t="s">
        <v>1743</v>
      </c>
      <c r="G751" s="98" t="s">
        <v>27</v>
      </c>
      <c r="H751" s="98" t="s">
        <v>170</v>
      </c>
      <c r="I751" s="621">
        <v>0.35000000000000003</v>
      </c>
      <c r="J751" s="100">
        <v>11789</v>
      </c>
      <c r="K751" s="100">
        <v>12.42</v>
      </c>
      <c r="L751" s="100">
        <v>15.33</v>
      </c>
      <c r="M751" s="100">
        <v>0.81</v>
      </c>
      <c r="N751" s="100">
        <v>14.8</v>
      </c>
      <c r="O751" s="98" t="s">
        <v>48</v>
      </c>
      <c r="P751" s="98">
        <v>4</v>
      </c>
      <c r="Q751" s="98">
        <v>10</v>
      </c>
      <c r="R751" s="98" t="s">
        <v>49</v>
      </c>
      <c r="S751" s="325" t="s">
        <v>50</v>
      </c>
      <c r="T751" s="325" t="s">
        <v>50</v>
      </c>
      <c r="U751" s="325" t="s">
        <v>50</v>
      </c>
      <c r="V751" s="325" t="s">
        <v>50</v>
      </c>
      <c r="W751" s="325" t="s">
        <v>50</v>
      </c>
      <c r="X751" s="325" t="s">
        <v>50</v>
      </c>
    </row>
    <row r="752" spans="1:25" s="815" customFormat="1" x14ac:dyDescent="0.25">
      <c r="A752" s="814">
        <v>44162</v>
      </c>
      <c r="B752" s="815" t="s">
        <v>125</v>
      </c>
      <c r="C752" s="815" t="s">
        <v>62</v>
      </c>
      <c r="D752" s="815">
        <v>38.10351</v>
      </c>
      <c r="E752" s="815">
        <v>-122.05019</v>
      </c>
      <c r="F752" s="815" t="s">
        <v>1744</v>
      </c>
      <c r="G752" s="815" t="s">
        <v>27</v>
      </c>
      <c r="H752" s="815" t="s">
        <v>173</v>
      </c>
      <c r="I752" s="816">
        <v>0.41736111111111113</v>
      </c>
      <c r="J752" s="817">
        <v>22572.25</v>
      </c>
      <c r="K752" s="817">
        <v>12.67</v>
      </c>
      <c r="L752" s="817">
        <v>65.150000000000006</v>
      </c>
      <c r="M752" s="817">
        <v>0.3</v>
      </c>
      <c r="N752" s="817">
        <v>3.97</v>
      </c>
      <c r="O752" s="815" t="s">
        <v>48</v>
      </c>
      <c r="P752" s="815">
        <v>4</v>
      </c>
      <c r="Q752" s="815">
        <v>10</v>
      </c>
      <c r="R752" s="815" t="s">
        <v>64</v>
      </c>
      <c r="S752" s="819" t="s">
        <v>31</v>
      </c>
      <c r="T752" s="815">
        <v>1</v>
      </c>
      <c r="U752" s="815">
        <v>54</v>
      </c>
      <c r="V752" s="815" t="s">
        <v>50</v>
      </c>
      <c r="W752" s="815" t="s">
        <v>50</v>
      </c>
      <c r="X752" s="815" t="s">
        <v>50</v>
      </c>
      <c r="Y752" s="818"/>
    </row>
    <row r="753" spans="1:25" s="815" customFormat="1" x14ac:dyDescent="0.25">
      <c r="A753" s="814">
        <v>44162</v>
      </c>
      <c r="B753" s="815" t="s">
        <v>125</v>
      </c>
      <c r="C753" s="815" t="s">
        <v>62</v>
      </c>
      <c r="D753" s="815">
        <v>38.207369999999997</v>
      </c>
      <c r="E753" s="815">
        <v>-122.03400999999999</v>
      </c>
      <c r="F753" s="815" t="s">
        <v>1745</v>
      </c>
      <c r="G753" s="815" t="s">
        <v>27</v>
      </c>
      <c r="H753" s="815" t="s">
        <v>62</v>
      </c>
      <c r="I753" s="816">
        <v>0.4909722222222222</v>
      </c>
      <c r="J753" s="817">
        <v>12771.75</v>
      </c>
      <c r="K753" s="817">
        <v>11.95</v>
      </c>
      <c r="L753" s="817">
        <v>60.8</v>
      </c>
      <c r="M753" s="817">
        <v>0.25</v>
      </c>
      <c r="N753" s="817">
        <v>6.95</v>
      </c>
      <c r="O753" s="815" t="s">
        <v>48</v>
      </c>
      <c r="P753" s="815">
        <v>4</v>
      </c>
      <c r="Q753" s="815">
        <v>10</v>
      </c>
      <c r="R753" s="815" t="s">
        <v>64</v>
      </c>
      <c r="S753" s="819" t="s">
        <v>31</v>
      </c>
      <c r="T753" s="815">
        <v>1</v>
      </c>
      <c r="U753" s="815">
        <v>78</v>
      </c>
      <c r="V753" s="815" t="s">
        <v>66</v>
      </c>
      <c r="W753" s="815" t="s">
        <v>50</v>
      </c>
      <c r="X753" s="815" t="s">
        <v>50</v>
      </c>
      <c r="Y753" s="818"/>
    </row>
    <row r="754" spans="1:25" x14ac:dyDescent="0.25">
      <c r="A754" s="194"/>
      <c r="J754" s="100"/>
      <c r="K754" s="100"/>
      <c r="L754" s="100"/>
      <c r="M754" s="100"/>
      <c r="N754" s="100"/>
    </row>
    <row r="755" spans="1:25" x14ac:dyDescent="0.25">
      <c r="A755" s="194"/>
      <c r="J755" s="100"/>
      <c r="K755" s="100"/>
      <c r="L755" s="100"/>
      <c r="M755" s="100"/>
      <c r="N755" s="100"/>
    </row>
    <row r="756" spans="1:25" x14ac:dyDescent="0.25">
      <c r="A756" s="194"/>
      <c r="J756" s="100"/>
      <c r="K756" s="100"/>
      <c r="L756" s="100"/>
      <c r="M756" s="100"/>
      <c r="N756" s="100"/>
    </row>
    <row r="757" spans="1:25" x14ac:dyDescent="0.25">
      <c r="A757" s="194"/>
      <c r="J757" s="100"/>
      <c r="K757" s="100"/>
      <c r="L757" s="100"/>
      <c r="M757" s="100"/>
      <c r="N757" s="100"/>
    </row>
    <row r="758" spans="1:25" x14ac:dyDescent="0.25">
      <c r="A758" s="194"/>
      <c r="J758" s="100"/>
      <c r="K758" s="100"/>
      <c r="L758" s="100"/>
      <c r="M758" s="100"/>
      <c r="N758" s="100"/>
    </row>
    <row r="759" spans="1:25" x14ac:dyDescent="0.25">
      <c r="A759" s="194"/>
      <c r="J759" s="100"/>
      <c r="K759" s="100"/>
      <c r="L759" s="100"/>
      <c r="M759" s="100"/>
      <c r="N759" s="100"/>
    </row>
    <row r="760" spans="1:25" x14ac:dyDescent="0.25">
      <c r="A760" s="194"/>
      <c r="J760" s="100"/>
      <c r="K760" s="100"/>
      <c r="L760" s="100"/>
      <c r="M760" s="100"/>
      <c r="N760" s="100"/>
    </row>
    <row r="761" spans="1:25" x14ac:dyDescent="0.25">
      <c r="A761" s="194"/>
      <c r="J761" s="100"/>
      <c r="K761" s="100"/>
      <c r="L761" s="100"/>
      <c r="M761" s="100"/>
      <c r="N761" s="100"/>
    </row>
    <row r="762" spans="1:25" x14ac:dyDescent="0.25">
      <c r="A762" s="194"/>
      <c r="J762" s="100"/>
      <c r="K762" s="100"/>
      <c r="L762" s="100"/>
      <c r="M762" s="100"/>
      <c r="N762" s="100"/>
    </row>
    <row r="763" spans="1:25" x14ac:dyDescent="0.25">
      <c r="A763" s="194"/>
      <c r="J763" s="100"/>
      <c r="K763" s="100"/>
      <c r="L763" s="100"/>
      <c r="M763" s="100"/>
      <c r="N763" s="100"/>
    </row>
    <row r="764" spans="1:25" x14ac:dyDescent="0.25">
      <c r="A764" s="194"/>
      <c r="J764" s="100"/>
      <c r="K764" s="100"/>
      <c r="L764" s="100"/>
      <c r="M764" s="100"/>
      <c r="N764" s="100"/>
    </row>
    <row r="765" spans="1:25" x14ac:dyDescent="0.25">
      <c r="A765" s="194"/>
      <c r="J765" s="100"/>
      <c r="K765" s="100"/>
      <c r="L765" s="100"/>
      <c r="M765" s="100"/>
      <c r="N765" s="100"/>
    </row>
    <row r="766" spans="1:25" x14ac:dyDescent="0.25">
      <c r="A766" s="194"/>
      <c r="J766" s="100"/>
      <c r="K766" s="100"/>
      <c r="L766" s="100"/>
      <c r="M766" s="100"/>
      <c r="N766" s="100"/>
    </row>
    <row r="767" spans="1:25" x14ac:dyDescent="0.25">
      <c r="A767" s="194"/>
      <c r="J767" s="100"/>
      <c r="K767" s="100"/>
      <c r="L767" s="100"/>
      <c r="M767" s="100"/>
      <c r="N767" s="100"/>
    </row>
    <row r="768" spans="1:25" x14ac:dyDescent="0.25">
      <c r="A768" s="194"/>
      <c r="J768" s="100"/>
      <c r="K768" s="100"/>
      <c r="L768" s="100"/>
      <c r="M768" s="100"/>
      <c r="N768" s="100"/>
    </row>
    <row r="769" spans="1:14" x14ac:dyDescent="0.25">
      <c r="A769" s="194"/>
      <c r="J769" s="100"/>
      <c r="K769" s="100"/>
      <c r="L769" s="100"/>
      <c r="M769" s="100"/>
      <c r="N769" s="100"/>
    </row>
    <row r="770" spans="1:14" x14ac:dyDescent="0.25">
      <c r="A770" s="194"/>
      <c r="J770" s="100"/>
      <c r="K770" s="100"/>
      <c r="L770" s="100"/>
      <c r="M770" s="100"/>
      <c r="N770" s="100"/>
    </row>
    <row r="771" spans="1:14" x14ac:dyDescent="0.25">
      <c r="A771" s="194"/>
      <c r="J771" s="100"/>
      <c r="K771" s="100"/>
      <c r="L771" s="100"/>
      <c r="M771" s="100"/>
      <c r="N771" s="100"/>
    </row>
    <row r="772" spans="1:14" x14ac:dyDescent="0.25">
      <c r="A772" s="194"/>
      <c r="J772" s="100"/>
      <c r="K772" s="100"/>
      <c r="L772" s="100"/>
      <c r="M772" s="100"/>
      <c r="N772" s="100"/>
    </row>
    <row r="773" spans="1:14" x14ac:dyDescent="0.25">
      <c r="A773" s="194"/>
      <c r="J773" s="100"/>
      <c r="K773" s="100"/>
      <c r="L773" s="100"/>
      <c r="M773" s="100"/>
      <c r="N773" s="100"/>
    </row>
    <row r="774" spans="1:14" x14ac:dyDescent="0.25">
      <c r="A774" s="194"/>
      <c r="J774" s="100"/>
      <c r="K774" s="100"/>
      <c r="L774" s="100"/>
      <c r="M774" s="100"/>
      <c r="N774" s="100"/>
    </row>
    <row r="775" spans="1:14" x14ac:dyDescent="0.25">
      <c r="A775" s="194"/>
      <c r="K775" s="100"/>
      <c r="L775" s="100"/>
      <c r="M775" s="100"/>
      <c r="N775" s="100"/>
    </row>
    <row r="776" spans="1:14" x14ac:dyDescent="0.25">
      <c r="A776" s="194"/>
      <c r="K776" s="100"/>
      <c r="L776" s="100"/>
      <c r="M776" s="100"/>
      <c r="N776" s="100"/>
    </row>
    <row r="777" spans="1:14" x14ac:dyDescent="0.25">
      <c r="A777" s="194"/>
      <c r="E777" s="223"/>
      <c r="K777" s="100"/>
      <c r="L777" s="100"/>
      <c r="M777" s="100"/>
      <c r="N777" s="100"/>
    </row>
    <row r="778" spans="1:14" x14ac:dyDescent="0.25">
      <c r="A778" s="194"/>
      <c r="K778" s="100"/>
      <c r="L778" s="100"/>
      <c r="M778" s="100"/>
      <c r="N778" s="100"/>
    </row>
    <row r="779" spans="1:14" x14ac:dyDescent="0.25">
      <c r="A779" s="194"/>
      <c r="K779" s="100"/>
      <c r="L779" s="100"/>
      <c r="M779" s="100"/>
      <c r="N779" s="100"/>
    </row>
    <row r="780" spans="1:14" x14ac:dyDescent="0.25">
      <c r="A780" s="194"/>
      <c r="K780" s="100"/>
      <c r="L780" s="100"/>
      <c r="M780" s="100"/>
      <c r="N780" s="100"/>
    </row>
    <row r="781" spans="1:14" x14ac:dyDescent="0.25">
      <c r="A781" s="194"/>
      <c r="K781" s="100"/>
      <c r="L781" s="100"/>
      <c r="M781" s="100"/>
      <c r="N781" s="100"/>
    </row>
    <row r="782" spans="1:14" x14ac:dyDescent="0.25">
      <c r="A782" s="194"/>
      <c r="K782" s="100"/>
      <c r="L782" s="100"/>
      <c r="M782" s="100"/>
      <c r="N782" s="100"/>
    </row>
    <row r="783" spans="1:14" x14ac:dyDescent="0.25">
      <c r="A783" s="194"/>
      <c r="K783" s="100"/>
      <c r="L783" s="100"/>
      <c r="M783" s="100"/>
      <c r="N783" s="100"/>
    </row>
    <row r="784" spans="1:14" x14ac:dyDescent="0.25">
      <c r="A784" s="194"/>
      <c r="K784" s="100"/>
      <c r="L784" s="100"/>
      <c r="M784" s="100"/>
      <c r="N784" s="100"/>
    </row>
    <row r="785" spans="1:14" x14ac:dyDescent="0.25">
      <c r="A785" s="194"/>
      <c r="K785" s="100"/>
      <c r="L785" s="100"/>
      <c r="M785" s="100"/>
      <c r="N785" s="100"/>
    </row>
    <row r="786" spans="1:14" x14ac:dyDescent="0.25">
      <c r="A786" s="194"/>
      <c r="K786" s="100"/>
      <c r="L786" s="100"/>
      <c r="M786" s="100"/>
      <c r="N786" s="100"/>
    </row>
    <row r="787" spans="1:14" x14ac:dyDescent="0.25">
      <c r="A787" s="194"/>
      <c r="K787" s="100"/>
      <c r="L787" s="100"/>
      <c r="M787" s="100"/>
      <c r="N787" s="100"/>
    </row>
    <row r="788" spans="1:14" x14ac:dyDescent="0.25">
      <c r="A788" s="194"/>
      <c r="K788" s="100"/>
      <c r="L788" s="100"/>
      <c r="M788" s="100"/>
      <c r="N788" s="100"/>
    </row>
    <row r="789" spans="1:14" x14ac:dyDescent="0.25">
      <c r="A789" s="194"/>
      <c r="K789" s="100"/>
      <c r="L789" s="100"/>
      <c r="M789" s="100"/>
      <c r="N789" s="100"/>
    </row>
    <row r="790" spans="1:14" x14ac:dyDescent="0.25">
      <c r="A790" s="194"/>
      <c r="K790" s="100"/>
      <c r="L790" s="100"/>
      <c r="M790" s="100"/>
      <c r="N790" s="100"/>
    </row>
    <row r="791" spans="1:14" x14ac:dyDescent="0.25">
      <c r="A791" s="194"/>
    </row>
    <row r="792" spans="1:14" x14ac:dyDescent="0.25">
      <c r="A792" s="194"/>
    </row>
    <row r="793" spans="1:14" x14ac:dyDescent="0.25">
      <c r="A793" s="194"/>
      <c r="J793" s="100"/>
      <c r="K793" s="100"/>
      <c r="L793" s="100"/>
      <c r="M793" s="100"/>
      <c r="N793" s="100"/>
    </row>
    <row r="794" spans="1:14" x14ac:dyDescent="0.25">
      <c r="A794" s="194"/>
      <c r="J794" s="100"/>
      <c r="K794" s="100"/>
      <c r="L794" s="100"/>
      <c r="M794" s="100"/>
      <c r="N794" s="100"/>
    </row>
    <row r="795" spans="1:14" x14ac:dyDescent="0.25">
      <c r="A795" s="194"/>
      <c r="J795" s="100"/>
      <c r="K795" s="100"/>
      <c r="L795" s="100"/>
      <c r="M795" s="100"/>
      <c r="N795" s="100"/>
    </row>
    <row r="796" spans="1:14" x14ac:dyDescent="0.25">
      <c r="A796" s="194"/>
      <c r="J796" s="100"/>
      <c r="K796" s="100"/>
      <c r="L796" s="100"/>
      <c r="M796" s="100"/>
      <c r="N796" s="100"/>
    </row>
    <row r="797" spans="1:14" x14ac:dyDescent="0.25">
      <c r="A797" s="194"/>
      <c r="J797" s="100"/>
      <c r="K797" s="100"/>
      <c r="L797" s="100"/>
      <c r="M797" s="100"/>
      <c r="N797" s="100"/>
    </row>
    <row r="798" spans="1:14" x14ac:dyDescent="0.25">
      <c r="A798" s="194"/>
      <c r="J798" s="100"/>
      <c r="K798" s="100"/>
      <c r="L798" s="100"/>
      <c r="M798" s="100"/>
      <c r="N798" s="100"/>
    </row>
    <row r="799" spans="1:14" x14ac:dyDescent="0.25">
      <c r="A799" s="194"/>
      <c r="J799" s="100"/>
      <c r="K799" s="100"/>
      <c r="L799" s="100"/>
      <c r="M799" s="100"/>
      <c r="N799" s="100"/>
    </row>
    <row r="800" spans="1:14" x14ac:dyDescent="0.25">
      <c r="A800" s="194"/>
      <c r="J800" s="100"/>
      <c r="K800" s="100"/>
      <c r="L800" s="100"/>
      <c r="M800" s="100"/>
      <c r="N800" s="100"/>
    </row>
    <row r="801" spans="1:25" x14ac:dyDescent="0.25">
      <c r="A801" s="194"/>
      <c r="J801" s="100"/>
      <c r="K801" s="100"/>
      <c r="L801" s="100"/>
      <c r="M801" s="100"/>
      <c r="N801" s="100"/>
    </row>
    <row r="802" spans="1:25" x14ac:dyDescent="0.25">
      <c r="A802" s="194"/>
      <c r="J802" s="100"/>
      <c r="K802" s="100"/>
      <c r="L802" s="100"/>
      <c r="M802" s="100"/>
      <c r="N802" s="100"/>
    </row>
    <row r="803" spans="1:25" x14ac:dyDescent="0.25">
      <c r="A803" s="194"/>
      <c r="J803" s="100"/>
      <c r="K803" s="100"/>
      <c r="L803" s="100"/>
      <c r="M803" s="100"/>
      <c r="N803" s="100"/>
    </row>
    <row r="804" spans="1:25" x14ac:dyDescent="0.25">
      <c r="A804" s="194"/>
      <c r="J804" s="100"/>
      <c r="K804" s="100"/>
      <c r="L804" s="100"/>
      <c r="M804" s="100"/>
      <c r="N804" s="100"/>
    </row>
    <row r="805" spans="1:25" x14ac:dyDescent="0.25">
      <c r="A805" s="194"/>
      <c r="J805" s="100"/>
      <c r="K805" s="100"/>
      <c r="L805" s="100"/>
      <c r="M805" s="100"/>
      <c r="N805" s="100"/>
    </row>
    <row r="806" spans="1:25" x14ac:dyDescent="0.25">
      <c r="A806" s="194"/>
      <c r="J806" s="100"/>
      <c r="K806" s="100"/>
      <c r="L806" s="100"/>
      <c r="M806" s="100"/>
      <c r="N806" s="100"/>
    </row>
    <row r="807" spans="1:25" x14ac:dyDescent="0.25">
      <c r="A807" s="194"/>
      <c r="J807" s="100"/>
      <c r="K807" s="100"/>
      <c r="L807" s="100"/>
      <c r="M807" s="100"/>
      <c r="N807" s="100"/>
    </row>
    <row r="808" spans="1:25" x14ac:dyDescent="0.25">
      <c r="A808" s="194"/>
      <c r="J808" s="100"/>
      <c r="K808" s="100"/>
      <c r="L808" s="100"/>
      <c r="M808" s="100"/>
      <c r="N808" s="100"/>
    </row>
    <row r="809" spans="1:25" x14ac:dyDescent="0.25">
      <c r="A809" s="194"/>
      <c r="J809" s="100"/>
      <c r="K809" s="100"/>
      <c r="L809" s="100"/>
      <c r="M809" s="100"/>
      <c r="N809" s="100"/>
    </row>
    <row r="810" spans="1:25" x14ac:dyDescent="0.25">
      <c r="A810" s="194"/>
      <c r="J810" s="100"/>
      <c r="K810" s="100"/>
      <c r="L810" s="100"/>
      <c r="M810" s="100"/>
      <c r="N810" s="100"/>
    </row>
    <row r="811" spans="1:25" x14ac:dyDescent="0.25">
      <c r="A811" s="194"/>
      <c r="J811" s="100"/>
      <c r="K811" s="100"/>
      <c r="L811" s="100"/>
      <c r="M811" s="100"/>
      <c r="N811" s="100"/>
    </row>
    <row r="812" spans="1:25" x14ac:dyDescent="0.25">
      <c r="A812" s="194"/>
      <c r="J812" s="100"/>
      <c r="K812" s="100"/>
      <c r="L812" s="100"/>
      <c r="M812" s="100"/>
      <c r="N812" s="100"/>
    </row>
    <row r="813" spans="1:25" x14ac:dyDescent="0.25">
      <c r="A813" s="194"/>
      <c r="J813" s="100"/>
      <c r="K813" s="100"/>
      <c r="L813" s="100"/>
      <c r="M813" s="100"/>
      <c r="N813" s="100"/>
    </row>
    <row r="814" spans="1:25" s="154" customFormat="1" x14ac:dyDescent="0.25">
      <c r="A814" s="195"/>
      <c r="I814" s="636"/>
      <c r="J814" s="156"/>
      <c r="K814" s="156"/>
      <c r="L814" s="156"/>
      <c r="M814" s="156"/>
      <c r="N814" s="156"/>
      <c r="Y814" s="627"/>
    </row>
    <row r="815" spans="1:25" x14ac:dyDescent="0.25">
      <c r="A815" s="194"/>
      <c r="J815" s="100"/>
      <c r="K815" s="100"/>
      <c r="L815" s="100"/>
      <c r="M815" s="100"/>
      <c r="N815" s="100"/>
    </row>
    <row r="816" spans="1:25" x14ac:dyDescent="0.25">
      <c r="A816" s="194"/>
      <c r="J816" s="100"/>
      <c r="K816" s="100"/>
      <c r="L816" s="100"/>
      <c r="M816" s="100"/>
      <c r="N816" s="100"/>
    </row>
    <row r="817" spans="1:25" x14ac:dyDescent="0.25">
      <c r="A817" s="194"/>
      <c r="J817" s="100"/>
      <c r="K817" s="100"/>
      <c r="L817" s="100"/>
      <c r="M817" s="100"/>
      <c r="N817" s="100"/>
    </row>
    <row r="818" spans="1:25" x14ac:dyDescent="0.25">
      <c r="A818" s="194"/>
      <c r="J818" s="100"/>
      <c r="K818" s="100"/>
      <c r="L818" s="100"/>
      <c r="M818" s="100"/>
      <c r="N818" s="100"/>
    </row>
    <row r="819" spans="1:25" x14ac:dyDescent="0.25">
      <c r="A819" s="194"/>
      <c r="J819" s="100"/>
      <c r="K819" s="100"/>
      <c r="L819" s="100"/>
      <c r="M819" s="100"/>
      <c r="N819" s="100"/>
    </row>
    <row r="820" spans="1:25" x14ac:dyDescent="0.25">
      <c r="A820" s="194"/>
      <c r="J820" s="100"/>
      <c r="K820" s="100"/>
      <c r="L820" s="100"/>
      <c r="M820" s="100"/>
      <c r="N820" s="100"/>
    </row>
    <row r="821" spans="1:25" x14ac:dyDescent="0.25">
      <c r="A821" s="194"/>
      <c r="J821" s="100"/>
      <c r="K821" s="100"/>
      <c r="L821" s="100"/>
      <c r="M821" s="100"/>
      <c r="N821" s="100"/>
    </row>
    <row r="822" spans="1:25" x14ac:dyDescent="0.25">
      <c r="A822" s="194"/>
      <c r="J822" s="100"/>
      <c r="K822" s="100"/>
      <c r="L822" s="100"/>
      <c r="M822" s="100"/>
      <c r="N822" s="100"/>
    </row>
    <row r="823" spans="1:25" x14ac:dyDescent="0.25">
      <c r="A823" s="194"/>
      <c r="J823" s="100"/>
      <c r="K823" s="100"/>
      <c r="L823" s="100"/>
      <c r="M823" s="100"/>
      <c r="N823" s="100"/>
    </row>
    <row r="824" spans="1:25" x14ac:dyDescent="0.25">
      <c r="A824" s="194"/>
      <c r="J824" s="100"/>
      <c r="K824" s="100"/>
      <c r="L824" s="100"/>
      <c r="M824" s="100"/>
      <c r="N824" s="100"/>
    </row>
    <row r="825" spans="1:25" x14ac:dyDescent="0.25">
      <c r="A825" s="194"/>
      <c r="J825" s="100"/>
      <c r="K825" s="100"/>
      <c r="L825" s="100"/>
      <c r="M825" s="100"/>
      <c r="N825" s="100"/>
    </row>
    <row r="826" spans="1:25" x14ac:dyDescent="0.25">
      <c r="A826" s="194"/>
      <c r="J826" s="100"/>
      <c r="K826" s="100"/>
      <c r="L826" s="100"/>
      <c r="M826" s="100"/>
      <c r="N826" s="100"/>
    </row>
    <row r="827" spans="1:25" x14ac:dyDescent="0.25">
      <c r="A827" s="194"/>
      <c r="J827" s="100"/>
      <c r="K827" s="100"/>
      <c r="L827" s="100"/>
      <c r="M827" s="100"/>
      <c r="N827" s="100"/>
    </row>
    <row r="828" spans="1:25" x14ac:dyDescent="0.25">
      <c r="A828" s="194"/>
      <c r="J828" s="100"/>
      <c r="K828" s="100"/>
      <c r="L828" s="100"/>
      <c r="M828" s="100"/>
      <c r="N828" s="100"/>
    </row>
    <row r="829" spans="1:25" x14ac:dyDescent="0.25">
      <c r="A829" s="194"/>
      <c r="J829" s="100"/>
      <c r="K829" s="100"/>
      <c r="L829" s="100"/>
      <c r="M829" s="100"/>
      <c r="N829" s="100"/>
    </row>
    <row r="830" spans="1:25" s="154" customFormat="1" x14ac:dyDescent="0.25">
      <c r="A830" s="195"/>
      <c r="I830" s="636"/>
      <c r="J830" s="156"/>
      <c r="K830" s="156"/>
      <c r="L830" s="156"/>
      <c r="M830" s="156"/>
      <c r="N830" s="156"/>
      <c r="Y830" s="627"/>
    </row>
    <row r="831" spans="1:25" x14ac:dyDescent="0.25">
      <c r="A831" s="194"/>
      <c r="J831" s="100"/>
      <c r="K831" s="100"/>
      <c r="L831" s="100"/>
      <c r="M831" s="100"/>
      <c r="N831" s="100"/>
    </row>
    <row r="832" spans="1:25" x14ac:dyDescent="0.25">
      <c r="A832" s="194"/>
      <c r="J832" s="100"/>
      <c r="K832" s="100"/>
      <c r="L832" s="100"/>
      <c r="M832" s="100"/>
      <c r="N832" s="100"/>
    </row>
    <row r="833" spans="1:25" x14ac:dyDescent="0.25">
      <c r="A833" s="194"/>
    </row>
    <row r="834" spans="1:25" x14ac:dyDescent="0.25">
      <c r="A834" s="194"/>
    </row>
    <row r="835" spans="1:25" x14ac:dyDescent="0.25">
      <c r="A835" s="194"/>
    </row>
    <row r="836" spans="1:25" x14ac:dyDescent="0.25">
      <c r="A836" s="194"/>
    </row>
    <row r="837" spans="1:25" x14ac:dyDescent="0.25">
      <c r="A837" s="194"/>
    </row>
    <row r="838" spans="1:25" x14ac:dyDescent="0.25">
      <c r="A838" s="194"/>
      <c r="J838" s="100"/>
      <c r="K838" s="100"/>
      <c r="L838" s="100"/>
      <c r="M838" s="100"/>
      <c r="N838" s="100"/>
    </row>
    <row r="839" spans="1:25" x14ac:dyDescent="0.25">
      <c r="A839" s="194"/>
      <c r="J839" s="100"/>
      <c r="K839" s="100"/>
      <c r="L839" s="100"/>
      <c r="M839" s="100"/>
      <c r="N839" s="100"/>
    </row>
    <row r="840" spans="1:25" x14ac:dyDescent="0.25">
      <c r="A840" s="194"/>
      <c r="J840" s="100"/>
      <c r="K840" s="100"/>
      <c r="L840" s="100"/>
      <c r="M840" s="100"/>
      <c r="N840" s="100"/>
    </row>
    <row r="841" spans="1:25" x14ac:dyDescent="0.25">
      <c r="A841" s="194"/>
      <c r="J841" s="100"/>
      <c r="K841" s="100"/>
      <c r="L841" s="100"/>
      <c r="M841" s="100"/>
      <c r="N841" s="100"/>
    </row>
    <row r="842" spans="1:25" x14ac:dyDescent="0.25">
      <c r="A842" s="194"/>
      <c r="J842" s="100"/>
      <c r="K842" s="100"/>
      <c r="L842" s="100"/>
      <c r="M842" s="100"/>
      <c r="N842" s="100"/>
    </row>
    <row r="843" spans="1:25" x14ac:dyDescent="0.25">
      <c r="A843" s="194"/>
      <c r="J843" s="100"/>
      <c r="K843" s="100"/>
      <c r="L843" s="100"/>
      <c r="M843" s="100"/>
      <c r="N843" s="100"/>
    </row>
    <row r="844" spans="1:25" x14ac:dyDescent="0.25">
      <c r="A844" s="194"/>
      <c r="J844" s="100"/>
      <c r="K844" s="100"/>
      <c r="L844" s="100"/>
      <c r="M844" s="100"/>
      <c r="N844" s="100"/>
    </row>
    <row r="845" spans="1:25" x14ac:dyDescent="0.25">
      <c r="A845" s="194"/>
      <c r="J845" s="100"/>
      <c r="K845" s="100"/>
      <c r="L845" s="100"/>
      <c r="M845" s="100"/>
      <c r="N845" s="100"/>
    </row>
    <row r="846" spans="1:25" s="154" customFormat="1" x14ac:dyDescent="0.25">
      <c r="A846" s="195"/>
      <c r="I846" s="636"/>
      <c r="J846" s="156"/>
      <c r="K846" s="156"/>
      <c r="L846" s="156"/>
      <c r="M846" s="156"/>
      <c r="N846" s="156"/>
      <c r="Y846" s="627"/>
    </row>
    <row r="847" spans="1:25" x14ac:dyDescent="0.25">
      <c r="A847" s="194"/>
      <c r="J847" s="100"/>
      <c r="K847" s="100"/>
      <c r="L847" s="100"/>
      <c r="M847" s="100"/>
      <c r="N847" s="100"/>
    </row>
    <row r="848" spans="1:25" x14ac:dyDescent="0.25">
      <c r="A848" s="194"/>
      <c r="J848" s="100"/>
      <c r="K848" s="100"/>
      <c r="L848" s="100"/>
      <c r="M848" s="100"/>
      <c r="N848" s="100"/>
    </row>
    <row r="849" spans="1:25" x14ac:dyDescent="0.25">
      <c r="A849" s="194"/>
      <c r="J849" s="100"/>
      <c r="K849" s="100"/>
      <c r="L849" s="100"/>
      <c r="M849" s="100"/>
      <c r="N849" s="100"/>
    </row>
    <row r="850" spans="1:25" x14ac:dyDescent="0.25">
      <c r="A850" s="194"/>
      <c r="J850" s="100"/>
      <c r="K850" s="100"/>
      <c r="L850" s="100"/>
      <c r="M850" s="100"/>
      <c r="N850" s="100"/>
    </row>
    <row r="851" spans="1:25" x14ac:dyDescent="0.25">
      <c r="A851" s="194"/>
      <c r="J851" s="100"/>
      <c r="K851" s="100"/>
      <c r="L851" s="100"/>
      <c r="M851" s="100"/>
      <c r="N851" s="100"/>
    </row>
    <row r="852" spans="1:25" x14ac:dyDescent="0.25">
      <c r="A852" s="194"/>
      <c r="J852" s="100"/>
      <c r="K852" s="100"/>
      <c r="L852" s="100"/>
      <c r="M852" s="100"/>
      <c r="N852" s="100"/>
    </row>
    <row r="853" spans="1:25" x14ac:dyDescent="0.25">
      <c r="A853" s="194"/>
      <c r="J853" s="100"/>
      <c r="K853" s="100"/>
      <c r="L853" s="100"/>
      <c r="M853" s="100"/>
      <c r="N853" s="100"/>
    </row>
    <row r="854" spans="1:25" x14ac:dyDescent="0.25">
      <c r="A854" s="194"/>
      <c r="J854" s="100"/>
      <c r="K854" s="100"/>
      <c r="L854" s="100"/>
      <c r="M854" s="100"/>
      <c r="N854" s="100"/>
    </row>
    <row r="855" spans="1:25" x14ac:dyDescent="0.25">
      <c r="A855" s="194"/>
      <c r="J855" s="100"/>
      <c r="K855" s="100"/>
      <c r="L855" s="100"/>
      <c r="M855" s="100"/>
      <c r="N855" s="100"/>
    </row>
    <row r="856" spans="1:25" s="154" customFormat="1" x14ac:dyDescent="0.25">
      <c r="A856" s="195"/>
      <c r="I856" s="636"/>
      <c r="J856" s="156"/>
      <c r="K856" s="156"/>
      <c r="L856" s="156"/>
      <c r="M856" s="156"/>
      <c r="N856" s="156"/>
      <c r="Y856" s="627"/>
    </row>
    <row r="857" spans="1:25" x14ac:dyDescent="0.25">
      <c r="A857" s="194"/>
      <c r="J857" s="100"/>
      <c r="K857" s="100"/>
      <c r="L857" s="100"/>
      <c r="M857" s="100"/>
      <c r="N857" s="100"/>
    </row>
    <row r="858" spans="1:25" x14ac:dyDescent="0.25">
      <c r="A858" s="194"/>
      <c r="J858" s="100"/>
      <c r="K858" s="100"/>
      <c r="L858" s="100"/>
      <c r="M858" s="100"/>
      <c r="N858" s="100"/>
    </row>
    <row r="859" spans="1:25" x14ac:dyDescent="0.25">
      <c r="A859" s="194"/>
      <c r="J859" s="100"/>
      <c r="K859" s="100"/>
      <c r="L859" s="100"/>
      <c r="M859" s="100"/>
      <c r="N859" s="100"/>
    </row>
    <row r="860" spans="1:25" x14ac:dyDescent="0.25">
      <c r="A860" s="194"/>
      <c r="J860" s="100"/>
      <c r="K860" s="100"/>
      <c r="L860" s="100"/>
      <c r="M860" s="100"/>
      <c r="N860" s="100"/>
    </row>
    <row r="861" spans="1:25" x14ac:dyDescent="0.25">
      <c r="A861" s="194"/>
      <c r="J861" s="100"/>
      <c r="K861" s="100"/>
      <c r="L861" s="100"/>
      <c r="M861" s="100"/>
      <c r="N861" s="100"/>
    </row>
    <row r="862" spans="1:25" x14ac:dyDescent="0.25">
      <c r="A862" s="194"/>
      <c r="J862" s="100"/>
      <c r="K862" s="100"/>
      <c r="L862" s="100"/>
      <c r="M862" s="100"/>
      <c r="N862" s="100"/>
    </row>
    <row r="863" spans="1:25" s="154" customFormat="1" x14ac:dyDescent="0.25">
      <c r="A863" s="195"/>
      <c r="I863" s="636"/>
      <c r="J863" s="156"/>
      <c r="K863" s="156"/>
      <c r="L863" s="156"/>
      <c r="M863" s="156"/>
      <c r="N863" s="156"/>
      <c r="Y863" s="627"/>
    </row>
    <row r="864" spans="1:25" x14ac:dyDescent="0.25">
      <c r="A864" s="194"/>
      <c r="J864" s="100"/>
      <c r="K864" s="100"/>
      <c r="L864" s="100"/>
      <c r="M864" s="100"/>
      <c r="N864" s="100"/>
    </row>
    <row r="865" spans="1:14" x14ac:dyDescent="0.25">
      <c r="A865" s="194"/>
      <c r="J865" s="100"/>
      <c r="K865" s="100"/>
      <c r="L865" s="100"/>
      <c r="M865" s="100"/>
      <c r="N865" s="100"/>
    </row>
    <row r="866" spans="1:14" x14ac:dyDescent="0.25">
      <c r="A866" s="194"/>
      <c r="J866" s="100"/>
      <c r="K866" s="100"/>
      <c r="L866" s="100"/>
      <c r="M866" s="100"/>
      <c r="N866" s="100"/>
    </row>
    <row r="867" spans="1:14" x14ac:dyDescent="0.25">
      <c r="A867" s="194"/>
      <c r="J867" s="100"/>
      <c r="K867" s="100"/>
      <c r="L867" s="100"/>
      <c r="M867" s="100"/>
      <c r="N867" s="100"/>
    </row>
    <row r="868" spans="1:14" x14ac:dyDescent="0.25">
      <c r="A868" s="194"/>
      <c r="J868" s="100"/>
      <c r="K868" s="100"/>
      <c r="L868" s="100"/>
      <c r="M868" s="100"/>
      <c r="N868" s="100"/>
    </row>
    <row r="869" spans="1:14" x14ac:dyDescent="0.25">
      <c r="A869" s="194"/>
      <c r="J869" s="100"/>
      <c r="K869" s="100"/>
      <c r="L869" s="100"/>
      <c r="M869" s="100"/>
      <c r="N869" s="100"/>
    </row>
    <row r="870" spans="1:14" x14ac:dyDescent="0.25">
      <c r="A870" s="194"/>
      <c r="J870" s="100"/>
      <c r="K870" s="100"/>
      <c r="L870" s="100"/>
      <c r="M870" s="100"/>
      <c r="N870" s="100"/>
    </row>
    <row r="871" spans="1:14" x14ac:dyDescent="0.25">
      <c r="A871" s="194"/>
      <c r="J871" s="100"/>
      <c r="K871" s="100"/>
      <c r="L871" s="100"/>
      <c r="M871" s="100"/>
      <c r="N871" s="100"/>
    </row>
    <row r="872" spans="1:14" x14ac:dyDescent="0.25">
      <c r="A872" s="194"/>
      <c r="J872" s="100"/>
      <c r="K872" s="100"/>
      <c r="L872" s="100"/>
      <c r="M872" s="100"/>
      <c r="N872" s="100"/>
    </row>
    <row r="873" spans="1:14" x14ac:dyDescent="0.25">
      <c r="A873" s="194"/>
      <c r="J873" s="100"/>
      <c r="K873" s="100"/>
      <c r="L873" s="100"/>
      <c r="M873" s="100"/>
      <c r="N873" s="100"/>
    </row>
    <row r="874" spans="1:14" x14ac:dyDescent="0.25">
      <c r="A874" s="194"/>
      <c r="J874" s="100"/>
      <c r="K874" s="100"/>
      <c r="L874" s="100"/>
      <c r="M874" s="100"/>
      <c r="N874" s="100"/>
    </row>
    <row r="875" spans="1:14" x14ac:dyDescent="0.25">
      <c r="A875" s="194"/>
      <c r="J875" s="100"/>
      <c r="K875" s="100"/>
      <c r="L875" s="100"/>
      <c r="M875" s="100"/>
      <c r="N875" s="100"/>
    </row>
    <row r="876" spans="1:14" x14ac:dyDescent="0.25">
      <c r="A876" s="194"/>
      <c r="J876" s="100"/>
      <c r="K876" s="100"/>
      <c r="L876" s="100"/>
      <c r="M876" s="100"/>
      <c r="N876" s="100"/>
    </row>
    <row r="877" spans="1:14" x14ac:dyDescent="0.25">
      <c r="A877" s="194"/>
      <c r="J877" s="100"/>
      <c r="K877" s="100"/>
      <c r="L877" s="100"/>
      <c r="M877" s="100"/>
      <c r="N877" s="100"/>
    </row>
    <row r="878" spans="1:14" x14ac:dyDescent="0.25">
      <c r="A878" s="194"/>
      <c r="J878" s="100"/>
      <c r="K878" s="100"/>
      <c r="L878" s="100"/>
      <c r="M878" s="100"/>
      <c r="N878" s="100"/>
    </row>
    <row r="879" spans="1:14" x14ac:dyDescent="0.25">
      <c r="A879" s="194"/>
      <c r="J879" s="100"/>
      <c r="K879" s="100"/>
      <c r="L879" s="100"/>
      <c r="M879" s="100"/>
      <c r="N879" s="100"/>
    </row>
    <row r="880" spans="1:14" x14ac:dyDescent="0.25">
      <c r="A880" s="194"/>
      <c r="J880" s="100"/>
      <c r="K880" s="100"/>
      <c r="L880" s="100"/>
      <c r="M880" s="100"/>
      <c r="N880" s="100"/>
    </row>
  </sheetData>
  <phoneticPr fontId="22" type="noConversion"/>
  <conditionalFormatting sqref="S208:S209 S768 S829 S119 S483 S806 S831:S837 S844 S855 S872 S881:S1048576 S876 S878:S879 S3:X11 S498:S502 S504:S508 S510:S514 S522 S538:S564 S566:S576 S578:S598 S605:S624 S656:S667 S669:S684 S686:S692 S697:S719 S727:S732 S734:S741 S743:S751">
    <cfRule type="cellIs" dxfId="4309" priority="1489" operator="equal">
      <formula>"DSM"</formula>
    </cfRule>
  </conditionalFormatting>
  <conditionalFormatting sqref="J51:N51 T65:X65">
    <cfRule type="expression" dxfId="4308" priority="1484">
      <formula>$T51="DSM"</formula>
    </cfRule>
    <cfRule type="expression" dxfId="4307" priority="1485">
      <formula>SEARCH("RBT",#REF!)&gt;0</formula>
    </cfRule>
    <cfRule type="expression" dxfId="4306" priority="1486">
      <formula>SEARCH("GST",#REF!)&gt;0</formula>
    </cfRule>
    <cfRule type="expression" dxfId="4305" priority="1487">
      <formula>SEARCH("CHN",$T51)&gt;0</formula>
    </cfRule>
    <cfRule type="expression" dxfId="4304" priority="1488">
      <formula>$T51="LFS"</formula>
    </cfRule>
  </conditionalFormatting>
  <conditionalFormatting sqref="S12:V12">
    <cfRule type="expression" dxfId="4303" priority="1459">
      <formula>$S12="DSM"</formula>
    </cfRule>
    <cfRule type="expression" dxfId="4302" priority="1460">
      <formula>SEARCH("GST",$S12)</formula>
    </cfRule>
    <cfRule type="expression" dxfId="4301" priority="1461">
      <formula>SEARCH("RBT",$S12)</formula>
    </cfRule>
    <cfRule type="expression" dxfId="4300" priority="1462">
      <formula>SEARCH("LFS",$S12)</formula>
    </cfRule>
    <cfRule type="expression" dxfId="4299" priority="1463">
      <formula>SEARCH("CHN",$S12)</formula>
    </cfRule>
  </conditionalFormatting>
  <conditionalFormatting sqref="S12">
    <cfRule type="cellIs" dxfId="4298" priority="1458" operator="equal">
      <formula>"DSM"</formula>
    </cfRule>
  </conditionalFormatting>
  <conditionalFormatting sqref="S12">
    <cfRule type="expression" dxfId="4297" priority="1454">
      <formula>SEARCH("RBT",$S12)</formula>
    </cfRule>
    <cfRule type="expression" dxfId="4296" priority="1455">
      <formula>SEARCH("GST",$S12)</formula>
    </cfRule>
    <cfRule type="expression" dxfId="4295" priority="1456">
      <formula>SEARCH("CHN",$S12)</formula>
    </cfRule>
    <cfRule type="expression" dxfId="4294" priority="1457">
      <formula>SEARCH("LFS",$S12)</formula>
    </cfRule>
  </conditionalFormatting>
  <conditionalFormatting sqref="W12">
    <cfRule type="expression" dxfId="4293" priority="1449">
      <formula>$S12="DSM"</formula>
    </cfRule>
    <cfRule type="expression" dxfId="4292" priority="1450">
      <formula>SEARCH("GST",$S12)</formula>
    </cfRule>
    <cfRule type="expression" dxfId="4291" priority="1451">
      <formula>SEARCH("RBT",$S12)</formula>
    </cfRule>
    <cfRule type="expression" dxfId="4290" priority="1452">
      <formula>SEARCH("LFS",$S12)</formula>
    </cfRule>
    <cfRule type="expression" dxfId="4289" priority="1453">
      <formula>SEARCH("CHN",$S12)</formula>
    </cfRule>
  </conditionalFormatting>
  <conditionalFormatting sqref="C83:H85 J88:N88 J83:N85 R88 R83:X85">
    <cfRule type="expression" dxfId="4288" priority="1444">
      <formula>$T83="DSM"</formula>
    </cfRule>
    <cfRule type="expression" dxfId="4287" priority="1445">
      <formula>SEARCH("RBT",$T53)&gt;0</formula>
    </cfRule>
    <cfRule type="expression" dxfId="4286" priority="1446">
      <formula>SEARCH("GST",$T53)&gt;0</formula>
    </cfRule>
    <cfRule type="expression" dxfId="4285" priority="1447">
      <formula>SEARCH("CHN",$T83)&gt;0</formula>
    </cfRule>
    <cfRule type="expression" dxfId="4284" priority="1448">
      <formula>$T83="LFS"</formula>
    </cfRule>
  </conditionalFormatting>
  <conditionalFormatting sqref="S159">
    <cfRule type="cellIs" dxfId="4283" priority="1443" operator="equal">
      <formula>"DSM"</formula>
    </cfRule>
  </conditionalFormatting>
  <conditionalFormatting sqref="S172:S173">
    <cfRule type="cellIs" dxfId="4282" priority="1442" operator="equal">
      <formula>"DSM"</formula>
    </cfRule>
  </conditionalFormatting>
  <conditionalFormatting sqref="S179 S181">
    <cfRule type="cellIs" dxfId="4281" priority="1441" operator="equal">
      <formula>"DSM"</formula>
    </cfRule>
  </conditionalFormatting>
  <conditionalFormatting sqref="S377:S382">
    <cfRule type="cellIs" dxfId="4280" priority="1437" operator="equal">
      <formula>"DSM"</formula>
    </cfRule>
  </conditionalFormatting>
  <conditionalFormatting sqref="S780">
    <cfRule type="cellIs" dxfId="4279" priority="1425" operator="equal">
      <formula>"DSM"</formula>
    </cfRule>
  </conditionalFormatting>
  <conditionalFormatting sqref="S753:S755">
    <cfRule type="cellIs" dxfId="4278" priority="1428" operator="equal">
      <formula>"DSM"</formula>
    </cfRule>
  </conditionalFormatting>
  <conditionalFormatting sqref="S763">
    <cfRule type="cellIs" dxfId="4277" priority="1427" operator="equal">
      <formula>"DSM"</formula>
    </cfRule>
  </conditionalFormatting>
  <conditionalFormatting sqref="S766">
    <cfRule type="cellIs" dxfId="4276" priority="1426" operator="equal">
      <formula>"DSM"</formula>
    </cfRule>
  </conditionalFormatting>
  <conditionalFormatting sqref="S787">
    <cfRule type="cellIs" dxfId="4275" priority="1424" operator="equal">
      <formula>"DSM"</formula>
    </cfRule>
  </conditionalFormatting>
  <conditionalFormatting sqref="S828">
    <cfRule type="cellIs" dxfId="4274" priority="1422" operator="equal">
      <formula>"DSM"</formula>
    </cfRule>
  </conditionalFormatting>
  <conditionalFormatting sqref="S810 S820:S821">
    <cfRule type="cellIs" dxfId="4273" priority="1423" operator="equal">
      <formula>"DSM"</formula>
    </cfRule>
  </conditionalFormatting>
  <conditionalFormatting sqref="J37:N38 T50:X50 S99:X99">
    <cfRule type="expression" dxfId="4272" priority="1490">
      <formula>$T37="DSM"</formula>
    </cfRule>
    <cfRule type="expression" dxfId="4271" priority="1491">
      <formula>SEARCH("RBT",$T9)&gt;0</formula>
    </cfRule>
    <cfRule type="expression" dxfId="4270" priority="1492">
      <formula>SEARCH("GST",$T9)&gt;0</formula>
    </cfRule>
    <cfRule type="expression" dxfId="4269" priority="1493">
      <formula>SEARCH("CHN",$T37)&gt;0</formula>
    </cfRule>
    <cfRule type="expression" dxfId="4268" priority="1494">
      <formula>$T37="LFS"</formula>
    </cfRule>
  </conditionalFormatting>
  <conditionalFormatting sqref="S98:X98 S100:X100 S105:X106 V104:X104 J112:N114">
    <cfRule type="expression" dxfId="4267" priority="1495">
      <formula>$T98="DSM"</formula>
    </cfRule>
    <cfRule type="expression" dxfId="4266" priority="1496">
      <formula>SEARCH("RBT",$T68)&gt;0</formula>
    </cfRule>
    <cfRule type="expression" dxfId="4265" priority="1497">
      <formula>SEARCH("GST",$T68)&gt;0</formula>
    </cfRule>
    <cfRule type="expression" dxfId="4264" priority="1498">
      <formula>SEARCH("CHN",$T98)&gt;0</formula>
    </cfRule>
    <cfRule type="expression" dxfId="4263" priority="1499">
      <formula>$T98="LFS"</formula>
    </cfRule>
  </conditionalFormatting>
  <conditionalFormatting sqref="J60:N61">
    <cfRule type="expression" dxfId="4262" priority="1500">
      <formula>$T60="DSM"</formula>
    </cfRule>
    <cfRule type="expression" dxfId="4261" priority="1501">
      <formula>SEARCH("RBT",#REF!)&gt;0</formula>
    </cfRule>
    <cfRule type="expression" dxfId="4260" priority="1502">
      <formula>SEARCH("GST",#REF!)&gt;0</formula>
    </cfRule>
    <cfRule type="expression" dxfId="4259" priority="1503">
      <formula>SEARCH("CHN",$T60)&gt;0</formula>
    </cfRule>
    <cfRule type="expression" dxfId="4258" priority="1504">
      <formula>$T60="LFS"</formula>
    </cfRule>
  </conditionalFormatting>
  <conditionalFormatting sqref="J62:N62 S40:X40 J52:N52 T44:X45">
    <cfRule type="expression" dxfId="4257" priority="1505">
      <formula>$T40="DSM"</formula>
    </cfRule>
    <cfRule type="expression" dxfId="4256" priority="1506">
      <formula>SEARCH("RBT",$T13)&gt;0</formula>
    </cfRule>
    <cfRule type="expression" dxfId="4255" priority="1507">
      <formula>SEARCH("GST",$T13)&gt;0</formula>
    </cfRule>
    <cfRule type="expression" dxfId="4254" priority="1508">
      <formula>SEARCH("CHN",$T40)&gt;0</formula>
    </cfRule>
    <cfRule type="expression" dxfId="4253" priority="1509">
      <formula>$T40="LFS"</formula>
    </cfRule>
  </conditionalFormatting>
  <conditionalFormatting sqref="U55:X55">
    <cfRule type="expression" dxfId="4252" priority="1510">
      <formula>$T55="DSM"</formula>
    </cfRule>
    <cfRule type="expression" dxfId="4251" priority="1511">
      <formula>SEARCH("RBT",$T29)&gt;0</formula>
    </cfRule>
    <cfRule type="expression" dxfId="4250" priority="1512">
      <formula>SEARCH("GST",$T29)&gt;0</formula>
    </cfRule>
    <cfRule type="expression" dxfId="4249" priority="1513">
      <formula>SEARCH("CHN",$T55)&gt;0</formula>
    </cfRule>
    <cfRule type="expression" dxfId="4248" priority="1514">
      <formula>$T55="LFS"</formula>
    </cfRule>
  </conditionalFormatting>
  <conditionalFormatting sqref="J82:N82 C82:H82 D78:E78 R82:X82">
    <cfRule type="expression" dxfId="4247" priority="1515">
      <formula>$T78="DSM"</formula>
    </cfRule>
    <cfRule type="expression" dxfId="4246" priority="1516">
      <formula>SEARCH("RBT",#REF!)&gt;0</formula>
    </cfRule>
    <cfRule type="expression" dxfId="4245" priority="1517">
      <formula>SEARCH("GST",#REF!)&gt;0</formula>
    </cfRule>
    <cfRule type="expression" dxfId="4244" priority="1518">
      <formula>SEARCH("CHN",$T78)&gt;0</formula>
    </cfRule>
    <cfRule type="expression" dxfId="4243" priority="1519">
      <formula>$T78="LFS"</formula>
    </cfRule>
  </conditionalFormatting>
  <conditionalFormatting sqref="S96:X96">
    <cfRule type="expression" dxfId="4242" priority="1520">
      <formula>$T96="DSM"</formula>
    </cfRule>
    <cfRule type="expression" dxfId="4241" priority="1521">
      <formula>SEARCH("RBT",#REF!)&gt;0</formula>
    </cfRule>
    <cfRule type="expression" dxfId="4240" priority="1522">
      <formula>SEARCH("GST",#REF!)&gt;0</formula>
    </cfRule>
    <cfRule type="expression" dxfId="4239" priority="1523">
      <formula>SEARCH("CHN",$T96)&gt;0</formula>
    </cfRule>
    <cfRule type="expression" dxfId="4238" priority="1524">
      <formula>$T96="LFS"</formula>
    </cfRule>
  </conditionalFormatting>
  <conditionalFormatting sqref="J43:N43">
    <cfRule type="expression" dxfId="4237" priority="1530">
      <formula>$T43="DSM"</formula>
    </cfRule>
    <cfRule type="expression" dxfId="4236" priority="1531">
      <formula>SEARCH("RBT",$T2)&gt;0</formula>
    </cfRule>
    <cfRule type="expression" dxfId="4235" priority="1532">
      <formula>SEARCH("GST",$T2)&gt;0</formula>
    </cfRule>
    <cfRule type="expression" dxfId="4234" priority="1533">
      <formula>SEARCH("CHN",$T43)&gt;0</formula>
    </cfRule>
    <cfRule type="expression" dxfId="4233" priority="1534">
      <formula>$T43="LFS"</formula>
    </cfRule>
  </conditionalFormatting>
  <conditionalFormatting sqref="J94:N94 R94:X94">
    <cfRule type="expression" dxfId="4232" priority="1417">
      <formula>$T94="DSM"</formula>
    </cfRule>
    <cfRule type="expression" dxfId="4231" priority="1418">
      <formula>SEARCH("RBT",#REF!)&gt;0</formula>
    </cfRule>
    <cfRule type="expression" dxfId="4230" priority="1419">
      <formula>SEARCH("GST",#REF!)&gt;0</formula>
    </cfRule>
    <cfRule type="expression" dxfId="4229" priority="1420">
      <formula>SEARCH("CHN",$T94)&gt;0</formula>
    </cfRule>
    <cfRule type="expression" dxfId="4228" priority="1421">
      <formula>$T94="LFS"</formula>
    </cfRule>
  </conditionalFormatting>
  <conditionalFormatting sqref="S97:X97">
    <cfRule type="expression" dxfId="4227" priority="1535">
      <formula>$T97="DSM"</formula>
    </cfRule>
    <cfRule type="expression" dxfId="4226" priority="1536">
      <formula>SEARCH("RBT",$T65)&gt;0</formula>
    </cfRule>
    <cfRule type="expression" dxfId="4225" priority="1537">
      <formula>SEARCH("GST",$T65)&gt;0</formula>
    </cfRule>
    <cfRule type="expression" dxfId="4224" priority="1538">
      <formula>SEARCH("CHN",$T97)&gt;0</formula>
    </cfRule>
    <cfRule type="expression" dxfId="4223" priority="1539">
      <formula>$T97="LFS"</formula>
    </cfRule>
  </conditionalFormatting>
  <conditionalFormatting sqref="S101:X101">
    <cfRule type="expression" dxfId="4222" priority="1407">
      <formula>$T101="DSM"</formula>
    </cfRule>
    <cfRule type="expression" dxfId="4221" priority="1408">
      <formula>SEARCH("RBT",$T71)&gt;0</formula>
    </cfRule>
    <cfRule type="expression" dxfId="4220" priority="1409">
      <formula>SEARCH("GST",$T71)&gt;0</formula>
    </cfRule>
    <cfRule type="expression" dxfId="4219" priority="1410">
      <formula>SEARCH("CHN",$T101)&gt;0</formula>
    </cfRule>
    <cfRule type="expression" dxfId="4218" priority="1411">
      <formula>$T101="LFS"</formula>
    </cfRule>
  </conditionalFormatting>
  <conditionalFormatting sqref="S102:X102">
    <cfRule type="expression" dxfId="4217" priority="1402">
      <formula>$T102="DSM"</formula>
    </cfRule>
    <cfRule type="expression" dxfId="4216" priority="1403">
      <formula>SEARCH("RBT",$T72)&gt;0</formula>
    </cfRule>
    <cfRule type="expression" dxfId="4215" priority="1404">
      <formula>SEARCH("GST",$T72)&gt;0</formula>
    </cfRule>
    <cfRule type="expression" dxfId="4214" priority="1405">
      <formula>SEARCH("CHN",$T102)&gt;0</formula>
    </cfRule>
    <cfRule type="expression" dxfId="4213" priority="1406">
      <formula>$T102="LFS"</formula>
    </cfRule>
  </conditionalFormatting>
  <conditionalFormatting sqref="S180">
    <cfRule type="cellIs" dxfId="4212" priority="1394" operator="equal">
      <formula>"DSM"</formula>
    </cfRule>
  </conditionalFormatting>
  <conditionalFormatting sqref="S207">
    <cfRule type="cellIs" dxfId="4211" priority="1392" operator="equal">
      <formula>"DSM"</formula>
    </cfRule>
  </conditionalFormatting>
  <conditionalFormatting sqref="S226">
    <cfRule type="cellIs" dxfId="4210" priority="1378" operator="equal">
      <formula>"DSM"</formula>
    </cfRule>
  </conditionalFormatting>
  <conditionalFormatting sqref="S239:S240">
    <cfRule type="cellIs" dxfId="4209" priority="1364" operator="equal">
      <formula>"DSM"</formula>
    </cfRule>
  </conditionalFormatting>
  <conditionalFormatting sqref="S242">
    <cfRule type="cellIs" dxfId="4208" priority="1363" operator="equal">
      <formula>"DSM"</formula>
    </cfRule>
  </conditionalFormatting>
  <conditionalFormatting sqref="S243">
    <cfRule type="cellIs" dxfId="4207" priority="1362" operator="equal">
      <formula>"DSM"</formula>
    </cfRule>
  </conditionalFormatting>
  <conditionalFormatting sqref="S244">
    <cfRule type="cellIs" dxfId="4206" priority="1361" operator="equal">
      <formula>"DSM"</formula>
    </cfRule>
  </conditionalFormatting>
  <conditionalFormatting sqref="S245">
    <cfRule type="cellIs" dxfId="4205" priority="1360" operator="equal">
      <formula>"DSM"</formula>
    </cfRule>
  </conditionalFormatting>
  <conditionalFormatting sqref="S246">
    <cfRule type="cellIs" dxfId="4204" priority="1359" operator="equal">
      <formula>"DSM"</formula>
    </cfRule>
  </conditionalFormatting>
  <conditionalFormatting sqref="S247">
    <cfRule type="cellIs" dxfId="4203" priority="1358" operator="equal">
      <formula>"DSM"</formula>
    </cfRule>
  </conditionalFormatting>
  <conditionalFormatting sqref="S241">
    <cfRule type="cellIs" dxfId="4202" priority="1357" operator="equal">
      <formula>"DSM"</formula>
    </cfRule>
  </conditionalFormatting>
  <conditionalFormatting sqref="S296">
    <cfRule type="cellIs" dxfId="4201" priority="1318" operator="equal">
      <formula>"DSM"</formula>
    </cfRule>
  </conditionalFormatting>
  <conditionalFormatting sqref="S297">
    <cfRule type="cellIs" dxfId="4200" priority="1313" operator="equal">
      <formula>"DSM"</formula>
    </cfRule>
  </conditionalFormatting>
  <conditionalFormatting sqref="S354">
    <cfRule type="cellIs" dxfId="4199" priority="1271" operator="equal">
      <formula>"DSM"</formula>
    </cfRule>
  </conditionalFormatting>
  <conditionalFormatting sqref="S359">
    <cfRule type="cellIs" dxfId="4198" priority="1268" operator="equal">
      <formula>"DSM"</formula>
    </cfRule>
  </conditionalFormatting>
  <conditionalFormatting sqref="S355:S358">
    <cfRule type="cellIs" dxfId="4197" priority="1267" operator="equal">
      <formula>"DSM"</formula>
    </cfRule>
  </conditionalFormatting>
  <conditionalFormatting sqref="S424">
    <cfRule type="cellIs" dxfId="4196" priority="1222" operator="equal">
      <formula>"DSM"</formula>
    </cfRule>
  </conditionalFormatting>
  <conditionalFormatting sqref="S515">
    <cfRule type="cellIs" dxfId="4195" priority="1159" operator="equal">
      <formula>"DSM"</formula>
    </cfRule>
  </conditionalFormatting>
  <conditionalFormatting sqref="S628:S631">
    <cfRule type="cellIs" dxfId="4194" priority="1117" operator="equal">
      <formula>"DSM"</formula>
    </cfRule>
  </conditionalFormatting>
  <conditionalFormatting sqref="S632">
    <cfRule type="cellIs" dxfId="4193" priority="1113" operator="equal">
      <formula>"DSM"</formula>
    </cfRule>
  </conditionalFormatting>
  <conditionalFormatting sqref="S633:S638">
    <cfRule type="cellIs" dxfId="4192" priority="1112" operator="equal">
      <formula>"DSM"</formula>
    </cfRule>
  </conditionalFormatting>
  <conditionalFormatting sqref="S645">
    <cfRule type="cellIs" dxfId="4191" priority="1104" operator="equal">
      <formula>"DSM"</formula>
    </cfRule>
  </conditionalFormatting>
  <conditionalFormatting sqref="S696">
    <cfRule type="cellIs" dxfId="4190" priority="1069" operator="equal">
      <formula>"DSM"</formula>
    </cfRule>
  </conditionalFormatting>
  <conditionalFormatting sqref="S733">
    <cfRule type="cellIs" dxfId="4189" priority="1036" operator="equal">
      <formula>"DSM"</formula>
    </cfRule>
  </conditionalFormatting>
  <conditionalFormatting sqref="S752">
    <cfRule type="cellIs" dxfId="4188" priority="1023" operator="equal">
      <formula>"DSM"</formula>
    </cfRule>
  </conditionalFormatting>
  <conditionalFormatting sqref="S756">
    <cfRule type="cellIs" dxfId="4187" priority="1022" operator="equal">
      <formula>"DSM"</formula>
    </cfRule>
  </conditionalFormatting>
  <conditionalFormatting sqref="S757">
    <cfRule type="cellIs" dxfId="4186" priority="1021" operator="equal">
      <formula>"DSM"</formula>
    </cfRule>
  </conditionalFormatting>
  <conditionalFormatting sqref="S761">
    <cfRule type="cellIs" dxfId="4185" priority="1020" operator="equal">
      <formula>"DSM"</formula>
    </cfRule>
  </conditionalFormatting>
  <conditionalFormatting sqref="S759">
    <cfRule type="cellIs" dxfId="4184" priority="1019" operator="equal">
      <formula>"DSM"</formula>
    </cfRule>
  </conditionalFormatting>
  <conditionalFormatting sqref="S760">
    <cfRule type="cellIs" dxfId="4183" priority="1018" operator="equal">
      <formula>"DSM"</formula>
    </cfRule>
  </conditionalFormatting>
  <conditionalFormatting sqref="S758">
    <cfRule type="cellIs" dxfId="4182" priority="1017" operator="equal">
      <formula>"DSM"</formula>
    </cfRule>
  </conditionalFormatting>
  <conditionalFormatting sqref="S762">
    <cfRule type="cellIs" dxfId="4181" priority="1016" operator="equal">
      <formula>"DSM"</formula>
    </cfRule>
  </conditionalFormatting>
  <conditionalFormatting sqref="S764">
    <cfRule type="cellIs" dxfId="4180" priority="1015" operator="equal">
      <formula>"DSM"</formula>
    </cfRule>
  </conditionalFormatting>
  <conditionalFormatting sqref="S765">
    <cfRule type="cellIs" dxfId="4179" priority="1014" operator="equal">
      <formula>"DSM"</formula>
    </cfRule>
  </conditionalFormatting>
  <conditionalFormatting sqref="S767">
    <cfRule type="cellIs" dxfId="4178" priority="1013" operator="equal">
      <formula>"DSM"</formula>
    </cfRule>
  </conditionalFormatting>
  <conditionalFormatting sqref="S769">
    <cfRule type="cellIs" dxfId="4177" priority="1012" operator="equal">
      <formula>"DSM"</formula>
    </cfRule>
  </conditionalFormatting>
  <conditionalFormatting sqref="S770">
    <cfRule type="cellIs" dxfId="4176" priority="1011" operator="equal">
      <formula>"DSM"</formula>
    </cfRule>
  </conditionalFormatting>
  <conditionalFormatting sqref="S771">
    <cfRule type="cellIs" dxfId="4175" priority="1010" operator="equal">
      <formula>"DSM"</formula>
    </cfRule>
  </conditionalFormatting>
  <conditionalFormatting sqref="S772">
    <cfRule type="cellIs" dxfId="4174" priority="1009" operator="equal">
      <formula>"DSM"</formula>
    </cfRule>
  </conditionalFormatting>
  <conditionalFormatting sqref="S773">
    <cfRule type="cellIs" dxfId="4173" priority="1008" operator="equal">
      <formula>"DSM"</formula>
    </cfRule>
  </conditionalFormatting>
  <conditionalFormatting sqref="S775">
    <cfRule type="cellIs" dxfId="4172" priority="1007" operator="equal">
      <formula>"DSM"</formula>
    </cfRule>
  </conditionalFormatting>
  <conditionalFormatting sqref="S776">
    <cfRule type="cellIs" dxfId="4171" priority="1006" operator="equal">
      <formula>"DSM"</formula>
    </cfRule>
  </conditionalFormatting>
  <conditionalFormatting sqref="S774">
    <cfRule type="cellIs" dxfId="4170" priority="1005" operator="equal">
      <formula>"DSM"</formula>
    </cfRule>
  </conditionalFormatting>
  <conditionalFormatting sqref="S778">
    <cfRule type="cellIs" dxfId="4169" priority="1004" operator="equal">
      <formula>"DSM"</formula>
    </cfRule>
  </conditionalFormatting>
  <conditionalFormatting sqref="S779">
    <cfRule type="cellIs" dxfId="4168" priority="1003" operator="equal">
      <formula>"DSM"</formula>
    </cfRule>
  </conditionalFormatting>
  <conditionalFormatting sqref="S777">
    <cfRule type="cellIs" dxfId="4167" priority="1002" operator="equal">
      <formula>"DSM"</formula>
    </cfRule>
  </conditionalFormatting>
  <conditionalFormatting sqref="S781">
    <cfRule type="cellIs" dxfId="4166" priority="1001" operator="equal">
      <formula>"DSM"</formula>
    </cfRule>
  </conditionalFormatting>
  <conditionalFormatting sqref="S782">
    <cfRule type="cellIs" dxfId="4165" priority="1000" operator="equal">
      <formula>"DSM"</formula>
    </cfRule>
  </conditionalFormatting>
  <conditionalFormatting sqref="S783">
    <cfRule type="cellIs" dxfId="4164" priority="999" operator="equal">
      <formula>"DSM"</formula>
    </cfRule>
  </conditionalFormatting>
  <conditionalFormatting sqref="S784">
    <cfRule type="cellIs" dxfId="4163" priority="998" operator="equal">
      <formula>"DSM"</formula>
    </cfRule>
  </conditionalFormatting>
  <conditionalFormatting sqref="S785">
    <cfRule type="cellIs" dxfId="4162" priority="997" operator="equal">
      <formula>"DSM"</formula>
    </cfRule>
  </conditionalFormatting>
  <conditionalFormatting sqref="S786">
    <cfRule type="cellIs" dxfId="4161" priority="996" operator="equal">
      <formula>"DSM"</formula>
    </cfRule>
  </conditionalFormatting>
  <conditionalFormatting sqref="S788:S789">
    <cfRule type="cellIs" dxfId="4160" priority="995" operator="equal">
      <formula>"DSM"</formula>
    </cfRule>
  </conditionalFormatting>
  <conditionalFormatting sqref="S790">
    <cfRule type="cellIs" dxfId="4159" priority="994" operator="equal">
      <formula>"DSM"</formula>
    </cfRule>
  </conditionalFormatting>
  <conditionalFormatting sqref="S791">
    <cfRule type="cellIs" dxfId="4158" priority="993" operator="equal">
      <formula>"DSM"</formula>
    </cfRule>
  </conditionalFormatting>
  <conditionalFormatting sqref="S792">
    <cfRule type="cellIs" dxfId="4157" priority="992" operator="equal">
      <formula>"DSM"</formula>
    </cfRule>
  </conditionalFormatting>
  <conditionalFormatting sqref="S793">
    <cfRule type="cellIs" dxfId="4156" priority="991" operator="equal">
      <formula>"DSM"</formula>
    </cfRule>
  </conditionalFormatting>
  <conditionalFormatting sqref="S794">
    <cfRule type="cellIs" dxfId="4155" priority="990" operator="equal">
      <formula>"DSM"</formula>
    </cfRule>
  </conditionalFormatting>
  <conditionalFormatting sqref="S795">
    <cfRule type="cellIs" dxfId="4154" priority="989" operator="equal">
      <formula>"DSM"</formula>
    </cfRule>
  </conditionalFormatting>
  <conditionalFormatting sqref="S796">
    <cfRule type="cellIs" dxfId="4153" priority="988" operator="equal">
      <formula>"DSM"</formula>
    </cfRule>
  </conditionalFormatting>
  <conditionalFormatting sqref="S797">
    <cfRule type="cellIs" dxfId="4152" priority="987" operator="equal">
      <formula>"DSM"</formula>
    </cfRule>
  </conditionalFormatting>
  <conditionalFormatting sqref="S798">
    <cfRule type="cellIs" dxfId="4151" priority="986" operator="equal">
      <formula>"DSM"</formula>
    </cfRule>
  </conditionalFormatting>
  <conditionalFormatting sqref="S799">
    <cfRule type="cellIs" dxfId="4150" priority="985" operator="equal">
      <formula>"DSM"</formula>
    </cfRule>
  </conditionalFormatting>
  <conditionalFormatting sqref="S800">
    <cfRule type="cellIs" dxfId="4149" priority="984" operator="equal">
      <formula>"DSM"</formula>
    </cfRule>
  </conditionalFormatting>
  <conditionalFormatting sqref="S801">
    <cfRule type="cellIs" dxfId="4148" priority="983" operator="equal">
      <formula>"DSM"</formula>
    </cfRule>
  </conditionalFormatting>
  <conditionalFormatting sqref="S802">
    <cfRule type="cellIs" dxfId="4147" priority="982" operator="equal">
      <formula>"DSM"</formula>
    </cfRule>
  </conditionalFormatting>
  <conditionalFormatting sqref="S803">
    <cfRule type="cellIs" dxfId="4146" priority="981" operator="equal">
      <formula>"DSM"</formula>
    </cfRule>
  </conditionalFormatting>
  <conditionalFormatting sqref="S804">
    <cfRule type="cellIs" dxfId="4145" priority="980" operator="equal">
      <formula>"DSM"</formula>
    </cfRule>
  </conditionalFormatting>
  <conditionalFormatting sqref="S805">
    <cfRule type="cellIs" dxfId="4144" priority="979" operator="equal">
      <formula>"DSM"</formula>
    </cfRule>
  </conditionalFormatting>
  <conditionalFormatting sqref="S807">
    <cfRule type="cellIs" dxfId="4143" priority="978" operator="equal">
      <formula>"DSM"</formula>
    </cfRule>
  </conditionalFormatting>
  <conditionalFormatting sqref="S808">
    <cfRule type="cellIs" dxfId="4142" priority="977" operator="equal">
      <formula>"DSM"</formula>
    </cfRule>
  </conditionalFormatting>
  <conditionalFormatting sqref="S809">
    <cfRule type="cellIs" dxfId="4141" priority="976" operator="equal">
      <formula>"DSM"</formula>
    </cfRule>
  </conditionalFormatting>
  <conditionalFormatting sqref="S811">
    <cfRule type="cellIs" dxfId="4140" priority="975" operator="equal">
      <formula>"DSM"</formula>
    </cfRule>
  </conditionalFormatting>
  <conditionalFormatting sqref="S812">
    <cfRule type="cellIs" dxfId="4139" priority="974" operator="equal">
      <formula>"DSM"</formula>
    </cfRule>
  </conditionalFormatting>
  <conditionalFormatting sqref="S814">
    <cfRule type="cellIs" dxfId="4138" priority="973" operator="equal">
      <formula>"DSM"</formula>
    </cfRule>
  </conditionalFormatting>
  <conditionalFormatting sqref="S816">
    <cfRule type="cellIs" dxfId="4137" priority="972" operator="equal">
      <formula>"DSM"</formula>
    </cfRule>
  </conditionalFormatting>
  <conditionalFormatting sqref="S817">
    <cfRule type="cellIs" dxfId="4136" priority="971" operator="equal">
      <formula>"DSM"</formula>
    </cfRule>
  </conditionalFormatting>
  <conditionalFormatting sqref="S818">
    <cfRule type="cellIs" dxfId="4135" priority="970" operator="equal">
      <formula>"DSM"</formula>
    </cfRule>
  </conditionalFormatting>
  <conditionalFormatting sqref="S813">
    <cfRule type="cellIs" dxfId="4134" priority="969" operator="equal">
      <formula>"DSM"</formula>
    </cfRule>
  </conditionalFormatting>
  <conditionalFormatting sqref="S815">
    <cfRule type="cellIs" dxfId="4133" priority="968" operator="equal">
      <formula>"DSM"</formula>
    </cfRule>
  </conditionalFormatting>
  <conditionalFormatting sqref="S819">
    <cfRule type="cellIs" dxfId="4132" priority="967" operator="equal">
      <formula>"DSM"</formula>
    </cfRule>
  </conditionalFormatting>
  <conditionalFormatting sqref="S822">
    <cfRule type="cellIs" dxfId="4131" priority="966" operator="equal">
      <formula>"DSM"</formula>
    </cfRule>
  </conditionalFormatting>
  <conditionalFormatting sqref="S823">
    <cfRule type="cellIs" dxfId="4130" priority="965" operator="equal">
      <formula>"DSM"</formula>
    </cfRule>
  </conditionalFormatting>
  <conditionalFormatting sqref="S824">
    <cfRule type="cellIs" dxfId="4129" priority="964" operator="equal">
      <formula>"DSM"</formula>
    </cfRule>
  </conditionalFormatting>
  <conditionalFormatting sqref="S825">
    <cfRule type="cellIs" dxfId="4128" priority="963" operator="equal">
      <formula>"DSM"</formula>
    </cfRule>
  </conditionalFormatting>
  <conditionalFormatting sqref="S826">
    <cfRule type="cellIs" dxfId="4127" priority="962" operator="equal">
      <formula>"DSM"</formula>
    </cfRule>
  </conditionalFormatting>
  <conditionalFormatting sqref="S827">
    <cfRule type="cellIs" dxfId="4126" priority="961" operator="equal">
      <formula>"DSM"</formula>
    </cfRule>
  </conditionalFormatting>
  <conditionalFormatting sqref="S830">
    <cfRule type="cellIs" dxfId="4125" priority="960" operator="equal">
      <formula>"DSM"</formula>
    </cfRule>
  </conditionalFormatting>
  <conditionalFormatting sqref="S838">
    <cfRule type="cellIs" dxfId="4124" priority="959" operator="equal">
      <formula>"DSM"</formula>
    </cfRule>
  </conditionalFormatting>
  <conditionalFormatting sqref="S839">
    <cfRule type="cellIs" dxfId="4123" priority="958" operator="equal">
      <formula>"DSM"</formula>
    </cfRule>
  </conditionalFormatting>
  <conditionalFormatting sqref="S840">
    <cfRule type="cellIs" dxfId="4122" priority="957" operator="equal">
      <formula>"DSM"</formula>
    </cfRule>
  </conditionalFormatting>
  <conditionalFormatting sqref="S841">
    <cfRule type="cellIs" dxfId="4121" priority="956" operator="equal">
      <formula>"DSM"</formula>
    </cfRule>
  </conditionalFormatting>
  <conditionalFormatting sqref="S842">
    <cfRule type="cellIs" dxfId="4120" priority="955" operator="equal">
      <formula>"DSM"</formula>
    </cfRule>
  </conditionalFormatting>
  <conditionalFormatting sqref="S843">
    <cfRule type="cellIs" dxfId="4119" priority="954" operator="equal">
      <formula>"DSM"</formula>
    </cfRule>
  </conditionalFormatting>
  <conditionalFormatting sqref="S845">
    <cfRule type="cellIs" dxfId="4118" priority="953" operator="equal">
      <formula>"DSM"</formula>
    </cfRule>
  </conditionalFormatting>
  <conditionalFormatting sqref="S846">
    <cfRule type="cellIs" dxfId="4117" priority="952" operator="equal">
      <formula>"DSM"</formula>
    </cfRule>
  </conditionalFormatting>
  <conditionalFormatting sqref="S847">
    <cfRule type="cellIs" dxfId="4116" priority="951" operator="equal">
      <formula>"DSM"</formula>
    </cfRule>
  </conditionalFormatting>
  <conditionalFormatting sqref="S848">
    <cfRule type="cellIs" dxfId="4115" priority="950" operator="equal">
      <formula>"DSM"</formula>
    </cfRule>
  </conditionalFormatting>
  <conditionalFormatting sqref="S849">
    <cfRule type="cellIs" dxfId="4114" priority="949" operator="equal">
      <formula>"DSM"</formula>
    </cfRule>
  </conditionalFormatting>
  <conditionalFormatting sqref="S850">
    <cfRule type="cellIs" dxfId="4113" priority="948" operator="equal">
      <formula>"DSM"</formula>
    </cfRule>
  </conditionalFormatting>
  <conditionalFormatting sqref="S851">
    <cfRule type="cellIs" dxfId="4112" priority="947" operator="equal">
      <formula>"DSM"</formula>
    </cfRule>
  </conditionalFormatting>
  <conditionalFormatting sqref="S852">
    <cfRule type="cellIs" dxfId="4111" priority="946" operator="equal">
      <formula>"DSM"</formula>
    </cfRule>
  </conditionalFormatting>
  <conditionalFormatting sqref="S853">
    <cfRule type="cellIs" dxfId="4110" priority="945" operator="equal">
      <formula>"DSM"</formula>
    </cfRule>
  </conditionalFormatting>
  <conditionalFormatting sqref="S856">
    <cfRule type="cellIs" dxfId="4109" priority="944" operator="equal">
      <formula>"DSM"</formula>
    </cfRule>
  </conditionalFormatting>
  <conditionalFormatting sqref="S857">
    <cfRule type="cellIs" dxfId="4108" priority="943" operator="equal">
      <formula>"DSM"</formula>
    </cfRule>
  </conditionalFormatting>
  <conditionalFormatting sqref="S858">
    <cfRule type="cellIs" dxfId="4107" priority="942" operator="equal">
      <formula>"DSM"</formula>
    </cfRule>
  </conditionalFormatting>
  <conditionalFormatting sqref="S854">
    <cfRule type="cellIs" dxfId="4106" priority="941" operator="equal">
      <formula>"DSM"</formula>
    </cfRule>
  </conditionalFormatting>
  <conditionalFormatting sqref="S859">
    <cfRule type="cellIs" dxfId="4105" priority="940" operator="equal">
      <formula>"DSM"</formula>
    </cfRule>
  </conditionalFormatting>
  <conditionalFormatting sqref="S860">
    <cfRule type="cellIs" dxfId="4104" priority="939" operator="equal">
      <formula>"DSM"</formula>
    </cfRule>
  </conditionalFormatting>
  <conditionalFormatting sqref="S861">
    <cfRule type="cellIs" dxfId="4103" priority="938" operator="equal">
      <formula>"DSM"</formula>
    </cfRule>
  </conditionalFormatting>
  <conditionalFormatting sqref="S862">
    <cfRule type="cellIs" dxfId="4102" priority="937" operator="equal">
      <formula>"DSM"</formula>
    </cfRule>
  </conditionalFormatting>
  <conditionalFormatting sqref="S863">
    <cfRule type="cellIs" dxfId="4101" priority="936" operator="equal">
      <formula>"DSM"</formula>
    </cfRule>
  </conditionalFormatting>
  <conditionalFormatting sqref="S864">
    <cfRule type="cellIs" dxfId="4100" priority="935" operator="equal">
      <formula>"DSM"</formula>
    </cfRule>
  </conditionalFormatting>
  <conditionalFormatting sqref="S866">
    <cfRule type="cellIs" dxfId="4099" priority="934" operator="equal">
      <formula>"DSM"</formula>
    </cfRule>
  </conditionalFormatting>
  <conditionalFormatting sqref="S867">
    <cfRule type="cellIs" dxfId="4098" priority="933" operator="equal">
      <formula>"DSM"</formula>
    </cfRule>
  </conditionalFormatting>
  <conditionalFormatting sqref="S868">
    <cfRule type="cellIs" dxfId="4097" priority="932" operator="equal">
      <formula>"DSM"</formula>
    </cfRule>
  </conditionalFormatting>
  <conditionalFormatting sqref="S869">
    <cfRule type="cellIs" dxfId="4096" priority="931" operator="equal">
      <formula>"DSM"</formula>
    </cfRule>
  </conditionalFormatting>
  <conditionalFormatting sqref="S870">
    <cfRule type="cellIs" dxfId="4095" priority="930" operator="equal">
      <formula>"DSM"</formula>
    </cfRule>
  </conditionalFormatting>
  <conditionalFormatting sqref="S865">
    <cfRule type="cellIs" dxfId="4094" priority="929" operator="equal">
      <formula>"DSM"</formula>
    </cfRule>
  </conditionalFormatting>
  <conditionalFormatting sqref="S880">
    <cfRule type="cellIs" dxfId="4093" priority="928" operator="equal">
      <formula>"DSM"</formula>
    </cfRule>
  </conditionalFormatting>
  <conditionalFormatting sqref="S871">
    <cfRule type="cellIs" dxfId="4092" priority="927" operator="equal">
      <formula>"DSM"</formula>
    </cfRule>
  </conditionalFormatting>
  <conditionalFormatting sqref="S873">
    <cfRule type="cellIs" dxfId="4091" priority="926" operator="equal">
      <formula>"DSM"</formula>
    </cfRule>
  </conditionalFormatting>
  <conditionalFormatting sqref="S874">
    <cfRule type="cellIs" dxfId="4090" priority="925" operator="equal">
      <formula>"DSM"</formula>
    </cfRule>
  </conditionalFormatting>
  <conditionalFormatting sqref="S875">
    <cfRule type="cellIs" dxfId="4089" priority="924" operator="equal">
      <formula>"DSM"</formula>
    </cfRule>
  </conditionalFormatting>
  <conditionalFormatting sqref="S877">
    <cfRule type="cellIs" dxfId="4088" priority="923" operator="equal">
      <formula>"DSM"</formula>
    </cfRule>
  </conditionalFormatting>
  <conditionalFormatting sqref="S1:S2">
    <cfRule type="cellIs" dxfId="4087" priority="922" operator="equal">
      <formula>"DSM"</formula>
    </cfRule>
  </conditionalFormatting>
  <conditionalFormatting sqref="R38">
    <cfRule type="expression" dxfId="4086" priority="797">
      <formula>$T38="DSM"</formula>
    </cfRule>
    <cfRule type="expression" dxfId="4085" priority="798">
      <formula>SEARCH("RBT",$T1)&gt;0</formula>
    </cfRule>
    <cfRule type="expression" dxfId="4084" priority="799">
      <formula>SEARCH("GST",$T1)&gt;0</formula>
    </cfRule>
    <cfRule type="expression" dxfId="4083" priority="800">
      <formula>SEARCH("CHN",$T38)&gt;0</formula>
    </cfRule>
    <cfRule type="expression" dxfId="4082" priority="801">
      <formula>$T38="LFS"</formula>
    </cfRule>
  </conditionalFormatting>
  <conditionalFormatting sqref="R39">
    <cfRule type="expression" dxfId="4081" priority="782">
      <formula>$T39="DSM"</formula>
    </cfRule>
    <cfRule type="expression" dxfId="4080" priority="783">
      <formula>SEARCH("RBT",$T2)&gt;0</formula>
    </cfRule>
    <cfRule type="expression" dxfId="4079" priority="784">
      <formula>SEARCH("GST",$T2)&gt;0</formula>
    </cfRule>
    <cfRule type="expression" dxfId="4078" priority="785">
      <formula>SEARCH("CHN",$T39)&gt;0</formula>
    </cfRule>
    <cfRule type="expression" dxfId="4077" priority="786">
      <formula>$T39="LFS"</formula>
    </cfRule>
  </conditionalFormatting>
  <conditionalFormatting sqref="O39:Q39">
    <cfRule type="expression" dxfId="4076" priority="777">
      <formula>$T39="DSM"</formula>
    </cfRule>
    <cfRule type="expression" dxfId="4075" priority="778">
      <formula>SEARCH("RBT",$T1)&gt;0</formula>
    </cfRule>
    <cfRule type="expression" dxfId="4074" priority="779">
      <formula>SEARCH("GST",$T1)&gt;0</formula>
    </cfRule>
    <cfRule type="expression" dxfId="4073" priority="780">
      <formula>SEARCH("CHN",$T39)&gt;0</formula>
    </cfRule>
    <cfRule type="expression" dxfId="4072" priority="781">
      <formula>$T39="LFS"</formula>
    </cfRule>
  </conditionalFormatting>
  <conditionalFormatting sqref="S39:X39">
    <cfRule type="expression" dxfId="4071" priority="772">
      <formula>$T39="DSM"</formula>
    </cfRule>
    <cfRule type="expression" dxfId="4070" priority="773">
      <formula>SEARCH("RBT",$T1)&gt;0</formula>
    </cfRule>
    <cfRule type="expression" dxfId="4069" priority="774">
      <formula>SEARCH("GST",$T1)&gt;0</formula>
    </cfRule>
    <cfRule type="expression" dxfId="4068" priority="775">
      <formula>SEARCH("CHN",$T39)&gt;0</formula>
    </cfRule>
    <cfRule type="expression" dxfId="4067" priority="776">
      <formula>$T39="LFS"</formula>
    </cfRule>
  </conditionalFormatting>
  <conditionalFormatting sqref="R41">
    <cfRule type="expression" dxfId="4066" priority="767">
      <formula>$T41="DSM"</formula>
    </cfRule>
    <cfRule type="expression" dxfId="4065" priority="768">
      <formula>SEARCH("RBT",$T4)&gt;0</formula>
    </cfRule>
    <cfRule type="expression" dxfId="4064" priority="769">
      <formula>SEARCH("GST",$T4)&gt;0</formula>
    </cfRule>
    <cfRule type="expression" dxfId="4063" priority="770">
      <formula>SEARCH("CHN",$T41)&gt;0</formula>
    </cfRule>
    <cfRule type="expression" dxfId="4062" priority="771">
      <formula>$T41="LFS"</formula>
    </cfRule>
  </conditionalFormatting>
  <conditionalFormatting sqref="O41:Q41">
    <cfRule type="expression" dxfId="4061" priority="762">
      <formula>$T41="DSM"</formula>
    </cfRule>
    <cfRule type="expression" dxfId="4060" priority="763">
      <formula>SEARCH("RBT",$T3)&gt;0</formula>
    </cfRule>
    <cfRule type="expression" dxfId="4059" priority="764">
      <formula>SEARCH("GST",$T3)&gt;0</formula>
    </cfRule>
    <cfRule type="expression" dxfId="4058" priority="765">
      <formula>SEARCH("CHN",$T41)&gt;0</formula>
    </cfRule>
    <cfRule type="expression" dxfId="4057" priority="766">
      <formula>$T41="LFS"</formula>
    </cfRule>
  </conditionalFormatting>
  <conditionalFormatting sqref="S41:X41">
    <cfRule type="expression" dxfId="4056" priority="757">
      <formula>$T41="DSM"</formula>
    </cfRule>
    <cfRule type="expression" dxfId="4055" priority="758">
      <formula>SEARCH("RBT",$T3)&gt;0</formula>
    </cfRule>
    <cfRule type="expression" dxfId="4054" priority="759">
      <formula>SEARCH("GST",$T3)&gt;0</formula>
    </cfRule>
    <cfRule type="expression" dxfId="4053" priority="760">
      <formula>SEARCH("CHN",$T41)&gt;0</formula>
    </cfRule>
    <cfRule type="expression" dxfId="4052" priority="761">
      <formula>$T41="LFS"</formula>
    </cfRule>
  </conditionalFormatting>
  <conditionalFormatting sqref="R42">
    <cfRule type="expression" dxfId="4051" priority="752">
      <formula>$T42="DSM"</formula>
    </cfRule>
    <cfRule type="expression" dxfId="4050" priority="753">
      <formula>SEARCH("RBT",$T5)&gt;0</formula>
    </cfRule>
    <cfRule type="expression" dxfId="4049" priority="754">
      <formula>SEARCH("GST",$T5)&gt;0</formula>
    </cfRule>
    <cfRule type="expression" dxfId="4048" priority="755">
      <formula>SEARCH("CHN",$T42)&gt;0</formula>
    </cfRule>
    <cfRule type="expression" dxfId="4047" priority="756">
      <formula>$T42="LFS"</formula>
    </cfRule>
  </conditionalFormatting>
  <conditionalFormatting sqref="O42:Q42">
    <cfRule type="expression" dxfId="4046" priority="747">
      <formula>$T42="DSM"</formula>
    </cfRule>
    <cfRule type="expression" dxfId="4045" priority="748">
      <formula>SEARCH("RBT",$T4)&gt;0</formula>
    </cfRule>
    <cfRule type="expression" dxfId="4044" priority="749">
      <formula>SEARCH("GST",$T4)&gt;0</formula>
    </cfRule>
    <cfRule type="expression" dxfId="4043" priority="750">
      <formula>SEARCH("CHN",$T42)&gt;0</formula>
    </cfRule>
    <cfRule type="expression" dxfId="4042" priority="751">
      <formula>$T42="LFS"</formula>
    </cfRule>
  </conditionalFormatting>
  <conditionalFormatting sqref="S42:X42">
    <cfRule type="expression" dxfId="4041" priority="742">
      <formula>$T42="DSM"</formula>
    </cfRule>
    <cfRule type="expression" dxfId="4040" priority="743">
      <formula>SEARCH("RBT",$T4)&gt;0</formula>
    </cfRule>
    <cfRule type="expression" dxfId="4039" priority="744">
      <formula>SEARCH("GST",$T4)&gt;0</formula>
    </cfRule>
    <cfRule type="expression" dxfId="4038" priority="745">
      <formula>SEARCH("CHN",$T42)&gt;0</formula>
    </cfRule>
    <cfRule type="expression" dxfId="4037" priority="746">
      <formula>$T42="LFS"</formula>
    </cfRule>
  </conditionalFormatting>
  <conditionalFormatting sqref="R43">
    <cfRule type="expression" dxfId="4036" priority="737">
      <formula>$T43="DSM"</formula>
    </cfRule>
    <cfRule type="expression" dxfId="4035" priority="738">
      <formula>SEARCH("RBT",$T6)&gt;0</formula>
    </cfRule>
    <cfRule type="expression" dxfId="4034" priority="739">
      <formula>SEARCH("GST",$T6)&gt;0</formula>
    </cfRule>
    <cfRule type="expression" dxfId="4033" priority="740">
      <formula>SEARCH("CHN",$T43)&gt;0</formula>
    </cfRule>
    <cfRule type="expression" dxfId="4032" priority="741">
      <formula>$T43="LFS"</formula>
    </cfRule>
  </conditionalFormatting>
  <conditionalFormatting sqref="O43:Q43">
    <cfRule type="expression" dxfId="4031" priority="732">
      <formula>$T43="DSM"</formula>
    </cfRule>
    <cfRule type="expression" dxfId="4030" priority="733">
      <formula>SEARCH("RBT",$T5)&gt;0</formula>
    </cfRule>
    <cfRule type="expression" dxfId="4029" priority="734">
      <formula>SEARCH("GST",$T5)&gt;0</formula>
    </cfRule>
    <cfRule type="expression" dxfId="4028" priority="735">
      <formula>SEARCH("CHN",$T43)&gt;0</formula>
    </cfRule>
    <cfRule type="expression" dxfId="4027" priority="736">
      <formula>$T43="LFS"</formula>
    </cfRule>
  </conditionalFormatting>
  <conditionalFormatting sqref="S43:X43">
    <cfRule type="expression" dxfId="4026" priority="727">
      <formula>$T43="DSM"</formula>
    </cfRule>
    <cfRule type="expression" dxfId="4025" priority="728">
      <formula>SEARCH("RBT",$T5)&gt;0</formula>
    </cfRule>
    <cfRule type="expression" dxfId="4024" priority="729">
      <formula>SEARCH("GST",$T5)&gt;0</formula>
    </cfRule>
    <cfRule type="expression" dxfId="4023" priority="730">
      <formula>SEARCH("CHN",$T43)&gt;0</formula>
    </cfRule>
    <cfRule type="expression" dxfId="4022" priority="731">
      <formula>$T43="LFS"</formula>
    </cfRule>
  </conditionalFormatting>
  <conditionalFormatting sqref="S44">
    <cfRule type="expression" dxfId="4021" priority="722">
      <formula>$T44="DSM"</formula>
    </cfRule>
    <cfRule type="expression" dxfId="4020" priority="723">
      <formula>SEARCH("RBT",$T6)&gt;0</formula>
    </cfRule>
    <cfRule type="expression" dxfId="4019" priority="724">
      <formula>SEARCH("GST",$T6)&gt;0</formula>
    </cfRule>
    <cfRule type="expression" dxfId="4018" priority="725">
      <formula>SEARCH("CHN",$T44)&gt;0</formula>
    </cfRule>
    <cfRule type="expression" dxfId="4017" priority="726">
      <formula>$T44="LFS"</formula>
    </cfRule>
  </conditionalFormatting>
  <conditionalFormatting sqref="S45">
    <cfRule type="expression" dxfId="4016" priority="717">
      <formula>$T45="DSM"</formula>
    </cfRule>
    <cfRule type="expression" dxfId="4015" priority="718">
      <formula>SEARCH("RBT",$T7)&gt;0</formula>
    </cfRule>
    <cfRule type="expression" dxfId="4014" priority="719">
      <formula>SEARCH("GST",$T7)&gt;0</formula>
    </cfRule>
    <cfRule type="expression" dxfId="4013" priority="720">
      <formula>SEARCH("CHN",$T45)&gt;0</formula>
    </cfRule>
    <cfRule type="expression" dxfId="4012" priority="721">
      <formula>$T45="LFS"</formula>
    </cfRule>
  </conditionalFormatting>
  <conditionalFormatting sqref="R46">
    <cfRule type="expression" dxfId="4011" priority="712">
      <formula>$T46="DSM"</formula>
    </cfRule>
    <cfRule type="expression" dxfId="4010" priority="713">
      <formula>SEARCH("RBT",$T9)&gt;0</formula>
    </cfRule>
    <cfRule type="expression" dxfId="4009" priority="714">
      <formula>SEARCH("GST",$T9)&gt;0</formula>
    </cfRule>
    <cfRule type="expression" dxfId="4008" priority="715">
      <formula>SEARCH("CHN",$T46)&gt;0</formula>
    </cfRule>
    <cfRule type="expression" dxfId="4007" priority="716">
      <formula>$T46="LFS"</formula>
    </cfRule>
  </conditionalFormatting>
  <conditionalFormatting sqref="O46:Q46">
    <cfRule type="expression" dxfId="4006" priority="707">
      <formula>$T46="DSM"</formula>
    </cfRule>
    <cfRule type="expression" dxfId="4005" priority="708">
      <formula>SEARCH("RBT",$T8)&gt;0</formula>
    </cfRule>
    <cfRule type="expression" dxfId="4004" priority="709">
      <formula>SEARCH("GST",$T8)&gt;0</formula>
    </cfRule>
    <cfRule type="expression" dxfId="4003" priority="710">
      <formula>SEARCH("CHN",$T46)&gt;0</formula>
    </cfRule>
    <cfRule type="expression" dxfId="4002" priority="711">
      <formula>$T46="LFS"</formula>
    </cfRule>
  </conditionalFormatting>
  <conditionalFormatting sqref="S46:X46">
    <cfRule type="expression" dxfId="4001" priority="702">
      <formula>$T46="DSM"</formula>
    </cfRule>
    <cfRule type="expression" dxfId="4000" priority="703">
      <formula>SEARCH("RBT",$T8)&gt;0</formula>
    </cfRule>
    <cfRule type="expression" dxfId="3999" priority="704">
      <formula>SEARCH("GST",$T8)&gt;0</formula>
    </cfRule>
    <cfRule type="expression" dxfId="3998" priority="705">
      <formula>SEARCH("CHN",$T46)&gt;0</formula>
    </cfRule>
    <cfRule type="expression" dxfId="3997" priority="706">
      <formula>$T46="LFS"</formula>
    </cfRule>
  </conditionalFormatting>
  <conditionalFormatting sqref="S47:X47">
    <cfRule type="expression" dxfId="3996" priority="697">
      <formula>$T47="DSM"</formula>
    </cfRule>
    <cfRule type="expression" dxfId="3995" priority="698">
      <formula>SEARCH("RBT",$T9)&gt;0</formula>
    </cfRule>
    <cfRule type="expression" dxfId="3994" priority="699">
      <formula>SEARCH("GST",$T9)&gt;0</formula>
    </cfRule>
    <cfRule type="expression" dxfId="3993" priority="700">
      <formula>SEARCH("CHN",$T47)&gt;0</formula>
    </cfRule>
    <cfRule type="expression" dxfId="3992" priority="701">
      <formula>$T47="LFS"</formula>
    </cfRule>
  </conditionalFormatting>
  <conditionalFormatting sqref="S48:X48">
    <cfRule type="expression" dxfId="3991" priority="692">
      <formula>$T48="DSM"</formula>
    </cfRule>
    <cfRule type="expression" dxfId="3990" priority="693">
      <formula>SEARCH("RBT",$T10)&gt;0</formula>
    </cfRule>
    <cfRule type="expression" dxfId="3989" priority="694">
      <formula>SEARCH("GST",$T10)&gt;0</formula>
    </cfRule>
    <cfRule type="expression" dxfId="3988" priority="695">
      <formula>SEARCH("CHN",$T48)&gt;0</formula>
    </cfRule>
    <cfRule type="expression" dxfId="3987" priority="696">
      <formula>$T48="LFS"</formula>
    </cfRule>
  </conditionalFormatting>
  <conditionalFormatting sqref="O55:T55">
    <cfRule type="expression" dxfId="3986" priority="687">
      <formula>$T55="DSM"</formula>
    </cfRule>
    <cfRule type="expression" dxfId="3985" priority="688">
      <formula>SEARCH("RBT",$T17)&gt;0</formula>
    </cfRule>
    <cfRule type="expression" dxfId="3984" priority="689">
      <formula>SEARCH("GST",$T17)&gt;0</formula>
    </cfRule>
    <cfRule type="expression" dxfId="3983" priority="690">
      <formula>SEARCH("CHN",$T55)&gt;0</formula>
    </cfRule>
    <cfRule type="expression" dxfId="3982" priority="691">
      <formula>$T55="LFS"</formula>
    </cfRule>
  </conditionalFormatting>
  <conditionalFormatting sqref="R56">
    <cfRule type="expression" dxfId="3981" priority="682">
      <formula>$T56="DSM"</formula>
    </cfRule>
    <cfRule type="expression" dxfId="3980" priority="683">
      <formula>SEARCH("RBT",$T19)&gt;0</formula>
    </cfRule>
    <cfRule type="expression" dxfId="3979" priority="684">
      <formula>SEARCH("GST",$T19)&gt;0</formula>
    </cfRule>
    <cfRule type="expression" dxfId="3978" priority="685">
      <formula>SEARCH("CHN",$T56)&gt;0</formula>
    </cfRule>
    <cfRule type="expression" dxfId="3977" priority="686">
      <formula>$T56="LFS"</formula>
    </cfRule>
  </conditionalFormatting>
  <conditionalFormatting sqref="O56:Q56">
    <cfRule type="expression" dxfId="3976" priority="677">
      <formula>$T56="DSM"</formula>
    </cfRule>
    <cfRule type="expression" dxfId="3975" priority="678">
      <formula>SEARCH("RBT",$T18)&gt;0</formula>
    </cfRule>
    <cfRule type="expression" dxfId="3974" priority="679">
      <formula>SEARCH("GST",$T18)&gt;0</formula>
    </cfRule>
    <cfRule type="expression" dxfId="3973" priority="680">
      <formula>SEARCH("CHN",$T56)&gt;0</formula>
    </cfRule>
    <cfRule type="expression" dxfId="3972" priority="681">
      <formula>$T56="LFS"</formula>
    </cfRule>
  </conditionalFormatting>
  <conditionalFormatting sqref="S56:X56">
    <cfRule type="expression" dxfId="3971" priority="672">
      <formula>$T56="DSM"</formula>
    </cfRule>
    <cfRule type="expression" dxfId="3970" priority="673">
      <formula>SEARCH("RBT",$T18)&gt;0</formula>
    </cfRule>
    <cfRule type="expression" dxfId="3969" priority="674">
      <formula>SEARCH("GST",$T18)&gt;0</formula>
    </cfRule>
    <cfRule type="expression" dxfId="3968" priority="675">
      <formula>SEARCH("CHN",$T56)&gt;0</formula>
    </cfRule>
    <cfRule type="expression" dxfId="3967" priority="676">
      <formula>$T56="LFS"</formula>
    </cfRule>
  </conditionalFormatting>
  <conditionalFormatting sqref="R57">
    <cfRule type="expression" dxfId="3966" priority="667">
      <formula>$T57="DSM"</formula>
    </cfRule>
    <cfRule type="expression" dxfId="3965" priority="668">
      <formula>SEARCH("RBT",$T20)&gt;0</formula>
    </cfRule>
    <cfRule type="expression" dxfId="3964" priority="669">
      <formula>SEARCH("GST",$T20)&gt;0</formula>
    </cfRule>
    <cfRule type="expression" dxfId="3963" priority="670">
      <formula>SEARCH("CHN",$T57)&gt;0</formula>
    </cfRule>
    <cfRule type="expression" dxfId="3962" priority="671">
      <formula>$T57="LFS"</formula>
    </cfRule>
  </conditionalFormatting>
  <conditionalFormatting sqref="O57:Q57">
    <cfRule type="expression" dxfId="3961" priority="662">
      <formula>$T57="DSM"</formula>
    </cfRule>
    <cfRule type="expression" dxfId="3960" priority="663">
      <formula>SEARCH("RBT",$T19)&gt;0</formula>
    </cfRule>
    <cfRule type="expression" dxfId="3959" priority="664">
      <formula>SEARCH("GST",$T19)&gt;0</formula>
    </cfRule>
    <cfRule type="expression" dxfId="3958" priority="665">
      <formula>SEARCH("CHN",$T57)&gt;0</formula>
    </cfRule>
    <cfRule type="expression" dxfId="3957" priority="666">
      <formula>$T57="LFS"</formula>
    </cfRule>
  </conditionalFormatting>
  <conditionalFormatting sqref="S57:X57">
    <cfRule type="expression" dxfId="3956" priority="657">
      <formula>$T57="DSM"</formula>
    </cfRule>
    <cfRule type="expression" dxfId="3955" priority="658">
      <formula>SEARCH("RBT",$T19)&gt;0</formula>
    </cfRule>
    <cfRule type="expression" dxfId="3954" priority="659">
      <formula>SEARCH("GST",$T19)&gt;0</formula>
    </cfRule>
    <cfRule type="expression" dxfId="3953" priority="660">
      <formula>SEARCH("CHN",$T57)&gt;0</formula>
    </cfRule>
    <cfRule type="expression" dxfId="3952" priority="661">
      <formula>$T57="LFS"</formula>
    </cfRule>
  </conditionalFormatting>
  <conditionalFormatting sqref="R49">
    <cfRule type="expression" dxfId="3951" priority="652">
      <formula>$T49="DSM"</formula>
    </cfRule>
    <cfRule type="expression" dxfId="3950" priority="653">
      <formula>SEARCH("RBT",$T12)&gt;0</formula>
    </cfRule>
    <cfRule type="expression" dxfId="3949" priority="654">
      <formula>SEARCH("GST",$T12)&gt;0</formula>
    </cfRule>
    <cfRule type="expression" dxfId="3948" priority="655">
      <formula>SEARCH("CHN",$T49)&gt;0</formula>
    </cfRule>
    <cfRule type="expression" dxfId="3947" priority="656">
      <formula>$T49="LFS"</formula>
    </cfRule>
  </conditionalFormatting>
  <conditionalFormatting sqref="O49:Q49">
    <cfRule type="expression" dxfId="3946" priority="647">
      <formula>$T49="DSM"</formula>
    </cfRule>
    <cfRule type="expression" dxfId="3945" priority="648">
      <formula>SEARCH("RBT",$T11)&gt;0</formula>
    </cfRule>
    <cfRule type="expression" dxfId="3944" priority="649">
      <formula>SEARCH("GST",$T11)&gt;0</formula>
    </cfRule>
    <cfRule type="expression" dxfId="3943" priority="650">
      <formula>SEARCH("CHN",$T49)&gt;0</formula>
    </cfRule>
    <cfRule type="expression" dxfId="3942" priority="651">
      <formula>$T49="LFS"</formula>
    </cfRule>
  </conditionalFormatting>
  <conditionalFormatting sqref="S49:X49">
    <cfRule type="expression" dxfId="3941" priority="642">
      <formula>$T49="DSM"</formula>
    </cfRule>
    <cfRule type="expression" dxfId="3940" priority="643">
      <formula>SEARCH("RBT",$T11)&gt;0</formula>
    </cfRule>
    <cfRule type="expression" dxfId="3939" priority="644">
      <formula>SEARCH("GST",$T11)&gt;0</formula>
    </cfRule>
    <cfRule type="expression" dxfId="3938" priority="645">
      <formula>SEARCH("CHN",$T49)&gt;0</formula>
    </cfRule>
    <cfRule type="expression" dxfId="3937" priority="646">
      <formula>$T49="LFS"</formula>
    </cfRule>
  </conditionalFormatting>
  <conditionalFormatting sqref="S50">
    <cfRule type="expression" dxfId="3936" priority="637">
      <formula>$T50="DSM"</formula>
    </cfRule>
    <cfRule type="expression" dxfId="3935" priority="638">
      <formula>SEARCH("RBT",$T12)&gt;0</formula>
    </cfRule>
    <cfRule type="expression" dxfId="3934" priority="639">
      <formula>SEARCH("GST",$T12)&gt;0</formula>
    </cfRule>
    <cfRule type="expression" dxfId="3933" priority="640">
      <formula>SEARCH("CHN",$T50)&gt;0</formula>
    </cfRule>
    <cfRule type="expression" dxfId="3932" priority="641">
      <formula>$T50="LFS"</formula>
    </cfRule>
  </conditionalFormatting>
  <conditionalFormatting sqref="R52">
    <cfRule type="expression" dxfId="3931" priority="632">
      <formula>$T52="DSM"</formula>
    </cfRule>
    <cfRule type="expression" dxfId="3930" priority="633">
      <formula>SEARCH("RBT",$T15)&gt;0</formula>
    </cfRule>
    <cfRule type="expression" dxfId="3929" priority="634">
      <formula>SEARCH("GST",$T15)&gt;0</formula>
    </cfRule>
    <cfRule type="expression" dxfId="3928" priority="635">
      <formula>SEARCH("CHN",$T52)&gt;0</formula>
    </cfRule>
    <cfRule type="expression" dxfId="3927" priority="636">
      <formula>$T52="LFS"</formula>
    </cfRule>
  </conditionalFormatting>
  <conditionalFormatting sqref="O52:Q52">
    <cfRule type="expression" dxfId="3926" priority="627">
      <formula>$T52="DSM"</formula>
    </cfRule>
    <cfRule type="expression" dxfId="3925" priority="628">
      <formula>SEARCH("RBT",$T14)&gt;0</formula>
    </cfRule>
    <cfRule type="expression" dxfId="3924" priority="629">
      <formula>SEARCH("GST",$T14)&gt;0</formula>
    </cfRule>
    <cfRule type="expression" dxfId="3923" priority="630">
      <formula>SEARCH("CHN",$T52)&gt;0</formula>
    </cfRule>
    <cfRule type="expression" dxfId="3922" priority="631">
      <formula>$T52="LFS"</formula>
    </cfRule>
  </conditionalFormatting>
  <conditionalFormatting sqref="S52:X52">
    <cfRule type="expression" dxfId="3921" priority="622">
      <formula>$T52="DSM"</formula>
    </cfRule>
    <cfRule type="expression" dxfId="3920" priority="623">
      <formula>SEARCH("RBT",$T14)&gt;0</formula>
    </cfRule>
    <cfRule type="expression" dxfId="3919" priority="624">
      <formula>SEARCH("GST",$T14)&gt;0</formula>
    </cfRule>
    <cfRule type="expression" dxfId="3918" priority="625">
      <formula>SEARCH("CHN",$T52)&gt;0</formula>
    </cfRule>
    <cfRule type="expression" dxfId="3917" priority="626">
      <formula>$T52="LFS"</formula>
    </cfRule>
  </conditionalFormatting>
  <conditionalFormatting sqref="R53">
    <cfRule type="expression" dxfId="3916" priority="617">
      <formula>$T53="DSM"</formula>
    </cfRule>
    <cfRule type="expression" dxfId="3915" priority="618">
      <formula>SEARCH("RBT",$T16)&gt;0</formula>
    </cfRule>
    <cfRule type="expression" dxfId="3914" priority="619">
      <formula>SEARCH("GST",$T16)&gt;0</formula>
    </cfRule>
    <cfRule type="expression" dxfId="3913" priority="620">
      <formula>SEARCH("CHN",$T53)&gt;0</formula>
    </cfRule>
    <cfRule type="expression" dxfId="3912" priority="621">
      <formula>$T53="LFS"</formula>
    </cfRule>
  </conditionalFormatting>
  <conditionalFormatting sqref="O53:Q53">
    <cfRule type="expression" dxfId="3911" priority="612">
      <formula>$T53="DSM"</formula>
    </cfRule>
    <cfRule type="expression" dxfId="3910" priority="613">
      <formula>SEARCH("RBT",$T15)&gt;0</formula>
    </cfRule>
    <cfRule type="expression" dxfId="3909" priority="614">
      <formula>SEARCH("GST",$T15)&gt;0</formula>
    </cfRule>
    <cfRule type="expression" dxfId="3908" priority="615">
      <formula>SEARCH("CHN",$T53)&gt;0</formula>
    </cfRule>
    <cfRule type="expression" dxfId="3907" priority="616">
      <formula>$T53="LFS"</formula>
    </cfRule>
  </conditionalFormatting>
  <conditionalFormatting sqref="S53:X53">
    <cfRule type="expression" dxfId="3906" priority="607">
      <formula>$T53="DSM"</formula>
    </cfRule>
    <cfRule type="expression" dxfId="3905" priority="608">
      <formula>SEARCH("RBT",$T15)&gt;0</formula>
    </cfRule>
    <cfRule type="expression" dxfId="3904" priority="609">
      <formula>SEARCH("GST",$T15)&gt;0</formula>
    </cfRule>
    <cfRule type="expression" dxfId="3903" priority="610">
      <formula>SEARCH("CHN",$T53)&gt;0</formula>
    </cfRule>
    <cfRule type="expression" dxfId="3902" priority="611">
      <formula>$T53="LFS"</formula>
    </cfRule>
  </conditionalFormatting>
  <conditionalFormatting sqref="R54">
    <cfRule type="expression" dxfId="3901" priority="602">
      <formula>$T54="DSM"</formula>
    </cfRule>
    <cfRule type="expression" dxfId="3900" priority="603">
      <formula>SEARCH("RBT",$T17)&gt;0</formula>
    </cfRule>
    <cfRule type="expression" dxfId="3899" priority="604">
      <formula>SEARCH("GST",$T17)&gt;0</formula>
    </cfRule>
    <cfRule type="expression" dxfId="3898" priority="605">
      <formula>SEARCH("CHN",$T54)&gt;0</formula>
    </cfRule>
    <cfRule type="expression" dxfId="3897" priority="606">
      <formula>$T54="LFS"</formula>
    </cfRule>
  </conditionalFormatting>
  <conditionalFormatting sqref="O54:Q54">
    <cfRule type="expression" dxfId="3896" priority="597">
      <formula>$T54="DSM"</formula>
    </cfRule>
    <cfRule type="expression" dxfId="3895" priority="598">
      <formula>SEARCH("RBT",$T16)&gt;0</formula>
    </cfRule>
    <cfRule type="expression" dxfId="3894" priority="599">
      <formula>SEARCH("GST",$T16)&gt;0</formula>
    </cfRule>
    <cfRule type="expression" dxfId="3893" priority="600">
      <formula>SEARCH("CHN",$T54)&gt;0</formula>
    </cfRule>
    <cfRule type="expression" dxfId="3892" priority="601">
      <formula>$T54="LFS"</formula>
    </cfRule>
  </conditionalFormatting>
  <conditionalFormatting sqref="S54:X54">
    <cfRule type="expression" dxfId="3891" priority="592">
      <formula>$T54="DSM"</formula>
    </cfRule>
    <cfRule type="expression" dxfId="3890" priority="593">
      <formula>SEARCH("RBT",$T16)&gt;0</formula>
    </cfRule>
    <cfRule type="expression" dxfId="3889" priority="594">
      <formula>SEARCH("GST",$T16)&gt;0</formula>
    </cfRule>
    <cfRule type="expression" dxfId="3888" priority="595">
      <formula>SEARCH("CHN",$T54)&gt;0</formula>
    </cfRule>
    <cfRule type="expression" dxfId="3887" priority="596">
      <formula>$T54="LFS"</formula>
    </cfRule>
  </conditionalFormatting>
  <conditionalFormatting sqref="R51">
    <cfRule type="expression" dxfId="3886" priority="587">
      <formula>$T51="DSM"</formula>
    </cfRule>
    <cfRule type="expression" dxfId="3885" priority="588">
      <formula>SEARCH("RBT",$T14)&gt;0</formula>
    </cfRule>
    <cfRule type="expression" dxfId="3884" priority="589">
      <formula>SEARCH("GST",$T14)&gt;0</formula>
    </cfRule>
    <cfRule type="expression" dxfId="3883" priority="590">
      <formula>SEARCH("CHN",$T51)&gt;0</formula>
    </cfRule>
    <cfRule type="expression" dxfId="3882" priority="591">
      <formula>$T51="LFS"</formula>
    </cfRule>
  </conditionalFormatting>
  <conditionalFormatting sqref="O51:Q51">
    <cfRule type="expression" dxfId="3881" priority="582">
      <formula>$T51="DSM"</formula>
    </cfRule>
    <cfRule type="expression" dxfId="3880" priority="583">
      <formula>SEARCH("RBT",$T13)&gt;0</formula>
    </cfRule>
    <cfRule type="expression" dxfId="3879" priority="584">
      <formula>SEARCH("GST",$T13)&gt;0</formula>
    </cfRule>
    <cfRule type="expression" dxfId="3878" priority="585">
      <formula>SEARCH("CHN",$T51)&gt;0</formula>
    </cfRule>
    <cfRule type="expression" dxfId="3877" priority="586">
      <formula>$T51="LFS"</formula>
    </cfRule>
  </conditionalFormatting>
  <conditionalFormatting sqref="S51:X51">
    <cfRule type="expression" dxfId="3876" priority="577">
      <formula>$T51="DSM"</formula>
    </cfRule>
    <cfRule type="expression" dxfId="3875" priority="578">
      <formula>SEARCH("RBT",$T13)&gt;0</formula>
    </cfRule>
    <cfRule type="expression" dxfId="3874" priority="579">
      <formula>SEARCH("GST",$T13)&gt;0</formula>
    </cfRule>
    <cfRule type="expression" dxfId="3873" priority="580">
      <formula>SEARCH("CHN",$T51)&gt;0</formula>
    </cfRule>
    <cfRule type="expression" dxfId="3872" priority="581">
      <formula>$T51="LFS"</formula>
    </cfRule>
  </conditionalFormatting>
  <conditionalFormatting sqref="R58">
    <cfRule type="expression" dxfId="3871" priority="572">
      <formula>$T58="DSM"</formula>
    </cfRule>
    <cfRule type="expression" dxfId="3870" priority="573">
      <formula>SEARCH("RBT",$T21)&gt;0</formula>
    </cfRule>
    <cfRule type="expression" dxfId="3869" priority="574">
      <formula>SEARCH("GST",$T21)&gt;0</formula>
    </cfRule>
    <cfRule type="expression" dxfId="3868" priority="575">
      <formula>SEARCH("CHN",$T58)&gt;0</formula>
    </cfRule>
    <cfRule type="expression" dxfId="3867" priority="576">
      <formula>$T58="LFS"</formula>
    </cfRule>
  </conditionalFormatting>
  <conditionalFormatting sqref="O58:Q58">
    <cfRule type="expression" dxfId="3866" priority="567">
      <formula>$T58="DSM"</formula>
    </cfRule>
    <cfRule type="expression" dxfId="3865" priority="568">
      <formula>SEARCH("RBT",$T20)&gt;0</formula>
    </cfRule>
    <cfRule type="expression" dxfId="3864" priority="569">
      <formula>SEARCH("GST",$T20)&gt;0</formula>
    </cfRule>
    <cfRule type="expression" dxfId="3863" priority="570">
      <formula>SEARCH("CHN",$T58)&gt;0</formula>
    </cfRule>
    <cfRule type="expression" dxfId="3862" priority="571">
      <formula>$T58="LFS"</formula>
    </cfRule>
  </conditionalFormatting>
  <conditionalFormatting sqref="S58:X58">
    <cfRule type="expression" dxfId="3861" priority="562">
      <formula>$T58="DSM"</formula>
    </cfRule>
    <cfRule type="expression" dxfId="3860" priority="563">
      <formula>SEARCH("RBT",$T20)&gt;0</formula>
    </cfRule>
    <cfRule type="expression" dxfId="3859" priority="564">
      <formula>SEARCH("GST",$T20)&gt;0</formula>
    </cfRule>
    <cfRule type="expression" dxfId="3858" priority="565">
      <formula>SEARCH("CHN",$T58)&gt;0</formula>
    </cfRule>
    <cfRule type="expression" dxfId="3857" priority="566">
      <formula>$T58="LFS"</formula>
    </cfRule>
  </conditionalFormatting>
  <conditionalFormatting sqref="R59:R60">
    <cfRule type="expression" dxfId="3856" priority="557">
      <formula>$T59="DSM"</formula>
    </cfRule>
    <cfRule type="expression" dxfId="3855" priority="558">
      <formula>SEARCH("RBT",$T22)&gt;0</formula>
    </cfRule>
    <cfRule type="expression" dxfId="3854" priority="559">
      <formula>SEARCH("GST",$T22)&gt;0</formula>
    </cfRule>
    <cfRule type="expression" dxfId="3853" priority="560">
      <formula>SEARCH("CHN",$T59)&gt;0</formula>
    </cfRule>
    <cfRule type="expression" dxfId="3852" priority="561">
      <formula>$T59="LFS"</formula>
    </cfRule>
  </conditionalFormatting>
  <conditionalFormatting sqref="O59:Q60">
    <cfRule type="expression" dxfId="3851" priority="552">
      <formula>$T59="DSM"</formula>
    </cfRule>
    <cfRule type="expression" dxfId="3850" priority="553">
      <formula>SEARCH("RBT",$T21)&gt;0</formula>
    </cfRule>
    <cfRule type="expression" dxfId="3849" priority="554">
      <formula>SEARCH("GST",$T21)&gt;0</formula>
    </cfRule>
    <cfRule type="expression" dxfId="3848" priority="555">
      <formula>SEARCH("CHN",$T59)&gt;0</formula>
    </cfRule>
    <cfRule type="expression" dxfId="3847" priority="556">
      <formula>$T59="LFS"</formula>
    </cfRule>
  </conditionalFormatting>
  <conditionalFormatting sqref="S59:X60">
    <cfRule type="expression" dxfId="3846" priority="547">
      <formula>$T59="DSM"</formula>
    </cfRule>
    <cfRule type="expression" dxfId="3845" priority="548">
      <formula>SEARCH("RBT",$T21)&gt;0</formula>
    </cfRule>
    <cfRule type="expression" dxfId="3844" priority="549">
      <formula>SEARCH("GST",$T21)&gt;0</formula>
    </cfRule>
    <cfRule type="expression" dxfId="3843" priority="550">
      <formula>SEARCH("CHN",$T59)&gt;0</formula>
    </cfRule>
    <cfRule type="expression" dxfId="3842" priority="551">
      <formula>$T59="LFS"</formula>
    </cfRule>
  </conditionalFormatting>
  <conditionalFormatting sqref="R61:R62">
    <cfRule type="expression" dxfId="3841" priority="542">
      <formula>$T61="DSM"</formula>
    </cfRule>
    <cfRule type="expression" dxfId="3840" priority="543">
      <formula>SEARCH("RBT",$T24)&gt;0</formula>
    </cfRule>
    <cfRule type="expression" dxfId="3839" priority="544">
      <formula>SEARCH("GST",$T24)&gt;0</formula>
    </cfRule>
    <cfRule type="expression" dxfId="3838" priority="545">
      <formula>SEARCH("CHN",$T61)&gt;0</formula>
    </cfRule>
    <cfRule type="expression" dxfId="3837" priority="546">
      <formula>$T61="LFS"</formula>
    </cfRule>
  </conditionalFormatting>
  <conditionalFormatting sqref="O61:Q62">
    <cfRule type="expression" dxfId="3836" priority="537">
      <formula>$T61="DSM"</formula>
    </cfRule>
    <cfRule type="expression" dxfId="3835" priority="538">
      <formula>SEARCH("RBT",$T23)&gt;0</formula>
    </cfRule>
    <cfRule type="expression" dxfId="3834" priority="539">
      <formula>SEARCH("GST",$T23)&gt;0</formula>
    </cfRule>
    <cfRule type="expression" dxfId="3833" priority="540">
      <formula>SEARCH("CHN",$T61)&gt;0</formula>
    </cfRule>
    <cfRule type="expression" dxfId="3832" priority="541">
      <formula>$T61="LFS"</formula>
    </cfRule>
  </conditionalFormatting>
  <conditionalFormatting sqref="S61:X62">
    <cfRule type="expression" dxfId="3831" priority="532">
      <formula>$T61="DSM"</formula>
    </cfRule>
    <cfRule type="expression" dxfId="3830" priority="533">
      <formula>SEARCH("RBT",$T23)&gt;0</formula>
    </cfRule>
    <cfRule type="expression" dxfId="3829" priority="534">
      <formula>SEARCH("GST",$T23)&gt;0</formula>
    </cfRule>
    <cfRule type="expression" dxfId="3828" priority="535">
      <formula>SEARCH("CHN",$T61)&gt;0</formula>
    </cfRule>
    <cfRule type="expression" dxfId="3827" priority="536">
      <formula>$T61="LFS"</formula>
    </cfRule>
  </conditionalFormatting>
  <conditionalFormatting sqref="R63">
    <cfRule type="expression" dxfId="3826" priority="527">
      <formula>$T63="DSM"</formula>
    </cfRule>
    <cfRule type="expression" dxfId="3825" priority="528">
      <formula>SEARCH("RBT",$T26)&gt;0</formula>
    </cfRule>
    <cfRule type="expression" dxfId="3824" priority="529">
      <formula>SEARCH("GST",$T26)&gt;0</formula>
    </cfRule>
    <cfRule type="expression" dxfId="3823" priority="530">
      <formula>SEARCH("CHN",$T63)&gt;0</formula>
    </cfRule>
    <cfRule type="expression" dxfId="3822" priority="531">
      <formula>$T63="LFS"</formula>
    </cfRule>
  </conditionalFormatting>
  <conditionalFormatting sqref="O63:Q63">
    <cfRule type="expression" dxfId="3821" priority="522">
      <formula>$T63="DSM"</formula>
    </cfRule>
    <cfRule type="expression" dxfId="3820" priority="523">
      <formula>SEARCH("RBT",$T25)&gt;0</formula>
    </cfRule>
    <cfRule type="expression" dxfId="3819" priority="524">
      <formula>SEARCH("GST",$T25)&gt;0</formula>
    </cfRule>
    <cfRule type="expression" dxfId="3818" priority="525">
      <formula>SEARCH("CHN",$T63)&gt;0</formula>
    </cfRule>
    <cfRule type="expression" dxfId="3817" priority="526">
      <formula>$T63="LFS"</formula>
    </cfRule>
  </conditionalFormatting>
  <conditionalFormatting sqref="S63:X63">
    <cfRule type="expression" dxfId="3816" priority="517">
      <formula>$T63="DSM"</formula>
    </cfRule>
    <cfRule type="expression" dxfId="3815" priority="518">
      <formula>SEARCH("RBT",$T25)&gt;0</formula>
    </cfRule>
    <cfRule type="expression" dxfId="3814" priority="519">
      <formula>SEARCH("GST",$T25)&gt;0</formula>
    </cfRule>
    <cfRule type="expression" dxfId="3813" priority="520">
      <formula>SEARCH("CHN",$T63)&gt;0</formula>
    </cfRule>
    <cfRule type="expression" dxfId="3812" priority="521">
      <formula>$T63="LFS"</formula>
    </cfRule>
  </conditionalFormatting>
  <conditionalFormatting sqref="R64">
    <cfRule type="expression" dxfId="3811" priority="512">
      <formula>$T64="DSM"</formula>
    </cfRule>
    <cfRule type="expression" dxfId="3810" priority="513">
      <formula>SEARCH("RBT",$T27)&gt;0</formula>
    </cfRule>
    <cfRule type="expression" dxfId="3809" priority="514">
      <formula>SEARCH("GST",$T27)&gt;0</formula>
    </cfRule>
    <cfRule type="expression" dxfId="3808" priority="515">
      <formula>SEARCH("CHN",$T64)&gt;0</formula>
    </cfRule>
    <cfRule type="expression" dxfId="3807" priority="516">
      <formula>$T64="LFS"</formula>
    </cfRule>
  </conditionalFormatting>
  <conditionalFormatting sqref="O64:Q64">
    <cfRule type="expression" dxfId="3806" priority="507">
      <formula>$T64="DSM"</formula>
    </cfRule>
    <cfRule type="expression" dxfId="3805" priority="508">
      <formula>SEARCH("RBT",$T26)&gt;0</formula>
    </cfRule>
    <cfRule type="expression" dxfId="3804" priority="509">
      <formula>SEARCH("GST",$T26)&gt;0</formula>
    </cfRule>
    <cfRule type="expression" dxfId="3803" priority="510">
      <formula>SEARCH("CHN",$T64)&gt;0</formula>
    </cfRule>
    <cfRule type="expression" dxfId="3802" priority="511">
      <formula>$T64="LFS"</formula>
    </cfRule>
  </conditionalFormatting>
  <conditionalFormatting sqref="S64:X64">
    <cfRule type="expression" dxfId="3801" priority="502">
      <formula>$T64="DSM"</formula>
    </cfRule>
    <cfRule type="expression" dxfId="3800" priority="503">
      <formula>SEARCH("RBT",$T26)&gt;0</formula>
    </cfRule>
    <cfRule type="expression" dxfId="3799" priority="504">
      <formula>SEARCH("GST",$T26)&gt;0</formula>
    </cfRule>
    <cfRule type="expression" dxfId="3798" priority="505">
      <formula>SEARCH("CHN",$T64)&gt;0</formula>
    </cfRule>
    <cfRule type="expression" dxfId="3797" priority="506">
      <formula>$T64="LFS"</formula>
    </cfRule>
  </conditionalFormatting>
  <conditionalFormatting sqref="S65">
    <cfRule type="expression" dxfId="3796" priority="497">
      <formula>$T65="DSM"</formula>
    </cfRule>
    <cfRule type="expression" dxfId="3795" priority="498">
      <formula>SEARCH("RBT",$T27)&gt;0</formula>
    </cfRule>
    <cfRule type="expression" dxfId="3794" priority="499">
      <formula>SEARCH("GST",$T27)&gt;0</formula>
    </cfRule>
    <cfRule type="expression" dxfId="3793" priority="500">
      <formula>SEARCH("CHN",$T65)&gt;0</formula>
    </cfRule>
    <cfRule type="expression" dxfId="3792" priority="501">
      <formula>$T65="LFS"</formula>
    </cfRule>
  </conditionalFormatting>
  <conditionalFormatting sqref="J79:N81 J73:N77 D75:E77 O75:R75 T75:X75 D79:E81 O82:Q90 O91:O102">
    <cfRule type="expression" dxfId="3791" priority="3926">
      <formula>$T73="DSM"</formula>
    </cfRule>
    <cfRule type="expression" dxfId="3790" priority="3927">
      <formula>SEARCH("RBT",$T44)&gt;0</formula>
    </cfRule>
    <cfRule type="expression" dxfId="3789" priority="3928">
      <formula>SEARCH("GST",$T44)&gt;0</formula>
    </cfRule>
    <cfRule type="expression" dxfId="3788" priority="3929">
      <formula>SEARCH("CHN",$T73)&gt;0</formula>
    </cfRule>
    <cfRule type="expression" dxfId="3787" priority="3930">
      <formula>$T73="LFS"</formula>
    </cfRule>
  </conditionalFormatting>
  <conditionalFormatting sqref="J92:N92 S93:X93 S95:X95 S91:X91 R92">
    <cfRule type="expression" dxfId="3786" priority="3981">
      <formula>$T91="DSM"</formula>
    </cfRule>
    <cfRule type="expression" dxfId="3785" priority="3982">
      <formula>SEARCH("RBT",$T60)&gt;0</formula>
    </cfRule>
    <cfRule type="expression" dxfId="3784" priority="3983">
      <formula>SEARCH("GST",$T60)&gt;0</formula>
    </cfRule>
    <cfRule type="expression" dxfId="3783" priority="3984">
      <formula>SEARCH("CHN",$T91)&gt;0</formula>
    </cfRule>
    <cfRule type="expression" dxfId="3782" priority="3985">
      <formula>$T91="LFS"</formula>
    </cfRule>
  </conditionalFormatting>
  <conditionalFormatting sqref="O38:Q38 S38:X38">
    <cfRule type="expression" dxfId="3781" priority="4061">
      <formula>$T38="DSM"</formula>
    </cfRule>
    <cfRule type="expression" dxfId="3780" priority="4062">
      <formula>SEARCH("RBT",#REF!)&gt;0</formula>
    </cfRule>
    <cfRule type="expression" dxfId="3779" priority="4063">
      <formula>SEARCH("GST",#REF!)&gt;0</formula>
    </cfRule>
    <cfRule type="expression" dxfId="3778" priority="4064">
      <formula>SEARCH("CHN",$T38)&gt;0</formula>
    </cfRule>
    <cfRule type="expression" dxfId="3777" priority="4065">
      <formula>$T38="LFS"</formula>
    </cfRule>
  </conditionalFormatting>
  <conditionalFormatting sqref="T66:X66">
    <cfRule type="expression" dxfId="3776" priority="492">
      <formula>$T66="DSM"</formula>
    </cfRule>
    <cfRule type="expression" dxfId="3775" priority="493">
      <formula>SEARCH("RBT",#REF!)&gt;0</formula>
    </cfRule>
    <cfRule type="expression" dxfId="3774" priority="494">
      <formula>SEARCH("GST",#REF!)&gt;0</formula>
    </cfRule>
    <cfRule type="expression" dxfId="3773" priority="495">
      <formula>SEARCH("CHN",$T66)&gt;0</formula>
    </cfRule>
    <cfRule type="expression" dxfId="3772" priority="496">
      <formula>$T66="LFS"</formula>
    </cfRule>
  </conditionalFormatting>
  <conditionalFormatting sqref="S66">
    <cfRule type="expression" dxfId="3771" priority="487">
      <formula>$T66="DSM"</formula>
    </cfRule>
    <cfRule type="expression" dxfId="3770" priority="488">
      <formula>SEARCH("RBT",$T28)&gt;0</formula>
    </cfRule>
    <cfRule type="expression" dxfId="3769" priority="489">
      <formula>SEARCH("GST",$T28)&gt;0</formula>
    </cfRule>
    <cfRule type="expression" dxfId="3768" priority="490">
      <formula>SEARCH("CHN",$T66)&gt;0</formula>
    </cfRule>
    <cfRule type="expression" dxfId="3767" priority="491">
      <formula>$T66="LFS"</formula>
    </cfRule>
  </conditionalFormatting>
  <conditionalFormatting sqref="R67:R70">
    <cfRule type="expression" dxfId="3766" priority="482">
      <formula>$T67="DSM"</formula>
    </cfRule>
    <cfRule type="expression" dxfId="3765" priority="483">
      <formula>SEARCH("RBT",$T30)&gt;0</formula>
    </cfRule>
    <cfRule type="expression" dxfId="3764" priority="484">
      <formula>SEARCH("GST",$T30)&gt;0</formula>
    </cfRule>
    <cfRule type="expression" dxfId="3763" priority="485">
      <formula>SEARCH("CHN",$T67)&gt;0</formula>
    </cfRule>
    <cfRule type="expression" dxfId="3762" priority="486">
      <formula>$T67="LFS"</formula>
    </cfRule>
  </conditionalFormatting>
  <conditionalFormatting sqref="O67:Q70">
    <cfRule type="expression" dxfId="3761" priority="477">
      <formula>$T67="DSM"</formula>
    </cfRule>
    <cfRule type="expression" dxfId="3760" priority="478">
      <formula>SEARCH("RBT",$T29)&gt;0</formula>
    </cfRule>
    <cfRule type="expression" dxfId="3759" priority="479">
      <formula>SEARCH("GST",$T29)&gt;0</formula>
    </cfRule>
    <cfRule type="expression" dxfId="3758" priority="480">
      <formula>SEARCH("CHN",$T67)&gt;0</formula>
    </cfRule>
    <cfRule type="expression" dxfId="3757" priority="481">
      <formula>$T67="LFS"</formula>
    </cfRule>
  </conditionalFormatting>
  <conditionalFormatting sqref="S67:X70">
    <cfRule type="expression" dxfId="3756" priority="472">
      <formula>$T67="DSM"</formula>
    </cfRule>
    <cfRule type="expression" dxfId="3755" priority="473">
      <formula>SEARCH("RBT",$T29)&gt;0</formula>
    </cfRule>
    <cfRule type="expression" dxfId="3754" priority="474">
      <formula>SEARCH("GST",$T29)&gt;0</formula>
    </cfRule>
    <cfRule type="expression" dxfId="3753" priority="475">
      <formula>SEARCH("CHN",$T67)&gt;0</formula>
    </cfRule>
    <cfRule type="expression" dxfId="3752" priority="476">
      <formula>$T67="LFS"</formula>
    </cfRule>
  </conditionalFormatting>
  <conditionalFormatting sqref="S71:X71">
    <cfRule type="expression" dxfId="3751" priority="467">
      <formula>$T71="DSM"</formula>
    </cfRule>
    <cfRule type="expression" dxfId="3750" priority="468">
      <formula>SEARCH("RBT",$T33)&gt;0</formula>
    </cfRule>
    <cfRule type="expression" dxfId="3749" priority="469">
      <formula>SEARCH("GST",$T33)&gt;0</formula>
    </cfRule>
    <cfRule type="expression" dxfId="3748" priority="470">
      <formula>SEARCH("CHN",$T71)&gt;0</formula>
    </cfRule>
    <cfRule type="expression" dxfId="3747" priority="471">
      <formula>$T71="LFS"</formula>
    </cfRule>
  </conditionalFormatting>
  <conditionalFormatting sqref="R72:R74">
    <cfRule type="expression" dxfId="3746" priority="462">
      <formula>$T72="DSM"</formula>
    </cfRule>
    <cfRule type="expression" dxfId="3745" priority="463">
      <formula>SEARCH("RBT",$T35)&gt;0</formula>
    </cfRule>
    <cfRule type="expression" dxfId="3744" priority="464">
      <formula>SEARCH("GST",$T35)&gt;0</formula>
    </cfRule>
    <cfRule type="expression" dxfId="3743" priority="465">
      <formula>SEARCH("CHN",$T72)&gt;0</formula>
    </cfRule>
    <cfRule type="expression" dxfId="3742" priority="466">
      <formula>$T72="LFS"</formula>
    </cfRule>
  </conditionalFormatting>
  <conditionalFormatting sqref="O72:Q74">
    <cfRule type="expression" dxfId="3741" priority="457">
      <formula>$T72="DSM"</formula>
    </cfRule>
    <cfRule type="expression" dxfId="3740" priority="458">
      <formula>SEARCH("RBT",$T34)&gt;0</formula>
    </cfRule>
    <cfRule type="expression" dxfId="3739" priority="459">
      <formula>SEARCH("GST",$T34)&gt;0</formula>
    </cfRule>
    <cfRule type="expression" dxfId="3738" priority="460">
      <formula>SEARCH("CHN",$T72)&gt;0</formula>
    </cfRule>
    <cfRule type="expression" dxfId="3737" priority="461">
      <formula>$T72="LFS"</formula>
    </cfRule>
  </conditionalFormatting>
  <conditionalFormatting sqref="S72:X74">
    <cfRule type="expression" dxfId="3736" priority="452">
      <formula>$T72="DSM"</formula>
    </cfRule>
    <cfRule type="expression" dxfId="3735" priority="453">
      <formula>SEARCH("RBT",$T34)&gt;0</formula>
    </cfRule>
    <cfRule type="expression" dxfId="3734" priority="454">
      <formula>SEARCH("GST",$T34)&gt;0</formula>
    </cfRule>
    <cfRule type="expression" dxfId="3733" priority="455">
      <formula>SEARCH("CHN",$T72)&gt;0</formula>
    </cfRule>
    <cfRule type="expression" dxfId="3732" priority="456">
      <formula>$T72="LFS"</formula>
    </cfRule>
  </conditionalFormatting>
  <conditionalFormatting sqref="S75">
    <cfRule type="expression" dxfId="3731" priority="447">
      <formula>$T75="DSM"</formula>
    </cfRule>
    <cfRule type="expression" dxfId="3730" priority="448">
      <formula>SEARCH("RBT",$T37)&gt;0</formula>
    </cfRule>
    <cfRule type="expression" dxfId="3729" priority="449">
      <formula>SEARCH("GST",$T37)&gt;0</formula>
    </cfRule>
    <cfRule type="expression" dxfId="3728" priority="450">
      <formula>SEARCH("CHN",$T75)&gt;0</formula>
    </cfRule>
    <cfRule type="expression" dxfId="3727" priority="451">
      <formula>$T75="LFS"</formula>
    </cfRule>
  </conditionalFormatting>
  <conditionalFormatting sqref="R76:R77">
    <cfRule type="expression" dxfId="3726" priority="442">
      <formula>$T76="DSM"</formula>
    </cfRule>
    <cfRule type="expression" dxfId="3725" priority="443">
      <formula>SEARCH("RBT",$T39)&gt;0</formula>
    </cfRule>
    <cfRule type="expression" dxfId="3724" priority="444">
      <formula>SEARCH("GST",$T39)&gt;0</formula>
    </cfRule>
    <cfRule type="expression" dxfId="3723" priority="445">
      <formula>SEARCH("CHN",$T76)&gt;0</formula>
    </cfRule>
    <cfRule type="expression" dxfId="3722" priority="446">
      <formula>$T76="LFS"</formula>
    </cfRule>
  </conditionalFormatting>
  <conditionalFormatting sqref="O76:Q77">
    <cfRule type="expression" dxfId="3721" priority="437">
      <formula>$T76="DSM"</formula>
    </cfRule>
    <cfRule type="expression" dxfId="3720" priority="438">
      <formula>SEARCH("RBT",$T38)&gt;0</formula>
    </cfRule>
    <cfRule type="expression" dxfId="3719" priority="439">
      <formula>SEARCH("GST",$T38)&gt;0</formula>
    </cfRule>
    <cfRule type="expression" dxfId="3718" priority="440">
      <formula>SEARCH("CHN",$T76)&gt;0</formula>
    </cfRule>
    <cfRule type="expression" dxfId="3717" priority="441">
      <formula>$T76="LFS"</formula>
    </cfRule>
  </conditionalFormatting>
  <conditionalFormatting sqref="S76:X77">
    <cfRule type="expression" dxfId="3716" priority="432">
      <formula>$T76="DSM"</formula>
    </cfRule>
    <cfRule type="expression" dxfId="3715" priority="433">
      <formula>SEARCH("RBT",$T38)&gt;0</formula>
    </cfRule>
    <cfRule type="expression" dxfId="3714" priority="434">
      <formula>SEARCH("GST",$T38)&gt;0</formula>
    </cfRule>
    <cfRule type="expression" dxfId="3713" priority="435">
      <formula>SEARCH("CHN",$T76)&gt;0</formula>
    </cfRule>
    <cfRule type="expression" dxfId="3712" priority="436">
      <formula>$T76="LFS"</formula>
    </cfRule>
  </conditionalFormatting>
  <conditionalFormatting sqref="S78:X78">
    <cfRule type="expression" dxfId="3711" priority="427">
      <formula>$T78="DSM"</formula>
    </cfRule>
    <cfRule type="expression" dxfId="3710" priority="428">
      <formula>SEARCH("RBT",$T40)&gt;0</formula>
    </cfRule>
    <cfRule type="expression" dxfId="3709" priority="429">
      <formula>SEARCH("GST",$T40)&gt;0</formula>
    </cfRule>
    <cfRule type="expression" dxfId="3708" priority="430">
      <formula>SEARCH("CHN",$T78)&gt;0</formula>
    </cfRule>
    <cfRule type="expression" dxfId="3707" priority="431">
      <formula>$T78="LFS"</formula>
    </cfRule>
  </conditionalFormatting>
  <conditionalFormatting sqref="R79:R81">
    <cfRule type="expression" dxfId="3706" priority="422">
      <formula>$T79="DSM"</formula>
    </cfRule>
    <cfRule type="expression" dxfId="3705" priority="423">
      <formula>SEARCH("RBT",$T42)&gt;0</formula>
    </cfRule>
    <cfRule type="expression" dxfId="3704" priority="424">
      <formula>SEARCH("GST",$T42)&gt;0</formula>
    </cfRule>
    <cfRule type="expression" dxfId="3703" priority="425">
      <formula>SEARCH("CHN",$T79)&gt;0</formula>
    </cfRule>
    <cfRule type="expression" dxfId="3702" priority="426">
      <formula>$T79="LFS"</formula>
    </cfRule>
  </conditionalFormatting>
  <conditionalFormatting sqref="O79:Q81">
    <cfRule type="expression" dxfId="3701" priority="417">
      <formula>$T79="DSM"</formula>
    </cfRule>
    <cfRule type="expression" dxfId="3700" priority="418">
      <formula>SEARCH("RBT",$T41)&gt;0</formula>
    </cfRule>
    <cfRule type="expression" dxfId="3699" priority="419">
      <formula>SEARCH("GST",$T41)&gt;0</formula>
    </cfRule>
    <cfRule type="expression" dxfId="3698" priority="420">
      <formula>SEARCH("CHN",$T79)&gt;0</formula>
    </cfRule>
    <cfRule type="expression" dxfId="3697" priority="421">
      <formula>$T79="LFS"</formula>
    </cfRule>
  </conditionalFormatting>
  <conditionalFormatting sqref="S79:X81">
    <cfRule type="expression" dxfId="3696" priority="412">
      <formula>$T79="DSM"</formula>
    </cfRule>
    <cfRule type="expression" dxfId="3695" priority="413">
      <formula>SEARCH("RBT",$T41)&gt;0</formula>
    </cfRule>
    <cfRule type="expression" dxfId="3694" priority="414">
      <formula>SEARCH("GST",$T41)&gt;0</formula>
    </cfRule>
    <cfRule type="expression" dxfId="3693" priority="415">
      <formula>SEARCH("CHN",$T79)&gt;0</formula>
    </cfRule>
    <cfRule type="expression" dxfId="3692" priority="416">
      <formula>$T79="LFS"</formula>
    </cfRule>
  </conditionalFormatting>
  <conditionalFormatting sqref="C94:C95">
    <cfRule type="expression" dxfId="3691" priority="407">
      <formula>$T94="DSM"</formula>
    </cfRule>
    <cfRule type="expression" dxfId="3690" priority="408">
      <formula>SEARCH("RBT",$T64)&gt;0</formula>
    </cfRule>
    <cfRule type="expression" dxfId="3689" priority="409">
      <formula>SEARCH("GST",$T64)&gt;0</formula>
    </cfRule>
    <cfRule type="expression" dxfId="3688" priority="410">
      <formula>SEARCH("CHN",$T94)&gt;0</formula>
    </cfRule>
    <cfRule type="expression" dxfId="3687" priority="411">
      <formula>$T94="LFS"</formula>
    </cfRule>
  </conditionalFormatting>
  <conditionalFormatting sqref="G94:H95">
    <cfRule type="expression" dxfId="3686" priority="402">
      <formula>$T94="DSM"</formula>
    </cfRule>
    <cfRule type="expression" dxfId="3685" priority="403">
      <formula>SEARCH("RBT",$T64)&gt;0</formula>
    </cfRule>
    <cfRule type="expression" dxfId="3684" priority="404">
      <formula>SEARCH("GST",$T64)&gt;0</formula>
    </cfRule>
    <cfRule type="expression" dxfId="3683" priority="405">
      <formula>SEARCH("CHN",$T94)&gt;0</formula>
    </cfRule>
    <cfRule type="expression" dxfId="3682" priority="406">
      <formula>$T94="LFS"</formula>
    </cfRule>
  </conditionalFormatting>
  <conditionalFormatting sqref="C97:C102">
    <cfRule type="expression" dxfId="3681" priority="397">
      <formula>$T97="DSM"</formula>
    </cfRule>
    <cfRule type="expression" dxfId="3680" priority="398">
      <formula>SEARCH("RBT",$T67)&gt;0</formula>
    </cfRule>
    <cfRule type="expression" dxfId="3679" priority="399">
      <formula>SEARCH("GST",$T67)&gt;0</formula>
    </cfRule>
    <cfRule type="expression" dxfId="3678" priority="400">
      <formula>SEARCH("CHN",$T97)&gt;0</formula>
    </cfRule>
    <cfRule type="expression" dxfId="3677" priority="401">
      <formula>$T97="LFS"</formula>
    </cfRule>
  </conditionalFormatting>
  <conditionalFormatting sqref="G97:H102">
    <cfRule type="expression" dxfId="3676" priority="392">
      <formula>$T97="DSM"</formula>
    </cfRule>
    <cfRule type="expression" dxfId="3675" priority="393">
      <formula>SEARCH("RBT",$T67)&gt;0</formula>
    </cfRule>
    <cfRule type="expression" dxfId="3674" priority="394">
      <formula>SEARCH("GST",$T67)&gt;0</formula>
    </cfRule>
    <cfRule type="expression" dxfId="3673" priority="395">
      <formula>SEARCH("CHN",$T97)&gt;0</formula>
    </cfRule>
    <cfRule type="expression" dxfId="3672" priority="396">
      <formula>$T97="LFS"</formula>
    </cfRule>
  </conditionalFormatting>
  <conditionalFormatting sqref="P91:Q97">
    <cfRule type="expression" dxfId="3671" priority="387">
      <formula>$T91="DSM"</formula>
    </cfRule>
    <cfRule type="expression" dxfId="3670" priority="388">
      <formula>SEARCH("RBT",$T62)&gt;0</formula>
    </cfRule>
    <cfRule type="expression" dxfId="3669" priority="389">
      <formula>SEARCH("GST",$T62)&gt;0</formula>
    </cfRule>
    <cfRule type="expression" dxfId="3668" priority="390">
      <formula>SEARCH("CHN",$T91)&gt;0</formula>
    </cfRule>
    <cfRule type="expression" dxfId="3667" priority="391">
      <formula>$T91="LFS"</formula>
    </cfRule>
  </conditionalFormatting>
  <conditionalFormatting sqref="P100:Q100">
    <cfRule type="expression" dxfId="3666" priority="382">
      <formula>$T100="DSM"</formula>
    </cfRule>
    <cfRule type="expression" dxfId="3665" priority="383">
      <formula>SEARCH("RBT",$T71)&gt;0</formula>
    </cfRule>
    <cfRule type="expression" dxfId="3664" priority="384">
      <formula>SEARCH("GST",$T71)&gt;0</formula>
    </cfRule>
    <cfRule type="expression" dxfId="3663" priority="385">
      <formula>SEARCH("CHN",$T100)&gt;0</formula>
    </cfRule>
    <cfRule type="expression" dxfId="3662" priority="386">
      <formula>$T100="LFS"</formula>
    </cfRule>
  </conditionalFormatting>
  <conditionalFormatting sqref="P102:Q102">
    <cfRule type="expression" dxfId="3661" priority="377">
      <formula>$T102="DSM"</formula>
    </cfRule>
    <cfRule type="expression" dxfId="3660" priority="378">
      <formula>SEARCH("RBT",$T73)&gt;0</formula>
    </cfRule>
    <cfRule type="expression" dxfId="3659" priority="379">
      <formula>SEARCH("GST",$T73)&gt;0</formula>
    </cfRule>
    <cfRule type="expression" dxfId="3658" priority="380">
      <formula>SEARCH("CHN",$T102)&gt;0</formula>
    </cfRule>
    <cfRule type="expression" dxfId="3657" priority="381">
      <formula>$T102="LFS"</formula>
    </cfRule>
  </conditionalFormatting>
  <conditionalFormatting sqref="T103:X103">
    <cfRule type="expression" dxfId="3656" priority="372">
      <formula>$T103="DSM"</formula>
    </cfRule>
    <cfRule type="expression" dxfId="3655" priority="373">
      <formula>SEARCH("RBT",$T74)&gt;0</formula>
    </cfRule>
    <cfRule type="expression" dxfId="3654" priority="374">
      <formula>SEARCH("GST",$T74)&gt;0</formula>
    </cfRule>
    <cfRule type="expression" dxfId="3653" priority="375">
      <formula>SEARCH("CHN",$T103)&gt;0</formula>
    </cfRule>
    <cfRule type="expression" dxfId="3652" priority="376">
      <formula>$T103="LFS"</formula>
    </cfRule>
  </conditionalFormatting>
  <conditionalFormatting sqref="S103">
    <cfRule type="expression" dxfId="3651" priority="367">
      <formula>$T103="DSM"</formula>
    </cfRule>
    <cfRule type="expression" dxfId="3650" priority="368">
      <formula>SEARCH("RBT",$T65)&gt;0</formula>
    </cfRule>
    <cfRule type="expression" dxfId="3649" priority="369">
      <formula>SEARCH("GST",$T65)&gt;0</formula>
    </cfRule>
    <cfRule type="expression" dxfId="3648" priority="370">
      <formula>SEARCH("CHN",$T103)&gt;0</formula>
    </cfRule>
    <cfRule type="expression" dxfId="3647" priority="371">
      <formula>$T103="LFS"</formula>
    </cfRule>
  </conditionalFormatting>
  <conditionalFormatting sqref="S107:X108">
    <cfRule type="expression" dxfId="3646" priority="352">
      <formula>$T107="DSM"</formula>
    </cfRule>
    <cfRule type="expression" dxfId="3645" priority="353">
      <formula>SEARCH("RBT",$T77)&gt;0</formula>
    </cfRule>
    <cfRule type="expression" dxfId="3644" priority="354">
      <formula>SEARCH("GST",$T77)&gt;0</formula>
    </cfRule>
    <cfRule type="expression" dxfId="3643" priority="355">
      <formula>SEARCH("CHN",$T107)&gt;0</formula>
    </cfRule>
    <cfRule type="expression" dxfId="3642" priority="356">
      <formula>$T107="LFS"</formula>
    </cfRule>
  </conditionalFormatting>
  <conditionalFormatting sqref="S109:X109">
    <cfRule type="expression" dxfId="3641" priority="347">
      <formula>$T109="DSM"</formula>
    </cfRule>
    <cfRule type="expression" dxfId="3640" priority="348">
      <formula>SEARCH("RBT",$T79)&gt;0</formula>
    </cfRule>
    <cfRule type="expression" dxfId="3639" priority="349">
      <formula>SEARCH("GST",$T79)&gt;0</formula>
    </cfRule>
    <cfRule type="expression" dxfId="3638" priority="350">
      <formula>SEARCH("CHN",$T109)&gt;0</formula>
    </cfRule>
    <cfRule type="expression" dxfId="3637" priority="351">
      <formula>$T109="LFS"</formula>
    </cfRule>
  </conditionalFormatting>
  <conditionalFormatting sqref="S110:X111">
    <cfRule type="expression" dxfId="3636" priority="342">
      <formula>$T110="DSM"</formula>
    </cfRule>
    <cfRule type="expression" dxfId="3635" priority="343">
      <formula>SEARCH("RBT",$T80)&gt;0</formula>
    </cfRule>
    <cfRule type="expression" dxfId="3634" priority="344">
      <formula>SEARCH("GST",$T80)&gt;0</formula>
    </cfRule>
    <cfRule type="expression" dxfId="3633" priority="345">
      <formula>SEARCH("CHN",$T110)&gt;0</formula>
    </cfRule>
    <cfRule type="expression" dxfId="3632" priority="346">
      <formula>$T110="LFS"</formula>
    </cfRule>
  </conditionalFormatting>
  <conditionalFormatting sqref="S104:U104">
    <cfRule type="expression" dxfId="3631" priority="337">
      <formula>$T104="DSM"</formula>
    </cfRule>
    <cfRule type="expression" dxfId="3630" priority="338">
      <formula>SEARCH("RBT",$T74)&gt;0</formula>
    </cfRule>
    <cfRule type="expression" dxfId="3629" priority="339">
      <formula>SEARCH("GST",$T74)&gt;0</formula>
    </cfRule>
    <cfRule type="expression" dxfId="3628" priority="340">
      <formula>SEARCH("CHN",$T104)&gt;0</formula>
    </cfRule>
    <cfRule type="expression" dxfId="3627" priority="341">
      <formula>$T104="LFS"</formula>
    </cfRule>
  </conditionalFormatting>
  <conditionalFormatting sqref="S112:X113">
    <cfRule type="expression" dxfId="3626" priority="332">
      <formula>$T112="DSM"</formula>
    </cfRule>
    <cfRule type="expression" dxfId="3625" priority="333">
      <formula>SEARCH("RBT",$T82)&gt;0</formula>
    </cfRule>
    <cfRule type="expression" dxfId="3624" priority="334">
      <formula>SEARCH("GST",$T82)&gt;0</formula>
    </cfRule>
    <cfRule type="expression" dxfId="3623" priority="335">
      <formula>SEARCH("CHN",$T112)&gt;0</formula>
    </cfRule>
    <cfRule type="expression" dxfId="3622" priority="336">
      <formula>$T112="LFS"</formula>
    </cfRule>
  </conditionalFormatting>
  <conditionalFormatting sqref="S114:X114">
    <cfRule type="expression" dxfId="3621" priority="327">
      <formula>$T114="DSM"</formula>
    </cfRule>
    <cfRule type="expression" dxfId="3620" priority="328">
      <formula>SEARCH("RBT",$T84)&gt;0</formula>
    </cfRule>
    <cfRule type="expression" dxfId="3619" priority="329">
      <formula>SEARCH("GST",$T84)&gt;0</formula>
    </cfRule>
    <cfRule type="expression" dxfId="3618" priority="330">
      <formula>SEARCH("CHN",$T114)&gt;0</formula>
    </cfRule>
    <cfRule type="expression" dxfId="3617" priority="331">
      <formula>$T114="LFS"</formula>
    </cfRule>
  </conditionalFormatting>
  <conditionalFormatting sqref="S115:X116">
    <cfRule type="expression" dxfId="3616" priority="322">
      <formula>$T115="DSM"</formula>
    </cfRule>
    <cfRule type="expression" dxfId="3615" priority="323">
      <formula>SEARCH("RBT",$T85)&gt;0</formula>
    </cfRule>
    <cfRule type="expression" dxfId="3614" priority="324">
      <formula>SEARCH("GST",$T85)&gt;0</formula>
    </cfRule>
    <cfRule type="expression" dxfId="3613" priority="325">
      <formula>SEARCH("CHN",$T115)&gt;0</formula>
    </cfRule>
    <cfRule type="expression" dxfId="3612" priority="326">
      <formula>$T115="LFS"</formula>
    </cfRule>
  </conditionalFormatting>
  <conditionalFormatting sqref="S117:X117">
    <cfRule type="expression" dxfId="3611" priority="317">
      <formula>$T117="DSM"</formula>
    </cfRule>
    <cfRule type="expression" dxfId="3610" priority="318">
      <formula>SEARCH("RBT",$T87)&gt;0</formula>
    </cfRule>
    <cfRule type="expression" dxfId="3609" priority="319">
      <formula>SEARCH("GST",$T87)&gt;0</formula>
    </cfRule>
    <cfRule type="expression" dxfId="3608" priority="320">
      <formula>SEARCH("CHN",$T117)&gt;0</formula>
    </cfRule>
    <cfRule type="expression" dxfId="3607" priority="321">
      <formula>$T117="LFS"</formula>
    </cfRule>
  </conditionalFormatting>
  <conditionalFormatting sqref="S118:X118">
    <cfRule type="expression" dxfId="3606" priority="312">
      <formula>$T118="DSM"</formula>
    </cfRule>
    <cfRule type="expression" dxfId="3605" priority="313">
      <formula>SEARCH("RBT",$T88)&gt;0</formula>
    </cfRule>
    <cfRule type="expression" dxfId="3604" priority="314">
      <formula>SEARCH("GST",$T88)&gt;0</formula>
    </cfRule>
    <cfRule type="expression" dxfId="3603" priority="315">
      <formula>SEARCH("CHN",$T118)&gt;0</formula>
    </cfRule>
    <cfRule type="expression" dxfId="3602" priority="316">
      <formula>$T118="LFS"</formula>
    </cfRule>
  </conditionalFormatting>
  <conditionalFormatting sqref="S120">
    <cfRule type="cellIs" dxfId="3601" priority="311" operator="equal">
      <formula>"DSM"</formula>
    </cfRule>
  </conditionalFormatting>
  <conditionalFormatting sqref="S121:S126">
    <cfRule type="cellIs" dxfId="3600" priority="310" operator="equal">
      <formula>"DSM"</formula>
    </cfRule>
  </conditionalFormatting>
  <conditionalFormatting sqref="S127">
    <cfRule type="cellIs" dxfId="3599" priority="309" operator="equal">
      <formula>"DSM"</formula>
    </cfRule>
  </conditionalFormatting>
  <conditionalFormatting sqref="S128">
    <cfRule type="expression" dxfId="3598" priority="304">
      <formula>$T128="DSM"</formula>
    </cfRule>
    <cfRule type="expression" dxfId="3597" priority="305">
      <formula>SEARCH("RBT",$T90)&gt;0</formula>
    </cfRule>
    <cfRule type="expression" dxfId="3596" priority="306">
      <formula>SEARCH("GST",$T90)&gt;0</formula>
    </cfRule>
    <cfRule type="expression" dxfId="3595" priority="307">
      <formula>SEARCH("CHN",$T128)&gt;0</formula>
    </cfRule>
    <cfRule type="expression" dxfId="3594" priority="308">
      <formula>$T128="LFS"</formula>
    </cfRule>
  </conditionalFormatting>
  <conditionalFormatting sqref="S129">
    <cfRule type="cellIs" dxfId="3593" priority="303" operator="equal">
      <formula>"DSM"</formula>
    </cfRule>
  </conditionalFormatting>
  <conditionalFormatting sqref="G136:H136">
    <cfRule type="expression" dxfId="3592" priority="298">
      <formula>$T136="DSM"</formula>
    </cfRule>
    <cfRule type="expression" dxfId="3591" priority="299">
      <formula>SEARCH("RBT",$T106)&gt;0</formula>
    </cfRule>
    <cfRule type="expression" dxfId="3590" priority="300">
      <formula>SEARCH("GST",$T106)&gt;0</formula>
    </cfRule>
    <cfRule type="expression" dxfId="3589" priority="301">
      <formula>SEARCH("CHN",$T136)&gt;0</formula>
    </cfRule>
    <cfRule type="expression" dxfId="3588" priority="302">
      <formula>$T136="LFS"</formula>
    </cfRule>
  </conditionalFormatting>
  <conditionalFormatting sqref="G137:H137">
    <cfRule type="expression" dxfId="3587" priority="293">
      <formula>$T137="DSM"</formula>
    </cfRule>
    <cfRule type="expression" dxfId="3586" priority="294">
      <formula>SEARCH("RBT",$T107)&gt;0</formula>
    </cfRule>
    <cfRule type="expression" dxfId="3585" priority="295">
      <formula>SEARCH("GST",$T107)&gt;0</formula>
    </cfRule>
    <cfRule type="expression" dxfId="3584" priority="296">
      <formula>SEARCH("CHN",$T137)&gt;0</formula>
    </cfRule>
    <cfRule type="expression" dxfId="3583" priority="297">
      <formula>$T137="LFS"</formula>
    </cfRule>
  </conditionalFormatting>
  <conditionalFormatting sqref="G138:H138">
    <cfRule type="expression" dxfId="3582" priority="288">
      <formula>$T138="DSM"</formula>
    </cfRule>
    <cfRule type="expression" dxfId="3581" priority="289">
      <formula>SEARCH("RBT",$T108)&gt;0</formula>
    </cfRule>
    <cfRule type="expression" dxfId="3580" priority="290">
      <formula>SEARCH("GST",$T108)&gt;0</formula>
    </cfRule>
    <cfRule type="expression" dxfId="3579" priority="291">
      <formula>SEARCH("CHN",$T138)&gt;0</formula>
    </cfRule>
    <cfRule type="expression" dxfId="3578" priority="292">
      <formula>$T138="LFS"</formula>
    </cfRule>
  </conditionalFormatting>
  <conditionalFormatting sqref="G139:H139">
    <cfRule type="expression" dxfId="3577" priority="283">
      <formula>$T139="DSM"</formula>
    </cfRule>
    <cfRule type="expression" dxfId="3576" priority="284">
      <formula>SEARCH("RBT",$T109)&gt;0</formula>
    </cfRule>
    <cfRule type="expression" dxfId="3575" priority="285">
      <formula>SEARCH("GST",$T109)&gt;0</formula>
    </cfRule>
    <cfRule type="expression" dxfId="3574" priority="286">
      <formula>SEARCH("CHN",$T139)&gt;0</formula>
    </cfRule>
    <cfRule type="expression" dxfId="3573" priority="287">
      <formula>$T139="LFS"</formula>
    </cfRule>
  </conditionalFormatting>
  <conditionalFormatting sqref="G146:H146">
    <cfRule type="expression" dxfId="3572" priority="278">
      <formula>$T146="DSM"</formula>
    </cfRule>
    <cfRule type="expression" dxfId="3571" priority="279">
      <formula>SEARCH("RBT",$T116)&gt;0</formula>
    </cfRule>
    <cfRule type="expression" dxfId="3570" priority="280">
      <formula>SEARCH("GST",$T116)&gt;0</formula>
    </cfRule>
    <cfRule type="expression" dxfId="3569" priority="281">
      <formula>SEARCH("CHN",$T146)&gt;0</formula>
    </cfRule>
    <cfRule type="expression" dxfId="3568" priority="282">
      <formula>$T146="LFS"</formula>
    </cfRule>
  </conditionalFormatting>
  <conditionalFormatting sqref="G147:H147">
    <cfRule type="expression" dxfId="3567" priority="273">
      <formula>$T147="DSM"</formula>
    </cfRule>
    <cfRule type="expression" dxfId="3566" priority="274">
      <formula>SEARCH("RBT",$T117)&gt;0</formula>
    </cfRule>
    <cfRule type="expression" dxfId="3565" priority="275">
      <formula>SEARCH("GST",$T117)&gt;0</formula>
    </cfRule>
    <cfRule type="expression" dxfId="3564" priority="276">
      <formula>SEARCH("CHN",$T147)&gt;0</formula>
    </cfRule>
    <cfRule type="expression" dxfId="3563" priority="277">
      <formula>$T147="LFS"</formula>
    </cfRule>
  </conditionalFormatting>
  <conditionalFormatting sqref="G148:H148">
    <cfRule type="expression" dxfId="3562" priority="268">
      <formula>$T148="DSM"</formula>
    </cfRule>
    <cfRule type="expression" dxfId="3561" priority="269">
      <formula>SEARCH("RBT",$T118)&gt;0</formula>
    </cfRule>
    <cfRule type="expression" dxfId="3560" priority="270">
      <formula>SEARCH("GST",$T118)&gt;0</formula>
    </cfRule>
    <cfRule type="expression" dxfId="3559" priority="271">
      <formula>SEARCH("CHN",$T148)&gt;0</formula>
    </cfRule>
    <cfRule type="expression" dxfId="3558" priority="272">
      <formula>$T148="LFS"</formula>
    </cfRule>
  </conditionalFormatting>
  <conditionalFormatting sqref="G176:H178">
    <cfRule type="expression" dxfId="3557" priority="263">
      <formula>$T176="DSM"</formula>
    </cfRule>
    <cfRule type="expression" dxfId="3556" priority="264">
      <formula>SEARCH("RBT",$T146)&gt;0</formula>
    </cfRule>
    <cfRule type="expression" dxfId="3555" priority="265">
      <formula>SEARCH("GST",$T146)&gt;0</formula>
    </cfRule>
    <cfRule type="expression" dxfId="3554" priority="266">
      <formula>SEARCH("CHN",$T176)&gt;0</formula>
    </cfRule>
    <cfRule type="expression" dxfId="3553" priority="267">
      <formula>$T176="LFS"</formula>
    </cfRule>
  </conditionalFormatting>
  <conditionalFormatting sqref="G179:H179">
    <cfRule type="expression" dxfId="3552" priority="258">
      <formula>$T179="DSM"</formula>
    </cfRule>
    <cfRule type="expression" dxfId="3551" priority="259">
      <formula>SEARCH("RBT",$T149)&gt;0</formula>
    </cfRule>
    <cfRule type="expression" dxfId="3550" priority="260">
      <formula>SEARCH("GST",$T149)&gt;0</formula>
    </cfRule>
    <cfRule type="expression" dxfId="3549" priority="261">
      <formula>SEARCH("CHN",$T179)&gt;0</formula>
    </cfRule>
    <cfRule type="expression" dxfId="3548" priority="262">
      <formula>$T179="LFS"</formula>
    </cfRule>
  </conditionalFormatting>
  <conditionalFormatting sqref="S186:X186">
    <cfRule type="expression" dxfId="3547" priority="248">
      <formula>$T186="DSM"</formula>
    </cfRule>
    <cfRule type="expression" dxfId="3546" priority="249">
      <formula>SEARCH("RBT",$T156)&gt;0</formula>
    </cfRule>
    <cfRule type="expression" dxfId="3545" priority="250">
      <formula>SEARCH("GST",$T156)&gt;0</formula>
    </cfRule>
    <cfRule type="expression" dxfId="3544" priority="251">
      <formula>SEARCH("CHN",$T186)&gt;0</formula>
    </cfRule>
    <cfRule type="expression" dxfId="3543" priority="252">
      <formula>$T186="LFS"</formula>
    </cfRule>
  </conditionalFormatting>
  <conditionalFormatting sqref="O186">
    <cfRule type="expression" dxfId="3542" priority="253">
      <formula>$T186="DSM"</formula>
    </cfRule>
    <cfRule type="expression" dxfId="3541" priority="254">
      <formula>SEARCH("RBT",$T157)&gt;0</formula>
    </cfRule>
    <cfRule type="expression" dxfId="3540" priority="255">
      <formula>SEARCH("GST",$T157)&gt;0</formula>
    </cfRule>
    <cfRule type="expression" dxfId="3539" priority="256">
      <formula>SEARCH("CHN",$T186)&gt;0</formula>
    </cfRule>
    <cfRule type="expression" dxfId="3538" priority="257">
      <formula>$T186="LFS"</formula>
    </cfRule>
  </conditionalFormatting>
  <conditionalFormatting sqref="S187:X187">
    <cfRule type="expression" dxfId="3537" priority="238">
      <formula>$T187="DSM"</formula>
    </cfRule>
    <cfRule type="expression" dxfId="3536" priority="239">
      <formula>SEARCH("RBT",$T157)&gt;0</formula>
    </cfRule>
    <cfRule type="expression" dxfId="3535" priority="240">
      <formula>SEARCH("GST",$T157)&gt;0</formula>
    </cfRule>
    <cfRule type="expression" dxfId="3534" priority="241">
      <formula>SEARCH("CHN",$T187)&gt;0</formula>
    </cfRule>
    <cfRule type="expression" dxfId="3533" priority="242">
      <formula>$T187="LFS"</formula>
    </cfRule>
  </conditionalFormatting>
  <conditionalFormatting sqref="O187">
    <cfRule type="expression" dxfId="3532" priority="243">
      <formula>$T187="DSM"</formula>
    </cfRule>
    <cfRule type="expression" dxfId="3531" priority="244">
      <formula>SEARCH("RBT",$T158)&gt;0</formula>
    </cfRule>
    <cfRule type="expression" dxfId="3530" priority="245">
      <formula>SEARCH("GST",$T158)&gt;0</formula>
    </cfRule>
    <cfRule type="expression" dxfId="3529" priority="246">
      <formula>SEARCH("CHN",$T187)&gt;0</formula>
    </cfRule>
    <cfRule type="expression" dxfId="3528" priority="247">
      <formula>$T187="LFS"</formula>
    </cfRule>
  </conditionalFormatting>
  <conditionalFormatting sqref="G191:H194">
    <cfRule type="expression" dxfId="3527" priority="233">
      <formula>$T191="DSM"</formula>
    </cfRule>
    <cfRule type="expression" dxfId="3526" priority="234">
      <formula>SEARCH("RBT",$T161)&gt;0</formula>
    </cfRule>
    <cfRule type="expression" dxfId="3525" priority="235">
      <formula>SEARCH("GST",$T161)&gt;0</formula>
    </cfRule>
    <cfRule type="expression" dxfId="3524" priority="236">
      <formula>SEARCH("CHN",$T191)&gt;0</formula>
    </cfRule>
    <cfRule type="expression" dxfId="3523" priority="237">
      <formula>$T191="LFS"</formula>
    </cfRule>
  </conditionalFormatting>
  <conditionalFormatting sqref="S212:S218">
    <cfRule type="cellIs" dxfId="3522" priority="232" operator="equal">
      <formula>"DSM"</formula>
    </cfRule>
  </conditionalFormatting>
  <conditionalFormatting sqref="S210">
    <cfRule type="cellIs" dxfId="3521" priority="231" operator="equal">
      <formula>"DSM"</formula>
    </cfRule>
  </conditionalFormatting>
  <conditionalFormatting sqref="S211">
    <cfRule type="cellIs" dxfId="3520" priority="230" operator="equal">
      <formula>"DSM"</formula>
    </cfRule>
  </conditionalFormatting>
  <conditionalFormatting sqref="G219:H219">
    <cfRule type="expression" dxfId="3519" priority="225">
      <formula>$T219="DSM"</formula>
    </cfRule>
    <cfRule type="expression" dxfId="3518" priority="226">
      <formula>SEARCH("RBT",$T189)&gt;0</formula>
    </cfRule>
    <cfRule type="expression" dxfId="3517" priority="227">
      <formula>SEARCH("GST",$T189)&gt;0</formula>
    </cfRule>
    <cfRule type="expression" dxfId="3516" priority="228">
      <formula>SEARCH("CHN",$T219)&gt;0</formula>
    </cfRule>
    <cfRule type="expression" dxfId="3515" priority="229">
      <formula>$T219="LFS"</formula>
    </cfRule>
  </conditionalFormatting>
  <conditionalFormatting sqref="C219">
    <cfRule type="expression" dxfId="3514" priority="220">
      <formula>$T219="DSM"</formula>
    </cfRule>
    <cfRule type="expression" dxfId="3513" priority="221">
      <formula>SEARCH("RBT",$T189)&gt;0</formula>
    </cfRule>
    <cfRule type="expression" dxfId="3512" priority="222">
      <formula>SEARCH("GST",$T189)&gt;0</formula>
    </cfRule>
    <cfRule type="expression" dxfId="3511" priority="223">
      <formula>SEARCH("CHN",$T219)&gt;0</formula>
    </cfRule>
    <cfRule type="expression" dxfId="3510" priority="224">
      <formula>$T219="LFS"</formula>
    </cfRule>
  </conditionalFormatting>
  <conditionalFormatting sqref="S219:S225">
    <cfRule type="cellIs" dxfId="3509" priority="219" operator="equal">
      <formula>"DSM"</formula>
    </cfRule>
  </conditionalFormatting>
  <conditionalFormatting sqref="S227:S231 S233:S234">
    <cfRule type="cellIs" dxfId="3508" priority="218" operator="equal">
      <formula>"DSM"</formula>
    </cfRule>
  </conditionalFormatting>
  <conditionalFormatting sqref="S232">
    <cfRule type="cellIs" dxfId="3507" priority="217" operator="equal">
      <formula>"DSM"</formula>
    </cfRule>
  </conditionalFormatting>
  <conditionalFormatting sqref="C234">
    <cfRule type="expression" dxfId="3506" priority="212">
      <formula>$T234="DSM"</formula>
    </cfRule>
    <cfRule type="expression" dxfId="3505" priority="213">
      <formula>SEARCH("RBT",$T204)&gt;0</formula>
    </cfRule>
    <cfRule type="expression" dxfId="3504" priority="214">
      <formula>SEARCH("GST",$T204)&gt;0</formula>
    </cfRule>
    <cfRule type="expression" dxfId="3503" priority="215">
      <formula>SEARCH("CHN",$T234)&gt;0</formula>
    </cfRule>
    <cfRule type="expression" dxfId="3502" priority="216">
      <formula>$T234="LFS"</formula>
    </cfRule>
  </conditionalFormatting>
  <conditionalFormatting sqref="C235">
    <cfRule type="expression" dxfId="3501" priority="207">
      <formula>$T235="DSM"</formula>
    </cfRule>
    <cfRule type="expression" dxfId="3500" priority="208">
      <formula>SEARCH("RBT",$T205)&gt;0</formula>
    </cfRule>
    <cfRule type="expression" dxfId="3499" priority="209">
      <formula>SEARCH("GST",$T205)&gt;0</formula>
    </cfRule>
    <cfRule type="expression" dxfId="3498" priority="210">
      <formula>SEARCH("CHN",$T235)&gt;0</formula>
    </cfRule>
    <cfRule type="expression" dxfId="3497" priority="211">
      <formula>$T235="LFS"</formula>
    </cfRule>
  </conditionalFormatting>
  <conditionalFormatting sqref="C236">
    <cfRule type="expression" dxfId="3496" priority="202">
      <formula>$T236="DSM"</formula>
    </cfRule>
    <cfRule type="expression" dxfId="3495" priority="203">
      <formula>SEARCH("RBT",$T206)&gt;0</formula>
    </cfRule>
    <cfRule type="expression" dxfId="3494" priority="204">
      <formula>SEARCH("GST",$T206)&gt;0</formula>
    </cfRule>
    <cfRule type="expression" dxfId="3493" priority="205">
      <formula>SEARCH("CHN",$T236)&gt;0</formula>
    </cfRule>
    <cfRule type="expression" dxfId="3492" priority="206">
      <formula>$T236="LFS"</formula>
    </cfRule>
  </conditionalFormatting>
  <conditionalFormatting sqref="G234:H234">
    <cfRule type="expression" dxfId="3491" priority="197">
      <formula>$T234="DSM"</formula>
    </cfRule>
    <cfRule type="expression" dxfId="3490" priority="198">
      <formula>SEARCH("RBT",$T204)&gt;0</formula>
    </cfRule>
    <cfRule type="expression" dxfId="3489" priority="199">
      <formula>SEARCH("GST",$T204)&gt;0</formula>
    </cfRule>
    <cfRule type="expression" dxfId="3488" priority="200">
      <formula>SEARCH("CHN",$T234)&gt;0</formula>
    </cfRule>
    <cfRule type="expression" dxfId="3487" priority="201">
      <formula>$T234="LFS"</formula>
    </cfRule>
  </conditionalFormatting>
  <conditionalFormatting sqref="S235">
    <cfRule type="cellIs" dxfId="3486" priority="196" operator="equal">
      <formula>"DSM"</formula>
    </cfRule>
  </conditionalFormatting>
  <conditionalFormatting sqref="S236">
    <cfRule type="cellIs" dxfId="3485" priority="195" operator="equal">
      <formula>"DSM"</formula>
    </cfRule>
  </conditionalFormatting>
  <conditionalFormatting sqref="S256">
    <cfRule type="cellIs" dxfId="3484" priority="194" operator="equal">
      <formula>"DSM"</formula>
    </cfRule>
  </conditionalFormatting>
  <conditionalFormatting sqref="S248:S255">
    <cfRule type="cellIs" dxfId="3483" priority="193" operator="equal">
      <formula>"DSM"</formula>
    </cfRule>
  </conditionalFormatting>
  <conditionalFormatting sqref="C260">
    <cfRule type="expression" dxfId="3482" priority="188">
      <formula>$T260="DSM"</formula>
    </cfRule>
    <cfRule type="expression" dxfId="3481" priority="189">
      <formula>SEARCH("RBT",$T230)&gt;0</formula>
    </cfRule>
    <cfRule type="expression" dxfId="3480" priority="190">
      <formula>SEARCH("GST",$T230)&gt;0</formula>
    </cfRule>
    <cfRule type="expression" dxfId="3479" priority="191">
      <formula>SEARCH("CHN",$T260)&gt;0</formula>
    </cfRule>
    <cfRule type="expression" dxfId="3478" priority="192">
      <formula>$T260="LFS"</formula>
    </cfRule>
  </conditionalFormatting>
  <conditionalFormatting sqref="C261">
    <cfRule type="expression" dxfId="3477" priority="183">
      <formula>$T261="DSM"</formula>
    </cfRule>
    <cfRule type="expression" dxfId="3476" priority="184">
      <formula>SEARCH("RBT",$T231)&gt;0</formula>
    </cfRule>
    <cfRule type="expression" dxfId="3475" priority="185">
      <formula>SEARCH("GST",$T231)&gt;0</formula>
    </cfRule>
    <cfRule type="expression" dxfId="3474" priority="186">
      <formula>SEARCH("CHN",$T261)&gt;0</formula>
    </cfRule>
    <cfRule type="expression" dxfId="3473" priority="187">
      <formula>$T261="LFS"</formula>
    </cfRule>
  </conditionalFormatting>
  <conditionalFormatting sqref="C262">
    <cfRule type="expression" dxfId="3472" priority="178">
      <formula>$T262="DSM"</formula>
    </cfRule>
    <cfRule type="expression" dxfId="3471" priority="179">
      <formula>SEARCH("RBT",$T232)&gt;0</formula>
    </cfRule>
    <cfRule type="expression" dxfId="3470" priority="180">
      <formula>SEARCH("GST",$T232)&gt;0</formula>
    </cfRule>
    <cfRule type="expression" dxfId="3469" priority="181">
      <formula>SEARCH("CHN",$T262)&gt;0</formula>
    </cfRule>
    <cfRule type="expression" dxfId="3468" priority="182">
      <formula>$T262="LFS"</formula>
    </cfRule>
  </conditionalFormatting>
  <conditionalFormatting sqref="G260:H260">
    <cfRule type="expression" dxfId="3467" priority="173">
      <formula>$T260="DSM"</formula>
    </cfRule>
    <cfRule type="expression" dxfId="3466" priority="174">
      <formula>SEARCH("RBT",$T230)&gt;0</formula>
    </cfRule>
    <cfRule type="expression" dxfId="3465" priority="175">
      <formula>SEARCH("GST",$T230)&gt;0</formula>
    </cfRule>
    <cfRule type="expression" dxfId="3464" priority="176">
      <formula>SEARCH("CHN",$T260)&gt;0</formula>
    </cfRule>
    <cfRule type="expression" dxfId="3463" priority="177">
      <formula>$T260="LFS"</formula>
    </cfRule>
  </conditionalFormatting>
  <conditionalFormatting sqref="S257:S263 S265">
    <cfRule type="cellIs" dxfId="3462" priority="172" operator="equal">
      <formula>"DSM"</formula>
    </cfRule>
  </conditionalFormatting>
  <conditionalFormatting sqref="S264">
    <cfRule type="cellIs" dxfId="3461" priority="171" operator="equal">
      <formula>"DSM"</formula>
    </cfRule>
  </conditionalFormatting>
  <conditionalFormatting sqref="C269:C271">
    <cfRule type="expression" dxfId="3460" priority="166">
      <formula>$T269="DSM"</formula>
    </cfRule>
    <cfRule type="expression" dxfId="3459" priority="167">
      <formula>SEARCH("RBT",$T239)&gt;0</formula>
    </cfRule>
    <cfRule type="expression" dxfId="3458" priority="168">
      <formula>SEARCH("GST",$T239)&gt;0</formula>
    </cfRule>
    <cfRule type="expression" dxfId="3457" priority="169">
      <formula>SEARCH("CHN",$T269)&gt;0</formula>
    </cfRule>
    <cfRule type="expression" dxfId="3456" priority="170">
      <formula>$T269="LFS"</formula>
    </cfRule>
  </conditionalFormatting>
  <conditionalFormatting sqref="G269:H269">
    <cfRule type="expression" dxfId="3455" priority="161">
      <formula>$T269="DSM"</formula>
    </cfRule>
    <cfRule type="expression" dxfId="3454" priority="162">
      <formula>SEARCH("RBT",$T239)&gt;0</formula>
    </cfRule>
    <cfRule type="expression" dxfId="3453" priority="163">
      <formula>SEARCH("GST",$T239)&gt;0</formula>
    </cfRule>
    <cfRule type="expression" dxfId="3452" priority="164">
      <formula>SEARCH("CHN",$T269)&gt;0</formula>
    </cfRule>
    <cfRule type="expression" dxfId="3451" priority="165">
      <formula>$T269="LFS"</formula>
    </cfRule>
  </conditionalFormatting>
  <conditionalFormatting sqref="G270:H270">
    <cfRule type="expression" dxfId="3450" priority="156">
      <formula>$T270="DSM"</formula>
    </cfRule>
    <cfRule type="expression" dxfId="3449" priority="157">
      <formula>SEARCH("RBT",$T240)&gt;0</formula>
    </cfRule>
    <cfRule type="expression" dxfId="3448" priority="158">
      <formula>SEARCH("GST",$T240)&gt;0</formula>
    </cfRule>
    <cfRule type="expression" dxfId="3447" priority="159">
      <formula>SEARCH("CHN",$T270)&gt;0</formula>
    </cfRule>
    <cfRule type="expression" dxfId="3446" priority="160">
      <formula>$T270="LFS"</formula>
    </cfRule>
  </conditionalFormatting>
  <conditionalFormatting sqref="S266:S272 S274">
    <cfRule type="cellIs" dxfId="3445" priority="155" operator="equal">
      <formula>"DSM"</formula>
    </cfRule>
  </conditionalFormatting>
  <conditionalFormatting sqref="S273">
    <cfRule type="cellIs" dxfId="3444" priority="154" operator="equal">
      <formula>"DSM"</formula>
    </cfRule>
  </conditionalFormatting>
  <conditionalFormatting sqref="S275:S278">
    <cfRule type="cellIs" dxfId="3443" priority="153" operator="equal">
      <formula>"DSM"</formula>
    </cfRule>
  </conditionalFormatting>
  <conditionalFormatting sqref="S280:S283 S285">
    <cfRule type="cellIs" dxfId="3442" priority="152" operator="equal">
      <formula>"DSM"</formula>
    </cfRule>
  </conditionalFormatting>
  <conditionalFormatting sqref="C282:C285">
    <cfRule type="expression" dxfId="3441" priority="147">
      <formula>$T282="DSM"</formula>
    </cfRule>
    <cfRule type="expression" dxfId="3440" priority="148">
      <formula>SEARCH("RBT",$T252)&gt;0</formula>
    </cfRule>
    <cfRule type="expression" dxfId="3439" priority="149">
      <formula>SEARCH("GST",$T252)&gt;0</formula>
    </cfRule>
    <cfRule type="expression" dxfId="3438" priority="150">
      <formula>SEARCH("CHN",$T282)&gt;0</formula>
    </cfRule>
    <cfRule type="expression" dxfId="3437" priority="151">
      <formula>$T282="LFS"</formula>
    </cfRule>
  </conditionalFormatting>
  <conditionalFormatting sqref="C292:C294">
    <cfRule type="expression" dxfId="3436" priority="142">
      <formula>$T292="DSM"</formula>
    </cfRule>
    <cfRule type="expression" dxfId="3435" priority="143">
      <formula>SEARCH("RBT",$T262)&gt;0</formula>
    </cfRule>
    <cfRule type="expression" dxfId="3434" priority="144">
      <formula>SEARCH("GST",$T262)&gt;0</formula>
    </cfRule>
    <cfRule type="expression" dxfId="3433" priority="145">
      <formula>SEARCH("CHN",$T292)&gt;0</formula>
    </cfRule>
    <cfRule type="expression" dxfId="3432" priority="146">
      <formula>$T292="LFS"</formula>
    </cfRule>
  </conditionalFormatting>
  <conditionalFormatting sqref="S286:S288">
    <cfRule type="cellIs" dxfId="3431" priority="141" operator="equal">
      <formula>"DSM"</formula>
    </cfRule>
  </conditionalFormatting>
  <conditionalFormatting sqref="S289:S294">
    <cfRule type="cellIs" dxfId="3430" priority="140" operator="equal">
      <formula>"DSM"</formula>
    </cfRule>
  </conditionalFormatting>
  <conditionalFormatting sqref="S295">
    <cfRule type="cellIs" dxfId="3429" priority="139" operator="equal">
      <formula>"DSM"</formula>
    </cfRule>
  </conditionalFormatting>
  <conditionalFormatting sqref="S298">
    <cfRule type="cellIs" dxfId="3428" priority="138" operator="equal">
      <formula>"DSM"</formula>
    </cfRule>
  </conditionalFormatting>
  <conditionalFormatting sqref="S299">
    <cfRule type="cellIs" dxfId="3427" priority="137" operator="equal">
      <formula>"DSM"</formula>
    </cfRule>
  </conditionalFormatting>
  <conditionalFormatting sqref="S300">
    <cfRule type="cellIs" dxfId="3426" priority="136" operator="equal">
      <formula>"DSM"</formula>
    </cfRule>
  </conditionalFormatting>
  <conditionalFormatting sqref="S301">
    <cfRule type="cellIs" dxfId="3425" priority="135" operator="equal">
      <formula>"DSM"</formula>
    </cfRule>
  </conditionalFormatting>
  <conditionalFormatting sqref="S302">
    <cfRule type="cellIs" dxfId="3424" priority="134" operator="equal">
      <formula>"DSM"</formula>
    </cfRule>
  </conditionalFormatting>
  <conditionalFormatting sqref="S303">
    <cfRule type="cellIs" dxfId="3423" priority="133" operator="equal">
      <formula>"DSM"</formula>
    </cfRule>
  </conditionalFormatting>
  <conditionalFormatting sqref="S304">
    <cfRule type="cellIs" dxfId="3422" priority="132" operator="equal">
      <formula>"DSM"</formula>
    </cfRule>
  </conditionalFormatting>
  <conditionalFormatting sqref="S305">
    <cfRule type="cellIs" dxfId="3421" priority="131" operator="equal">
      <formula>"DSM"</formula>
    </cfRule>
  </conditionalFormatting>
  <conditionalFormatting sqref="S306">
    <cfRule type="cellIs" dxfId="3420" priority="130" operator="equal">
      <formula>"DSM"</formula>
    </cfRule>
  </conditionalFormatting>
  <conditionalFormatting sqref="S307">
    <cfRule type="cellIs" dxfId="3419" priority="129" operator="equal">
      <formula>"DSM"</formula>
    </cfRule>
  </conditionalFormatting>
  <conditionalFormatting sqref="S309">
    <cfRule type="cellIs" dxfId="3418" priority="128" operator="equal">
      <formula>"DSM"</formula>
    </cfRule>
  </conditionalFormatting>
  <conditionalFormatting sqref="S310">
    <cfRule type="cellIs" dxfId="3417" priority="127" operator="equal">
      <formula>"DSM"</formula>
    </cfRule>
  </conditionalFormatting>
  <conditionalFormatting sqref="G311:H311">
    <cfRule type="expression" dxfId="3416" priority="122">
      <formula>$T311="DSM"</formula>
    </cfRule>
    <cfRule type="expression" dxfId="3415" priority="123">
      <formula>SEARCH("RBT",$T281)&gt;0</formula>
    </cfRule>
    <cfRule type="expression" dxfId="3414" priority="124">
      <formula>SEARCH("GST",$T281)&gt;0</formula>
    </cfRule>
    <cfRule type="expression" dxfId="3413" priority="125">
      <formula>SEARCH("CHN",$T311)&gt;0</formula>
    </cfRule>
    <cfRule type="expression" dxfId="3412" priority="126">
      <formula>$T311="LFS"</formula>
    </cfRule>
  </conditionalFormatting>
  <conditionalFormatting sqref="S311">
    <cfRule type="cellIs" dxfId="3411" priority="121" operator="equal">
      <formula>"DSM"</formula>
    </cfRule>
  </conditionalFormatting>
  <conditionalFormatting sqref="S312:S313">
    <cfRule type="cellIs" dxfId="3410" priority="120" operator="equal">
      <formula>"DSM"</formula>
    </cfRule>
  </conditionalFormatting>
  <conditionalFormatting sqref="S316">
    <cfRule type="cellIs" dxfId="3409" priority="119" operator="equal">
      <formula>"DSM"</formula>
    </cfRule>
  </conditionalFormatting>
  <conditionalFormatting sqref="C317">
    <cfRule type="expression" dxfId="3408" priority="114">
      <formula>$T317="DSM"</formula>
    </cfRule>
    <cfRule type="expression" dxfId="3407" priority="115">
      <formula>SEARCH("RBT",$T287)&gt;0</formula>
    </cfRule>
    <cfRule type="expression" dxfId="3406" priority="116">
      <formula>SEARCH("GST",$T287)&gt;0</formula>
    </cfRule>
    <cfRule type="expression" dxfId="3405" priority="117">
      <formula>SEARCH("CHN",$T317)&gt;0</formula>
    </cfRule>
    <cfRule type="expression" dxfId="3404" priority="118">
      <formula>$T317="LFS"</formula>
    </cfRule>
  </conditionalFormatting>
  <conditionalFormatting sqref="C318">
    <cfRule type="expression" dxfId="3403" priority="109">
      <formula>$T318="DSM"</formula>
    </cfRule>
    <cfRule type="expression" dxfId="3402" priority="110">
      <formula>SEARCH("RBT",$T288)&gt;0</formula>
    </cfRule>
    <cfRule type="expression" dxfId="3401" priority="111">
      <formula>SEARCH("GST",$T288)&gt;0</formula>
    </cfRule>
    <cfRule type="expression" dxfId="3400" priority="112">
      <formula>SEARCH("CHN",$T318)&gt;0</formula>
    </cfRule>
    <cfRule type="expression" dxfId="3399" priority="113">
      <formula>$T318="LFS"</formula>
    </cfRule>
  </conditionalFormatting>
  <conditionalFormatting sqref="G318:H318">
    <cfRule type="expression" dxfId="3398" priority="104">
      <formula>$T318="DSM"</formula>
    </cfRule>
    <cfRule type="expression" dxfId="3397" priority="105">
      <formula>SEARCH("RBT",$T288)&gt;0</formula>
    </cfRule>
    <cfRule type="expression" dxfId="3396" priority="106">
      <formula>SEARCH("GST",$T288)&gt;0</formula>
    </cfRule>
    <cfRule type="expression" dxfId="3395" priority="107">
      <formula>SEARCH("CHN",$T318)&gt;0</formula>
    </cfRule>
    <cfRule type="expression" dxfId="3394" priority="108">
      <formula>$T318="LFS"</formula>
    </cfRule>
  </conditionalFormatting>
  <conditionalFormatting sqref="S317">
    <cfRule type="cellIs" dxfId="3393" priority="103" operator="equal">
      <formula>"DSM"</formula>
    </cfRule>
  </conditionalFormatting>
  <conditionalFormatting sqref="S318">
    <cfRule type="cellIs" dxfId="3392" priority="102" operator="equal">
      <formula>"DSM"</formula>
    </cfRule>
  </conditionalFormatting>
  <conditionalFormatting sqref="S319">
    <cfRule type="cellIs" dxfId="3391" priority="101" operator="equal">
      <formula>"DSM"</formula>
    </cfRule>
  </conditionalFormatting>
  <conditionalFormatting sqref="S321:S331">
    <cfRule type="cellIs" dxfId="3390" priority="100" operator="equal">
      <formula>"DSM"</formula>
    </cfRule>
  </conditionalFormatting>
  <conditionalFormatting sqref="G326:H326">
    <cfRule type="expression" dxfId="3389" priority="95">
      <formula>$T326="DSM"</formula>
    </cfRule>
    <cfRule type="expression" dxfId="3388" priority="96">
      <formula>SEARCH("RBT",$T296)&gt;0</formula>
    </cfRule>
    <cfRule type="expression" dxfId="3387" priority="97">
      <formula>SEARCH("GST",$T296)&gt;0</formula>
    </cfRule>
    <cfRule type="expression" dxfId="3386" priority="98">
      <formula>SEARCH("CHN",$T326)&gt;0</formula>
    </cfRule>
    <cfRule type="expression" dxfId="3385" priority="99">
      <formula>$T326="LFS"</formula>
    </cfRule>
  </conditionalFormatting>
  <conditionalFormatting sqref="G327:H327">
    <cfRule type="expression" dxfId="3384" priority="90">
      <formula>$T327="DSM"</formula>
    </cfRule>
    <cfRule type="expression" dxfId="3383" priority="91">
      <formula>SEARCH("RBT",$T297)&gt;0</formula>
    </cfRule>
    <cfRule type="expression" dxfId="3382" priority="92">
      <formula>SEARCH("GST",$T297)&gt;0</formula>
    </cfRule>
    <cfRule type="expression" dxfId="3381" priority="93">
      <formula>SEARCH("CHN",$T327)&gt;0</formula>
    </cfRule>
    <cfRule type="expression" dxfId="3380" priority="94">
      <formula>$T327="LFS"</formula>
    </cfRule>
  </conditionalFormatting>
  <conditionalFormatting sqref="C326">
    <cfRule type="expression" dxfId="3379" priority="85">
      <formula>$T326="DSM"</formula>
    </cfRule>
    <cfRule type="expression" dxfId="3378" priority="86">
      <formula>SEARCH("RBT",$T296)&gt;0</formula>
    </cfRule>
    <cfRule type="expression" dxfId="3377" priority="87">
      <formula>SEARCH("GST",$T296)&gt;0</formula>
    </cfRule>
    <cfRule type="expression" dxfId="3376" priority="88">
      <formula>SEARCH("CHN",$T326)&gt;0</formula>
    </cfRule>
    <cfRule type="expression" dxfId="3375" priority="89">
      <formula>$T326="LFS"</formula>
    </cfRule>
  </conditionalFormatting>
  <conditionalFormatting sqref="C327">
    <cfRule type="expression" dxfId="3374" priority="80">
      <formula>$T327="DSM"</formula>
    </cfRule>
    <cfRule type="expression" dxfId="3373" priority="81">
      <formula>SEARCH("RBT",$T297)&gt;0</formula>
    </cfRule>
    <cfRule type="expression" dxfId="3372" priority="82">
      <formula>SEARCH("GST",$T297)&gt;0</formula>
    </cfRule>
    <cfRule type="expression" dxfId="3371" priority="83">
      <formula>SEARCH("CHN",$T327)&gt;0</formula>
    </cfRule>
    <cfRule type="expression" dxfId="3370" priority="84">
      <formula>$T327="LFS"</formula>
    </cfRule>
  </conditionalFormatting>
  <conditionalFormatting sqref="C328">
    <cfRule type="expression" dxfId="3369" priority="75">
      <formula>$T328="DSM"</formula>
    </cfRule>
    <cfRule type="expression" dxfId="3368" priority="76">
      <formula>SEARCH("RBT",$T298)&gt;0</formula>
    </cfRule>
    <cfRule type="expression" dxfId="3367" priority="77">
      <formula>SEARCH("GST",$T298)&gt;0</formula>
    </cfRule>
    <cfRule type="expression" dxfId="3366" priority="78">
      <formula>SEARCH("CHN",$T328)&gt;0</formula>
    </cfRule>
    <cfRule type="expression" dxfId="3365" priority="79">
      <formula>$T328="LFS"</formula>
    </cfRule>
  </conditionalFormatting>
  <conditionalFormatting sqref="S332">
    <cfRule type="cellIs" dxfId="3364" priority="74" operator="equal">
      <formula>"DSM"</formula>
    </cfRule>
  </conditionalFormatting>
  <conditionalFormatting sqref="S338:S341 S343:S353">
    <cfRule type="cellIs" dxfId="3363" priority="73" operator="equal">
      <formula>"DSM"</formula>
    </cfRule>
  </conditionalFormatting>
  <conditionalFormatting sqref="R36">
    <cfRule type="expression" dxfId="3362" priority="4071">
      <formula>$T36="DSM"</formula>
    </cfRule>
    <cfRule type="expression" dxfId="3361" priority="4072">
      <formula>SEARCH("RBT",#REF!)&gt;0</formula>
    </cfRule>
    <cfRule type="expression" dxfId="3360" priority="4073">
      <formula>SEARCH("GST",#REF!)&gt;0</formula>
    </cfRule>
    <cfRule type="expression" dxfId="3359" priority="4074">
      <formula>SEARCH("CHN",$T36)&gt;0</formula>
    </cfRule>
    <cfRule type="expression" dxfId="3358" priority="4075">
      <formula>$T36="LFS"</formula>
    </cfRule>
  </conditionalFormatting>
  <conditionalFormatting sqref="O37:Q37 S37:X37">
    <cfRule type="expression" dxfId="3357" priority="4116">
      <formula>$T37="DSM"</formula>
    </cfRule>
    <cfRule type="expression" dxfId="3356" priority="4117">
      <formula>SEARCH("RBT",#REF!)&gt;0</formula>
    </cfRule>
    <cfRule type="expression" dxfId="3355" priority="4118">
      <formula>SEARCH("GST",#REF!)&gt;0</formula>
    </cfRule>
    <cfRule type="expression" dxfId="3354" priority="4119">
      <formula>SEARCH("CHN",$T37)&gt;0</formula>
    </cfRule>
    <cfRule type="expression" dxfId="3353" priority="4120">
      <formula>$T37="LFS"</formula>
    </cfRule>
  </conditionalFormatting>
  <conditionalFormatting sqref="S342">
    <cfRule type="cellIs" dxfId="3352" priority="72" operator="equal">
      <formula>"DSM"</formula>
    </cfRule>
  </conditionalFormatting>
  <conditionalFormatting sqref="S360">
    <cfRule type="cellIs" dxfId="3351" priority="71" operator="equal">
      <formula>"DSM"</formula>
    </cfRule>
  </conditionalFormatting>
  <conditionalFormatting sqref="S361">
    <cfRule type="cellIs" dxfId="3350" priority="70" operator="equal">
      <formula>"DSM"</formula>
    </cfRule>
  </conditionalFormatting>
  <conditionalFormatting sqref="S362">
    <cfRule type="cellIs" dxfId="3349" priority="69" operator="equal">
      <formula>"DSM"</formula>
    </cfRule>
  </conditionalFormatting>
  <conditionalFormatting sqref="S363">
    <cfRule type="cellIs" dxfId="3348" priority="68" operator="equal">
      <formula>"DSM"</formula>
    </cfRule>
  </conditionalFormatting>
  <conditionalFormatting sqref="S364">
    <cfRule type="cellIs" dxfId="3347" priority="67" operator="equal">
      <formula>"DSM"</formula>
    </cfRule>
  </conditionalFormatting>
  <conditionalFormatting sqref="S365">
    <cfRule type="cellIs" dxfId="3346" priority="66" operator="equal">
      <formula>"DSM"</formula>
    </cfRule>
  </conditionalFormatting>
  <conditionalFormatting sqref="S366:S370 S372:S376">
    <cfRule type="cellIs" dxfId="3345" priority="65" operator="equal">
      <formula>"DSM"</formula>
    </cfRule>
  </conditionalFormatting>
  <conditionalFormatting sqref="S383:S391">
    <cfRule type="cellIs" dxfId="3344" priority="64" operator="equal">
      <formula>"DSM"</formula>
    </cfRule>
  </conditionalFormatting>
  <conditionalFormatting sqref="S392 S394:S395">
    <cfRule type="cellIs" dxfId="3343" priority="63" operator="equal">
      <formula>"DSM"</formula>
    </cfRule>
  </conditionalFormatting>
  <conditionalFormatting sqref="S396:S416">
    <cfRule type="cellIs" dxfId="3342" priority="62" operator="equal">
      <formula>"DSM"</formula>
    </cfRule>
  </conditionalFormatting>
  <conditionalFormatting sqref="S418">
    <cfRule type="cellIs" dxfId="3341" priority="61" operator="equal">
      <formula>"DSM"</formula>
    </cfRule>
  </conditionalFormatting>
  <conditionalFormatting sqref="S419">
    <cfRule type="cellIs" dxfId="3340" priority="60" operator="equal">
      <formula>"DSM"</formula>
    </cfRule>
  </conditionalFormatting>
  <conditionalFormatting sqref="S420">
    <cfRule type="cellIs" dxfId="3339" priority="59" operator="equal">
      <formula>"DSM"</formula>
    </cfRule>
  </conditionalFormatting>
  <conditionalFormatting sqref="S421">
    <cfRule type="cellIs" dxfId="3338" priority="58" operator="equal">
      <formula>"DSM"</formula>
    </cfRule>
  </conditionalFormatting>
  <conditionalFormatting sqref="S423">
    <cfRule type="cellIs" dxfId="3337" priority="57" operator="equal">
      <formula>"DSM"</formula>
    </cfRule>
  </conditionalFormatting>
  <conditionalFormatting sqref="S428:S431">
    <cfRule type="cellIs" dxfId="3336" priority="56" operator="equal">
      <formula>"DSM"</formula>
    </cfRule>
  </conditionalFormatting>
  <conditionalFormatting sqref="S425">
    <cfRule type="cellIs" dxfId="3335" priority="55" operator="equal">
      <formula>"DSM"</formula>
    </cfRule>
  </conditionalFormatting>
  <conditionalFormatting sqref="S426">
    <cfRule type="cellIs" dxfId="3334" priority="54" operator="equal">
      <formula>"DSM"</formula>
    </cfRule>
  </conditionalFormatting>
  <conditionalFormatting sqref="S433:S434">
    <cfRule type="cellIs" dxfId="3333" priority="53" operator="equal">
      <formula>"DSM"</formula>
    </cfRule>
  </conditionalFormatting>
  <conditionalFormatting sqref="S432">
    <cfRule type="cellIs" dxfId="3332" priority="52" operator="equal">
      <formula>"DSM"</formula>
    </cfRule>
  </conditionalFormatting>
  <conditionalFormatting sqref="S435:S446">
    <cfRule type="cellIs" dxfId="3331" priority="51" operator="equal">
      <formula>"DSM"</formula>
    </cfRule>
  </conditionalFormatting>
  <conditionalFormatting sqref="S447:S452">
    <cfRule type="cellIs" dxfId="3330" priority="50" operator="equal">
      <formula>"DSM"</formula>
    </cfRule>
  </conditionalFormatting>
  <conditionalFormatting sqref="S453:S481">
    <cfRule type="cellIs" dxfId="3329" priority="49" operator="equal">
      <formula>"DSM"</formula>
    </cfRule>
  </conditionalFormatting>
  <conditionalFormatting sqref="S482">
    <cfRule type="cellIs" dxfId="3328" priority="48" operator="equal">
      <formula>"DSM"</formula>
    </cfRule>
  </conditionalFormatting>
  <conditionalFormatting sqref="S484 S486:S488">
    <cfRule type="cellIs" dxfId="3327" priority="47" operator="equal">
      <formula>"DSM"</formula>
    </cfRule>
  </conditionalFormatting>
  <conditionalFormatting sqref="S485">
    <cfRule type="cellIs" dxfId="3326" priority="46" operator="equal">
      <formula>"DSM"</formula>
    </cfRule>
  </conditionalFormatting>
  <conditionalFormatting sqref="S489">
    <cfRule type="cellIs" dxfId="3325" priority="45" operator="equal">
      <formula>"DSM"</formula>
    </cfRule>
  </conditionalFormatting>
  <conditionalFormatting sqref="S490">
    <cfRule type="cellIs" dxfId="3324" priority="44" operator="equal">
      <formula>"DSM"</formula>
    </cfRule>
  </conditionalFormatting>
  <conditionalFormatting sqref="S491">
    <cfRule type="cellIs" dxfId="3323" priority="43" operator="equal">
      <formula>"DSM"</formula>
    </cfRule>
  </conditionalFormatting>
  <conditionalFormatting sqref="S492 S495:S497">
    <cfRule type="cellIs" dxfId="3322" priority="42" operator="equal">
      <formula>"DSM"</formula>
    </cfRule>
  </conditionalFormatting>
  <conditionalFormatting sqref="S493">
    <cfRule type="cellIs" dxfId="3321" priority="41" operator="equal">
      <formula>"DSM"</formula>
    </cfRule>
  </conditionalFormatting>
  <conditionalFormatting sqref="S494">
    <cfRule type="cellIs" dxfId="3320" priority="40" operator="equal">
      <formula>"DSM"</formula>
    </cfRule>
  </conditionalFormatting>
  <conditionalFormatting sqref="S503:S504">
    <cfRule type="cellIs" dxfId="3319" priority="38" operator="equal">
      <formula>"DSM"</formula>
    </cfRule>
  </conditionalFormatting>
  <conditionalFormatting sqref="S509">
    <cfRule type="cellIs" dxfId="3318" priority="37" operator="equal">
      <formula>"DSM"</formula>
    </cfRule>
  </conditionalFormatting>
  <conditionalFormatting sqref="S516:S521">
    <cfRule type="cellIs" dxfId="3317" priority="36" operator="equal">
      <formula>"DSM"</formula>
    </cfRule>
  </conditionalFormatting>
  <conditionalFormatting sqref="S514">
    <cfRule type="cellIs" dxfId="3316" priority="35" operator="equal">
      <formula>"DSM"</formula>
    </cfRule>
  </conditionalFormatting>
  <conditionalFormatting sqref="S523">
    <cfRule type="cellIs" dxfId="3315" priority="34" operator="equal">
      <formula>"DSM"</formula>
    </cfRule>
  </conditionalFormatting>
  <conditionalFormatting sqref="S524">
    <cfRule type="cellIs" dxfId="3314" priority="33" operator="equal">
      <formula>"DSM"</formula>
    </cfRule>
  </conditionalFormatting>
  <conditionalFormatting sqref="S525">
    <cfRule type="cellIs" dxfId="3313" priority="32" operator="equal">
      <formula>"DSM"</formula>
    </cfRule>
  </conditionalFormatting>
  <conditionalFormatting sqref="S526:S535">
    <cfRule type="cellIs" dxfId="3312" priority="31" operator="equal">
      <formula>"DSM"</formula>
    </cfRule>
  </conditionalFormatting>
  <conditionalFormatting sqref="S536">
    <cfRule type="cellIs" dxfId="3311" priority="30" operator="equal">
      <formula>"DSM"</formula>
    </cfRule>
  </conditionalFormatting>
  <conditionalFormatting sqref="S537">
    <cfRule type="cellIs" dxfId="3310" priority="29" operator="equal">
      <formula>"DSM"</formula>
    </cfRule>
  </conditionalFormatting>
  <conditionalFormatting sqref="S565">
    <cfRule type="cellIs" dxfId="3309" priority="27" operator="equal">
      <formula>"DSM"</formula>
    </cfRule>
  </conditionalFormatting>
  <conditionalFormatting sqref="S577">
    <cfRule type="cellIs" dxfId="3308" priority="25" operator="equal">
      <formula>"DSM"</formula>
    </cfRule>
  </conditionalFormatting>
  <conditionalFormatting sqref="S599">
    <cfRule type="cellIs" dxfId="3307" priority="24" operator="equal">
      <formula>"DSM"</formula>
    </cfRule>
  </conditionalFormatting>
  <conditionalFormatting sqref="S600:S602">
    <cfRule type="cellIs" dxfId="3306" priority="23" operator="equal">
      <formula>"DSM"</formula>
    </cfRule>
  </conditionalFormatting>
  <conditionalFormatting sqref="S604">
    <cfRule type="cellIs" dxfId="3305" priority="22" operator="equal">
      <formula>"DSM"</formula>
    </cfRule>
  </conditionalFormatting>
  <conditionalFormatting sqref="S603">
    <cfRule type="cellIs" dxfId="3304" priority="21" operator="equal">
      <formula>"DSM"</formula>
    </cfRule>
  </conditionalFormatting>
  <conditionalFormatting sqref="S625:S627">
    <cfRule type="cellIs" dxfId="3303" priority="19" operator="equal">
      <formula>"DSM"</formula>
    </cfRule>
  </conditionalFormatting>
  <conditionalFormatting sqref="S639">
    <cfRule type="cellIs" dxfId="3302" priority="18" operator="equal">
      <formula>"DSM"</formula>
    </cfRule>
  </conditionalFormatting>
  <conditionalFormatting sqref="S640">
    <cfRule type="cellIs" dxfId="3301" priority="17" operator="equal">
      <formula>"DSM"</formula>
    </cfRule>
  </conditionalFormatting>
  <conditionalFormatting sqref="S641">
    <cfRule type="cellIs" dxfId="3300" priority="16" operator="equal">
      <formula>"DSM"</formula>
    </cfRule>
  </conditionalFormatting>
  <conditionalFormatting sqref="S642">
    <cfRule type="cellIs" dxfId="3299" priority="15" operator="equal">
      <formula>"DSM"</formula>
    </cfRule>
  </conditionalFormatting>
  <conditionalFormatting sqref="S643:S644">
    <cfRule type="cellIs" dxfId="3298" priority="14" operator="equal">
      <formula>"DSM"</formula>
    </cfRule>
  </conditionalFormatting>
  <conditionalFormatting sqref="S646:S654">
    <cfRule type="cellIs" dxfId="3297" priority="13" operator="equal">
      <formula>"DSM"</formula>
    </cfRule>
  </conditionalFormatting>
  <conditionalFormatting sqref="S655">
    <cfRule type="cellIs" dxfId="3296" priority="11" operator="equal">
      <formula>"DSM"</formula>
    </cfRule>
  </conditionalFormatting>
  <conditionalFormatting sqref="S668">
    <cfRule type="cellIs" dxfId="3295" priority="10" operator="equal">
      <formula>"DSM"</formula>
    </cfRule>
  </conditionalFormatting>
  <conditionalFormatting sqref="S685">
    <cfRule type="cellIs" dxfId="3294" priority="7" operator="equal">
      <formula>"DSM"</formula>
    </cfRule>
  </conditionalFormatting>
  <conditionalFormatting sqref="S693">
    <cfRule type="cellIs" dxfId="3293" priority="5" operator="equal">
      <formula>"DSM"</formula>
    </cfRule>
  </conditionalFormatting>
  <conditionalFormatting sqref="S694:S695">
    <cfRule type="cellIs" dxfId="3292" priority="4" operator="equal">
      <formula>"DSM"</formula>
    </cfRule>
  </conditionalFormatting>
  <conditionalFormatting sqref="J22:N22 R32:R33 R22 R35">
    <cfRule type="expression" dxfId="3291" priority="5318">
      <formula>$T22="DSM"</formula>
    </cfRule>
    <cfRule type="expression" dxfId="3290" priority="5319">
      <formula>SEARCH("RBT",$T1048548)&gt;0</formula>
    </cfRule>
    <cfRule type="expression" dxfId="3289" priority="5320">
      <formula>SEARCH("GST",$T1048548)&gt;0</formula>
    </cfRule>
    <cfRule type="expression" dxfId="3288" priority="5321">
      <formula>SEARCH("CHN",$T22)&gt;0</formula>
    </cfRule>
    <cfRule type="expression" dxfId="3287" priority="5322">
      <formula>$T22="LFS"</formula>
    </cfRule>
  </conditionalFormatting>
  <conditionalFormatting sqref="O25 J15:N16 R15:X16 O15:Q18 J13:X14 O20:Q24 S17:X36 O26:Q36 R8 J8:N8">
    <cfRule type="expression" dxfId="3286" priority="5343">
      <formula>$T8="DSM"</formula>
    </cfRule>
    <cfRule type="expression" dxfId="3285" priority="5344">
      <formula>SEARCH("RBT",$T1048533)&gt;0</formula>
    </cfRule>
    <cfRule type="expression" dxfId="3284" priority="5345">
      <formula>SEARCH("GST",$T1048533)&gt;0</formula>
    </cfRule>
    <cfRule type="expression" dxfId="3283" priority="5346">
      <formula>SEARCH("CHN",$T8)&gt;0</formula>
    </cfRule>
    <cfRule type="expression" dxfId="3282" priority="5347">
      <formula>$T8="LFS"</formula>
    </cfRule>
  </conditionalFormatting>
  <conditionalFormatting sqref="S742">
    <cfRule type="cellIs" dxfId="3281" priority="1" operator="equal">
      <formula>"DSM"</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tint="0.59999389629810485"/>
  </sheetPr>
  <dimension ref="A1:Z562"/>
  <sheetViews>
    <sheetView zoomScaleNormal="100" workbookViewId="0">
      <pane xSplit="6" ySplit="2" topLeftCell="U36" activePane="bottomRight" state="frozen"/>
      <selection pane="topRight" activeCell="G1" sqref="G1"/>
      <selection pane="bottomLeft" activeCell="A3" sqref="A3"/>
      <selection pane="bottomRight" activeCell="V396" sqref="V396"/>
    </sheetView>
  </sheetViews>
  <sheetFormatPr defaultColWidth="10.5703125" defaultRowHeight="15" x14ac:dyDescent="0.25"/>
  <cols>
    <col min="1" max="2" width="16.7109375" style="37" customWidth="1"/>
    <col min="3" max="3" width="30.85546875" style="693" bestFit="1" customWidth="1"/>
    <col min="4" max="4" width="13.140625" style="37" customWidth="1"/>
    <col min="5" max="5" width="15.140625" style="37" customWidth="1"/>
    <col min="6" max="6" width="15.42578125" style="37" customWidth="1"/>
    <col min="7" max="7" width="12.42578125" style="37" customWidth="1"/>
    <col min="8" max="8" width="41.140625" style="37" customWidth="1"/>
    <col min="9" max="9" width="9.85546875" style="37" customWidth="1"/>
    <col min="10" max="10" width="7.42578125" style="37" customWidth="1"/>
    <col min="11" max="11" width="9.7109375" style="37" customWidth="1"/>
    <col min="12" max="12" width="13.42578125" style="37" customWidth="1"/>
    <col min="13" max="13" width="15.5703125" style="37" customWidth="1"/>
    <col min="14" max="14" width="12.140625" style="37" customWidth="1"/>
    <col min="15" max="15" width="31.7109375" style="91" customWidth="1"/>
    <col min="16" max="16" width="20.42578125" style="91" customWidth="1"/>
    <col min="17" max="17" width="23.42578125" style="91" customWidth="1"/>
    <col min="18" max="18" width="18.28515625" style="91" customWidth="1"/>
    <col min="19" max="19" width="27.140625" style="91" customWidth="1"/>
    <col min="20" max="20" width="30.140625" style="91" customWidth="1"/>
    <col min="21" max="21" width="7.42578125" style="37" customWidth="1"/>
    <col min="22" max="22" width="6" style="37" customWidth="1"/>
    <col min="23" max="23" width="14.7109375" style="37" customWidth="1"/>
    <col min="24" max="24" width="84.42578125" style="698" customWidth="1"/>
    <col min="25" max="25" width="9.85546875" style="750" bestFit="1" customWidth="1"/>
    <col min="26" max="16384" width="10.5703125" style="37"/>
  </cols>
  <sheetData>
    <row r="1" spans="1:25" s="772" customFormat="1" ht="14.25" x14ac:dyDescent="0.25">
      <c r="A1" s="770" t="s">
        <v>0</v>
      </c>
      <c r="B1" s="770"/>
      <c r="C1" s="771"/>
      <c r="O1" s="773"/>
      <c r="P1" s="773"/>
      <c r="Q1" s="773"/>
      <c r="R1" s="773"/>
      <c r="S1" s="773"/>
      <c r="T1" s="773"/>
      <c r="X1" s="770"/>
      <c r="Y1" s="766"/>
    </row>
    <row r="2" spans="1:25" s="776" customFormat="1" ht="15.75" thickBot="1" x14ac:dyDescent="0.3">
      <c r="A2" s="774" t="s">
        <v>1</v>
      </c>
      <c r="B2" s="774" t="s">
        <v>2</v>
      </c>
      <c r="C2" s="775" t="s">
        <v>3</v>
      </c>
      <c r="D2" s="776" t="s">
        <v>4</v>
      </c>
      <c r="E2" s="776" t="s">
        <v>5</v>
      </c>
      <c r="F2" s="776" t="s">
        <v>6</v>
      </c>
      <c r="G2" s="776" t="s">
        <v>7</v>
      </c>
      <c r="H2" s="776" t="s">
        <v>8</v>
      </c>
      <c r="I2" s="774" t="s">
        <v>9</v>
      </c>
      <c r="J2" s="774" t="s">
        <v>10</v>
      </c>
      <c r="K2" s="774" t="s">
        <v>11</v>
      </c>
      <c r="L2" s="774" t="s">
        <v>12</v>
      </c>
      <c r="M2" s="774" t="s">
        <v>13</v>
      </c>
      <c r="N2" s="774" t="s">
        <v>14</v>
      </c>
      <c r="O2" s="777" t="s">
        <v>15</v>
      </c>
      <c r="P2" s="777" t="s">
        <v>16</v>
      </c>
      <c r="Q2" s="777" t="s">
        <v>1746</v>
      </c>
      <c r="R2" s="778" t="s">
        <v>17</v>
      </c>
      <c r="S2" s="778" t="s">
        <v>18</v>
      </c>
      <c r="T2" s="778" t="s">
        <v>1747</v>
      </c>
      <c r="U2" s="774" t="s">
        <v>19</v>
      </c>
      <c r="V2" s="774" t="s">
        <v>20</v>
      </c>
      <c r="W2" s="774" t="s">
        <v>21</v>
      </c>
      <c r="X2" s="779" t="s">
        <v>22</v>
      </c>
      <c r="Y2" s="767" t="s">
        <v>23</v>
      </c>
    </row>
    <row r="3" spans="1:25" x14ac:dyDescent="0.25">
      <c r="A3" s="691">
        <v>43920</v>
      </c>
      <c r="B3" s="692" t="s">
        <v>43</v>
      </c>
      <c r="C3" s="693" t="s">
        <v>845</v>
      </c>
      <c r="D3" s="37">
        <v>38.259039999999999</v>
      </c>
      <c r="E3" s="37">
        <v>-121.74296</v>
      </c>
      <c r="F3" s="37" t="s">
        <v>1748</v>
      </c>
      <c r="G3" s="37" t="s">
        <v>90</v>
      </c>
      <c r="H3" s="37" t="s">
        <v>126</v>
      </c>
      <c r="I3" s="780">
        <v>0.37777777777777777</v>
      </c>
      <c r="J3" s="781" t="s">
        <v>28</v>
      </c>
      <c r="K3" s="781" t="s">
        <v>29</v>
      </c>
      <c r="L3" s="781" t="s">
        <v>30</v>
      </c>
      <c r="M3" s="781">
        <v>2</v>
      </c>
      <c r="N3" s="781">
        <v>10</v>
      </c>
      <c r="O3" s="782">
        <v>18.899999999999999</v>
      </c>
      <c r="P3" s="782">
        <v>306.60000000000002</v>
      </c>
      <c r="Q3" s="782">
        <v>307.8</v>
      </c>
      <c r="R3" s="783" t="s">
        <v>1233</v>
      </c>
      <c r="S3" s="783">
        <v>4.7050000000000001</v>
      </c>
      <c r="T3" s="783">
        <v>8.68</v>
      </c>
      <c r="U3" s="695" t="s">
        <v>50</v>
      </c>
      <c r="V3" s="699" t="s">
        <v>50</v>
      </c>
      <c r="W3" s="699" t="s">
        <v>50</v>
      </c>
      <c r="Y3" s="700" t="s">
        <v>32</v>
      </c>
    </row>
    <row r="4" spans="1:25" x14ac:dyDescent="0.25">
      <c r="A4" s="691">
        <v>43920</v>
      </c>
      <c r="B4" s="692" t="s">
        <v>43</v>
      </c>
      <c r="C4" s="693" t="s">
        <v>845</v>
      </c>
      <c r="D4" s="37">
        <v>38.265300000000003</v>
      </c>
      <c r="E4" s="37">
        <v>-121.69811</v>
      </c>
      <c r="F4" s="37" t="s">
        <v>1749</v>
      </c>
      <c r="G4" s="37" t="s">
        <v>90</v>
      </c>
      <c r="H4" s="37" t="s">
        <v>126</v>
      </c>
      <c r="I4" s="694">
        <v>0.41944444444444445</v>
      </c>
      <c r="J4" s="781" t="s">
        <v>28</v>
      </c>
      <c r="K4" s="781" t="s">
        <v>29</v>
      </c>
      <c r="L4" s="781" t="s">
        <v>30</v>
      </c>
      <c r="M4" s="695">
        <v>2</v>
      </c>
      <c r="N4" s="695">
        <v>10</v>
      </c>
      <c r="O4" s="91">
        <v>11.8</v>
      </c>
      <c r="P4" s="696">
        <v>230.3</v>
      </c>
      <c r="Q4" s="696">
        <v>232.5</v>
      </c>
      <c r="R4" s="696" t="s">
        <v>50</v>
      </c>
      <c r="S4" s="696">
        <v>5.4350000000000005</v>
      </c>
      <c r="T4" s="696">
        <v>11.03</v>
      </c>
      <c r="U4" s="695" t="s">
        <v>50</v>
      </c>
      <c r="V4" s="699" t="s">
        <v>50</v>
      </c>
      <c r="W4" s="699" t="s">
        <v>50</v>
      </c>
      <c r="X4" s="698" t="s">
        <v>1750</v>
      </c>
      <c r="Y4" s="700" t="s">
        <v>32</v>
      </c>
    </row>
    <row r="5" spans="1:25" x14ac:dyDescent="0.25">
      <c r="A5" s="691">
        <v>43920</v>
      </c>
      <c r="B5" s="692" t="s">
        <v>43</v>
      </c>
      <c r="C5" s="693" t="s">
        <v>845</v>
      </c>
      <c r="D5" s="37">
        <v>38.274859999999997</v>
      </c>
      <c r="E5" s="37">
        <v>-121.70788</v>
      </c>
      <c r="F5" s="37" t="s">
        <v>1751</v>
      </c>
      <c r="G5" s="37" t="s">
        <v>90</v>
      </c>
      <c r="H5" s="37" t="s">
        <v>126</v>
      </c>
      <c r="I5" s="694">
        <v>0.45416666666666666</v>
      </c>
      <c r="J5" s="781" t="s">
        <v>28</v>
      </c>
      <c r="K5" s="781" t="s">
        <v>29</v>
      </c>
      <c r="L5" s="781" t="s">
        <v>30</v>
      </c>
      <c r="M5" s="695">
        <v>2</v>
      </c>
      <c r="N5" s="695">
        <v>10</v>
      </c>
      <c r="O5" s="696">
        <v>11.85</v>
      </c>
      <c r="P5" s="696">
        <v>289.89999999999998</v>
      </c>
      <c r="Q5" s="696">
        <v>290</v>
      </c>
      <c r="R5" s="696" t="s">
        <v>50</v>
      </c>
      <c r="S5" s="696">
        <v>5.6850000000000005</v>
      </c>
      <c r="T5" s="696">
        <v>4.3</v>
      </c>
      <c r="U5" s="695" t="s">
        <v>50</v>
      </c>
      <c r="V5" s="699" t="s">
        <v>50</v>
      </c>
      <c r="W5" s="699" t="s">
        <v>50</v>
      </c>
      <c r="X5" s="698" t="s">
        <v>1750</v>
      </c>
      <c r="Y5" s="700" t="s">
        <v>32</v>
      </c>
    </row>
    <row r="6" spans="1:25" x14ac:dyDescent="0.25">
      <c r="A6" s="691">
        <v>43920</v>
      </c>
      <c r="B6" s="692" t="s">
        <v>43</v>
      </c>
      <c r="C6" s="693" t="s">
        <v>845</v>
      </c>
      <c r="D6" s="37">
        <v>38.282260000000001</v>
      </c>
      <c r="E6" s="37">
        <v>-121.69307000000001</v>
      </c>
      <c r="F6" s="37" t="s">
        <v>1752</v>
      </c>
      <c r="G6" s="37" t="s">
        <v>90</v>
      </c>
      <c r="H6" s="37" t="s">
        <v>126</v>
      </c>
      <c r="I6" s="694">
        <v>0.48888888888888887</v>
      </c>
      <c r="J6" s="781" t="s">
        <v>28</v>
      </c>
      <c r="K6" s="781" t="s">
        <v>29</v>
      </c>
      <c r="L6" s="781" t="s">
        <v>30</v>
      </c>
      <c r="M6" s="695">
        <v>2</v>
      </c>
      <c r="N6" s="695">
        <v>10</v>
      </c>
      <c r="O6" s="696">
        <v>22.700000000000003</v>
      </c>
      <c r="P6" s="696">
        <v>316.10000000000002</v>
      </c>
      <c r="Q6" s="696">
        <v>315.14999999999998</v>
      </c>
      <c r="R6" s="696" t="s">
        <v>50</v>
      </c>
      <c r="S6" s="696">
        <v>4.4800000000000004</v>
      </c>
      <c r="T6" s="696">
        <v>4.68</v>
      </c>
      <c r="U6" s="695" t="s">
        <v>50</v>
      </c>
      <c r="V6" s="699" t="s">
        <v>50</v>
      </c>
      <c r="W6" s="699" t="s">
        <v>50</v>
      </c>
      <c r="X6" s="698" t="s">
        <v>1750</v>
      </c>
      <c r="Y6" s="700" t="s">
        <v>32</v>
      </c>
    </row>
    <row r="7" spans="1:25" s="714" customFormat="1" x14ac:dyDescent="0.25">
      <c r="A7" s="784">
        <v>43920</v>
      </c>
      <c r="B7" s="785" t="s">
        <v>43</v>
      </c>
      <c r="C7" s="715" t="s">
        <v>845</v>
      </c>
      <c r="D7" s="714">
        <v>38.286490000000001</v>
      </c>
      <c r="E7" s="714">
        <v>-121.71775</v>
      </c>
      <c r="F7" s="714" t="s">
        <v>1753</v>
      </c>
      <c r="G7" s="714" t="s">
        <v>90</v>
      </c>
      <c r="H7" s="714" t="s">
        <v>126</v>
      </c>
      <c r="I7" s="716">
        <v>0.47916666666666669</v>
      </c>
      <c r="J7" s="786" t="s">
        <v>28</v>
      </c>
      <c r="K7" s="786" t="s">
        <v>29</v>
      </c>
      <c r="L7" s="786" t="s">
        <v>30</v>
      </c>
      <c r="M7" s="717">
        <v>0</v>
      </c>
      <c r="N7" s="717" t="s">
        <v>50</v>
      </c>
      <c r="O7" s="718" t="s">
        <v>50</v>
      </c>
      <c r="P7" s="718" t="s">
        <v>50</v>
      </c>
      <c r="Q7" s="718" t="s">
        <v>50</v>
      </c>
      <c r="R7" s="718" t="s">
        <v>50</v>
      </c>
      <c r="S7" s="718" t="s">
        <v>50</v>
      </c>
      <c r="T7" s="718" t="s">
        <v>50</v>
      </c>
      <c r="U7" s="717" t="s">
        <v>50</v>
      </c>
      <c r="V7" s="717" t="s">
        <v>50</v>
      </c>
      <c r="W7" s="717" t="s">
        <v>50</v>
      </c>
      <c r="X7" s="720" t="s">
        <v>1754</v>
      </c>
      <c r="Y7" s="700" t="s">
        <v>32</v>
      </c>
    </row>
    <row r="8" spans="1:25" s="714" customFormat="1" x14ac:dyDescent="0.25">
      <c r="A8" s="784">
        <v>43920</v>
      </c>
      <c r="B8" s="785" t="s">
        <v>43</v>
      </c>
      <c r="C8" s="715" t="s">
        <v>845</v>
      </c>
      <c r="D8" s="714">
        <v>38.242539999999998</v>
      </c>
      <c r="E8" s="714">
        <v>-121.68443000000001</v>
      </c>
      <c r="F8" s="714" t="s">
        <v>1755</v>
      </c>
      <c r="G8" s="714" t="s">
        <v>90</v>
      </c>
      <c r="H8" s="714" t="s">
        <v>126</v>
      </c>
      <c r="I8" s="716">
        <v>0.5229166666666667</v>
      </c>
      <c r="J8" s="786" t="s">
        <v>28</v>
      </c>
      <c r="K8" s="786" t="s">
        <v>29</v>
      </c>
      <c r="L8" s="786" t="s">
        <v>30</v>
      </c>
      <c r="M8" s="717">
        <v>0</v>
      </c>
      <c r="N8" s="717" t="s">
        <v>50</v>
      </c>
      <c r="O8" s="718" t="s">
        <v>50</v>
      </c>
      <c r="P8" s="718" t="s">
        <v>50</v>
      </c>
      <c r="Q8" s="718" t="s">
        <v>50</v>
      </c>
      <c r="R8" s="718" t="s">
        <v>50</v>
      </c>
      <c r="S8" s="718" t="s">
        <v>50</v>
      </c>
      <c r="T8" s="718" t="s">
        <v>50</v>
      </c>
      <c r="U8" s="717" t="s">
        <v>50</v>
      </c>
      <c r="V8" s="717" t="s">
        <v>50</v>
      </c>
      <c r="W8" s="717" t="s">
        <v>50</v>
      </c>
      <c r="X8" s="720" t="s">
        <v>1754</v>
      </c>
      <c r="Y8" s="700" t="s">
        <v>32</v>
      </c>
    </row>
    <row r="9" spans="1:25" x14ac:dyDescent="0.25">
      <c r="A9" s="691">
        <v>43920</v>
      </c>
      <c r="B9" s="692" t="s">
        <v>43</v>
      </c>
      <c r="C9" s="693" t="s">
        <v>845</v>
      </c>
      <c r="D9" s="37">
        <v>38.264850000000003</v>
      </c>
      <c r="E9" s="37">
        <v>-121.6705</v>
      </c>
      <c r="F9" s="37" t="s">
        <v>1756</v>
      </c>
      <c r="G9" s="37" t="s">
        <v>90</v>
      </c>
      <c r="H9" s="37" t="s">
        <v>126</v>
      </c>
      <c r="I9" s="694">
        <v>0.53194444444444444</v>
      </c>
      <c r="J9" s="781" t="s">
        <v>28</v>
      </c>
      <c r="K9" s="781" t="s">
        <v>29</v>
      </c>
      <c r="L9" s="781" t="s">
        <v>30</v>
      </c>
      <c r="M9" s="695">
        <v>2</v>
      </c>
      <c r="N9" s="695">
        <v>10</v>
      </c>
      <c r="O9" s="696">
        <v>24.35</v>
      </c>
      <c r="P9" s="696">
        <v>308.35000000000002</v>
      </c>
      <c r="Q9" s="696">
        <v>308.89999999999998</v>
      </c>
      <c r="R9" s="696" t="s">
        <v>50</v>
      </c>
      <c r="S9" s="696">
        <v>6.0600000000000005</v>
      </c>
      <c r="T9" s="696">
        <v>5.77</v>
      </c>
      <c r="U9" s="695" t="s">
        <v>50</v>
      </c>
      <c r="V9" s="699" t="s">
        <v>50</v>
      </c>
      <c r="W9" s="699" t="s">
        <v>50</v>
      </c>
      <c r="X9" s="698" t="s">
        <v>1750</v>
      </c>
      <c r="Y9" s="700" t="s">
        <v>32</v>
      </c>
    </row>
    <row r="10" spans="1:25" x14ac:dyDescent="0.25">
      <c r="A10" s="691">
        <v>43920</v>
      </c>
      <c r="B10" s="692" t="s">
        <v>43</v>
      </c>
      <c r="C10" s="693" t="s">
        <v>62</v>
      </c>
      <c r="D10" s="37">
        <v>38.102420000000002</v>
      </c>
      <c r="E10" s="37">
        <v>-122.03031</v>
      </c>
      <c r="F10" s="37" t="s">
        <v>1757</v>
      </c>
      <c r="G10" s="37" t="s">
        <v>27</v>
      </c>
      <c r="H10" s="37" t="s">
        <v>173</v>
      </c>
      <c r="I10" s="694">
        <v>0.37708333333333338</v>
      </c>
      <c r="J10" s="781" t="s">
        <v>28</v>
      </c>
      <c r="K10" s="781" t="s">
        <v>29</v>
      </c>
      <c r="L10" s="781" t="s">
        <v>30</v>
      </c>
      <c r="M10" s="695">
        <v>2</v>
      </c>
      <c r="N10" s="695">
        <v>10</v>
      </c>
      <c r="O10" s="696">
        <v>11.95</v>
      </c>
      <c r="P10" s="696">
        <v>9628</v>
      </c>
      <c r="Q10" s="696">
        <v>13.6</v>
      </c>
      <c r="R10" s="696">
        <v>0.58499999999999996</v>
      </c>
      <c r="S10" s="696">
        <v>17.5</v>
      </c>
      <c r="T10" s="696">
        <v>20.700000000000003</v>
      </c>
      <c r="U10" s="695" t="s">
        <v>50</v>
      </c>
      <c r="V10" s="699" t="s">
        <v>50</v>
      </c>
      <c r="W10" s="699" t="s">
        <v>50</v>
      </c>
      <c r="Y10" s="700" t="s">
        <v>32</v>
      </c>
    </row>
    <row r="11" spans="1:25" x14ac:dyDescent="0.25">
      <c r="A11" s="691">
        <v>43920</v>
      </c>
      <c r="B11" s="692" t="s">
        <v>43</v>
      </c>
      <c r="C11" s="693" t="s">
        <v>62</v>
      </c>
      <c r="D11" s="37">
        <v>38.106720000000003</v>
      </c>
      <c r="E11" s="37">
        <v>-122.05038</v>
      </c>
      <c r="F11" s="37" t="s">
        <v>1758</v>
      </c>
      <c r="G11" s="37" t="s">
        <v>27</v>
      </c>
      <c r="H11" s="37" t="s">
        <v>173</v>
      </c>
      <c r="I11" s="694">
        <v>0.4069444444444445</v>
      </c>
      <c r="J11" s="781" t="s">
        <v>28</v>
      </c>
      <c r="K11" s="781" t="s">
        <v>29</v>
      </c>
      <c r="L11" s="781" t="s">
        <v>30</v>
      </c>
      <c r="M11" s="695">
        <v>2</v>
      </c>
      <c r="N11" s="695">
        <v>10</v>
      </c>
      <c r="O11" s="696">
        <v>11.6</v>
      </c>
      <c r="P11" s="696">
        <v>9889.5</v>
      </c>
      <c r="Q11" s="696">
        <v>9908</v>
      </c>
      <c r="R11" s="696">
        <v>0.56000000000000005</v>
      </c>
      <c r="S11" s="696">
        <v>29.049999999999997</v>
      </c>
      <c r="T11" s="696">
        <v>106.1</v>
      </c>
      <c r="U11" s="695" t="s">
        <v>50</v>
      </c>
      <c r="V11" s="699" t="s">
        <v>50</v>
      </c>
      <c r="W11" s="699" t="s">
        <v>50</v>
      </c>
      <c r="Y11" s="700" t="s">
        <v>32</v>
      </c>
    </row>
    <row r="12" spans="1:25" s="683" customFormat="1" x14ac:dyDescent="0.25">
      <c r="A12" s="681">
        <v>43920</v>
      </c>
      <c r="B12" s="701" t="s">
        <v>43</v>
      </c>
      <c r="C12" s="682" t="s">
        <v>62</v>
      </c>
      <c r="D12" s="683">
        <v>38.104100000000003</v>
      </c>
      <c r="E12" s="683">
        <v>-122.06417999999999</v>
      </c>
      <c r="F12" s="683" t="s">
        <v>1759</v>
      </c>
      <c r="G12" s="683" t="s">
        <v>27</v>
      </c>
      <c r="H12" s="683" t="s">
        <v>173</v>
      </c>
      <c r="I12" s="684">
        <v>0.43472222222222223</v>
      </c>
      <c r="J12" s="685" t="s">
        <v>28</v>
      </c>
      <c r="K12" s="685" t="s">
        <v>29</v>
      </c>
      <c r="L12" s="685" t="s">
        <v>30</v>
      </c>
      <c r="M12" s="686">
        <v>2</v>
      </c>
      <c r="N12" s="686">
        <v>10</v>
      </c>
      <c r="O12" s="687">
        <v>9.6999999999999993</v>
      </c>
      <c r="P12" s="687">
        <v>8457.5</v>
      </c>
      <c r="Q12" s="687">
        <v>7877.5</v>
      </c>
      <c r="R12" s="687">
        <v>0.32</v>
      </c>
      <c r="S12" s="687">
        <v>38.700000000000003</v>
      </c>
      <c r="T12" s="687">
        <v>142.6</v>
      </c>
      <c r="U12" s="690" t="s">
        <v>31</v>
      </c>
      <c r="V12" s="688">
        <v>11</v>
      </c>
      <c r="W12" s="688" t="s">
        <v>1760</v>
      </c>
      <c r="X12" s="689"/>
      <c r="Y12" s="703" t="s">
        <v>32</v>
      </c>
    </row>
    <row r="13" spans="1:25" s="683" customFormat="1" x14ac:dyDescent="0.25">
      <c r="A13" s="681">
        <v>43920</v>
      </c>
      <c r="B13" s="701" t="s">
        <v>43</v>
      </c>
      <c r="C13" s="682" t="s">
        <v>62</v>
      </c>
      <c r="D13" s="683">
        <v>38.171230000000001</v>
      </c>
      <c r="E13" s="683">
        <v>-122.01864999999999</v>
      </c>
      <c r="F13" s="683" t="s">
        <v>1761</v>
      </c>
      <c r="G13" s="683" t="s">
        <v>27</v>
      </c>
      <c r="H13" s="683" t="s">
        <v>62</v>
      </c>
      <c r="I13" s="684">
        <v>0.47222222222222227</v>
      </c>
      <c r="J13" s="685" t="s">
        <v>28</v>
      </c>
      <c r="K13" s="685" t="s">
        <v>29</v>
      </c>
      <c r="L13" s="685" t="s">
        <v>30</v>
      </c>
      <c r="M13" s="686">
        <v>2</v>
      </c>
      <c r="N13" s="686">
        <v>10</v>
      </c>
      <c r="O13" s="687">
        <v>24.95</v>
      </c>
      <c r="P13" s="687">
        <v>2241.5</v>
      </c>
      <c r="Q13" s="687">
        <v>2243</v>
      </c>
      <c r="R13" s="687">
        <v>0.435</v>
      </c>
      <c r="S13" s="687">
        <v>36.6</v>
      </c>
      <c r="T13" s="687">
        <v>45.35</v>
      </c>
      <c r="U13" s="690" t="s">
        <v>31</v>
      </c>
      <c r="V13" s="688">
        <v>6</v>
      </c>
      <c r="W13" s="688" t="s">
        <v>1762</v>
      </c>
      <c r="X13" s="689"/>
      <c r="Y13" s="703" t="s">
        <v>32</v>
      </c>
    </row>
    <row r="14" spans="1:25" s="683" customFormat="1" x14ac:dyDescent="0.25">
      <c r="A14" s="681">
        <v>43920</v>
      </c>
      <c r="B14" s="701" t="s">
        <v>43</v>
      </c>
      <c r="C14" s="682" t="s">
        <v>62</v>
      </c>
      <c r="D14" s="683">
        <v>38.182209999999998</v>
      </c>
      <c r="E14" s="683">
        <v>-121.9928</v>
      </c>
      <c r="F14" s="683" t="s">
        <v>1763</v>
      </c>
      <c r="G14" s="683" t="s">
        <v>27</v>
      </c>
      <c r="H14" s="683" t="s">
        <v>62</v>
      </c>
      <c r="I14" s="684">
        <v>0.49722222222222223</v>
      </c>
      <c r="J14" s="685" t="s">
        <v>28</v>
      </c>
      <c r="K14" s="685" t="s">
        <v>29</v>
      </c>
      <c r="L14" s="685" t="s">
        <v>30</v>
      </c>
      <c r="M14" s="686">
        <v>2</v>
      </c>
      <c r="N14" s="686">
        <v>10</v>
      </c>
      <c r="O14" s="687">
        <v>26.1</v>
      </c>
      <c r="P14" s="687">
        <v>2075.5</v>
      </c>
      <c r="Q14" s="687">
        <v>2081.5</v>
      </c>
      <c r="R14" s="687">
        <v>0.435</v>
      </c>
      <c r="S14" s="687">
        <v>40.700000000000003</v>
      </c>
      <c r="T14" s="687">
        <v>38.400000000000006</v>
      </c>
      <c r="U14" s="690" t="s">
        <v>31</v>
      </c>
      <c r="V14" s="702">
        <v>9</v>
      </c>
      <c r="W14" s="702" t="s">
        <v>1764</v>
      </c>
      <c r="X14" s="689" t="s">
        <v>1765</v>
      </c>
      <c r="Y14" s="703" t="s">
        <v>32</v>
      </c>
    </row>
    <row r="15" spans="1:25" s="683" customFormat="1" x14ac:dyDescent="0.25">
      <c r="A15" s="681">
        <v>43921</v>
      </c>
      <c r="B15" s="701" t="s">
        <v>849</v>
      </c>
      <c r="C15" s="682" t="s">
        <v>95</v>
      </c>
      <c r="D15" s="683">
        <v>38.061360000000001</v>
      </c>
      <c r="E15" s="683">
        <v>-121.54423</v>
      </c>
      <c r="F15" s="683" t="s">
        <v>1766</v>
      </c>
      <c r="G15" s="683" t="s">
        <v>46</v>
      </c>
      <c r="H15" s="683" t="s">
        <v>1767</v>
      </c>
      <c r="I15" s="684">
        <v>0.37361111111111112</v>
      </c>
      <c r="J15" s="685" t="s">
        <v>28</v>
      </c>
      <c r="K15" s="685" t="s">
        <v>29</v>
      </c>
      <c r="L15" s="685" t="s">
        <v>30</v>
      </c>
      <c r="M15" s="686">
        <v>2</v>
      </c>
      <c r="N15" s="686">
        <v>10</v>
      </c>
      <c r="O15" s="687">
        <v>20.5</v>
      </c>
      <c r="P15" s="687">
        <v>212.15</v>
      </c>
      <c r="Q15" s="687">
        <v>213.5</v>
      </c>
      <c r="R15" s="687">
        <v>1.8</v>
      </c>
      <c r="S15" s="687">
        <v>3.71</v>
      </c>
      <c r="T15" s="687">
        <v>42.18</v>
      </c>
      <c r="U15" s="690" t="s">
        <v>31</v>
      </c>
      <c r="V15" s="702">
        <v>1</v>
      </c>
      <c r="W15" s="702">
        <v>9.5</v>
      </c>
      <c r="X15" s="689"/>
      <c r="Y15" s="703" t="s">
        <v>32</v>
      </c>
    </row>
    <row r="16" spans="1:25" x14ac:dyDescent="0.25">
      <c r="A16" s="691">
        <v>43921</v>
      </c>
      <c r="B16" s="692" t="s">
        <v>849</v>
      </c>
      <c r="C16" s="693" t="s">
        <v>95</v>
      </c>
      <c r="D16" s="37">
        <v>38.087479999999999</v>
      </c>
      <c r="E16" s="37">
        <v>-121.64302000000001</v>
      </c>
      <c r="F16" s="37" t="s">
        <v>1768</v>
      </c>
      <c r="G16" s="37" t="s">
        <v>46</v>
      </c>
      <c r="H16" s="37" t="s">
        <v>908</v>
      </c>
      <c r="I16" s="694">
        <v>0.41250000000000003</v>
      </c>
      <c r="J16" s="695" t="s">
        <v>28</v>
      </c>
      <c r="K16" s="695" t="s">
        <v>29</v>
      </c>
      <c r="L16" s="695" t="s">
        <v>30</v>
      </c>
      <c r="M16" s="695">
        <v>2</v>
      </c>
      <c r="N16" s="695">
        <v>10</v>
      </c>
      <c r="O16" s="696">
        <v>55.65</v>
      </c>
      <c r="P16" s="696">
        <v>291.10000000000002</v>
      </c>
      <c r="Q16" s="696">
        <v>293.5</v>
      </c>
      <c r="R16" s="696">
        <v>1.8</v>
      </c>
      <c r="S16" s="696">
        <v>10.54</v>
      </c>
      <c r="T16" s="696">
        <v>21.564999999999998</v>
      </c>
      <c r="U16" s="695" t="s">
        <v>50</v>
      </c>
      <c r="V16" s="697" t="s">
        <v>50</v>
      </c>
      <c r="W16" s="697" t="s">
        <v>50</v>
      </c>
      <c r="X16" s="698" t="s">
        <v>1769</v>
      </c>
      <c r="Y16" s="700" t="s">
        <v>32</v>
      </c>
    </row>
    <row r="17" spans="1:25" s="683" customFormat="1" x14ac:dyDescent="0.25">
      <c r="A17" s="681">
        <v>43921</v>
      </c>
      <c r="B17" s="701" t="s">
        <v>849</v>
      </c>
      <c r="C17" s="682" t="s">
        <v>95</v>
      </c>
      <c r="D17" s="683">
        <v>38.076219999999999</v>
      </c>
      <c r="E17" s="683">
        <v>-121.67923</v>
      </c>
      <c r="F17" s="683" t="s">
        <v>1770</v>
      </c>
      <c r="G17" s="683" t="s">
        <v>46</v>
      </c>
      <c r="H17" s="683" t="s">
        <v>908</v>
      </c>
      <c r="I17" s="684">
        <v>0.4381944444444445</v>
      </c>
      <c r="J17" s="686" t="s">
        <v>28</v>
      </c>
      <c r="K17" s="686" t="s">
        <v>29</v>
      </c>
      <c r="L17" s="686" t="s">
        <v>30</v>
      </c>
      <c r="M17" s="686">
        <v>2</v>
      </c>
      <c r="N17" s="686">
        <v>10</v>
      </c>
      <c r="O17" s="687">
        <v>41</v>
      </c>
      <c r="P17" s="687">
        <v>370.3</v>
      </c>
      <c r="Q17" s="687">
        <v>399.75</v>
      </c>
      <c r="R17" s="687">
        <v>1.54</v>
      </c>
      <c r="S17" s="687">
        <v>5.5299999999999994</v>
      </c>
      <c r="T17" s="687">
        <v>6.0150000000000006</v>
      </c>
      <c r="U17" s="690" t="s">
        <v>31</v>
      </c>
      <c r="V17" s="702">
        <v>3</v>
      </c>
      <c r="W17" s="702" t="s">
        <v>1771</v>
      </c>
      <c r="X17" s="689"/>
      <c r="Y17" s="703" t="s">
        <v>32</v>
      </c>
    </row>
    <row r="18" spans="1:25" x14ac:dyDescent="0.25">
      <c r="A18" s="691">
        <v>43921</v>
      </c>
      <c r="B18" s="692" t="s">
        <v>849</v>
      </c>
      <c r="C18" s="693" t="s">
        <v>95</v>
      </c>
      <c r="D18" s="37">
        <v>38.042209999999997</v>
      </c>
      <c r="E18" s="37">
        <v>-121.7003</v>
      </c>
      <c r="F18" s="37" t="s">
        <v>1772</v>
      </c>
      <c r="G18" s="37" t="s">
        <v>27</v>
      </c>
      <c r="H18" s="37" t="s">
        <v>863</v>
      </c>
      <c r="I18" s="694">
        <v>0.46666666666666662</v>
      </c>
      <c r="J18" s="695" t="s">
        <v>28</v>
      </c>
      <c r="K18" s="695" t="s">
        <v>29</v>
      </c>
      <c r="L18" s="695" t="s">
        <v>30</v>
      </c>
      <c r="M18" s="695">
        <v>2</v>
      </c>
      <c r="N18" s="695">
        <v>10</v>
      </c>
      <c r="O18" s="696">
        <v>33.450000000000003</v>
      </c>
      <c r="P18" s="696">
        <v>523</v>
      </c>
      <c r="Q18" s="696">
        <v>523</v>
      </c>
      <c r="R18" s="696">
        <v>1.3049999999999999</v>
      </c>
      <c r="S18" s="696">
        <v>9.1750000000000007</v>
      </c>
      <c r="T18" s="696">
        <v>10.210000000000001</v>
      </c>
      <c r="U18" s="695" t="s">
        <v>50</v>
      </c>
      <c r="V18" s="699" t="s">
        <v>50</v>
      </c>
      <c r="W18" s="699" t="s">
        <v>50</v>
      </c>
      <c r="Y18" s="700" t="s">
        <v>32</v>
      </c>
    </row>
    <row r="19" spans="1:25" s="683" customFormat="1" x14ac:dyDescent="0.25">
      <c r="A19" s="681">
        <v>43921</v>
      </c>
      <c r="B19" s="701" t="s">
        <v>849</v>
      </c>
      <c r="C19" s="682" t="s">
        <v>95</v>
      </c>
      <c r="D19" s="683">
        <v>38.034149999999997</v>
      </c>
      <c r="E19" s="683">
        <v>-121.71765000000001</v>
      </c>
      <c r="F19" s="683" t="s">
        <v>1773</v>
      </c>
      <c r="G19" s="683" t="s">
        <v>27</v>
      </c>
      <c r="H19" s="683" t="s">
        <v>863</v>
      </c>
      <c r="I19" s="684">
        <v>0.49305555555555558</v>
      </c>
      <c r="J19" s="686" t="s">
        <v>28</v>
      </c>
      <c r="K19" s="686" t="s">
        <v>29</v>
      </c>
      <c r="L19" s="686" t="s">
        <v>30</v>
      </c>
      <c r="M19" s="686">
        <v>2</v>
      </c>
      <c r="N19" s="686">
        <v>10</v>
      </c>
      <c r="O19" s="687">
        <v>44.8</v>
      </c>
      <c r="P19" s="687">
        <v>558.5</v>
      </c>
      <c r="Q19" s="687">
        <v>566.5</v>
      </c>
      <c r="R19" s="687">
        <v>1.165</v>
      </c>
      <c r="S19" s="687">
        <v>8.4149999999999991</v>
      </c>
      <c r="T19" s="687">
        <v>8.4450000000000003</v>
      </c>
      <c r="U19" s="690" t="s">
        <v>31</v>
      </c>
      <c r="V19" s="688">
        <v>1</v>
      </c>
      <c r="W19" s="688">
        <v>19</v>
      </c>
      <c r="X19" s="689"/>
      <c r="Y19" s="703" t="s">
        <v>32</v>
      </c>
    </row>
    <row r="20" spans="1:25" x14ac:dyDescent="0.25">
      <c r="A20" s="691">
        <v>43921</v>
      </c>
      <c r="B20" s="692" t="s">
        <v>849</v>
      </c>
      <c r="C20" s="693" t="s">
        <v>88</v>
      </c>
      <c r="D20" s="37">
        <v>38.119459999999997</v>
      </c>
      <c r="E20" s="37">
        <v>-121.69945</v>
      </c>
      <c r="F20" s="37" t="s">
        <v>1774</v>
      </c>
      <c r="G20" s="37" t="s">
        <v>90</v>
      </c>
      <c r="H20" s="37" t="s">
        <v>91</v>
      </c>
      <c r="I20" s="694">
        <v>0.32847222222222222</v>
      </c>
      <c r="J20" s="695" t="s">
        <v>28</v>
      </c>
      <c r="K20" s="695" t="s">
        <v>29</v>
      </c>
      <c r="L20" s="695" t="s">
        <v>30</v>
      </c>
      <c r="M20" s="695">
        <v>2</v>
      </c>
      <c r="N20" s="695">
        <v>10</v>
      </c>
      <c r="O20" s="696">
        <v>25.5</v>
      </c>
      <c r="P20" s="696">
        <v>175.65</v>
      </c>
      <c r="Q20" s="696">
        <v>176.25</v>
      </c>
      <c r="R20" s="696" t="s">
        <v>1233</v>
      </c>
      <c r="S20" s="696">
        <v>4.7349999999999994</v>
      </c>
      <c r="T20" s="696">
        <v>6.3650000000000002</v>
      </c>
      <c r="U20" s="695"/>
      <c r="V20" s="697"/>
      <c r="W20" s="697"/>
      <c r="Y20" s="700" t="s">
        <v>32</v>
      </c>
    </row>
    <row r="21" spans="1:25" s="683" customFormat="1" x14ac:dyDescent="0.25">
      <c r="A21" s="681">
        <v>43921</v>
      </c>
      <c r="B21" s="701" t="s">
        <v>849</v>
      </c>
      <c r="C21" s="682" t="s">
        <v>88</v>
      </c>
      <c r="D21" s="683">
        <v>38.08296</v>
      </c>
      <c r="E21" s="683">
        <v>-121.74814000000001</v>
      </c>
      <c r="F21" s="683" t="s">
        <v>1775</v>
      </c>
      <c r="G21" s="683" t="s">
        <v>27</v>
      </c>
      <c r="H21" s="683" t="s">
        <v>25</v>
      </c>
      <c r="I21" s="684">
        <v>0.36249999999999999</v>
      </c>
      <c r="J21" s="686" t="s">
        <v>28</v>
      </c>
      <c r="K21" s="686" t="s">
        <v>29</v>
      </c>
      <c r="L21" s="686" t="s">
        <v>30</v>
      </c>
      <c r="M21" s="686">
        <v>2</v>
      </c>
      <c r="N21" s="686">
        <v>10</v>
      </c>
      <c r="O21" s="687">
        <v>34.549999999999997</v>
      </c>
      <c r="P21" s="687">
        <v>518.5</v>
      </c>
      <c r="Q21" s="687">
        <v>564</v>
      </c>
      <c r="R21" s="687">
        <v>1.0950000000000002</v>
      </c>
      <c r="S21" s="687">
        <v>12.8</v>
      </c>
      <c r="T21" s="687">
        <v>11.850000000000001</v>
      </c>
      <c r="U21" s="690" t="s">
        <v>31</v>
      </c>
      <c r="V21" s="688">
        <v>3</v>
      </c>
      <c r="W21" s="688" t="s">
        <v>1776</v>
      </c>
      <c r="X21" s="689"/>
      <c r="Y21" s="703" t="s">
        <v>32</v>
      </c>
    </row>
    <row r="22" spans="1:25" s="421" customFormat="1" x14ac:dyDescent="0.25">
      <c r="A22" s="704">
        <v>43921</v>
      </c>
      <c r="B22" s="705" t="s">
        <v>849</v>
      </c>
      <c r="C22" s="524" t="s">
        <v>88</v>
      </c>
      <c r="D22" s="421">
        <v>38.08296</v>
      </c>
      <c r="E22" s="421">
        <v>-121.74814000000001</v>
      </c>
      <c r="F22" s="421" t="s">
        <v>1775</v>
      </c>
      <c r="G22" s="421" t="s">
        <v>27</v>
      </c>
      <c r="H22" s="421" t="s">
        <v>25</v>
      </c>
      <c r="I22" s="525">
        <v>0.36249999999999999</v>
      </c>
      <c r="J22" s="526" t="s">
        <v>28</v>
      </c>
      <c r="K22" s="526" t="s">
        <v>29</v>
      </c>
      <c r="L22" s="526" t="s">
        <v>30</v>
      </c>
      <c r="M22" s="526">
        <v>2</v>
      </c>
      <c r="N22" s="526">
        <v>10</v>
      </c>
      <c r="O22" s="530">
        <v>34.549999999999997</v>
      </c>
      <c r="P22" s="530">
        <v>518.5</v>
      </c>
      <c r="Q22" s="530">
        <v>564</v>
      </c>
      <c r="R22" s="530">
        <v>1.0950000000000002</v>
      </c>
      <c r="S22" s="530">
        <v>12.8</v>
      </c>
      <c r="T22" s="530">
        <v>11.850000000000001</v>
      </c>
      <c r="U22" s="706" t="s">
        <v>323</v>
      </c>
      <c r="V22" s="707">
        <v>1</v>
      </c>
      <c r="W22" s="707">
        <v>7.8</v>
      </c>
      <c r="X22" s="397" t="s">
        <v>1777</v>
      </c>
      <c r="Y22" s="768" t="s">
        <v>32</v>
      </c>
    </row>
    <row r="23" spans="1:25" s="683" customFormat="1" x14ac:dyDescent="0.25">
      <c r="A23" s="681">
        <v>43921</v>
      </c>
      <c r="B23" s="701" t="s">
        <v>849</v>
      </c>
      <c r="C23" s="682" t="s">
        <v>88</v>
      </c>
      <c r="D23" s="683">
        <v>38.063249999999996</v>
      </c>
      <c r="E23" s="683">
        <v>-121.82964</v>
      </c>
      <c r="F23" s="683" t="s">
        <v>1778</v>
      </c>
      <c r="G23" s="683" t="s">
        <v>27</v>
      </c>
      <c r="H23" s="683" t="s">
        <v>25</v>
      </c>
      <c r="I23" s="708">
        <v>0.39930555555555558</v>
      </c>
      <c r="J23" s="686" t="s">
        <v>28</v>
      </c>
      <c r="K23" s="686" t="s">
        <v>29</v>
      </c>
      <c r="L23" s="686" t="s">
        <v>30</v>
      </c>
      <c r="M23" s="686">
        <v>2</v>
      </c>
      <c r="N23" s="686">
        <v>10</v>
      </c>
      <c r="O23" s="209">
        <v>37.6</v>
      </c>
      <c r="P23" s="209">
        <v>3700</v>
      </c>
      <c r="Q23" s="209">
        <v>3921.5</v>
      </c>
      <c r="R23" s="209">
        <v>0.78</v>
      </c>
      <c r="S23" s="209">
        <v>21.15</v>
      </c>
      <c r="T23" s="209">
        <v>21.25</v>
      </c>
      <c r="U23" s="709" t="s">
        <v>31</v>
      </c>
      <c r="V23" s="683">
        <v>3</v>
      </c>
      <c r="W23" s="683" t="s">
        <v>1779</v>
      </c>
      <c r="X23" s="689"/>
      <c r="Y23" s="205" t="s">
        <v>32</v>
      </c>
    </row>
    <row r="24" spans="1:25" s="421" customFormat="1" x14ac:dyDescent="0.25">
      <c r="A24" s="704">
        <v>43921</v>
      </c>
      <c r="B24" s="705" t="s">
        <v>849</v>
      </c>
      <c r="C24" s="524" t="s">
        <v>88</v>
      </c>
      <c r="D24" s="421">
        <v>38.063249999999996</v>
      </c>
      <c r="E24" s="421">
        <v>-121.82964</v>
      </c>
      <c r="F24" s="421" t="s">
        <v>1778</v>
      </c>
      <c r="G24" s="421" t="s">
        <v>27</v>
      </c>
      <c r="H24" s="421" t="s">
        <v>25</v>
      </c>
      <c r="I24" s="525">
        <v>0.39930555555555558</v>
      </c>
      <c r="J24" s="526" t="s">
        <v>28</v>
      </c>
      <c r="K24" s="526" t="s">
        <v>29</v>
      </c>
      <c r="L24" s="526" t="s">
        <v>30</v>
      </c>
      <c r="M24" s="526">
        <v>2</v>
      </c>
      <c r="N24" s="526">
        <v>10</v>
      </c>
      <c r="O24" s="530">
        <v>37.6</v>
      </c>
      <c r="P24" s="530">
        <v>3700</v>
      </c>
      <c r="Q24" s="530">
        <v>3921.5</v>
      </c>
      <c r="R24" s="530">
        <v>0.78</v>
      </c>
      <c r="S24" s="530">
        <v>21.15</v>
      </c>
      <c r="T24" s="530">
        <v>21.25</v>
      </c>
      <c r="U24" s="706" t="s">
        <v>323</v>
      </c>
      <c r="V24" s="707">
        <v>1</v>
      </c>
      <c r="W24" s="707">
        <v>6.2</v>
      </c>
      <c r="X24" s="397" t="s">
        <v>1780</v>
      </c>
      <c r="Y24" s="768" t="s">
        <v>32</v>
      </c>
    </row>
    <row r="25" spans="1:25" s="683" customFormat="1" x14ac:dyDescent="0.25">
      <c r="A25" s="681">
        <v>43921</v>
      </c>
      <c r="B25" s="701" t="s">
        <v>849</v>
      </c>
      <c r="C25" s="682" t="s">
        <v>88</v>
      </c>
      <c r="D25" s="683">
        <v>38.063249999999996</v>
      </c>
      <c r="E25" s="683">
        <v>-121.82964</v>
      </c>
      <c r="F25" s="683" t="s">
        <v>1778</v>
      </c>
      <c r="G25" s="683" t="s">
        <v>27</v>
      </c>
      <c r="H25" s="683" t="s">
        <v>25</v>
      </c>
      <c r="I25" s="708">
        <v>0.39930555555555558</v>
      </c>
      <c r="J25" s="686" t="s">
        <v>28</v>
      </c>
      <c r="K25" s="686" t="s">
        <v>29</v>
      </c>
      <c r="L25" s="686" t="s">
        <v>30</v>
      </c>
      <c r="M25" s="686">
        <v>2</v>
      </c>
      <c r="N25" s="686">
        <v>10</v>
      </c>
      <c r="O25" s="209">
        <v>37.6</v>
      </c>
      <c r="P25" s="209">
        <v>3700</v>
      </c>
      <c r="Q25" s="209">
        <v>3921.5</v>
      </c>
      <c r="R25" s="209">
        <v>0.78</v>
      </c>
      <c r="S25" s="209">
        <v>21.15</v>
      </c>
      <c r="T25" s="209">
        <v>21.25</v>
      </c>
      <c r="U25" s="709" t="s">
        <v>926</v>
      </c>
      <c r="V25" s="683">
        <v>1</v>
      </c>
      <c r="W25" s="683">
        <v>14.5</v>
      </c>
      <c r="X25" s="689" t="s">
        <v>1781</v>
      </c>
      <c r="Y25" s="205" t="s">
        <v>32</v>
      </c>
    </row>
    <row r="26" spans="1:25" s="683" customFormat="1" x14ac:dyDescent="0.25">
      <c r="A26" s="681">
        <v>43921</v>
      </c>
      <c r="B26" s="701" t="s">
        <v>849</v>
      </c>
      <c r="C26" s="682" t="s">
        <v>88</v>
      </c>
      <c r="D26" s="683">
        <v>38.030459999999998</v>
      </c>
      <c r="E26" s="683">
        <v>-121.78489999999999</v>
      </c>
      <c r="F26" s="683" t="s">
        <v>1782</v>
      </c>
      <c r="G26" s="683" t="s">
        <v>27</v>
      </c>
      <c r="H26" s="683" t="s">
        <v>25</v>
      </c>
      <c r="I26" s="684">
        <v>0.43611111111111112</v>
      </c>
      <c r="J26" s="686" t="s">
        <v>28</v>
      </c>
      <c r="K26" s="686" t="s">
        <v>29</v>
      </c>
      <c r="L26" s="686" t="s">
        <v>30</v>
      </c>
      <c r="M26" s="686">
        <v>2</v>
      </c>
      <c r="N26" s="686">
        <v>10</v>
      </c>
      <c r="O26" s="687">
        <v>26.299999999999997</v>
      </c>
      <c r="P26" s="687">
        <v>675.5</v>
      </c>
      <c r="Q26" s="687">
        <v>704.5</v>
      </c>
      <c r="R26" s="687">
        <v>0.93500000000000005</v>
      </c>
      <c r="S26" s="687">
        <v>14.5</v>
      </c>
      <c r="T26" s="687">
        <v>11.95</v>
      </c>
      <c r="U26" s="690" t="s">
        <v>31</v>
      </c>
      <c r="V26" s="688">
        <v>11</v>
      </c>
      <c r="W26" s="688" t="s">
        <v>1783</v>
      </c>
      <c r="X26" s="689"/>
      <c r="Y26" s="703" t="s">
        <v>32</v>
      </c>
    </row>
    <row r="27" spans="1:25" s="683" customFormat="1" x14ac:dyDescent="0.25">
      <c r="A27" s="681">
        <v>43921</v>
      </c>
      <c r="B27" s="701" t="s">
        <v>849</v>
      </c>
      <c r="C27" s="682" t="s">
        <v>88</v>
      </c>
      <c r="D27" s="683">
        <v>38.074330000000003</v>
      </c>
      <c r="E27" s="683">
        <v>-121.7697</v>
      </c>
      <c r="F27" s="683" t="s">
        <v>1784</v>
      </c>
      <c r="G27" s="683" t="s">
        <v>27</v>
      </c>
      <c r="H27" s="683" t="s">
        <v>25</v>
      </c>
      <c r="I27" s="684">
        <v>0.48194444444444445</v>
      </c>
      <c r="J27" s="686" t="s">
        <v>28</v>
      </c>
      <c r="K27" s="686" t="s">
        <v>29</v>
      </c>
      <c r="L27" s="686" t="s">
        <v>30</v>
      </c>
      <c r="M27" s="686">
        <v>2</v>
      </c>
      <c r="N27" s="686">
        <v>10</v>
      </c>
      <c r="O27" s="687">
        <v>30</v>
      </c>
      <c r="P27" s="687">
        <v>451.55</v>
      </c>
      <c r="Q27" s="687">
        <v>586.5</v>
      </c>
      <c r="R27" s="687">
        <v>0.92</v>
      </c>
      <c r="S27" s="687">
        <v>13.7</v>
      </c>
      <c r="T27" s="687">
        <v>13.75</v>
      </c>
      <c r="U27" s="690" t="s">
        <v>31</v>
      </c>
      <c r="V27" s="688">
        <v>8</v>
      </c>
      <c r="W27" s="688" t="s">
        <v>1785</v>
      </c>
      <c r="X27" s="689"/>
      <c r="Y27" s="703" t="s">
        <v>32</v>
      </c>
    </row>
    <row r="28" spans="1:25" s="683" customFormat="1" x14ac:dyDescent="0.25">
      <c r="A28" s="710">
        <v>43922</v>
      </c>
      <c r="B28" s="701" t="s">
        <v>915</v>
      </c>
      <c r="C28" s="682" t="s">
        <v>106</v>
      </c>
      <c r="D28" s="683">
        <v>38.540970000000002</v>
      </c>
      <c r="E28" s="683">
        <v>-121.58403</v>
      </c>
      <c r="F28" s="683" t="s">
        <v>1786</v>
      </c>
      <c r="G28" s="683" t="s">
        <v>90</v>
      </c>
      <c r="H28" s="683" t="s">
        <v>1787</v>
      </c>
      <c r="I28" s="684">
        <v>0.3659722222222222</v>
      </c>
      <c r="J28" s="686" t="s">
        <v>28</v>
      </c>
      <c r="K28" s="686" t="s">
        <v>29</v>
      </c>
      <c r="L28" s="686" t="s">
        <v>30</v>
      </c>
      <c r="M28" s="686">
        <v>2</v>
      </c>
      <c r="N28" s="686">
        <v>10</v>
      </c>
      <c r="O28" s="687">
        <v>35.75</v>
      </c>
      <c r="P28" s="687">
        <v>996.5</v>
      </c>
      <c r="Q28" s="687">
        <v>1000</v>
      </c>
      <c r="R28" s="687">
        <v>1.1499999999999999</v>
      </c>
      <c r="S28" s="687">
        <v>15.45</v>
      </c>
      <c r="T28" s="687">
        <v>15.8</v>
      </c>
      <c r="U28" s="709" t="s">
        <v>926</v>
      </c>
      <c r="V28" s="688">
        <v>1</v>
      </c>
      <c r="W28" s="688">
        <v>15.6</v>
      </c>
      <c r="X28" s="689" t="s">
        <v>1788</v>
      </c>
      <c r="Y28" s="703" t="s">
        <v>32</v>
      </c>
    </row>
    <row r="29" spans="1:25" x14ac:dyDescent="0.25">
      <c r="A29" s="787">
        <v>43922</v>
      </c>
      <c r="B29" s="692" t="s">
        <v>915</v>
      </c>
      <c r="C29" s="693" t="s">
        <v>106</v>
      </c>
      <c r="D29" s="37">
        <v>38.563740000000003</v>
      </c>
      <c r="E29" s="37">
        <v>-121.55150999999999</v>
      </c>
      <c r="F29" s="37" t="s">
        <v>1789</v>
      </c>
      <c r="G29" s="37" t="s">
        <v>90</v>
      </c>
      <c r="H29" s="37" t="s">
        <v>1787</v>
      </c>
      <c r="I29" s="694">
        <v>0.40208333333333335</v>
      </c>
      <c r="J29" s="695" t="s">
        <v>28</v>
      </c>
      <c r="K29" s="695" t="s">
        <v>29</v>
      </c>
      <c r="L29" s="695" t="s">
        <v>30</v>
      </c>
      <c r="M29" s="695">
        <v>2</v>
      </c>
      <c r="N29" s="695">
        <v>10</v>
      </c>
      <c r="O29" s="696">
        <v>38.5</v>
      </c>
      <c r="P29" s="696">
        <v>1094.5</v>
      </c>
      <c r="Q29" s="696">
        <v>1105.5</v>
      </c>
      <c r="R29" s="696">
        <v>0.8</v>
      </c>
      <c r="S29" s="696">
        <v>25.114999999999998</v>
      </c>
      <c r="T29" s="696">
        <v>19.405000000000001</v>
      </c>
      <c r="U29" s="695" t="s">
        <v>50</v>
      </c>
      <c r="V29" s="699" t="s">
        <v>50</v>
      </c>
      <c r="W29" s="699" t="s">
        <v>50</v>
      </c>
      <c r="X29" s="698" t="s">
        <v>1790</v>
      </c>
      <c r="Y29" s="700" t="s">
        <v>32</v>
      </c>
    </row>
    <row r="30" spans="1:25" s="683" customFormat="1" x14ac:dyDescent="0.25">
      <c r="A30" s="710">
        <v>43922</v>
      </c>
      <c r="B30" s="701" t="s">
        <v>915</v>
      </c>
      <c r="C30" s="682" t="s">
        <v>106</v>
      </c>
      <c r="D30" s="723">
        <v>38.559730000000002</v>
      </c>
      <c r="E30" s="683">
        <v>-121.56686000000001</v>
      </c>
      <c r="F30" s="683" t="s">
        <v>1791</v>
      </c>
      <c r="G30" s="683" t="s">
        <v>90</v>
      </c>
      <c r="H30" s="683" t="s">
        <v>1787</v>
      </c>
      <c r="I30" s="684">
        <v>0.4291666666666667</v>
      </c>
      <c r="J30" s="686" t="s">
        <v>28</v>
      </c>
      <c r="K30" s="686" t="s">
        <v>29</v>
      </c>
      <c r="L30" s="686" t="s">
        <v>30</v>
      </c>
      <c r="M30" s="686">
        <v>2</v>
      </c>
      <c r="N30" s="686">
        <v>10</v>
      </c>
      <c r="O30" s="687">
        <v>37.4</v>
      </c>
      <c r="P30" s="687">
        <v>1045.5</v>
      </c>
      <c r="Q30" s="687">
        <v>1063.5</v>
      </c>
      <c r="R30" s="687">
        <v>0.73</v>
      </c>
      <c r="S30" s="687">
        <v>15.25</v>
      </c>
      <c r="T30" s="687">
        <v>22.02</v>
      </c>
      <c r="U30" s="709" t="s">
        <v>926</v>
      </c>
      <c r="V30" s="688">
        <v>1</v>
      </c>
      <c r="W30" s="688">
        <v>12</v>
      </c>
      <c r="X30" s="689" t="s">
        <v>1792</v>
      </c>
      <c r="Y30" s="703" t="s">
        <v>32</v>
      </c>
    </row>
    <row r="31" spans="1:25" x14ac:dyDescent="0.25">
      <c r="A31" s="787">
        <v>43922</v>
      </c>
      <c r="B31" s="692" t="s">
        <v>915</v>
      </c>
      <c r="C31" s="693" t="s">
        <v>106</v>
      </c>
      <c r="D31" s="788">
        <v>38.465809999999998</v>
      </c>
      <c r="E31" s="37">
        <v>-121.58775</v>
      </c>
      <c r="F31" s="37" t="s">
        <v>1793</v>
      </c>
      <c r="G31" s="37" t="s">
        <v>90</v>
      </c>
      <c r="H31" s="37" t="s">
        <v>108</v>
      </c>
      <c r="I31" s="694">
        <v>0.46458333333333335</v>
      </c>
      <c r="J31" s="695" t="s">
        <v>28</v>
      </c>
      <c r="K31" s="695" t="s">
        <v>29</v>
      </c>
      <c r="L31" s="695" t="s">
        <v>30</v>
      </c>
      <c r="M31" s="695">
        <v>2</v>
      </c>
      <c r="N31" s="695">
        <v>10</v>
      </c>
      <c r="O31" s="696">
        <v>27.35</v>
      </c>
      <c r="P31" s="696">
        <v>727</v>
      </c>
      <c r="Q31" s="696">
        <v>726.5</v>
      </c>
      <c r="R31" s="696">
        <v>0.27500000000000002</v>
      </c>
      <c r="S31" s="696">
        <v>52.5</v>
      </c>
      <c r="T31" s="696">
        <v>49.95</v>
      </c>
      <c r="U31" s="695" t="s">
        <v>50</v>
      </c>
      <c r="V31" s="699" t="s">
        <v>50</v>
      </c>
      <c r="W31" s="699" t="s">
        <v>50</v>
      </c>
      <c r="X31" s="698" t="s">
        <v>1794</v>
      </c>
      <c r="Y31" s="700" t="s">
        <v>32</v>
      </c>
    </row>
    <row r="32" spans="1:25" x14ac:dyDescent="0.25">
      <c r="A32" s="787">
        <v>43922</v>
      </c>
      <c r="B32" s="692" t="s">
        <v>915</v>
      </c>
      <c r="C32" s="693" t="s">
        <v>106</v>
      </c>
      <c r="D32" s="37">
        <v>38.372050000000002</v>
      </c>
      <c r="E32" s="37">
        <v>-121.63061</v>
      </c>
      <c r="F32" s="37" t="s">
        <v>1795</v>
      </c>
      <c r="G32" s="37" t="s">
        <v>90</v>
      </c>
      <c r="H32" s="37" t="s">
        <v>108</v>
      </c>
      <c r="I32" s="694">
        <v>0.50694444444444442</v>
      </c>
      <c r="J32" s="695" t="s">
        <v>28</v>
      </c>
      <c r="K32" s="695" t="s">
        <v>29</v>
      </c>
      <c r="L32" s="695" t="s">
        <v>30</v>
      </c>
      <c r="M32" s="695">
        <v>2</v>
      </c>
      <c r="N32" s="695">
        <v>10</v>
      </c>
      <c r="O32" s="696">
        <v>34.6</v>
      </c>
      <c r="P32" s="696">
        <v>418.70000000000005</v>
      </c>
      <c r="Q32" s="696">
        <v>307.35000000000002</v>
      </c>
      <c r="R32" s="696">
        <v>0.245</v>
      </c>
      <c r="S32" s="696">
        <v>67.95</v>
      </c>
      <c r="T32" s="696">
        <v>136.5</v>
      </c>
      <c r="U32" s="695" t="s">
        <v>50</v>
      </c>
      <c r="V32" s="699" t="s">
        <v>50</v>
      </c>
      <c r="W32" s="699" t="s">
        <v>50</v>
      </c>
      <c r="X32" s="698" t="s">
        <v>1796</v>
      </c>
      <c r="Y32" s="700" t="s">
        <v>32</v>
      </c>
    </row>
    <row r="33" spans="1:25" x14ac:dyDescent="0.25">
      <c r="A33" s="711">
        <v>43922</v>
      </c>
      <c r="B33" s="37" t="s">
        <v>915</v>
      </c>
      <c r="C33" s="693" t="s">
        <v>78</v>
      </c>
      <c r="D33" s="37">
        <v>38.057279999999999</v>
      </c>
      <c r="E33" s="37">
        <v>-122.10854</v>
      </c>
      <c r="F33" s="37" t="s">
        <v>1797</v>
      </c>
      <c r="G33" s="37" t="s">
        <v>80</v>
      </c>
      <c r="H33" s="37" t="s">
        <v>81</v>
      </c>
      <c r="I33" s="712">
        <v>0.36527777777777781</v>
      </c>
      <c r="J33" s="37" t="s">
        <v>28</v>
      </c>
      <c r="K33" s="37" t="s">
        <v>29</v>
      </c>
      <c r="L33" s="37" t="s">
        <v>30</v>
      </c>
      <c r="M33" s="37">
        <v>2</v>
      </c>
      <c r="N33" s="37">
        <v>10</v>
      </c>
      <c r="O33" s="696">
        <v>41.6</v>
      </c>
      <c r="P33" s="696">
        <v>22688.5</v>
      </c>
      <c r="Q33" s="696">
        <v>25891.5</v>
      </c>
      <c r="R33" s="696">
        <v>1.19</v>
      </c>
      <c r="S33" s="696">
        <v>8.2149999999999999</v>
      </c>
      <c r="T33" s="696">
        <v>8.9849999999999994</v>
      </c>
      <c r="U33" s="37" t="s">
        <v>50</v>
      </c>
      <c r="V33" s="37" t="s">
        <v>50</v>
      </c>
      <c r="W33" s="37" t="s">
        <v>50</v>
      </c>
      <c r="Y33" s="750" t="s">
        <v>32</v>
      </c>
    </row>
    <row r="34" spans="1:25" s="714" customFormat="1" x14ac:dyDescent="0.25">
      <c r="A34" s="713">
        <v>43922</v>
      </c>
      <c r="B34" s="714" t="s">
        <v>915</v>
      </c>
      <c r="C34" s="715" t="s">
        <v>78</v>
      </c>
      <c r="D34" s="714">
        <v>38.07846</v>
      </c>
      <c r="E34" s="714">
        <v>-122.09801</v>
      </c>
      <c r="F34" s="714" t="s">
        <v>1798</v>
      </c>
      <c r="G34" s="714" t="s">
        <v>80</v>
      </c>
      <c r="H34" s="714" t="s">
        <v>81</v>
      </c>
      <c r="I34" s="716">
        <v>0.39027777777777778</v>
      </c>
      <c r="J34" s="717" t="s">
        <v>28</v>
      </c>
      <c r="K34" s="717" t="s">
        <v>29</v>
      </c>
      <c r="L34" s="717" t="s">
        <v>30</v>
      </c>
      <c r="M34" s="717">
        <v>0</v>
      </c>
      <c r="N34" s="717" t="s">
        <v>50</v>
      </c>
      <c r="O34" s="718" t="s">
        <v>50</v>
      </c>
      <c r="P34" s="718" t="s">
        <v>50</v>
      </c>
      <c r="Q34" s="718" t="s">
        <v>50</v>
      </c>
      <c r="R34" s="718" t="s">
        <v>50</v>
      </c>
      <c r="S34" s="718" t="s">
        <v>50</v>
      </c>
      <c r="T34" s="718" t="s">
        <v>50</v>
      </c>
      <c r="U34" s="717" t="s">
        <v>50</v>
      </c>
      <c r="V34" s="719" t="s">
        <v>50</v>
      </c>
      <c r="W34" s="719" t="s">
        <v>50</v>
      </c>
      <c r="X34" s="720" t="s">
        <v>1799</v>
      </c>
      <c r="Y34" s="700" t="s">
        <v>32</v>
      </c>
    </row>
    <row r="35" spans="1:25" s="714" customFormat="1" x14ac:dyDescent="0.25">
      <c r="A35" s="713">
        <v>43922</v>
      </c>
      <c r="B35" s="714" t="s">
        <v>915</v>
      </c>
      <c r="C35" s="715" t="s">
        <v>78</v>
      </c>
      <c r="D35" s="714">
        <v>38.068170000000002</v>
      </c>
      <c r="E35" s="714">
        <v>-122.07907</v>
      </c>
      <c r="F35" s="714" t="s">
        <v>1800</v>
      </c>
      <c r="G35" s="714" t="s">
        <v>80</v>
      </c>
      <c r="H35" s="714" t="s">
        <v>81</v>
      </c>
      <c r="I35" s="716">
        <v>0.39583333333333331</v>
      </c>
      <c r="J35" s="717" t="s">
        <v>28</v>
      </c>
      <c r="K35" s="717" t="s">
        <v>29</v>
      </c>
      <c r="L35" s="717" t="s">
        <v>30</v>
      </c>
      <c r="M35" s="717">
        <v>0</v>
      </c>
      <c r="N35" s="717" t="s">
        <v>50</v>
      </c>
      <c r="O35" s="718" t="s">
        <v>50</v>
      </c>
      <c r="P35" s="718" t="s">
        <v>50</v>
      </c>
      <c r="Q35" s="718" t="s">
        <v>50</v>
      </c>
      <c r="R35" s="718" t="s">
        <v>50</v>
      </c>
      <c r="S35" s="718" t="s">
        <v>50</v>
      </c>
      <c r="T35" s="718" t="s">
        <v>50</v>
      </c>
      <c r="U35" s="717" t="s">
        <v>50</v>
      </c>
      <c r="V35" s="721" t="s">
        <v>50</v>
      </c>
      <c r="W35" s="721" t="s">
        <v>50</v>
      </c>
      <c r="X35" s="720" t="s">
        <v>1754</v>
      </c>
      <c r="Y35" s="700" t="s">
        <v>32</v>
      </c>
    </row>
    <row r="36" spans="1:25" x14ac:dyDescent="0.25">
      <c r="A36" s="711">
        <v>43922</v>
      </c>
      <c r="B36" s="37" t="s">
        <v>915</v>
      </c>
      <c r="C36" s="693" t="s">
        <v>78</v>
      </c>
      <c r="D36" s="37">
        <v>38.064300000000003</v>
      </c>
      <c r="E36" s="37">
        <v>-122.03386</v>
      </c>
      <c r="F36" s="37" t="s">
        <v>1801</v>
      </c>
      <c r="G36" s="37" t="s">
        <v>27</v>
      </c>
      <c r="H36" s="37" t="s">
        <v>86</v>
      </c>
      <c r="I36" s="694">
        <v>0.40138888888888885</v>
      </c>
      <c r="J36" s="695" t="s">
        <v>28</v>
      </c>
      <c r="K36" s="695" t="s">
        <v>29</v>
      </c>
      <c r="L36" s="695" t="s">
        <v>30</v>
      </c>
      <c r="M36" s="695">
        <v>2</v>
      </c>
      <c r="N36" s="695">
        <v>10</v>
      </c>
      <c r="O36" s="696">
        <v>43.2</v>
      </c>
      <c r="P36" s="696">
        <v>16550</v>
      </c>
      <c r="Q36" s="696">
        <v>18856.5</v>
      </c>
      <c r="R36" s="696">
        <v>0.82499999999999996</v>
      </c>
      <c r="S36" s="696">
        <v>15.9</v>
      </c>
      <c r="T36" s="696">
        <v>10.95</v>
      </c>
      <c r="U36" s="695" t="s">
        <v>50</v>
      </c>
      <c r="V36" s="697" t="s">
        <v>50</v>
      </c>
      <c r="W36" s="697" t="s">
        <v>50</v>
      </c>
      <c r="Y36" s="700" t="s">
        <v>32</v>
      </c>
    </row>
    <row r="37" spans="1:25" x14ac:dyDescent="0.25">
      <c r="A37" s="711">
        <v>43922</v>
      </c>
      <c r="B37" s="37" t="s">
        <v>915</v>
      </c>
      <c r="C37" s="693" t="s">
        <v>78</v>
      </c>
      <c r="D37" s="37">
        <v>38.075650000000003</v>
      </c>
      <c r="E37" s="37">
        <v>-122.02759</v>
      </c>
      <c r="F37" s="37" t="s">
        <v>1802</v>
      </c>
      <c r="G37" s="37" t="s">
        <v>27</v>
      </c>
      <c r="H37" s="37" t="s">
        <v>86</v>
      </c>
      <c r="I37" s="694">
        <v>0.43124999999999997</v>
      </c>
      <c r="J37" s="695" t="s">
        <v>28</v>
      </c>
      <c r="K37" s="695" t="s">
        <v>29</v>
      </c>
      <c r="L37" s="695" t="s">
        <v>30</v>
      </c>
      <c r="M37" s="695">
        <v>2</v>
      </c>
      <c r="N37" s="695">
        <v>10</v>
      </c>
      <c r="O37" s="696">
        <v>18.899999999999999</v>
      </c>
      <c r="P37" s="696">
        <v>11892.5</v>
      </c>
      <c r="Q37" s="696">
        <v>13005</v>
      </c>
      <c r="R37" s="696">
        <v>0.58499999999999996</v>
      </c>
      <c r="S37" s="696">
        <v>20</v>
      </c>
      <c r="T37" s="696">
        <v>19.95</v>
      </c>
      <c r="U37" s="695" t="s">
        <v>50</v>
      </c>
      <c r="V37" s="697" t="s">
        <v>50</v>
      </c>
      <c r="W37" s="697" t="s">
        <v>50</v>
      </c>
      <c r="Y37" s="700" t="s">
        <v>32</v>
      </c>
    </row>
    <row r="38" spans="1:25" x14ac:dyDescent="0.25">
      <c r="A38" s="711">
        <v>43922</v>
      </c>
      <c r="B38" s="37" t="s">
        <v>915</v>
      </c>
      <c r="C38" s="693" t="s">
        <v>78</v>
      </c>
      <c r="D38" s="37">
        <v>38.057639999999999</v>
      </c>
      <c r="E38" s="37">
        <v>-121.97753</v>
      </c>
      <c r="F38" s="37" t="s">
        <v>1803</v>
      </c>
      <c r="G38" s="37" t="s">
        <v>27</v>
      </c>
      <c r="H38" s="37" t="s">
        <v>86</v>
      </c>
      <c r="I38" s="694">
        <v>0.46249999999999997</v>
      </c>
      <c r="J38" s="695" t="s">
        <v>28</v>
      </c>
      <c r="K38" s="695" t="s">
        <v>29</v>
      </c>
      <c r="L38" s="695" t="s">
        <v>30</v>
      </c>
      <c r="M38" s="695">
        <v>2</v>
      </c>
      <c r="N38" s="695">
        <v>10</v>
      </c>
      <c r="O38" s="696">
        <v>38</v>
      </c>
      <c r="P38" s="696">
        <v>10437.5</v>
      </c>
      <c r="Q38" s="696">
        <v>11854</v>
      </c>
      <c r="R38" s="696">
        <v>0.65999999999999992</v>
      </c>
      <c r="S38" s="696">
        <v>19.299999999999997</v>
      </c>
      <c r="T38" s="696">
        <v>14.350000000000001</v>
      </c>
      <c r="U38" s="695" t="s">
        <v>50</v>
      </c>
      <c r="V38" s="697" t="s">
        <v>50</v>
      </c>
      <c r="W38" s="697" t="s">
        <v>50</v>
      </c>
      <c r="Y38" s="700" t="s">
        <v>32</v>
      </c>
    </row>
    <row r="39" spans="1:25" s="683" customFormat="1" x14ac:dyDescent="0.25">
      <c r="A39" s="722">
        <v>43922</v>
      </c>
      <c r="B39" s="683" t="s">
        <v>915</v>
      </c>
      <c r="C39" s="682" t="s">
        <v>78</v>
      </c>
      <c r="D39" s="683">
        <v>38.074420000000003</v>
      </c>
      <c r="E39" s="683">
        <v>-121.95717</v>
      </c>
      <c r="F39" s="683" t="s">
        <v>1804</v>
      </c>
      <c r="G39" s="683" t="s">
        <v>27</v>
      </c>
      <c r="H39" s="683" t="s">
        <v>170</v>
      </c>
      <c r="I39" s="684">
        <v>0.48888888888888887</v>
      </c>
      <c r="J39" s="686" t="s">
        <v>28</v>
      </c>
      <c r="K39" s="686" t="s">
        <v>29</v>
      </c>
      <c r="L39" s="686" t="s">
        <v>30</v>
      </c>
      <c r="M39" s="686">
        <v>2</v>
      </c>
      <c r="N39" s="686">
        <v>10</v>
      </c>
      <c r="O39" s="687">
        <v>9.5</v>
      </c>
      <c r="P39" s="687">
        <v>7979</v>
      </c>
      <c r="Q39" s="687">
        <v>8854.5</v>
      </c>
      <c r="R39" s="687">
        <v>0.45</v>
      </c>
      <c r="S39" s="687">
        <v>32.299999999999997</v>
      </c>
      <c r="T39" s="687">
        <v>31.35</v>
      </c>
      <c r="U39" s="690" t="s">
        <v>31</v>
      </c>
      <c r="V39" s="702">
        <v>1</v>
      </c>
      <c r="W39" s="702">
        <v>9.1</v>
      </c>
      <c r="X39" s="689"/>
      <c r="Y39" s="703" t="s">
        <v>32</v>
      </c>
    </row>
    <row r="40" spans="1:25" x14ac:dyDescent="0.25">
      <c r="A40" s="787">
        <v>43923</v>
      </c>
      <c r="B40" s="692" t="s">
        <v>876</v>
      </c>
      <c r="C40" s="693" t="s">
        <v>106</v>
      </c>
      <c r="D40" s="37">
        <v>38.342759999999998</v>
      </c>
      <c r="E40" s="37">
        <v>-121.64427000000001</v>
      </c>
      <c r="F40" s="37" t="s">
        <v>1805</v>
      </c>
      <c r="G40" s="37" t="s">
        <v>90</v>
      </c>
      <c r="H40" s="37" t="s">
        <v>108</v>
      </c>
      <c r="I40" s="694">
        <v>0.34375</v>
      </c>
      <c r="J40" s="695" t="s">
        <v>28</v>
      </c>
      <c r="K40" s="695" t="s">
        <v>29</v>
      </c>
      <c r="L40" s="695" t="s">
        <v>30</v>
      </c>
      <c r="M40" s="695">
        <v>2</v>
      </c>
      <c r="N40" s="695">
        <v>10</v>
      </c>
      <c r="O40" s="696">
        <v>34.1</v>
      </c>
      <c r="P40" s="696">
        <v>393.85</v>
      </c>
      <c r="Q40" s="696">
        <v>393.85</v>
      </c>
      <c r="R40" s="696">
        <v>0.45</v>
      </c>
      <c r="S40" s="696">
        <v>48.95</v>
      </c>
      <c r="T40" s="696">
        <v>54.900000000000006</v>
      </c>
      <c r="U40" s="695" t="s">
        <v>50</v>
      </c>
      <c r="V40" s="697" t="s">
        <v>50</v>
      </c>
      <c r="W40" s="697" t="s">
        <v>50</v>
      </c>
      <c r="X40" s="698" t="s">
        <v>1806</v>
      </c>
      <c r="Y40" s="700" t="s">
        <v>32</v>
      </c>
    </row>
    <row r="41" spans="1:25" x14ac:dyDescent="0.25">
      <c r="A41" s="787">
        <v>43923</v>
      </c>
      <c r="B41" s="692" t="s">
        <v>876</v>
      </c>
      <c r="C41" s="693" t="s">
        <v>106</v>
      </c>
      <c r="D41" s="37">
        <v>38.318640000000002</v>
      </c>
      <c r="E41" s="37">
        <v>-121.65112000000001</v>
      </c>
      <c r="F41" s="37" t="s">
        <v>1807</v>
      </c>
      <c r="G41" s="37" t="s">
        <v>90</v>
      </c>
      <c r="H41" s="37" t="s">
        <v>108</v>
      </c>
      <c r="I41" s="694">
        <v>0.3743055555555555</v>
      </c>
      <c r="J41" s="695" t="s">
        <v>28</v>
      </c>
      <c r="K41" s="695" t="s">
        <v>29</v>
      </c>
      <c r="L41" s="695" t="s">
        <v>30</v>
      </c>
      <c r="M41" s="695">
        <v>2</v>
      </c>
      <c r="N41" s="695">
        <v>10</v>
      </c>
      <c r="O41" s="696">
        <v>34.950000000000003</v>
      </c>
      <c r="P41" s="696">
        <v>318.85000000000002</v>
      </c>
      <c r="Q41" s="696">
        <v>318.64999999999998</v>
      </c>
      <c r="R41" s="696">
        <v>0.57499999999999996</v>
      </c>
      <c r="S41" s="696">
        <v>28.65</v>
      </c>
      <c r="T41" s="696">
        <v>25.55</v>
      </c>
      <c r="U41" s="695" t="s">
        <v>50</v>
      </c>
      <c r="V41" s="697" t="s">
        <v>50</v>
      </c>
      <c r="W41" s="697" t="s">
        <v>50</v>
      </c>
      <c r="Y41" s="700" t="s">
        <v>32</v>
      </c>
    </row>
    <row r="42" spans="1:25" x14ac:dyDescent="0.25">
      <c r="A42" s="787">
        <v>43923</v>
      </c>
      <c r="B42" s="692" t="s">
        <v>876</v>
      </c>
      <c r="C42" s="693" t="s">
        <v>106</v>
      </c>
      <c r="D42" s="37">
        <v>38.274290000000001</v>
      </c>
      <c r="E42" s="37">
        <v>-121.66213999999999</v>
      </c>
      <c r="F42" s="37" t="s">
        <v>1808</v>
      </c>
      <c r="G42" s="37" t="s">
        <v>90</v>
      </c>
      <c r="H42" s="37" t="s">
        <v>108</v>
      </c>
      <c r="I42" s="694">
        <v>0.40486111111111112</v>
      </c>
      <c r="J42" s="695" t="s">
        <v>28</v>
      </c>
      <c r="K42" s="695" t="s">
        <v>29</v>
      </c>
      <c r="L42" s="695" t="s">
        <v>30</v>
      </c>
      <c r="M42" s="695">
        <v>2</v>
      </c>
      <c r="N42" s="695">
        <v>10</v>
      </c>
      <c r="O42" s="696">
        <v>36.049999999999997</v>
      </c>
      <c r="P42" s="696">
        <v>218.75</v>
      </c>
      <c r="Q42" s="696">
        <v>217.65</v>
      </c>
      <c r="R42" s="696">
        <v>1.04</v>
      </c>
      <c r="S42" s="696">
        <v>10.95</v>
      </c>
      <c r="T42" s="696">
        <v>10.005000000000001</v>
      </c>
      <c r="U42" s="695" t="s">
        <v>50</v>
      </c>
      <c r="V42" s="697" t="s">
        <v>50</v>
      </c>
      <c r="W42" s="697" t="s">
        <v>50</v>
      </c>
      <c r="Y42" s="700" t="s">
        <v>32</v>
      </c>
    </row>
    <row r="43" spans="1:25" x14ac:dyDescent="0.25">
      <c r="A43" s="787">
        <v>43923</v>
      </c>
      <c r="B43" s="692" t="s">
        <v>876</v>
      </c>
      <c r="C43" s="693" t="s">
        <v>106</v>
      </c>
      <c r="D43" s="37">
        <v>38.23028</v>
      </c>
      <c r="E43" s="37">
        <v>-121.67399</v>
      </c>
      <c r="F43" s="37" t="s">
        <v>1809</v>
      </c>
      <c r="G43" s="37" t="s">
        <v>90</v>
      </c>
      <c r="H43" s="37" t="s">
        <v>108</v>
      </c>
      <c r="I43" s="694">
        <v>0.4381944444444445</v>
      </c>
      <c r="J43" s="695" t="s">
        <v>28</v>
      </c>
      <c r="K43" s="695" t="s">
        <v>29</v>
      </c>
      <c r="L43" s="695" t="s">
        <v>30</v>
      </c>
      <c r="M43" s="695">
        <v>2</v>
      </c>
      <c r="N43" s="695">
        <v>10</v>
      </c>
      <c r="O43" s="696">
        <v>32.65</v>
      </c>
      <c r="P43" s="696">
        <v>178.35</v>
      </c>
      <c r="Q43" s="696">
        <v>177.3</v>
      </c>
      <c r="R43" s="696">
        <v>1.5299999999999998</v>
      </c>
      <c r="S43" s="696">
        <v>6.7949999999999999</v>
      </c>
      <c r="T43" s="696">
        <v>6.5</v>
      </c>
      <c r="U43" s="695" t="s">
        <v>50</v>
      </c>
      <c r="V43" s="697" t="s">
        <v>50</v>
      </c>
      <c r="W43" s="697" t="s">
        <v>50</v>
      </c>
      <c r="Y43" s="700" t="s">
        <v>32</v>
      </c>
    </row>
    <row r="44" spans="1:25" s="750" customFormat="1" x14ac:dyDescent="0.25">
      <c r="A44" s="789">
        <v>43923</v>
      </c>
      <c r="B44" s="790" t="s">
        <v>876</v>
      </c>
      <c r="C44" s="791" t="s">
        <v>106</v>
      </c>
      <c r="D44" s="750">
        <v>38.227240000000002</v>
      </c>
      <c r="E44" s="750">
        <v>-121.67412</v>
      </c>
      <c r="F44" s="750" t="s">
        <v>1810</v>
      </c>
      <c r="G44" s="750" t="s">
        <v>90</v>
      </c>
      <c r="H44" s="750" t="s">
        <v>108</v>
      </c>
      <c r="I44" s="792">
        <v>0.46666666666666662</v>
      </c>
      <c r="J44" s="724" t="s">
        <v>28</v>
      </c>
      <c r="K44" s="724" t="s">
        <v>29</v>
      </c>
      <c r="L44" s="724" t="s">
        <v>30</v>
      </c>
      <c r="M44" s="724">
        <v>2</v>
      </c>
      <c r="N44" s="724">
        <v>10</v>
      </c>
      <c r="O44" s="793">
        <v>37.65</v>
      </c>
      <c r="P44" s="793">
        <v>174.95</v>
      </c>
      <c r="Q44" s="793">
        <v>175.39999999999998</v>
      </c>
      <c r="R44" s="793">
        <v>1.6600000000000001</v>
      </c>
      <c r="S44" s="793">
        <v>5.74</v>
      </c>
      <c r="T44" s="793">
        <v>4.5600000000000005</v>
      </c>
      <c r="U44" s="695" t="s">
        <v>50</v>
      </c>
      <c r="V44" s="697" t="s">
        <v>50</v>
      </c>
      <c r="W44" s="697" t="s">
        <v>50</v>
      </c>
      <c r="X44" s="794"/>
      <c r="Y44" s="700" t="s">
        <v>32</v>
      </c>
    </row>
    <row r="45" spans="1:25" s="750" customFormat="1" x14ac:dyDescent="0.25">
      <c r="A45" s="789">
        <v>43923</v>
      </c>
      <c r="B45" s="790" t="s">
        <v>876</v>
      </c>
      <c r="C45" s="791" t="s">
        <v>78</v>
      </c>
      <c r="D45" s="750">
        <v>38.055929999999996</v>
      </c>
      <c r="E45" s="750">
        <v>-121.99507</v>
      </c>
      <c r="F45" s="750" t="s">
        <v>1811</v>
      </c>
      <c r="G45" s="750" t="s">
        <v>27</v>
      </c>
      <c r="H45" s="750" t="s">
        <v>86</v>
      </c>
      <c r="I45" s="792">
        <v>0.34652777777777777</v>
      </c>
      <c r="J45" s="724" t="s">
        <v>28</v>
      </c>
      <c r="K45" s="724" t="s">
        <v>29</v>
      </c>
      <c r="L45" s="724" t="s">
        <v>30</v>
      </c>
      <c r="M45" s="724">
        <v>2</v>
      </c>
      <c r="N45" s="724">
        <v>10</v>
      </c>
      <c r="O45" s="793">
        <v>43.400000000000006</v>
      </c>
      <c r="P45" s="793">
        <v>8026</v>
      </c>
      <c r="Q45" s="793">
        <v>13934</v>
      </c>
      <c r="R45" s="793">
        <v>0.755</v>
      </c>
      <c r="S45" s="793">
        <v>17.149999999999999</v>
      </c>
      <c r="T45" s="793">
        <v>30.700000000000003</v>
      </c>
      <c r="U45" s="695" t="s">
        <v>50</v>
      </c>
      <c r="V45" s="697" t="s">
        <v>50</v>
      </c>
      <c r="W45" s="697" t="s">
        <v>50</v>
      </c>
      <c r="X45" s="794"/>
      <c r="Y45" s="700" t="s">
        <v>32</v>
      </c>
    </row>
    <row r="46" spans="1:25" s="750" customFormat="1" x14ac:dyDescent="0.25">
      <c r="A46" s="789">
        <v>43923</v>
      </c>
      <c r="B46" s="790" t="s">
        <v>876</v>
      </c>
      <c r="C46" s="791" t="s">
        <v>78</v>
      </c>
      <c r="D46" s="750">
        <v>38.052979999999998</v>
      </c>
      <c r="E46" s="750">
        <v>-121.96796000000001</v>
      </c>
      <c r="F46" s="750" t="s">
        <v>1812</v>
      </c>
      <c r="G46" s="750" t="s">
        <v>27</v>
      </c>
      <c r="H46" s="750" t="s">
        <v>170</v>
      </c>
      <c r="I46" s="792">
        <v>0.375</v>
      </c>
      <c r="J46" s="724" t="s">
        <v>28</v>
      </c>
      <c r="K46" s="724" t="s">
        <v>29</v>
      </c>
      <c r="L46" s="724" t="s">
        <v>30</v>
      </c>
      <c r="M46" s="724">
        <v>2</v>
      </c>
      <c r="N46" s="724">
        <v>10</v>
      </c>
      <c r="O46" s="793">
        <v>28.3</v>
      </c>
      <c r="P46" s="793">
        <v>6519</v>
      </c>
      <c r="Q46" s="793">
        <v>10790.5</v>
      </c>
      <c r="R46" s="793">
        <v>0.69</v>
      </c>
      <c r="S46" s="793">
        <v>17.399999999999999</v>
      </c>
      <c r="T46" s="793">
        <v>14.75</v>
      </c>
      <c r="U46" s="695" t="s">
        <v>50</v>
      </c>
      <c r="V46" s="697" t="s">
        <v>50</v>
      </c>
      <c r="W46" s="697" t="s">
        <v>50</v>
      </c>
      <c r="X46" s="794"/>
      <c r="Y46" s="700" t="s">
        <v>32</v>
      </c>
    </row>
    <row r="47" spans="1:25" s="750" customFormat="1" x14ac:dyDescent="0.25">
      <c r="A47" s="789">
        <v>43923</v>
      </c>
      <c r="B47" s="790" t="s">
        <v>876</v>
      </c>
      <c r="C47" s="791" t="s">
        <v>78</v>
      </c>
      <c r="D47" s="750">
        <v>38.072229999999998</v>
      </c>
      <c r="E47" s="750">
        <v>-121.84538999999999</v>
      </c>
      <c r="F47" s="750" t="s">
        <v>1813</v>
      </c>
      <c r="G47" s="750" t="s">
        <v>27</v>
      </c>
      <c r="H47" s="750" t="s">
        <v>101</v>
      </c>
      <c r="I47" s="792">
        <v>0.41111111111111115</v>
      </c>
      <c r="J47" s="724" t="s">
        <v>28</v>
      </c>
      <c r="K47" s="724" t="s">
        <v>29</v>
      </c>
      <c r="L47" s="724" t="s">
        <v>30</v>
      </c>
      <c r="M47" s="724">
        <v>2</v>
      </c>
      <c r="N47" s="724">
        <v>10</v>
      </c>
      <c r="O47" s="793">
        <v>21.200000000000003</v>
      </c>
      <c r="P47" s="793">
        <v>2615.5</v>
      </c>
      <c r="Q47" s="793">
        <v>3062</v>
      </c>
      <c r="R47" s="793" t="s">
        <v>50</v>
      </c>
      <c r="S47" s="793">
        <v>19.350000000000001</v>
      </c>
      <c r="T47" s="793">
        <v>33.049999999999997</v>
      </c>
      <c r="U47" s="695" t="s">
        <v>50</v>
      </c>
      <c r="V47" s="697" t="s">
        <v>50</v>
      </c>
      <c r="W47" s="697" t="s">
        <v>50</v>
      </c>
      <c r="X47" s="698" t="s">
        <v>1750</v>
      </c>
      <c r="Y47" s="700" t="s">
        <v>32</v>
      </c>
    </row>
    <row r="48" spans="1:25" s="750" customFormat="1" x14ac:dyDescent="0.25">
      <c r="A48" s="789">
        <v>43923</v>
      </c>
      <c r="B48" s="790" t="s">
        <v>876</v>
      </c>
      <c r="C48" s="791" t="s">
        <v>78</v>
      </c>
      <c r="D48" s="750">
        <v>38.05162</v>
      </c>
      <c r="E48" s="750">
        <v>-121.87213</v>
      </c>
      <c r="F48" s="750" t="s">
        <v>1814</v>
      </c>
      <c r="G48" s="750" t="s">
        <v>27</v>
      </c>
      <c r="H48" s="750" t="s">
        <v>101</v>
      </c>
      <c r="I48" s="792">
        <v>0.4375</v>
      </c>
      <c r="J48" s="724" t="s">
        <v>28</v>
      </c>
      <c r="K48" s="724" t="s">
        <v>29</v>
      </c>
      <c r="L48" s="724" t="s">
        <v>30</v>
      </c>
      <c r="M48" s="724">
        <v>2</v>
      </c>
      <c r="N48" s="724">
        <v>10</v>
      </c>
      <c r="O48" s="793">
        <v>36.75</v>
      </c>
      <c r="P48" s="793">
        <v>3549.5</v>
      </c>
      <c r="Q48" s="793">
        <v>6824.5</v>
      </c>
      <c r="R48" s="793" t="s">
        <v>50</v>
      </c>
      <c r="S48" s="793">
        <v>17.05</v>
      </c>
      <c r="T48" s="793">
        <v>22.549999999999997</v>
      </c>
      <c r="U48" s="695" t="s">
        <v>50</v>
      </c>
      <c r="V48" s="697" t="s">
        <v>50</v>
      </c>
      <c r="W48" s="697" t="s">
        <v>50</v>
      </c>
      <c r="X48" s="698" t="s">
        <v>1750</v>
      </c>
      <c r="Y48" s="700" t="s">
        <v>32</v>
      </c>
    </row>
    <row r="49" spans="1:25" s="413" customFormat="1" x14ac:dyDescent="0.25">
      <c r="A49" s="725">
        <v>43923</v>
      </c>
      <c r="B49" s="726" t="s">
        <v>876</v>
      </c>
      <c r="C49" s="727" t="s">
        <v>78</v>
      </c>
      <c r="D49" s="413">
        <v>38.048220000000001</v>
      </c>
      <c r="E49" s="413">
        <v>-121.88515</v>
      </c>
      <c r="F49" s="413" t="s">
        <v>1815</v>
      </c>
      <c r="G49" s="413" t="s">
        <v>27</v>
      </c>
      <c r="H49" s="413" t="s">
        <v>101</v>
      </c>
      <c r="I49" s="728">
        <v>0.46249999999999997</v>
      </c>
      <c r="J49" s="729" t="s">
        <v>28</v>
      </c>
      <c r="K49" s="729" t="s">
        <v>29</v>
      </c>
      <c r="L49" s="729" t="s">
        <v>30</v>
      </c>
      <c r="M49" s="729">
        <v>2</v>
      </c>
      <c r="N49" s="729">
        <v>10</v>
      </c>
      <c r="O49" s="730">
        <v>46.8</v>
      </c>
      <c r="P49" s="730">
        <v>4828.5</v>
      </c>
      <c r="Q49" s="730">
        <v>8267.5</v>
      </c>
      <c r="R49" s="730" t="s">
        <v>50</v>
      </c>
      <c r="S49" s="730">
        <v>21.4</v>
      </c>
      <c r="T49" s="730">
        <v>21.1</v>
      </c>
      <c r="U49" s="738" t="s">
        <v>31</v>
      </c>
      <c r="V49" s="731">
        <v>1</v>
      </c>
      <c r="W49" s="731">
        <v>6.2</v>
      </c>
      <c r="X49" s="732" t="s">
        <v>1816</v>
      </c>
      <c r="Y49" s="733" t="s">
        <v>32</v>
      </c>
    </row>
    <row r="50" spans="1:25" s="683" customFormat="1" x14ac:dyDescent="0.25">
      <c r="A50" s="681">
        <v>43927</v>
      </c>
      <c r="B50" s="701" t="s">
        <v>43</v>
      </c>
      <c r="C50" s="682" t="s">
        <v>62</v>
      </c>
      <c r="D50" s="683">
        <v>38.099769999999999</v>
      </c>
      <c r="E50" s="683">
        <v>-122.06861000000001</v>
      </c>
      <c r="F50" s="683" t="s">
        <v>1817</v>
      </c>
      <c r="G50" s="683" t="s">
        <v>27</v>
      </c>
      <c r="H50" s="683" t="s">
        <v>173</v>
      </c>
      <c r="I50" s="734">
        <v>0.35347222222222219</v>
      </c>
      <c r="J50" s="735" t="s">
        <v>28</v>
      </c>
      <c r="K50" s="735" t="s">
        <v>29</v>
      </c>
      <c r="L50" s="735" t="s">
        <v>30</v>
      </c>
      <c r="M50" s="735">
        <v>2</v>
      </c>
      <c r="N50" s="735">
        <v>10</v>
      </c>
      <c r="O50" s="736">
        <v>7.5</v>
      </c>
      <c r="P50" s="736">
        <v>7545</v>
      </c>
      <c r="Q50" s="736">
        <v>7509</v>
      </c>
      <c r="R50" s="736">
        <v>0.215</v>
      </c>
      <c r="S50" s="736">
        <v>83.3</v>
      </c>
      <c r="T50" s="737">
        <v>109.35</v>
      </c>
      <c r="U50" s="739" t="s">
        <v>31</v>
      </c>
      <c r="V50" s="702">
        <v>36</v>
      </c>
      <c r="W50" s="702" t="s">
        <v>1818</v>
      </c>
      <c r="X50" s="689"/>
      <c r="Y50" s="703" t="s">
        <v>32</v>
      </c>
    </row>
    <row r="51" spans="1:25" s="683" customFormat="1" x14ac:dyDescent="0.25">
      <c r="A51" s="681">
        <v>43927</v>
      </c>
      <c r="B51" s="701" t="s">
        <v>43</v>
      </c>
      <c r="C51" s="682" t="s">
        <v>62</v>
      </c>
      <c r="D51" s="683">
        <v>38.12079</v>
      </c>
      <c r="E51" s="683">
        <v>-122.05927</v>
      </c>
      <c r="F51" s="683" t="s">
        <v>1819</v>
      </c>
      <c r="G51" s="683" t="s">
        <v>27</v>
      </c>
      <c r="H51" s="683" t="s">
        <v>62</v>
      </c>
      <c r="I51" s="684">
        <v>0.3972222222222222</v>
      </c>
      <c r="J51" s="735" t="s">
        <v>28</v>
      </c>
      <c r="K51" s="735" t="s">
        <v>29</v>
      </c>
      <c r="L51" s="735" t="s">
        <v>30</v>
      </c>
      <c r="M51" s="735">
        <v>2</v>
      </c>
      <c r="N51" s="735">
        <v>10</v>
      </c>
      <c r="O51" s="687">
        <v>5.6</v>
      </c>
      <c r="P51" s="687">
        <v>5857</v>
      </c>
      <c r="Q51" s="687">
        <v>7935</v>
      </c>
      <c r="R51" s="687">
        <v>0.215</v>
      </c>
      <c r="S51" s="687">
        <v>71.3</v>
      </c>
      <c r="T51" s="687">
        <v>115</v>
      </c>
      <c r="U51" s="740" t="s">
        <v>31</v>
      </c>
      <c r="V51" s="702">
        <v>69</v>
      </c>
      <c r="W51" s="702" t="s">
        <v>1820</v>
      </c>
      <c r="X51" s="689"/>
      <c r="Y51" s="703" t="s">
        <v>32</v>
      </c>
    </row>
    <row r="52" spans="1:25" s="714" customFormat="1" x14ac:dyDescent="0.25">
      <c r="A52" s="784">
        <v>43927</v>
      </c>
      <c r="B52" s="785" t="s">
        <v>43</v>
      </c>
      <c r="C52" s="715" t="s">
        <v>62</v>
      </c>
      <c r="D52" s="714">
        <v>38.145029999999998</v>
      </c>
      <c r="E52" s="714">
        <v>-122.06802999999999</v>
      </c>
      <c r="F52" s="714" t="s">
        <v>1821</v>
      </c>
      <c r="G52" s="714" t="s">
        <v>27</v>
      </c>
      <c r="H52" s="714" t="s">
        <v>62</v>
      </c>
      <c r="I52" s="716">
        <v>0.42708333333333331</v>
      </c>
      <c r="J52" s="717" t="s">
        <v>28</v>
      </c>
      <c r="K52" s="717" t="s">
        <v>29</v>
      </c>
      <c r="L52" s="717" t="s">
        <v>30</v>
      </c>
      <c r="M52" s="717">
        <v>2</v>
      </c>
      <c r="N52" s="714">
        <v>10</v>
      </c>
      <c r="O52" s="718" t="s">
        <v>50</v>
      </c>
      <c r="P52" s="718" t="s">
        <v>50</v>
      </c>
      <c r="Q52" s="718" t="s">
        <v>50</v>
      </c>
      <c r="R52" s="718" t="s">
        <v>50</v>
      </c>
      <c r="S52" s="718" t="s">
        <v>50</v>
      </c>
      <c r="T52" s="718" t="s">
        <v>50</v>
      </c>
      <c r="U52" s="717" t="s">
        <v>50</v>
      </c>
      <c r="V52" s="721" t="s">
        <v>50</v>
      </c>
      <c r="W52" s="721" t="s">
        <v>50</v>
      </c>
      <c r="X52" s="720" t="s">
        <v>1822</v>
      </c>
      <c r="Y52" s="700" t="s">
        <v>32</v>
      </c>
    </row>
    <row r="53" spans="1:25" s="683" customFormat="1" x14ac:dyDescent="0.25">
      <c r="A53" s="681">
        <v>43927</v>
      </c>
      <c r="B53" s="701" t="s">
        <v>43</v>
      </c>
      <c r="C53" s="682" t="s">
        <v>62</v>
      </c>
      <c r="D53" s="683">
        <v>38.171819999999997</v>
      </c>
      <c r="E53" s="683">
        <v>-122.03504</v>
      </c>
      <c r="F53" s="683" t="s">
        <v>1823</v>
      </c>
      <c r="G53" s="683" t="s">
        <v>27</v>
      </c>
      <c r="H53" s="683" t="s">
        <v>62</v>
      </c>
      <c r="I53" s="684">
        <v>0.44444444444444442</v>
      </c>
      <c r="J53" s="735" t="s">
        <v>28</v>
      </c>
      <c r="K53" s="735" t="s">
        <v>29</v>
      </c>
      <c r="L53" s="735" t="s">
        <v>30</v>
      </c>
      <c r="M53" s="735">
        <v>2</v>
      </c>
      <c r="N53" s="735">
        <v>10</v>
      </c>
      <c r="O53" s="687">
        <v>54.7</v>
      </c>
      <c r="P53" s="687">
        <v>2381.5</v>
      </c>
      <c r="Q53" s="687">
        <v>2445.5</v>
      </c>
      <c r="R53" s="687">
        <v>0.27500000000000002</v>
      </c>
      <c r="S53" s="687">
        <v>58.6</v>
      </c>
      <c r="T53" s="687">
        <v>56.15</v>
      </c>
      <c r="U53" s="740" t="s">
        <v>31</v>
      </c>
      <c r="V53" s="702">
        <v>58</v>
      </c>
      <c r="W53" s="702" t="s">
        <v>1824</v>
      </c>
      <c r="X53" s="689"/>
      <c r="Y53" s="703" t="s">
        <v>32</v>
      </c>
    </row>
    <row r="54" spans="1:25" s="205" customFormat="1" x14ac:dyDescent="0.25">
      <c r="A54" s="741">
        <v>43927</v>
      </c>
      <c r="B54" s="795" t="s">
        <v>43</v>
      </c>
      <c r="C54" s="742" t="s">
        <v>62</v>
      </c>
      <c r="D54" s="205">
        <v>38.104640000000003</v>
      </c>
      <c r="E54" s="205">
        <v>-122.03932</v>
      </c>
      <c r="F54" s="205" t="s">
        <v>1825</v>
      </c>
      <c r="G54" s="205" t="s">
        <v>27</v>
      </c>
      <c r="H54" s="205" t="s">
        <v>173</v>
      </c>
      <c r="I54" s="743">
        <v>0.50694444444444442</v>
      </c>
      <c r="J54" s="735" t="s">
        <v>28</v>
      </c>
      <c r="K54" s="735" t="s">
        <v>29</v>
      </c>
      <c r="L54" s="735" t="s">
        <v>30</v>
      </c>
      <c r="M54" s="735">
        <v>2</v>
      </c>
      <c r="N54" s="735">
        <v>10</v>
      </c>
      <c r="O54" s="208">
        <v>15.7</v>
      </c>
      <c r="P54" s="208">
        <v>11549.5</v>
      </c>
      <c r="Q54" s="208">
        <v>13160.5</v>
      </c>
      <c r="R54" s="208">
        <v>0.4</v>
      </c>
      <c r="S54" s="208">
        <v>33.5</v>
      </c>
      <c r="T54" s="208">
        <v>62.55</v>
      </c>
      <c r="U54" s="740" t="s">
        <v>31</v>
      </c>
      <c r="V54" s="205">
        <v>4</v>
      </c>
      <c r="W54" s="205" t="s">
        <v>1826</v>
      </c>
      <c r="X54" s="210"/>
      <c r="Y54" s="703" t="s">
        <v>32</v>
      </c>
    </row>
    <row r="55" spans="1:25" s="683" customFormat="1" x14ac:dyDescent="0.25">
      <c r="A55" s="681">
        <v>43927</v>
      </c>
      <c r="B55" s="701" t="s">
        <v>43</v>
      </c>
      <c r="C55" s="682" t="s">
        <v>62</v>
      </c>
      <c r="D55" s="683">
        <v>38.157440000000001</v>
      </c>
      <c r="E55" s="683">
        <v>-122.05661000000001</v>
      </c>
      <c r="F55" s="683" t="s">
        <v>1827</v>
      </c>
      <c r="G55" s="683" t="s">
        <v>27</v>
      </c>
      <c r="H55" s="683" t="s">
        <v>62</v>
      </c>
      <c r="I55" s="684">
        <v>0.46527777777777773</v>
      </c>
      <c r="J55" s="735" t="s">
        <v>28</v>
      </c>
      <c r="K55" s="735" t="s">
        <v>29</v>
      </c>
      <c r="L55" s="735" t="s">
        <v>30</v>
      </c>
      <c r="M55" s="735">
        <v>2</v>
      </c>
      <c r="N55" s="735">
        <v>10</v>
      </c>
      <c r="O55" s="687">
        <v>49.45</v>
      </c>
      <c r="P55" s="687">
        <v>5590</v>
      </c>
      <c r="Q55" s="687">
        <v>5879.5</v>
      </c>
      <c r="R55" s="687">
        <v>0.17499999999999999</v>
      </c>
      <c r="S55" s="687">
        <v>151</v>
      </c>
      <c r="T55" s="687">
        <v>129.5</v>
      </c>
      <c r="U55" s="740" t="s">
        <v>31</v>
      </c>
      <c r="V55" s="702">
        <v>10</v>
      </c>
      <c r="W55" s="702" t="s">
        <v>1828</v>
      </c>
      <c r="X55" s="689"/>
      <c r="Y55" s="703" t="s">
        <v>32</v>
      </c>
    </row>
    <row r="56" spans="1:25" s="750" customFormat="1" x14ac:dyDescent="0.25">
      <c r="A56" s="691">
        <v>43927</v>
      </c>
      <c r="B56" s="692" t="s">
        <v>43</v>
      </c>
      <c r="C56" s="693" t="s">
        <v>845</v>
      </c>
      <c r="D56" s="750">
        <v>38.330309999999997</v>
      </c>
      <c r="E56" s="750">
        <v>-121.66735</v>
      </c>
      <c r="F56" s="750" t="s">
        <v>1829</v>
      </c>
      <c r="G56" s="750" t="s">
        <v>90</v>
      </c>
      <c r="H56" s="750" t="s">
        <v>126</v>
      </c>
      <c r="I56" s="796">
        <v>0.35486111111111113</v>
      </c>
      <c r="J56" s="724" t="s">
        <v>28</v>
      </c>
      <c r="K56" s="724" t="s">
        <v>29</v>
      </c>
      <c r="L56" s="724" t="s">
        <v>30</v>
      </c>
      <c r="M56" s="724">
        <v>2</v>
      </c>
      <c r="N56" s="724">
        <v>10</v>
      </c>
      <c r="O56" s="758">
        <v>15.8</v>
      </c>
      <c r="P56" s="758">
        <v>604.5</v>
      </c>
      <c r="Q56" s="758">
        <v>608</v>
      </c>
      <c r="R56" s="758">
        <v>0.78500000000000003</v>
      </c>
      <c r="S56" s="758">
        <v>22.2</v>
      </c>
      <c r="T56" s="758">
        <v>11.95</v>
      </c>
      <c r="U56" s="695" t="s">
        <v>50</v>
      </c>
      <c r="V56" s="697" t="s">
        <v>50</v>
      </c>
      <c r="W56" s="697" t="s">
        <v>50</v>
      </c>
      <c r="X56" s="794"/>
      <c r="Y56" s="700" t="s">
        <v>32</v>
      </c>
    </row>
    <row r="57" spans="1:25" s="714" customFormat="1" x14ac:dyDescent="0.25">
      <c r="A57" s="784">
        <v>43927</v>
      </c>
      <c r="B57" s="785" t="s">
        <v>43</v>
      </c>
      <c r="C57" s="715" t="s">
        <v>845</v>
      </c>
      <c r="D57" s="714">
        <v>38.281309999999998</v>
      </c>
      <c r="E57" s="714">
        <v>-121.68133</v>
      </c>
      <c r="F57" s="714" t="s">
        <v>1830</v>
      </c>
      <c r="G57" s="714" t="s">
        <v>90</v>
      </c>
      <c r="H57" s="714" t="s">
        <v>126</v>
      </c>
      <c r="I57" s="751">
        <v>0.38055555555555554</v>
      </c>
      <c r="J57" s="717" t="s">
        <v>28</v>
      </c>
      <c r="K57" s="717" t="s">
        <v>29</v>
      </c>
      <c r="L57" s="717" t="s">
        <v>30</v>
      </c>
      <c r="M57" s="717">
        <v>2</v>
      </c>
      <c r="N57" s="717">
        <v>10</v>
      </c>
      <c r="O57" s="718" t="s">
        <v>50</v>
      </c>
      <c r="P57" s="718" t="s">
        <v>50</v>
      </c>
      <c r="Q57" s="718" t="s">
        <v>50</v>
      </c>
      <c r="R57" s="718" t="s">
        <v>50</v>
      </c>
      <c r="S57" s="718" t="s">
        <v>50</v>
      </c>
      <c r="T57" s="718" t="s">
        <v>50</v>
      </c>
      <c r="U57" s="717" t="s">
        <v>50</v>
      </c>
      <c r="V57" s="721" t="s">
        <v>50</v>
      </c>
      <c r="W57" s="721" t="s">
        <v>50</v>
      </c>
      <c r="X57" s="720" t="s">
        <v>1822</v>
      </c>
      <c r="Y57" s="700" t="s">
        <v>32</v>
      </c>
    </row>
    <row r="58" spans="1:25" s="750" customFormat="1" x14ac:dyDescent="0.25">
      <c r="A58" s="691">
        <v>43927</v>
      </c>
      <c r="B58" s="692" t="s">
        <v>43</v>
      </c>
      <c r="C58" s="693" t="s">
        <v>845</v>
      </c>
      <c r="D58" s="750">
        <v>38.244309999999999</v>
      </c>
      <c r="E58" s="750">
        <v>-121.68956</v>
      </c>
      <c r="F58" s="750" t="s">
        <v>1831</v>
      </c>
      <c r="G58" s="750" t="s">
        <v>90</v>
      </c>
      <c r="H58" s="750" t="s">
        <v>126</v>
      </c>
      <c r="I58" s="796">
        <v>0.39513888888888887</v>
      </c>
      <c r="J58" s="724" t="s">
        <v>28</v>
      </c>
      <c r="K58" s="724" t="s">
        <v>29</v>
      </c>
      <c r="L58" s="724" t="s">
        <v>30</v>
      </c>
      <c r="M58" s="724">
        <v>2</v>
      </c>
      <c r="N58" s="724">
        <v>10</v>
      </c>
      <c r="O58" s="758">
        <v>9.5</v>
      </c>
      <c r="P58" s="758">
        <v>249.3</v>
      </c>
      <c r="Q58" s="758">
        <v>248.8</v>
      </c>
      <c r="R58" s="758">
        <v>1.55</v>
      </c>
      <c r="S58" s="758">
        <v>6.4849999999999994</v>
      </c>
      <c r="T58" s="758">
        <v>20.805</v>
      </c>
      <c r="U58" s="695" t="s">
        <v>50</v>
      </c>
      <c r="V58" s="697" t="s">
        <v>50</v>
      </c>
      <c r="W58" s="697" t="s">
        <v>50</v>
      </c>
      <c r="Y58" s="700" t="s">
        <v>32</v>
      </c>
    </row>
    <row r="59" spans="1:25" x14ac:dyDescent="0.25">
      <c r="A59" s="691">
        <v>43927</v>
      </c>
      <c r="B59" s="692" t="s">
        <v>43</v>
      </c>
      <c r="C59" s="693" t="s">
        <v>845</v>
      </c>
      <c r="D59" s="37">
        <v>38.272019999999998</v>
      </c>
      <c r="E59" s="37">
        <v>-121.70643</v>
      </c>
      <c r="F59" s="750" t="s">
        <v>1832</v>
      </c>
      <c r="G59" s="750" t="s">
        <v>90</v>
      </c>
      <c r="H59" s="750" t="s">
        <v>126</v>
      </c>
      <c r="I59" s="712">
        <v>0.42499999999999999</v>
      </c>
      <c r="J59" s="724" t="s">
        <v>28</v>
      </c>
      <c r="K59" s="724" t="s">
        <v>29</v>
      </c>
      <c r="L59" s="724" t="s">
        <v>30</v>
      </c>
      <c r="M59" s="724">
        <v>2</v>
      </c>
      <c r="N59" s="724">
        <v>10</v>
      </c>
      <c r="O59" s="91">
        <v>11.600000000000001</v>
      </c>
      <c r="P59" s="91">
        <v>286.3</v>
      </c>
      <c r="Q59" s="91">
        <v>291.64999999999998</v>
      </c>
      <c r="R59" s="91" t="s">
        <v>1233</v>
      </c>
      <c r="S59" s="91">
        <v>9.61</v>
      </c>
      <c r="T59" s="91">
        <v>8.39</v>
      </c>
      <c r="U59" s="695" t="s">
        <v>50</v>
      </c>
      <c r="V59" s="697" t="s">
        <v>50</v>
      </c>
      <c r="W59" s="697" t="s">
        <v>50</v>
      </c>
      <c r="Y59" s="700" t="s">
        <v>32</v>
      </c>
    </row>
    <row r="60" spans="1:25" x14ac:dyDescent="0.25">
      <c r="A60" s="691">
        <v>43927</v>
      </c>
      <c r="B60" s="692" t="s">
        <v>43</v>
      </c>
      <c r="C60" s="693" t="s">
        <v>845</v>
      </c>
      <c r="D60" s="37">
        <v>38.27778</v>
      </c>
      <c r="E60" s="37">
        <v>-121.71064</v>
      </c>
      <c r="F60" s="750" t="s">
        <v>1833</v>
      </c>
      <c r="G60" s="750" t="s">
        <v>90</v>
      </c>
      <c r="H60" s="750" t="s">
        <v>126</v>
      </c>
      <c r="I60" s="712">
        <v>0.45347222222222222</v>
      </c>
      <c r="J60" s="724" t="s">
        <v>28</v>
      </c>
      <c r="K60" s="724" t="s">
        <v>29</v>
      </c>
      <c r="L60" s="724" t="s">
        <v>30</v>
      </c>
      <c r="M60" s="724">
        <v>2</v>
      </c>
      <c r="N60" s="724">
        <v>10</v>
      </c>
      <c r="O60" s="91">
        <v>13.100000000000001</v>
      </c>
      <c r="P60" s="91">
        <v>305.25</v>
      </c>
      <c r="Q60" s="91">
        <v>346.05</v>
      </c>
      <c r="R60" s="91" t="s">
        <v>1233</v>
      </c>
      <c r="S60" s="91">
        <v>4.335</v>
      </c>
      <c r="T60" s="91">
        <v>7.17</v>
      </c>
      <c r="U60" s="695" t="s">
        <v>50</v>
      </c>
      <c r="V60" s="697" t="s">
        <v>50</v>
      </c>
      <c r="W60" s="697" t="s">
        <v>50</v>
      </c>
      <c r="X60" s="698" t="s">
        <v>1834</v>
      </c>
      <c r="Y60" s="700" t="s">
        <v>32</v>
      </c>
    </row>
    <row r="61" spans="1:25" x14ac:dyDescent="0.25">
      <c r="A61" s="691">
        <v>43927</v>
      </c>
      <c r="B61" s="692" t="s">
        <v>43</v>
      </c>
      <c r="C61" s="693" t="s">
        <v>845</v>
      </c>
      <c r="D61" s="37">
        <v>38.235199999999999</v>
      </c>
      <c r="E61" s="37">
        <v>-121.6825</v>
      </c>
      <c r="F61" s="750" t="s">
        <v>1835</v>
      </c>
      <c r="G61" s="750" t="s">
        <v>90</v>
      </c>
      <c r="H61" s="750" t="s">
        <v>126</v>
      </c>
      <c r="I61" s="694">
        <v>0.49305555555555558</v>
      </c>
      <c r="J61" s="724" t="s">
        <v>28</v>
      </c>
      <c r="K61" s="724" t="s">
        <v>29</v>
      </c>
      <c r="L61" s="724" t="s">
        <v>30</v>
      </c>
      <c r="M61" s="724">
        <v>2</v>
      </c>
      <c r="N61" s="724">
        <v>10</v>
      </c>
      <c r="O61" s="696">
        <v>45.15</v>
      </c>
      <c r="P61" s="696">
        <v>224.9</v>
      </c>
      <c r="Q61" s="696">
        <v>234.7</v>
      </c>
      <c r="R61" s="696">
        <v>1.76</v>
      </c>
      <c r="S61" s="696">
        <v>7.0650000000000004</v>
      </c>
      <c r="T61" s="696">
        <v>6.3949999999999996</v>
      </c>
      <c r="U61" s="695" t="s">
        <v>50</v>
      </c>
      <c r="V61" s="697" t="s">
        <v>50</v>
      </c>
      <c r="W61" s="697" t="s">
        <v>50</v>
      </c>
      <c r="X61" s="698" t="s">
        <v>1836</v>
      </c>
      <c r="Y61" s="700" t="s">
        <v>32</v>
      </c>
    </row>
    <row r="62" spans="1:25" s="750" customFormat="1" x14ac:dyDescent="0.25">
      <c r="A62" s="789">
        <v>43929</v>
      </c>
      <c r="B62" s="790" t="s">
        <v>915</v>
      </c>
      <c r="C62" s="791" t="s">
        <v>78</v>
      </c>
      <c r="D62" s="750">
        <v>38.057519999999997</v>
      </c>
      <c r="E62" s="750">
        <v>-122.07789</v>
      </c>
      <c r="F62" s="750" t="s">
        <v>1837</v>
      </c>
      <c r="G62" s="750" t="s">
        <v>80</v>
      </c>
      <c r="H62" s="750" t="s">
        <v>81</v>
      </c>
      <c r="I62" s="796">
        <v>0.35833333333333334</v>
      </c>
      <c r="J62" s="724" t="s">
        <v>28</v>
      </c>
      <c r="K62" s="724" t="s">
        <v>29</v>
      </c>
      <c r="L62" s="724" t="s">
        <v>30</v>
      </c>
      <c r="M62" s="724">
        <v>2</v>
      </c>
      <c r="N62" s="724">
        <v>10</v>
      </c>
      <c r="O62" s="793">
        <v>28.75</v>
      </c>
      <c r="P62" s="793">
        <v>11962</v>
      </c>
      <c r="Q62" s="793">
        <v>12056</v>
      </c>
      <c r="R62" s="793">
        <v>0.33499999999999996</v>
      </c>
      <c r="S62" s="793">
        <v>52.2</v>
      </c>
      <c r="T62" s="793">
        <v>65.95</v>
      </c>
      <c r="U62" s="695" t="s">
        <v>50</v>
      </c>
      <c r="V62" s="697" t="s">
        <v>50</v>
      </c>
      <c r="W62" s="697" t="s">
        <v>50</v>
      </c>
      <c r="X62" s="794"/>
      <c r="Y62" s="700" t="s">
        <v>32</v>
      </c>
    </row>
    <row r="63" spans="1:25" s="205" customFormat="1" x14ac:dyDescent="0.25">
      <c r="A63" s="547">
        <v>43929</v>
      </c>
      <c r="B63" s="795" t="s">
        <v>915</v>
      </c>
      <c r="C63" s="742" t="s">
        <v>78</v>
      </c>
      <c r="D63" s="205">
        <v>38.066270000000003</v>
      </c>
      <c r="E63" s="205">
        <v>-122.10411999999999</v>
      </c>
      <c r="F63" s="205" t="s">
        <v>1838</v>
      </c>
      <c r="G63" s="205" t="s">
        <v>80</v>
      </c>
      <c r="H63" s="205" t="s">
        <v>81</v>
      </c>
      <c r="I63" s="207">
        <v>0.39166666666666666</v>
      </c>
      <c r="J63" s="735" t="s">
        <v>28</v>
      </c>
      <c r="K63" s="735" t="s">
        <v>29</v>
      </c>
      <c r="L63" s="735" t="s">
        <v>30</v>
      </c>
      <c r="M63" s="735">
        <v>2</v>
      </c>
      <c r="N63" s="735">
        <v>10</v>
      </c>
      <c r="O63" s="208">
        <v>30.3</v>
      </c>
      <c r="P63" s="208">
        <v>9810.5</v>
      </c>
      <c r="Q63" s="208">
        <v>10282</v>
      </c>
      <c r="R63" s="208">
        <v>0.255</v>
      </c>
      <c r="S63" s="208">
        <v>112.15</v>
      </c>
      <c r="T63" s="208">
        <v>132.55000000000001</v>
      </c>
      <c r="U63" s="740" t="s">
        <v>31</v>
      </c>
      <c r="V63" s="744">
        <v>2</v>
      </c>
      <c r="W63" s="703" t="s">
        <v>1839</v>
      </c>
      <c r="X63" s="210"/>
      <c r="Y63" s="703" t="s">
        <v>32</v>
      </c>
    </row>
    <row r="64" spans="1:25" s="205" customFormat="1" x14ac:dyDescent="0.25">
      <c r="A64" s="547">
        <v>43929</v>
      </c>
      <c r="B64" s="795" t="s">
        <v>915</v>
      </c>
      <c r="C64" s="742" t="s">
        <v>78</v>
      </c>
      <c r="D64" s="205">
        <v>38.074100000000001</v>
      </c>
      <c r="E64" s="205">
        <v>-122.01651</v>
      </c>
      <c r="F64" s="205" t="s">
        <v>1840</v>
      </c>
      <c r="G64" s="205" t="s">
        <v>27</v>
      </c>
      <c r="H64" s="205" t="s">
        <v>86</v>
      </c>
      <c r="I64" s="207">
        <v>0.42291666666666666</v>
      </c>
      <c r="J64" s="735" t="s">
        <v>28</v>
      </c>
      <c r="K64" s="735" t="s">
        <v>29</v>
      </c>
      <c r="L64" s="735" t="s">
        <v>30</v>
      </c>
      <c r="M64" s="735">
        <v>2</v>
      </c>
      <c r="N64" s="735">
        <v>10</v>
      </c>
      <c r="O64" s="208">
        <v>23.049999999999997</v>
      </c>
      <c r="P64" s="208">
        <v>6957</v>
      </c>
      <c r="Q64" s="208">
        <v>7023</v>
      </c>
      <c r="R64" s="208">
        <v>0.34499999999999997</v>
      </c>
      <c r="S64" s="208">
        <v>51.55</v>
      </c>
      <c r="T64" s="208">
        <v>58.2</v>
      </c>
      <c r="U64" s="740" t="s">
        <v>31</v>
      </c>
      <c r="V64" s="744">
        <v>1</v>
      </c>
      <c r="W64" s="205">
        <v>13</v>
      </c>
      <c r="X64" s="210"/>
      <c r="Y64" s="703" t="s">
        <v>32</v>
      </c>
    </row>
    <row r="65" spans="1:25" s="750" customFormat="1" x14ac:dyDescent="0.25">
      <c r="A65" s="789">
        <v>43929</v>
      </c>
      <c r="B65" s="790" t="s">
        <v>915</v>
      </c>
      <c r="C65" s="791" t="s">
        <v>78</v>
      </c>
      <c r="D65" s="750">
        <v>38.061599999999999</v>
      </c>
      <c r="E65" s="750">
        <v>-122.00942999999999</v>
      </c>
      <c r="F65" s="750" t="s">
        <v>1841</v>
      </c>
      <c r="G65" s="750" t="s">
        <v>27</v>
      </c>
      <c r="H65" s="750" t="s">
        <v>86</v>
      </c>
      <c r="I65" s="796">
        <v>0.45347222222222222</v>
      </c>
      <c r="J65" s="724" t="s">
        <v>28</v>
      </c>
      <c r="K65" s="724" t="s">
        <v>29</v>
      </c>
      <c r="L65" s="724" t="s">
        <v>30</v>
      </c>
      <c r="M65" s="724">
        <v>2</v>
      </c>
      <c r="N65" s="724">
        <v>10</v>
      </c>
      <c r="O65" s="793">
        <v>43.95</v>
      </c>
      <c r="P65" s="793">
        <v>4505.5</v>
      </c>
      <c r="Q65" s="793">
        <v>5305.5</v>
      </c>
      <c r="R65" s="793">
        <v>0.43000000000000005</v>
      </c>
      <c r="S65" s="793">
        <v>27.85</v>
      </c>
      <c r="T65" s="793">
        <v>35.25</v>
      </c>
      <c r="U65" s="695" t="s">
        <v>50</v>
      </c>
      <c r="V65" s="697" t="s">
        <v>50</v>
      </c>
      <c r="W65" s="697" t="s">
        <v>50</v>
      </c>
      <c r="X65" s="794"/>
      <c r="Y65" s="700" t="s">
        <v>32</v>
      </c>
    </row>
    <row r="66" spans="1:25" s="750" customFormat="1" x14ac:dyDescent="0.25">
      <c r="A66" s="789">
        <v>43929</v>
      </c>
      <c r="B66" s="790" t="s">
        <v>915</v>
      </c>
      <c r="C66" s="791" t="s">
        <v>78</v>
      </c>
      <c r="D66" s="750">
        <v>38.033050000000003</v>
      </c>
      <c r="E66" s="750">
        <v>-121.83257999999999</v>
      </c>
      <c r="F66" s="750" t="s">
        <v>1842</v>
      </c>
      <c r="G66" s="750" t="s">
        <v>27</v>
      </c>
      <c r="H66" s="750" t="s">
        <v>101</v>
      </c>
      <c r="I66" s="796">
        <v>0.49236111111111108</v>
      </c>
      <c r="J66" s="724" t="s">
        <v>28</v>
      </c>
      <c r="K66" s="724" t="s">
        <v>29</v>
      </c>
      <c r="L66" s="724" t="s">
        <v>30</v>
      </c>
      <c r="M66" s="724">
        <v>2</v>
      </c>
      <c r="N66" s="724">
        <v>10</v>
      </c>
      <c r="O66" s="793">
        <v>17</v>
      </c>
      <c r="P66" s="793">
        <v>495</v>
      </c>
      <c r="Q66" s="793">
        <v>514</v>
      </c>
      <c r="R66" s="793">
        <v>1.155</v>
      </c>
      <c r="S66" s="793">
        <v>8.9550000000000001</v>
      </c>
      <c r="T66" s="793">
        <v>11.2</v>
      </c>
      <c r="U66" s="695" t="s">
        <v>50</v>
      </c>
      <c r="V66" s="697" t="s">
        <v>50</v>
      </c>
      <c r="W66" s="697" t="s">
        <v>50</v>
      </c>
      <c r="X66" s="794"/>
      <c r="Y66" s="700" t="s">
        <v>32</v>
      </c>
    </row>
    <row r="67" spans="1:25" s="750" customFormat="1" x14ac:dyDescent="0.25">
      <c r="A67" s="789">
        <v>43929</v>
      </c>
      <c r="B67" s="790" t="s">
        <v>915</v>
      </c>
      <c r="C67" s="791" t="s">
        <v>845</v>
      </c>
      <c r="D67" s="750">
        <v>38.261049999999997</v>
      </c>
      <c r="E67" s="750">
        <v>-121.76882000000001</v>
      </c>
      <c r="F67" s="750" t="s">
        <v>1843</v>
      </c>
      <c r="G67" s="750" t="s">
        <v>90</v>
      </c>
      <c r="H67" s="750" t="s">
        <v>126</v>
      </c>
      <c r="I67" s="796">
        <v>0.34375</v>
      </c>
      <c r="J67" s="724" t="s">
        <v>28</v>
      </c>
      <c r="K67" s="724" t="s">
        <v>29</v>
      </c>
      <c r="L67" s="724" t="s">
        <v>30</v>
      </c>
      <c r="M67" s="724">
        <v>2</v>
      </c>
      <c r="N67" s="724">
        <v>10</v>
      </c>
      <c r="O67" s="793">
        <v>12.65</v>
      </c>
      <c r="P67" s="793">
        <v>318.60000000000002</v>
      </c>
      <c r="Q67" s="793">
        <v>317.60000000000002</v>
      </c>
      <c r="R67" s="793">
        <v>1.6400000000000001</v>
      </c>
      <c r="S67" s="793">
        <v>7.3699999999999992</v>
      </c>
      <c r="T67" s="793">
        <v>10.524999999999999</v>
      </c>
      <c r="U67" s="695" t="s">
        <v>50</v>
      </c>
      <c r="V67" s="697" t="s">
        <v>50</v>
      </c>
      <c r="W67" s="697" t="s">
        <v>50</v>
      </c>
      <c r="X67" s="794"/>
      <c r="Y67" s="700" t="s">
        <v>32</v>
      </c>
    </row>
    <row r="68" spans="1:25" s="750" customFormat="1" x14ac:dyDescent="0.25">
      <c r="A68" s="789">
        <v>43929</v>
      </c>
      <c r="B68" s="790" t="s">
        <v>915</v>
      </c>
      <c r="C68" s="791" t="s">
        <v>845</v>
      </c>
      <c r="D68" s="750">
        <v>38.258510000000001</v>
      </c>
      <c r="E68" s="750">
        <v>-121.72676</v>
      </c>
      <c r="F68" s="750" t="s">
        <v>1844</v>
      </c>
      <c r="G68" s="750" t="s">
        <v>90</v>
      </c>
      <c r="H68" s="750" t="s">
        <v>126</v>
      </c>
      <c r="I68" s="796">
        <v>0.37708333333333338</v>
      </c>
      <c r="J68" s="724" t="s">
        <v>28</v>
      </c>
      <c r="K68" s="724" t="s">
        <v>29</v>
      </c>
      <c r="L68" s="724" t="s">
        <v>30</v>
      </c>
      <c r="M68" s="724">
        <v>2</v>
      </c>
      <c r="N68" s="724">
        <v>10</v>
      </c>
      <c r="O68" s="793">
        <v>19.299999999999997</v>
      </c>
      <c r="P68" s="793">
        <v>284.10000000000002</v>
      </c>
      <c r="Q68" s="793">
        <v>289.45</v>
      </c>
      <c r="R68" s="793" t="s">
        <v>1233</v>
      </c>
      <c r="S68" s="793">
        <v>7.2750000000000004</v>
      </c>
      <c r="T68" s="793">
        <v>7.2949999999999999</v>
      </c>
      <c r="U68" s="695" t="s">
        <v>50</v>
      </c>
      <c r="V68" s="697" t="s">
        <v>50</v>
      </c>
      <c r="W68" s="697" t="s">
        <v>50</v>
      </c>
      <c r="X68" s="794"/>
      <c r="Y68" s="700" t="s">
        <v>32</v>
      </c>
    </row>
    <row r="69" spans="1:25" s="750" customFormat="1" x14ac:dyDescent="0.25">
      <c r="A69" s="789">
        <v>43929</v>
      </c>
      <c r="B69" s="790" t="s">
        <v>915</v>
      </c>
      <c r="C69" s="791" t="s">
        <v>845</v>
      </c>
      <c r="D69" s="750">
        <v>38.248910000000002</v>
      </c>
      <c r="E69" s="750">
        <v>-121.71145</v>
      </c>
      <c r="F69" s="750" t="s">
        <v>1845</v>
      </c>
      <c r="G69" s="750" t="s">
        <v>90</v>
      </c>
      <c r="H69" s="750" t="s">
        <v>126</v>
      </c>
      <c r="I69" s="796">
        <v>0.40833333333333338</v>
      </c>
      <c r="J69" s="724" t="s">
        <v>28</v>
      </c>
      <c r="K69" s="724" t="s">
        <v>29</v>
      </c>
      <c r="L69" s="724" t="s">
        <v>30</v>
      </c>
      <c r="M69" s="724">
        <v>2</v>
      </c>
      <c r="N69" s="724">
        <v>10</v>
      </c>
      <c r="O69" s="793">
        <v>11.25</v>
      </c>
      <c r="P69" s="793">
        <v>261.10000000000002</v>
      </c>
      <c r="Q69" s="793">
        <v>260.60000000000002</v>
      </c>
      <c r="R69" s="793">
        <v>1.8</v>
      </c>
      <c r="S69" s="793">
        <v>9.36</v>
      </c>
      <c r="T69" s="793">
        <v>16.349999999999998</v>
      </c>
      <c r="U69" s="695" t="s">
        <v>50</v>
      </c>
      <c r="V69" s="697" t="s">
        <v>50</v>
      </c>
      <c r="W69" s="697" t="s">
        <v>50</v>
      </c>
      <c r="X69" s="794"/>
      <c r="Y69" s="700" t="s">
        <v>32</v>
      </c>
    </row>
    <row r="70" spans="1:25" s="750" customFormat="1" x14ac:dyDescent="0.25">
      <c r="A70" s="789">
        <v>43929</v>
      </c>
      <c r="B70" s="790" t="s">
        <v>915</v>
      </c>
      <c r="C70" s="791" t="s">
        <v>845</v>
      </c>
      <c r="D70" s="750">
        <v>38.261049999999997</v>
      </c>
      <c r="E70" s="750">
        <v>-121.67032</v>
      </c>
      <c r="F70" s="750" t="s">
        <v>1846</v>
      </c>
      <c r="G70" s="750" t="s">
        <v>90</v>
      </c>
      <c r="H70" s="750" t="s">
        <v>126</v>
      </c>
      <c r="I70" s="796">
        <v>0.44027777777777777</v>
      </c>
      <c r="J70" s="724" t="s">
        <v>28</v>
      </c>
      <c r="K70" s="724" t="s">
        <v>29</v>
      </c>
      <c r="L70" s="724" t="s">
        <v>30</v>
      </c>
      <c r="M70" s="724">
        <v>2</v>
      </c>
      <c r="N70" s="724">
        <v>10</v>
      </c>
      <c r="O70" s="793">
        <v>25.5</v>
      </c>
      <c r="P70" s="793">
        <v>294.3</v>
      </c>
      <c r="Q70" s="793">
        <v>294.14999999999998</v>
      </c>
      <c r="R70" s="793">
        <v>1.7050000000000001</v>
      </c>
      <c r="S70" s="793">
        <v>9.73</v>
      </c>
      <c r="T70" s="793">
        <v>13.399999999999999</v>
      </c>
      <c r="U70" s="695" t="s">
        <v>50</v>
      </c>
      <c r="V70" s="697" t="s">
        <v>50</v>
      </c>
      <c r="W70" s="697" t="s">
        <v>50</v>
      </c>
      <c r="X70" s="794"/>
      <c r="Y70" s="700" t="s">
        <v>32</v>
      </c>
    </row>
    <row r="71" spans="1:25" s="750" customFormat="1" x14ac:dyDescent="0.25">
      <c r="A71" s="789">
        <v>43929</v>
      </c>
      <c r="B71" s="790" t="s">
        <v>915</v>
      </c>
      <c r="C71" s="791" t="s">
        <v>845</v>
      </c>
      <c r="D71" s="750">
        <v>38.250320000000002</v>
      </c>
      <c r="E71" s="750">
        <v>-121.67195</v>
      </c>
      <c r="F71" s="750" t="s">
        <v>1847</v>
      </c>
      <c r="G71" s="750" t="s">
        <v>90</v>
      </c>
      <c r="H71" s="750" t="s">
        <v>126</v>
      </c>
      <c r="I71" s="796">
        <v>0.47291666666666665</v>
      </c>
      <c r="J71" s="724" t="s">
        <v>28</v>
      </c>
      <c r="K71" s="724" t="s">
        <v>29</v>
      </c>
      <c r="L71" s="724" t="s">
        <v>30</v>
      </c>
      <c r="M71" s="724">
        <v>1</v>
      </c>
      <c r="N71" s="724">
        <v>2</v>
      </c>
      <c r="O71" s="793">
        <v>21.8</v>
      </c>
      <c r="P71" s="793">
        <v>246.6</v>
      </c>
      <c r="Q71" s="793">
        <v>245.7</v>
      </c>
      <c r="R71" s="793" t="s">
        <v>1233</v>
      </c>
      <c r="S71" s="793">
        <v>7.48</v>
      </c>
      <c r="T71" s="793">
        <v>24.8</v>
      </c>
      <c r="U71" s="695" t="s">
        <v>50</v>
      </c>
      <c r="V71" s="697" t="s">
        <v>50</v>
      </c>
      <c r="W71" s="697" t="s">
        <v>50</v>
      </c>
      <c r="X71" s="794" t="s">
        <v>1848</v>
      </c>
      <c r="Y71" s="700" t="s">
        <v>32</v>
      </c>
    </row>
    <row r="72" spans="1:25" s="750" customFormat="1" x14ac:dyDescent="0.25">
      <c r="A72" s="789">
        <v>43929</v>
      </c>
      <c r="B72" s="790" t="s">
        <v>915</v>
      </c>
      <c r="C72" s="791" t="s">
        <v>845</v>
      </c>
      <c r="D72" s="750">
        <v>38.30744</v>
      </c>
      <c r="E72" s="750">
        <v>-121.69298000000001</v>
      </c>
      <c r="F72" s="750" t="s">
        <v>1849</v>
      </c>
      <c r="G72" s="750" t="s">
        <v>90</v>
      </c>
      <c r="H72" s="750" t="s">
        <v>126</v>
      </c>
      <c r="I72" s="796">
        <v>0.50138888888888888</v>
      </c>
      <c r="J72" s="724" t="s">
        <v>28</v>
      </c>
      <c r="K72" s="724" t="s">
        <v>29</v>
      </c>
      <c r="L72" s="724" t="s">
        <v>30</v>
      </c>
      <c r="M72" s="724">
        <v>2</v>
      </c>
      <c r="N72" s="724">
        <v>10</v>
      </c>
      <c r="O72" s="793">
        <v>17.55</v>
      </c>
      <c r="P72" s="793">
        <v>571.5</v>
      </c>
      <c r="Q72" s="793">
        <v>574.5</v>
      </c>
      <c r="R72" s="793" t="s">
        <v>1233</v>
      </c>
      <c r="S72" s="793">
        <v>9.1300000000000008</v>
      </c>
      <c r="T72" s="793">
        <v>5.71</v>
      </c>
      <c r="U72" s="695" t="s">
        <v>50</v>
      </c>
      <c r="V72" s="697" t="s">
        <v>50</v>
      </c>
      <c r="W72" s="697" t="s">
        <v>50</v>
      </c>
      <c r="X72" s="698" t="s">
        <v>1850</v>
      </c>
      <c r="Y72" s="700" t="s">
        <v>32</v>
      </c>
    </row>
    <row r="73" spans="1:25" s="750" customFormat="1" x14ac:dyDescent="0.25">
      <c r="A73" s="789">
        <v>43930</v>
      </c>
      <c r="B73" s="790" t="s">
        <v>876</v>
      </c>
      <c r="C73" s="791" t="s">
        <v>106</v>
      </c>
      <c r="D73" s="750">
        <v>38.212130000000002</v>
      </c>
      <c r="E73" s="750">
        <v>-121.66728999999999</v>
      </c>
      <c r="F73" s="750" t="s">
        <v>1851</v>
      </c>
      <c r="G73" s="750" t="s">
        <v>90</v>
      </c>
      <c r="H73" s="750" t="s">
        <v>108</v>
      </c>
      <c r="I73" s="796">
        <v>0.34375</v>
      </c>
      <c r="J73" s="724" t="s">
        <v>28</v>
      </c>
      <c r="K73" s="724" t="s">
        <v>29</v>
      </c>
      <c r="L73" s="724" t="s">
        <v>30</v>
      </c>
      <c r="M73" s="724">
        <v>2</v>
      </c>
      <c r="N73" s="724">
        <v>10</v>
      </c>
      <c r="O73" s="793">
        <v>40.5</v>
      </c>
      <c r="P73" s="793">
        <v>172.25</v>
      </c>
      <c r="Q73" s="793">
        <v>126.35</v>
      </c>
      <c r="R73" s="793">
        <v>0.8</v>
      </c>
      <c r="S73" s="793">
        <v>20.774999999999999</v>
      </c>
      <c r="T73" s="793">
        <v>44.45</v>
      </c>
      <c r="U73" s="695" t="s">
        <v>50</v>
      </c>
      <c r="V73" s="697" t="s">
        <v>50</v>
      </c>
      <c r="W73" s="697" t="s">
        <v>50</v>
      </c>
      <c r="X73" s="698" t="s">
        <v>1852</v>
      </c>
      <c r="Y73" s="700" t="s">
        <v>32</v>
      </c>
    </row>
    <row r="74" spans="1:25" x14ac:dyDescent="0.25">
      <c r="A74" s="789">
        <v>43930</v>
      </c>
      <c r="B74" s="790" t="s">
        <v>876</v>
      </c>
      <c r="C74" s="791" t="s">
        <v>106</v>
      </c>
      <c r="D74" s="37">
        <v>38.551450000000003</v>
      </c>
      <c r="E74" s="37">
        <v>-121.57926999999999</v>
      </c>
      <c r="F74" s="750" t="s">
        <v>1853</v>
      </c>
      <c r="G74" s="37" t="s">
        <v>90</v>
      </c>
      <c r="H74" s="37" t="s">
        <v>1787</v>
      </c>
      <c r="I74" s="712">
        <v>0.41041666666666665</v>
      </c>
      <c r="J74" s="724" t="s">
        <v>28</v>
      </c>
      <c r="K74" s="724" t="s">
        <v>29</v>
      </c>
      <c r="L74" s="724" t="s">
        <v>30</v>
      </c>
      <c r="M74" s="724">
        <v>2</v>
      </c>
      <c r="N74" s="724">
        <v>10</v>
      </c>
      <c r="O74" s="696">
        <v>35.799999999999997</v>
      </c>
      <c r="P74" s="696">
        <v>1107.5</v>
      </c>
      <c r="Q74" s="696">
        <v>1111</v>
      </c>
      <c r="R74" s="696">
        <v>0.93500000000000005</v>
      </c>
      <c r="S74" s="696">
        <v>13.48</v>
      </c>
      <c r="T74" s="696">
        <v>7.4</v>
      </c>
      <c r="U74" s="695" t="s">
        <v>50</v>
      </c>
      <c r="V74" s="697" t="s">
        <v>50</v>
      </c>
      <c r="W74" s="697" t="s">
        <v>50</v>
      </c>
      <c r="X74" s="698" t="s">
        <v>1854</v>
      </c>
      <c r="Y74" s="700" t="s">
        <v>32</v>
      </c>
    </row>
    <row r="75" spans="1:25" x14ac:dyDescent="0.25">
      <c r="A75" s="789">
        <v>43930</v>
      </c>
      <c r="B75" s="790" t="s">
        <v>876</v>
      </c>
      <c r="C75" s="791" t="s">
        <v>106</v>
      </c>
      <c r="D75" s="37">
        <v>38.561450000000001</v>
      </c>
      <c r="E75" s="37">
        <v>-121.55835</v>
      </c>
      <c r="F75" s="750" t="s">
        <v>1855</v>
      </c>
      <c r="G75" s="37" t="s">
        <v>90</v>
      </c>
      <c r="H75" s="37" t="s">
        <v>1787</v>
      </c>
      <c r="I75" s="712">
        <v>0.44444444444444442</v>
      </c>
      <c r="J75" s="724" t="s">
        <v>28</v>
      </c>
      <c r="K75" s="724" t="s">
        <v>29</v>
      </c>
      <c r="L75" s="724" t="s">
        <v>30</v>
      </c>
      <c r="M75" s="724">
        <v>2</v>
      </c>
      <c r="N75" s="724">
        <v>10</v>
      </c>
      <c r="O75" s="696">
        <v>35.35</v>
      </c>
      <c r="P75" s="696">
        <v>1157</v>
      </c>
      <c r="Q75" s="696">
        <v>1154</v>
      </c>
      <c r="R75" s="696">
        <v>1.8</v>
      </c>
      <c r="S75" s="696">
        <v>6.4050000000000002</v>
      </c>
      <c r="T75" s="696">
        <v>4.9849999999999994</v>
      </c>
      <c r="U75" s="695" t="s">
        <v>50</v>
      </c>
      <c r="V75" s="697" t="s">
        <v>50</v>
      </c>
      <c r="W75" s="697" t="s">
        <v>50</v>
      </c>
      <c r="Y75" s="700" t="s">
        <v>32</v>
      </c>
    </row>
    <row r="76" spans="1:25" x14ac:dyDescent="0.25">
      <c r="A76" s="789">
        <v>43930</v>
      </c>
      <c r="B76" s="790" t="s">
        <v>876</v>
      </c>
      <c r="C76" s="791" t="s">
        <v>106</v>
      </c>
      <c r="D76" s="37">
        <v>38.561010000000003</v>
      </c>
      <c r="E76" s="37">
        <v>-121.55659</v>
      </c>
      <c r="F76" s="750" t="s">
        <v>1856</v>
      </c>
      <c r="G76" s="37" t="s">
        <v>90</v>
      </c>
      <c r="H76" s="37" t="s">
        <v>1787</v>
      </c>
      <c r="I76" s="712">
        <v>0.47152777777777777</v>
      </c>
      <c r="J76" s="724" t="s">
        <v>28</v>
      </c>
      <c r="K76" s="724" t="s">
        <v>29</v>
      </c>
      <c r="L76" s="724" t="s">
        <v>30</v>
      </c>
      <c r="M76" s="724">
        <v>2</v>
      </c>
      <c r="N76" s="724">
        <v>10</v>
      </c>
      <c r="O76" s="696">
        <v>35.549999999999997</v>
      </c>
      <c r="P76" s="696">
        <v>1157</v>
      </c>
      <c r="Q76" s="696">
        <v>1162.5</v>
      </c>
      <c r="R76" s="696">
        <v>1.8</v>
      </c>
      <c r="S76" s="696">
        <v>5.54</v>
      </c>
      <c r="T76" s="696">
        <v>4.9749999999999996</v>
      </c>
      <c r="U76" s="695" t="s">
        <v>50</v>
      </c>
      <c r="V76" s="697" t="s">
        <v>50</v>
      </c>
      <c r="W76" s="697" t="s">
        <v>50</v>
      </c>
      <c r="Y76" s="700" t="s">
        <v>32</v>
      </c>
    </row>
    <row r="77" spans="1:25" s="421" customFormat="1" x14ac:dyDescent="0.25">
      <c r="A77" s="346">
        <v>43930</v>
      </c>
      <c r="B77" s="797" t="s">
        <v>876</v>
      </c>
      <c r="C77" s="745" t="s">
        <v>106</v>
      </c>
      <c r="D77" s="421">
        <v>38.532809999999998</v>
      </c>
      <c r="E77" s="421">
        <v>-121.58423000000001</v>
      </c>
      <c r="F77" s="494" t="s">
        <v>1857</v>
      </c>
      <c r="G77" s="421" t="s">
        <v>90</v>
      </c>
      <c r="H77" s="421" t="s">
        <v>1787</v>
      </c>
      <c r="I77" s="539">
        <v>0.50208333333333333</v>
      </c>
      <c r="J77" s="573" t="s">
        <v>28</v>
      </c>
      <c r="K77" s="573" t="s">
        <v>29</v>
      </c>
      <c r="L77" s="573" t="s">
        <v>30</v>
      </c>
      <c r="M77" s="573">
        <v>2</v>
      </c>
      <c r="N77" s="573">
        <v>10</v>
      </c>
      <c r="O77" s="530">
        <v>29.1</v>
      </c>
      <c r="P77" s="530">
        <v>1079.5</v>
      </c>
      <c r="Q77" s="530">
        <v>1078.5</v>
      </c>
      <c r="R77" s="530">
        <v>0.79</v>
      </c>
      <c r="S77" s="530">
        <v>11.2</v>
      </c>
      <c r="T77" s="530">
        <v>35.299999999999997</v>
      </c>
      <c r="U77" s="746" t="s">
        <v>323</v>
      </c>
      <c r="V77" s="421">
        <v>3</v>
      </c>
      <c r="W77" s="421" t="s">
        <v>1858</v>
      </c>
      <c r="X77" s="397"/>
      <c r="Y77" s="768" t="s">
        <v>32</v>
      </c>
    </row>
    <row r="78" spans="1:25" x14ac:dyDescent="0.25">
      <c r="A78" s="789">
        <v>43930</v>
      </c>
      <c r="B78" s="790" t="s">
        <v>876</v>
      </c>
      <c r="C78" s="693" t="s">
        <v>88</v>
      </c>
      <c r="D78" s="37">
        <v>38.150019999999998</v>
      </c>
      <c r="E78" s="37">
        <v>-121.68997</v>
      </c>
      <c r="F78" s="750" t="s">
        <v>1859</v>
      </c>
      <c r="G78" s="37" t="s">
        <v>90</v>
      </c>
      <c r="H78" s="37" t="s">
        <v>91</v>
      </c>
      <c r="I78" s="712">
        <v>0.35902777777777778</v>
      </c>
      <c r="J78" s="724" t="s">
        <v>28</v>
      </c>
      <c r="K78" s="724" t="s">
        <v>29</v>
      </c>
      <c r="L78" s="724" t="s">
        <v>30</v>
      </c>
      <c r="M78" s="724">
        <v>2</v>
      </c>
      <c r="N78" s="37">
        <v>10</v>
      </c>
      <c r="O78" s="696">
        <v>43.900000000000006</v>
      </c>
      <c r="P78" s="696">
        <v>168.9</v>
      </c>
      <c r="Q78" s="696">
        <v>170.15</v>
      </c>
      <c r="R78" s="696">
        <v>1.31</v>
      </c>
      <c r="S78" s="696">
        <v>9.19</v>
      </c>
      <c r="T78" s="696">
        <v>10.399999999999999</v>
      </c>
      <c r="U78" s="695" t="s">
        <v>50</v>
      </c>
      <c r="V78" s="697" t="s">
        <v>50</v>
      </c>
      <c r="W78" s="697" t="s">
        <v>50</v>
      </c>
      <c r="X78" s="698" t="s">
        <v>1860</v>
      </c>
      <c r="Y78" s="700" t="s">
        <v>32</v>
      </c>
    </row>
    <row r="79" spans="1:25" x14ac:dyDescent="0.25">
      <c r="A79" s="789">
        <v>43930</v>
      </c>
      <c r="B79" s="790" t="s">
        <v>876</v>
      </c>
      <c r="C79" s="693" t="s">
        <v>88</v>
      </c>
      <c r="D79" s="37">
        <v>38.089399999999998</v>
      </c>
      <c r="E79" s="37">
        <v>-121.74427</v>
      </c>
      <c r="F79" s="750" t="s">
        <v>1861</v>
      </c>
      <c r="G79" s="37" t="s">
        <v>27</v>
      </c>
      <c r="H79" s="37" t="s">
        <v>25</v>
      </c>
      <c r="I79" s="712">
        <v>0.39444444444444443</v>
      </c>
      <c r="J79" s="724" t="s">
        <v>28</v>
      </c>
      <c r="K79" s="724" t="s">
        <v>29</v>
      </c>
      <c r="L79" s="724" t="s">
        <v>30</v>
      </c>
      <c r="M79" s="724">
        <v>2</v>
      </c>
      <c r="N79" s="37">
        <v>10</v>
      </c>
      <c r="O79" s="696">
        <v>30.8</v>
      </c>
      <c r="P79" s="696">
        <v>177.2</v>
      </c>
      <c r="Q79" s="696">
        <v>177.55</v>
      </c>
      <c r="R79" s="696">
        <v>0.875</v>
      </c>
      <c r="S79" s="696">
        <v>16.2</v>
      </c>
      <c r="T79" s="696">
        <v>16.399999999999999</v>
      </c>
      <c r="U79" s="695" t="s">
        <v>50</v>
      </c>
      <c r="V79" s="697" t="s">
        <v>50</v>
      </c>
      <c r="W79" s="697" t="s">
        <v>50</v>
      </c>
      <c r="Y79" s="700" t="s">
        <v>32</v>
      </c>
    </row>
    <row r="80" spans="1:25" s="205" customFormat="1" x14ac:dyDescent="0.25">
      <c r="A80" s="547">
        <v>43930</v>
      </c>
      <c r="B80" s="795" t="s">
        <v>876</v>
      </c>
      <c r="C80" s="742" t="s">
        <v>88</v>
      </c>
      <c r="D80" s="205">
        <v>38.056930000000001</v>
      </c>
      <c r="E80" s="205">
        <v>-121.81386999999999</v>
      </c>
      <c r="F80" s="205" t="s">
        <v>1862</v>
      </c>
      <c r="G80" s="205" t="s">
        <v>27</v>
      </c>
      <c r="H80" s="205" t="s">
        <v>25</v>
      </c>
      <c r="I80" s="207">
        <v>0.42569444444444443</v>
      </c>
      <c r="J80" s="735" t="s">
        <v>28</v>
      </c>
      <c r="K80" s="735" t="s">
        <v>29</v>
      </c>
      <c r="L80" s="735" t="s">
        <v>30</v>
      </c>
      <c r="M80" s="735">
        <v>2</v>
      </c>
      <c r="N80" s="205">
        <v>10</v>
      </c>
      <c r="O80" s="564">
        <v>31.9</v>
      </c>
      <c r="P80" s="564">
        <v>545.54999999999995</v>
      </c>
      <c r="Q80" s="564">
        <v>590.95000000000005</v>
      </c>
      <c r="R80" s="564">
        <v>0.875</v>
      </c>
      <c r="S80" s="564">
        <v>17.5</v>
      </c>
      <c r="T80" s="564">
        <v>26.75</v>
      </c>
      <c r="U80" s="747" t="s">
        <v>31</v>
      </c>
      <c r="V80" s="205">
        <v>7</v>
      </c>
      <c r="W80" s="205" t="s">
        <v>1863</v>
      </c>
      <c r="X80" s="689" t="s">
        <v>1860</v>
      </c>
      <c r="Y80" s="703" t="s">
        <v>32</v>
      </c>
    </row>
    <row r="81" spans="1:25" x14ac:dyDescent="0.25">
      <c r="A81" s="789">
        <v>43930</v>
      </c>
      <c r="B81" s="790" t="s">
        <v>876</v>
      </c>
      <c r="C81" s="693" t="s">
        <v>88</v>
      </c>
      <c r="D81" s="37">
        <v>38.091090000000001</v>
      </c>
      <c r="E81" s="37">
        <v>-121.70966</v>
      </c>
      <c r="F81" s="750" t="s">
        <v>1864</v>
      </c>
      <c r="G81" s="37" t="s">
        <v>90</v>
      </c>
      <c r="H81" s="37" t="s">
        <v>91</v>
      </c>
      <c r="I81" s="712">
        <v>0.45902777777777781</v>
      </c>
      <c r="J81" s="724" t="s">
        <v>28</v>
      </c>
      <c r="K81" s="724" t="s">
        <v>29</v>
      </c>
      <c r="L81" s="724" t="s">
        <v>30</v>
      </c>
      <c r="M81" s="724">
        <v>2</v>
      </c>
      <c r="N81" s="37">
        <v>10</v>
      </c>
      <c r="O81" s="696">
        <v>16.299999999999997</v>
      </c>
      <c r="P81" s="696">
        <v>212.95</v>
      </c>
      <c r="Q81" s="696">
        <v>213.2</v>
      </c>
      <c r="R81" s="696">
        <v>1.4649999999999999</v>
      </c>
      <c r="S81" s="696">
        <v>10.934999999999999</v>
      </c>
      <c r="T81" s="696">
        <v>7.1749999999999998</v>
      </c>
      <c r="U81" s="695" t="s">
        <v>50</v>
      </c>
      <c r="V81" s="697" t="s">
        <v>50</v>
      </c>
      <c r="W81" s="697" t="s">
        <v>50</v>
      </c>
      <c r="Y81" s="700" t="s">
        <v>32</v>
      </c>
    </row>
    <row r="82" spans="1:25" s="683" customFormat="1" x14ac:dyDescent="0.25">
      <c r="A82" s="547">
        <v>43930</v>
      </c>
      <c r="B82" s="795" t="s">
        <v>876</v>
      </c>
      <c r="C82" s="682" t="s">
        <v>88</v>
      </c>
      <c r="D82" s="683">
        <v>38.063899999999997</v>
      </c>
      <c r="E82" s="683">
        <v>-121.82225</v>
      </c>
      <c r="F82" s="205" t="s">
        <v>1865</v>
      </c>
      <c r="G82" s="683" t="s">
        <v>27</v>
      </c>
      <c r="H82" s="683" t="s">
        <v>25</v>
      </c>
      <c r="I82" s="708">
        <v>0.4909722222222222</v>
      </c>
      <c r="J82" s="735" t="s">
        <v>28</v>
      </c>
      <c r="K82" s="735" t="s">
        <v>29</v>
      </c>
      <c r="L82" s="735" t="s">
        <v>30</v>
      </c>
      <c r="M82" s="735">
        <v>2</v>
      </c>
      <c r="N82" s="683">
        <v>10</v>
      </c>
      <c r="O82" s="687">
        <v>33.700000000000003</v>
      </c>
      <c r="P82" s="687">
        <v>180.1</v>
      </c>
      <c r="Q82" s="687">
        <v>180.25</v>
      </c>
      <c r="R82" s="687">
        <v>0.94</v>
      </c>
      <c r="S82" s="687">
        <v>17.649999999999999</v>
      </c>
      <c r="T82" s="687">
        <v>15.45</v>
      </c>
      <c r="U82" s="747" t="s">
        <v>31</v>
      </c>
      <c r="V82" s="683">
        <v>1</v>
      </c>
      <c r="W82" s="683">
        <v>13.8</v>
      </c>
      <c r="X82" s="689"/>
      <c r="Y82" s="205" t="s">
        <v>32</v>
      </c>
    </row>
    <row r="83" spans="1:25" x14ac:dyDescent="0.25">
      <c r="A83" s="789">
        <v>43931</v>
      </c>
      <c r="B83" s="790" t="s">
        <v>125</v>
      </c>
      <c r="C83" s="693" t="s">
        <v>95</v>
      </c>
      <c r="D83" s="37">
        <v>38.021970000000003</v>
      </c>
      <c r="E83" s="37">
        <v>-121.76246</v>
      </c>
      <c r="F83" s="37" t="s">
        <v>1866</v>
      </c>
      <c r="G83" s="37" t="s">
        <v>27</v>
      </c>
      <c r="H83" s="37" t="s">
        <v>863</v>
      </c>
      <c r="I83" s="712">
        <v>0.33402777777777781</v>
      </c>
      <c r="J83" s="695" t="s">
        <v>28</v>
      </c>
      <c r="K83" s="37" t="s">
        <v>29</v>
      </c>
      <c r="L83" s="37" t="s">
        <v>30</v>
      </c>
      <c r="M83" s="37">
        <v>2</v>
      </c>
      <c r="N83" s="37">
        <v>10</v>
      </c>
      <c r="O83" s="91">
        <v>25.8</v>
      </c>
      <c r="P83" s="91">
        <v>675</v>
      </c>
      <c r="Q83" s="91">
        <v>788</v>
      </c>
      <c r="R83" s="91">
        <v>1.1399999999999999</v>
      </c>
      <c r="S83" s="91">
        <v>9.6550000000000011</v>
      </c>
      <c r="T83" s="91">
        <v>17.5</v>
      </c>
      <c r="U83" s="695" t="s">
        <v>50</v>
      </c>
      <c r="V83" s="697" t="s">
        <v>50</v>
      </c>
      <c r="W83" s="697" t="s">
        <v>50</v>
      </c>
      <c r="Y83" s="700" t="s">
        <v>32</v>
      </c>
    </row>
    <row r="84" spans="1:25" x14ac:dyDescent="0.25">
      <c r="A84" s="789">
        <v>43931</v>
      </c>
      <c r="B84" s="790" t="s">
        <v>125</v>
      </c>
      <c r="C84" s="693" t="s">
        <v>95</v>
      </c>
      <c r="D84" s="37">
        <v>38.092359999999999</v>
      </c>
      <c r="E84" s="37">
        <v>-121.32923</v>
      </c>
      <c r="F84" s="37" t="s">
        <v>1867</v>
      </c>
      <c r="G84" s="37" t="s">
        <v>46</v>
      </c>
      <c r="H84" s="37" t="s">
        <v>908</v>
      </c>
      <c r="I84" s="712">
        <v>0.37361111111111112</v>
      </c>
      <c r="J84" s="695" t="s">
        <v>28</v>
      </c>
      <c r="K84" s="37" t="s">
        <v>29</v>
      </c>
      <c r="L84" s="37" t="s">
        <v>30</v>
      </c>
      <c r="M84" s="37">
        <v>2</v>
      </c>
      <c r="N84" s="37">
        <v>10</v>
      </c>
      <c r="O84" s="91">
        <v>19.55</v>
      </c>
      <c r="P84" s="91">
        <v>246.6</v>
      </c>
      <c r="Q84" s="91">
        <v>249</v>
      </c>
      <c r="R84" s="91">
        <v>1.8</v>
      </c>
      <c r="S84" s="91">
        <v>5.57</v>
      </c>
      <c r="T84" s="91">
        <v>6.72</v>
      </c>
      <c r="U84" s="695" t="s">
        <v>50</v>
      </c>
      <c r="V84" s="699" t="s">
        <v>50</v>
      </c>
      <c r="W84" s="37" t="s">
        <v>50</v>
      </c>
      <c r="X84" s="698" t="s">
        <v>1868</v>
      </c>
      <c r="Y84" s="750" t="s">
        <v>32</v>
      </c>
    </row>
    <row r="85" spans="1:25" x14ac:dyDescent="0.25">
      <c r="A85" s="789">
        <v>43931</v>
      </c>
      <c r="B85" s="790" t="s">
        <v>125</v>
      </c>
      <c r="C85" s="693" t="s">
        <v>95</v>
      </c>
      <c r="D85" s="37">
        <v>38.102359999999997</v>
      </c>
      <c r="E85" s="37">
        <v>-121.59062</v>
      </c>
      <c r="F85" s="37" t="s">
        <v>1869</v>
      </c>
      <c r="G85" s="37" t="s">
        <v>46</v>
      </c>
      <c r="H85" s="37" t="s">
        <v>1767</v>
      </c>
      <c r="I85" s="712">
        <v>0.40069444444444446</v>
      </c>
      <c r="J85" s="695" t="s">
        <v>28</v>
      </c>
      <c r="K85" s="37" t="s">
        <v>29</v>
      </c>
      <c r="L85" s="37" t="s">
        <v>30</v>
      </c>
      <c r="M85" s="37">
        <v>2</v>
      </c>
      <c r="N85" s="37">
        <v>10</v>
      </c>
      <c r="O85" s="91">
        <v>16.149999999999999</v>
      </c>
      <c r="P85" s="91">
        <v>198.85000000000002</v>
      </c>
      <c r="Q85" s="91">
        <v>198.8</v>
      </c>
      <c r="R85" s="91">
        <v>1.8</v>
      </c>
      <c r="S85" s="91">
        <v>5.5150000000000006</v>
      </c>
      <c r="T85" s="91">
        <v>14.110000000000001</v>
      </c>
      <c r="U85" s="695" t="s">
        <v>50</v>
      </c>
      <c r="V85" s="699" t="s">
        <v>50</v>
      </c>
      <c r="W85" s="37" t="s">
        <v>50</v>
      </c>
      <c r="X85" s="698" t="s">
        <v>1868</v>
      </c>
      <c r="Y85" s="750" t="s">
        <v>32</v>
      </c>
    </row>
    <row r="86" spans="1:25" x14ac:dyDescent="0.25">
      <c r="A86" s="789">
        <v>43931</v>
      </c>
      <c r="B86" s="790" t="s">
        <v>125</v>
      </c>
      <c r="C86" s="693" t="s">
        <v>95</v>
      </c>
      <c r="D86" s="37">
        <v>38.042990000000003</v>
      </c>
      <c r="E86" s="37">
        <v>-121.50543</v>
      </c>
      <c r="F86" s="37" t="s">
        <v>1870</v>
      </c>
      <c r="G86" s="37" t="s">
        <v>46</v>
      </c>
      <c r="H86" s="37" t="s">
        <v>1767</v>
      </c>
      <c r="I86" s="712">
        <v>0.43541666666666662</v>
      </c>
      <c r="J86" s="37" t="s">
        <v>28</v>
      </c>
      <c r="K86" s="37" t="s">
        <v>29</v>
      </c>
      <c r="L86" s="37" t="s">
        <v>30</v>
      </c>
      <c r="M86" s="37">
        <v>2</v>
      </c>
      <c r="N86" s="37">
        <v>10</v>
      </c>
      <c r="O86" s="91">
        <v>26.75</v>
      </c>
      <c r="P86" s="91">
        <v>288.89999999999998</v>
      </c>
      <c r="Q86" s="91">
        <v>289.35000000000002</v>
      </c>
      <c r="R86" s="91">
        <v>1.7000000000000002</v>
      </c>
      <c r="S86" s="91">
        <v>4.7650000000000006</v>
      </c>
      <c r="T86" s="91">
        <v>51.19</v>
      </c>
      <c r="U86" s="695" t="s">
        <v>50</v>
      </c>
      <c r="V86" s="699" t="s">
        <v>50</v>
      </c>
      <c r="W86" s="37" t="s">
        <v>50</v>
      </c>
      <c r="Y86" s="750" t="s">
        <v>32</v>
      </c>
    </row>
    <row r="87" spans="1:25" x14ac:dyDescent="0.25">
      <c r="A87" s="789">
        <v>43931</v>
      </c>
      <c r="B87" s="790" t="s">
        <v>125</v>
      </c>
      <c r="C87" s="693" t="s">
        <v>95</v>
      </c>
      <c r="D87" s="37">
        <v>38.086689999999997</v>
      </c>
      <c r="E87" s="37">
        <v>-121.57492999999999</v>
      </c>
      <c r="F87" s="37" t="s">
        <v>1871</v>
      </c>
      <c r="G87" s="37" t="s">
        <v>46</v>
      </c>
      <c r="H87" s="37" t="s">
        <v>1767</v>
      </c>
      <c r="I87" s="712">
        <v>0.4680555555555555</v>
      </c>
      <c r="J87" s="695" t="s">
        <v>28</v>
      </c>
      <c r="K87" s="37" t="s">
        <v>29</v>
      </c>
      <c r="L87" s="37" t="s">
        <v>30</v>
      </c>
      <c r="M87" s="37">
        <v>2</v>
      </c>
      <c r="N87" s="37">
        <v>10</v>
      </c>
      <c r="O87" s="91">
        <v>41.95</v>
      </c>
      <c r="P87" s="91">
        <v>202.2</v>
      </c>
      <c r="Q87" s="91">
        <v>202.3</v>
      </c>
      <c r="R87" s="91">
        <v>1.5549999999999999</v>
      </c>
      <c r="S87" s="91">
        <v>4.5050000000000008</v>
      </c>
      <c r="T87" s="91">
        <v>8.0299999999999994</v>
      </c>
      <c r="U87" s="695" t="s">
        <v>50</v>
      </c>
      <c r="V87" s="699" t="s">
        <v>50</v>
      </c>
      <c r="W87" s="37" t="s">
        <v>50</v>
      </c>
      <c r="Y87" s="750" t="s">
        <v>32</v>
      </c>
    </row>
    <row r="88" spans="1:25" x14ac:dyDescent="0.25">
      <c r="A88" s="789">
        <v>43931</v>
      </c>
      <c r="B88" s="790" t="s">
        <v>125</v>
      </c>
      <c r="C88" s="693" t="s">
        <v>106</v>
      </c>
      <c r="D88" s="37">
        <v>38.26831</v>
      </c>
      <c r="E88" s="37">
        <v>-121.66383</v>
      </c>
      <c r="F88" s="37" t="s">
        <v>1872</v>
      </c>
      <c r="G88" s="750" t="s">
        <v>90</v>
      </c>
      <c r="H88" s="37" t="s">
        <v>108</v>
      </c>
      <c r="I88" s="712">
        <v>0.33888888888888885</v>
      </c>
      <c r="J88" s="37" t="s">
        <v>28</v>
      </c>
      <c r="K88" s="37" t="s">
        <v>29</v>
      </c>
      <c r="L88" s="37" t="s">
        <v>30</v>
      </c>
      <c r="M88" s="37">
        <v>2</v>
      </c>
      <c r="N88" s="37">
        <v>10</v>
      </c>
      <c r="O88" s="91">
        <v>27.150000000000002</v>
      </c>
      <c r="P88" s="91">
        <v>186.35</v>
      </c>
      <c r="Q88" s="91">
        <v>190.64999999999998</v>
      </c>
      <c r="R88" s="91">
        <v>1.0900000000000001</v>
      </c>
      <c r="S88" s="91">
        <v>11.85</v>
      </c>
      <c r="T88" s="91">
        <v>15.75</v>
      </c>
      <c r="U88" s="695" t="s">
        <v>50</v>
      </c>
      <c r="V88" s="699" t="s">
        <v>50</v>
      </c>
      <c r="W88" s="37" t="s">
        <v>50</v>
      </c>
      <c r="Y88" s="750" t="s">
        <v>32</v>
      </c>
    </row>
    <row r="89" spans="1:25" s="421" customFormat="1" x14ac:dyDescent="0.25">
      <c r="A89" s="346">
        <v>43931</v>
      </c>
      <c r="B89" s="797" t="s">
        <v>125</v>
      </c>
      <c r="C89" s="524" t="s">
        <v>106</v>
      </c>
      <c r="D89" s="421">
        <v>38.485149999999997</v>
      </c>
      <c r="E89" s="421">
        <v>-121.58412</v>
      </c>
      <c r="F89" s="421" t="s">
        <v>1873</v>
      </c>
      <c r="G89" s="494" t="s">
        <v>90</v>
      </c>
      <c r="H89" s="421" t="s">
        <v>1787</v>
      </c>
      <c r="I89" s="539">
        <v>0.38472222222222219</v>
      </c>
      <c r="J89" s="421" t="s">
        <v>28</v>
      </c>
      <c r="K89" s="421" t="s">
        <v>29</v>
      </c>
      <c r="L89" s="421" t="s">
        <v>30</v>
      </c>
      <c r="M89" s="421">
        <v>2</v>
      </c>
      <c r="N89" s="421">
        <v>10</v>
      </c>
      <c r="O89" s="499">
        <v>32.950000000000003</v>
      </c>
      <c r="P89" s="499">
        <v>863.5</v>
      </c>
      <c r="Q89" s="499">
        <v>882</v>
      </c>
      <c r="R89" s="499">
        <v>0.245</v>
      </c>
      <c r="S89" s="499">
        <v>50.55</v>
      </c>
      <c r="T89" s="499">
        <v>73.75</v>
      </c>
      <c r="U89" s="706" t="s">
        <v>323</v>
      </c>
      <c r="V89" s="707">
        <v>1</v>
      </c>
      <c r="W89" s="421">
        <v>15.7</v>
      </c>
      <c r="X89" s="397" t="s">
        <v>1874</v>
      </c>
      <c r="Y89" s="494" t="s">
        <v>32</v>
      </c>
    </row>
    <row r="90" spans="1:25" s="749" customFormat="1" x14ac:dyDescent="0.25">
      <c r="A90" s="547">
        <v>43931</v>
      </c>
      <c r="B90" s="795" t="s">
        <v>125</v>
      </c>
      <c r="C90" s="682" t="s">
        <v>106</v>
      </c>
      <c r="D90" s="683">
        <v>38.485149999999997</v>
      </c>
      <c r="E90" s="683">
        <v>-121.58412</v>
      </c>
      <c r="F90" s="683" t="s">
        <v>1873</v>
      </c>
      <c r="G90" s="205" t="s">
        <v>90</v>
      </c>
      <c r="H90" s="683" t="s">
        <v>1787</v>
      </c>
      <c r="I90" s="708">
        <v>0.38472222222222219</v>
      </c>
      <c r="J90" s="683" t="s">
        <v>28</v>
      </c>
      <c r="K90" s="683" t="s">
        <v>29</v>
      </c>
      <c r="L90" s="683" t="s">
        <v>30</v>
      </c>
      <c r="M90" s="683">
        <v>2</v>
      </c>
      <c r="N90" s="683">
        <v>10</v>
      </c>
      <c r="O90" s="209">
        <v>32.950000000000003</v>
      </c>
      <c r="P90" s="209">
        <v>863.5</v>
      </c>
      <c r="Q90" s="209">
        <v>882</v>
      </c>
      <c r="R90" s="209">
        <v>0.245</v>
      </c>
      <c r="S90" s="209">
        <v>50.55</v>
      </c>
      <c r="T90" s="209">
        <v>73.75</v>
      </c>
      <c r="U90" s="690" t="s">
        <v>31</v>
      </c>
      <c r="V90" s="688">
        <v>1</v>
      </c>
      <c r="W90" s="205">
        <v>15.5</v>
      </c>
      <c r="X90" s="748"/>
      <c r="Y90" s="205" t="s">
        <v>32</v>
      </c>
    </row>
    <row r="91" spans="1:25" s="683" customFormat="1" x14ac:dyDescent="0.25">
      <c r="A91" s="547">
        <v>43931</v>
      </c>
      <c r="B91" s="795" t="s">
        <v>125</v>
      </c>
      <c r="C91" s="682" t="s">
        <v>106</v>
      </c>
      <c r="D91" s="683">
        <v>38.365749999999998</v>
      </c>
      <c r="E91" s="683">
        <v>-121.63391</v>
      </c>
      <c r="F91" s="683" t="s">
        <v>1875</v>
      </c>
      <c r="G91" s="205" t="s">
        <v>90</v>
      </c>
      <c r="H91" s="683" t="s">
        <v>108</v>
      </c>
      <c r="I91" s="708">
        <v>0.42499999999999999</v>
      </c>
      <c r="J91" s="686" t="s">
        <v>28</v>
      </c>
      <c r="K91" s="683" t="s">
        <v>29</v>
      </c>
      <c r="L91" s="683" t="s">
        <v>30</v>
      </c>
      <c r="M91" s="683">
        <v>2</v>
      </c>
      <c r="N91" s="683">
        <v>10</v>
      </c>
      <c r="O91" s="209">
        <v>31.4</v>
      </c>
      <c r="P91" s="209">
        <v>435.5</v>
      </c>
      <c r="Q91" s="209">
        <v>448.55</v>
      </c>
      <c r="R91" s="209">
        <v>0.19500000000000001</v>
      </c>
      <c r="S91" s="209">
        <v>64.150000000000006</v>
      </c>
      <c r="T91" s="209">
        <v>86.45</v>
      </c>
      <c r="U91" s="690" t="s">
        <v>31</v>
      </c>
      <c r="V91" s="688">
        <v>1</v>
      </c>
      <c r="W91" s="683">
        <v>18</v>
      </c>
      <c r="X91" s="689" t="s">
        <v>1876</v>
      </c>
      <c r="Y91" s="205" t="s">
        <v>32</v>
      </c>
    </row>
    <row r="92" spans="1:25" s="421" customFormat="1" x14ac:dyDescent="0.25">
      <c r="A92" s="346">
        <v>43931</v>
      </c>
      <c r="B92" s="797" t="s">
        <v>125</v>
      </c>
      <c r="C92" s="524" t="s">
        <v>106</v>
      </c>
      <c r="D92" s="421">
        <v>38.227049999999998</v>
      </c>
      <c r="E92" s="421">
        <v>-121.67394</v>
      </c>
      <c r="F92" s="421" t="s">
        <v>1877</v>
      </c>
      <c r="G92" s="494" t="s">
        <v>90</v>
      </c>
      <c r="H92" s="421" t="s">
        <v>108</v>
      </c>
      <c r="I92" s="539">
        <v>0.47222222222222227</v>
      </c>
      <c r="J92" s="526" t="s">
        <v>28</v>
      </c>
      <c r="K92" s="421" t="s">
        <v>29</v>
      </c>
      <c r="L92" s="421" t="s">
        <v>30</v>
      </c>
      <c r="M92" s="421">
        <v>2</v>
      </c>
      <c r="N92" s="421">
        <v>10</v>
      </c>
      <c r="O92" s="499">
        <v>36.1</v>
      </c>
      <c r="P92" s="499">
        <v>192.75</v>
      </c>
      <c r="Q92" s="499">
        <v>195.05</v>
      </c>
      <c r="R92" s="499">
        <v>0.89500000000000002</v>
      </c>
      <c r="S92" s="499">
        <v>21.35</v>
      </c>
      <c r="T92" s="499">
        <v>14.100000000000001</v>
      </c>
      <c r="U92" s="746" t="s">
        <v>323</v>
      </c>
      <c r="V92" s="421">
        <v>1</v>
      </c>
      <c r="W92" s="421">
        <v>19.399999999999999</v>
      </c>
      <c r="X92" s="397" t="s">
        <v>1878</v>
      </c>
      <c r="Y92" s="494" t="s">
        <v>32</v>
      </c>
    </row>
    <row r="93" spans="1:25" s="759" customFormat="1" x14ac:dyDescent="0.25">
      <c r="A93" s="798">
        <v>43931</v>
      </c>
      <c r="B93" s="798" t="s">
        <v>125</v>
      </c>
      <c r="C93" s="799" t="s">
        <v>106</v>
      </c>
      <c r="D93" s="759">
        <v>38.160089999999997</v>
      </c>
      <c r="E93" s="759">
        <v>-121.68299</v>
      </c>
      <c r="F93" s="759" t="s">
        <v>1879</v>
      </c>
      <c r="G93" s="763" t="s">
        <v>90</v>
      </c>
      <c r="H93" s="759" t="s">
        <v>108</v>
      </c>
      <c r="I93" s="800">
        <v>0.51180555555555551</v>
      </c>
      <c r="J93" s="801" t="s">
        <v>28</v>
      </c>
      <c r="K93" s="759" t="s">
        <v>29</v>
      </c>
      <c r="L93" s="759" t="s">
        <v>30</v>
      </c>
      <c r="M93" s="759">
        <v>2</v>
      </c>
      <c r="N93" s="759">
        <v>10</v>
      </c>
      <c r="O93" s="802">
        <v>29.15</v>
      </c>
      <c r="P93" s="802">
        <v>171.2</v>
      </c>
      <c r="Q93" s="802">
        <v>172.15</v>
      </c>
      <c r="R93" s="802">
        <v>1.01</v>
      </c>
      <c r="S93" s="802">
        <v>15.2</v>
      </c>
      <c r="T93" s="802">
        <v>12.2</v>
      </c>
      <c r="U93" s="759" t="s">
        <v>50</v>
      </c>
      <c r="V93" s="759" t="s">
        <v>50</v>
      </c>
      <c r="W93" s="759" t="s">
        <v>50</v>
      </c>
      <c r="X93" s="803"/>
      <c r="Y93" s="763" t="s">
        <v>32</v>
      </c>
    </row>
    <row r="94" spans="1:25" x14ac:dyDescent="0.25">
      <c r="A94" s="711">
        <v>43934</v>
      </c>
      <c r="B94" s="711" t="s">
        <v>43</v>
      </c>
      <c r="C94" s="693" t="s">
        <v>95</v>
      </c>
      <c r="D94" s="37">
        <v>38.041840000000001</v>
      </c>
      <c r="E94" s="37">
        <v>-121.52752</v>
      </c>
      <c r="F94" s="37" t="s">
        <v>1880</v>
      </c>
      <c r="G94" s="37" t="s">
        <v>46</v>
      </c>
      <c r="H94" s="37" t="s">
        <v>1767</v>
      </c>
      <c r="I94" s="712">
        <v>0.34722222222222227</v>
      </c>
      <c r="J94" s="781" t="s">
        <v>28</v>
      </c>
      <c r="K94" s="37" t="s">
        <v>29</v>
      </c>
      <c r="L94" s="37" t="s">
        <v>30</v>
      </c>
      <c r="M94" s="37">
        <v>2</v>
      </c>
      <c r="N94" s="37">
        <v>10</v>
      </c>
      <c r="O94" s="91">
        <v>34</v>
      </c>
      <c r="P94" s="91">
        <v>243.05</v>
      </c>
      <c r="Q94" s="91">
        <v>244.3</v>
      </c>
      <c r="R94" s="91">
        <v>1.8</v>
      </c>
      <c r="S94" s="91">
        <v>5.52</v>
      </c>
      <c r="T94" s="91">
        <v>4.9649999999999999</v>
      </c>
      <c r="U94" s="37" t="s">
        <v>50</v>
      </c>
      <c r="V94" s="37" t="s">
        <v>50</v>
      </c>
      <c r="W94" s="37" t="s">
        <v>50</v>
      </c>
      <c r="Y94" s="750" t="s">
        <v>32</v>
      </c>
    </row>
    <row r="95" spans="1:25" x14ac:dyDescent="0.25">
      <c r="A95" s="711">
        <v>43934</v>
      </c>
      <c r="B95" s="711" t="s">
        <v>43</v>
      </c>
      <c r="C95" s="693" t="s">
        <v>95</v>
      </c>
      <c r="D95" s="37">
        <v>38.042679999999997</v>
      </c>
      <c r="E95" s="37">
        <v>-121.49814000000001</v>
      </c>
      <c r="F95" s="37" t="s">
        <v>1881</v>
      </c>
      <c r="G95" s="37" t="s">
        <v>46</v>
      </c>
      <c r="H95" s="37" t="s">
        <v>1767</v>
      </c>
      <c r="I95" s="712">
        <v>0.31180555555555556</v>
      </c>
      <c r="J95" s="695" t="s">
        <v>28</v>
      </c>
      <c r="K95" s="37" t="s">
        <v>29</v>
      </c>
      <c r="L95" s="37" t="s">
        <v>30</v>
      </c>
      <c r="M95" s="37">
        <v>2</v>
      </c>
      <c r="N95" s="37">
        <v>10</v>
      </c>
      <c r="O95" s="91">
        <v>43.05</v>
      </c>
      <c r="P95" s="91">
        <v>299.75</v>
      </c>
      <c r="Q95" s="91">
        <v>300.10000000000002</v>
      </c>
      <c r="R95" s="91">
        <v>1.8</v>
      </c>
      <c r="S95" s="91">
        <v>3.415</v>
      </c>
      <c r="T95" s="91">
        <v>4.6099999999999994</v>
      </c>
      <c r="U95" s="37" t="s">
        <v>50</v>
      </c>
      <c r="V95" s="37" t="s">
        <v>50</v>
      </c>
      <c r="W95" s="37" t="s">
        <v>50</v>
      </c>
      <c r="Y95" s="750" t="s">
        <v>32</v>
      </c>
    </row>
    <row r="96" spans="1:25" x14ac:dyDescent="0.25">
      <c r="A96" s="711">
        <v>43934</v>
      </c>
      <c r="B96" s="711" t="s">
        <v>43</v>
      </c>
      <c r="C96" s="693" t="s">
        <v>95</v>
      </c>
      <c r="D96" s="37">
        <v>38.098820000000003</v>
      </c>
      <c r="E96" s="37">
        <v>-121.59412</v>
      </c>
      <c r="F96" s="37" t="s">
        <v>1882</v>
      </c>
      <c r="G96" s="37" t="s">
        <v>46</v>
      </c>
      <c r="H96" s="37" t="s">
        <v>1767</v>
      </c>
      <c r="I96" s="712">
        <v>0.45347222222222222</v>
      </c>
      <c r="J96" s="695" t="s">
        <v>28</v>
      </c>
      <c r="K96" s="37" t="s">
        <v>29</v>
      </c>
      <c r="L96" s="37" t="s">
        <v>30</v>
      </c>
      <c r="M96" s="37">
        <v>2</v>
      </c>
      <c r="N96" s="37">
        <v>10</v>
      </c>
      <c r="O96" s="91">
        <v>46.25</v>
      </c>
      <c r="P96" s="91">
        <v>206.8</v>
      </c>
      <c r="Q96" s="91">
        <v>201.7</v>
      </c>
      <c r="R96" s="91">
        <v>1.8</v>
      </c>
      <c r="S96" s="91">
        <v>6.3249999999999993</v>
      </c>
      <c r="T96" s="91">
        <v>7.35</v>
      </c>
      <c r="U96" s="37" t="s">
        <v>50</v>
      </c>
      <c r="V96" s="37" t="s">
        <v>50</v>
      </c>
      <c r="W96" s="37" t="s">
        <v>50</v>
      </c>
      <c r="Y96" s="750" t="s">
        <v>32</v>
      </c>
    </row>
    <row r="97" spans="1:25" x14ac:dyDescent="0.25">
      <c r="A97" s="711">
        <v>43934</v>
      </c>
      <c r="B97" s="711" t="s">
        <v>43</v>
      </c>
      <c r="C97" s="693" t="s">
        <v>95</v>
      </c>
      <c r="D97" s="37">
        <v>38.086469999999998</v>
      </c>
      <c r="E97" s="37">
        <v>-121.64191</v>
      </c>
      <c r="F97" s="37" t="s">
        <v>1883</v>
      </c>
      <c r="G97" s="37" t="s">
        <v>46</v>
      </c>
      <c r="H97" s="37" t="s">
        <v>908</v>
      </c>
      <c r="I97" s="712">
        <v>0.42291666666666666</v>
      </c>
      <c r="J97" s="695" t="s">
        <v>28</v>
      </c>
      <c r="K97" s="37" t="s">
        <v>29</v>
      </c>
      <c r="L97" s="37" t="s">
        <v>30</v>
      </c>
      <c r="M97" s="37">
        <v>2</v>
      </c>
      <c r="N97" s="37">
        <v>10</v>
      </c>
      <c r="O97" s="91">
        <v>51.599999999999994</v>
      </c>
      <c r="P97" s="91">
        <v>238.95</v>
      </c>
      <c r="Q97" s="91">
        <v>238.45</v>
      </c>
      <c r="R97" s="91">
        <v>1.8</v>
      </c>
      <c r="S97" s="91">
        <v>5.1349999999999998</v>
      </c>
      <c r="T97" s="91">
        <v>5.0649999999999995</v>
      </c>
      <c r="U97" s="695" t="s">
        <v>50</v>
      </c>
      <c r="V97" s="699" t="s">
        <v>50</v>
      </c>
      <c r="W97" s="37" t="s">
        <v>50</v>
      </c>
      <c r="Y97" s="750" t="s">
        <v>32</v>
      </c>
    </row>
    <row r="98" spans="1:25" s="806" customFormat="1" x14ac:dyDescent="0.25">
      <c r="A98" s="804">
        <v>43934</v>
      </c>
      <c r="B98" s="804" t="s">
        <v>43</v>
      </c>
      <c r="C98" s="791" t="s">
        <v>95</v>
      </c>
      <c r="D98" s="750">
        <v>38.078000000000003</v>
      </c>
      <c r="E98" s="750">
        <v>-121.67805</v>
      </c>
      <c r="F98" s="750" t="s">
        <v>1883</v>
      </c>
      <c r="G98" s="750" t="s">
        <v>46</v>
      </c>
      <c r="H98" s="750" t="s">
        <v>908</v>
      </c>
      <c r="I98" s="796">
        <v>0.3923611111111111</v>
      </c>
      <c r="J98" s="724" t="s">
        <v>28</v>
      </c>
      <c r="K98" s="750" t="s">
        <v>29</v>
      </c>
      <c r="L98" s="750" t="s">
        <v>30</v>
      </c>
      <c r="M98" s="750">
        <v>2</v>
      </c>
      <c r="N98" s="750">
        <v>10</v>
      </c>
      <c r="O98" s="758">
        <v>44.05</v>
      </c>
      <c r="P98" s="758">
        <v>281.64999999999998</v>
      </c>
      <c r="Q98" s="758">
        <v>283.60000000000002</v>
      </c>
      <c r="R98" s="758">
        <v>1.7000000000000002</v>
      </c>
      <c r="S98" s="758">
        <v>7.2</v>
      </c>
      <c r="T98" s="758">
        <v>7.17</v>
      </c>
      <c r="U98" s="724" t="s">
        <v>50</v>
      </c>
      <c r="V98" s="805" t="s">
        <v>50</v>
      </c>
      <c r="W98" s="750" t="s">
        <v>50</v>
      </c>
      <c r="X98" s="794"/>
      <c r="Y98" s="750" t="s">
        <v>32</v>
      </c>
    </row>
    <row r="99" spans="1:25" x14ac:dyDescent="0.25">
      <c r="A99" s="804">
        <v>43934</v>
      </c>
      <c r="B99" s="711" t="s">
        <v>43</v>
      </c>
      <c r="C99" s="693" t="s">
        <v>845</v>
      </c>
      <c r="D99" s="37">
        <v>38.27514</v>
      </c>
      <c r="E99" s="37">
        <v>-121.70865000000001</v>
      </c>
      <c r="F99" s="37" t="s">
        <v>1884</v>
      </c>
      <c r="G99" s="37" t="s">
        <v>90</v>
      </c>
      <c r="H99" s="37" t="s">
        <v>126</v>
      </c>
      <c r="I99" s="712">
        <v>0.3923611111111111</v>
      </c>
      <c r="J99" s="695" t="s">
        <v>28</v>
      </c>
      <c r="K99" s="37" t="s">
        <v>29</v>
      </c>
      <c r="L99" s="37" t="s">
        <v>30</v>
      </c>
      <c r="M99" s="37">
        <v>2</v>
      </c>
      <c r="N99" s="37">
        <v>10</v>
      </c>
      <c r="O99" s="91">
        <v>13.7</v>
      </c>
      <c r="P99" s="91">
        <v>233.15</v>
      </c>
      <c r="Q99" s="91">
        <v>223.35000000000002</v>
      </c>
      <c r="R99" s="91">
        <v>1.75</v>
      </c>
      <c r="S99" s="91">
        <v>4.7149999999999999</v>
      </c>
      <c r="T99" s="91">
        <v>4.8900000000000006</v>
      </c>
      <c r="U99" s="695" t="s">
        <v>50</v>
      </c>
      <c r="V99" s="699" t="s">
        <v>50</v>
      </c>
      <c r="W99" s="37" t="s">
        <v>50</v>
      </c>
      <c r="Y99" s="750" t="s">
        <v>32</v>
      </c>
    </row>
    <row r="100" spans="1:25" x14ac:dyDescent="0.25">
      <c r="A100" s="804">
        <v>43934</v>
      </c>
      <c r="B100" s="804" t="s">
        <v>43</v>
      </c>
      <c r="C100" s="693" t="s">
        <v>845</v>
      </c>
      <c r="D100" s="37">
        <v>38.249789999999997</v>
      </c>
      <c r="E100" s="37">
        <v>-121.71276</v>
      </c>
      <c r="F100" s="37" t="s">
        <v>1885</v>
      </c>
      <c r="G100" s="37" t="s">
        <v>90</v>
      </c>
      <c r="H100" s="37" t="s">
        <v>126</v>
      </c>
      <c r="I100" s="712">
        <v>0.42777777777777781</v>
      </c>
      <c r="J100" s="695" t="s">
        <v>28</v>
      </c>
      <c r="K100" s="37" t="s">
        <v>29</v>
      </c>
      <c r="L100" s="37" t="s">
        <v>30</v>
      </c>
      <c r="M100" s="37">
        <v>2</v>
      </c>
      <c r="N100" s="37">
        <v>10</v>
      </c>
      <c r="O100" s="696">
        <v>18.299999999999997</v>
      </c>
      <c r="P100" s="696">
        <v>223.55</v>
      </c>
      <c r="Q100" s="696">
        <v>221.1</v>
      </c>
      <c r="R100" s="696">
        <v>1.8</v>
      </c>
      <c r="S100" s="696">
        <v>4.66</v>
      </c>
      <c r="T100" s="696">
        <v>4.4250000000000007</v>
      </c>
      <c r="U100" s="37" t="s">
        <v>50</v>
      </c>
      <c r="V100" s="37" t="s">
        <v>50</v>
      </c>
      <c r="W100" s="699" t="s">
        <v>50</v>
      </c>
      <c r="Y100" s="700" t="s">
        <v>32</v>
      </c>
    </row>
    <row r="101" spans="1:25" s="750" customFormat="1" x14ac:dyDescent="0.25">
      <c r="A101" s="804">
        <v>43934</v>
      </c>
      <c r="B101" s="804" t="s">
        <v>43</v>
      </c>
      <c r="C101" s="791" t="s">
        <v>845</v>
      </c>
      <c r="D101" s="750">
        <v>38.256979999999999</v>
      </c>
      <c r="E101" s="750">
        <v>-121.67142</v>
      </c>
      <c r="F101" s="750" t="s">
        <v>1886</v>
      </c>
      <c r="G101" s="750" t="s">
        <v>90</v>
      </c>
      <c r="H101" s="750" t="s">
        <v>126</v>
      </c>
      <c r="I101" s="796">
        <v>0.35416666666666669</v>
      </c>
      <c r="J101" s="724" t="s">
        <v>28</v>
      </c>
      <c r="K101" s="750" t="s">
        <v>29</v>
      </c>
      <c r="L101" s="750" t="s">
        <v>30</v>
      </c>
      <c r="M101" s="750">
        <v>2</v>
      </c>
      <c r="N101" s="750">
        <v>10</v>
      </c>
      <c r="O101" s="758">
        <v>35.75</v>
      </c>
      <c r="P101" s="758">
        <v>184.2</v>
      </c>
      <c r="Q101" s="758">
        <v>185</v>
      </c>
      <c r="R101" s="758">
        <v>1.175</v>
      </c>
      <c r="S101" s="758">
        <v>6.7850000000000001</v>
      </c>
      <c r="T101" s="758">
        <v>7.7249999999999996</v>
      </c>
      <c r="U101" s="724" t="s">
        <v>50</v>
      </c>
      <c r="V101" s="805" t="s">
        <v>50</v>
      </c>
      <c r="W101" s="750" t="s">
        <v>50</v>
      </c>
      <c r="X101" s="794"/>
      <c r="Y101" s="700" t="s">
        <v>32</v>
      </c>
    </row>
    <row r="102" spans="1:25" x14ac:dyDescent="0.25">
      <c r="A102" s="804">
        <v>43934</v>
      </c>
      <c r="B102" s="804" t="s">
        <v>43</v>
      </c>
      <c r="C102" s="693" t="s">
        <v>845</v>
      </c>
      <c r="D102" s="37">
        <v>38.25029</v>
      </c>
      <c r="E102" s="37">
        <v>-121.68838</v>
      </c>
      <c r="F102" s="37" t="s">
        <v>1887</v>
      </c>
      <c r="G102" s="37" t="s">
        <v>90</v>
      </c>
      <c r="H102" s="37" t="s">
        <v>126</v>
      </c>
      <c r="I102" s="712">
        <v>0.48819444444444443</v>
      </c>
      <c r="J102" s="695" t="s">
        <v>28</v>
      </c>
      <c r="K102" s="37" t="s">
        <v>29</v>
      </c>
      <c r="L102" s="37" t="s">
        <v>30</v>
      </c>
      <c r="M102" s="37">
        <v>2</v>
      </c>
      <c r="N102" s="37">
        <v>10</v>
      </c>
      <c r="O102" s="91">
        <v>21</v>
      </c>
      <c r="P102" s="91">
        <v>188.75</v>
      </c>
      <c r="Q102" s="91">
        <v>190.3</v>
      </c>
      <c r="R102" s="91">
        <v>1.75</v>
      </c>
      <c r="S102" s="91">
        <v>7.13</v>
      </c>
      <c r="T102" s="91">
        <v>9.76</v>
      </c>
      <c r="U102" s="37" t="s">
        <v>50</v>
      </c>
      <c r="V102" s="37" t="s">
        <v>50</v>
      </c>
      <c r="W102" s="37" t="s">
        <v>50</v>
      </c>
      <c r="Y102" s="750" t="s">
        <v>32</v>
      </c>
    </row>
    <row r="103" spans="1:25" x14ac:dyDescent="0.25">
      <c r="A103" s="804">
        <v>43934</v>
      </c>
      <c r="B103" s="711" t="s">
        <v>43</v>
      </c>
      <c r="C103" s="693" t="s">
        <v>845</v>
      </c>
      <c r="D103" s="37">
        <v>38.257770000000001</v>
      </c>
      <c r="E103" s="37">
        <v>-121.72874</v>
      </c>
      <c r="F103" s="37" t="s">
        <v>1888</v>
      </c>
      <c r="G103" s="37" t="s">
        <v>90</v>
      </c>
      <c r="H103" s="37" t="s">
        <v>126</v>
      </c>
      <c r="I103" s="712">
        <v>0.45416666666666666</v>
      </c>
      <c r="J103" s="695" t="s">
        <v>28</v>
      </c>
      <c r="K103" s="37" t="s">
        <v>29</v>
      </c>
      <c r="L103" s="37" t="s">
        <v>30</v>
      </c>
      <c r="M103" s="37">
        <v>2</v>
      </c>
      <c r="N103" s="37">
        <v>10</v>
      </c>
      <c r="O103" s="91">
        <v>21.35</v>
      </c>
      <c r="P103" s="91">
        <v>252.25</v>
      </c>
      <c r="Q103" s="91">
        <v>257.05</v>
      </c>
      <c r="R103" s="91">
        <v>1.63</v>
      </c>
      <c r="S103" s="91">
        <v>4.57</v>
      </c>
      <c r="T103" s="91">
        <v>5.8599999999999994</v>
      </c>
      <c r="U103" s="37" t="s">
        <v>50</v>
      </c>
      <c r="V103" s="37" t="s">
        <v>50</v>
      </c>
      <c r="W103" s="37" t="s">
        <v>50</v>
      </c>
      <c r="Y103" s="750" t="s">
        <v>32</v>
      </c>
    </row>
    <row r="104" spans="1:25" x14ac:dyDescent="0.25">
      <c r="A104" s="711">
        <v>43935</v>
      </c>
      <c r="B104" s="711" t="s">
        <v>849</v>
      </c>
      <c r="C104" s="693" t="s">
        <v>95</v>
      </c>
      <c r="D104" s="37">
        <v>38.020429999999998</v>
      </c>
      <c r="E104" s="37">
        <v>-121.78106</v>
      </c>
      <c r="F104" s="37" t="s">
        <v>1889</v>
      </c>
      <c r="G104" s="37" t="s">
        <v>27</v>
      </c>
      <c r="H104" s="37" t="s">
        <v>863</v>
      </c>
      <c r="I104" s="712">
        <v>0.32847222222222222</v>
      </c>
      <c r="J104" s="695" t="s">
        <v>28</v>
      </c>
      <c r="K104" s="37" t="s">
        <v>29</v>
      </c>
      <c r="L104" s="37" t="s">
        <v>30</v>
      </c>
      <c r="M104" s="37">
        <v>2</v>
      </c>
      <c r="N104" s="37">
        <v>10</v>
      </c>
      <c r="O104" s="91">
        <v>17.200000000000003</v>
      </c>
      <c r="P104" s="91">
        <v>477.05</v>
      </c>
      <c r="Q104" s="91">
        <v>475</v>
      </c>
      <c r="R104" s="91">
        <v>0.95</v>
      </c>
      <c r="S104" s="91">
        <v>9.504999999999999</v>
      </c>
      <c r="T104" s="91">
        <v>10.7</v>
      </c>
      <c r="U104" s="37" t="s">
        <v>50</v>
      </c>
      <c r="V104" s="37" t="s">
        <v>50</v>
      </c>
      <c r="W104" s="37" t="s">
        <v>50</v>
      </c>
      <c r="Y104" s="750" t="s">
        <v>32</v>
      </c>
    </row>
    <row r="105" spans="1:25" x14ac:dyDescent="0.25">
      <c r="A105" s="711">
        <v>43935</v>
      </c>
      <c r="B105" s="711" t="s">
        <v>849</v>
      </c>
      <c r="C105" s="693" t="s">
        <v>95</v>
      </c>
      <c r="D105" s="37">
        <v>38.03716</v>
      </c>
      <c r="E105" s="37">
        <v>-121.72693</v>
      </c>
      <c r="F105" s="37" t="s">
        <v>1890</v>
      </c>
      <c r="G105" s="37" t="s">
        <v>27</v>
      </c>
      <c r="H105" s="37" t="s">
        <v>863</v>
      </c>
      <c r="I105" s="712">
        <v>0.35902777777777778</v>
      </c>
      <c r="J105" s="695" t="s">
        <v>28</v>
      </c>
      <c r="K105" s="37" t="s">
        <v>29</v>
      </c>
      <c r="L105" s="37" t="s">
        <v>30</v>
      </c>
      <c r="M105" s="37">
        <v>2</v>
      </c>
      <c r="N105" s="37">
        <v>10</v>
      </c>
      <c r="O105" s="91">
        <v>32.049999999999997</v>
      </c>
      <c r="P105" s="91">
        <v>338.85</v>
      </c>
      <c r="Q105" s="91">
        <v>338.35</v>
      </c>
      <c r="R105" s="91">
        <v>1.0249999999999999</v>
      </c>
      <c r="S105" s="91">
        <v>8.15</v>
      </c>
      <c r="T105" s="91">
        <v>9.64</v>
      </c>
      <c r="U105" s="37" t="s">
        <v>50</v>
      </c>
      <c r="V105" s="37" t="s">
        <v>50</v>
      </c>
      <c r="W105" s="37" t="s">
        <v>50</v>
      </c>
      <c r="Y105" s="750" t="s">
        <v>32</v>
      </c>
    </row>
    <row r="106" spans="1:25" s="750" customFormat="1" x14ac:dyDescent="0.25">
      <c r="A106" s="804">
        <v>43935</v>
      </c>
      <c r="B106" s="804" t="s">
        <v>849</v>
      </c>
      <c r="C106" s="791" t="s">
        <v>95</v>
      </c>
      <c r="D106" s="750">
        <v>38.036029999999997</v>
      </c>
      <c r="E106" s="750">
        <v>-121.7158</v>
      </c>
      <c r="F106" s="750" t="s">
        <v>1891</v>
      </c>
      <c r="G106" s="750" t="s">
        <v>27</v>
      </c>
      <c r="H106" s="37" t="s">
        <v>863</v>
      </c>
      <c r="I106" s="796">
        <v>0.38819444444444445</v>
      </c>
      <c r="J106" s="695" t="s">
        <v>28</v>
      </c>
      <c r="K106" s="37" t="s">
        <v>29</v>
      </c>
      <c r="L106" s="37" t="s">
        <v>30</v>
      </c>
      <c r="M106" s="37">
        <v>2</v>
      </c>
      <c r="N106" s="37">
        <v>10</v>
      </c>
      <c r="O106" s="758">
        <v>32.200000000000003</v>
      </c>
      <c r="P106" s="758">
        <v>335.55</v>
      </c>
      <c r="Q106" s="758">
        <v>334.95000000000005</v>
      </c>
      <c r="R106" s="758">
        <v>1.31</v>
      </c>
      <c r="S106" s="758">
        <v>6.2</v>
      </c>
      <c r="T106" s="758">
        <v>6.9049999999999994</v>
      </c>
      <c r="U106" s="37" t="s">
        <v>50</v>
      </c>
      <c r="V106" s="37" t="s">
        <v>50</v>
      </c>
      <c r="W106" s="37" t="s">
        <v>50</v>
      </c>
      <c r="X106" s="698"/>
      <c r="Y106" s="750" t="s">
        <v>32</v>
      </c>
    </row>
    <row r="107" spans="1:25" x14ac:dyDescent="0.25">
      <c r="A107" s="711">
        <v>43935</v>
      </c>
      <c r="B107" s="711" t="s">
        <v>849</v>
      </c>
      <c r="C107" s="693" t="s">
        <v>95</v>
      </c>
      <c r="D107" s="37">
        <v>38.046680000000002</v>
      </c>
      <c r="E107" s="37">
        <v>-121.70217</v>
      </c>
      <c r="F107" s="37" t="s">
        <v>1892</v>
      </c>
      <c r="G107" s="37" t="s">
        <v>27</v>
      </c>
      <c r="H107" s="37" t="s">
        <v>863</v>
      </c>
      <c r="I107" s="712">
        <v>0.41736111111111113</v>
      </c>
      <c r="J107" s="695" t="s">
        <v>28</v>
      </c>
      <c r="K107" s="37" t="s">
        <v>29</v>
      </c>
      <c r="L107" s="37" t="s">
        <v>30</v>
      </c>
      <c r="M107" s="37">
        <v>2</v>
      </c>
      <c r="N107" s="37">
        <v>10</v>
      </c>
      <c r="O107" s="91">
        <v>30.950000000000003</v>
      </c>
      <c r="P107" s="91">
        <v>319.89999999999998</v>
      </c>
      <c r="Q107" s="91">
        <v>327.29999999999995</v>
      </c>
      <c r="R107" s="91">
        <v>1.0649999999999999</v>
      </c>
      <c r="S107" s="91">
        <v>7.67</v>
      </c>
      <c r="T107" s="91">
        <v>8.2149999999999999</v>
      </c>
      <c r="U107" s="37" t="s">
        <v>50</v>
      </c>
      <c r="V107" s="37" t="s">
        <v>50</v>
      </c>
      <c r="W107" s="37" t="s">
        <v>50</v>
      </c>
      <c r="Y107" s="750" t="s">
        <v>32</v>
      </c>
    </row>
    <row r="108" spans="1:25" x14ac:dyDescent="0.25">
      <c r="A108" s="711">
        <v>43935</v>
      </c>
      <c r="B108" s="711" t="s">
        <v>849</v>
      </c>
      <c r="C108" s="693" t="s">
        <v>95</v>
      </c>
      <c r="D108" s="37">
        <v>38.070979999999999</v>
      </c>
      <c r="E108" s="37">
        <v>-121.67889</v>
      </c>
      <c r="F108" s="37" t="s">
        <v>1893</v>
      </c>
      <c r="G108" s="37" t="s">
        <v>46</v>
      </c>
      <c r="H108" s="37" t="s">
        <v>908</v>
      </c>
      <c r="I108" s="712">
        <v>0.44722222222222219</v>
      </c>
      <c r="J108" s="695" t="s">
        <v>28</v>
      </c>
      <c r="K108" s="37" t="s">
        <v>29</v>
      </c>
      <c r="L108" s="37" t="s">
        <v>30</v>
      </c>
      <c r="M108" s="37">
        <v>2</v>
      </c>
      <c r="N108" s="37">
        <v>10</v>
      </c>
      <c r="O108" s="91">
        <v>31.65</v>
      </c>
      <c r="P108" s="91">
        <v>254.55</v>
      </c>
      <c r="Q108" s="91">
        <v>255.15</v>
      </c>
      <c r="R108" s="91">
        <v>1.8</v>
      </c>
      <c r="S108" s="91">
        <v>5.0649999999999995</v>
      </c>
      <c r="T108" s="91">
        <v>5.9450000000000003</v>
      </c>
      <c r="U108" s="37" t="s">
        <v>50</v>
      </c>
      <c r="V108" s="37" t="s">
        <v>50</v>
      </c>
      <c r="W108" s="37" t="s">
        <v>50</v>
      </c>
      <c r="X108" s="698" t="s">
        <v>1894</v>
      </c>
      <c r="Y108" s="750" t="s">
        <v>32</v>
      </c>
    </row>
    <row r="109" spans="1:25" s="750" customFormat="1" x14ac:dyDescent="0.25">
      <c r="A109" s="804">
        <v>43936</v>
      </c>
      <c r="B109" s="804" t="s">
        <v>915</v>
      </c>
      <c r="C109" s="791" t="s">
        <v>106</v>
      </c>
      <c r="D109" s="750">
        <v>38.309890000000003</v>
      </c>
      <c r="E109" s="750">
        <v>-121.65278000000001</v>
      </c>
      <c r="F109" s="37" t="s">
        <v>1895</v>
      </c>
      <c r="G109" s="750" t="s">
        <v>90</v>
      </c>
      <c r="H109" s="750" t="s">
        <v>108</v>
      </c>
      <c r="I109" s="796">
        <v>0.33888888888888885</v>
      </c>
      <c r="J109" s="695" t="s">
        <v>28</v>
      </c>
      <c r="K109" s="37" t="s">
        <v>29</v>
      </c>
      <c r="L109" s="37" t="s">
        <v>30</v>
      </c>
      <c r="M109" s="37">
        <v>2</v>
      </c>
      <c r="N109" s="37">
        <v>10</v>
      </c>
      <c r="O109" s="758">
        <v>35.4</v>
      </c>
      <c r="P109" s="758">
        <v>312.25</v>
      </c>
      <c r="Q109" s="758">
        <v>316.79999999999995</v>
      </c>
      <c r="R109" s="758">
        <v>0.6</v>
      </c>
      <c r="S109" s="758">
        <v>14.8</v>
      </c>
      <c r="T109" s="758">
        <v>18.850000000000001</v>
      </c>
      <c r="U109" s="37" t="s">
        <v>50</v>
      </c>
      <c r="V109" s="37" t="s">
        <v>50</v>
      </c>
      <c r="W109" s="37" t="s">
        <v>50</v>
      </c>
      <c r="X109" s="794"/>
      <c r="Y109" s="750" t="s">
        <v>32</v>
      </c>
    </row>
    <row r="110" spans="1:25" x14ac:dyDescent="0.25">
      <c r="A110" s="804">
        <v>43936</v>
      </c>
      <c r="B110" s="804" t="s">
        <v>915</v>
      </c>
      <c r="C110" s="791" t="s">
        <v>106</v>
      </c>
      <c r="D110" s="37">
        <v>38.555239999999998</v>
      </c>
      <c r="E110" s="37">
        <v>-121.57541999999999</v>
      </c>
      <c r="F110" s="37" t="s">
        <v>1896</v>
      </c>
      <c r="G110" s="750" t="s">
        <v>90</v>
      </c>
      <c r="H110" s="37" t="s">
        <v>1787</v>
      </c>
      <c r="I110" s="712">
        <v>0.4236111111111111</v>
      </c>
      <c r="J110" s="695" t="s">
        <v>28</v>
      </c>
      <c r="K110" s="37" t="s">
        <v>29</v>
      </c>
      <c r="L110" s="37" t="s">
        <v>30</v>
      </c>
      <c r="M110" s="37">
        <v>2</v>
      </c>
      <c r="N110" s="37">
        <v>10</v>
      </c>
      <c r="O110" s="91">
        <v>31.25</v>
      </c>
      <c r="P110" s="91">
        <v>1142</v>
      </c>
      <c r="Q110" s="91">
        <v>1121</v>
      </c>
      <c r="R110" s="91">
        <v>1.5899999999999999</v>
      </c>
      <c r="S110" s="91">
        <v>9.0749999999999993</v>
      </c>
      <c r="T110" s="91">
        <v>10.899999999999999</v>
      </c>
      <c r="U110" s="37" t="s">
        <v>50</v>
      </c>
      <c r="V110" s="37" t="s">
        <v>50</v>
      </c>
      <c r="W110" s="37" t="s">
        <v>50</v>
      </c>
      <c r="Y110" s="750" t="s">
        <v>32</v>
      </c>
    </row>
    <row r="111" spans="1:25" s="421" customFormat="1" x14ac:dyDescent="0.25">
      <c r="A111" s="495">
        <v>43936</v>
      </c>
      <c r="B111" s="495" t="s">
        <v>915</v>
      </c>
      <c r="C111" s="745" t="s">
        <v>106</v>
      </c>
      <c r="D111" s="421">
        <v>38.552509999999998</v>
      </c>
      <c r="E111" s="421">
        <v>-121.5784</v>
      </c>
      <c r="F111" s="421" t="s">
        <v>1897</v>
      </c>
      <c r="G111" s="494" t="s">
        <v>90</v>
      </c>
      <c r="H111" s="421" t="s">
        <v>1787</v>
      </c>
      <c r="I111" s="539">
        <v>0.45277777777777778</v>
      </c>
      <c r="J111" s="526" t="s">
        <v>28</v>
      </c>
      <c r="K111" s="421" t="s">
        <v>29</v>
      </c>
      <c r="L111" s="421" t="s">
        <v>30</v>
      </c>
      <c r="M111" s="421">
        <v>2</v>
      </c>
      <c r="N111" s="421">
        <v>10</v>
      </c>
      <c r="O111" s="499">
        <v>31.75</v>
      </c>
      <c r="P111" s="499">
        <v>1130</v>
      </c>
      <c r="Q111" s="499">
        <v>1119</v>
      </c>
      <c r="R111" s="499">
        <v>0.79</v>
      </c>
      <c r="S111" s="499">
        <v>8</v>
      </c>
      <c r="T111" s="499">
        <v>8.68</v>
      </c>
      <c r="U111" s="746" t="s">
        <v>323</v>
      </c>
      <c r="V111" s="421">
        <v>1</v>
      </c>
      <c r="W111" s="707">
        <v>15</v>
      </c>
      <c r="X111" s="397"/>
      <c r="Y111" s="494" t="s">
        <v>32</v>
      </c>
    </row>
    <row r="112" spans="1:25" x14ac:dyDescent="0.25">
      <c r="A112" s="804">
        <v>43936</v>
      </c>
      <c r="B112" s="804" t="s">
        <v>915</v>
      </c>
      <c r="C112" s="791" t="s">
        <v>106</v>
      </c>
      <c r="D112" s="37">
        <v>38.184620000000002</v>
      </c>
      <c r="E112" s="37">
        <v>-121.66225</v>
      </c>
      <c r="F112" s="37" t="s">
        <v>1898</v>
      </c>
      <c r="G112" s="750" t="s">
        <v>90</v>
      </c>
      <c r="H112" s="750" t="s">
        <v>108</v>
      </c>
      <c r="I112" s="712">
        <v>0.51944444444444449</v>
      </c>
      <c r="J112" s="695" t="s">
        <v>28</v>
      </c>
      <c r="K112" s="37" t="s">
        <v>29</v>
      </c>
      <c r="L112" s="37" t="s">
        <v>30</v>
      </c>
      <c r="M112" s="37">
        <v>2</v>
      </c>
      <c r="N112" s="37">
        <v>10</v>
      </c>
      <c r="O112" s="91">
        <v>38.549999999999997</v>
      </c>
      <c r="P112" s="91">
        <v>171.35</v>
      </c>
      <c r="Q112" s="91">
        <v>171.95</v>
      </c>
      <c r="R112" s="91">
        <v>1.8</v>
      </c>
      <c r="S112" s="91">
        <v>4.17</v>
      </c>
      <c r="T112" s="91">
        <v>4.7300000000000004</v>
      </c>
      <c r="U112" s="37" t="s">
        <v>50</v>
      </c>
      <c r="V112" s="37" t="s">
        <v>50</v>
      </c>
      <c r="W112" s="37" t="s">
        <v>50</v>
      </c>
      <c r="Y112" s="750" t="s">
        <v>32</v>
      </c>
    </row>
    <row r="113" spans="1:25" x14ac:dyDescent="0.25">
      <c r="A113" s="804">
        <v>43936</v>
      </c>
      <c r="B113" s="804" t="s">
        <v>915</v>
      </c>
      <c r="C113" s="791" t="s">
        <v>106</v>
      </c>
      <c r="D113" s="37">
        <v>38.354840000000003</v>
      </c>
      <c r="E113" s="37">
        <v>-121.63892</v>
      </c>
      <c r="F113" s="37" t="s">
        <v>1899</v>
      </c>
      <c r="G113" s="750" t="s">
        <v>90</v>
      </c>
      <c r="H113" s="750" t="s">
        <v>108</v>
      </c>
      <c r="I113" s="712">
        <v>0.37361111111111112</v>
      </c>
      <c r="J113" s="695" t="s">
        <v>28</v>
      </c>
      <c r="K113" s="37" t="s">
        <v>29</v>
      </c>
      <c r="L113" s="37" t="s">
        <v>30</v>
      </c>
      <c r="M113" s="37">
        <v>2</v>
      </c>
      <c r="N113" s="37">
        <v>10</v>
      </c>
      <c r="O113" s="91">
        <v>24.5</v>
      </c>
      <c r="P113" s="91">
        <v>406.55</v>
      </c>
      <c r="Q113" s="91">
        <v>412</v>
      </c>
      <c r="R113" s="91">
        <v>0.32999999999999996</v>
      </c>
      <c r="S113" s="91">
        <v>28</v>
      </c>
      <c r="T113" s="91">
        <v>31.1</v>
      </c>
      <c r="U113" s="37" t="s">
        <v>50</v>
      </c>
      <c r="V113" s="37" t="s">
        <v>50</v>
      </c>
      <c r="W113" s="37" t="s">
        <v>50</v>
      </c>
      <c r="X113" s="698" t="s">
        <v>1900</v>
      </c>
      <c r="Y113" s="750" t="s">
        <v>32</v>
      </c>
    </row>
    <row r="114" spans="1:25" x14ac:dyDescent="0.25">
      <c r="A114" s="804">
        <v>43936</v>
      </c>
      <c r="B114" s="804" t="s">
        <v>915</v>
      </c>
      <c r="C114" s="693" t="s">
        <v>78</v>
      </c>
      <c r="D114" s="37">
        <v>38.059660000000001</v>
      </c>
      <c r="E114" s="37">
        <v>-122.03376</v>
      </c>
      <c r="F114" s="37" t="s">
        <v>1901</v>
      </c>
      <c r="G114" s="37" t="s">
        <v>27</v>
      </c>
      <c r="H114" s="37" t="s">
        <v>86</v>
      </c>
      <c r="I114" s="712">
        <v>0.32916666666666666</v>
      </c>
      <c r="J114" s="695" t="s">
        <v>28</v>
      </c>
      <c r="K114" s="37" t="s">
        <v>29</v>
      </c>
      <c r="L114" s="37" t="s">
        <v>30</v>
      </c>
      <c r="M114" s="37">
        <v>2</v>
      </c>
      <c r="N114" s="37">
        <v>10</v>
      </c>
      <c r="O114" s="91">
        <v>43.5</v>
      </c>
      <c r="P114" s="91">
        <v>7141.5</v>
      </c>
      <c r="Q114" s="91">
        <v>15805</v>
      </c>
      <c r="R114" s="91">
        <v>0.54</v>
      </c>
      <c r="S114" s="91">
        <v>21.55</v>
      </c>
      <c r="T114" s="91">
        <v>60.75</v>
      </c>
      <c r="U114" s="37" t="s">
        <v>50</v>
      </c>
      <c r="V114" s="37" t="s">
        <v>50</v>
      </c>
      <c r="W114" s="37" t="s">
        <v>50</v>
      </c>
      <c r="Y114" s="750" t="s">
        <v>32</v>
      </c>
    </row>
    <row r="115" spans="1:25" x14ac:dyDescent="0.25">
      <c r="A115" s="804">
        <v>43936</v>
      </c>
      <c r="B115" s="804" t="s">
        <v>915</v>
      </c>
      <c r="C115" s="693" t="s">
        <v>78</v>
      </c>
      <c r="D115" s="37">
        <v>38.098329999999997</v>
      </c>
      <c r="E115" s="37">
        <v>-122.07015</v>
      </c>
      <c r="F115" s="37" t="s">
        <v>1902</v>
      </c>
      <c r="G115" s="37" t="s">
        <v>80</v>
      </c>
      <c r="H115" s="37" t="s">
        <v>81</v>
      </c>
      <c r="I115" s="712">
        <v>0.3659722222222222</v>
      </c>
      <c r="J115" s="695" t="s">
        <v>28</v>
      </c>
      <c r="K115" s="37" t="s">
        <v>29</v>
      </c>
      <c r="L115" s="37" t="s">
        <v>30</v>
      </c>
      <c r="M115" s="37">
        <v>2</v>
      </c>
      <c r="N115" s="37">
        <v>10</v>
      </c>
      <c r="O115" s="91">
        <v>14.399999999999999</v>
      </c>
      <c r="P115" s="91">
        <v>8384</v>
      </c>
      <c r="Q115" s="91">
        <v>12571.5</v>
      </c>
      <c r="R115" s="91">
        <v>0.38500000000000001</v>
      </c>
      <c r="S115" s="91">
        <v>40.799999999999997</v>
      </c>
      <c r="T115" s="91">
        <v>50.25</v>
      </c>
      <c r="U115" s="37" t="s">
        <v>50</v>
      </c>
      <c r="V115" s="37" t="s">
        <v>50</v>
      </c>
      <c r="W115" s="37" t="s">
        <v>50</v>
      </c>
      <c r="Y115" s="750" t="s">
        <v>32</v>
      </c>
    </row>
    <row r="116" spans="1:25" x14ac:dyDescent="0.25">
      <c r="A116" s="804">
        <v>43936</v>
      </c>
      <c r="B116" s="804" t="s">
        <v>915</v>
      </c>
      <c r="C116" s="693" t="s">
        <v>78</v>
      </c>
      <c r="D116" s="37">
        <v>38.043419999999998</v>
      </c>
      <c r="E116" s="37">
        <v>-122.12886</v>
      </c>
      <c r="F116" s="37" t="s">
        <v>1903</v>
      </c>
      <c r="G116" s="37" t="s">
        <v>80</v>
      </c>
      <c r="H116" s="37" t="s">
        <v>81</v>
      </c>
      <c r="I116" s="712">
        <v>0.4069444444444445</v>
      </c>
      <c r="J116" s="695" t="s">
        <v>28</v>
      </c>
      <c r="K116" s="37" t="s">
        <v>29</v>
      </c>
      <c r="L116" s="37" t="s">
        <v>30</v>
      </c>
      <c r="M116" s="37">
        <v>2</v>
      </c>
      <c r="N116" s="37">
        <v>10</v>
      </c>
      <c r="O116" s="91">
        <v>72.25</v>
      </c>
      <c r="P116" s="91">
        <v>17076</v>
      </c>
      <c r="Q116" s="91">
        <v>28113</v>
      </c>
      <c r="R116" s="91">
        <v>0.59000000000000008</v>
      </c>
      <c r="S116" s="91">
        <v>18.5</v>
      </c>
      <c r="T116" s="91">
        <v>24.05</v>
      </c>
      <c r="U116" s="37" t="s">
        <v>50</v>
      </c>
      <c r="V116" s="37" t="s">
        <v>50</v>
      </c>
      <c r="W116" s="37" t="s">
        <v>50</v>
      </c>
      <c r="Y116" s="750" t="s">
        <v>32</v>
      </c>
    </row>
    <row r="117" spans="1:25" x14ac:dyDescent="0.25">
      <c r="A117" s="804">
        <v>43936</v>
      </c>
      <c r="B117" s="804" t="s">
        <v>915</v>
      </c>
      <c r="C117" s="693" t="s">
        <v>78</v>
      </c>
      <c r="D117" s="37">
        <v>38.048430000000003</v>
      </c>
      <c r="E117" s="37">
        <v>-122.12305000000001</v>
      </c>
      <c r="F117" s="37" t="s">
        <v>1904</v>
      </c>
      <c r="G117" s="37" t="s">
        <v>80</v>
      </c>
      <c r="H117" s="37" t="s">
        <v>81</v>
      </c>
      <c r="I117" s="712">
        <v>0.43472222222222223</v>
      </c>
      <c r="J117" s="695" t="s">
        <v>28</v>
      </c>
      <c r="K117" s="37" t="s">
        <v>29</v>
      </c>
      <c r="L117" s="37" t="s">
        <v>30</v>
      </c>
      <c r="M117" s="37">
        <v>2</v>
      </c>
      <c r="N117" s="37">
        <v>10</v>
      </c>
      <c r="O117" s="91">
        <v>39.450000000000003</v>
      </c>
      <c r="P117" s="91">
        <v>16627</v>
      </c>
      <c r="Q117" s="91">
        <v>26787.5</v>
      </c>
      <c r="R117" s="91">
        <v>0.61</v>
      </c>
      <c r="S117" s="91">
        <v>25.549999999999997</v>
      </c>
      <c r="T117" s="91">
        <v>74.150000000000006</v>
      </c>
      <c r="U117" s="37" t="s">
        <v>50</v>
      </c>
      <c r="V117" s="37" t="s">
        <v>50</v>
      </c>
      <c r="W117" s="37" t="s">
        <v>50</v>
      </c>
      <c r="Y117" s="750" t="s">
        <v>32</v>
      </c>
    </row>
    <row r="118" spans="1:25" x14ac:dyDescent="0.25">
      <c r="A118" s="804">
        <v>43936</v>
      </c>
      <c r="B118" s="804" t="s">
        <v>915</v>
      </c>
      <c r="C118" s="693" t="s">
        <v>78</v>
      </c>
      <c r="D118" s="37">
        <v>38.071469999999998</v>
      </c>
      <c r="E118" s="37">
        <v>-121.84220000000001</v>
      </c>
      <c r="F118" s="37" t="s">
        <v>1905</v>
      </c>
      <c r="G118" s="37" t="s">
        <v>27</v>
      </c>
      <c r="H118" s="37" t="s">
        <v>101</v>
      </c>
      <c r="I118" s="712">
        <v>0.4777777777777778</v>
      </c>
      <c r="J118" s="695" t="s">
        <v>28</v>
      </c>
      <c r="K118" s="37" t="s">
        <v>29</v>
      </c>
      <c r="L118" s="37" t="s">
        <v>30</v>
      </c>
      <c r="M118" s="37">
        <v>2</v>
      </c>
      <c r="N118" s="37">
        <v>10</v>
      </c>
      <c r="O118" s="91">
        <v>29.5</v>
      </c>
      <c r="P118" s="91">
        <v>752</v>
      </c>
      <c r="Q118" s="91">
        <v>1209</v>
      </c>
      <c r="R118" s="91">
        <v>0.60499999999999998</v>
      </c>
      <c r="S118" s="91">
        <v>16.55</v>
      </c>
      <c r="T118" s="91">
        <v>19.850000000000001</v>
      </c>
      <c r="U118" s="37" t="s">
        <v>50</v>
      </c>
      <c r="V118" s="37" t="s">
        <v>50</v>
      </c>
      <c r="W118" s="37" t="s">
        <v>50</v>
      </c>
      <c r="Y118" s="750" t="s">
        <v>32</v>
      </c>
    </row>
    <row r="119" spans="1:25" x14ac:dyDescent="0.25">
      <c r="A119" s="711">
        <v>43937</v>
      </c>
      <c r="B119" s="711" t="s">
        <v>876</v>
      </c>
      <c r="C119" s="693" t="s">
        <v>62</v>
      </c>
      <c r="D119" s="37">
        <v>38.095039999999997</v>
      </c>
      <c r="E119" s="37">
        <v>-121.88952999999999</v>
      </c>
      <c r="F119" s="37" t="s">
        <v>1906</v>
      </c>
      <c r="G119" s="37" t="s">
        <v>27</v>
      </c>
      <c r="H119" s="37" t="s">
        <v>62</v>
      </c>
      <c r="I119" s="712">
        <v>0.3354166666666667</v>
      </c>
      <c r="J119" s="695" t="s">
        <v>28</v>
      </c>
      <c r="K119" s="37" t="s">
        <v>29</v>
      </c>
      <c r="L119" s="37" t="s">
        <v>30</v>
      </c>
      <c r="M119" s="37">
        <v>2</v>
      </c>
      <c r="N119" s="37">
        <v>10</v>
      </c>
      <c r="O119" s="91">
        <v>30.5</v>
      </c>
      <c r="P119" s="91">
        <v>1376</v>
      </c>
      <c r="Q119" s="91">
        <v>1466</v>
      </c>
      <c r="R119" s="91">
        <v>0.42500000000000004</v>
      </c>
      <c r="S119" s="91">
        <v>24.700000000000003</v>
      </c>
      <c r="T119" s="91">
        <v>28.950000000000003</v>
      </c>
      <c r="U119" s="37" t="s">
        <v>50</v>
      </c>
      <c r="V119" s="37" t="s">
        <v>50</v>
      </c>
      <c r="W119" s="37" t="s">
        <v>50</v>
      </c>
      <c r="Y119" s="750" t="s">
        <v>32</v>
      </c>
    </row>
    <row r="120" spans="1:25" x14ac:dyDescent="0.25">
      <c r="A120" s="711">
        <v>43937</v>
      </c>
      <c r="B120" s="711" t="s">
        <v>876</v>
      </c>
      <c r="C120" s="693" t="s">
        <v>62</v>
      </c>
      <c r="D120" s="37">
        <v>38.149329999999999</v>
      </c>
      <c r="E120" s="37">
        <v>-121.91536000000001</v>
      </c>
      <c r="F120" s="37" t="s">
        <v>1907</v>
      </c>
      <c r="G120" s="37" t="s">
        <v>27</v>
      </c>
      <c r="H120" s="37" t="s">
        <v>62</v>
      </c>
      <c r="I120" s="712">
        <v>0.36944444444444446</v>
      </c>
      <c r="J120" s="695" t="s">
        <v>28</v>
      </c>
      <c r="K120" s="37" t="s">
        <v>29</v>
      </c>
      <c r="L120" s="37" t="s">
        <v>30</v>
      </c>
      <c r="M120" s="37">
        <v>2</v>
      </c>
      <c r="N120" s="37">
        <v>10</v>
      </c>
      <c r="O120" s="91">
        <v>21.75</v>
      </c>
      <c r="P120" s="91">
        <v>935.5</v>
      </c>
      <c r="Q120" s="91">
        <v>964.5</v>
      </c>
      <c r="R120" s="91">
        <v>0.6</v>
      </c>
      <c r="S120" s="91">
        <v>21.25</v>
      </c>
      <c r="T120" s="91">
        <v>23</v>
      </c>
      <c r="U120" s="37" t="s">
        <v>50</v>
      </c>
      <c r="V120" s="37" t="s">
        <v>50</v>
      </c>
      <c r="W120" s="37" t="s">
        <v>50</v>
      </c>
      <c r="Y120" s="750" t="s">
        <v>32</v>
      </c>
    </row>
    <row r="121" spans="1:25" s="683" customFormat="1" x14ac:dyDescent="0.25">
      <c r="A121" s="722">
        <v>43937</v>
      </c>
      <c r="B121" s="722" t="s">
        <v>876</v>
      </c>
      <c r="C121" s="682" t="s">
        <v>62</v>
      </c>
      <c r="D121" s="683">
        <v>38.108559999999997</v>
      </c>
      <c r="E121" s="683">
        <v>-122.0604</v>
      </c>
      <c r="F121" s="683" t="s">
        <v>1908</v>
      </c>
      <c r="G121" s="683" t="s">
        <v>27</v>
      </c>
      <c r="H121" s="683" t="s">
        <v>173</v>
      </c>
      <c r="I121" s="708">
        <v>0.4152777777777778</v>
      </c>
      <c r="J121" s="686" t="s">
        <v>28</v>
      </c>
      <c r="K121" s="683" t="s">
        <v>29</v>
      </c>
      <c r="L121" s="683" t="s">
        <v>30</v>
      </c>
      <c r="M121" s="683">
        <v>2</v>
      </c>
      <c r="N121" s="683">
        <v>10</v>
      </c>
      <c r="O121" s="209">
        <v>12.85</v>
      </c>
      <c r="P121" s="209">
        <v>10729.5</v>
      </c>
      <c r="Q121" s="209">
        <v>10893</v>
      </c>
      <c r="R121" s="209">
        <v>0.32</v>
      </c>
      <c r="S121" s="209">
        <v>31.950000000000003</v>
      </c>
      <c r="T121" s="209">
        <v>29.65</v>
      </c>
      <c r="U121" s="709" t="s">
        <v>31</v>
      </c>
      <c r="V121" s="683">
        <v>2</v>
      </c>
      <c r="W121" s="683" t="s">
        <v>1909</v>
      </c>
      <c r="X121" s="689" t="s">
        <v>1910</v>
      </c>
      <c r="Y121" s="205" t="s">
        <v>32</v>
      </c>
    </row>
    <row r="122" spans="1:25" s="683" customFormat="1" x14ac:dyDescent="0.25">
      <c r="A122" s="722">
        <v>43937</v>
      </c>
      <c r="B122" s="722" t="s">
        <v>876</v>
      </c>
      <c r="C122" s="682" t="s">
        <v>62</v>
      </c>
      <c r="D122" s="683">
        <v>38.121389999999998</v>
      </c>
      <c r="E122" s="683">
        <v>-122.05537</v>
      </c>
      <c r="F122" s="683" t="s">
        <v>1911</v>
      </c>
      <c r="G122" s="683" t="s">
        <v>27</v>
      </c>
      <c r="H122" s="683" t="s">
        <v>173</v>
      </c>
      <c r="I122" s="708">
        <v>0.44097222222222227</v>
      </c>
      <c r="J122" s="686" t="s">
        <v>28</v>
      </c>
      <c r="K122" s="683" t="s">
        <v>29</v>
      </c>
      <c r="L122" s="683" t="s">
        <v>30</v>
      </c>
      <c r="M122" s="683">
        <v>2</v>
      </c>
      <c r="N122" s="683">
        <v>10</v>
      </c>
      <c r="O122" s="209">
        <v>16.649999999999999</v>
      </c>
      <c r="P122" s="209">
        <v>7907</v>
      </c>
      <c r="Q122" s="209">
        <v>9147</v>
      </c>
      <c r="R122" s="209">
        <v>0.375</v>
      </c>
      <c r="S122" s="209">
        <v>27.549999999999997</v>
      </c>
      <c r="T122" s="209">
        <v>50.45</v>
      </c>
      <c r="U122" s="709" t="s">
        <v>31</v>
      </c>
      <c r="V122" s="683">
        <v>1</v>
      </c>
      <c r="W122" s="683">
        <v>20.399999999999999</v>
      </c>
      <c r="X122" s="689"/>
      <c r="Y122" s="205" t="s">
        <v>32</v>
      </c>
    </row>
    <row r="123" spans="1:25" s="683" customFormat="1" x14ac:dyDescent="0.25">
      <c r="A123" s="722">
        <v>43937</v>
      </c>
      <c r="B123" s="722" t="s">
        <v>876</v>
      </c>
      <c r="C123" s="682" t="s">
        <v>62</v>
      </c>
      <c r="D123" s="683">
        <v>38.15945</v>
      </c>
      <c r="E123" s="683">
        <v>-122.04774999999999</v>
      </c>
      <c r="F123" s="683" t="s">
        <v>1912</v>
      </c>
      <c r="G123" s="683" t="s">
        <v>27</v>
      </c>
      <c r="H123" s="683" t="s">
        <v>62</v>
      </c>
      <c r="I123" s="708">
        <v>0.4680555555555555</v>
      </c>
      <c r="J123" s="686" t="s">
        <v>28</v>
      </c>
      <c r="K123" s="683" t="s">
        <v>29</v>
      </c>
      <c r="L123" s="683" t="s">
        <v>30</v>
      </c>
      <c r="M123" s="683">
        <v>2</v>
      </c>
      <c r="N123" s="683">
        <v>10</v>
      </c>
      <c r="O123" s="209">
        <v>22.55</v>
      </c>
      <c r="P123" s="209">
        <v>3227.5</v>
      </c>
      <c r="Q123" s="209">
        <v>4348</v>
      </c>
      <c r="R123" s="209">
        <v>0.36</v>
      </c>
      <c r="S123" s="209">
        <v>57.45</v>
      </c>
      <c r="T123" s="209">
        <v>102.3</v>
      </c>
      <c r="U123" s="709" t="s">
        <v>31</v>
      </c>
      <c r="V123" s="683">
        <v>3</v>
      </c>
      <c r="W123" s="688" t="s">
        <v>1913</v>
      </c>
      <c r="X123" s="689"/>
      <c r="Y123" s="205" t="s">
        <v>32</v>
      </c>
    </row>
    <row r="124" spans="1:25" x14ac:dyDescent="0.25">
      <c r="A124" s="711">
        <v>43937</v>
      </c>
      <c r="B124" s="711" t="s">
        <v>876</v>
      </c>
      <c r="C124" s="693" t="s">
        <v>88</v>
      </c>
      <c r="D124" s="37">
        <v>38.153449999999999</v>
      </c>
      <c r="E124" s="37">
        <v>-121.68156</v>
      </c>
      <c r="F124" s="37" t="s">
        <v>1914</v>
      </c>
      <c r="G124" s="37" t="s">
        <v>90</v>
      </c>
      <c r="H124" s="37" t="s">
        <v>91</v>
      </c>
      <c r="I124" s="712">
        <v>0.32916666666666666</v>
      </c>
      <c r="J124" s="695" t="s">
        <v>28</v>
      </c>
      <c r="K124" s="37" t="s">
        <v>29</v>
      </c>
      <c r="L124" s="37" t="s">
        <v>30</v>
      </c>
      <c r="M124" s="37">
        <v>2</v>
      </c>
      <c r="N124" s="37">
        <v>10</v>
      </c>
      <c r="O124" s="91">
        <v>22.1</v>
      </c>
      <c r="P124" s="91">
        <v>170.3</v>
      </c>
      <c r="Q124" s="91">
        <v>169.9</v>
      </c>
      <c r="R124" s="91">
        <v>1.8</v>
      </c>
      <c r="S124" s="91">
        <v>3.74</v>
      </c>
      <c r="T124" s="91">
        <v>4.6549999999999994</v>
      </c>
      <c r="U124" s="37" t="s">
        <v>50</v>
      </c>
      <c r="V124" s="37" t="s">
        <v>50</v>
      </c>
      <c r="W124" s="37" t="s">
        <v>50</v>
      </c>
      <c r="Y124" s="750" t="s">
        <v>32</v>
      </c>
    </row>
    <row r="125" spans="1:25" x14ac:dyDescent="0.25">
      <c r="A125" s="711">
        <v>43937</v>
      </c>
      <c r="B125" s="711" t="s">
        <v>876</v>
      </c>
      <c r="C125" s="693" t="s">
        <v>88</v>
      </c>
      <c r="D125" s="37">
        <v>38.107329999999997</v>
      </c>
      <c r="E125" s="37">
        <v>-121.71338</v>
      </c>
      <c r="F125" s="37" t="s">
        <v>1915</v>
      </c>
      <c r="G125" s="37" t="s">
        <v>90</v>
      </c>
      <c r="H125" s="37" t="s">
        <v>91</v>
      </c>
      <c r="I125" s="712">
        <v>0.36249999999999999</v>
      </c>
      <c r="J125" s="695" t="s">
        <v>28</v>
      </c>
      <c r="K125" s="37" t="s">
        <v>29</v>
      </c>
      <c r="L125" s="37" t="s">
        <v>30</v>
      </c>
      <c r="M125" s="37">
        <v>2</v>
      </c>
      <c r="N125" s="37">
        <v>10</v>
      </c>
      <c r="O125" s="91">
        <v>23.4</v>
      </c>
      <c r="P125" s="91">
        <v>169.10000000000002</v>
      </c>
      <c r="Q125" s="91">
        <v>169.45</v>
      </c>
      <c r="R125" s="91">
        <v>1.8</v>
      </c>
      <c r="S125" s="91">
        <v>5.0150000000000006</v>
      </c>
      <c r="T125" s="91">
        <v>6.01</v>
      </c>
      <c r="U125" s="37" t="s">
        <v>50</v>
      </c>
      <c r="V125" s="37" t="s">
        <v>50</v>
      </c>
      <c r="W125" s="37" t="s">
        <v>50</v>
      </c>
      <c r="Y125" s="750" t="s">
        <v>32</v>
      </c>
    </row>
    <row r="126" spans="1:25" x14ac:dyDescent="0.25">
      <c r="A126" s="711">
        <v>43937</v>
      </c>
      <c r="B126" s="711" t="s">
        <v>876</v>
      </c>
      <c r="C126" s="693" t="s">
        <v>88</v>
      </c>
      <c r="D126" s="37">
        <v>38.080910000000003</v>
      </c>
      <c r="E126" s="37">
        <v>-121.75988</v>
      </c>
      <c r="F126" s="37" t="s">
        <v>1916</v>
      </c>
      <c r="G126" s="37" t="s">
        <v>27</v>
      </c>
      <c r="H126" s="37" t="s">
        <v>25</v>
      </c>
      <c r="I126" s="712">
        <v>0.39861111111111108</v>
      </c>
      <c r="J126" s="695" t="s">
        <v>28</v>
      </c>
      <c r="K126" s="37" t="s">
        <v>29</v>
      </c>
      <c r="L126" s="37" t="s">
        <v>30</v>
      </c>
      <c r="M126" s="37">
        <v>2</v>
      </c>
      <c r="N126" s="37">
        <v>10</v>
      </c>
      <c r="O126" s="91">
        <v>26.05</v>
      </c>
      <c r="P126" s="91">
        <v>168.60000000000002</v>
      </c>
      <c r="Q126" s="91">
        <v>168.6</v>
      </c>
      <c r="R126" s="91">
        <v>1.165</v>
      </c>
      <c r="S126" s="91">
        <v>8.6550000000000011</v>
      </c>
      <c r="T126" s="91">
        <v>9.245000000000001</v>
      </c>
      <c r="U126" s="37" t="s">
        <v>50</v>
      </c>
      <c r="V126" s="37" t="s">
        <v>50</v>
      </c>
      <c r="W126" s="37" t="s">
        <v>50</v>
      </c>
      <c r="Y126" s="750" t="s">
        <v>32</v>
      </c>
    </row>
    <row r="127" spans="1:25" x14ac:dyDescent="0.25">
      <c r="A127" s="711">
        <v>43937</v>
      </c>
      <c r="B127" s="711" t="s">
        <v>876</v>
      </c>
      <c r="C127" s="693" t="s">
        <v>88</v>
      </c>
      <c r="D127" s="37">
        <v>38.071080000000002</v>
      </c>
      <c r="E127" s="37">
        <v>-121.76766000000001</v>
      </c>
      <c r="F127" s="37" t="s">
        <v>1917</v>
      </c>
      <c r="G127" s="37" t="s">
        <v>27</v>
      </c>
      <c r="H127" s="37" t="s">
        <v>25</v>
      </c>
      <c r="I127" s="712">
        <v>0.42777777777777781</v>
      </c>
      <c r="J127" s="695" t="s">
        <v>28</v>
      </c>
      <c r="K127" s="37" t="s">
        <v>29</v>
      </c>
      <c r="L127" s="37" t="s">
        <v>30</v>
      </c>
      <c r="M127" s="37">
        <v>2</v>
      </c>
      <c r="N127" s="37">
        <v>10</v>
      </c>
      <c r="O127" s="91">
        <v>34.049999999999997</v>
      </c>
      <c r="P127" s="91">
        <v>350.5</v>
      </c>
      <c r="Q127" s="91">
        <v>360.20000000000005</v>
      </c>
      <c r="R127" s="91">
        <v>1.1100000000000001</v>
      </c>
      <c r="S127" s="91">
        <v>8.7249999999999996</v>
      </c>
      <c r="T127" s="91">
        <v>9.2899999999999991</v>
      </c>
      <c r="U127" s="37" t="s">
        <v>50</v>
      </c>
      <c r="V127" s="37" t="s">
        <v>50</v>
      </c>
      <c r="W127" s="37" t="s">
        <v>50</v>
      </c>
      <c r="Y127" s="750" t="s">
        <v>32</v>
      </c>
    </row>
    <row r="128" spans="1:25" x14ac:dyDescent="0.25">
      <c r="A128" s="711">
        <v>43937</v>
      </c>
      <c r="B128" s="711" t="s">
        <v>876</v>
      </c>
      <c r="C128" s="693" t="s">
        <v>88</v>
      </c>
      <c r="D128" s="37">
        <v>38.082740000000001</v>
      </c>
      <c r="E128" s="37">
        <v>-121.72078999999999</v>
      </c>
      <c r="F128" s="37" t="s">
        <v>1918</v>
      </c>
      <c r="G128" s="37" t="s">
        <v>90</v>
      </c>
      <c r="H128" s="37" t="s">
        <v>91</v>
      </c>
      <c r="I128" s="712">
        <v>0.4597222222222222</v>
      </c>
      <c r="J128" s="695" t="s">
        <v>28</v>
      </c>
      <c r="K128" s="37" t="s">
        <v>29</v>
      </c>
      <c r="L128" s="37" t="s">
        <v>30</v>
      </c>
      <c r="M128" s="37">
        <v>2</v>
      </c>
      <c r="N128" s="37">
        <v>10</v>
      </c>
      <c r="O128" s="91">
        <v>16.5</v>
      </c>
      <c r="P128" s="91">
        <v>209.75</v>
      </c>
      <c r="Q128" s="91">
        <v>209.55</v>
      </c>
      <c r="R128" s="91">
        <v>1.7949999999999999</v>
      </c>
      <c r="S128" s="91">
        <v>6.3949999999999996</v>
      </c>
      <c r="T128" s="91">
        <v>6.67</v>
      </c>
      <c r="U128" s="37" t="s">
        <v>50</v>
      </c>
      <c r="V128" s="37" t="s">
        <v>50</v>
      </c>
      <c r="W128" s="37" t="s">
        <v>50</v>
      </c>
      <c r="Y128" s="750" t="s">
        <v>32</v>
      </c>
    </row>
    <row r="129" spans="1:25" x14ac:dyDescent="0.25">
      <c r="A129" s="711">
        <v>43938</v>
      </c>
      <c r="B129" s="37" t="s">
        <v>125</v>
      </c>
      <c r="C129" s="791" t="s">
        <v>106</v>
      </c>
      <c r="D129" s="37">
        <v>38.403730000000003</v>
      </c>
      <c r="E129" s="37">
        <v>-121.6151</v>
      </c>
      <c r="F129" s="37" t="s">
        <v>1919</v>
      </c>
      <c r="G129" s="750" t="s">
        <v>90</v>
      </c>
      <c r="H129" s="750" t="s">
        <v>108</v>
      </c>
      <c r="I129" s="712">
        <v>0.3527777777777778</v>
      </c>
      <c r="J129" s="807" t="s">
        <v>28</v>
      </c>
      <c r="K129" s="37" t="s">
        <v>29</v>
      </c>
      <c r="L129" s="37" t="s">
        <v>30</v>
      </c>
      <c r="M129" s="37">
        <v>2</v>
      </c>
      <c r="N129" s="37">
        <v>10</v>
      </c>
      <c r="O129" s="91">
        <v>33.700000000000003</v>
      </c>
      <c r="P129" s="91">
        <v>609</v>
      </c>
      <c r="Q129" s="91">
        <v>608.5</v>
      </c>
      <c r="R129" s="91">
        <v>0.23</v>
      </c>
      <c r="S129" s="91">
        <v>87.9</v>
      </c>
      <c r="T129" s="91">
        <v>95.2</v>
      </c>
      <c r="U129" s="37" t="s">
        <v>50</v>
      </c>
      <c r="V129" s="37" t="s">
        <v>50</v>
      </c>
      <c r="W129" s="37" t="s">
        <v>50</v>
      </c>
      <c r="X129" s="698" t="s">
        <v>1920</v>
      </c>
      <c r="Y129" s="750" t="s">
        <v>32</v>
      </c>
    </row>
    <row r="130" spans="1:25" x14ac:dyDescent="0.25">
      <c r="A130" s="711">
        <v>43938</v>
      </c>
      <c r="B130" s="37" t="s">
        <v>125</v>
      </c>
      <c r="C130" s="791" t="s">
        <v>106</v>
      </c>
      <c r="D130" s="37">
        <v>38.390340000000002</v>
      </c>
      <c r="E130" s="37">
        <v>-121.62147</v>
      </c>
      <c r="F130" s="37" t="s">
        <v>1921</v>
      </c>
      <c r="G130" s="750" t="s">
        <v>90</v>
      </c>
      <c r="H130" s="750" t="s">
        <v>108</v>
      </c>
      <c r="I130" s="712">
        <v>0.3840277777777778</v>
      </c>
      <c r="J130" s="807" t="s">
        <v>28</v>
      </c>
      <c r="K130" s="37" t="s">
        <v>29</v>
      </c>
      <c r="L130" s="37" t="s">
        <v>30</v>
      </c>
      <c r="M130" s="37">
        <v>2</v>
      </c>
      <c r="N130" s="37">
        <v>10</v>
      </c>
      <c r="O130" s="91">
        <v>29.1</v>
      </c>
      <c r="P130" s="91">
        <v>570.5</v>
      </c>
      <c r="Q130" s="91">
        <v>567.5</v>
      </c>
      <c r="R130" s="91">
        <v>0.27500000000000002</v>
      </c>
      <c r="S130" s="91">
        <v>80.349999999999994</v>
      </c>
      <c r="T130" s="91">
        <v>75.349999999999994</v>
      </c>
      <c r="U130" s="37" t="s">
        <v>50</v>
      </c>
      <c r="V130" s="37" t="s">
        <v>50</v>
      </c>
      <c r="W130" s="699" t="s">
        <v>50</v>
      </c>
      <c r="X130" s="698" t="s">
        <v>1922</v>
      </c>
      <c r="Y130" s="700" t="s">
        <v>32</v>
      </c>
    </row>
    <row r="131" spans="1:25" x14ac:dyDescent="0.25">
      <c r="A131" s="711">
        <v>43938</v>
      </c>
      <c r="B131" s="37" t="s">
        <v>125</v>
      </c>
      <c r="C131" s="791" t="s">
        <v>106</v>
      </c>
      <c r="D131" s="37">
        <v>38.321910000000003</v>
      </c>
      <c r="E131" s="37">
        <v>-121.64976</v>
      </c>
      <c r="F131" s="37" t="s">
        <v>1923</v>
      </c>
      <c r="G131" s="750" t="s">
        <v>90</v>
      </c>
      <c r="H131" s="750" t="s">
        <v>108</v>
      </c>
      <c r="I131" s="712">
        <v>0.42152777777777778</v>
      </c>
      <c r="J131" s="807" t="s">
        <v>28</v>
      </c>
      <c r="K131" s="37" t="s">
        <v>29</v>
      </c>
      <c r="L131" s="37" t="s">
        <v>30</v>
      </c>
      <c r="M131" s="37">
        <v>2</v>
      </c>
      <c r="N131" s="37">
        <v>10</v>
      </c>
      <c r="O131" s="91">
        <v>33.5</v>
      </c>
      <c r="P131" s="91">
        <v>355.15</v>
      </c>
      <c r="Q131" s="91">
        <v>363.5</v>
      </c>
      <c r="R131" s="91">
        <v>0.4</v>
      </c>
      <c r="S131" s="91">
        <v>38.099999999999994</v>
      </c>
      <c r="T131" s="91">
        <v>37.099999999999994</v>
      </c>
      <c r="U131" s="37" t="s">
        <v>50</v>
      </c>
      <c r="V131" s="37" t="s">
        <v>50</v>
      </c>
      <c r="W131" s="37" t="s">
        <v>50</v>
      </c>
      <c r="Y131" s="750" t="s">
        <v>32</v>
      </c>
    </row>
    <row r="132" spans="1:25" x14ac:dyDescent="0.25">
      <c r="A132" s="711">
        <v>43938</v>
      </c>
      <c r="B132" s="37" t="s">
        <v>125</v>
      </c>
      <c r="C132" s="791" t="s">
        <v>106</v>
      </c>
      <c r="D132" s="37">
        <v>38.28004</v>
      </c>
      <c r="E132" s="37">
        <v>-121.65984</v>
      </c>
      <c r="F132" s="37" t="s">
        <v>1924</v>
      </c>
      <c r="G132" s="750" t="s">
        <v>90</v>
      </c>
      <c r="H132" s="750" t="s">
        <v>108</v>
      </c>
      <c r="I132" s="712">
        <v>0.45833333333333331</v>
      </c>
      <c r="J132" s="807" t="s">
        <v>28</v>
      </c>
      <c r="K132" s="37" t="s">
        <v>29</v>
      </c>
      <c r="L132" s="37" t="s">
        <v>30</v>
      </c>
      <c r="M132" s="37">
        <v>2</v>
      </c>
      <c r="N132" s="37">
        <v>10</v>
      </c>
      <c r="O132" s="91">
        <v>19.450000000000003</v>
      </c>
      <c r="P132" s="91">
        <v>243.05</v>
      </c>
      <c r="Q132" s="91">
        <v>237.6</v>
      </c>
      <c r="R132" s="91">
        <v>0.61499999999999999</v>
      </c>
      <c r="S132" s="91">
        <v>17.600000000000001</v>
      </c>
      <c r="T132" s="91">
        <v>22.3</v>
      </c>
      <c r="U132" s="37" t="s">
        <v>50</v>
      </c>
      <c r="V132" s="37" t="s">
        <v>50</v>
      </c>
      <c r="W132" s="37" t="s">
        <v>50</v>
      </c>
      <c r="Y132" s="750" t="s">
        <v>32</v>
      </c>
    </row>
    <row r="133" spans="1:25" s="759" customFormat="1" x14ac:dyDescent="0.25">
      <c r="A133" s="798">
        <v>43938</v>
      </c>
      <c r="B133" s="759" t="s">
        <v>125</v>
      </c>
      <c r="C133" s="808" t="s">
        <v>106</v>
      </c>
      <c r="D133" s="759">
        <v>38.229880000000001</v>
      </c>
      <c r="E133" s="759">
        <v>-121.67455</v>
      </c>
      <c r="F133" s="759" t="s">
        <v>1925</v>
      </c>
      <c r="G133" s="763" t="s">
        <v>90</v>
      </c>
      <c r="H133" s="763" t="s">
        <v>108</v>
      </c>
      <c r="I133" s="800">
        <v>0.49374999999999997</v>
      </c>
      <c r="J133" s="809" t="s">
        <v>28</v>
      </c>
      <c r="K133" s="759" t="s">
        <v>29</v>
      </c>
      <c r="L133" s="759" t="s">
        <v>30</v>
      </c>
      <c r="M133" s="759">
        <v>2</v>
      </c>
      <c r="N133" s="759">
        <v>10</v>
      </c>
      <c r="O133" s="802">
        <v>48.6</v>
      </c>
      <c r="P133" s="802">
        <v>185</v>
      </c>
      <c r="Q133" s="802">
        <v>184.8</v>
      </c>
      <c r="R133" s="802">
        <v>1.7749999999999999</v>
      </c>
      <c r="S133" s="802">
        <v>14.45</v>
      </c>
      <c r="T133" s="802">
        <v>12.28</v>
      </c>
      <c r="U133" s="759" t="s">
        <v>50</v>
      </c>
      <c r="V133" s="759" t="s">
        <v>50</v>
      </c>
      <c r="W133" s="759" t="s">
        <v>50</v>
      </c>
      <c r="X133" s="803"/>
      <c r="Y133" s="763" t="s">
        <v>32</v>
      </c>
    </row>
    <row r="134" spans="1:25" s="683" customFormat="1" x14ac:dyDescent="0.25">
      <c r="A134" s="722">
        <v>43941</v>
      </c>
      <c r="B134" s="722" t="s">
        <v>43</v>
      </c>
      <c r="C134" s="682" t="s">
        <v>25</v>
      </c>
      <c r="D134" s="683">
        <v>38.060980000000001</v>
      </c>
      <c r="E134" s="683">
        <v>-121.82359</v>
      </c>
      <c r="F134" s="683" t="s">
        <v>1926</v>
      </c>
      <c r="G134" s="683" t="s">
        <v>27</v>
      </c>
      <c r="H134" s="683" t="s">
        <v>25</v>
      </c>
      <c r="I134" s="708">
        <v>0.33055555555555555</v>
      </c>
      <c r="J134" s="686" t="s">
        <v>28</v>
      </c>
      <c r="K134" s="683" t="s">
        <v>29</v>
      </c>
      <c r="L134" s="683" t="s">
        <v>30</v>
      </c>
      <c r="M134" s="683">
        <v>2</v>
      </c>
      <c r="N134" s="683">
        <v>10</v>
      </c>
      <c r="O134" s="209">
        <v>38.049999999999997</v>
      </c>
      <c r="P134" s="209">
        <v>567</v>
      </c>
      <c r="Q134" s="209">
        <v>566.5</v>
      </c>
      <c r="R134" s="209">
        <v>0.51500000000000001</v>
      </c>
      <c r="S134" s="209">
        <v>21.55</v>
      </c>
      <c r="T134" s="209">
        <v>25.299999999999997</v>
      </c>
      <c r="U134" s="709" t="s">
        <v>31</v>
      </c>
      <c r="V134" s="683">
        <v>1</v>
      </c>
      <c r="W134" s="683">
        <v>21.8</v>
      </c>
      <c r="X134" s="689" t="s">
        <v>1927</v>
      </c>
      <c r="Y134" s="205" t="s">
        <v>32</v>
      </c>
    </row>
    <row r="135" spans="1:25" x14ac:dyDescent="0.25">
      <c r="A135" s="711">
        <v>43941</v>
      </c>
      <c r="B135" s="711" t="s">
        <v>43</v>
      </c>
      <c r="C135" s="693" t="s">
        <v>25</v>
      </c>
      <c r="D135" s="37">
        <v>38.072769999999998</v>
      </c>
      <c r="E135" s="37">
        <v>-121.77513</v>
      </c>
      <c r="F135" s="37" t="s">
        <v>1928</v>
      </c>
      <c r="G135" s="37" t="s">
        <v>27</v>
      </c>
      <c r="H135" s="37" t="s">
        <v>25</v>
      </c>
      <c r="I135" s="712">
        <v>0.37708333333333338</v>
      </c>
      <c r="J135" s="695" t="s">
        <v>28</v>
      </c>
      <c r="K135" s="37" t="s">
        <v>29</v>
      </c>
      <c r="L135" s="37" t="s">
        <v>30</v>
      </c>
      <c r="M135" s="37">
        <v>2</v>
      </c>
      <c r="N135" s="37">
        <v>10</v>
      </c>
      <c r="O135" s="91">
        <v>39.65</v>
      </c>
      <c r="P135" s="91">
        <v>179.15</v>
      </c>
      <c r="Q135" s="91">
        <v>179.1</v>
      </c>
      <c r="R135" s="91">
        <v>0.59499999999999997</v>
      </c>
      <c r="S135" s="91">
        <v>22</v>
      </c>
      <c r="T135" s="91">
        <v>28.85</v>
      </c>
      <c r="U135" s="37" t="s">
        <v>50</v>
      </c>
      <c r="V135" s="37" t="s">
        <v>50</v>
      </c>
      <c r="W135" s="37" t="s">
        <v>50</v>
      </c>
      <c r="Y135" s="750" t="s">
        <v>32</v>
      </c>
    </row>
    <row r="136" spans="1:25" x14ac:dyDescent="0.25">
      <c r="A136" s="711">
        <v>43941</v>
      </c>
      <c r="B136" s="711" t="s">
        <v>43</v>
      </c>
      <c r="C136" s="693" t="s">
        <v>25</v>
      </c>
      <c r="D136" s="37">
        <v>38.108649999999997</v>
      </c>
      <c r="E136" s="37">
        <v>-121.7063</v>
      </c>
      <c r="F136" s="37" t="s">
        <v>1929</v>
      </c>
      <c r="G136" s="37" t="s">
        <v>90</v>
      </c>
      <c r="H136" s="37" t="s">
        <v>91</v>
      </c>
      <c r="I136" s="712">
        <v>0.40902777777777777</v>
      </c>
      <c r="J136" s="695" t="s">
        <v>28</v>
      </c>
      <c r="K136" s="37" t="s">
        <v>29</v>
      </c>
      <c r="L136" s="37" t="s">
        <v>30</v>
      </c>
      <c r="M136" s="37">
        <v>2</v>
      </c>
      <c r="N136" s="37">
        <v>10</v>
      </c>
      <c r="O136" s="91">
        <v>16.3</v>
      </c>
      <c r="P136" s="91">
        <v>177.8</v>
      </c>
      <c r="Q136" s="91">
        <v>178.2</v>
      </c>
      <c r="R136" s="91">
        <v>1.52</v>
      </c>
      <c r="S136" s="91">
        <v>11.935</v>
      </c>
      <c r="T136" s="91">
        <v>8.0449999999999999</v>
      </c>
      <c r="U136" s="37" t="s">
        <v>50</v>
      </c>
      <c r="V136" s="37" t="s">
        <v>50</v>
      </c>
      <c r="W136" s="37" t="s">
        <v>50</v>
      </c>
      <c r="X136" s="698" t="s">
        <v>1930</v>
      </c>
      <c r="Y136" s="750" t="s">
        <v>32</v>
      </c>
    </row>
    <row r="137" spans="1:25" x14ac:dyDescent="0.25">
      <c r="A137" s="711">
        <v>43941</v>
      </c>
      <c r="B137" s="711" t="s">
        <v>43</v>
      </c>
      <c r="C137" s="693" t="s">
        <v>106</v>
      </c>
      <c r="D137" s="37">
        <v>38.257820000000002</v>
      </c>
      <c r="E137" s="37">
        <v>-121.66618</v>
      </c>
      <c r="F137" s="37" t="s">
        <v>1931</v>
      </c>
      <c r="G137" s="37" t="s">
        <v>90</v>
      </c>
      <c r="H137" s="750" t="s">
        <v>108</v>
      </c>
      <c r="I137" s="712">
        <v>0.33749999999999997</v>
      </c>
      <c r="J137" s="695" t="s">
        <v>28</v>
      </c>
      <c r="K137" s="37" t="s">
        <v>29</v>
      </c>
      <c r="L137" s="37" t="s">
        <v>30</v>
      </c>
      <c r="M137" s="37">
        <v>2</v>
      </c>
      <c r="N137" s="37">
        <v>10</v>
      </c>
      <c r="O137" s="91">
        <v>26.95</v>
      </c>
      <c r="P137" s="91">
        <v>213.1</v>
      </c>
      <c r="Q137" s="91">
        <v>216.7</v>
      </c>
      <c r="R137" s="91">
        <v>0.79500000000000004</v>
      </c>
      <c r="S137" s="91">
        <v>12.85</v>
      </c>
      <c r="T137" s="91">
        <v>15.2</v>
      </c>
      <c r="U137" s="37" t="s">
        <v>50</v>
      </c>
      <c r="V137" s="37" t="s">
        <v>50</v>
      </c>
      <c r="W137" s="37" t="s">
        <v>50</v>
      </c>
      <c r="Y137" s="750" t="s">
        <v>32</v>
      </c>
    </row>
    <row r="138" spans="1:25" x14ac:dyDescent="0.25">
      <c r="A138" s="711">
        <v>43941</v>
      </c>
      <c r="B138" s="711" t="s">
        <v>43</v>
      </c>
      <c r="C138" s="693" t="s">
        <v>106</v>
      </c>
      <c r="D138" s="37">
        <v>38.344740000000002</v>
      </c>
      <c r="E138" s="37">
        <v>-121.64268</v>
      </c>
      <c r="F138" s="37" t="s">
        <v>1932</v>
      </c>
      <c r="G138" s="37" t="s">
        <v>90</v>
      </c>
      <c r="H138" s="750" t="s">
        <v>108</v>
      </c>
      <c r="I138" s="712">
        <v>0.37638888888888888</v>
      </c>
      <c r="J138" s="695" t="s">
        <v>28</v>
      </c>
      <c r="K138" s="37" t="s">
        <v>29</v>
      </c>
      <c r="L138" s="37" t="s">
        <v>30</v>
      </c>
      <c r="M138" s="37">
        <v>2</v>
      </c>
      <c r="N138" s="37">
        <v>10</v>
      </c>
      <c r="O138" s="91">
        <v>32.150000000000006</v>
      </c>
      <c r="P138" s="91">
        <v>428.29999999999995</v>
      </c>
      <c r="Q138" s="91">
        <v>445.1</v>
      </c>
      <c r="R138" s="91">
        <v>0.29000000000000004</v>
      </c>
      <c r="S138" s="91">
        <v>56.4</v>
      </c>
      <c r="T138" s="91">
        <v>61.5</v>
      </c>
      <c r="U138" s="37" t="s">
        <v>50</v>
      </c>
      <c r="V138" s="37" t="s">
        <v>50</v>
      </c>
      <c r="W138" s="37" t="s">
        <v>50</v>
      </c>
      <c r="X138" s="698" t="s">
        <v>1933</v>
      </c>
      <c r="Y138" s="750" t="s">
        <v>32</v>
      </c>
    </row>
    <row r="139" spans="1:25" s="421" customFormat="1" x14ac:dyDescent="0.25">
      <c r="A139" s="348">
        <v>43941</v>
      </c>
      <c r="B139" s="348" t="s">
        <v>43</v>
      </c>
      <c r="C139" s="524" t="s">
        <v>106</v>
      </c>
      <c r="D139" s="421">
        <v>38.482950000000002</v>
      </c>
      <c r="E139" s="421">
        <v>-121.58381</v>
      </c>
      <c r="F139" s="421" t="s">
        <v>1934</v>
      </c>
      <c r="G139" s="421" t="s">
        <v>90</v>
      </c>
      <c r="H139" s="421" t="s">
        <v>1787</v>
      </c>
      <c r="I139" s="539">
        <v>0.42222222222222222</v>
      </c>
      <c r="J139" s="526" t="s">
        <v>28</v>
      </c>
      <c r="K139" s="421" t="s">
        <v>29</v>
      </c>
      <c r="L139" s="421" t="s">
        <v>30</v>
      </c>
      <c r="M139" s="421">
        <v>2</v>
      </c>
      <c r="N139" s="421">
        <v>10</v>
      </c>
      <c r="O139" s="499">
        <v>29.1</v>
      </c>
      <c r="P139" s="499">
        <v>952</v>
      </c>
      <c r="Q139" s="499">
        <v>959</v>
      </c>
      <c r="R139" s="499">
        <v>0.4</v>
      </c>
      <c r="S139" s="499">
        <v>33</v>
      </c>
      <c r="T139" s="499">
        <v>34.9</v>
      </c>
      <c r="U139" s="746" t="s">
        <v>323</v>
      </c>
      <c r="V139" s="421">
        <v>5</v>
      </c>
      <c r="W139" s="421" t="s">
        <v>1935</v>
      </c>
      <c r="X139" s="397" t="s">
        <v>1936</v>
      </c>
      <c r="Y139" s="494" t="s">
        <v>32</v>
      </c>
    </row>
    <row r="140" spans="1:25" x14ac:dyDescent="0.25">
      <c r="A140" s="711">
        <v>43941</v>
      </c>
      <c r="B140" s="711" t="s">
        <v>43</v>
      </c>
      <c r="C140" s="693" t="s">
        <v>106</v>
      </c>
      <c r="D140" s="37">
        <v>38.543289999999999</v>
      </c>
      <c r="E140" s="37">
        <v>-121.58338000000001</v>
      </c>
      <c r="F140" s="37" t="s">
        <v>1937</v>
      </c>
      <c r="G140" s="37" t="s">
        <v>90</v>
      </c>
      <c r="H140" s="37" t="s">
        <v>1787</v>
      </c>
      <c r="I140" s="712">
        <v>0.45833333333333331</v>
      </c>
      <c r="J140" s="695" t="s">
        <v>28</v>
      </c>
      <c r="K140" s="37" t="s">
        <v>29</v>
      </c>
      <c r="L140" s="37" t="s">
        <v>30</v>
      </c>
      <c r="M140" s="37">
        <v>2</v>
      </c>
      <c r="N140" s="37">
        <v>10</v>
      </c>
      <c r="O140" s="91">
        <v>26.15</v>
      </c>
      <c r="P140" s="91">
        <v>1102.5</v>
      </c>
      <c r="Q140" s="91">
        <v>1099.5</v>
      </c>
      <c r="R140" s="91">
        <v>1.03</v>
      </c>
      <c r="S140" s="91">
        <v>11.85</v>
      </c>
      <c r="T140" s="91">
        <v>12.6</v>
      </c>
      <c r="U140" s="37" t="s">
        <v>50</v>
      </c>
      <c r="V140" s="37" t="s">
        <v>50</v>
      </c>
      <c r="W140" s="37" t="s">
        <v>50</v>
      </c>
      <c r="Y140" s="750" t="s">
        <v>32</v>
      </c>
    </row>
    <row r="141" spans="1:25" x14ac:dyDescent="0.25">
      <c r="A141" s="711">
        <v>43941</v>
      </c>
      <c r="B141" s="711" t="s">
        <v>43</v>
      </c>
      <c r="C141" s="693" t="s">
        <v>106</v>
      </c>
      <c r="D141" s="37">
        <v>38.185299999999998</v>
      </c>
      <c r="E141" s="37">
        <v>-121.66209000000001</v>
      </c>
      <c r="F141" s="37" t="s">
        <v>1938</v>
      </c>
      <c r="G141" s="37" t="s">
        <v>90</v>
      </c>
      <c r="H141" s="750" t="s">
        <v>108</v>
      </c>
      <c r="I141" s="712">
        <v>0.52986111111111112</v>
      </c>
      <c r="J141" s="695" t="s">
        <v>28</v>
      </c>
      <c r="K141" s="37" t="s">
        <v>29</v>
      </c>
      <c r="L141" s="37" t="s">
        <v>30</v>
      </c>
      <c r="M141" s="37">
        <v>2</v>
      </c>
      <c r="N141" s="37">
        <v>10</v>
      </c>
      <c r="O141" s="696">
        <v>36.299999999999997</v>
      </c>
      <c r="P141" s="696">
        <v>184.3</v>
      </c>
      <c r="Q141" s="696">
        <v>185.75</v>
      </c>
      <c r="R141" s="696">
        <v>1.71</v>
      </c>
      <c r="S141" s="696">
        <v>8.1849999999999987</v>
      </c>
      <c r="T141" s="696">
        <v>8.4149999999999991</v>
      </c>
      <c r="U141" s="37" t="s">
        <v>50</v>
      </c>
      <c r="V141" s="37" t="s">
        <v>50</v>
      </c>
      <c r="W141" s="37" t="s">
        <v>50</v>
      </c>
      <c r="Y141" s="750" t="s">
        <v>32</v>
      </c>
    </row>
    <row r="142" spans="1:25" x14ac:dyDescent="0.25">
      <c r="A142" s="711">
        <v>43942</v>
      </c>
      <c r="B142" s="711" t="s">
        <v>849</v>
      </c>
      <c r="C142" s="693" t="s">
        <v>95</v>
      </c>
      <c r="D142" s="37">
        <v>38.065049999999999</v>
      </c>
      <c r="E142" s="37">
        <v>-121.54146</v>
      </c>
      <c r="F142" s="37" t="s">
        <v>1939</v>
      </c>
      <c r="G142" s="37" t="s">
        <v>46</v>
      </c>
      <c r="H142" s="37" t="s">
        <v>1767</v>
      </c>
      <c r="I142" s="712">
        <v>0.35625000000000001</v>
      </c>
      <c r="J142" s="695" t="s">
        <v>28</v>
      </c>
      <c r="K142" s="37" t="s">
        <v>29</v>
      </c>
      <c r="L142" s="37" t="s">
        <v>30</v>
      </c>
      <c r="M142" s="37">
        <v>2</v>
      </c>
      <c r="N142" s="37">
        <v>10</v>
      </c>
      <c r="O142" s="91">
        <v>34.15</v>
      </c>
      <c r="P142" s="91">
        <v>261.89999999999998</v>
      </c>
      <c r="Q142" s="91">
        <v>261.5</v>
      </c>
      <c r="R142" s="758">
        <v>1.71</v>
      </c>
      <c r="S142" s="91">
        <v>4.7799999999999994</v>
      </c>
      <c r="T142" s="91">
        <v>8.125</v>
      </c>
      <c r="U142" s="37" t="s">
        <v>50</v>
      </c>
      <c r="V142" s="37" t="s">
        <v>50</v>
      </c>
      <c r="W142" s="37" t="s">
        <v>50</v>
      </c>
      <c r="Y142" s="750" t="s">
        <v>32</v>
      </c>
    </row>
    <row r="143" spans="1:25" x14ac:dyDescent="0.25">
      <c r="A143" s="711">
        <v>43942</v>
      </c>
      <c r="B143" s="711" t="s">
        <v>849</v>
      </c>
      <c r="C143" s="693" t="s">
        <v>95</v>
      </c>
      <c r="D143" s="37">
        <v>38.08625</v>
      </c>
      <c r="E143" s="37">
        <v>-121.56456</v>
      </c>
      <c r="F143" s="37" t="s">
        <v>1940</v>
      </c>
      <c r="G143" s="37" t="s">
        <v>46</v>
      </c>
      <c r="H143" s="37" t="s">
        <v>1767</v>
      </c>
      <c r="I143" s="712">
        <v>0.38472222222222219</v>
      </c>
      <c r="J143" s="695" t="s">
        <v>28</v>
      </c>
      <c r="K143" s="37" t="s">
        <v>29</v>
      </c>
      <c r="L143" s="37" t="s">
        <v>30</v>
      </c>
      <c r="M143" s="37">
        <v>2</v>
      </c>
      <c r="N143" s="37">
        <v>10</v>
      </c>
      <c r="O143" s="91">
        <v>35.5</v>
      </c>
      <c r="P143" s="91">
        <v>204.95</v>
      </c>
      <c r="Q143" s="91">
        <v>205.25</v>
      </c>
      <c r="R143" s="91">
        <v>1.7250000000000001</v>
      </c>
      <c r="S143" s="91">
        <v>5.1850000000000005</v>
      </c>
      <c r="T143" s="91">
        <v>6.6550000000000002</v>
      </c>
      <c r="U143" s="37" t="s">
        <v>50</v>
      </c>
      <c r="V143" s="37" t="s">
        <v>50</v>
      </c>
      <c r="W143" s="37" t="s">
        <v>50</v>
      </c>
      <c r="Y143" s="750" t="s">
        <v>32</v>
      </c>
    </row>
    <row r="144" spans="1:25" x14ac:dyDescent="0.25">
      <c r="A144" s="711">
        <v>43942</v>
      </c>
      <c r="B144" s="711" t="s">
        <v>849</v>
      </c>
      <c r="C144" s="693" t="s">
        <v>95</v>
      </c>
      <c r="D144" s="37">
        <v>38.101039999999998</v>
      </c>
      <c r="E144" s="37">
        <v>-121.61592</v>
      </c>
      <c r="F144" s="37" t="s">
        <v>1941</v>
      </c>
      <c r="G144" s="37" t="s">
        <v>46</v>
      </c>
      <c r="H144" s="37" t="s">
        <v>908</v>
      </c>
      <c r="I144" s="712">
        <v>0.42152777777777778</v>
      </c>
      <c r="J144" s="695" t="s">
        <v>28</v>
      </c>
      <c r="K144" s="37" t="s">
        <v>29</v>
      </c>
      <c r="L144" s="37" t="s">
        <v>30</v>
      </c>
      <c r="M144" s="37">
        <v>2</v>
      </c>
      <c r="N144" s="37">
        <v>10</v>
      </c>
      <c r="O144" s="91">
        <v>8.15</v>
      </c>
      <c r="P144" s="91">
        <v>222.5</v>
      </c>
      <c r="Q144" s="91">
        <v>221.8</v>
      </c>
      <c r="R144" s="91">
        <v>1.37</v>
      </c>
      <c r="S144" s="91">
        <v>7</v>
      </c>
      <c r="T144" s="91">
        <v>9.4349999999999987</v>
      </c>
      <c r="U144" s="37" t="s">
        <v>50</v>
      </c>
      <c r="V144" s="37" t="s">
        <v>50</v>
      </c>
      <c r="W144" s="37" t="s">
        <v>50</v>
      </c>
      <c r="Y144" s="750" t="s">
        <v>32</v>
      </c>
    </row>
    <row r="145" spans="1:25" x14ac:dyDescent="0.25">
      <c r="A145" s="711">
        <v>43942</v>
      </c>
      <c r="B145" s="711" t="s">
        <v>849</v>
      </c>
      <c r="C145" s="693" t="s">
        <v>95</v>
      </c>
      <c r="D145" s="37">
        <v>38.05847</v>
      </c>
      <c r="E145" s="37">
        <v>-121.67795</v>
      </c>
      <c r="F145" s="37" t="s">
        <v>1942</v>
      </c>
      <c r="G145" s="37" t="s">
        <v>46</v>
      </c>
      <c r="H145" s="37" t="s">
        <v>908</v>
      </c>
      <c r="I145" s="712">
        <v>0.46180555555555558</v>
      </c>
      <c r="J145" s="695" t="s">
        <v>28</v>
      </c>
      <c r="K145" s="37" t="s">
        <v>29</v>
      </c>
      <c r="L145" s="37" t="s">
        <v>30</v>
      </c>
      <c r="M145" s="37">
        <v>2</v>
      </c>
      <c r="N145" s="37">
        <v>10</v>
      </c>
      <c r="O145" s="91">
        <v>28.1</v>
      </c>
      <c r="P145" s="91">
        <v>232.05</v>
      </c>
      <c r="Q145" s="91">
        <v>231.85</v>
      </c>
      <c r="R145" s="91">
        <v>1.8</v>
      </c>
      <c r="S145" s="91">
        <v>4.1900000000000004</v>
      </c>
      <c r="T145" s="91">
        <v>4.01</v>
      </c>
      <c r="U145" s="37" t="s">
        <v>50</v>
      </c>
      <c r="V145" s="37" t="s">
        <v>50</v>
      </c>
      <c r="W145" s="37" t="s">
        <v>50</v>
      </c>
      <c r="Y145" s="750" t="s">
        <v>32</v>
      </c>
    </row>
    <row r="146" spans="1:25" x14ac:dyDescent="0.25">
      <c r="A146" s="711">
        <v>43942</v>
      </c>
      <c r="B146" s="711" t="s">
        <v>849</v>
      </c>
      <c r="C146" s="693" t="s">
        <v>95</v>
      </c>
      <c r="D146" s="37">
        <v>38.032809999999998</v>
      </c>
      <c r="E146" s="37">
        <v>-121.72555</v>
      </c>
      <c r="F146" s="37" t="s">
        <v>1943</v>
      </c>
      <c r="G146" s="37" t="s">
        <v>27</v>
      </c>
      <c r="H146" s="37" t="s">
        <v>863</v>
      </c>
      <c r="I146" s="712">
        <v>0.49305555555555558</v>
      </c>
      <c r="J146" s="695" t="s">
        <v>28</v>
      </c>
      <c r="K146" s="37" t="s">
        <v>29</v>
      </c>
      <c r="L146" s="37" t="s">
        <v>30</v>
      </c>
      <c r="M146" s="37">
        <v>2</v>
      </c>
      <c r="N146" s="37">
        <v>10</v>
      </c>
      <c r="O146" s="91">
        <v>49.05</v>
      </c>
      <c r="P146" s="91">
        <v>224.3</v>
      </c>
      <c r="Q146" s="91">
        <v>225</v>
      </c>
      <c r="R146" s="91">
        <v>1.7</v>
      </c>
      <c r="S146" s="91">
        <v>5.3100000000000005</v>
      </c>
      <c r="T146" s="91">
        <v>6.57</v>
      </c>
      <c r="U146" s="37" t="s">
        <v>50</v>
      </c>
      <c r="V146" s="37" t="s">
        <v>50</v>
      </c>
      <c r="W146" s="37" t="s">
        <v>50</v>
      </c>
      <c r="Y146" s="750" t="s">
        <v>32</v>
      </c>
    </row>
    <row r="147" spans="1:25" x14ac:dyDescent="0.25">
      <c r="A147" s="711">
        <v>43942</v>
      </c>
      <c r="B147" s="711" t="s">
        <v>849</v>
      </c>
      <c r="C147" s="693" t="s">
        <v>106</v>
      </c>
      <c r="D147" s="37">
        <v>38.276989999999998</v>
      </c>
      <c r="E147" s="37">
        <v>-121.6605</v>
      </c>
      <c r="F147" s="37" t="s">
        <v>1944</v>
      </c>
      <c r="G147" s="37" t="s">
        <v>90</v>
      </c>
      <c r="H147" s="750" t="s">
        <v>108</v>
      </c>
      <c r="I147" s="712">
        <v>0.35000000000000003</v>
      </c>
      <c r="J147" s="695" t="s">
        <v>28</v>
      </c>
      <c r="K147" s="37" t="s">
        <v>29</v>
      </c>
      <c r="L147" s="37" t="s">
        <v>30</v>
      </c>
      <c r="M147" s="37">
        <v>2</v>
      </c>
      <c r="N147" s="37">
        <v>10</v>
      </c>
      <c r="O147" s="91">
        <v>21.8</v>
      </c>
      <c r="P147" s="91">
        <v>246.5</v>
      </c>
      <c r="Q147" s="91">
        <v>251.5</v>
      </c>
      <c r="R147" s="91">
        <v>0.63</v>
      </c>
      <c r="S147" s="91">
        <v>15.4</v>
      </c>
      <c r="T147" s="91">
        <v>20.100000000000001</v>
      </c>
      <c r="U147" s="37" t="s">
        <v>50</v>
      </c>
      <c r="V147" s="37" t="s">
        <v>50</v>
      </c>
      <c r="W147" s="37" t="s">
        <v>50</v>
      </c>
      <c r="Y147" s="750" t="s">
        <v>32</v>
      </c>
    </row>
    <row r="148" spans="1:25" s="421" customFormat="1" x14ac:dyDescent="0.25">
      <c r="A148" s="348">
        <v>43942</v>
      </c>
      <c r="B148" s="348" t="s">
        <v>849</v>
      </c>
      <c r="C148" s="524" t="s">
        <v>106</v>
      </c>
      <c r="D148" s="421">
        <v>38.375390000000003</v>
      </c>
      <c r="E148" s="421">
        <v>-121.62823</v>
      </c>
      <c r="F148" s="421" t="s">
        <v>1945</v>
      </c>
      <c r="G148" s="421" t="s">
        <v>90</v>
      </c>
      <c r="H148" s="494" t="s">
        <v>108</v>
      </c>
      <c r="I148" s="539">
        <v>0.38611111111111113</v>
      </c>
      <c r="J148" s="526" t="s">
        <v>28</v>
      </c>
      <c r="K148" s="421" t="s">
        <v>29</v>
      </c>
      <c r="L148" s="421" t="s">
        <v>30</v>
      </c>
      <c r="M148" s="421">
        <v>2</v>
      </c>
      <c r="N148" s="421">
        <v>10</v>
      </c>
      <c r="O148" s="499">
        <v>28.1</v>
      </c>
      <c r="P148" s="499">
        <v>519.5</v>
      </c>
      <c r="Q148" s="499">
        <v>531.5</v>
      </c>
      <c r="R148" s="499">
        <v>0.22500000000000001</v>
      </c>
      <c r="S148" s="499">
        <v>67.199999999999989</v>
      </c>
      <c r="T148" s="499">
        <v>101.45</v>
      </c>
      <c r="U148" s="746" t="s">
        <v>323</v>
      </c>
      <c r="V148" s="421">
        <v>1</v>
      </c>
      <c r="W148" s="421">
        <v>18</v>
      </c>
      <c r="X148" s="397" t="s">
        <v>1946</v>
      </c>
      <c r="Y148" s="494" t="s">
        <v>32</v>
      </c>
    </row>
    <row r="149" spans="1:25" s="750" customFormat="1" x14ac:dyDescent="0.25">
      <c r="A149" s="804">
        <v>43942</v>
      </c>
      <c r="B149" s="804" t="s">
        <v>849</v>
      </c>
      <c r="C149" s="791" t="s">
        <v>106</v>
      </c>
      <c r="D149" s="750">
        <v>38.41883</v>
      </c>
      <c r="E149" s="750">
        <v>-121.60852</v>
      </c>
      <c r="F149" s="750" t="s">
        <v>1947</v>
      </c>
      <c r="G149" s="750" t="s">
        <v>90</v>
      </c>
      <c r="H149" s="750" t="s">
        <v>108</v>
      </c>
      <c r="I149" s="796">
        <v>0.41736111111111113</v>
      </c>
      <c r="J149" s="724" t="s">
        <v>28</v>
      </c>
      <c r="K149" s="750" t="s">
        <v>29</v>
      </c>
      <c r="L149" s="750" t="s">
        <v>30</v>
      </c>
      <c r="M149" s="750">
        <v>2</v>
      </c>
      <c r="N149" s="750">
        <v>10</v>
      </c>
      <c r="O149" s="758">
        <v>13.5</v>
      </c>
      <c r="P149" s="758">
        <v>659.5</v>
      </c>
      <c r="Q149" s="758">
        <v>684.5</v>
      </c>
      <c r="R149" s="758">
        <v>0.23</v>
      </c>
      <c r="S149" s="758">
        <v>66.2</v>
      </c>
      <c r="T149" s="758">
        <v>63.35</v>
      </c>
      <c r="U149" s="750" t="s">
        <v>50</v>
      </c>
      <c r="V149" s="750" t="s">
        <v>50</v>
      </c>
      <c r="W149" s="750" t="s">
        <v>50</v>
      </c>
      <c r="X149" s="794" t="s">
        <v>1948</v>
      </c>
      <c r="Y149" s="750" t="s">
        <v>32</v>
      </c>
    </row>
    <row r="150" spans="1:25" x14ac:dyDescent="0.25">
      <c r="A150" s="711">
        <v>43942</v>
      </c>
      <c r="B150" s="711" t="s">
        <v>849</v>
      </c>
      <c r="C150" s="693" t="s">
        <v>106</v>
      </c>
      <c r="D150" s="37">
        <v>38.296399999999998</v>
      </c>
      <c r="E150" s="37">
        <v>-121.65585</v>
      </c>
      <c r="F150" s="37" t="s">
        <v>1949</v>
      </c>
      <c r="G150" s="37" t="s">
        <v>90</v>
      </c>
      <c r="H150" s="750" t="s">
        <v>108</v>
      </c>
      <c r="I150" s="712">
        <v>0.45763888888888887</v>
      </c>
      <c r="J150" s="695" t="s">
        <v>28</v>
      </c>
      <c r="K150" s="37" t="s">
        <v>29</v>
      </c>
      <c r="L150" s="37" t="s">
        <v>30</v>
      </c>
      <c r="M150" s="37">
        <v>2</v>
      </c>
      <c r="N150" s="37">
        <v>10</v>
      </c>
      <c r="O150" s="91">
        <v>22.799999999999997</v>
      </c>
      <c r="P150" s="91">
        <v>329.3</v>
      </c>
      <c r="Q150" s="91">
        <v>344.1</v>
      </c>
      <c r="R150" s="91">
        <v>0.41000000000000003</v>
      </c>
      <c r="S150" s="91">
        <v>32.85</v>
      </c>
      <c r="T150" s="91">
        <v>35.049999999999997</v>
      </c>
      <c r="U150" s="37" t="s">
        <v>50</v>
      </c>
      <c r="V150" s="37" t="s">
        <v>50</v>
      </c>
      <c r="W150" s="37" t="s">
        <v>50</v>
      </c>
      <c r="X150" s="698" t="s">
        <v>1950</v>
      </c>
      <c r="Y150" s="750" t="s">
        <v>32</v>
      </c>
    </row>
    <row r="151" spans="1:25" x14ac:dyDescent="0.25">
      <c r="A151" s="711">
        <v>43942</v>
      </c>
      <c r="B151" s="711" t="s">
        <v>849</v>
      </c>
      <c r="C151" s="693" t="s">
        <v>106</v>
      </c>
      <c r="D151" s="37">
        <v>38.209359999999997</v>
      </c>
      <c r="E151" s="37">
        <v>-121.66202</v>
      </c>
      <c r="F151" s="37" t="s">
        <v>1951</v>
      </c>
      <c r="G151" s="37" t="s">
        <v>90</v>
      </c>
      <c r="H151" s="750" t="s">
        <v>108</v>
      </c>
      <c r="I151" s="712">
        <v>0.49513888888888885</v>
      </c>
      <c r="J151" s="695" t="s">
        <v>28</v>
      </c>
      <c r="K151" s="37" t="s">
        <v>29</v>
      </c>
      <c r="L151" s="37" t="s">
        <v>30</v>
      </c>
      <c r="M151" s="37">
        <v>2</v>
      </c>
      <c r="N151" s="37">
        <v>10</v>
      </c>
      <c r="O151" s="91">
        <v>39.65</v>
      </c>
      <c r="P151" s="91">
        <v>212.25</v>
      </c>
      <c r="Q151" s="91">
        <v>213.05</v>
      </c>
      <c r="R151" s="91">
        <v>1.105</v>
      </c>
      <c r="S151" s="91">
        <v>10.08</v>
      </c>
      <c r="T151" s="91">
        <v>7.76</v>
      </c>
      <c r="U151" s="37" t="s">
        <v>50</v>
      </c>
      <c r="V151" s="37" t="s">
        <v>50</v>
      </c>
      <c r="W151" s="37" t="s">
        <v>50</v>
      </c>
      <c r="Y151" s="750" t="s">
        <v>32</v>
      </c>
    </row>
    <row r="152" spans="1:25" x14ac:dyDescent="0.25">
      <c r="A152" s="711">
        <v>43942</v>
      </c>
      <c r="B152" s="711" t="s">
        <v>849</v>
      </c>
      <c r="C152" s="693" t="s">
        <v>25</v>
      </c>
      <c r="D152" s="37">
        <v>38.116149999999998</v>
      </c>
      <c r="E152" s="37">
        <v>-121.69865</v>
      </c>
      <c r="F152" s="37" t="s">
        <v>1952</v>
      </c>
      <c r="G152" s="37" t="s">
        <v>90</v>
      </c>
      <c r="H152" s="37" t="s">
        <v>91</v>
      </c>
      <c r="I152" s="712">
        <v>0.54513888888888895</v>
      </c>
      <c r="J152" s="695" t="s">
        <v>28</v>
      </c>
      <c r="K152" s="37" t="s">
        <v>29</v>
      </c>
      <c r="L152" s="37" t="s">
        <v>30</v>
      </c>
      <c r="M152" s="37">
        <v>2</v>
      </c>
      <c r="N152" s="37">
        <v>10</v>
      </c>
      <c r="O152" s="91">
        <v>18.700000000000003</v>
      </c>
      <c r="P152" s="91">
        <v>177.89999999999998</v>
      </c>
      <c r="Q152" s="91">
        <v>187.7</v>
      </c>
      <c r="R152" s="91">
        <v>1.8</v>
      </c>
      <c r="S152" s="91">
        <v>5.54</v>
      </c>
      <c r="T152" s="91">
        <v>6.1449999999999996</v>
      </c>
      <c r="U152" s="37" t="s">
        <v>50</v>
      </c>
      <c r="V152" s="37" t="s">
        <v>50</v>
      </c>
      <c r="W152" s="37" t="s">
        <v>50</v>
      </c>
      <c r="Y152" s="750" t="s">
        <v>32</v>
      </c>
    </row>
    <row r="153" spans="1:25" x14ac:dyDescent="0.25">
      <c r="A153" s="711">
        <v>43942</v>
      </c>
      <c r="B153" s="711" t="s">
        <v>849</v>
      </c>
      <c r="C153" s="693" t="s">
        <v>25</v>
      </c>
      <c r="D153" s="37">
        <v>38.10989</v>
      </c>
      <c r="E153" s="37">
        <v>-121.70863</v>
      </c>
      <c r="F153" s="37" t="s">
        <v>1953</v>
      </c>
      <c r="G153" s="37" t="s">
        <v>90</v>
      </c>
      <c r="H153" s="37" t="s">
        <v>91</v>
      </c>
      <c r="I153" s="712">
        <v>0.57222222222222219</v>
      </c>
      <c r="J153" s="695" t="s">
        <v>28</v>
      </c>
      <c r="K153" s="37" t="s">
        <v>29</v>
      </c>
      <c r="L153" s="37" t="s">
        <v>30</v>
      </c>
      <c r="M153" s="37">
        <v>2</v>
      </c>
      <c r="N153" s="37">
        <v>10</v>
      </c>
      <c r="O153" s="91">
        <v>19.049999999999997</v>
      </c>
      <c r="P153" s="91">
        <v>182.35000000000002</v>
      </c>
      <c r="Q153" s="91">
        <v>183.2</v>
      </c>
      <c r="R153" s="91">
        <v>1.5699999999999998</v>
      </c>
      <c r="S153" s="91">
        <v>8.15</v>
      </c>
      <c r="T153" s="91">
        <v>7.9849999999999994</v>
      </c>
      <c r="U153" s="37" t="s">
        <v>50</v>
      </c>
      <c r="V153" s="37" t="s">
        <v>50</v>
      </c>
      <c r="W153" s="37" t="s">
        <v>50</v>
      </c>
      <c r="Y153" s="750" t="s">
        <v>32</v>
      </c>
    </row>
    <row r="154" spans="1:25" s="683" customFormat="1" x14ac:dyDescent="0.25">
      <c r="A154" s="722">
        <v>43943</v>
      </c>
      <c r="B154" s="683" t="s">
        <v>915</v>
      </c>
      <c r="C154" s="682" t="s">
        <v>62</v>
      </c>
      <c r="D154" s="683">
        <v>38.184289999999997</v>
      </c>
      <c r="E154" s="683">
        <v>-121.9665</v>
      </c>
      <c r="F154" s="683" t="s">
        <v>1954</v>
      </c>
      <c r="G154" s="683" t="s">
        <v>27</v>
      </c>
      <c r="H154" s="683" t="s">
        <v>62</v>
      </c>
      <c r="I154" s="708">
        <v>0.34652777777777777</v>
      </c>
      <c r="J154" s="686" t="s">
        <v>28</v>
      </c>
      <c r="K154" s="683" t="s">
        <v>29</v>
      </c>
      <c r="L154" s="683" t="s">
        <v>30</v>
      </c>
      <c r="M154" s="683">
        <v>2</v>
      </c>
      <c r="N154" s="683">
        <v>10</v>
      </c>
      <c r="O154" s="209">
        <v>33.799999999999997</v>
      </c>
      <c r="P154" s="209">
        <v>1093.5</v>
      </c>
      <c r="Q154" s="209">
        <v>1094.5</v>
      </c>
      <c r="R154" s="209">
        <v>0.28500000000000003</v>
      </c>
      <c r="S154" s="209">
        <v>52.8</v>
      </c>
      <c r="T154" s="209">
        <v>42.65</v>
      </c>
      <c r="U154" s="709" t="s">
        <v>31</v>
      </c>
      <c r="V154" s="683">
        <v>49</v>
      </c>
      <c r="W154" s="683" t="s">
        <v>1955</v>
      </c>
      <c r="X154" s="689"/>
      <c r="Y154" s="205" t="s">
        <v>32</v>
      </c>
    </row>
    <row r="155" spans="1:25" s="683" customFormat="1" x14ac:dyDescent="0.25">
      <c r="A155" s="722">
        <v>43943</v>
      </c>
      <c r="B155" s="683" t="s">
        <v>915</v>
      </c>
      <c r="C155" s="682" t="s">
        <v>62</v>
      </c>
      <c r="D155" s="683">
        <v>38.176749999999998</v>
      </c>
      <c r="E155" s="683">
        <v>-122.01134999999999</v>
      </c>
      <c r="F155" s="683" t="s">
        <v>1956</v>
      </c>
      <c r="G155" s="683" t="s">
        <v>27</v>
      </c>
      <c r="H155" s="683" t="s">
        <v>62</v>
      </c>
      <c r="I155" s="708">
        <v>0.3743055555555555</v>
      </c>
      <c r="J155" s="686" t="s">
        <v>28</v>
      </c>
      <c r="K155" s="683" t="s">
        <v>29</v>
      </c>
      <c r="L155" s="683" t="s">
        <v>30</v>
      </c>
      <c r="M155" s="683">
        <v>2</v>
      </c>
      <c r="N155" s="683">
        <v>10</v>
      </c>
      <c r="O155" s="209">
        <v>20.3</v>
      </c>
      <c r="P155" s="209">
        <v>1120</v>
      </c>
      <c r="Q155" s="209">
        <v>1124.5</v>
      </c>
      <c r="R155" s="209">
        <v>0.28500000000000003</v>
      </c>
      <c r="S155" s="209">
        <v>55.95</v>
      </c>
      <c r="T155" s="209">
        <v>93</v>
      </c>
      <c r="U155" s="709" t="s">
        <v>31</v>
      </c>
      <c r="V155" s="683">
        <v>77</v>
      </c>
      <c r="W155" s="683" t="s">
        <v>1957</v>
      </c>
      <c r="X155" s="689"/>
      <c r="Y155" s="205" t="s">
        <v>32</v>
      </c>
    </row>
    <row r="156" spans="1:25" s="683" customFormat="1" x14ac:dyDescent="0.25">
      <c r="A156" s="722">
        <v>43943</v>
      </c>
      <c r="B156" s="683" t="s">
        <v>915</v>
      </c>
      <c r="C156" s="682" t="s">
        <v>62</v>
      </c>
      <c r="D156" s="683">
        <v>38.158700000000003</v>
      </c>
      <c r="E156" s="683">
        <v>-122.04906</v>
      </c>
      <c r="F156" s="683" t="s">
        <v>1958</v>
      </c>
      <c r="G156" s="683" t="s">
        <v>27</v>
      </c>
      <c r="H156" s="683" t="s">
        <v>62</v>
      </c>
      <c r="I156" s="708">
        <v>0.40416666666666662</v>
      </c>
      <c r="J156" s="686" t="s">
        <v>28</v>
      </c>
      <c r="K156" s="683" t="s">
        <v>29</v>
      </c>
      <c r="L156" s="683" t="s">
        <v>30</v>
      </c>
      <c r="M156" s="683">
        <v>2</v>
      </c>
      <c r="N156" s="683">
        <v>10</v>
      </c>
      <c r="O156" s="209">
        <v>21.049999999999997</v>
      </c>
      <c r="P156" s="209">
        <v>1687</v>
      </c>
      <c r="Q156" s="209">
        <v>2185.5</v>
      </c>
      <c r="R156" s="209">
        <v>0.255</v>
      </c>
      <c r="S156" s="209">
        <v>72.849999999999994</v>
      </c>
      <c r="T156" s="209">
        <v>195.6</v>
      </c>
      <c r="U156" s="709" t="s">
        <v>31</v>
      </c>
      <c r="V156" s="683">
        <v>45</v>
      </c>
      <c r="W156" s="683" t="s">
        <v>1959</v>
      </c>
      <c r="X156" s="689"/>
      <c r="Y156" s="205" t="s">
        <v>32</v>
      </c>
    </row>
    <row r="157" spans="1:25" s="683" customFormat="1" x14ac:dyDescent="0.25">
      <c r="A157" s="722">
        <v>43943</v>
      </c>
      <c r="B157" s="683" t="s">
        <v>915</v>
      </c>
      <c r="C157" s="682" t="s">
        <v>62</v>
      </c>
      <c r="D157" s="683">
        <v>38.148150000000001</v>
      </c>
      <c r="E157" s="683">
        <v>-122.05835999999999</v>
      </c>
      <c r="F157" s="683" t="s">
        <v>1960</v>
      </c>
      <c r="G157" s="683" t="s">
        <v>27</v>
      </c>
      <c r="H157" s="683" t="s">
        <v>62</v>
      </c>
      <c r="I157" s="708">
        <v>0.4291666666666667</v>
      </c>
      <c r="J157" s="686" t="s">
        <v>28</v>
      </c>
      <c r="K157" s="683" t="s">
        <v>29</v>
      </c>
      <c r="L157" s="683" t="s">
        <v>30</v>
      </c>
      <c r="M157" s="683">
        <v>2</v>
      </c>
      <c r="N157" s="683">
        <v>10</v>
      </c>
      <c r="O157" s="209">
        <v>32.200000000000003</v>
      </c>
      <c r="P157" s="209">
        <v>2396</v>
      </c>
      <c r="Q157" s="209">
        <v>3164.5</v>
      </c>
      <c r="R157" s="209">
        <v>0.26500000000000001</v>
      </c>
      <c r="S157" s="209">
        <v>72.650000000000006</v>
      </c>
      <c r="T157" s="209">
        <v>200</v>
      </c>
      <c r="U157" s="709" t="s">
        <v>31</v>
      </c>
      <c r="V157" s="683">
        <v>32</v>
      </c>
      <c r="W157" s="683" t="s">
        <v>1961</v>
      </c>
      <c r="X157" s="689"/>
      <c r="Y157" s="205" t="s">
        <v>32</v>
      </c>
    </row>
    <row r="158" spans="1:25" s="683" customFormat="1" x14ac:dyDescent="0.25">
      <c r="A158" s="722">
        <v>43943</v>
      </c>
      <c r="B158" s="683" t="s">
        <v>915</v>
      </c>
      <c r="C158" s="682" t="s">
        <v>62</v>
      </c>
      <c r="D158" s="683">
        <v>38.122059999999998</v>
      </c>
      <c r="E158" s="683">
        <v>-122.05519</v>
      </c>
      <c r="F158" s="683" t="s">
        <v>1962</v>
      </c>
      <c r="G158" s="683" t="s">
        <v>27</v>
      </c>
      <c r="H158" s="683" t="s">
        <v>173</v>
      </c>
      <c r="I158" s="708">
        <v>0.45624999999999999</v>
      </c>
      <c r="J158" s="686" t="s">
        <v>28</v>
      </c>
      <c r="K158" s="683" t="s">
        <v>29</v>
      </c>
      <c r="L158" s="683" t="s">
        <v>30</v>
      </c>
      <c r="M158" s="683">
        <v>2</v>
      </c>
      <c r="N158" s="683">
        <v>10</v>
      </c>
      <c r="O158" s="209">
        <v>12.85</v>
      </c>
      <c r="P158" s="209">
        <v>4588</v>
      </c>
      <c r="Q158" s="209">
        <v>4818</v>
      </c>
      <c r="R158" s="209">
        <v>0.27500000000000002</v>
      </c>
      <c r="S158" s="209">
        <v>69.400000000000006</v>
      </c>
      <c r="T158" s="209">
        <v>105.15</v>
      </c>
      <c r="U158" s="709" t="s">
        <v>31</v>
      </c>
      <c r="V158" s="683">
        <v>28</v>
      </c>
      <c r="W158" s="683" t="s">
        <v>1963</v>
      </c>
      <c r="X158" s="689"/>
      <c r="Y158" s="205" t="s">
        <v>32</v>
      </c>
    </row>
    <row r="159" spans="1:25" x14ac:dyDescent="0.25">
      <c r="A159" s="711">
        <v>43943</v>
      </c>
      <c r="B159" s="711" t="s">
        <v>915</v>
      </c>
      <c r="C159" s="693" t="s">
        <v>845</v>
      </c>
      <c r="D159" s="37">
        <v>38.243490000000001</v>
      </c>
      <c r="E159" s="37">
        <v>-121.68591000000001</v>
      </c>
      <c r="F159" s="37" t="s">
        <v>1964</v>
      </c>
      <c r="G159" s="37" t="s">
        <v>90</v>
      </c>
      <c r="H159" s="37" t="s">
        <v>126</v>
      </c>
      <c r="I159" s="712">
        <v>0.45347222222222222</v>
      </c>
      <c r="J159" s="37" t="s">
        <v>28</v>
      </c>
      <c r="K159" s="37" t="s">
        <v>29</v>
      </c>
      <c r="L159" s="37" t="s">
        <v>30</v>
      </c>
      <c r="M159" s="37">
        <v>2</v>
      </c>
      <c r="N159" s="37">
        <v>10</v>
      </c>
      <c r="O159" s="758">
        <v>10.199999999999999</v>
      </c>
      <c r="P159" s="758">
        <v>214.3</v>
      </c>
      <c r="Q159" s="758">
        <v>215.2</v>
      </c>
      <c r="R159" s="758">
        <v>1.8</v>
      </c>
      <c r="S159" s="758">
        <v>6.16</v>
      </c>
      <c r="T159" s="758">
        <v>16.399999999999999</v>
      </c>
      <c r="U159" s="37" t="s">
        <v>50</v>
      </c>
      <c r="V159" s="37" t="s">
        <v>50</v>
      </c>
      <c r="W159" s="37" t="s">
        <v>50</v>
      </c>
      <c r="Y159" s="750" t="s">
        <v>32</v>
      </c>
    </row>
    <row r="160" spans="1:25" x14ac:dyDescent="0.25">
      <c r="A160" s="711">
        <v>43943</v>
      </c>
      <c r="B160" s="711" t="s">
        <v>915</v>
      </c>
      <c r="C160" s="693" t="s">
        <v>845</v>
      </c>
      <c r="D160" s="37">
        <v>38.28445</v>
      </c>
      <c r="E160" s="37">
        <v>-121.71781</v>
      </c>
      <c r="F160" s="37" t="s">
        <v>1965</v>
      </c>
      <c r="G160" s="37" t="s">
        <v>90</v>
      </c>
      <c r="H160" s="37" t="s">
        <v>126</v>
      </c>
      <c r="I160" s="712">
        <v>0.41388888888888892</v>
      </c>
      <c r="J160" s="37" t="s">
        <v>28</v>
      </c>
      <c r="K160" s="37" t="s">
        <v>29</v>
      </c>
      <c r="L160" s="37" t="s">
        <v>30</v>
      </c>
      <c r="M160" s="37">
        <v>2</v>
      </c>
      <c r="N160" s="37">
        <v>10</v>
      </c>
      <c r="O160" s="758">
        <v>11.45</v>
      </c>
      <c r="P160" s="758">
        <v>245</v>
      </c>
      <c r="Q160" s="758">
        <v>244.45</v>
      </c>
      <c r="R160" s="758">
        <v>1.8</v>
      </c>
      <c r="S160" s="758">
        <v>2.7800000000000002</v>
      </c>
      <c r="T160" s="758">
        <v>2.6749999999999998</v>
      </c>
      <c r="U160" s="37" t="s">
        <v>50</v>
      </c>
      <c r="V160" s="37" t="s">
        <v>50</v>
      </c>
      <c r="W160" s="37" t="s">
        <v>50</v>
      </c>
      <c r="X160" s="698" t="s">
        <v>1966</v>
      </c>
      <c r="Y160" s="750" t="s">
        <v>32</v>
      </c>
    </row>
    <row r="161" spans="1:25" x14ac:dyDescent="0.25">
      <c r="A161" s="711">
        <v>43943</v>
      </c>
      <c r="B161" s="711" t="s">
        <v>915</v>
      </c>
      <c r="C161" s="693" t="s">
        <v>845</v>
      </c>
      <c r="D161" s="37">
        <v>38.243290000000002</v>
      </c>
      <c r="E161" s="37">
        <v>-121.68912</v>
      </c>
      <c r="F161" s="37" t="s">
        <v>1967</v>
      </c>
      <c r="G161" s="37" t="s">
        <v>90</v>
      </c>
      <c r="H161" s="37" t="s">
        <v>126</v>
      </c>
      <c r="I161" s="712">
        <v>0.54166666666666663</v>
      </c>
      <c r="J161" s="37" t="s">
        <v>28</v>
      </c>
      <c r="K161" s="37" t="s">
        <v>29</v>
      </c>
      <c r="L161" s="37" t="s">
        <v>30</v>
      </c>
      <c r="M161" s="37">
        <v>2</v>
      </c>
      <c r="N161" s="37">
        <v>10</v>
      </c>
      <c r="O161" s="91">
        <v>21.6</v>
      </c>
      <c r="P161" s="91">
        <v>232.65</v>
      </c>
      <c r="Q161" s="91">
        <v>235</v>
      </c>
      <c r="R161" s="91">
        <v>1.8</v>
      </c>
      <c r="S161" s="91">
        <v>5.2549999999999999</v>
      </c>
      <c r="T161" s="91">
        <v>10.93</v>
      </c>
      <c r="U161" s="37" t="s">
        <v>50</v>
      </c>
      <c r="V161" s="37" t="s">
        <v>50</v>
      </c>
      <c r="W161" s="37" t="s">
        <v>50</v>
      </c>
      <c r="Y161" s="750" t="s">
        <v>32</v>
      </c>
    </row>
    <row r="162" spans="1:25" x14ac:dyDescent="0.25">
      <c r="A162" s="711">
        <v>43943</v>
      </c>
      <c r="B162" s="711" t="s">
        <v>915</v>
      </c>
      <c r="C162" s="693" t="s">
        <v>845</v>
      </c>
      <c r="D162" s="37">
        <v>38.260080000000002</v>
      </c>
      <c r="E162" s="37">
        <v>-121.73972000000001</v>
      </c>
      <c r="F162" s="37" t="s">
        <v>1968</v>
      </c>
      <c r="G162" s="37" t="s">
        <v>90</v>
      </c>
      <c r="H162" s="37" t="s">
        <v>126</v>
      </c>
      <c r="I162" s="712">
        <v>0.3611111111111111</v>
      </c>
      <c r="J162" s="37" t="s">
        <v>28</v>
      </c>
      <c r="K162" s="37" t="s">
        <v>29</v>
      </c>
      <c r="L162" s="37" t="s">
        <v>30</v>
      </c>
      <c r="M162" s="37">
        <v>2</v>
      </c>
      <c r="N162" s="37">
        <v>10</v>
      </c>
      <c r="O162" s="91">
        <v>12.100000000000001</v>
      </c>
      <c r="P162" s="91">
        <v>250.9</v>
      </c>
      <c r="Q162" s="91">
        <v>246.14999999999998</v>
      </c>
      <c r="R162" s="91">
        <v>1.1399999999999999</v>
      </c>
      <c r="S162" s="91">
        <v>4.93</v>
      </c>
      <c r="T162" s="91">
        <v>6.68</v>
      </c>
      <c r="U162" s="37" t="s">
        <v>50</v>
      </c>
      <c r="V162" s="37" t="s">
        <v>50</v>
      </c>
      <c r="W162" s="37" t="s">
        <v>50</v>
      </c>
      <c r="Y162" s="750" t="s">
        <v>32</v>
      </c>
    </row>
    <row r="163" spans="1:25" x14ac:dyDescent="0.25">
      <c r="A163" s="711">
        <v>43943</v>
      </c>
      <c r="B163" s="711" t="s">
        <v>915</v>
      </c>
      <c r="C163" s="693" t="s">
        <v>845</v>
      </c>
      <c r="D163" s="37">
        <v>38.251869999999997</v>
      </c>
      <c r="E163" s="37">
        <v>-121.68804</v>
      </c>
      <c r="F163" s="37" t="s">
        <v>1969</v>
      </c>
      <c r="G163" s="37" t="s">
        <v>90</v>
      </c>
      <c r="H163" s="37" t="s">
        <v>126</v>
      </c>
      <c r="I163" s="712">
        <v>0.48333333333333334</v>
      </c>
      <c r="J163" s="37" t="s">
        <v>28</v>
      </c>
      <c r="K163" s="37" t="s">
        <v>29</v>
      </c>
      <c r="L163" s="37" t="s">
        <v>30</v>
      </c>
      <c r="M163" s="37">
        <v>2</v>
      </c>
      <c r="N163" s="37">
        <v>10</v>
      </c>
      <c r="O163" s="91">
        <v>23.25</v>
      </c>
      <c r="P163" s="91">
        <v>235.89999999999998</v>
      </c>
      <c r="Q163" s="91">
        <v>241.7</v>
      </c>
      <c r="R163" s="91">
        <v>1.8</v>
      </c>
      <c r="S163" s="91">
        <v>7.1050000000000004</v>
      </c>
      <c r="T163" s="91">
        <v>5.2</v>
      </c>
      <c r="U163" s="37" t="s">
        <v>50</v>
      </c>
      <c r="V163" s="37" t="s">
        <v>50</v>
      </c>
      <c r="W163" s="37" t="s">
        <v>50</v>
      </c>
      <c r="Y163" s="750" t="s">
        <v>32</v>
      </c>
    </row>
    <row r="164" spans="1:25" x14ac:dyDescent="0.25">
      <c r="A164" s="711">
        <v>43943</v>
      </c>
      <c r="B164" s="711" t="s">
        <v>915</v>
      </c>
      <c r="C164" s="693" t="s">
        <v>845</v>
      </c>
      <c r="D164" s="37">
        <v>38.270209999999999</v>
      </c>
      <c r="E164" s="37">
        <v>-121.70395000000001</v>
      </c>
      <c r="F164" s="37" t="s">
        <v>1970</v>
      </c>
      <c r="G164" s="37" t="s">
        <v>90</v>
      </c>
      <c r="H164" s="37" t="s">
        <v>126</v>
      </c>
      <c r="I164" s="712">
        <v>0.51111111111111118</v>
      </c>
      <c r="J164" s="37" t="s">
        <v>28</v>
      </c>
      <c r="K164" s="37" t="s">
        <v>29</v>
      </c>
      <c r="L164" s="37" t="s">
        <v>30</v>
      </c>
      <c r="M164" s="37">
        <v>2</v>
      </c>
      <c r="N164" s="37">
        <v>10</v>
      </c>
      <c r="O164" s="91">
        <v>8.6</v>
      </c>
      <c r="P164" s="91">
        <v>241.64999999999998</v>
      </c>
      <c r="Q164" s="91">
        <v>241.45</v>
      </c>
      <c r="R164" s="91">
        <v>1.8</v>
      </c>
      <c r="S164" s="91">
        <v>4.3899999999999997</v>
      </c>
      <c r="T164" s="91">
        <v>3.09</v>
      </c>
      <c r="U164" s="37" t="s">
        <v>50</v>
      </c>
      <c r="V164" s="37" t="s">
        <v>50</v>
      </c>
      <c r="W164" s="37" t="s">
        <v>50</v>
      </c>
      <c r="X164" s="698" t="s">
        <v>1971</v>
      </c>
      <c r="Y164" s="750" t="s">
        <v>32</v>
      </c>
    </row>
    <row r="165" spans="1:25" s="714" customFormat="1" x14ac:dyDescent="0.25">
      <c r="A165" s="713">
        <v>43943</v>
      </c>
      <c r="B165" s="713" t="s">
        <v>915</v>
      </c>
      <c r="C165" s="715" t="s">
        <v>845</v>
      </c>
      <c r="D165" s="714">
        <v>38.26144</v>
      </c>
      <c r="E165" s="714">
        <v>-121.68709</v>
      </c>
      <c r="F165" s="714" t="s">
        <v>1972</v>
      </c>
      <c r="G165" s="714" t="s">
        <v>90</v>
      </c>
      <c r="H165" s="714" t="s">
        <v>126</v>
      </c>
      <c r="I165" s="751">
        <v>0.44722222222222219</v>
      </c>
      <c r="J165" s="714" t="s">
        <v>28</v>
      </c>
      <c r="K165" s="714" t="s">
        <v>29</v>
      </c>
      <c r="L165" s="714" t="s">
        <v>30</v>
      </c>
      <c r="M165" s="714">
        <v>0</v>
      </c>
      <c r="N165" s="714" t="s">
        <v>50</v>
      </c>
      <c r="O165" s="752" t="s">
        <v>50</v>
      </c>
      <c r="P165" s="752" t="s">
        <v>50</v>
      </c>
      <c r="Q165" s="752" t="s">
        <v>50</v>
      </c>
      <c r="R165" s="752" t="s">
        <v>50</v>
      </c>
      <c r="S165" s="752" t="s">
        <v>50</v>
      </c>
      <c r="T165" s="752" t="s">
        <v>50</v>
      </c>
      <c r="U165" s="714" t="s">
        <v>50</v>
      </c>
      <c r="V165" s="714" t="s">
        <v>50</v>
      </c>
      <c r="W165" s="714" t="s">
        <v>50</v>
      </c>
      <c r="X165" s="720" t="s">
        <v>1822</v>
      </c>
      <c r="Y165" s="750" t="s">
        <v>32</v>
      </c>
    </row>
    <row r="166" spans="1:25" s="714" customFormat="1" x14ac:dyDescent="0.25">
      <c r="A166" s="713">
        <v>43943</v>
      </c>
      <c r="B166" s="713" t="s">
        <v>915</v>
      </c>
      <c r="C166" s="715" t="s">
        <v>845</v>
      </c>
      <c r="D166" s="714">
        <v>38.24841</v>
      </c>
      <c r="E166" s="714">
        <v>-121.67268</v>
      </c>
      <c r="F166" s="714" t="s">
        <v>1973</v>
      </c>
      <c r="G166" s="714" t="s">
        <v>90</v>
      </c>
      <c r="H166" s="714" t="s">
        <v>126</v>
      </c>
      <c r="I166" s="751">
        <v>0.53819444444444442</v>
      </c>
      <c r="J166" s="714" t="s">
        <v>28</v>
      </c>
      <c r="K166" s="714" t="s">
        <v>29</v>
      </c>
      <c r="L166" s="714" t="s">
        <v>30</v>
      </c>
      <c r="M166" s="714">
        <v>0</v>
      </c>
      <c r="N166" s="714" t="s">
        <v>50</v>
      </c>
      <c r="O166" s="752" t="s">
        <v>50</v>
      </c>
      <c r="P166" s="752" t="s">
        <v>50</v>
      </c>
      <c r="Q166" s="752" t="s">
        <v>50</v>
      </c>
      <c r="R166" s="752" t="s">
        <v>50</v>
      </c>
      <c r="S166" s="752" t="s">
        <v>50</v>
      </c>
      <c r="T166" s="752" t="s">
        <v>50</v>
      </c>
      <c r="U166" s="714" t="s">
        <v>50</v>
      </c>
      <c r="V166" s="714" t="s">
        <v>50</v>
      </c>
      <c r="W166" s="714" t="s">
        <v>50</v>
      </c>
      <c r="X166" s="720" t="s">
        <v>1822</v>
      </c>
      <c r="Y166" s="750" t="s">
        <v>32</v>
      </c>
    </row>
    <row r="167" spans="1:25" s="714" customFormat="1" x14ac:dyDescent="0.25">
      <c r="A167" s="713">
        <v>43943</v>
      </c>
      <c r="B167" s="713" t="s">
        <v>915</v>
      </c>
      <c r="C167" s="715" t="s">
        <v>845</v>
      </c>
      <c r="D167" s="714">
        <v>38.287320000000001</v>
      </c>
      <c r="E167" s="714">
        <v>-121.72188</v>
      </c>
      <c r="F167" s="714" t="s">
        <v>1974</v>
      </c>
      <c r="G167" s="714" t="s">
        <v>90</v>
      </c>
      <c r="H167" s="714" t="s">
        <v>126</v>
      </c>
      <c r="I167" s="751">
        <v>0.54513888888888895</v>
      </c>
      <c r="J167" s="714" t="s">
        <v>28</v>
      </c>
      <c r="K167" s="714" t="s">
        <v>29</v>
      </c>
      <c r="L167" s="714" t="s">
        <v>30</v>
      </c>
      <c r="M167" s="714">
        <v>0</v>
      </c>
      <c r="N167" s="714" t="s">
        <v>50</v>
      </c>
      <c r="O167" s="752" t="s">
        <v>50</v>
      </c>
      <c r="P167" s="752" t="s">
        <v>50</v>
      </c>
      <c r="Q167" s="752" t="s">
        <v>50</v>
      </c>
      <c r="R167" s="752" t="s">
        <v>50</v>
      </c>
      <c r="S167" s="752" t="s">
        <v>50</v>
      </c>
      <c r="T167" s="752" t="s">
        <v>50</v>
      </c>
      <c r="U167" s="714" t="s">
        <v>50</v>
      </c>
      <c r="V167" s="714" t="s">
        <v>50</v>
      </c>
      <c r="W167" s="714" t="s">
        <v>50</v>
      </c>
      <c r="X167" s="720" t="s">
        <v>1975</v>
      </c>
      <c r="Y167" s="750" t="s">
        <v>32</v>
      </c>
    </row>
    <row r="168" spans="1:25" x14ac:dyDescent="0.25">
      <c r="A168" s="711">
        <v>43944</v>
      </c>
      <c r="B168" s="37" t="s">
        <v>876</v>
      </c>
      <c r="C168" s="693" t="s">
        <v>88</v>
      </c>
      <c r="D168" s="37">
        <v>38.114409999999999</v>
      </c>
      <c r="E168" s="37">
        <v>-121.68795</v>
      </c>
      <c r="F168" s="37" t="s">
        <v>1976</v>
      </c>
      <c r="G168" s="37" t="s">
        <v>90</v>
      </c>
      <c r="H168" s="37" t="s">
        <v>91</v>
      </c>
      <c r="I168" s="712">
        <v>0.33819444444444446</v>
      </c>
      <c r="J168" s="37" t="s">
        <v>28</v>
      </c>
      <c r="K168" s="37" t="s">
        <v>29</v>
      </c>
      <c r="L168" s="37" t="s">
        <v>30</v>
      </c>
      <c r="M168" s="37">
        <v>2</v>
      </c>
      <c r="N168" s="37">
        <v>10</v>
      </c>
      <c r="O168" s="91">
        <v>26.049999999999997</v>
      </c>
      <c r="P168" s="91">
        <v>186.65</v>
      </c>
      <c r="Q168" s="91">
        <v>186.7</v>
      </c>
      <c r="R168" s="91">
        <v>1.8</v>
      </c>
      <c r="S168" s="91">
        <v>5.26</v>
      </c>
      <c r="T168" s="91">
        <v>5.39</v>
      </c>
      <c r="U168" s="37" t="s">
        <v>50</v>
      </c>
      <c r="V168" s="37" t="s">
        <v>50</v>
      </c>
      <c r="W168" s="37" t="s">
        <v>50</v>
      </c>
      <c r="Y168" s="750" t="s">
        <v>32</v>
      </c>
    </row>
    <row r="169" spans="1:25" s="683" customFormat="1" x14ac:dyDescent="0.25">
      <c r="A169" s="722">
        <v>43944</v>
      </c>
      <c r="B169" s="683" t="s">
        <v>876</v>
      </c>
      <c r="C169" s="682" t="s">
        <v>88</v>
      </c>
      <c r="D169" s="683">
        <v>38.066980000000001</v>
      </c>
      <c r="E169" s="683">
        <v>-121.83660999999999</v>
      </c>
      <c r="F169" s="683" t="s">
        <v>1977</v>
      </c>
      <c r="G169" s="683" t="s">
        <v>27</v>
      </c>
      <c r="H169" s="683" t="s">
        <v>25</v>
      </c>
      <c r="I169" s="708">
        <v>0.37847222222222227</v>
      </c>
      <c r="J169" s="683" t="s">
        <v>28</v>
      </c>
      <c r="K169" s="683" t="s">
        <v>29</v>
      </c>
      <c r="L169" s="683" t="s">
        <v>30</v>
      </c>
      <c r="M169" s="683">
        <v>2</v>
      </c>
      <c r="N169" s="683">
        <v>10</v>
      </c>
      <c r="O169" s="209">
        <v>22.95</v>
      </c>
      <c r="P169" s="209">
        <v>505</v>
      </c>
      <c r="Q169" s="209">
        <v>505.5</v>
      </c>
      <c r="R169" s="209">
        <v>0.45999999999999996</v>
      </c>
      <c r="S169" s="209">
        <v>20.200000000000003</v>
      </c>
      <c r="T169" s="209">
        <v>27.6</v>
      </c>
      <c r="U169" s="709" t="s">
        <v>31</v>
      </c>
      <c r="V169" s="683">
        <v>2</v>
      </c>
      <c r="W169" s="683" t="s">
        <v>1978</v>
      </c>
      <c r="X169" s="689"/>
      <c r="Y169" s="205" t="s">
        <v>32</v>
      </c>
    </row>
    <row r="170" spans="1:25" s="714" customFormat="1" x14ac:dyDescent="0.25">
      <c r="A170" s="711">
        <v>43944</v>
      </c>
      <c r="B170" s="37" t="s">
        <v>876</v>
      </c>
      <c r="C170" s="715" t="s">
        <v>88</v>
      </c>
      <c r="D170" s="714">
        <v>38.05247</v>
      </c>
      <c r="E170" s="714">
        <v>-121.78525</v>
      </c>
      <c r="F170" s="714" t="s">
        <v>1979</v>
      </c>
      <c r="G170" s="714" t="s">
        <v>27</v>
      </c>
      <c r="H170" s="714" t="s">
        <v>25</v>
      </c>
      <c r="I170" s="751">
        <v>0.4069444444444445</v>
      </c>
      <c r="J170" s="714" t="s">
        <v>28</v>
      </c>
      <c r="K170" s="714" t="s">
        <v>29</v>
      </c>
      <c r="L170" s="714" t="s">
        <v>30</v>
      </c>
      <c r="M170" s="714">
        <v>0</v>
      </c>
      <c r="N170" s="714" t="s">
        <v>50</v>
      </c>
      <c r="O170" s="752" t="s">
        <v>50</v>
      </c>
      <c r="P170" s="752" t="s">
        <v>50</v>
      </c>
      <c r="Q170" s="752" t="s">
        <v>50</v>
      </c>
      <c r="R170" s="752" t="s">
        <v>50</v>
      </c>
      <c r="S170" s="752" t="s">
        <v>50</v>
      </c>
      <c r="T170" s="752" t="s">
        <v>50</v>
      </c>
      <c r="U170" s="714" t="s">
        <v>50</v>
      </c>
      <c r="V170" s="714" t="s">
        <v>50</v>
      </c>
      <c r="W170" s="714" t="s">
        <v>50</v>
      </c>
      <c r="X170" s="720" t="s">
        <v>1822</v>
      </c>
      <c r="Y170" s="750" t="s">
        <v>32</v>
      </c>
    </row>
    <row r="171" spans="1:25" x14ac:dyDescent="0.25">
      <c r="A171" s="711">
        <v>43944</v>
      </c>
      <c r="B171" s="37" t="s">
        <v>876</v>
      </c>
      <c r="C171" s="693" t="s">
        <v>88</v>
      </c>
      <c r="D171" s="37">
        <v>38.054290000000002</v>
      </c>
      <c r="E171" s="37">
        <v>-121.79124</v>
      </c>
      <c r="F171" s="37" t="s">
        <v>1980</v>
      </c>
      <c r="G171" s="37" t="s">
        <v>27</v>
      </c>
      <c r="H171" s="37" t="s">
        <v>25</v>
      </c>
      <c r="I171" s="712">
        <v>0.40972222222222227</v>
      </c>
      <c r="J171" s="37" t="s">
        <v>28</v>
      </c>
      <c r="K171" s="37" t="s">
        <v>29</v>
      </c>
      <c r="L171" s="37" t="s">
        <v>30</v>
      </c>
      <c r="M171" s="37">
        <v>1</v>
      </c>
      <c r="N171" s="37">
        <v>5</v>
      </c>
      <c r="O171" s="91">
        <v>8</v>
      </c>
      <c r="P171" s="91">
        <v>452.4</v>
      </c>
      <c r="Q171" s="91">
        <v>451.8</v>
      </c>
      <c r="R171" s="91">
        <v>0.48</v>
      </c>
      <c r="S171" s="91">
        <v>21.3</v>
      </c>
      <c r="T171" s="91">
        <v>24.5</v>
      </c>
      <c r="U171" s="37" t="s">
        <v>50</v>
      </c>
      <c r="V171" s="37" t="s">
        <v>50</v>
      </c>
      <c r="W171" s="37" t="s">
        <v>50</v>
      </c>
      <c r="X171" s="698" t="s">
        <v>1981</v>
      </c>
      <c r="Y171" s="750" t="s">
        <v>32</v>
      </c>
    </row>
    <row r="172" spans="1:25" x14ac:dyDescent="0.25">
      <c r="A172" s="711">
        <v>43944</v>
      </c>
      <c r="B172" s="37" t="s">
        <v>876</v>
      </c>
      <c r="C172" s="693" t="s">
        <v>88</v>
      </c>
      <c r="D172" s="37">
        <v>38.081539999999997</v>
      </c>
      <c r="E172" s="37">
        <v>-121.74545999999999</v>
      </c>
      <c r="F172" s="37" t="s">
        <v>1982</v>
      </c>
      <c r="G172" s="37" t="s">
        <v>27</v>
      </c>
      <c r="H172" s="37" t="s">
        <v>25</v>
      </c>
      <c r="I172" s="712">
        <v>0.42569444444444443</v>
      </c>
      <c r="J172" s="37" t="s">
        <v>28</v>
      </c>
      <c r="K172" s="37" t="s">
        <v>29</v>
      </c>
      <c r="L172" s="37" t="s">
        <v>30</v>
      </c>
      <c r="M172" s="37">
        <v>2</v>
      </c>
      <c r="N172" s="37">
        <v>10</v>
      </c>
      <c r="O172" s="91">
        <v>26</v>
      </c>
      <c r="P172" s="91">
        <v>192.15</v>
      </c>
      <c r="Q172" s="91">
        <v>192.75</v>
      </c>
      <c r="R172" s="91">
        <v>0.995</v>
      </c>
      <c r="S172" s="91">
        <v>11.05</v>
      </c>
      <c r="T172" s="91">
        <v>9.32</v>
      </c>
      <c r="U172" s="37" t="s">
        <v>50</v>
      </c>
      <c r="V172" s="37" t="s">
        <v>50</v>
      </c>
      <c r="W172" s="37" t="s">
        <v>50</v>
      </c>
      <c r="Y172" s="750" t="s">
        <v>32</v>
      </c>
    </row>
    <row r="173" spans="1:25" x14ac:dyDescent="0.25">
      <c r="A173" s="711">
        <v>43944</v>
      </c>
      <c r="B173" s="37" t="s">
        <v>876</v>
      </c>
      <c r="C173" s="693" t="s">
        <v>88</v>
      </c>
      <c r="D173" s="37">
        <v>38.096820000000001</v>
      </c>
      <c r="E173" s="37">
        <v>-121.72617</v>
      </c>
      <c r="F173" s="37" t="s">
        <v>1983</v>
      </c>
      <c r="G173" s="37" t="s">
        <v>90</v>
      </c>
      <c r="H173" s="37" t="s">
        <v>91</v>
      </c>
      <c r="I173" s="712">
        <v>0.4548611111111111</v>
      </c>
      <c r="J173" s="37" t="s">
        <v>28</v>
      </c>
      <c r="K173" s="37" t="s">
        <v>29</v>
      </c>
      <c r="L173" s="37" t="s">
        <v>30</v>
      </c>
      <c r="M173" s="37">
        <v>2</v>
      </c>
      <c r="N173" s="37">
        <v>10</v>
      </c>
      <c r="O173" s="91">
        <v>19.899999999999999</v>
      </c>
      <c r="P173" s="91">
        <v>187.2</v>
      </c>
      <c r="Q173" s="91">
        <v>187.60000000000002</v>
      </c>
      <c r="R173" s="91">
        <v>1.18</v>
      </c>
      <c r="S173" s="91">
        <v>7.5299999999999994</v>
      </c>
      <c r="T173" s="91">
        <v>8.4849999999999994</v>
      </c>
      <c r="U173" s="37" t="s">
        <v>50</v>
      </c>
      <c r="V173" s="37" t="s">
        <v>50</v>
      </c>
      <c r="W173" s="37" t="s">
        <v>50</v>
      </c>
      <c r="Y173" s="750" t="s">
        <v>32</v>
      </c>
    </row>
    <row r="174" spans="1:25" x14ac:dyDescent="0.25">
      <c r="A174" s="711">
        <v>43944</v>
      </c>
      <c r="B174" s="37" t="s">
        <v>876</v>
      </c>
      <c r="C174" s="693" t="s">
        <v>88</v>
      </c>
      <c r="D174" s="37">
        <v>38.135620000000003</v>
      </c>
      <c r="E174" s="37">
        <v>-121.69074999999999</v>
      </c>
      <c r="F174" s="37" t="s">
        <v>1984</v>
      </c>
      <c r="G174" s="37" t="s">
        <v>90</v>
      </c>
      <c r="H174" s="37" t="s">
        <v>91</v>
      </c>
      <c r="I174" s="712">
        <v>0.48333333333333334</v>
      </c>
      <c r="J174" s="37" t="s">
        <v>28</v>
      </c>
      <c r="K174" s="37" t="s">
        <v>29</v>
      </c>
      <c r="L174" s="37" t="s">
        <v>30</v>
      </c>
      <c r="M174" s="37">
        <v>2</v>
      </c>
      <c r="N174" s="37">
        <v>10</v>
      </c>
      <c r="O174" s="758">
        <v>21.15</v>
      </c>
      <c r="P174" s="758">
        <v>174.75</v>
      </c>
      <c r="Q174" s="758">
        <v>174.7</v>
      </c>
      <c r="R174" s="758">
        <v>1.5550000000000002</v>
      </c>
      <c r="S174" s="758">
        <v>6.54</v>
      </c>
      <c r="T174" s="758">
        <v>6.2549999999999999</v>
      </c>
      <c r="U174" s="37" t="s">
        <v>50</v>
      </c>
      <c r="V174" s="37" t="s">
        <v>50</v>
      </c>
      <c r="W174" s="37" t="s">
        <v>50</v>
      </c>
      <c r="Y174" s="750" t="s">
        <v>32</v>
      </c>
    </row>
    <row r="175" spans="1:25" x14ac:dyDescent="0.25">
      <c r="A175" s="711">
        <v>43944</v>
      </c>
      <c r="B175" s="37" t="s">
        <v>876</v>
      </c>
      <c r="C175" s="693" t="s">
        <v>78</v>
      </c>
      <c r="D175" s="37">
        <v>38.022979999999997</v>
      </c>
      <c r="E175" s="37">
        <v>-121.81984</v>
      </c>
      <c r="F175" s="37" t="s">
        <v>1985</v>
      </c>
      <c r="G175" s="37" t="s">
        <v>27</v>
      </c>
      <c r="H175" s="37" t="s">
        <v>101</v>
      </c>
      <c r="I175" s="712">
        <v>0.33958333333333335</v>
      </c>
      <c r="J175" s="37" t="s">
        <v>28</v>
      </c>
      <c r="K175" s="37" t="s">
        <v>29</v>
      </c>
      <c r="L175" s="37" t="s">
        <v>30</v>
      </c>
      <c r="M175" s="37">
        <v>2</v>
      </c>
      <c r="N175" s="37">
        <v>10</v>
      </c>
      <c r="O175" s="758">
        <v>11.45</v>
      </c>
      <c r="P175" s="758">
        <v>245</v>
      </c>
      <c r="Q175" s="758">
        <v>244.45</v>
      </c>
      <c r="R175" s="758">
        <v>1.8</v>
      </c>
      <c r="S175" s="758">
        <v>2.7800000000000002</v>
      </c>
      <c r="T175" s="758">
        <v>2.6749999999999998</v>
      </c>
      <c r="U175" s="37" t="s">
        <v>50</v>
      </c>
      <c r="V175" s="37" t="s">
        <v>50</v>
      </c>
      <c r="W175" s="37" t="s">
        <v>50</v>
      </c>
      <c r="Y175" s="750" t="s">
        <v>32</v>
      </c>
    </row>
    <row r="176" spans="1:25" s="683" customFormat="1" x14ac:dyDescent="0.25">
      <c r="A176" s="722">
        <v>43944</v>
      </c>
      <c r="B176" s="683" t="s">
        <v>876</v>
      </c>
      <c r="C176" s="682" t="s">
        <v>78</v>
      </c>
      <c r="D176" s="683">
        <v>38.051290000000002</v>
      </c>
      <c r="E176" s="683">
        <v>-121.88861</v>
      </c>
      <c r="F176" s="683" t="s">
        <v>1986</v>
      </c>
      <c r="G176" s="683" t="s">
        <v>27</v>
      </c>
      <c r="H176" s="683" t="s">
        <v>101</v>
      </c>
      <c r="I176" s="708">
        <v>0.3756944444444445</v>
      </c>
      <c r="J176" s="683" t="s">
        <v>28</v>
      </c>
      <c r="K176" s="683" t="s">
        <v>29</v>
      </c>
      <c r="L176" s="683" t="s">
        <v>30</v>
      </c>
      <c r="M176" s="683">
        <v>2</v>
      </c>
      <c r="N176" s="683">
        <v>10</v>
      </c>
      <c r="O176" s="208">
        <v>37.370000000000005</v>
      </c>
      <c r="P176" s="208">
        <v>983</v>
      </c>
      <c r="Q176" s="208">
        <v>1002</v>
      </c>
      <c r="R176" s="208">
        <v>0.36</v>
      </c>
      <c r="S176" s="208">
        <v>36.900000000000006</v>
      </c>
      <c r="T176" s="208">
        <v>56.3</v>
      </c>
      <c r="U176" s="709" t="s">
        <v>31</v>
      </c>
      <c r="V176" s="683">
        <v>23</v>
      </c>
      <c r="W176" s="683" t="s">
        <v>1987</v>
      </c>
      <c r="X176" s="689" t="s">
        <v>1988</v>
      </c>
      <c r="Y176" s="205" t="s">
        <v>32</v>
      </c>
    </row>
    <row r="177" spans="1:25" s="683" customFormat="1" x14ac:dyDescent="0.25">
      <c r="A177" s="722">
        <v>43944</v>
      </c>
      <c r="B177" s="683" t="s">
        <v>876</v>
      </c>
      <c r="C177" s="682" t="s">
        <v>78</v>
      </c>
      <c r="D177" s="683">
        <v>38.056350000000002</v>
      </c>
      <c r="E177" s="683">
        <v>-122.07387</v>
      </c>
      <c r="F177" s="683" t="s">
        <v>1989</v>
      </c>
      <c r="G177" s="683" t="s">
        <v>80</v>
      </c>
      <c r="H177" s="683" t="s">
        <v>81</v>
      </c>
      <c r="I177" s="708">
        <v>0.41944444444444445</v>
      </c>
      <c r="J177" s="683" t="s">
        <v>28</v>
      </c>
      <c r="K177" s="683" t="s">
        <v>29</v>
      </c>
      <c r="L177" s="683" t="s">
        <v>30</v>
      </c>
      <c r="M177" s="683">
        <v>2</v>
      </c>
      <c r="N177" s="683">
        <v>10</v>
      </c>
      <c r="O177" s="208">
        <v>30.195</v>
      </c>
      <c r="P177" s="208">
        <v>7352</v>
      </c>
      <c r="Q177" s="208">
        <v>7764.5</v>
      </c>
      <c r="R177" s="208">
        <v>0.33999999999999997</v>
      </c>
      <c r="S177" s="208">
        <v>44.650000000000006</v>
      </c>
      <c r="T177" s="208">
        <v>52.85</v>
      </c>
      <c r="U177" s="709" t="s">
        <v>31</v>
      </c>
      <c r="V177" s="683">
        <v>4</v>
      </c>
      <c r="W177" s="683" t="s">
        <v>1990</v>
      </c>
      <c r="X177" s="689" t="s">
        <v>1991</v>
      </c>
      <c r="Y177" s="205" t="s">
        <v>32</v>
      </c>
    </row>
    <row r="178" spans="1:25" s="683" customFormat="1" x14ac:dyDescent="0.25">
      <c r="A178" s="722">
        <v>43944</v>
      </c>
      <c r="B178" s="683" t="s">
        <v>876</v>
      </c>
      <c r="C178" s="682" t="s">
        <v>78</v>
      </c>
      <c r="D178" s="683">
        <v>38.088520000000003</v>
      </c>
      <c r="E178" s="683">
        <v>-122.00928999999999</v>
      </c>
      <c r="F178" s="683" t="s">
        <v>1992</v>
      </c>
      <c r="G178" s="683" t="s">
        <v>27</v>
      </c>
      <c r="H178" s="683" t="s">
        <v>86</v>
      </c>
      <c r="I178" s="708">
        <v>0.49236111111111108</v>
      </c>
      <c r="J178" s="683" t="s">
        <v>28</v>
      </c>
      <c r="K178" s="683" t="s">
        <v>29</v>
      </c>
      <c r="L178" s="683" t="s">
        <v>30</v>
      </c>
      <c r="M178" s="683">
        <v>2</v>
      </c>
      <c r="N178" s="683">
        <v>10</v>
      </c>
      <c r="O178" s="208">
        <v>33.65</v>
      </c>
      <c r="P178" s="208">
        <v>3576.5</v>
      </c>
      <c r="Q178" s="208">
        <v>3696</v>
      </c>
      <c r="R178" s="208">
        <v>0.32500000000000001</v>
      </c>
      <c r="S178" s="208">
        <v>63.75</v>
      </c>
      <c r="T178" s="208">
        <v>96.9</v>
      </c>
      <c r="U178" s="709" t="s">
        <v>31</v>
      </c>
      <c r="V178" s="683">
        <v>4</v>
      </c>
      <c r="W178" s="683" t="s">
        <v>1993</v>
      </c>
      <c r="X178" s="689"/>
      <c r="Y178" s="205" t="s">
        <v>32</v>
      </c>
    </row>
    <row r="179" spans="1:25" s="754" customFormat="1" x14ac:dyDescent="0.25">
      <c r="A179" s="753">
        <v>43944</v>
      </c>
      <c r="B179" s="754" t="s">
        <v>876</v>
      </c>
      <c r="C179" s="755" t="s">
        <v>78</v>
      </c>
      <c r="D179" s="754">
        <v>38.05829</v>
      </c>
      <c r="E179" s="754">
        <v>-121.97292</v>
      </c>
      <c r="F179" s="754" t="s">
        <v>1994</v>
      </c>
      <c r="G179" s="754" t="s">
        <v>27</v>
      </c>
      <c r="H179" s="754" t="s">
        <v>86</v>
      </c>
      <c r="I179" s="756">
        <v>0.46111111111111108</v>
      </c>
      <c r="J179" s="754" t="s">
        <v>28</v>
      </c>
      <c r="K179" s="754" t="s">
        <v>29</v>
      </c>
      <c r="L179" s="754" t="s">
        <v>30</v>
      </c>
      <c r="M179" s="754">
        <v>2</v>
      </c>
      <c r="N179" s="754">
        <v>10</v>
      </c>
      <c r="O179" s="416">
        <v>40.725000000000001</v>
      </c>
      <c r="P179" s="416">
        <v>1474.5</v>
      </c>
      <c r="Q179" s="416">
        <v>1505</v>
      </c>
      <c r="R179" s="416">
        <v>0.42000000000000004</v>
      </c>
      <c r="S179" s="416">
        <v>38.450000000000003</v>
      </c>
      <c r="T179" s="416">
        <v>35.9</v>
      </c>
      <c r="U179" s="757" t="s">
        <v>31</v>
      </c>
      <c r="V179" s="754">
        <v>11</v>
      </c>
      <c r="W179" s="754" t="s">
        <v>1995</v>
      </c>
      <c r="Y179" s="413" t="s">
        <v>32</v>
      </c>
    </row>
    <row r="180" spans="1:25" x14ac:dyDescent="0.25">
      <c r="A180" s="711">
        <v>43948</v>
      </c>
      <c r="B180" s="37" t="s">
        <v>43</v>
      </c>
      <c r="C180" s="693" t="s">
        <v>95</v>
      </c>
      <c r="D180" s="37">
        <v>38.038469999999997</v>
      </c>
      <c r="E180" s="37">
        <v>-121.50149999999999</v>
      </c>
      <c r="F180" s="37" t="s">
        <v>1996</v>
      </c>
      <c r="G180" s="37" t="s">
        <v>46</v>
      </c>
      <c r="H180" s="37" t="s">
        <v>1767</v>
      </c>
      <c r="I180" s="712">
        <v>0.36041666666666666</v>
      </c>
      <c r="J180" s="37" t="s">
        <v>28</v>
      </c>
      <c r="K180" s="37" t="s">
        <v>29</v>
      </c>
      <c r="L180" s="37" t="s">
        <v>30</v>
      </c>
      <c r="M180" s="37">
        <v>2</v>
      </c>
      <c r="N180" s="37">
        <v>10</v>
      </c>
      <c r="O180" s="91">
        <v>19.5</v>
      </c>
      <c r="P180" s="91">
        <v>298.10000000000002</v>
      </c>
      <c r="Q180" s="91">
        <v>297.85000000000002</v>
      </c>
      <c r="R180" s="91">
        <v>1.8</v>
      </c>
      <c r="S180" s="91">
        <v>3.73</v>
      </c>
      <c r="T180" s="91">
        <v>19.8</v>
      </c>
      <c r="U180" s="37" t="s">
        <v>50</v>
      </c>
      <c r="V180" s="37" t="s">
        <v>50</v>
      </c>
      <c r="W180" s="37" t="s">
        <v>50</v>
      </c>
      <c r="Y180" s="750" t="s">
        <v>32</v>
      </c>
    </row>
    <row r="181" spans="1:25" x14ac:dyDescent="0.25">
      <c r="A181" s="711">
        <v>43948</v>
      </c>
      <c r="B181" s="37" t="s">
        <v>43</v>
      </c>
      <c r="C181" s="693" t="s">
        <v>95</v>
      </c>
      <c r="D181" s="37">
        <v>38.092140000000001</v>
      </c>
      <c r="E181" s="37">
        <v>-121.57621</v>
      </c>
      <c r="F181" s="37" t="s">
        <v>1997</v>
      </c>
      <c r="G181" s="37" t="s">
        <v>46</v>
      </c>
      <c r="H181" s="37" t="s">
        <v>1767</v>
      </c>
      <c r="I181" s="712">
        <v>0.40208333333333335</v>
      </c>
      <c r="J181" s="37" t="s">
        <v>28</v>
      </c>
      <c r="K181" s="37" t="s">
        <v>29</v>
      </c>
      <c r="L181" s="37" t="s">
        <v>30</v>
      </c>
      <c r="M181" s="37">
        <v>2</v>
      </c>
      <c r="N181" s="37">
        <v>10</v>
      </c>
      <c r="O181" s="91">
        <v>41.55</v>
      </c>
      <c r="P181" s="91">
        <v>224.5</v>
      </c>
      <c r="Q181" s="91">
        <v>224.6</v>
      </c>
      <c r="R181" s="91">
        <v>1.75</v>
      </c>
      <c r="S181" s="91">
        <v>4.2149999999999999</v>
      </c>
      <c r="T181" s="91">
        <v>7.7799999999999994</v>
      </c>
      <c r="U181" s="37" t="s">
        <v>50</v>
      </c>
      <c r="V181" s="37" t="s">
        <v>50</v>
      </c>
      <c r="W181" s="37" t="s">
        <v>50</v>
      </c>
      <c r="Y181" s="750" t="s">
        <v>32</v>
      </c>
    </row>
    <row r="182" spans="1:25" x14ac:dyDescent="0.25">
      <c r="A182" s="711">
        <v>43948</v>
      </c>
      <c r="B182" s="37" t="s">
        <v>43</v>
      </c>
      <c r="C182" s="693" t="s">
        <v>95</v>
      </c>
      <c r="D182" s="37">
        <v>38.090859999999999</v>
      </c>
      <c r="E182" s="37">
        <v>-121.67807000000001</v>
      </c>
      <c r="F182" s="37" t="s">
        <v>1998</v>
      </c>
      <c r="G182" s="37" t="s">
        <v>46</v>
      </c>
      <c r="H182" s="37" t="s">
        <v>908</v>
      </c>
      <c r="I182" s="712">
        <v>0.4381944444444445</v>
      </c>
      <c r="J182" s="37" t="s">
        <v>28</v>
      </c>
      <c r="K182" s="37" t="s">
        <v>29</v>
      </c>
      <c r="L182" s="37" t="s">
        <v>30</v>
      </c>
      <c r="M182" s="37">
        <v>2</v>
      </c>
      <c r="N182" s="37">
        <v>10</v>
      </c>
      <c r="O182" s="91">
        <v>41.25</v>
      </c>
      <c r="P182" s="91">
        <v>223.89999999999998</v>
      </c>
      <c r="Q182" s="91">
        <v>223.4</v>
      </c>
      <c r="R182" s="91">
        <v>1.74</v>
      </c>
      <c r="S182" s="91">
        <v>5.2149999999999999</v>
      </c>
      <c r="T182" s="91">
        <v>5.65</v>
      </c>
      <c r="U182" s="37" t="s">
        <v>50</v>
      </c>
      <c r="V182" s="37" t="s">
        <v>50</v>
      </c>
      <c r="W182" s="37" t="s">
        <v>50</v>
      </c>
      <c r="Y182" s="750" t="s">
        <v>32</v>
      </c>
    </row>
    <row r="183" spans="1:25" x14ac:dyDescent="0.25">
      <c r="A183" s="711">
        <v>43948</v>
      </c>
      <c r="B183" s="37" t="s">
        <v>43</v>
      </c>
      <c r="C183" s="693" t="s">
        <v>95</v>
      </c>
      <c r="D183" s="37">
        <v>38.024520000000003</v>
      </c>
      <c r="E183" s="37">
        <v>-121.75997</v>
      </c>
      <c r="F183" s="37" t="s">
        <v>1999</v>
      </c>
      <c r="G183" s="37" t="s">
        <v>27</v>
      </c>
      <c r="H183" s="37" t="s">
        <v>863</v>
      </c>
      <c r="I183" s="712">
        <v>0.47916666666666669</v>
      </c>
      <c r="J183" s="37" t="s">
        <v>28</v>
      </c>
      <c r="K183" s="37" t="s">
        <v>29</v>
      </c>
      <c r="L183" s="37" t="s">
        <v>30</v>
      </c>
      <c r="M183" s="37">
        <v>2</v>
      </c>
      <c r="N183" s="37">
        <v>10</v>
      </c>
      <c r="O183" s="91">
        <v>15.3</v>
      </c>
      <c r="P183" s="91">
        <v>322.79999999999995</v>
      </c>
      <c r="Q183" s="91">
        <v>322.60000000000002</v>
      </c>
      <c r="R183" s="91">
        <v>0.98</v>
      </c>
      <c r="S183" s="91">
        <v>7.7249999999999996</v>
      </c>
      <c r="T183" s="91">
        <v>8.5599999999999987</v>
      </c>
      <c r="U183" s="37" t="s">
        <v>50</v>
      </c>
      <c r="V183" s="37" t="s">
        <v>50</v>
      </c>
      <c r="W183" s="37" t="s">
        <v>50</v>
      </c>
      <c r="Y183" s="750" t="s">
        <v>32</v>
      </c>
    </row>
    <row r="184" spans="1:25" x14ac:dyDescent="0.25">
      <c r="A184" s="711">
        <v>43948</v>
      </c>
      <c r="B184" s="37" t="s">
        <v>43</v>
      </c>
      <c r="C184" s="693" t="s">
        <v>95</v>
      </c>
      <c r="D184" s="37">
        <v>38.020980000000002</v>
      </c>
      <c r="E184" s="37">
        <v>-121.80944</v>
      </c>
      <c r="F184" s="37" t="s">
        <v>2000</v>
      </c>
      <c r="G184" s="37" t="s">
        <v>27</v>
      </c>
      <c r="H184" s="37" t="s">
        <v>863</v>
      </c>
      <c r="I184" s="712">
        <v>0.50902777777777775</v>
      </c>
      <c r="J184" s="37" t="s">
        <v>28</v>
      </c>
      <c r="K184" s="37" t="s">
        <v>29</v>
      </c>
      <c r="L184" s="37" t="s">
        <v>30</v>
      </c>
      <c r="M184" s="37">
        <v>2</v>
      </c>
      <c r="N184" s="37">
        <v>10</v>
      </c>
      <c r="O184" s="91">
        <v>42.5</v>
      </c>
      <c r="P184" s="91">
        <v>380.9</v>
      </c>
      <c r="Q184" s="91">
        <v>390.75</v>
      </c>
      <c r="R184" s="91">
        <v>0.82000000000000006</v>
      </c>
      <c r="S184" s="91">
        <v>9.83</v>
      </c>
      <c r="T184" s="91">
        <v>13.15</v>
      </c>
      <c r="U184" s="37" t="s">
        <v>50</v>
      </c>
      <c r="V184" s="37" t="s">
        <v>50</v>
      </c>
      <c r="W184" s="37" t="s">
        <v>50</v>
      </c>
      <c r="Y184" s="750" t="s">
        <v>32</v>
      </c>
    </row>
    <row r="185" spans="1:25" x14ac:dyDescent="0.25">
      <c r="A185" s="711">
        <v>43948</v>
      </c>
      <c r="B185" s="37" t="s">
        <v>43</v>
      </c>
      <c r="C185" s="693" t="s">
        <v>88</v>
      </c>
      <c r="D185" s="37">
        <v>38.104730000000004</v>
      </c>
      <c r="E185" s="37">
        <v>-121.70856999999999</v>
      </c>
      <c r="F185" s="37" t="s">
        <v>2001</v>
      </c>
      <c r="G185" s="37" t="s">
        <v>90</v>
      </c>
      <c r="H185" s="37" t="s">
        <v>91</v>
      </c>
      <c r="I185" s="712">
        <v>0.33680555555555558</v>
      </c>
      <c r="J185" s="37" t="s">
        <v>28</v>
      </c>
      <c r="K185" s="37" t="s">
        <v>29</v>
      </c>
      <c r="L185" s="37" t="s">
        <v>30</v>
      </c>
      <c r="M185" s="37">
        <v>2</v>
      </c>
      <c r="N185" s="37">
        <v>10</v>
      </c>
      <c r="O185" s="91">
        <v>25.200000000000003</v>
      </c>
      <c r="P185" s="91">
        <v>209.8</v>
      </c>
      <c r="Q185" s="91">
        <v>211.05</v>
      </c>
      <c r="R185" s="91">
        <v>1.5350000000000001</v>
      </c>
      <c r="S185" s="91">
        <v>8.3049999999999997</v>
      </c>
      <c r="T185" s="91">
        <v>8.6000000000000014</v>
      </c>
      <c r="U185" s="37" t="s">
        <v>50</v>
      </c>
      <c r="V185" s="37" t="s">
        <v>50</v>
      </c>
      <c r="W185" s="37" t="s">
        <v>50</v>
      </c>
      <c r="Y185" s="750" t="s">
        <v>32</v>
      </c>
    </row>
    <row r="186" spans="1:25" x14ac:dyDescent="0.25">
      <c r="A186" s="711">
        <v>43948</v>
      </c>
      <c r="B186" s="37" t="s">
        <v>43</v>
      </c>
      <c r="C186" s="693" t="s">
        <v>88</v>
      </c>
      <c r="D186" s="37">
        <v>38.057859999999998</v>
      </c>
      <c r="E186" s="37">
        <v>-121.79818</v>
      </c>
      <c r="F186" s="37" t="s">
        <v>2002</v>
      </c>
      <c r="G186" s="37" t="s">
        <v>27</v>
      </c>
      <c r="H186" s="37" t="s">
        <v>25</v>
      </c>
      <c r="I186" s="712">
        <v>0.37291666666666662</v>
      </c>
      <c r="J186" s="37" t="s">
        <v>28</v>
      </c>
      <c r="K186" s="37" t="s">
        <v>29</v>
      </c>
      <c r="L186" s="37" t="s">
        <v>30</v>
      </c>
      <c r="M186" s="37">
        <v>2</v>
      </c>
      <c r="N186" s="37">
        <v>10</v>
      </c>
      <c r="O186" s="91">
        <v>30.05</v>
      </c>
      <c r="P186" s="91">
        <v>1052</v>
      </c>
      <c r="Q186" s="91">
        <v>1116</v>
      </c>
      <c r="R186" s="91">
        <v>0.68500000000000005</v>
      </c>
      <c r="S186" s="91">
        <v>16.100000000000001</v>
      </c>
      <c r="T186" s="91">
        <v>29.45</v>
      </c>
      <c r="U186" s="37" t="s">
        <v>50</v>
      </c>
      <c r="V186" s="37" t="s">
        <v>50</v>
      </c>
      <c r="W186" s="37" t="s">
        <v>50</v>
      </c>
      <c r="Y186" s="750" t="s">
        <v>32</v>
      </c>
    </row>
    <row r="187" spans="1:25" x14ac:dyDescent="0.25">
      <c r="A187" s="711">
        <v>43948</v>
      </c>
      <c r="B187" s="37" t="s">
        <v>43</v>
      </c>
      <c r="C187" s="693" t="s">
        <v>88</v>
      </c>
      <c r="D187" s="37">
        <v>38.03284</v>
      </c>
      <c r="E187" s="37">
        <v>-121.76742</v>
      </c>
      <c r="F187" s="37" t="s">
        <v>2003</v>
      </c>
      <c r="G187" s="37" t="s">
        <v>27</v>
      </c>
      <c r="H187" s="37" t="s">
        <v>25</v>
      </c>
      <c r="I187" s="712">
        <v>0.40486111111111112</v>
      </c>
      <c r="J187" s="37" t="s">
        <v>28</v>
      </c>
      <c r="K187" s="37" t="s">
        <v>29</v>
      </c>
      <c r="L187" s="37" t="s">
        <v>30</v>
      </c>
      <c r="M187" s="37">
        <v>2</v>
      </c>
      <c r="N187" s="37">
        <v>10</v>
      </c>
      <c r="O187" s="91">
        <v>17.7</v>
      </c>
      <c r="P187" s="91">
        <v>482.5</v>
      </c>
      <c r="Q187" s="91">
        <v>469</v>
      </c>
      <c r="R187" s="91">
        <v>0.7350000000000001</v>
      </c>
      <c r="S187" s="91">
        <v>16.5</v>
      </c>
      <c r="T187" s="91">
        <v>17.25</v>
      </c>
      <c r="U187" s="37" t="s">
        <v>50</v>
      </c>
      <c r="V187" s="37" t="s">
        <v>50</v>
      </c>
      <c r="W187" s="37" t="s">
        <v>50</v>
      </c>
      <c r="Y187" s="750" t="s">
        <v>32</v>
      </c>
    </row>
    <row r="188" spans="1:25" x14ac:dyDescent="0.25">
      <c r="A188" s="711">
        <v>43948</v>
      </c>
      <c r="B188" s="37" t="s">
        <v>43</v>
      </c>
      <c r="C188" s="693" t="s">
        <v>88</v>
      </c>
      <c r="D188" s="37">
        <v>38.069519999999997</v>
      </c>
      <c r="E188" s="37">
        <v>-121.77369</v>
      </c>
      <c r="F188" s="37" t="s">
        <v>2004</v>
      </c>
      <c r="G188" s="37" t="s">
        <v>27</v>
      </c>
      <c r="H188" s="37" t="s">
        <v>25</v>
      </c>
      <c r="I188" s="712">
        <v>0.4458333333333333</v>
      </c>
      <c r="J188" s="37" t="s">
        <v>28</v>
      </c>
      <c r="K188" s="37" t="s">
        <v>29</v>
      </c>
      <c r="L188" s="37" t="s">
        <v>30</v>
      </c>
      <c r="M188" s="37">
        <v>2</v>
      </c>
      <c r="N188" s="37">
        <v>10</v>
      </c>
      <c r="O188" s="91">
        <v>28</v>
      </c>
      <c r="P188" s="91">
        <v>357.45000000000005</v>
      </c>
      <c r="Q188" s="91">
        <v>363.04999999999995</v>
      </c>
      <c r="R188" s="91">
        <v>0.85499999999999998</v>
      </c>
      <c r="S188" s="91">
        <v>16.600000000000001</v>
      </c>
      <c r="T188" s="91">
        <v>13.75</v>
      </c>
      <c r="U188" s="37" t="s">
        <v>50</v>
      </c>
      <c r="V188" s="37" t="s">
        <v>50</v>
      </c>
      <c r="W188" s="37" t="s">
        <v>50</v>
      </c>
      <c r="Y188" s="750" t="s">
        <v>32</v>
      </c>
    </row>
    <row r="189" spans="1:25" x14ac:dyDescent="0.25">
      <c r="A189" s="711">
        <v>43948</v>
      </c>
      <c r="B189" s="37" t="s">
        <v>43</v>
      </c>
      <c r="C189" s="693" t="s">
        <v>88</v>
      </c>
      <c r="D189" s="37">
        <v>38.116869999999999</v>
      </c>
      <c r="E189" s="37">
        <v>-121.69868</v>
      </c>
      <c r="F189" s="37" t="s">
        <v>2005</v>
      </c>
      <c r="G189" s="37" t="s">
        <v>90</v>
      </c>
      <c r="H189" s="37" t="s">
        <v>91</v>
      </c>
      <c r="I189" s="712">
        <v>0.47916666666666669</v>
      </c>
      <c r="J189" s="37" t="s">
        <v>28</v>
      </c>
      <c r="K189" s="37" t="s">
        <v>29</v>
      </c>
      <c r="L189" s="37" t="s">
        <v>30</v>
      </c>
      <c r="M189" s="37">
        <v>2</v>
      </c>
      <c r="N189" s="37">
        <v>10</v>
      </c>
      <c r="O189" s="91">
        <v>12.899999999999999</v>
      </c>
      <c r="P189" s="91">
        <v>186.39999999999998</v>
      </c>
      <c r="Q189" s="91">
        <v>189.2</v>
      </c>
      <c r="R189" s="91">
        <v>1.72</v>
      </c>
      <c r="S189" s="91">
        <v>7.7149999999999999</v>
      </c>
      <c r="T189" s="91">
        <v>6.4350000000000005</v>
      </c>
      <c r="U189" s="37" t="s">
        <v>50</v>
      </c>
      <c r="V189" s="37" t="s">
        <v>50</v>
      </c>
      <c r="W189" s="37" t="s">
        <v>50</v>
      </c>
      <c r="Y189" s="750" t="s">
        <v>32</v>
      </c>
    </row>
    <row r="190" spans="1:25" s="683" customFormat="1" x14ac:dyDescent="0.25">
      <c r="A190" s="722">
        <v>43949</v>
      </c>
      <c r="B190" s="683" t="s">
        <v>849</v>
      </c>
      <c r="C190" s="682" t="s">
        <v>62</v>
      </c>
      <c r="D190" s="683">
        <v>38.126469999999998</v>
      </c>
      <c r="E190" s="683">
        <v>-121.89431</v>
      </c>
      <c r="F190" s="683" t="s">
        <v>2006</v>
      </c>
      <c r="G190" s="683" t="s">
        <v>27</v>
      </c>
      <c r="H190" s="683" t="s">
        <v>62</v>
      </c>
      <c r="I190" s="708">
        <v>0.33958333333333335</v>
      </c>
      <c r="J190" s="683" t="s">
        <v>28</v>
      </c>
      <c r="K190" s="683" t="s">
        <v>29</v>
      </c>
      <c r="L190" s="683" t="s">
        <v>30</v>
      </c>
      <c r="M190" s="683">
        <v>2</v>
      </c>
      <c r="N190" s="683">
        <v>10</v>
      </c>
      <c r="O190" s="209">
        <v>18.850000000000001</v>
      </c>
      <c r="P190" s="209">
        <v>1287.5</v>
      </c>
      <c r="Q190" s="209">
        <v>1281.5</v>
      </c>
      <c r="R190" s="209">
        <v>0.3</v>
      </c>
      <c r="S190" s="209">
        <v>31.65</v>
      </c>
      <c r="T190" s="209">
        <v>37</v>
      </c>
      <c r="U190" s="709" t="s">
        <v>31</v>
      </c>
      <c r="V190" s="683">
        <v>1</v>
      </c>
      <c r="W190" s="683">
        <v>18.8</v>
      </c>
      <c r="X190" s="689"/>
      <c r="Y190" s="205" t="s">
        <v>32</v>
      </c>
    </row>
    <row r="191" spans="1:25" s="683" customFormat="1" x14ac:dyDescent="0.25">
      <c r="A191" s="722">
        <v>43949</v>
      </c>
      <c r="B191" s="683" t="s">
        <v>849</v>
      </c>
      <c r="C191" s="682" t="s">
        <v>62</v>
      </c>
      <c r="D191" s="683">
        <v>38.199280000000002</v>
      </c>
      <c r="E191" s="683">
        <v>-122.04056</v>
      </c>
      <c r="F191" s="683" t="s">
        <v>2007</v>
      </c>
      <c r="G191" s="683" t="s">
        <v>27</v>
      </c>
      <c r="H191" s="683" t="s">
        <v>62</v>
      </c>
      <c r="I191" s="708">
        <v>0.39444444444444443</v>
      </c>
      <c r="J191" s="683" t="s">
        <v>28</v>
      </c>
      <c r="K191" s="683" t="s">
        <v>29</v>
      </c>
      <c r="L191" s="683" t="s">
        <v>30</v>
      </c>
      <c r="M191" s="683">
        <v>2</v>
      </c>
      <c r="N191" s="683">
        <v>10</v>
      </c>
      <c r="O191" s="209">
        <v>28.85</v>
      </c>
      <c r="P191" s="209">
        <v>3665</v>
      </c>
      <c r="Q191" s="209">
        <v>3660.5</v>
      </c>
      <c r="R191" s="209">
        <v>0.185</v>
      </c>
      <c r="S191" s="209">
        <v>63</v>
      </c>
      <c r="T191" s="209">
        <v>70.400000000000006</v>
      </c>
      <c r="U191" s="709" t="s">
        <v>31</v>
      </c>
      <c r="V191" s="683">
        <v>9</v>
      </c>
      <c r="W191" s="683" t="s">
        <v>2008</v>
      </c>
      <c r="X191" s="689"/>
      <c r="Y191" s="205" t="s">
        <v>32</v>
      </c>
    </row>
    <row r="192" spans="1:25" s="683" customFormat="1" x14ac:dyDescent="0.25">
      <c r="A192" s="722">
        <v>43949</v>
      </c>
      <c r="B192" s="683" t="s">
        <v>849</v>
      </c>
      <c r="C192" s="682" t="s">
        <v>62</v>
      </c>
      <c r="D192" s="683">
        <v>38.132779999999997</v>
      </c>
      <c r="E192" s="683">
        <v>-122.05844</v>
      </c>
      <c r="F192" s="683" t="s">
        <v>2009</v>
      </c>
      <c r="G192" s="683" t="s">
        <v>27</v>
      </c>
      <c r="H192" s="683" t="s">
        <v>62</v>
      </c>
      <c r="I192" s="708">
        <v>0.44861111111111113</v>
      </c>
      <c r="J192" s="683" t="s">
        <v>28</v>
      </c>
      <c r="K192" s="683" t="s">
        <v>29</v>
      </c>
      <c r="L192" s="683" t="s">
        <v>30</v>
      </c>
      <c r="M192" s="683">
        <v>2</v>
      </c>
      <c r="N192" s="683">
        <v>10</v>
      </c>
      <c r="O192" s="209">
        <v>12.25</v>
      </c>
      <c r="P192" s="209">
        <v>6300</v>
      </c>
      <c r="Q192" s="209">
        <v>6288.5</v>
      </c>
      <c r="R192" s="209">
        <v>0.21</v>
      </c>
      <c r="S192" s="209">
        <v>50.75</v>
      </c>
      <c r="T192" s="209">
        <v>103.85</v>
      </c>
      <c r="U192" s="709" t="s">
        <v>31</v>
      </c>
      <c r="V192" s="683">
        <v>4</v>
      </c>
      <c r="W192" s="683" t="s">
        <v>2010</v>
      </c>
      <c r="X192" s="689"/>
      <c r="Y192" s="205" t="s">
        <v>32</v>
      </c>
    </row>
    <row r="193" spans="1:25" s="683" customFormat="1" x14ac:dyDescent="0.25">
      <c r="A193" s="722">
        <v>43949</v>
      </c>
      <c r="B193" s="683" t="s">
        <v>849</v>
      </c>
      <c r="C193" s="682" t="s">
        <v>62</v>
      </c>
      <c r="D193" s="683">
        <v>38.102679999999999</v>
      </c>
      <c r="E193" s="683">
        <v>-122.05185</v>
      </c>
      <c r="F193" s="683" t="s">
        <v>2011</v>
      </c>
      <c r="G193" s="683" t="s">
        <v>27</v>
      </c>
      <c r="H193" s="683" t="s">
        <v>62</v>
      </c>
      <c r="I193" s="708">
        <v>0.49722222222222223</v>
      </c>
      <c r="J193" s="683" t="s">
        <v>28</v>
      </c>
      <c r="K193" s="683" t="s">
        <v>29</v>
      </c>
      <c r="L193" s="683" t="s">
        <v>30</v>
      </c>
      <c r="M193" s="683">
        <v>2</v>
      </c>
      <c r="N193" s="683">
        <v>10</v>
      </c>
      <c r="O193" s="209">
        <v>13.7</v>
      </c>
      <c r="P193" s="209">
        <v>9346</v>
      </c>
      <c r="Q193" s="209">
        <v>9662</v>
      </c>
      <c r="R193" s="209">
        <v>0.27500000000000002</v>
      </c>
      <c r="S193" s="209">
        <v>31.700000000000003</v>
      </c>
      <c r="T193" s="209">
        <v>49.3</v>
      </c>
      <c r="U193" s="709" t="s">
        <v>31</v>
      </c>
      <c r="V193" s="683">
        <v>23</v>
      </c>
      <c r="W193" s="683" t="s">
        <v>2012</v>
      </c>
      <c r="X193" s="689"/>
      <c r="Y193" s="205" t="s">
        <v>32</v>
      </c>
    </row>
    <row r="194" spans="1:25" s="683" customFormat="1" x14ac:dyDescent="0.25">
      <c r="A194" s="722">
        <v>43949</v>
      </c>
      <c r="B194" s="683" t="s">
        <v>849</v>
      </c>
      <c r="C194" s="682" t="s">
        <v>62</v>
      </c>
      <c r="D194" s="683">
        <v>38.11927</v>
      </c>
      <c r="E194" s="683">
        <v>-122.05807</v>
      </c>
      <c r="F194" s="683" t="s">
        <v>2013</v>
      </c>
      <c r="G194" s="683" t="s">
        <v>27</v>
      </c>
      <c r="H194" s="683" t="s">
        <v>62</v>
      </c>
      <c r="I194" s="708">
        <v>0.46458333333333335</v>
      </c>
      <c r="J194" s="683" t="s">
        <v>28</v>
      </c>
      <c r="K194" s="683" t="s">
        <v>29</v>
      </c>
      <c r="L194" s="683" t="s">
        <v>30</v>
      </c>
      <c r="M194" s="683">
        <v>2</v>
      </c>
      <c r="N194" s="683">
        <v>10</v>
      </c>
      <c r="O194" s="209">
        <v>10.7</v>
      </c>
      <c r="P194" s="209">
        <v>6207.5</v>
      </c>
      <c r="Q194" s="209">
        <v>6206</v>
      </c>
      <c r="R194" s="209">
        <v>0.20500000000000002</v>
      </c>
      <c r="S194" s="209">
        <v>61.599999999999994</v>
      </c>
      <c r="T194" s="209">
        <v>164.05</v>
      </c>
      <c r="U194" s="709" t="s">
        <v>31</v>
      </c>
      <c r="V194" s="683">
        <v>35</v>
      </c>
      <c r="W194" s="683" t="s">
        <v>2014</v>
      </c>
      <c r="X194" s="689"/>
      <c r="Y194" s="205" t="s">
        <v>32</v>
      </c>
    </row>
    <row r="195" spans="1:25" x14ac:dyDescent="0.25">
      <c r="A195" s="711">
        <v>43949</v>
      </c>
      <c r="B195" s="37" t="s">
        <v>849</v>
      </c>
      <c r="C195" s="693" t="s">
        <v>106</v>
      </c>
      <c r="D195" s="37">
        <v>38.180250000000001</v>
      </c>
      <c r="E195" s="37">
        <v>-121.66338</v>
      </c>
      <c r="F195" s="37" t="s">
        <v>2015</v>
      </c>
      <c r="G195" s="37" t="s">
        <v>90</v>
      </c>
      <c r="H195" s="750" t="s">
        <v>108</v>
      </c>
      <c r="I195" s="712">
        <v>0.3347222222222222</v>
      </c>
      <c r="J195" s="37" t="s">
        <v>28</v>
      </c>
      <c r="K195" s="37" t="s">
        <v>29</v>
      </c>
      <c r="L195" s="37" t="s">
        <v>30</v>
      </c>
      <c r="M195" s="37">
        <v>2</v>
      </c>
      <c r="N195" s="37">
        <v>10</v>
      </c>
      <c r="O195" s="91">
        <v>36.045000000000002</v>
      </c>
      <c r="P195" s="91">
        <v>182.5</v>
      </c>
      <c r="Q195" s="91">
        <v>183.89999999999998</v>
      </c>
      <c r="R195" s="91">
        <v>1.8</v>
      </c>
      <c r="S195" s="91">
        <v>3.7050000000000001</v>
      </c>
      <c r="T195" s="91">
        <v>6.125</v>
      </c>
      <c r="U195" s="37" t="s">
        <v>50</v>
      </c>
      <c r="V195" s="37" t="s">
        <v>50</v>
      </c>
      <c r="W195" s="37" t="s">
        <v>50</v>
      </c>
      <c r="Y195" s="750" t="s">
        <v>32</v>
      </c>
    </row>
    <row r="196" spans="1:25" x14ac:dyDescent="0.25">
      <c r="A196" s="711">
        <v>43949</v>
      </c>
      <c r="B196" s="37" t="s">
        <v>849</v>
      </c>
      <c r="C196" s="693" t="s">
        <v>106</v>
      </c>
      <c r="D196" s="37">
        <v>38.285730000000001</v>
      </c>
      <c r="E196" s="37">
        <v>-121.65913</v>
      </c>
      <c r="F196" s="37" t="s">
        <v>2016</v>
      </c>
      <c r="G196" s="37" t="s">
        <v>90</v>
      </c>
      <c r="H196" s="750" t="s">
        <v>108</v>
      </c>
      <c r="I196" s="712">
        <v>0.37152777777777773</v>
      </c>
      <c r="J196" s="37" t="s">
        <v>28</v>
      </c>
      <c r="K196" s="37" t="s">
        <v>29</v>
      </c>
      <c r="L196" s="37" t="s">
        <v>30</v>
      </c>
      <c r="M196" s="37">
        <v>2</v>
      </c>
      <c r="N196" s="37">
        <v>10</v>
      </c>
      <c r="O196" s="91">
        <v>36.605000000000004</v>
      </c>
      <c r="P196" s="91">
        <v>212.75</v>
      </c>
      <c r="Q196" s="91">
        <v>214.6</v>
      </c>
      <c r="R196" s="91">
        <v>0.75</v>
      </c>
      <c r="S196" s="91">
        <v>12.4</v>
      </c>
      <c r="T196" s="91">
        <v>46.7</v>
      </c>
      <c r="U196" s="37" t="s">
        <v>50</v>
      </c>
      <c r="V196" s="37" t="s">
        <v>50</v>
      </c>
      <c r="W196" s="37" t="s">
        <v>50</v>
      </c>
      <c r="Y196" s="750" t="s">
        <v>32</v>
      </c>
    </row>
    <row r="197" spans="1:25" x14ac:dyDescent="0.25">
      <c r="A197" s="711">
        <v>43949</v>
      </c>
      <c r="B197" s="37" t="s">
        <v>849</v>
      </c>
      <c r="C197" s="693" t="s">
        <v>106</v>
      </c>
      <c r="D197" s="37">
        <v>38.425130000000003</v>
      </c>
      <c r="E197" s="37">
        <v>-121.60481</v>
      </c>
      <c r="F197" s="37" t="s">
        <v>2017</v>
      </c>
      <c r="G197" s="37" t="s">
        <v>90</v>
      </c>
      <c r="H197" s="750" t="s">
        <v>108</v>
      </c>
      <c r="I197" s="712">
        <v>0.41041666666666665</v>
      </c>
      <c r="J197" s="37" t="s">
        <v>28</v>
      </c>
      <c r="K197" s="37" t="s">
        <v>29</v>
      </c>
      <c r="L197" s="37" t="s">
        <v>30</v>
      </c>
      <c r="M197" s="37">
        <v>2</v>
      </c>
      <c r="N197" s="37">
        <v>10</v>
      </c>
      <c r="O197" s="91">
        <v>33.56</v>
      </c>
      <c r="P197" s="91">
        <v>630</v>
      </c>
      <c r="Q197" s="91">
        <v>629.5</v>
      </c>
      <c r="R197" s="91">
        <v>0.245</v>
      </c>
      <c r="S197" s="91">
        <v>52</v>
      </c>
      <c r="T197" s="91" t="s">
        <v>50</v>
      </c>
      <c r="U197" s="37" t="s">
        <v>50</v>
      </c>
      <c r="V197" s="37" t="s">
        <v>50</v>
      </c>
      <c r="W197" s="37" t="s">
        <v>50</v>
      </c>
      <c r="X197" s="698" t="s">
        <v>2018</v>
      </c>
      <c r="Y197" s="750" t="s">
        <v>32</v>
      </c>
    </row>
    <row r="198" spans="1:25" x14ac:dyDescent="0.25">
      <c r="A198" s="711">
        <v>43949</v>
      </c>
      <c r="B198" s="37" t="s">
        <v>849</v>
      </c>
      <c r="C198" s="693" t="s">
        <v>106</v>
      </c>
      <c r="D198" s="37">
        <v>38.487839999999998</v>
      </c>
      <c r="E198" s="37">
        <v>-121.58471</v>
      </c>
      <c r="F198" s="37" t="s">
        <v>2019</v>
      </c>
      <c r="G198" s="37" t="s">
        <v>90</v>
      </c>
      <c r="H198" s="37" t="s">
        <v>1787</v>
      </c>
      <c r="I198" s="712">
        <v>0.44027777777777777</v>
      </c>
      <c r="J198" s="37" t="s">
        <v>28</v>
      </c>
      <c r="K198" s="37" t="s">
        <v>29</v>
      </c>
      <c r="L198" s="37" t="s">
        <v>30</v>
      </c>
      <c r="M198" s="37">
        <v>2</v>
      </c>
      <c r="N198" s="37">
        <v>10</v>
      </c>
      <c r="O198" s="91">
        <v>31.745000000000001</v>
      </c>
      <c r="P198" s="91">
        <v>908.5</v>
      </c>
      <c r="Q198" s="91">
        <v>994.5</v>
      </c>
      <c r="R198" s="91">
        <v>0.4</v>
      </c>
      <c r="S198" s="91">
        <v>32.900000000000006</v>
      </c>
      <c r="T198" s="91">
        <v>65.900000000000006</v>
      </c>
      <c r="U198" s="37" t="s">
        <v>50</v>
      </c>
      <c r="V198" s="37" t="s">
        <v>50</v>
      </c>
      <c r="W198" s="37" t="s">
        <v>50</v>
      </c>
      <c r="X198" s="698" t="s">
        <v>2020</v>
      </c>
      <c r="Y198" s="750" t="s">
        <v>32</v>
      </c>
    </row>
    <row r="199" spans="1:25" x14ac:dyDescent="0.25">
      <c r="A199" s="711">
        <v>43949</v>
      </c>
      <c r="B199" s="37" t="s">
        <v>849</v>
      </c>
      <c r="C199" s="693" t="s">
        <v>106</v>
      </c>
      <c r="D199" s="37">
        <v>38.46931</v>
      </c>
      <c r="E199" s="37">
        <v>-121.58566</v>
      </c>
      <c r="F199" s="37" t="s">
        <v>2021</v>
      </c>
      <c r="G199" s="37" t="s">
        <v>90</v>
      </c>
      <c r="H199" s="750" t="s">
        <v>108</v>
      </c>
      <c r="I199" s="712">
        <v>0.46666666666666662</v>
      </c>
      <c r="J199" s="37" t="s">
        <v>28</v>
      </c>
      <c r="K199" s="37" t="s">
        <v>29</v>
      </c>
      <c r="L199" s="37" t="s">
        <v>30</v>
      </c>
      <c r="M199" s="37">
        <v>2</v>
      </c>
      <c r="N199" s="37">
        <v>10</v>
      </c>
      <c r="O199" s="91">
        <v>33.51</v>
      </c>
      <c r="P199" s="91">
        <v>858.5</v>
      </c>
      <c r="Q199" s="91">
        <v>939.5</v>
      </c>
      <c r="R199" s="91">
        <v>0.38</v>
      </c>
      <c r="S199" s="91">
        <v>38.15</v>
      </c>
      <c r="T199" s="91">
        <v>68.3</v>
      </c>
      <c r="U199" s="37" t="s">
        <v>50</v>
      </c>
      <c r="V199" s="37" t="s">
        <v>50</v>
      </c>
      <c r="W199" s="37" t="s">
        <v>50</v>
      </c>
      <c r="X199" s="698" t="s">
        <v>2022</v>
      </c>
      <c r="Y199" s="750" t="s">
        <v>32</v>
      </c>
    </row>
    <row r="200" spans="1:25" x14ac:dyDescent="0.25">
      <c r="A200" s="711">
        <v>43950</v>
      </c>
      <c r="B200" s="37" t="s">
        <v>915</v>
      </c>
      <c r="C200" s="693" t="s">
        <v>62</v>
      </c>
      <c r="D200" s="37">
        <v>38.104970000000002</v>
      </c>
      <c r="E200" s="37">
        <v>-122.03529</v>
      </c>
      <c r="F200" s="37" t="s">
        <v>2023</v>
      </c>
      <c r="G200" s="37" t="s">
        <v>27</v>
      </c>
      <c r="H200" s="37" t="s">
        <v>173</v>
      </c>
      <c r="I200" s="712">
        <v>0.33749999999999997</v>
      </c>
      <c r="J200" s="37" t="s">
        <v>28</v>
      </c>
      <c r="K200" s="37" t="s">
        <v>29</v>
      </c>
      <c r="L200" s="37" t="s">
        <v>30</v>
      </c>
      <c r="M200" s="37">
        <v>2</v>
      </c>
      <c r="N200" s="37">
        <v>10</v>
      </c>
      <c r="O200" s="91">
        <v>13.350000000000001</v>
      </c>
      <c r="P200" s="91">
        <v>13674</v>
      </c>
      <c r="Q200" s="91">
        <v>7826</v>
      </c>
      <c r="R200" s="91">
        <v>0.60499999999999998</v>
      </c>
      <c r="S200" s="91">
        <v>17.350000000000001</v>
      </c>
      <c r="T200" s="91">
        <v>22</v>
      </c>
      <c r="U200" s="37" t="s">
        <v>50</v>
      </c>
      <c r="V200" s="37" t="s">
        <v>50</v>
      </c>
      <c r="W200" s="37" t="s">
        <v>50</v>
      </c>
      <c r="Y200" s="750" t="s">
        <v>32</v>
      </c>
    </row>
    <row r="201" spans="1:25" s="683" customFormat="1" x14ac:dyDescent="0.25">
      <c r="A201" s="722">
        <v>43950</v>
      </c>
      <c r="B201" s="683" t="s">
        <v>915</v>
      </c>
      <c r="C201" s="682" t="s">
        <v>62</v>
      </c>
      <c r="D201" s="683">
        <v>38.139949999999999</v>
      </c>
      <c r="E201" s="683">
        <v>-122.06049</v>
      </c>
      <c r="F201" s="683" t="s">
        <v>2024</v>
      </c>
      <c r="G201" s="683" t="s">
        <v>27</v>
      </c>
      <c r="H201" s="683" t="s">
        <v>62</v>
      </c>
      <c r="I201" s="708">
        <v>0.37222222222222223</v>
      </c>
      <c r="J201" s="683" t="s">
        <v>28</v>
      </c>
      <c r="K201" s="683" t="s">
        <v>29</v>
      </c>
      <c r="L201" s="683" t="s">
        <v>30</v>
      </c>
      <c r="M201" s="683">
        <v>2</v>
      </c>
      <c r="N201" s="683">
        <v>10</v>
      </c>
      <c r="O201" s="209">
        <v>29.15</v>
      </c>
      <c r="P201" s="209">
        <v>6719.5</v>
      </c>
      <c r="Q201" s="209">
        <v>7119.5</v>
      </c>
      <c r="R201" s="209">
        <v>0.245</v>
      </c>
      <c r="S201" s="209">
        <v>53.45</v>
      </c>
      <c r="T201" s="209">
        <v>91.8</v>
      </c>
      <c r="U201" s="709" t="s">
        <v>31</v>
      </c>
      <c r="V201" s="683">
        <v>2</v>
      </c>
      <c r="W201" s="683" t="s">
        <v>2025</v>
      </c>
      <c r="X201" s="689"/>
      <c r="Y201" s="205" t="s">
        <v>32</v>
      </c>
    </row>
    <row r="202" spans="1:25" s="683" customFormat="1" x14ac:dyDescent="0.25">
      <c r="A202" s="722">
        <v>43950</v>
      </c>
      <c r="B202" s="683" t="s">
        <v>915</v>
      </c>
      <c r="C202" s="682" t="s">
        <v>62</v>
      </c>
      <c r="D202" s="683">
        <v>38.175710000000002</v>
      </c>
      <c r="E202" s="683">
        <v>-121.95228</v>
      </c>
      <c r="F202" s="683" t="s">
        <v>2026</v>
      </c>
      <c r="G202" s="683" t="s">
        <v>27</v>
      </c>
      <c r="H202" s="683" t="s">
        <v>62</v>
      </c>
      <c r="I202" s="708">
        <v>0.47013888888888888</v>
      </c>
      <c r="J202" s="683" t="s">
        <v>28</v>
      </c>
      <c r="K202" s="683" t="s">
        <v>29</v>
      </c>
      <c r="L202" s="683" t="s">
        <v>30</v>
      </c>
      <c r="M202" s="683">
        <v>2</v>
      </c>
      <c r="N202" s="683">
        <v>10</v>
      </c>
      <c r="O202" s="209">
        <v>37.35</v>
      </c>
      <c r="P202" s="209">
        <v>1571</v>
      </c>
      <c r="Q202" s="209">
        <v>1572</v>
      </c>
      <c r="R202" s="209">
        <v>0.32500000000000001</v>
      </c>
      <c r="S202" s="209">
        <v>45.35</v>
      </c>
      <c r="T202" s="209">
        <v>46</v>
      </c>
      <c r="U202" s="709" t="s">
        <v>31</v>
      </c>
      <c r="V202" s="683">
        <v>31</v>
      </c>
      <c r="W202" s="683" t="s">
        <v>2027</v>
      </c>
      <c r="X202" s="689"/>
      <c r="Y202" s="205" t="s">
        <v>32</v>
      </c>
    </row>
    <row r="203" spans="1:25" s="683" customFormat="1" x14ac:dyDescent="0.25">
      <c r="A203" s="722">
        <v>43950</v>
      </c>
      <c r="B203" s="683" t="s">
        <v>915</v>
      </c>
      <c r="C203" s="682" t="s">
        <v>62</v>
      </c>
      <c r="D203" s="683">
        <v>38.159309999999998</v>
      </c>
      <c r="E203" s="683">
        <v>-122.0475</v>
      </c>
      <c r="F203" s="683" t="s">
        <v>2028</v>
      </c>
      <c r="G203" s="683" t="s">
        <v>27</v>
      </c>
      <c r="H203" s="683" t="s">
        <v>62</v>
      </c>
      <c r="I203" s="708">
        <v>0.40208333333333335</v>
      </c>
      <c r="J203" s="683" t="s">
        <v>28</v>
      </c>
      <c r="K203" s="683" t="s">
        <v>29</v>
      </c>
      <c r="L203" s="683" t="s">
        <v>30</v>
      </c>
      <c r="M203" s="683">
        <v>2</v>
      </c>
      <c r="N203" s="683">
        <v>10</v>
      </c>
      <c r="O203" s="209">
        <v>17.850000000000001</v>
      </c>
      <c r="P203" s="209">
        <v>5906.5</v>
      </c>
      <c r="Q203" s="209">
        <v>5956.5</v>
      </c>
      <c r="R203" s="209">
        <v>0.27500000000000002</v>
      </c>
      <c r="S203" s="209">
        <v>50.05</v>
      </c>
      <c r="T203" s="209">
        <v>65.400000000000006</v>
      </c>
      <c r="U203" s="709" t="s">
        <v>31</v>
      </c>
      <c r="V203" s="683">
        <v>2</v>
      </c>
      <c r="W203" s="683" t="s">
        <v>2029</v>
      </c>
      <c r="X203" s="689"/>
      <c r="Y203" s="205" t="s">
        <v>32</v>
      </c>
    </row>
    <row r="204" spans="1:25" s="683" customFormat="1" x14ac:dyDescent="0.25">
      <c r="A204" s="722">
        <v>43950</v>
      </c>
      <c r="B204" s="683" t="s">
        <v>915</v>
      </c>
      <c r="C204" s="682" t="s">
        <v>62</v>
      </c>
      <c r="D204" s="683">
        <v>38.181399999999996</v>
      </c>
      <c r="E204" s="683">
        <v>-121.99545000000001</v>
      </c>
      <c r="F204" s="683" t="s">
        <v>2030</v>
      </c>
      <c r="G204" s="683" t="s">
        <v>27</v>
      </c>
      <c r="H204" s="683" t="s">
        <v>62</v>
      </c>
      <c r="I204" s="708">
        <v>0.43472222222222223</v>
      </c>
      <c r="J204" s="683" t="s">
        <v>28</v>
      </c>
      <c r="K204" s="683" t="s">
        <v>29</v>
      </c>
      <c r="L204" s="683" t="s">
        <v>30</v>
      </c>
      <c r="M204" s="683">
        <v>2</v>
      </c>
      <c r="N204" s="683">
        <v>10</v>
      </c>
      <c r="O204" s="209">
        <v>26.05</v>
      </c>
      <c r="P204" s="209">
        <v>2990.5</v>
      </c>
      <c r="Q204" s="209">
        <v>2712.5</v>
      </c>
      <c r="R204" s="209">
        <v>0.31000000000000005</v>
      </c>
      <c r="S204" s="209">
        <v>49.55</v>
      </c>
      <c r="T204" s="209">
        <v>72.8</v>
      </c>
      <c r="U204" s="709" t="s">
        <v>31</v>
      </c>
      <c r="V204" s="683">
        <v>27</v>
      </c>
      <c r="W204" s="683" t="s">
        <v>2031</v>
      </c>
      <c r="X204" s="689"/>
      <c r="Y204" s="205" t="s">
        <v>32</v>
      </c>
    </row>
    <row r="205" spans="1:25" x14ac:dyDescent="0.25">
      <c r="A205" s="711">
        <v>43950</v>
      </c>
      <c r="B205" s="37" t="s">
        <v>915</v>
      </c>
      <c r="C205" s="693" t="s">
        <v>106</v>
      </c>
      <c r="D205" s="37">
        <v>38.335720000000002</v>
      </c>
      <c r="E205" s="37">
        <v>-121.64681</v>
      </c>
      <c r="F205" s="37" t="s">
        <v>2032</v>
      </c>
      <c r="G205" s="37" t="s">
        <v>90</v>
      </c>
      <c r="H205" s="750" t="s">
        <v>108</v>
      </c>
      <c r="I205" s="712">
        <v>0.37986111111111115</v>
      </c>
      <c r="J205" s="37" t="s">
        <v>28</v>
      </c>
      <c r="K205" s="37" t="s">
        <v>29</v>
      </c>
      <c r="L205" s="37" t="s">
        <v>30</v>
      </c>
      <c r="M205" s="37">
        <v>2</v>
      </c>
      <c r="N205" s="37">
        <v>10</v>
      </c>
      <c r="O205" s="91">
        <v>35</v>
      </c>
      <c r="P205" s="91">
        <v>290.2</v>
      </c>
      <c r="Q205" s="91">
        <v>293.64999999999998</v>
      </c>
      <c r="R205" s="91">
        <v>0.65999999999999992</v>
      </c>
      <c r="S205" s="91">
        <v>20.100000000000001</v>
      </c>
      <c r="T205" s="91">
        <v>19.7</v>
      </c>
      <c r="U205" s="37" t="s">
        <v>50</v>
      </c>
      <c r="V205" s="37" t="s">
        <v>50</v>
      </c>
      <c r="W205" s="37" t="s">
        <v>50</v>
      </c>
      <c r="Y205" s="750" t="s">
        <v>32</v>
      </c>
    </row>
    <row r="206" spans="1:25" x14ac:dyDescent="0.25">
      <c r="A206" s="711">
        <v>43950</v>
      </c>
      <c r="B206" s="37" t="s">
        <v>915</v>
      </c>
      <c r="C206" s="693" t="s">
        <v>106</v>
      </c>
      <c r="D206" s="37">
        <v>38.373060000000002</v>
      </c>
      <c r="E206" s="37">
        <v>-121.63015</v>
      </c>
      <c r="F206" s="37" t="s">
        <v>2033</v>
      </c>
      <c r="G206" s="37" t="s">
        <v>90</v>
      </c>
      <c r="H206" s="750" t="s">
        <v>108</v>
      </c>
      <c r="I206" s="712">
        <v>0.33263888888888887</v>
      </c>
      <c r="J206" s="37" t="s">
        <v>28</v>
      </c>
      <c r="K206" s="37" t="s">
        <v>29</v>
      </c>
      <c r="L206" s="37" t="s">
        <v>30</v>
      </c>
      <c r="M206" s="37">
        <v>2</v>
      </c>
      <c r="N206" s="37">
        <v>10</v>
      </c>
      <c r="O206" s="91">
        <v>34.799999999999997</v>
      </c>
      <c r="P206" s="91">
        <v>401.5</v>
      </c>
      <c r="Q206" s="91">
        <v>401.85</v>
      </c>
      <c r="R206" s="91">
        <v>0.44999999999999996</v>
      </c>
      <c r="S206" s="91">
        <v>30.799999999999997</v>
      </c>
      <c r="T206" s="91">
        <v>33.15</v>
      </c>
      <c r="U206" s="37" t="s">
        <v>50</v>
      </c>
      <c r="V206" s="37" t="s">
        <v>50</v>
      </c>
      <c r="W206" s="37" t="s">
        <v>50</v>
      </c>
      <c r="X206" s="698" t="s">
        <v>2034</v>
      </c>
      <c r="Y206" s="750" t="s">
        <v>32</v>
      </c>
    </row>
    <row r="207" spans="1:25" x14ac:dyDescent="0.25">
      <c r="A207" s="711">
        <v>43950</v>
      </c>
      <c r="B207" s="37" t="s">
        <v>915</v>
      </c>
      <c r="C207" s="693" t="s">
        <v>106</v>
      </c>
      <c r="D207" s="37">
        <v>38.210790000000003</v>
      </c>
      <c r="E207" s="37">
        <v>-121.66248</v>
      </c>
      <c r="F207" s="37" t="s">
        <v>2035</v>
      </c>
      <c r="G207" s="37" t="s">
        <v>90</v>
      </c>
      <c r="H207" s="750" t="s">
        <v>108</v>
      </c>
      <c r="I207" s="712">
        <v>0.41666666666666669</v>
      </c>
      <c r="J207" s="37" t="s">
        <v>28</v>
      </c>
      <c r="K207" s="37" t="s">
        <v>29</v>
      </c>
      <c r="L207" s="37" t="s">
        <v>30</v>
      </c>
      <c r="M207" s="37">
        <v>2</v>
      </c>
      <c r="N207" s="37">
        <v>10</v>
      </c>
      <c r="O207" s="91">
        <v>46.25</v>
      </c>
      <c r="P207" s="91">
        <v>173.25</v>
      </c>
      <c r="Q207" s="91">
        <v>173.2</v>
      </c>
      <c r="R207" s="91">
        <v>1.8</v>
      </c>
      <c r="S207" s="91">
        <v>8.5449999999999999</v>
      </c>
      <c r="T207" s="91">
        <v>8.2249999999999996</v>
      </c>
      <c r="U207" s="37" t="s">
        <v>50</v>
      </c>
      <c r="V207" s="37" t="s">
        <v>50</v>
      </c>
      <c r="W207" s="37" t="s">
        <v>50</v>
      </c>
      <c r="Y207" s="750" t="s">
        <v>32</v>
      </c>
    </row>
    <row r="208" spans="1:25" x14ac:dyDescent="0.25">
      <c r="A208" s="711">
        <v>43950</v>
      </c>
      <c r="B208" s="37" t="s">
        <v>915</v>
      </c>
      <c r="C208" s="693" t="s">
        <v>106</v>
      </c>
      <c r="D208" s="37">
        <v>38.192729999999997</v>
      </c>
      <c r="E208" s="37">
        <v>-121.65653</v>
      </c>
      <c r="F208" s="37" t="s">
        <v>2036</v>
      </c>
      <c r="G208" s="37" t="s">
        <v>90</v>
      </c>
      <c r="H208" s="750" t="s">
        <v>108</v>
      </c>
      <c r="I208" s="712">
        <v>0.44027777777777777</v>
      </c>
      <c r="J208" s="37" t="s">
        <v>28</v>
      </c>
      <c r="K208" s="37" t="s">
        <v>29</v>
      </c>
      <c r="L208" s="37" t="s">
        <v>30</v>
      </c>
      <c r="M208" s="37">
        <v>2</v>
      </c>
      <c r="N208" s="37">
        <v>10</v>
      </c>
      <c r="O208" s="91">
        <v>45.6</v>
      </c>
      <c r="P208" s="91">
        <v>173.65</v>
      </c>
      <c r="Q208" s="91">
        <v>174</v>
      </c>
      <c r="R208" s="91">
        <v>1.8</v>
      </c>
      <c r="S208" s="91">
        <v>6.6899999999999995</v>
      </c>
      <c r="T208" s="91">
        <v>5.3550000000000004</v>
      </c>
      <c r="U208" s="37" t="s">
        <v>50</v>
      </c>
      <c r="V208" s="37" t="s">
        <v>50</v>
      </c>
      <c r="W208" s="37" t="s">
        <v>50</v>
      </c>
      <c r="Y208" s="750" t="s">
        <v>32</v>
      </c>
    </row>
    <row r="209" spans="1:26" x14ac:dyDescent="0.25">
      <c r="A209" s="711">
        <v>43950</v>
      </c>
      <c r="B209" s="37" t="s">
        <v>915</v>
      </c>
      <c r="C209" s="693" t="s">
        <v>106</v>
      </c>
      <c r="D209" s="37">
        <v>38.366410000000002</v>
      </c>
      <c r="E209" s="37">
        <v>-121.63324</v>
      </c>
      <c r="F209" s="37" t="s">
        <v>2037</v>
      </c>
      <c r="G209" s="37" t="s">
        <v>90</v>
      </c>
      <c r="H209" s="750" t="s">
        <v>108</v>
      </c>
      <c r="I209" s="796">
        <v>0.35416666666666669</v>
      </c>
      <c r="J209" s="37" t="s">
        <v>28</v>
      </c>
      <c r="K209" s="37" t="s">
        <v>29</v>
      </c>
      <c r="L209" s="37" t="s">
        <v>30</v>
      </c>
      <c r="M209" s="37">
        <v>2</v>
      </c>
      <c r="N209" s="37">
        <v>10</v>
      </c>
      <c r="O209" s="91">
        <v>35.349999999999994</v>
      </c>
      <c r="P209" s="91">
        <v>375.3</v>
      </c>
      <c r="Q209" s="91">
        <v>376.55</v>
      </c>
      <c r="R209" s="91">
        <v>0.44999999999999996</v>
      </c>
      <c r="S209" s="91">
        <v>28.2</v>
      </c>
      <c r="T209" s="91">
        <v>26.4</v>
      </c>
      <c r="U209" s="37" t="s">
        <v>50</v>
      </c>
      <c r="V209" s="37" t="s">
        <v>50</v>
      </c>
      <c r="W209" s="37" t="s">
        <v>50</v>
      </c>
      <c r="Y209" s="750" t="s">
        <v>32</v>
      </c>
    </row>
    <row r="210" spans="1:26" s="683" customFormat="1" x14ac:dyDescent="0.25">
      <c r="A210" s="722">
        <v>43951</v>
      </c>
      <c r="B210" s="683" t="s">
        <v>876</v>
      </c>
      <c r="C210" s="682" t="s">
        <v>78</v>
      </c>
      <c r="D210" s="683">
        <v>38.055430000000001</v>
      </c>
      <c r="E210" s="683">
        <v>-121.87246</v>
      </c>
      <c r="F210" s="683" t="s">
        <v>2038</v>
      </c>
      <c r="G210" s="683" t="s">
        <v>27</v>
      </c>
      <c r="H210" s="683" t="s">
        <v>101</v>
      </c>
      <c r="I210" s="708">
        <v>0.33055555555555555</v>
      </c>
      <c r="J210" s="683" t="s">
        <v>28</v>
      </c>
      <c r="K210" s="683" t="s">
        <v>29</v>
      </c>
      <c r="L210" s="683" t="s">
        <v>30</v>
      </c>
      <c r="M210" s="683">
        <v>2</v>
      </c>
      <c r="N210" s="683">
        <v>10</v>
      </c>
      <c r="O210" s="209">
        <v>39</v>
      </c>
      <c r="P210" s="209">
        <v>3488</v>
      </c>
      <c r="Q210" s="209">
        <v>3518.5</v>
      </c>
      <c r="R210" s="209">
        <v>0.52500000000000002</v>
      </c>
      <c r="S210" s="209">
        <v>21.6</v>
      </c>
      <c r="T210" s="209">
        <v>21.4</v>
      </c>
      <c r="U210" s="709" t="s">
        <v>31</v>
      </c>
      <c r="V210" s="683">
        <v>1</v>
      </c>
      <c r="W210" s="683">
        <v>8.1</v>
      </c>
      <c r="X210" s="689"/>
      <c r="Y210" s="205" t="s">
        <v>32</v>
      </c>
    </row>
    <row r="211" spans="1:26" x14ac:dyDescent="0.25">
      <c r="A211" s="711">
        <v>43951</v>
      </c>
      <c r="B211" s="37" t="s">
        <v>876</v>
      </c>
      <c r="C211" s="693" t="s">
        <v>78</v>
      </c>
      <c r="D211" s="37">
        <v>38.06127</v>
      </c>
      <c r="E211" s="37">
        <v>-122.01007</v>
      </c>
      <c r="F211" s="37" t="s">
        <v>2039</v>
      </c>
      <c r="G211" s="37" t="s">
        <v>27</v>
      </c>
      <c r="H211" s="37" t="s">
        <v>86</v>
      </c>
      <c r="I211" s="712">
        <v>0.37152777777777773</v>
      </c>
      <c r="J211" s="37" t="s">
        <v>28</v>
      </c>
      <c r="K211" s="37" t="s">
        <v>29</v>
      </c>
      <c r="L211" s="37" t="s">
        <v>30</v>
      </c>
      <c r="M211" s="37">
        <v>2</v>
      </c>
      <c r="N211" s="37">
        <v>10</v>
      </c>
      <c r="O211" s="91">
        <v>46.45</v>
      </c>
      <c r="P211" s="91">
        <v>11689.5</v>
      </c>
      <c r="Q211" s="91">
        <v>17399.5</v>
      </c>
      <c r="R211" s="91">
        <v>0.55000000000000004</v>
      </c>
      <c r="S211" s="91">
        <v>15</v>
      </c>
      <c r="T211" s="91">
        <v>21.7</v>
      </c>
      <c r="U211" s="37" t="s">
        <v>50</v>
      </c>
      <c r="V211" s="37" t="s">
        <v>50</v>
      </c>
      <c r="W211" s="37" t="s">
        <v>50</v>
      </c>
      <c r="Y211" s="750" t="s">
        <v>32</v>
      </c>
    </row>
    <row r="212" spans="1:26" x14ac:dyDescent="0.25">
      <c r="A212" s="711">
        <v>43951</v>
      </c>
      <c r="B212" s="37" t="s">
        <v>876</v>
      </c>
      <c r="C212" s="693" t="s">
        <v>78</v>
      </c>
      <c r="D212" s="37">
        <v>38.057540000000003</v>
      </c>
      <c r="E212" s="37">
        <v>-122.11078000000001</v>
      </c>
      <c r="F212" s="37" t="s">
        <v>2040</v>
      </c>
      <c r="G212" s="37" t="s">
        <v>80</v>
      </c>
      <c r="H212" s="37" t="s">
        <v>81</v>
      </c>
      <c r="I212" s="712">
        <v>0.40763888888888888</v>
      </c>
      <c r="J212" s="37" t="s">
        <v>28</v>
      </c>
      <c r="K212" s="37" t="s">
        <v>29</v>
      </c>
      <c r="L212" s="37" t="s">
        <v>30</v>
      </c>
      <c r="M212" s="37">
        <v>2</v>
      </c>
      <c r="N212" s="37">
        <v>10</v>
      </c>
      <c r="O212" s="91">
        <v>44.05</v>
      </c>
      <c r="P212" s="91">
        <v>22614.5</v>
      </c>
      <c r="Q212" s="91">
        <v>24894.5</v>
      </c>
      <c r="R212" s="91">
        <v>0.76500000000000001</v>
      </c>
      <c r="S212" s="91">
        <v>9.7050000000000001</v>
      </c>
      <c r="T212" s="91">
        <v>25.7</v>
      </c>
      <c r="U212" s="37" t="s">
        <v>50</v>
      </c>
      <c r="V212" s="37" t="s">
        <v>50</v>
      </c>
      <c r="W212" s="37" t="s">
        <v>50</v>
      </c>
      <c r="Y212" s="750" t="s">
        <v>32</v>
      </c>
    </row>
    <row r="213" spans="1:26" s="683" customFormat="1" x14ac:dyDescent="0.25">
      <c r="A213" s="722">
        <v>43951</v>
      </c>
      <c r="B213" s="683" t="s">
        <v>876</v>
      </c>
      <c r="C213" s="682" t="s">
        <v>78</v>
      </c>
      <c r="D213" s="683">
        <v>38.09543</v>
      </c>
      <c r="E213" s="683">
        <v>-122.07279</v>
      </c>
      <c r="F213" s="683" t="s">
        <v>2041</v>
      </c>
      <c r="G213" s="683" t="s">
        <v>80</v>
      </c>
      <c r="H213" s="683" t="s">
        <v>81</v>
      </c>
      <c r="I213" s="708">
        <v>0.44444444444444442</v>
      </c>
      <c r="J213" s="683" t="s">
        <v>28</v>
      </c>
      <c r="K213" s="683" t="s">
        <v>29</v>
      </c>
      <c r="L213" s="683" t="s">
        <v>30</v>
      </c>
      <c r="M213" s="683">
        <v>2</v>
      </c>
      <c r="N213" s="683">
        <v>10</v>
      </c>
      <c r="O213" s="209">
        <v>16.7</v>
      </c>
      <c r="P213" s="209">
        <v>11357</v>
      </c>
      <c r="Q213" s="209">
        <v>12325.5</v>
      </c>
      <c r="R213" s="209">
        <v>0.23499999999999999</v>
      </c>
      <c r="S213" s="209">
        <v>67.8</v>
      </c>
      <c r="T213" s="209">
        <v>94.75</v>
      </c>
      <c r="U213" s="709" t="s">
        <v>31</v>
      </c>
      <c r="V213" s="683">
        <v>72</v>
      </c>
      <c r="W213" s="683" t="s">
        <v>2042</v>
      </c>
      <c r="X213" s="689"/>
      <c r="Y213" s="205" t="s">
        <v>32</v>
      </c>
    </row>
    <row r="214" spans="1:26" s="683" customFormat="1" x14ac:dyDescent="0.25">
      <c r="A214" s="722">
        <v>43951</v>
      </c>
      <c r="B214" s="683" t="s">
        <v>876</v>
      </c>
      <c r="C214" s="682" t="s">
        <v>78</v>
      </c>
      <c r="D214" s="683">
        <v>38.073160000000001</v>
      </c>
      <c r="E214" s="683">
        <v>-121.98781</v>
      </c>
      <c r="F214" s="683" t="s">
        <v>2043</v>
      </c>
      <c r="G214" s="683" t="s">
        <v>27</v>
      </c>
      <c r="H214" s="683" t="s">
        <v>86</v>
      </c>
      <c r="I214" s="708">
        <v>0.4777777777777778</v>
      </c>
      <c r="J214" s="683" t="s">
        <v>28</v>
      </c>
      <c r="K214" s="683" t="s">
        <v>29</v>
      </c>
      <c r="L214" s="683" t="s">
        <v>30</v>
      </c>
      <c r="M214" s="683">
        <v>2</v>
      </c>
      <c r="N214" s="683">
        <v>10</v>
      </c>
      <c r="O214" s="209">
        <v>18.850000000000001</v>
      </c>
      <c r="P214" s="209">
        <v>8569</v>
      </c>
      <c r="Q214" s="209">
        <v>8580.5</v>
      </c>
      <c r="R214" s="209">
        <v>0.41499999999999998</v>
      </c>
      <c r="S214" s="209">
        <v>34.799999999999997</v>
      </c>
      <c r="T214" s="209">
        <v>40.049999999999997</v>
      </c>
      <c r="U214" s="709" t="s">
        <v>31</v>
      </c>
      <c r="V214" s="205">
        <v>5</v>
      </c>
      <c r="W214" s="205" t="s">
        <v>2044</v>
      </c>
      <c r="X214" s="210"/>
      <c r="Y214" s="205" t="s">
        <v>32</v>
      </c>
    </row>
    <row r="215" spans="1:26" x14ac:dyDescent="0.25">
      <c r="A215" s="711">
        <v>43951</v>
      </c>
      <c r="B215" s="37" t="s">
        <v>876</v>
      </c>
      <c r="C215" s="693" t="s">
        <v>845</v>
      </c>
      <c r="D215" s="37">
        <v>38.256129999999999</v>
      </c>
      <c r="E215" s="37">
        <v>-121.73272</v>
      </c>
      <c r="F215" s="37" t="s">
        <v>2045</v>
      </c>
      <c r="G215" s="37" t="s">
        <v>90</v>
      </c>
      <c r="H215" s="37" t="s">
        <v>126</v>
      </c>
      <c r="I215" s="712">
        <v>0.3354166666666667</v>
      </c>
      <c r="J215" s="37" t="s">
        <v>28</v>
      </c>
      <c r="K215" s="37" t="s">
        <v>29</v>
      </c>
      <c r="L215" s="37" t="s">
        <v>30</v>
      </c>
      <c r="M215" s="37">
        <v>2</v>
      </c>
      <c r="N215" s="37">
        <v>10</v>
      </c>
      <c r="O215" s="91">
        <v>18.399999999999999</v>
      </c>
      <c r="P215" s="91">
        <v>236.5</v>
      </c>
      <c r="Q215" s="91">
        <v>236</v>
      </c>
      <c r="R215" s="91">
        <v>1.0249999999999999</v>
      </c>
      <c r="S215" s="91">
        <v>6.0299999999999994</v>
      </c>
      <c r="T215" s="91">
        <v>7.7750000000000004</v>
      </c>
      <c r="U215" s="37" t="s">
        <v>50</v>
      </c>
      <c r="V215" s="37" t="s">
        <v>50</v>
      </c>
      <c r="W215" s="37" t="s">
        <v>50</v>
      </c>
      <c r="Y215" s="750" t="s">
        <v>32</v>
      </c>
    </row>
    <row r="216" spans="1:26" x14ac:dyDescent="0.25">
      <c r="A216" s="711">
        <v>43951</v>
      </c>
      <c r="B216" s="37" t="s">
        <v>876</v>
      </c>
      <c r="C216" s="693" t="s">
        <v>845</v>
      </c>
      <c r="D216" s="37">
        <v>38.255699999999997</v>
      </c>
      <c r="E216" s="37">
        <v>-121.68853</v>
      </c>
      <c r="F216" s="37" t="s">
        <v>2046</v>
      </c>
      <c r="G216" s="37" t="s">
        <v>90</v>
      </c>
      <c r="H216" s="37" t="s">
        <v>126</v>
      </c>
      <c r="I216" s="712">
        <v>0.36736111111111108</v>
      </c>
      <c r="J216" s="37" t="s">
        <v>28</v>
      </c>
      <c r="K216" s="37" t="s">
        <v>29</v>
      </c>
      <c r="L216" s="37" t="s">
        <v>30</v>
      </c>
      <c r="M216" s="37">
        <v>2</v>
      </c>
      <c r="N216" s="37">
        <v>10</v>
      </c>
      <c r="O216" s="91">
        <v>24.2</v>
      </c>
      <c r="P216" s="91">
        <v>185.85000000000002</v>
      </c>
      <c r="Q216" s="91">
        <v>186.10000000000002</v>
      </c>
      <c r="R216" s="91">
        <v>1.75</v>
      </c>
      <c r="S216" s="91">
        <v>5.1349999999999998</v>
      </c>
      <c r="T216" s="91">
        <v>7.6549999999999994</v>
      </c>
      <c r="U216" s="37" t="s">
        <v>50</v>
      </c>
      <c r="V216" s="37" t="s">
        <v>50</v>
      </c>
      <c r="W216" s="37" t="s">
        <v>50</v>
      </c>
      <c r="Y216" s="750" t="s">
        <v>32</v>
      </c>
    </row>
    <row r="217" spans="1:26" x14ac:dyDescent="0.25">
      <c r="A217" s="711">
        <v>43951</v>
      </c>
      <c r="B217" s="37" t="s">
        <v>876</v>
      </c>
      <c r="C217" s="693" t="s">
        <v>845</v>
      </c>
      <c r="D217" s="37">
        <v>38.265180000000001</v>
      </c>
      <c r="E217" s="37">
        <v>-121.69699</v>
      </c>
      <c r="F217" s="37" t="s">
        <v>2047</v>
      </c>
      <c r="G217" s="37" t="s">
        <v>90</v>
      </c>
      <c r="H217" s="37" t="s">
        <v>126</v>
      </c>
      <c r="I217" s="712">
        <v>0.39583333333333331</v>
      </c>
      <c r="J217" s="37" t="s">
        <v>28</v>
      </c>
      <c r="K217" s="37" t="s">
        <v>29</v>
      </c>
      <c r="L217" s="37" t="s">
        <v>30</v>
      </c>
      <c r="M217" s="37">
        <v>3</v>
      </c>
      <c r="N217" s="37">
        <v>10</v>
      </c>
      <c r="O217" s="91">
        <v>12.866666666666667</v>
      </c>
      <c r="P217" s="91">
        <v>199.89999999999998</v>
      </c>
      <c r="Q217" s="91">
        <v>199.73333333333332</v>
      </c>
      <c r="R217" s="91">
        <v>1.3566666666666667</v>
      </c>
      <c r="S217" s="91">
        <v>11.466666666666667</v>
      </c>
      <c r="T217" s="91">
        <v>66.173333333333332</v>
      </c>
      <c r="U217" s="37" t="s">
        <v>50</v>
      </c>
      <c r="V217" s="37" t="s">
        <v>50</v>
      </c>
      <c r="W217" s="37" t="s">
        <v>50</v>
      </c>
      <c r="X217" s="698" t="s">
        <v>2048</v>
      </c>
      <c r="Y217" s="750" t="s">
        <v>32</v>
      </c>
    </row>
    <row r="218" spans="1:26" x14ac:dyDescent="0.25">
      <c r="A218" s="711">
        <v>43951</v>
      </c>
      <c r="B218" s="37" t="s">
        <v>876</v>
      </c>
      <c r="C218" s="693" t="s">
        <v>845</v>
      </c>
      <c r="D218" s="37">
        <v>38.266979999999997</v>
      </c>
      <c r="E218" s="37">
        <v>-121.69387999999999</v>
      </c>
      <c r="F218" s="37" t="s">
        <v>2049</v>
      </c>
      <c r="G218" s="37" t="s">
        <v>90</v>
      </c>
      <c r="H218" s="37" t="s">
        <v>126</v>
      </c>
      <c r="I218" s="712">
        <v>0.43194444444444446</v>
      </c>
      <c r="J218" s="37" t="s">
        <v>28</v>
      </c>
      <c r="K218" s="37" t="s">
        <v>29</v>
      </c>
      <c r="L218" s="37" t="s">
        <v>30</v>
      </c>
      <c r="M218" s="37">
        <v>2</v>
      </c>
      <c r="N218" s="37">
        <v>10</v>
      </c>
      <c r="O218" s="91">
        <v>17.799999999999997</v>
      </c>
      <c r="P218" s="91">
        <v>199.6</v>
      </c>
      <c r="Q218" s="91">
        <v>198.9</v>
      </c>
      <c r="R218" s="91">
        <v>1.7749999999999999</v>
      </c>
      <c r="S218" s="91">
        <v>8.8699999999999992</v>
      </c>
      <c r="T218" s="91">
        <v>6.1850000000000005</v>
      </c>
      <c r="U218" s="37" t="s">
        <v>50</v>
      </c>
      <c r="V218" s="37" t="s">
        <v>50</v>
      </c>
      <c r="W218" s="37" t="s">
        <v>50</v>
      </c>
      <c r="Y218" s="750" t="s">
        <v>32</v>
      </c>
    </row>
    <row r="219" spans="1:26" s="759" customFormat="1" x14ac:dyDescent="0.25">
      <c r="A219" s="798">
        <v>43951</v>
      </c>
      <c r="B219" s="759" t="s">
        <v>876</v>
      </c>
      <c r="C219" s="799" t="s">
        <v>845</v>
      </c>
      <c r="D219" s="759">
        <v>38.235709999999997</v>
      </c>
      <c r="E219" s="759">
        <v>-121.67976</v>
      </c>
      <c r="F219" s="759" t="s">
        <v>2050</v>
      </c>
      <c r="G219" s="759" t="s">
        <v>90</v>
      </c>
      <c r="H219" s="759" t="s">
        <v>126</v>
      </c>
      <c r="I219" s="800">
        <v>0.46458333333333335</v>
      </c>
      <c r="J219" s="759" t="s">
        <v>28</v>
      </c>
      <c r="K219" s="759" t="s">
        <v>29</v>
      </c>
      <c r="L219" s="759" t="s">
        <v>30</v>
      </c>
      <c r="M219" s="759">
        <v>2</v>
      </c>
      <c r="N219" s="759">
        <v>10</v>
      </c>
      <c r="O219" s="802">
        <v>33.15</v>
      </c>
      <c r="P219" s="802">
        <v>178.14999999999998</v>
      </c>
      <c r="Q219" s="802">
        <v>177.8</v>
      </c>
      <c r="R219" s="802">
        <v>1.3900000000000001</v>
      </c>
      <c r="S219" s="802">
        <v>6.625</v>
      </c>
      <c r="T219" s="802">
        <v>5.6</v>
      </c>
      <c r="U219" s="759" t="s">
        <v>50</v>
      </c>
      <c r="V219" s="759" t="s">
        <v>50</v>
      </c>
      <c r="W219" s="759" t="s">
        <v>50</v>
      </c>
      <c r="X219" s="803"/>
      <c r="Y219" s="763" t="s">
        <v>32</v>
      </c>
    </row>
    <row r="220" spans="1:26" x14ac:dyDescent="0.25">
      <c r="A220" s="711">
        <v>43955</v>
      </c>
      <c r="B220" s="37" t="s">
        <v>43</v>
      </c>
      <c r="C220" s="693" t="s">
        <v>78</v>
      </c>
      <c r="D220" s="37">
        <v>38.074480000000001</v>
      </c>
      <c r="E220" s="37">
        <v>-122.08767</v>
      </c>
      <c r="F220" s="37" t="s">
        <v>2051</v>
      </c>
      <c r="G220" s="37" t="s">
        <v>80</v>
      </c>
      <c r="H220" s="37" t="s">
        <v>81</v>
      </c>
      <c r="I220" s="712">
        <v>0.38611111111111113</v>
      </c>
      <c r="J220" s="37" t="s">
        <v>28</v>
      </c>
      <c r="K220" s="37" t="s">
        <v>29</v>
      </c>
      <c r="L220" s="37" t="s">
        <v>30</v>
      </c>
      <c r="M220" s="37">
        <v>2</v>
      </c>
      <c r="N220" s="37">
        <v>10</v>
      </c>
      <c r="O220" s="91">
        <v>28.35</v>
      </c>
      <c r="P220" s="91">
        <v>10739</v>
      </c>
      <c r="Q220" s="91">
        <v>13220</v>
      </c>
      <c r="R220" s="91">
        <v>0.28500000000000003</v>
      </c>
      <c r="S220" s="91" t="s">
        <v>50</v>
      </c>
      <c r="T220" s="91" t="s">
        <v>50</v>
      </c>
      <c r="U220" s="37" t="s">
        <v>50</v>
      </c>
      <c r="V220" s="37" t="s">
        <v>50</v>
      </c>
      <c r="W220" s="37" t="s">
        <v>50</v>
      </c>
      <c r="X220" s="698" t="s">
        <v>263</v>
      </c>
      <c r="Y220" s="750" t="s">
        <v>32</v>
      </c>
    </row>
    <row r="221" spans="1:26" x14ac:dyDescent="0.25">
      <c r="A221" s="711">
        <v>43955</v>
      </c>
      <c r="B221" s="37" t="s">
        <v>43</v>
      </c>
      <c r="C221" s="693" t="s">
        <v>78</v>
      </c>
      <c r="D221" s="37">
        <v>38.095880000000001</v>
      </c>
      <c r="E221" s="37">
        <v>-122.05782000000001</v>
      </c>
      <c r="F221" s="37" t="s">
        <v>2052</v>
      </c>
      <c r="G221" s="37" t="s">
        <v>27</v>
      </c>
      <c r="H221" s="37" t="s">
        <v>86</v>
      </c>
      <c r="I221" s="712">
        <v>0.4145833333333333</v>
      </c>
      <c r="J221" s="37" t="s">
        <v>28</v>
      </c>
      <c r="K221" s="37" t="s">
        <v>29</v>
      </c>
      <c r="L221" s="37" t="s">
        <v>30</v>
      </c>
      <c r="M221" s="37">
        <v>2</v>
      </c>
      <c r="N221" s="37">
        <v>10</v>
      </c>
      <c r="O221" s="91">
        <v>24.7</v>
      </c>
      <c r="P221" s="91">
        <v>9624.5</v>
      </c>
      <c r="Q221" s="91">
        <v>10813.5</v>
      </c>
      <c r="R221" s="91">
        <v>0.315</v>
      </c>
      <c r="S221" s="91" t="s">
        <v>50</v>
      </c>
      <c r="T221" s="91" t="s">
        <v>50</v>
      </c>
      <c r="U221" s="37" t="s">
        <v>50</v>
      </c>
      <c r="V221" s="37" t="s">
        <v>50</v>
      </c>
      <c r="W221" s="37" t="s">
        <v>50</v>
      </c>
      <c r="X221" s="698" t="s">
        <v>263</v>
      </c>
      <c r="Y221" s="750" t="s">
        <v>32</v>
      </c>
    </row>
    <row r="222" spans="1:26" x14ac:dyDescent="0.25">
      <c r="A222" s="711">
        <v>43955</v>
      </c>
      <c r="B222" s="37" t="s">
        <v>43</v>
      </c>
      <c r="C222" s="693" t="s">
        <v>78</v>
      </c>
      <c r="D222" s="37">
        <v>38.074399999999997</v>
      </c>
      <c r="E222" s="37">
        <v>-121.98648</v>
      </c>
      <c r="F222" s="37" t="s">
        <v>2053</v>
      </c>
      <c r="G222" s="37" t="s">
        <v>27</v>
      </c>
      <c r="H222" s="37" t="s">
        <v>86</v>
      </c>
      <c r="I222" s="712">
        <v>0.4465277777777778</v>
      </c>
      <c r="J222" s="37" t="s">
        <v>28</v>
      </c>
      <c r="K222" s="37" t="s">
        <v>29</v>
      </c>
      <c r="L222" s="37" t="s">
        <v>30</v>
      </c>
      <c r="M222" s="37">
        <v>2</v>
      </c>
      <c r="N222" s="37">
        <v>10</v>
      </c>
      <c r="O222" s="91">
        <v>19.049999999999997</v>
      </c>
      <c r="P222" s="91">
        <v>5205</v>
      </c>
      <c r="Q222" s="91">
        <v>5919.5</v>
      </c>
      <c r="R222" s="91">
        <v>0.39</v>
      </c>
      <c r="S222" s="91" t="s">
        <v>50</v>
      </c>
      <c r="T222" s="91" t="s">
        <v>50</v>
      </c>
      <c r="U222" s="37" t="s">
        <v>50</v>
      </c>
      <c r="V222" s="37" t="s">
        <v>50</v>
      </c>
      <c r="W222" s="37" t="s">
        <v>50</v>
      </c>
      <c r="X222" s="698" t="s">
        <v>263</v>
      </c>
      <c r="Y222" s="750" t="s">
        <v>32</v>
      </c>
    </row>
    <row r="223" spans="1:26" s="683" customFormat="1" x14ac:dyDescent="0.25">
      <c r="A223" s="722">
        <v>43955</v>
      </c>
      <c r="B223" s="683" t="s">
        <v>43</v>
      </c>
      <c r="C223" s="682" t="s">
        <v>78</v>
      </c>
      <c r="D223" s="683">
        <v>38.082590000000003</v>
      </c>
      <c r="E223" s="683">
        <v>-122.05522999999999</v>
      </c>
      <c r="F223" s="683" t="s">
        <v>2054</v>
      </c>
      <c r="G223" s="683" t="s">
        <v>27</v>
      </c>
      <c r="H223" s="683" t="s">
        <v>86</v>
      </c>
      <c r="I223" s="708">
        <v>0.3347222222222222</v>
      </c>
      <c r="J223" s="683" t="s">
        <v>28</v>
      </c>
      <c r="K223" s="683" t="s">
        <v>29</v>
      </c>
      <c r="L223" s="683" t="s">
        <v>30</v>
      </c>
      <c r="M223" s="683">
        <v>2</v>
      </c>
      <c r="N223" s="683">
        <v>10</v>
      </c>
      <c r="O223" s="209">
        <v>17.399999999999999</v>
      </c>
      <c r="P223" s="209">
        <v>8656.5</v>
      </c>
      <c r="Q223" s="209">
        <v>8994.5</v>
      </c>
      <c r="R223" s="209">
        <v>0.26500000000000001</v>
      </c>
      <c r="S223" s="209" t="s">
        <v>50</v>
      </c>
      <c r="T223" s="209" t="s">
        <v>50</v>
      </c>
      <c r="U223" s="747" t="s">
        <v>31</v>
      </c>
      <c r="V223" s="205">
        <v>3</v>
      </c>
      <c r="W223" s="205" t="s">
        <v>2055</v>
      </c>
      <c r="X223" s="210" t="s">
        <v>263</v>
      </c>
      <c r="Y223" s="205" t="s">
        <v>32</v>
      </c>
      <c r="Z223" s="205"/>
    </row>
    <row r="224" spans="1:26" s="683" customFormat="1" x14ac:dyDescent="0.25">
      <c r="A224" s="722">
        <v>43955</v>
      </c>
      <c r="B224" s="683" t="s">
        <v>43</v>
      </c>
      <c r="C224" s="682" t="s">
        <v>78</v>
      </c>
      <c r="D224" s="683">
        <v>38.049140000000001</v>
      </c>
      <c r="E224" s="683">
        <v>-121.90654000000001</v>
      </c>
      <c r="F224" s="683" t="s">
        <v>2056</v>
      </c>
      <c r="G224" s="683" t="s">
        <v>27</v>
      </c>
      <c r="H224" s="683" t="s">
        <v>101</v>
      </c>
      <c r="I224" s="708">
        <v>0.47638888888888892</v>
      </c>
      <c r="J224" s="683" t="s">
        <v>28</v>
      </c>
      <c r="K224" s="683" t="s">
        <v>29</v>
      </c>
      <c r="L224" s="683" t="s">
        <v>30</v>
      </c>
      <c r="M224" s="683">
        <v>2</v>
      </c>
      <c r="N224" s="683">
        <v>10</v>
      </c>
      <c r="O224" s="209">
        <v>36.150000000000006</v>
      </c>
      <c r="P224" s="209">
        <v>2124.5</v>
      </c>
      <c r="Q224" s="209">
        <v>2270</v>
      </c>
      <c r="R224" s="209">
        <v>0.36</v>
      </c>
      <c r="S224" s="209" t="s">
        <v>50</v>
      </c>
      <c r="T224" s="209" t="s">
        <v>50</v>
      </c>
      <c r="U224" s="747" t="s">
        <v>31</v>
      </c>
      <c r="V224" s="205">
        <v>19</v>
      </c>
      <c r="W224" s="205" t="s">
        <v>2057</v>
      </c>
      <c r="X224" s="210" t="s">
        <v>263</v>
      </c>
      <c r="Y224" s="205" t="s">
        <v>32</v>
      </c>
      <c r="Z224" s="205"/>
    </row>
    <row r="225" spans="1:26" x14ac:dyDescent="0.25">
      <c r="A225" s="711">
        <v>43955</v>
      </c>
      <c r="B225" s="37" t="s">
        <v>43</v>
      </c>
      <c r="C225" s="693" t="s">
        <v>106</v>
      </c>
      <c r="D225" s="37">
        <v>38.186349999999997</v>
      </c>
      <c r="E225" s="37">
        <v>-121.66024</v>
      </c>
      <c r="F225" s="37" t="s">
        <v>2058</v>
      </c>
      <c r="G225" s="37" t="s">
        <v>90</v>
      </c>
      <c r="H225" s="37" t="s">
        <v>108</v>
      </c>
      <c r="I225" s="712">
        <v>0.32500000000000001</v>
      </c>
      <c r="J225" s="37" t="s">
        <v>28</v>
      </c>
      <c r="K225" s="37" t="s">
        <v>29</v>
      </c>
      <c r="L225" s="37" t="s">
        <v>30</v>
      </c>
      <c r="M225" s="37">
        <v>2</v>
      </c>
      <c r="N225" s="37">
        <v>10</v>
      </c>
      <c r="O225" s="91">
        <v>64.905000000000001</v>
      </c>
      <c r="P225" s="91">
        <v>176</v>
      </c>
      <c r="Q225" s="91">
        <v>175.65</v>
      </c>
      <c r="R225" s="91">
        <v>1.6099999999999999</v>
      </c>
      <c r="S225" s="91">
        <v>7.05</v>
      </c>
      <c r="T225" s="91">
        <v>8.33</v>
      </c>
      <c r="U225" s="750" t="s">
        <v>50</v>
      </c>
      <c r="V225" s="750" t="s">
        <v>50</v>
      </c>
      <c r="W225" s="750" t="s">
        <v>50</v>
      </c>
      <c r="X225" s="794"/>
      <c r="Y225" s="750" t="s">
        <v>32</v>
      </c>
      <c r="Z225" s="750"/>
    </row>
    <row r="226" spans="1:26" s="683" customFormat="1" x14ac:dyDescent="0.25">
      <c r="A226" s="722">
        <v>43955</v>
      </c>
      <c r="B226" s="683" t="s">
        <v>43</v>
      </c>
      <c r="C226" s="682" t="s">
        <v>106</v>
      </c>
      <c r="D226" s="683">
        <v>38.563279999999999</v>
      </c>
      <c r="E226" s="683">
        <v>-121.55218000000001</v>
      </c>
      <c r="F226" s="683" t="s">
        <v>2059</v>
      </c>
      <c r="G226" s="683" t="s">
        <v>90</v>
      </c>
      <c r="H226" s="683" t="s">
        <v>1787</v>
      </c>
      <c r="I226" s="708">
        <v>0.41111111111111115</v>
      </c>
      <c r="J226" s="683" t="s">
        <v>28</v>
      </c>
      <c r="K226" s="683" t="s">
        <v>29</v>
      </c>
      <c r="L226" s="683" t="s">
        <v>30</v>
      </c>
      <c r="M226" s="683">
        <v>2</v>
      </c>
      <c r="N226" s="683">
        <v>10</v>
      </c>
      <c r="O226" s="209">
        <v>33.93</v>
      </c>
      <c r="P226" s="209">
        <v>1155</v>
      </c>
      <c r="Q226" s="209">
        <v>1183</v>
      </c>
      <c r="R226" s="209">
        <v>1.8</v>
      </c>
      <c r="S226" s="209">
        <v>2.605</v>
      </c>
      <c r="T226" s="209">
        <v>17.75</v>
      </c>
      <c r="U226" s="747" t="s">
        <v>31</v>
      </c>
      <c r="V226" s="205">
        <v>1</v>
      </c>
      <c r="W226" s="205">
        <v>8.5</v>
      </c>
      <c r="X226" s="210" t="s">
        <v>2060</v>
      </c>
      <c r="Y226" s="205" t="s">
        <v>32</v>
      </c>
      <c r="Z226" s="205"/>
    </row>
    <row r="227" spans="1:26" x14ac:dyDescent="0.25">
      <c r="A227" s="711">
        <v>43955</v>
      </c>
      <c r="B227" s="37" t="s">
        <v>43</v>
      </c>
      <c r="C227" s="693" t="s">
        <v>106</v>
      </c>
      <c r="D227" s="37">
        <v>38.493850000000002</v>
      </c>
      <c r="E227" s="37">
        <v>-121.58466</v>
      </c>
      <c r="F227" s="37" t="s">
        <v>2061</v>
      </c>
      <c r="G227" s="37" t="s">
        <v>90</v>
      </c>
      <c r="H227" s="37" t="s">
        <v>1787</v>
      </c>
      <c r="I227" s="712">
        <v>0.47013888888888888</v>
      </c>
      <c r="J227" s="37" t="s">
        <v>28</v>
      </c>
      <c r="K227" s="37" t="s">
        <v>29</v>
      </c>
      <c r="L227" s="37" t="s">
        <v>30</v>
      </c>
      <c r="M227" s="37">
        <v>2</v>
      </c>
      <c r="N227" s="37">
        <v>10</v>
      </c>
      <c r="O227" s="91">
        <v>31.91</v>
      </c>
      <c r="P227" s="91">
        <v>1018</v>
      </c>
      <c r="Q227" s="91">
        <v>1005.5</v>
      </c>
      <c r="R227" s="91">
        <v>0.97</v>
      </c>
      <c r="S227" s="91">
        <v>11.45</v>
      </c>
      <c r="T227" s="91">
        <v>21.3</v>
      </c>
      <c r="U227" s="750" t="s">
        <v>50</v>
      </c>
      <c r="V227" s="750" t="s">
        <v>50</v>
      </c>
      <c r="W227" s="750" t="s">
        <v>50</v>
      </c>
      <c r="X227" s="794"/>
      <c r="Y227" s="750" t="s">
        <v>32</v>
      </c>
      <c r="Z227" s="750"/>
    </row>
    <row r="228" spans="1:26" x14ac:dyDescent="0.25">
      <c r="A228" s="711">
        <v>43955</v>
      </c>
      <c r="B228" s="37" t="s">
        <v>43</v>
      </c>
      <c r="C228" s="693" t="s">
        <v>106</v>
      </c>
      <c r="D228" s="37">
        <v>38.507170000000002</v>
      </c>
      <c r="E228" s="37">
        <v>-121.58479</v>
      </c>
      <c r="F228" s="37" t="s">
        <v>2062</v>
      </c>
      <c r="G228" s="37" t="s">
        <v>90</v>
      </c>
      <c r="H228" s="37" t="s">
        <v>1787</v>
      </c>
      <c r="I228" s="712">
        <v>0.44375000000000003</v>
      </c>
      <c r="J228" s="37" t="s">
        <v>28</v>
      </c>
      <c r="K228" s="37" t="s">
        <v>29</v>
      </c>
      <c r="L228" s="37" t="s">
        <v>30</v>
      </c>
      <c r="M228" s="37">
        <v>2</v>
      </c>
      <c r="N228" s="37">
        <v>10</v>
      </c>
      <c r="O228" s="91">
        <v>32.65</v>
      </c>
      <c r="P228" s="91">
        <v>1045.5</v>
      </c>
      <c r="Q228" s="91">
        <v>1036</v>
      </c>
      <c r="R228" s="91">
        <v>0.94500000000000006</v>
      </c>
      <c r="S228" s="91">
        <v>9.5599999999999987</v>
      </c>
      <c r="T228" s="91">
        <v>26.549999999999997</v>
      </c>
      <c r="U228" s="750" t="s">
        <v>50</v>
      </c>
      <c r="V228" s="750" t="s">
        <v>50</v>
      </c>
      <c r="W228" s="750" t="s">
        <v>50</v>
      </c>
      <c r="X228" s="794"/>
      <c r="Y228" s="750" t="s">
        <v>32</v>
      </c>
      <c r="Z228" s="750"/>
    </row>
    <row r="229" spans="1:26" x14ac:dyDescent="0.25">
      <c r="A229" s="711">
        <v>43955</v>
      </c>
      <c r="B229" s="37" t="s">
        <v>43</v>
      </c>
      <c r="C229" s="693" t="s">
        <v>106</v>
      </c>
      <c r="D229" s="37">
        <v>38.46622</v>
      </c>
      <c r="E229" s="37">
        <v>-121.58699</v>
      </c>
      <c r="F229" s="37" t="s">
        <v>2063</v>
      </c>
      <c r="G229" s="37" t="s">
        <v>90</v>
      </c>
      <c r="H229" s="37" t="s">
        <v>108</v>
      </c>
      <c r="I229" s="712">
        <v>0.37777777777777777</v>
      </c>
      <c r="J229" s="37" t="s">
        <v>28</v>
      </c>
      <c r="K229" s="37" t="s">
        <v>29</v>
      </c>
      <c r="L229" s="37" t="s">
        <v>30</v>
      </c>
      <c r="M229" s="37">
        <v>2</v>
      </c>
      <c r="N229" s="37">
        <v>10</v>
      </c>
      <c r="O229" s="91">
        <v>33.46</v>
      </c>
      <c r="P229" s="91">
        <v>935.5</v>
      </c>
      <c r="Q229" s="91">
        <v>933</v>
      </c>
      <c r="R229" s="91">
        <v>0.63500000000000001</v>
      </c>
      <c r="S229" s="91">
        <v>16.45</v>
      </c>
      <c r="T229" s="91">
        <v>22.7</v>
      </c>
      <c r="U229" s="750" t="s">
        <v>50</v>
      </c>
      <c r="V229" s="750" t="s">
        <v>50</v>
      </c>
      <c r="W229" s="750" t="s">
        <v>50</v>
      </c>
      <c r="X229" s="794" t="s">
        <v>2064</v>
      </c>
      <c r="Y229" s="750" t="s">
        <v>32</v>
      </c>
      <c r="Z229" s="750"/>
    </row>
    <row r="230" spans="1:26" x14ac:dyDescent="0.25">
      <c r="A230" s="711">
        <v>43956</v>
      </c>
      <c r="B230" s="37" t="s">
        <v>849</v>
      </c>
      <c r="C230" s="693" t="s">
        <v>78</v>
      </c>
      <c r="D230" s="37">
        <v>38.028309999999998</v>
      </c>
      <c r="E230" s="37">
        <v>-121.83547</v>
      </c>
      <c r="F230" s="37" t="s">
        <v>2065</v>
      </c>
      <c r="G230" s="37" t="s">
        <v>27</v>
      </c>
      <c r="H230" s="37" t="s">
        <v>101</v>
      </c>
      <c r="I230" s="712">
        <v>0.3347222222222222</v>
      </c>
      <c r="J230" s="37" t="s">
        <v>28</v>
      </c>
      <c r="K230" s="37" t="s">
        <v>29</v>
      </c>
      <c r="L230" s="37" t="s">
        <v>30</v>
      </c>
      <c r="M230" s="37">
        <v>2</v>
      </c>
      <c r="N230" s="37">
        <v>10</v>
      </c>
      <c r="O230" s="91">
        <v>40.15</v>
      </c>
      <c r="P230" s="91">
        <v>715</v>
      </c>
      <c r="Q230" s="91">
        <v>763</v>
      </c>
      <c r="R230" s="91">
        <v>0.51500000000000001</v>
      </c>
      <c r="S230" s="91">
        <v>19.25</v>
      </c>
      <c r="T230" s="91">
        <v>23.8</v>
      </c>
      <c r="U230" s="750" t="s">
        <v>50</v>
      </c>
      <c r="V230" s="750" t="s">
        <v>50</v>
      </c>
      <c r="W230" s="750" t="s">
        <v>50</v>
      </c>
      <c r="X230" s="794"/>
      <c r="Y230" s="750" t="s">
        <v>32</v>
      </c>
      <c r="Z230" s="750"/>
    </row>
    <row r="231" spans="1:26" s="683" customFormat="1" x14ac:dyDescent="0.25">
      <c r="A231" s="722">
        <v>43956</v>
      </c>
      <c r="B231" s="683" t="s">
        <v>849</v>
      </c>
      <c r="C231" s="682" t="s">
        <v>78</v>
      </c>
      <c r="D231" s="683">
        <v>38.060549999999999</v>
      </c>
      <c r="E231" s="683">
        <v>-122.00338000000001</v>
      </c>
      <c r="F231" s="683" t="s">
        <v>2066</v>
      </c>
      <c r="G231" s="683" t="s">
        <v>27</v>
      </c>
      <c r="H231" s="683" t="s">
        <v>86</v>
      </c>
      <c r="I231" s="708">
        <v>0.37708333333333338</v>
      </c>
      <c r="J231" s="683" t="s">
        <v>28</v>
      </c>
      <c r="K231" s="683" t="s">
        <v>29</v>
      </c>
      <c r="L231" s="683" t="s">
        <v>30</v>
      </c>
      <c r="M231" s="683">
        <v>2</v>
      </c>
      <c r="N231" s="683">
        <v>10</v>
      </c>
      <c r="O231" s="209">
        <v>51.05</v>
      </c>
      <c r="P231" s="209">
        <v>4208</v>
      </c>
      <c r="Q231" s="209">
        <v>6152</v>
      </c>
      <c r="R231" s="209">
        <v>0.32500000000000001</v>
      </c>
      <c r="S231" s="209">
        <v>31.950000000000003</v>
      </c>
      <c r="T231" s="209">
        <v>70</v>
      </c>
      <c r="U231" s="747" t="s">
        <v>31</v>
      </c>
      <c r="V231" s="205">
        <v>5</v>
      </c>
      <c r="W231" s="205" t="s">
        <v>2067</v>
      </c>
      <c r="X231" s="210"/>
      <c r="Y231" s="205" t="s">
        <v>32</v>
      </c>
      <c r="Z231" s="205"/>
    </row>
    <row r="232" spans="1:26" x14ac:dyDescent="0.25">
      <c r="A232" s="711">
        <v>43956</v>
      </c>
      <c r="B232" s="37" t="s">
        <v>849</v>
      </c>
      <c r="C232" s="693" t="s">
        <v>78</v>
      </c>
      <c r="D232" s="37">
        <v>38.052770000000002</v>
      </c>
      <c r="E232" s="37">
        <v>-122.08559</v>
      </c>
      <c r="F232" s="37" t="s">
        <v>2068</v>
      </c>
      <c r="G232" s="37" t="s">
        <v>80</v>
      </c>
      <c r="H232" s="37" t="s">
        <v>81</v>
      </c>
      <c r="I232" s="712">
        <v>0.41388888888888892</v>
      </c>
      <c r="J232" s="37" t="s">
        <v>28</v>
      </c>
      <c r="K232" s="37" t="s">
        <v>29</v>
      </c>
      <c r="L232" s="37" t="s">
        <v>30</v>
      </c>
      <c r="M232" s="37">
        <v>2</v>
      </c>
      <c r="N232" s="37">
        <v>10</v>
      </c>
      <c r="O232" s="91">
        <v>35.25</v>
      </c>
      <c r="P232" s="91">
        <v>10295.5</v>
      </c>
      <c r="Q232" s="91">
        <v>12362.5</v>
      </c>
      <c r="R232" s="91">
        <v>0.435</v>
      </c>
      <c r="S232" s="91">
        <v>28.15</v>
      </c>
      <c r="T232" s="91">
        <v>76.949999999999989</v>
      </c>
      <c r="U232" s="750" t="s">
        <v>50</v>
      </c>
      <c r="V232" s="750" t="s">
        <v>50</v>
      </c>
      <c r="W232" s="750" t="s">
        <v>50</v>
      </c>
      <c r="X232" s="794"/>
      <c r="Y232" s="750" t="s">
        <v>32</v>
      </c>
      <c r="Z232" s="750"/>
    </row>
    <row r="233" spans="1:26" s="683" customFormat="1" x14ac:dyDescent="0.25">
      <c r="A233" s="722">
        <v>43956</v>
      </c>
      <c r="B233" s="683" t="s">
        <v>849</v>
      </c>
      <c r="C233" s="682" t="s">
        <v>78</v>
      </c>
      <c r="D233" s="683">
        <v>38.069519999999997</v>
      </c>
      <c r="E233" s="683">
        <v>-122.10222</v>
      </c>
      <c r="F233" s="683" t="s">
        <v>2069</v>
      </c>
      <c r="G233" s="683" t="s">
        <v>80</v>
      </c>
      <c r="H233" s="683" t="s">
        <v>81</v>
      </c>
      <c r="I233" s="708">
        <v>0.44513888888888892</v>
      </c>
      <c r="J233" s="683" t="s">
        <v>28</v>
      </c>
      <c r="K233" s="683" t="s">
        <v>29</v>
      </c>
      <c r="L233" s="683" t="s">
        <v>30</v>
      </c>
      <c r="M233" s="683">
        <v>2</v>
      </c>
      <c r="N233" s="683">
        <v>10</v>
      </c>
      <c r="O233" s="209">
        <v>30.4</v>
      </c>
      <c r="P233" s="209">
        <v>12319.5</v>
      </c>
      <c r="Q233" s="209">
        <v>14069.5</v>
      </c>
      <c r="R233" s="209">
        <v>0.29000000000000004</v>
      </c>
      <c r="S233" s="209">
        <v>36.400000000000006</v>
      </c>
      <c r="T233" s="209">
        <v>254.5</v>
      </c>
      <c r="U233" s="709" t="s">
        <v>31</v>
      </c>
      <c r="V233" s="683">
        <v>3</v>
      </c>
      <c r="W233" s="683" t="s">
        <v>2070</v>
      </c>
      <c r="X233" s="689"/>
      <c r="Y233" s="205" t="s">
        <v>32</v>
      </c>
    </row>
    <row r="234" spans="1:26" s="683" customFormat="1" x14ac:dyDescent="0.25">
      <c r="A234" s="722">
        <v>43956</v>
      </c>
      <c r="B234" s="683" t="s">
        <v>849</v>
      </c>
      <c r="C234" s="682" t="s">
        <v>78</v>
      </c>
      <c r="D234" s="683">
        <v>38.091619999999999</v>
      </c>
      <c r="E234" s="683">
        <v>-122.01983</v>
      </c>
      <c r="F234" s="683" t="s">
        <v>2071</v>
      </c>
      <c r="G234" s="683" t="s">
        <v>27</v>
      </c>
      <c r="H234" s="683" t="s">
        <v>86</v>
      </c>
      <c r="I234" s="708">
        <v>0.48125000000000001</v>
      </c>
      <c r="J234" s="683" t="s">
        <v>28</v>
      </c>
      <c r="K234" s="683" t="s">
        <v>29</v>
      </c>
      <c r="L234" s="683" t="s">
        <v>30</v>
      </c>
      <c r="M234" s="683">
        <v>2</v>
      </c>
      <c r="N234" s="683">
        <v>10</v>
      </c>
      <c r="O234" s="209">
        <v>28.45</v>
      </c>
      <c r="P234" s="209">
        <v>6937.5</v>
      </c>
      <c r="Q234" s="209">
        <v>8828</v>
      </c>
      <c r="R234" s="209">
        <v>0.30000000000000004</v>
      </c>
      <c r="S234" s="209">
        <v>38.1</v>
      </c>
      <c r="T234" s="209">
        <v>143.75</v>
      </c>
      <c r="U234" s="709" t="s">
        <v>31</v>
      </c>
      <c r="V234" s="683">
        <v>4</v>
      </c>
      <c r="W234" s="683" t="s">
        <v>2072</v>
      </c>
      <c r="X234" s="689"/>
      <c r="Y234" s="205" t="s">
        <v>32</v>
      </c>
    </row>
    <row r="235" spans="1:26" x14ac:dyDescent="0.25">
      <c r="A235" s="711">
        <v>43956</v>
      </c>
      <c r="B235" s="37" t="s">
        <v>849</v>
      </c>
      <c r="C235" s="693" t="s">
        <v>106</v>
      </c>
      <c r="D235" s="37">
        <v>38.211239999999997</v>
      </c>
      <c r="E235" s="37">
        <v>-121.6644</v>
      </c>
      <c r="F235" s="37" t="s">
        <v>2073</v>
      </c>
      <c r="G235" s="37" t="s">
        <v>90</v>
      </c>
      <c r="H235" s="37" t="s">
        <v>108</v>
      </c>
      <c r="I235" s="712">
        <v>0.33055555555555555</v>
      </c>
      <c r="J235" s="37" t="s">
        <v>28</v>
      </c>
      <c r="K235" s="37" t="s">
        <v>29</v>
      </c>
      <c r="L235" s="37" t="s">
        <v>30</v>
      </c>
      <c r="M235" s="37">
        <v>2</v>
      </c>
      <c r="N235" s="37">
        <v>10</v>
      </c>
      <c r="O235" s="91">
        <v>45.5</v>
      </c>
      <c r="P235" s="91">
        <v>180.85</v>
      </c>
      <c r="Q235" s="91">
        <v>180.35</v>
      </c>
      <c r="R235" s="91">
        <v>1.605</v>
      </c>
      <c r="S235" s="91">
        <v>7.1899999999999995</v>
      </c>
      <c r="T235" s="91">
        <v>9.0449999999999999</v>
      </c>
      <c r="U235" s="37" t="s">
        <v>50</v>
      </c>
      <c r="V235" s="37" t="s">
        <v>50</v>
      </c>
      <c r="W235" s="37" t="s">
        <v>50</v>
      </c>
      <c r="Y235" s="750" t="s">
        <v>32</v>
      </c>
    </row>
    <row r="236" spans="1:26" x14ac:dyDescent="0.25">
      <c r="A236" s="711">
        <v>43956</v>
      </c>
      <c r="B236" s="37" t="s">
        <v>849</v>
      </c>
      <c r="C236" s="693" t="s">
        <v>106</v>
      </c>
      <c r="D236" s="37">
        <v>38.216090000000001</v>
      </c>
      <c r="E236" s="37">
        <v>-121.67012</v>
      </c>
      <c r="F236" s="37" t="s">
        <v>2074</v>
      </c>
      <c r="G236" s="37" t="s">
        <v>90</v>
      </c>
      <c r="H236" s="37" t="s">
        <v>108</v>
      </c>
      <c r="I236" s="712">
        <v>0.35486111111111113</v>
      </c>
      <c r="J236" s="37" t="s">
        <v>28</v>
      </c>
      <c r="K236" s="37" t="s">
        <v>29</v>
      </c>
      <c r="L236" s="37" t="s">
        <v>30</v>
      </c>
      <c r="M236" s="37">
        <v>2</v>
      </c>
      <c r="N236" s="37">
        <v>10</v>
      </c>
      <c r="O236" s="91">
        <v>54.849999999999994</v>
      </c>
      <c r="P236" s="91">
        <v>184.85</v>
      </c>
      <c r="Q236" s="91">
        <v>187.3</v>
      </c>
      <c r="R236" s="91">
        <v>1.48</v>
      </c>
      <c r="S236" s="91">
        <v>8.0949999999999989</v>
      </c>
      <c r="T236" s="91">
        <v>6.95</v>
      </c>
      <c r="U236" s="37" t="s">
        <v>50</v>
      </c>
      <c r="V236" s="37" t="s">
        <v>50</v>
      </c>
      <c r="W236" s="37" t="s">
        <v>50</v>
      </c>
      <c r="Y236" s="750" t="s">
        <v>32</v>
      </c>
    </row>
    <row r="237" spans="1:26" x14ac:dyDescent="0.25">
      <c r="A237" s="711">
        <v>43956</v>
      </c>
      <c r="B237" s="37" t="s">
        <v>849</v>
      </c>
      <c r="C237" s="693" t="s">
        <v>106</v>
      </c>
      <c r="D237" s="37">
        <v>38.378599999999999</v>
      </c>
      <c r="E237" s="37">
        <v>-121.62747</v>
      </c>
      <c r="F237" s="37" t="s">
        <v>2075</v>
      </c>
      <c r="G237" s="37" t="s">
        <v>90</v>
      </c>
      <c r="H237" s="37" t="s">
        <v>108</v>
      </c>
      <c r="I237" s="712">
        <v>0.43124999999999997</v>
      </c>
      <c r="J237" s="37" t="s">
        <v>28</v>
      </c>
      <c r="K237" s="37" t="s">
        <v>29</v>
      </c>
      <c r="L237" s="37" t="s">
        <v>30</v>
      </c>
      <c r="M237" s="37">
        <v>2</v>
      </c>
      <c r="N237" s="37">
        <v>10</v>
      </c>
      <c r="O237" s="91">
        <v>32.650000000000006</v>
      </c>
      <c r="P237" s="91">
        <v>603.5</v>
      </c>
      <c r="Q237" s="91">
        <v>600</v>
      </c>
      <c r="R237" s="91">
        <v>0.29500000000000004</v>
      </c>
      <c r="S237" s="91">
        <v>40.700000000000003</v>
      </c>
      <c r="T237" s="91">
        <v>77.400000000000006</v>
      </c>
      <c r="U237" s="37" t="s">
        <v>50</v>
      </c>
      <c r="V237" s="37" t="s">
        <v>50</v>
      </c>
      <c r="W237" s="37" t="s">
        <v>50</v>
      </c>
      <c r="Y237" s="750" t="s">
        <v>32</v>
      </c>
    </row>
    <row r="238" spans="1:26" s="421" customFormat="1" x14ac:dyDescent="0.25">
      <c r="A238" s="348">
        <v>43956</v>
      </c>
      <c r="B238" s="421" t="s">
        <v>849</v>
      </c>
      <c r="C238" s="524" t="s">
        <v>106</v>
      </c>
      <c r="D238" s="421">
        <v>38.370869999999996</v>
      </c>
      <c r="E238" s="421">
        <v>-121.63122</v>
      </c>
      <c r="F238" s="421" t="s">
        <v>2076</v>
      </c>
      <c r="G238" s="421" t="s">
        <v>90</v>
      </c>
      <c r="H238" s="421" t="s">
        <v>108</v>
      </c>
      <c r="I238" s="539">
        <v>0.45555555555555555</v>
      </c>
      <c r="J238" s="421" t="s">
        <v>28</v>
      </c>
      <c r="K238" s="421" t="s">
        <v>29</v>
      </c>
      <c r="L238" s="421" t="s">
        <v>30</v>
      </c>
      <c r="M238" s="421">
        <v>2</v>
      </c>
      <c r="N238" s="421">
        <v>10</v>
      </c>
      <c r="O238" s="499">
        <v>31.6</v>
      </c>
      <c r="P238" s="499">
        <v>579</v>
      </c>
      <c r="Q238" s="499">
        <v>589</v>
      </c>
      <c r="R238" s="499">
        <v>0.29499999999999998</v>
      </c>
      <c r="S238" s="499">
        <v>44.3</v>
      </c>
      <c r="T238" s="499">
        <v>51.599999999999994</v>
      </c>
      <c r="U238" s="746" t="s">
        <v>323</v>
      </c>
      <c r="V238" s="421">
        <v>1</v>
      </c>
      <c r="W238" s="421">
        <v>27.5</v>
      </c>
      <c r="X238" s="397" t="s">
        <v>2077</v>
      </c>
      <c r="Y238" s="494" t="s">
        <v>32</v>
      </c>
    </row>
    <row r="239" spans="1:26" x14ac:dyDescent="0.25">
      <c r="A239" s="711">
        <v>43956</v>
      </c>
      <c r="B239" s="37" t="s">
        <v>849</v>
      </c>
      <c r="C239" s="693" t="s">
        <v>106</v>
      </c>
      <c r="D239" s="37">
        <v>38.257199999999997</v>
      </c>
      <c r="E239" s="37">
        <v>-121.66719999999999</v>
      </c>
      <c r="F239" s="37" t="s">
        <v>2078</v>
      </c>
      <c r="G239" s="37" t="s">
        <v>90</v>
      </c>
      <c r="H239" s="37" t="s">
        <v>108</v>
      </c>
      <c r="I239" s="712">
        <v>0.4909722222222222</v>
      </c>
      <c r="J239" s="37" t="s">
        <v>28</v>
      </c>
      <c r="K239" s="37" t="s">
        <v>29</v>
      </c>
      <c r="L239" s="37" t="s">
        <v>30</v>
      </c>
      <c r="M239" s="37">
        <v>2</v>
      </c>
      <c r="N239" s="37">
        <v>10</v>
      </c>
      <c r="O239" s="91">
        <v>33.349999999999994</v>
      </c>
      <c r="P239" s="91">
        <v>245.14999999999998</v>
      </c>
      <c r="Q239" s="91">
        <v>250.60000000000002</v>
      </c>
      <c r="R239" s="91">
        <v>1</v>
      </c>
      <c r="S239" s="91">
        <v>15.5</v>
      </c>
      <c r="T239" s="91">
        <v>13.5</v>
      </c>
      <c r="U239" s="37" t="s">
        <v>50</v>
      </c>
      <c r="V239" s="37" t="s">
        <v>50</v>
      </c>
      <c r="W239" s="37" t="s">
        <v>50</v>
      </c>
      <c r="Y239" s="750" t="s">
        <v>32</v>
      </c>
    </row>
    <row r="240" spans="1:26" s="683" customFormat="1" x14ac:dyDescent="0.25">
      <c r="A240" s="722">
        <v>43957</v>
      </c>
      <c r="B240" s="683" t="s">
        <v>915</v>
      </c>
      <c r="C240" s="682" t="s">
        <v>95</v>
      </c>
      <c r="D240" s="683">
        <v>38.027360000000002</v>
      </c>
      <c r="E240" s="683">
        <v>-121.75094</v>
      </c>
      <c r="F240" s="683" t="s">
        <v>2079</v>
      </c>
      <c r="G240" s="683" t="s">
        <v>27</v>
      </c>
      <c r="H240" s="683" t="s">
        <v>863</v>
      </c>
      <c r="I240" s="708">
        <v>0.33680555555555558</v>
      </c>
      <c r="J240" s="683" t="s">
        <v>28</v>
      </c>
      <c r="K240" s="683" t="s">
        <v>29</v>
      </c>
      <c r="L240" s="683" t="s">
        <v>30</v>
      </c>
      <c r="M240" s="683">
        <v>2</v>
      </c>
      <c r="N240" s="683">
        <v>10</v>
      </c>
      <c r="O240" s="209">
        <v>49.25</v>
      </c>
      <c r="P240" s="209">
        <v>403.15</v>
      </c>
      <c r="Q240" s="209">
        <v>393.3</v>
      </c>
      <c r="R240" s="209">
        <v>0.69499999999999995</v>
      </c>
      <c r="S240" s="209">
        <v>14.45</v>
      </c>
      <c r="T240" s="209">
        <v>19</v>
      </c>
      <c r="U240" s="709" t="s">
        <v>702</v>
      </c>
      <c r="V240" s="683">
        <v>1</v>
      </c>
      <c r="W240" s="683">
        <v>89</v>
      </c>
      <c r="X240" s="689" t="s">
        <v>2080</v>
      </c>
      <c r="Y240" s="205" t="s">
        <v>32</v>
      </c>
    </row>
    <row r="241" spans="1:25" x14ac:dyDescent="0.25">
      <c r="A241" s="711">
        <v>43957</v>
      </c>
      <c r="B241" s="37" t="s">
        <v>915</v>
      </c>
      <c r="C241" s="693" t="s">
        <v>95</v>
      </c>
      <c r="D241" s="37">
        <v>38.031329999999997</v>
      </c>
      <c r="E241" s="37">
        <v>-121.72838</v>
      </c>
      <c r="F241" s="37" t="s">
        <v>2081</v>
      </c>
      <c r="G241" s="37" t="s">
        <v>27</v>
      </c>
      <c r="H241" s="37" t="s">
        <v>863</v>
      </c>
      <c r="I241" s="712">
        <v>0.36944444444444446</v>
      </c>
      <c r="J241" s="37" t="s">
        <v>28</v>
      </c>
      <c r="K241" s="37" t="s">
        <v>29</v>
      </c>
      <c r="L241" s="37" t="s">
        <v>30</v>
      </c>
      <c r="M241" s="37">
        <v>2</v>
      </c>
      <c r="N241" s="37">
        <v>10</v>
      </c>
      <c r="O241" s="91">
        <v>45.65</v>
      </c>
      <c r="P241" s="91">
        <v>288.64999999999998</v>
      </c>
      <c r="Q241" s="91">
        <v>293.2</v>
      </c>
      <c r="R241" s="91">
        <v>1.0150000000000001</v>
      </c>
      <c r="S241" s="91">
        <v>8.7899999999999991</v>
      </c>
      <c r="T241" s="91">
        <v>9.93</v>
      </c>
      <c r="U241" s="37" t="s">
        <v>50</v>
      </c>
      <c r="V241" s="37" t="s">
        <v>50</v>
      </c>
      <c r="W241" s="37" t="s">
        <v>50</v>
      </c>
      <c r="X241" s="698" t="s">
        <v>2082</v>
      </c>
      <c r="Y241" s="750" t="s">
        <v>32</v>
      </c>
    </row>
    <row r="242" spans="1:25" x14ac:dyDescent="0.25">
      <c r="A242" s="711">
        <v>43957</v>
      </c>
      <c r="B242" s="37" t="s">
        <v>915</v>
      </c>
      <c r="C242" s="693" t="s">
        <v>95</v>
      </c>
      <c r="D242" s="37">
        <v>38.059159999999999</v>
      </c>
      <c r="E242" s="37">
        <v>-121.68359</v>
      </c>
      <c r="F242" s="37" t="s">
        <v>2083</v>
      </c>
      <c r="G242" s="37" t="s">
        <v>46</v>
      </c>
      <c r="H242" s="37" t="s">
        <v>908</v>
      </c>
      <c r="I242" s="712">
        <v>0.40416666666666662</v>
      </c>
      <c r="J242" s="37" t="s">
        <v>28</v>
      </c>
      <c r="K242" s="37" t="s">
        <v>29</v>
      </c>
      <c r="L242" s="37" t="s">
        <v>30</v>
      </c>
      <c r="M242" s="37">
        <v>2</v>
      </c>
      <c r="N242" s="37">
        <v>10</v>
      </c>
      <c r="O242" s="91">
        <v>34.450000000000003</v>
      </c>
      <c r="P242" s="91">
        <v>231.6</v>
      </c>
      <c r="Q242" s="91">
        <v>231.55</v>
      </c>
      <c r="R242" s="91">
        <v>1.4849999999999999</v>
      </c>
      <c r="S242" s="91">
        <v>6.0350000000000001</v>
      </c>
      <c r="T242" s="91">
        <v>7.78</v>
      </c>
      <c r="U242" s="37" t="s">
        <v>50</v>
      </c>
      <c r="V242" s="37" t="s">
        <v>50</v>
      </c>
      <c r="W242" s="37" t="s">
        <v>50</v>
      </c>
      <c r="Y242" s="750" t="s">
        <v>32</v>
      </c>
    </row>
    <row r="243" spans="1:25" x14ac:dyDescent="0.25">
      <c r="A243" s="711">
        <v>43957</v>
      </c>
      <c r="B243" s="37" t="s">
        <v>915</v>
      </c>
      <c r="C243" s="693" t="s">
        <v>95</v>
      </c>
      <c r="D243" s="37">
        <v>38.042529999999999</v>
      </c>
      <c r="E243" s="37">
        <v>-121.49827999999999</v>
      </c>
      <c r="F243" s="37" t="s">
        <v>2084</v>
      </c>
      <c r="G243" s="37" t="s">
        <v>46</v>
      </c>
      <c r="H243" s="37" t="s">
        <v>1767</v>
      </c>
      <c r="I243" s="712">
        <v>0.4465277777777778</v>
      </c>
      <c r="J243" s="37" t="s">
        <v>28</v>
      </c>
      <c r="K243" s="37" t="s">
        <v>29</v>
      </c>
      <c r="L243" s="37" t="s">
        <v>30</v>
      </c>
      <c r="M243" s="37">
        <v>2</v>
      </c>
      <c r="N243" s="37">
        <v>10</v>
      </c>
      <c r="O243" s="91">
        <v>35.5</v>
      </c>
      <c r="P243" s="91">
        <v>379.79999999999995</v>
      </c>
      <c r="Q243" s="91">
        <v>370.5</v>
      </c>
      <c r="R243" s="91">
        <v>1.75</v>
      </c>
      <c r="S243" s="91">
        <v>4.7650000000000006</v>
      </c>
      <c r="T243" s="91">
        <v>6.0150000000000006</v>
      </c>
      <c r="U243" s="37" t="s">
        <v>50</v>
      </c>
      <c r="V243" s="37" t="s">
        <v>50</v>
      </c>
      <c r="W243" s="37" t="s">
        <v>50</v>
      </c>
      <c r="Y243" s="750" t="s">
        <v>32</v>
      </c>
    </row>
    <row r="244" spans="1:25" x14ac:dyDescent="0.25">
      <c r="A244" s="711">
        <v>43957</v>
      </c>
      <c r="B244" s="37" t="s">
        <v>915</v>
      </c>
      <c r="C244" s="693" t="s">
        <v>95</v>
      </c>
      <c r="D244" s="37">
        <v>38.091439999999999</v>
      </c>
      <c r="E244" s="37">
        <v>-121.57541999999999</v>
      </c>
      <c r="F244" s="37" t="s">
        <v>2085</v>
      </c>
      <c r="G244" s="37" t="s">
        <v>46</v>
      </c>
      <c r="H244" s="37" t="s">
        <v>1767</v>
      </c>
      <c r="I244" s="712">
        <v>0.47986111111111113</v>
      </c>
      <c r="J244" s="37" t="s">
        <v>28</v>
      </c>
      <c r="K244" s="37" t="s">
        <v>29</v>
      </c>
      <c r="L244" s="37" t="s">
        <v>30</v>
      </c>
      <c r="M244" s="37">
        <v>2</v>
      </c>
      <c r="N244" s="37">
        <v>10</v>
      </c>
      <c r="O244" s="91">
        <v>37</v>
      </c>
      <c r="P244" s="91">
        <v>242.5</v>
      </c>
      <c r="Q244" s="91">
        <v>249.65</v>
      </c>
      <c r="R244" s="91">
        <v>1.3050000000000002</v>
      </c>
      <c r="S244" s="91">
        <v>5.88</v>
      </c>
      <c r="T244" s="91">
        <v>9.625</v>
      </c>
      <c r="U244" s="37" t="s">
        <v>50</v>
      </c>
      <c r="V244" s="37" t="s">
        <v>50</v>
      </c>
      <c r="W244" s="37" t="s">
        <v>50</v>
      </c>
      <c r="Y244" s="750" t="s">
        <v>32</v>
      </c>
    </row>
    <row r="245" spans="1:25" x14ac:dyDescent="0.25">
      <c r="A245" s="711">
        <v>43957</v>
      </c>
      <c r="B245" s="37" t="s">
        <v>915</v>
      </c>
      <c r="C245" s="693" t="s">
        <v>845</v>
      </c>
      <c r="D245" s="37">
        <v>38.418390000000002</v>
      </c>
      <c r="E245" s="37">
        <v>-121.61450000000001</v>
      </c>
      <c r="F245" s="37" t="s">
        <v>2086</v>
      </c>
      <c r="G245" s="37" t="s">
        <v>90</v>
      </c>
      <c r="H245" s="37" t="s">
        <v>126</v>
      </c>
      <c r="I245" s="712">
        <v>0.34166666666666662</v>
      </c>
      <c r="J245" s="37" t="s">
        <v>28</v>
      </c>
      <c r="K245" s="37" t="s">
        <v>29</v>
      </c>
      <c r="L245" s="37" t="s">
        <v>30</v>
      </c>
      <c r="M245" s="37">
        <v>2</v>
      </c>
      <c r="N245" s="37">
        <v>10</v>
      </c>
      <c r="O245" s="91">
        <v>12.6</v>
      </c>
      <c r="P245" s="91">
        <v>705.5</v>
      </c>
      <c r="Q245" s="91">
        <v>705</v>
      </c>
      <c r="R245" s="91">
        <v>0.20500000000000002</v>
      </c>
      <c r="S245" s="91">
        <v>70.099999999999994</v>
      </c>
      <c r="T245" s="91">
        <v>110.5</v>
      </c>
      <c r="U245" s="37" t="s">
        <v>50</v>
      </c>
      <c r="V245" s="37" t="s">
        <v>50</v>
      </c>
      <c r="W245" s="37" t="s">
        <v>50</v>
      </c>
      <c r="X245" s="698" t="s">
        <v>2087</v>
      </c>
      <c r="Y245" s="750" t="s">
        <v>32</v>
      </c>
    </row>
    <row r="246" spans="1:25" x14ac:dyDescent="0.25">
      <c r="A246" s="711">
        <v>43957</v>
      </c>
      <c r="B246" s="37" t="s">
        <v>915</v>
      </c>
      <c r="C246" s="693" t="s">
        <v>845</v>
      </c>
      <c r="D246" s="37">
        <v>38.262839999999997</v>
      </c>
      <c r="E246" s="37">
        <v>-121.69752</v>
      </c>
      <c r="F246" s="37" t="s">
        <v>2088</v>
      </c>
      <c r="G246" s="37" t="s">
        <v>90</v>
      </c>
      <c r="H246" s="37" t="s">
        <v>126</v>
      </c>
      <c r="I246" s="712">
        <v>0.39305555555555555</v>
      </c>
      <c r="J246" s="37" t="s">
        <v>28</v>
      </c>
      <c r="K246" s="37" t="s">
        <v>29</v>
      </c>
      <c r="L246" s="37" t="s">
        <v>30</v>
      </c>
      <c r="M246" s="37">
        <v>2</v>
      </c>
      <c r="N246" s="37">
        <v>10</v>
      </c>
      <c r="O246" s="91">
        <v>10.65</v>
      </c>
      <c r="P246" s="91">
        <v>213.89999999999998</v>
      </c>
      <c r="Q246" s="91">
        <v>214.39999999999998</v>
      </c>
      <c r="R246" s="91">
        <v>1.8</v>
      </c>
      <c r="S246" s="91">
        <v>3.2450000000000001</v>
      </c>
      <c r="T246" s="91">
        <v>15.2</v>
      </c>
      <c r="U246" s="37" t="s">
        <v>50</v>
      </c>
      <c r="V246" s="37" t="s">
        <v>50</v>
      </c>
      <c r="W246" s="37" t="s">
        <v>50</v>
      </c>
      <c r="Y246" s="750" t="s">
        <v>32</v>
      </c>
    </row>
    <row r="247" spans="1:25" x14ac:dyDescent="0.25">
      <c r="A247" s="711">
        <v>43957</v>
      </c>
      <c r="B247" s="37" t="s">
        <v>915</v>
      </c>
      <c r="C247" s="693" t="s">
        <v>845</v>
      </c>
      <c r="D247" s="37">
        <v>38.287039999999998</v>
      </c>
      <c r="E247" s="37">
        <v>-121.69276000000001</v>
      </c>
      <c r="F247" s="37" t="s">
        <v>2089</v>
      </c>
      <c r="G247" s="37" t="s">
        <v>90</v>
      </c>
      <c r="H247" s="37" t="s">
        <v>126</v>
      </c>
      <c r="I247" s="712">
        <v>0.42499999999999999</v>
      </c>
      <c r="J247" s="37" t="s">
        <v>28</v>
      </c>
      <c r="K247" s="37" t="s">
        <v>29</v>
      </c>
      <c r="L247" s="37" t="s">
        <v>30</v>
      </c>
      <c r="M247" s="37">
        <v>2</v>
      </c>
      <c r="N247" s="37">
        <v>10</v>
      </c>
      <c r="O247" s="91">
        <v>21.65</v>
      </c>
      <c r="P247" s="91">
        <v>392.20000000000005</v>
      </c>
      <c r="Q247" s="91">
        <v>386.85</v>
      </c>
      <c r="R247" s="91">
        <v>1.8</v>
      </c>
      <c r="S247" s="91">
        <v>6.84</v>
      </c>
      <c r="T247" s="91">
        <v>7.8100000000000005</v>
      </c>
      <c r="U247" s="37" t="s">
        <v>50</v>
      </c>
      <c r="V247" s="37" t="s">
        <v>50</v>
      </c>
      <c r="W247" s="37" t="s">
        <v>50</v>
      </c>
      <c r="Y247" s="750" t="s">
        <v>32</v>
      </c>
    </row>
    <row r="248" spans="1:25" s="714" customFormat="1" x14ac:dyDescent="0.25">
      <c r="A248" s="713">
        <v>43957</v>
      </c>
      <c r="B248" s="714" t="s">
        <v>915</v>
      </c>
      <c r="C248" s="715" t="s">
        <v>845</v>
      </c>
      <c r="D248" s="714">
        <v>38.260959999999997</v>
      </c>
      <c r="E248" s="714">
        <v>-121.68608</v>
      </c>
      <c r="F248" s="714" t="s">
        <v>2090</v>
      </c>
      <c r="G248" s="714" t="s">
        <v>90</v>
      </c>
      <c r="H248" s="714" t="s">
        <v>126</v>
      </c>
      <c r="I248" s="751">
        <v>0.44444444444444442</v>
      </c>
      <c r="J248" s="714" t="s">
        <v>28</v>
      </c>
      <c r="K248" s="714" t="s">
        <v>29</v>
      </c>
      <c r="L248" s="714" t="s">
        <v>30</v>
      </c>
      <c r="M248" s="714">
        <v>0</v>
      </c>
      <c r="N248" s="714" t="s">
        <v>50</v>
      </c>
      <c r="O248" s="752" t="s">
        <v>50</v>
      </c>
      <c r="P248" s="752" t="s">
        <v>50</v>
      </c>
      <c r="Q248" s="752" t="s">
        <v>50</v>
      </c>
      <c r="R248" s="752" t="s">
        <v>50</v>
      </c>
      <c r="S248" s="752" t="s">
        <v>50</v>
      </c>
      <c r="T248" s="752" t="s">
        <v>50</v>
      </c>
      <c r="U248" s="714" t="s">
        <v>50</v>
      </c>
      <c r="V248" s="714" t="s">
        <v>50</v>
      </c>
      <c r="W248" s="714" t="s">
        <v>50</v>
      </c>
      <c r="X248" s="720" t="s">
        <v>1822</v>
      </c>
      <c r="Y248" s="750" t="s">
        <v>32</v>
      </c>
    </row>
    <row r="249" spans="1:25" x14ac:dyDescent="0.25">
      <c r="A249" s="711">
        <v>43957</v>
      </c>
      <c r="B249" s="37" t="s">
        <v>915</v>
      </c>
      <c r="C249" s="693" t="s">
        <v>845</v>
      </c>
      <c r="D249" s="37">
        <v>38.269410000000001</v>
      </c>
      <c r="E249" s="37">
        <v>-121.69345</v>
      </c>
      <c r="F249" s="37" t="s">
        <v>2091</v>
      </c>
      <c r="G249" s="37" t="s">
        <v>90</v>
      </c>
      <c r="H249" s="37" t="s">
        <v>126</v>
      </c>
      <c r="I249" s="712">
        <v>0.4513888888888889</v>
      </c>
      <c r="J249" s="37" t="s">
        <v>28</v>
      </c>
      <c r="K249" s="37" t="s">
        <v>29</v>
      </c>
      <c r="L249" s="37" t="s">
        <v>30</v>
      </c>
      <c r="M249" s="37">
        <v>2</v>
      </c>
      <c r="N249" s="37">
        <v>10</v>
      </c>
      <c r="O249" s="91">
        <v>14.15</v>
      </c>
      <c r="P249" s="91">
        <v>260.79999999999995</v>
      </c>
      <c r="Q249" s="91">
        <v>256</v>
      </c>
      <c r="R249" s="91">
        <v>1.34</v>
      </c>
      <c r="S249" s="91">
        <v>5.4749999999999996</v>
      </c>
      <c r="T249" s="91">
        <v>140</v>
      </c>
      <c r="U249" s="37" t="s">
        <v>50</v>
      </c>
      <c r="V249" s="37" t="s">
        <v>50</v>
      </c>
      <c r="W249" s="37" t="s">
        <v>50</v>
      </c>
      <c r="X249" s="698" t="s">
        <v>2092</v>
      </c>
      <c r="Y249" s="750" t="s">
        <v>32</v>
      </c>
    </row>
    <row r="250" spans="1:25" x14ac:dyDescent="0.25">
      <c r="A250" s="711">
        <v>43957</v>
      </c>
      <c r="B250" s="37" t="s">
        <v>915</v>
      </c>
      <c r="C250" s="693" t="s">
        <v>845</v>
      </c>
      <c r="D250" s="37">
        <v>38.255859999999998</v>
      </c>
      <c r="E250" s="37">
        <v>-121.73206</v>
      </c>
      <c r="F250" s="37" t="s">
        <v>2093</v>
      </c>
      <c r="G250" s="37" t="s">
        <v>90</v>
      </c>
      <c r="H250" s="37" t="s">
        <v>126</v>
      </c>
      <c r="I250" s="712">
        <v>0.4826388888888889</v>
      </c>
      <c r="J250" s="37" t="s">
        <v>28</v>
      </c>
      <c r="K250" s="37" t="s">
        <v>29</v>
      </c>
      <c r="L250" s="37" t="s">
        <v>30</v>
      </c>
      <c r="M250" s="37">
        <v>2</v>
      </c>
      <c r="N250" s="37">
        <v>10</v>
      </c>
      <c r="O250" s="91">
        <v>16.45</v>
      </c>
      <c r="P250" s="91">
        <v>230.25</v>
      </c>
      <c r="Q250" s="91">
        <v>230.45</v>
      </c>
      <c r="R250" s="91">
        <v>0.97</v>
      </c>
      <c r="S250" s="91">
        <v>11.27</v>
      </c>
      <c r="T250" s="91">
        <v>14.585000000000001</v>
      </c>
      <c r="U250" s="37" t="s">
        <v>50</v>
      </c>
      <c r="V250" s="37" t="s">
        <v>50</v>
      </c>
      <c r="W250" s="37" t="s">
        <v>50</v>
      </c>
      <c r="Y250" s="750" t="s">
        <v>32</v>
      </c>
    </row>
    <row r="251" spans="1:25" x14ac:dyDescent="0.25">
      <c r="A251" s="711">
        <v>43958</v>
      </c>
      <c r="B251" s="37" t="s">
        <v>876</v>
      </c>
      <c r="C251" s="693" t="s">
        <v>88</v>
      </c>
      <c r="D251" s="37">
        <v>38.155970000000003</v>
      </c>
      <c r="E251" s="37">
        <v>-121.68685000000001</v>
      </c>
      <c r="F251" s="37" t="s">
        <v>2094</v>
      </c>
      <c r="G251" s="37" t="s">
        <v>90</v>
      </c>
      <c r="H251" s="37" t="s">
        <v>91</v>
      </c>
      <c r="I251" s="712">
        <v>0.31944444444444448</v>
      </c>
      <c r="J251" s="37" t="s">
        <v>28</v>
      </c>
      <c r="K251" s="37" t="s">
        <v>29</v>
      </c>
      <c r="L251" s="37" t="s">
        <v>30</v>
      </c>
      <c r="M251" s="37">
        <v>2</v>
      </c>
      <c r="N251" s="37">
        <v>10</v>
      </c>
      <c r="O251" s="91">
        <v>31.8</v>
      </c>
      <c r="P251" s="91">
        <v>175.25</v>
      </c>
      <c r="Q251" s="91" t="s">
        <v>50</v>
      </c>
      <c r="R251" s="91">
        <v>1.0050000000000001</v>
      </c>
      <c r="S251" s="91">
        <v>10.899999999999999</v>
      </c>
      <c r="T251" s="91" t="s">
        <v>50</v>
      </c>
      <c r="U251" s="37" t="s">
        <v>50</v>
      </c>
      <c r="V251" s="37" t="s">
        <v>50</v>
      </c>
      <c r="W251" s="37" t="s">
        <v>50</v>
      </c>
      <c r="X251" s="698" t="s">
        <v>2095</v>
      </c>
      <c r="Y251" s="750" t="s">
        <v>32</v>
      </c>
    </row>
    <row r="252" spans="1:25" x14ac:dyDescent="0.25">
      <c r="A252" s="711">
        <v>43958</v>
      </c>
      <c r="B252" s="37" t="s">
        <v>876</v>
      </c>
      <c r="C252" s="693" t="s">
        <v>88</v>
      </c>
      <c r="D252" s="37">
        <v>38.132800000000003</v>
      </c>
      <c r="E252" s="37">
        <v>-121.68958000000001</v>
      </c>
      <c r="F252" s="37" t="s">
        <v>2096</v>
      </c>
      <c r="G252" s="37" t="s">
        <v>90</v>
      </c>
      <c r="H252" s="37" t="s">
        <v>91</v>
      </c>
      <c r="I252" s="712">
        <v>0.34583333333333338</v>
      </c>
      <c r="J252" s="37" t="s">
        <v>28</v>
      </c>
      <c r="K252" s="37" t="s">
        <v>29</v>
      </c>
      <c r="L252" s="37" t="s">
        <v>30</v>
      </c>
      <c r="M252" s="37">
        <v>2</v>
      </c>
      <c r="N252" s="37">
        <v>10</v>
      </c>
      <c r="O252" s="91">
        <v>13.05</v>
      </c>
      <c r="P252" s="91">
        <v>177.9</v>
      </c>
      <c r="Q252" s="91" t="s">
        <v>50</v>
      </c>
      <c r="R252" s="91">
        <v>1.0899999999999999</v>
      </c>
      <c r="S252" s="91">
        <v>12</v>
      </c>
      <c r="T252" s="91" t="s">
        <v>50</v>
      </c>
      <c r="U252" s="37" t="s">
        <v>50</v>
      </c>
      <c r="V252" s="37" t="s">
        <v>50</v>
      </c>
      <c r="W252" s="37" t="s">
        <v>50</v>
      </c>
      <c r="Y252" s="750" t="s">
        <v>32</v>
      </c>
    </row>
    <row r="253" spans="1:25" x14ac:dyDescent="0.25">
      <c r="A253" s="711">
        <v>43958</v>
      </c>
      <c r="B253" s="37" t="s">
        <v>876</v>
      </c>
      <c r="C253" s="693" t="s">
        <v>88</v>
      </c>
      <c r="D253" s="37">
        <v>38.099069999999998</v>
      </c>
      <c r="E253" s="37">
        <v>-121.72263</v>
      </c>
      <c r="F253" s="37" t="s">
        <v>2097</v>
      </c>
      <c r="G253" s="37" t="s">
        <v>90</v>
      </c>
      <c r="H253" s="37" t="s">
        <v>91</v>
      </c>
      <c r="I253" s="712">
        <v>0.37083333333333335</v>
      </c>
      <c r="J253" s="37" t="s">
        <v>28</v>
      </c>
      <c r="K253" s="37" t="s">
        <v>29</v>
      </c>
      <c r="L253" s="37" t="s">
        <v>30</v>
      </c>
      <c r="M253" s="37">
        <v>2</v>
      </c>
      <c r="N253" s="37">
        <v>10</v>
      </c>
      <c r="O253" s="91">
        <v>20.25</v>
      </c>
      <c r="P253" s="91">
        <v>188</v>
      </c>
      <c r="Q253" s="91" t="s">
        <v>50</v>
      </c>
      <c r="R253" s="91">
        <v>0.99</v>
      </c>
      <c r="S253" s="91">
        <v>13.95</v>
      </c>
      <c r="T253" s="91" t="s">
        <v>50</v>
      </c>
      <c r="U253" s="37" t="s">
        <v>50</v>
      </c>
      <c r="V253" s="37" t="s">
        <v>50</v>
      </c>
      <c r="W253" s="37" t="s">
        <v>50</v>
      </c>
      <c r="Y253" s="750" t="s">
        <v>32</v>
      </c>
    </row>
    <row r="254" spans="1:25" x14ac:dyDescent="0.25">
      <c r="A254" s="711">
        <v>43958</v>
      </c>
      <c r="B254" s="37" t="s">
        <v>876</v>
      </c>
      <c r="C254" s="693" t="s">
        <v>88</v>
      </c>
      <c r="D254" s="37">
        <v>38.057810000000003</v>
      </c>
      <c r="E254" s="37">
        <v>-121.79275</v>
      </c>
      <c r="F254" s="37" t="s">
        <v>2098</v>
      </c>
      <c r="G254" s="37" t="s">
        <v>27</v>
      </c>
      <c r="H254" s="37" t="s">
        <v>25</v>
      </c>
      <c r="I254" s="712">
        <v>0.39930555555555558</v>
      </c>
      <c r="J254" s="37" t="s">
        <v>28</v>
      </c>
      <c r="K254" s="37" t="s">
        <v>29</v>
      </c>
      <c r="L254" s="37" t="s">
        <v>30</v>
      </c>
      <c r="M254" s="37">
        <v>2</v>
      </c>
      <c r="N254" s="37">
        <v>10</v>
      </c>
      <c r="O254" s="91">
        <v>18.100000000000001</v>
      </c>
      <c r="P254" s="91">
        <v>610.85</v>
      </c>
      <c r="Q254" s="91" t="s">
        <v>50</v>
      </c>
      <c r="R254" s="91">
        <v>0.52500000000000002</v>
      </c>
      <c r="S254" s="91">
        <v>22.6</v>
      </c>
      <c r="T254" s="91" t="s">
        <v>50</v>
      </c>
      <c r="U254" s="37" t="s">
        <v>50</v>
      </c>
      <c r="V254" s="37" t="s">
        <v>50</v>
      </c>
      <c r="W254" s="37" t="s">
        <v>50</v>
      </c>
      <c r="Y254" s="750" t="s">
        <v>32</v>
      </c>
    </row>
    <row r="255" spans="1:25" x14ac:dyDescent="0.25">
      <c r="A255" s="711">
        <v>43958</v>
      </c>
      <c r="B255" s="37" t="s">
        <v>876</v>
      </c>
      <c r="C255" s="693" t="s">
        <v>88</v>
      </c>
      <c r="D255" s="37">
        <v>38.085979999999999</v>
      </c>
      <c r="E255" s="37">
        <v>-121.73799</v>
      </c>
      <c r="F255" s="37" t="s">
        <v>2099</v>
      </c>
      <c r="G255" s="37" t="s">
        <v>90</v>
      </c>
      <c r="H255" s="37" t="s">
        <v>91</v>
      </c>
      <c r="I255" s="712">
        <v>0.42569444444444443</v>
      </c>
      <c r="J255" s="37" t="s">
        <v>28</v>
      </c>
      <c r="K255" s="37" t="s">
        <v>29</v>
      </c>
      <c r="L255" s="37" t="s">
        <v>30</v>
      </c>
      <c r="M255" s="37">
        <v>2</v>
      </c>
      <c r="N255" s="37">
        <v>10</v>
      </c>
      <c r="O255" s="91">
        <v>20.6</v>
      </c>
      <c r="P255" s="91">
        <v>192.45</v>
      </c>
      <c r="Q255" s="91" t="s">
        <v>50</v>
      </c>
      <c r="R255" s="91">
        <v>1.0249999999999999</v>
      </c>
      <c r="S255" s="91">
        <v>12.8</v>
      </c>
      <c r="T255" s="91" t="s">
        <v>50</v>
      </c>
      <c r="U255" s="37" t="s">
        <v>50</v>
      </c>
      <c r="V255" s="37" t="s">
        <v>50</v>
      </c>
      <c r="W255" s="37" t="s">
        <v>50</v>
      </c>
      <c r="Y255" s="750" t="s">
        <v>32</v>
      </c>
    </row>
    <row r="256" spans="1:25" s="683" customFormat="1" x14ac:dyDescent="0.25">
      <c r="A256" s="722">
        <v>43958</v>
      </c>
      <c r="B256" s="683" t="s">
        <v>876</v>
      </c>
      <c r="C256" s="682" t="s">
        <v>62</v>
      </c>
      <c r="D256" s="683">
        <v>38.116439999999997</v>
      </c>
      <c r="E256" s="683">
        <v>-121.88996</v>
      </c>
      <c r="F256" s="683" t="s">
        <v>2100</v>
      </c>
      <c r="G256" s="683" t="s">
        <v>27</v>
      </c>
      <c r="H256" s="683" t="s">
        <v>62</v>
      </c>
      <c r="I256" s="708">
        <v>0.34861111111111115</v>
      </c>
      <c r="J256" s="683" t="s">
        <v>28</v>
      </c>
      <c r="K256" s="683" t="s">
        <v>29</v>
      </c>
      <c r="L256" s="683" t="s">
        <v>30</v>
      </c>
      <c r="M256" s="683">
        <v>2</v>
      </c>
      <c r="N256" s="683">
        <v>10</v>
      </c>
      <c r="O256" s="209">
        <v>16.5</v>
      </c>
      <c r="P256" s="209">
        <v>1969</v>
      </c>
      <c r="Q256" s="209" t="s">
        <v>50</v>
      </c>
      <c r="R256" s="209">
        <v>0.26</v>
      </c>
      <c r="S256" s="209">
        <v>12.8</v>
      </c>
      <c r="T256" s="209" t="s">
        <v>50</v>
      </c>
      <c r="U256" s="709" t="s">
        <v>31</v>
      </c>
      <c r="V256" s="683">
        <v>45</v>
      </c>
      <c r="W256" s="683" t="s">
        <v>2101</v>
      </c>
      <c r="X256" s="689"/>
      <c r="Y256" s="205" t="s">
        <v>32</v>
      </c>
    </row>
    <row r="257" spans="1:25" s="683" customFormat="1" x14ac:dyDescent="0.25">
      <c r="A257" s="722">
        <v>43958</v>
      </c>
      <c r="B257" s="683" t="s">
        <v>876</v>
      </c>
      <c r="C257" s="682" t="s">
        <v>62</v>
      </c>
      <c r="D257" s="683">
        <v>38.167230000000004</v>
      </c>
      <c r="E257" s="683">
        <v>-122.04295</v>
      </c>
      <c r="F257" s="683" t="s">
        <v>2102</v>
      </c>
      <c r="G257" s="683" t="s">
        <v>27</v>
      </c>
      <c r="H257" s="683" t="s">
        <v>62</v>
      </c>
      <c r="I257" s="708">
        <v>0.39027777777777778</v>
      </c>
      <c r="J257" s="683" t="s">
        <v>28</v>
      </c>
      <c r="K257" s="683" t="s">
        <v>29</v>
      </c>
      <c r="L257" s="683" t="s">
        <v>30</v>
      </c>
      <c r="M257" s="683">
        <v>2</v>
      </c>
      <c r="N257" s="683">
        <v>10</v>
      </c>
      <c r="O257" s="209">
        <v>31.35</v>
      </c>
      <c r="P257" s="209">
        <v>4885</v>
      </c>
      <c r="Q257" s="209" t="s">
        <v>50</v>
      </c>
      <c r="R257" s="209">
        <v>0.20500000000000002</v>
      </c>
      <c r="S257" s="209">
        <v>12.8</v>
      </c>
      <c r="T257" s="209" t="s">
        <v>50</v>
      </c>
      <c r="U257" s="709" t="s">
        <v>31</v>
      </c>
      <c r="V257" s="205">
        <v>29</v>
      </c>
      <c r="W257" s="683" t="s">
        <v>2103</v>
      </c>
      <c r="X257" s="689"/>
      <c r="Y257" s="205" t="s">
        <v>32</v>
      </c>
    </row>
    <row r="258" spans="1:25" s="683" customFormat="1" x14ac:dyDescent="0.25">
      <c r="A258" s="722">
        <v>43958</v>
      </c>
      <c r="B258" s="683" t="s">
        <v>876</v>
      </c>
      <c r="C258" s="682" t="s">
        <v>62</v>
      </c>
      <c r="D258" s="683">
        <v>38.102200000000003</v>
      </c>
      <c r="E258" s="683">
        <v>-122.05346</v>
      </c>
      <c r="F258" s="683" t="s">
        <v>2104</v>
      </c>
      <c r="G258" s="683" t="s">
        <v>27</v>
      </c>
      <c r="H258" s="683" t="s">
        <v>173</v>
      </c>
      <c r="I258" s="708">
        <v>0.42083333333333334</v>
      </c>
      <c r="J258" s="683" t="s">
        <v>28</v>
      </c>
      <c r="K258" s="683" t="s">
        <v>29</v>
      </c>
      <c r="L258" s="683" t="s">
        <v>30</v>
      </c>
      <c r="M258" s="683">
        <v>2</v>
      </c>
      <c r="N258" s="683">
        <v>10</v>
      </c>
      <c r="O258" s="209">
        <v>14.75</v>
      </c>
      <c r="P258" s="209">
        <v>9316.5</v>
      </c>
      <c r="Q258" s="209" t="s">
        <v>50</v>
      </c>
      <c r="R258" s="209">
        <v>0.26</v>
      </c>
      <c r="S258" s="209">
        <v>12.8</v>
      </c>
      <c r="T258" s="209" t="s">
        <v>50</v>
      </c>
      <c r="U258" s="709" t="s">
        <v>31</v>
      </c>
      <c r="V258" s="683">
        <v>4</v>
      </c>
      <c r="W258" s="683" t="s">
        <v>2105</v>
      </c>
      <c r="X258" s="689"/>
      <c r="Y258" s="205" t="s">
        <v>32</v>
      </c>
    </row>
    <row r="259" spans="1:25" s="683" customFormat="1" x14ac:dyDescent="0.25">
      <c r="A259" s="722">
        <v>43958</v>
      </c>
      <c r="B259" s="683" t="s">
        <v>876</v>
      </c>
      <c r="C259" s="682" t="s">
        <v>62</v>
      </c>
      <c r="D259" s="683">
        <v>38.111350000000002</v>
      </c>
      <c r="E259" s="683">
        <v>-122.05589000000001</v>
      </c>
      <c r="F259" s="683" t="s">
        <v>2106</v>
      </c>
      <c r="G259" s="683" t="s">
        <v>27</v>
      </c>
      <c r="H259" s="683" t="s">
        <v>173</v>
      </c>
      <c r="I259" s="708">
        <v>0.4458333333333333</v>
      </c>
      <c r="J259" s="683" t="s">
        <v>28</v>
      </c>
      <c r="K259" s="683" t="s">
        <v>29</v>
      </c>
      <c r="L259" s="683" t="s">
        <v>30</v>
      </c>
      <c r="M259" s="683">
        <v>2</v>
      </c>
      <c r="N259" s="683">
        <v>10</v>
      </c>
      <c r="O259" s="209">
        <v>14.850000000000001</v>
      </c>
      <c r="P259" s="209">
        <v>7819</v>
      </c>
      <c r="Q259" s="209" t="s">
        <v>50</v>
      </c>
      <c r="R259" s="209">
        <v>0.245</v>
      </c>
      <c r="S259" s="209">
        <v>12.8</v>
      </c>
      <c r="T259" s="209" t="s">
        <v>50</v>
      </c>
      <c r="U259" s="709" t="s">
        <v>31</v>
      </c>
      <c r="V259" s="683">
        <v>5</v>
      </c>
      <c r="W259" s="683" t="s">
        <v>2107</v>
      </c>
      <c r="X259" s="689"/>
      <c r="Y259" s="205" t="s">
        <v>32</v>
      </c>
    </row>
    <row r="260" spans="1:25" s="754" customFormat="1" x14ac:dyDescent="0.25">
      <c r="A260" s="753">
        <v>43958</v>
      </c>
      <c r="B260" s="754" t="s">
        <v>876</v>
      </c>
      <c r="C260" s="755" t="s">
        <v>62</v>
      </c>
      <c r="D260" s="754">
        <v>38.172249999999998</v>
      </c>
      <c r="E260" s="754">
        <v>-122.06438</v>
      </c>
      <c r="F260" s="754" t="s">
        <v>2108</v>
      </c>
      <c r="G260" s="754" t="s">
        <v>27</v>
      </c>
      <c r="H260" s="754" t="s">
        <v>62</v>
      </c>
      <c r="I260" s="756">
        <v>0.47430555555555554</v>
      </c>
      <c r="J260" s="754" t="s">
        <v>28</v>
      </c>
      <c r="K260" s="754" t="s">
        <v>29</v>
      </c>
      <c r="L260" s="754" t="s">
        <v>30</v>
      </c>
      <c r="M260" s="754">
        <v>2</v>
      </c>
      <c r="N260" s="754">
        <v>10</v>
      </c>
      <c r="O260" s="417">
        <v>19.7</v>
      </c>
      <c r="P260" s="417">
        <v>4838.5</v>
      </c>
      <c r="Q260" s="417" t="s">
        <v>50</v>
      </c>
      <c r="R260" s="417">
        <v>0.20500000000000002</v>
      </c>
      <c r="S260" s="417">
        <v>12.8</v>
      </c>
      <c r="T260" s="417" t="s">
        <v>50</v>
      </c>
      <c r="U260" s="757" t="s">
        <v>31</v>
      </c>
      <c r="V260" s="754">
        <v>2</v>
      </c>
      <c r="W260" s="754" t="s">
        <v>2109</v>
      </c>
      <c r="X260" s="732"/>
      <c r="Y260" s="413" t="s">
        <v>32</v>
      </c>
    </row>
    <row r="261" spans="1:25" x14ac:dyDescent="0.25">
      <c r="A261" s="711">
        <v>43962</v>
      </c>
      <c r="B261" s="37" t="s">
        <v>43</v>
      </c>
      <c r="C261" s="693" t="s">
        <v>88</v>
      </c>
      <c r="D261" s="37">
        <v>38.162269999999999</v>
      </c>
      <c r="E261" s="37">
        <v>-121.6793</v>
      </c>
      <c r="F261" s="37" t="s">
        <v>2110</v>
      </c>
      <c r="G261" s="37" t="s">
        <v>90</v>
      </c>
      <c r="H261" s="37" t="s">
        <v>91</v>
      </c>
      <c r="I261" s="712">
        <v>0.35486111111111113</v>
      </c>
      <c r="J261" s="37" t="s">
        <v>28</v>
      </c>
      <c r="K261" s="37" t="s">
        <v>29</v>
      </c>
      <c r="L261" s="37" t="s">
        <v>30</v>
      </c>
      <c r="M261" s="37">
        <v>2</v>
      </c>
      <c r="N261" s="37">
        <v>10</v>
      </c>
      <c r="O261" s="91">
        <v>31.25</v>
      </c>
      <c r="P261" s="91">
        <v>197.05</v>
      </c>
      <c r="Q261" s="91" t="s">
        <v>50</v>
      </c>
      <c r="R261" s="91">
        <v>1.5049999999999999</v>
      </c>
      <c r="S261" s="91">
        <v>7.7349999999999994</v>
      </c>
      <c r="T261" s="91" t="s">
        <v>50</v>
      </c>
      <c r="U261" s="37" t="s">
        <v>50</v>
      </c>
      <c r="V261" s="37" t="s">
        <v>50</v>
      </c>
      <c r="W261" s="37" t="s">
        <v>50</v>
      </c>
      <c r="Y261" s="750" t="s">
        <v>32</v>
      </c>
    </row>
    <row r="262" spans="1:25" x14ac:dyDescent="0.25">
      <c r="A262" s="711">
        <v>43962</v>
      </c>
      <c r="B262" s="37" t="s">
        <v>43</v>
      </c>
      <c r="C262" s="693" t="s">
        <v>88</v>
      </c>
      <c r="D262" s="37">
        <v>38.119669999999999</v>
      </c>
      <c r="E262" s="37">
        <v>-121.70165</v>
      </c>
      <c r="F262" s="37" t="s">
        <v>2111</v>
      </c>
      <c r="G262" s="37" t="s">
        <v>90</v>
      </c>
      <c r="H262" s="37" t="s">
        <v>91</v>
      </c>
      <c r="I262" s="712">
        <v>0.38750000000000001</v>
      </c>
      <c r="J262" s="37" t="s">
        <v>28</v>
      </c>
      <c r="K262" s="37" t="s">
        <v>29</v>
      </c>
      <c r="L262" s="37" t="s">
        <v>30</v>
      </c>
      <c r="M262" s="37">
        <v>2</v>
      </c>
      <c r="N262" s="37">
        <v>10</v>
      </c>
      <c r="O262" s="91">
        <v>37.4</v>
      </c>
      <c r="P262" s="91">
        <v>292.75</v>
      </c>
      <c r="Q262" s="91" t="s">
        <v>50</v>
      </c>
      <c r="R262" s="91">
        <v>0.78</v>
      </c>
      <c r="S262" s="91">
        <v>17</v>
      </c>
      <c r="T262" s="91" t="s">
        <v>50</v>
      </c>
      <c r="U262" s="37" t="s">
        <v>50</v>
      </c>
      <c r="V262" s="37" t="s">
        <v>50</v>
      </c>
      <c r="W262" s="37" t="s">
        <v>50</v>
      </c>
      <c r="Y262" s="750" t="s">
        <v>32</v>
      </c>
    </row>
    <row r="263" spans="1:25" x14ac:dyDescent="0.25">
      <c r="A263" s="711">
        <v>43962</v>
      </c>
      <c r="B263" s="37" t="s">
        <v>43</v>
      </c>
      <c r="C263" s="693" t="s">
        <v>88</v>
      </c>
      <c r="D263" s="37">
        <v>38.063189999999999</v>
      </c>
      <c r="E263" s="37">
        <v>-121.83459999999999</v>
      </c>
      <c r="F263" s="37" t="s">
        <v>2112</v>
      </c>
      <c r="G263" s="37" t="s">
        <v>27</v>
      </c>
      <c r="H263" s="37" t="s">
        <v>25</v>
      </c>
      <c r="I263" s="712">
        <v>0.42638888888888887</v>
      </c>
      <c r="J263" s="37" t="s">
        <v>28</v>
      </c>
      <c r="K263" s="37" t="s">
        <v>29</v>
      </c>
      <c r="L263" s="37" t="s">
        <v>30</v>
      </c>
      <c r="M263" s="37">
        <v>2</v>
      </c>
      <c r="N263" s="37">
        <v>10</v>
      </c>
      <c r="O263" s="91">
        <v>33.900000000000006</v>
      </c>
      <c r="P263" s="91">
        <v>3564</v>
      </c>
      <c r="Q263" s="91" t="s">
        <v>50</v>
      </c>
      <c r="R263" s="91">
        <v>0.6</v>
      </c>
      <c r="S263" s="91">
        <v>26.85</v>
      </c>
      <c r="T263" s="91" t="s">
        <v>50</v>
      </c>
      <c r="U263" s="37" t="s">
        <v>50</v>
      </c>
      <c r="V263" s="37" t="s">
        <v>50</v>
      </c>
      <c r="W263" s="37" t="s">
        <v>50</v>
      </c>
      <c r="Y263" s="750" t="s">
        <v>32</v>
      </c>
    </row>
    <row r="264" spans="1:25" s="683" customFormat="1" x14ac:dyDescent="0.25">
      <c r="A264" s="722">
        <v>43962</v>
      </c>
      <c r="B264" s="683" t="s">
        <v>43</v>
      </c>
      <c r="C264" s="682" t="s">
        <v>88</v>
      </c>
      <c r="D264" s="683">
        <v>38.051580000000001</v>
      </c>
      <c r="E264" s="683">
        <v>-121.79807</v>
      </c>
      <c r="F264" s="683" t="s">
        <v>2113</v>
      </c>
      <c r="G264" s="683" t="s">
        <v>27</v>
      </c>
      <c r="H264" s="683" t="s">
        <v>25</v>
      </c>
      <c r="I264" s="708">
        <v>0.45694444444444443</v>
      </c>
      <c r="J264" s="683" t="s">
        <v>28</v>
      </c>
      <c r="K264" s="683" t="s">
        <v>29</v>
      </c>
      <c r="L264" s="683" t="s">
        <v>30</v>
      </c>
      <c r="M264" s="683">
        <v>2</v>
      </c>
      <c r="N264" s="683">
        <v>10</v>
      </c>
      <c r="O264" s="209">
        <v>13</v>
      </c>
      <c r="P264" s="209">
        <v>1969</v>
      </c>
      <c r="Q264" s="209" t="s">
        <v>50</v>
      </c>
      <c r="R264" s="209">
        <v>0.53</v>
      </c>
      <c r="S264" s="209">
        <v>30.65</v>
      </c>
      <c r="T264" s="209" t="s">
        <v>50</v>
      </c>
      <c r="U264" s="709" t="s">
        <v>31</v>
      </c>
      <c r="V264" s="683">
        <v>1</v>
      </c>
      <c r="W264" s="683">
        <v>12.2</v>
      </c>
      <c r="X264" s="689"/>
      <c r="Y264" s="205" t="s">
        <v>32</v>
      </c>
    </row>
    <row r="265" spans="1:25" x14ac:dyDescent="0.25">
      <c r="A265" s="711">
        <v>43962</v>
      </c>
      <c r="B265" s="37" t="s">
        <v>43</v>
      </c>
      <c r="C265" s="693" t="s">
        <v>88</v>
      </c>
      <c r="D265" s="37">
        <v>38.098219999999998</v>
      </c>
      <c r="E265" s="37">
        <v>-121.08565</v>
      </c>
      <c r="F265" s="37" t="s">
        <v>2114</v>
      </c>
      <c r="G265" s="37" t="s">
        <v>90</v>
      </c>
      <c r="H265" s="37" t="s">
        <v>91</v>
      </c>
      <c r="I265" s="712">
        <v>0.50208333333333333</v>
      </c>
      <c r="J265" s="37" t="s">
        <v>28</v>
      </c>
      <c r="K265" s="37" t="s">
        <v>29</v>
      </c>
      <c r="L265" s="37" t="s">
        <v>30</v>
      </c>
      <c r="M265" s="37">
        <v>2</v>
      </c>
      <c r="N265" s="37">
        <v>10</v>
      </c>
      <c r="O265" s="91">
        <v>30.799999999999997</v>
      </c>
      <c r="P265" s="91">
        <v>284.8</v>
      </c>
      <c r="Q265" s="91" t="s">
        <v>50</v>
      </c>
      <c r="R265" s="91">
        <v>1.335</v>
      </c>
      <c r="S265" s="91">
        <v>12.9</v>
      </c>
      <c r="T265" s="91" t="s">
        <v>50</v>
      </c>
      <c r="U265" s="37" t="s">
        <v>50</v>
      </c>
      <c r="V265" s="37" t="s">
        <v>50</v>
      </c>
      <c r="W265" s="37" t="s">
        <v>50</v>
      </c>
      <c r="Y265" s="750" t="s">
        <v>32</v>
      </c>
    </row>
    <row r="266" spans="1:25" x14ac:dyDescent="0.25">
      <c r="A266" s="711">
        <v>43962</v>
      </c>
      <c r="B266" s="37" t="s">
        <v>43</v>
      </c>
      <c r="C266" s="693" t="s">
        <v>106</v>
      </c>
      <c r="D266" s="37">
        <v>38.341180000000001</v>
      </c>
      <c r="E266" s="37">
        <v>-121.66407</v>
      </c>
      <c r="F266" s="37" t="s">
        <v>2115</v>
      </c>
      <c r="G266" s="37" t="s">
        <v>90</v>
      </c>
      <c r="H266" s="37" t="s">
        <v>108</v>
      </c>
      <c r="I266" s="712">
        <v>0.375</v>
      </c>
      <c r="J266" s="37" t="s">
        <v>28</v>
      </c>
      <c r="K266" s="37" t="s">
        <v>29</v>
      </c>
      <c r="L266" s="37" t="s">
        <v>30</v>
      </c>
      <c r="M266" s="37">
        <v>2</v>
      </c>
      <c r="N266" s="37">
        <v>10</v>
      </c>
      <c r="O266" s="91">
        <v>36</v>
      </c>
      <c r="P266" s="91">
        <v>251.35000000000002</v>
      </c>
      <c r="Q266" s="91" t="s">
        <v>50</v>
      </c>
      <c r="R266" s="91">
        <v>0.55000000000000004</v>
      </c>
      <c r="S266" s="91">
        <v>20.950000000000003</v>
      </c>
      <c r="T266" s="91" t="s">
        <v>50</v>
      </c>
      <c r="U266" s="37" t="s">
        <v>50</v>
      </c>
      <c r="V266" s="37" t="s">
        <v>50</v>
      </c>
      <c r="W266" s="37" t="s">
        <v>50</v>
      </c>
      <c r="Y266" s="750" t="s">
        <v>32</v>
      </c>
    </row>
    <row r="267" spans="1:25" s="421" customFormat="1" x14ac:dyDescent="0.25">
      <c r="A267" s="348">
        <v>43962</v>
      </c>
      <c r="B267" s="421" t="s">
        <v>43</v>
      </c>
      <c r="C267" s="524" t="s">
        <v>106</v>
      </c>
      <c r="D267" s="421">
        <v>38.415509999999998</v>
      </c>
      <c r="E267" s="421">
        <v>-121.60982</v>
      </c>
      <c r="F267" s="421" t="s">
        <v>2116</v>
      </c>
      <c r="G267" s="421" t="s">
        <v>90</v>
      </c>
      <c r="H267" s="421" t="s">
        <v>108</v>
      </c>
      <c r="I267" s="539">
        <v>0.41250000000000003</v>
      </c>
      <c r="J267" s="421" t="s">
        <v>28</v>
      </c>
      <c r="K267" s="421" t="s">
        <v>29</v>
      </c>
      <c r="L267" s="421" t="s">
        <v>30</v>
      </c>
      <c r="M267" s="421">
        <v>2</v>
      </c>
      <c r="N267" s="421">
        <v>10</v>
      </c>
      <c r="O267" s="499">
        <v>41.849999999999994</v>
      </c>
      <c r="P267" s="499">
        <v>588.5</v>
      </c>
      <c r="Q267" s="499" t="s">
        <v>50</v>
      </c>
      <c r="R267" s="499">
        <v>0.42500000000000004</v>
      </c>
      <c r="S267" s="499">
        <v>44.55</v>
      </c>
      <c r="T267" s="499" t="s">
        <v>50</v>
      </c>
      <c r="U267" s="746" t="s">
        <v>323</v>
      </c>
      <c r="V267" s="421">
        <v>2</v>
      </c>
      <c r="W267" s="421" t="s">
        <v>2117</v>
      </c>
      <c r="Y267" s="494" t="s">
        <v>32</v>
      </c>
    </row>
    <row r="268" spans="1:25" x14ac:dyDescent="0.25">
      <c r="A268" s="711">
        <v>43962</v>
      </c>
      <c r="B268" s="37" t="s">
        <v>43</v>
      </c>
      <c r="C268" s="693" t="s">
        <v>106</v>
      </c>
      <c r="D268" s="37">
        <v>38.546520000000001</v>
      </c>
      <c r="E268" s="37">
        <v>-121.58176</v>
      </c>
      <c r="F268" s="37" t="s">
        <v>2118</v>
      </c>
      <c r="G268" s="37" t="s">
        <v>90</v>
      </c>
      <c r="H268" s="37" t="s">
        <v>1787</v>
      </c>
      <c r="I268" s="712">
        <v>0.45208333333333334</v>
      </c>
      <c r="J268" s="37" t="s">
        <v>28</v>
      </c>
      <c r="K268" s="37" t="s">
        <v>29</v>
      </c>
      <c r="L268" s="37" t="s">
        <v>30</v>
      </c>
      <c r="M268" s="37">
        <v>2</v>
      </c>
      <c r="N268" s="37">
        <v>10</v>
      </c>
      <c r="O268" s="91">
        <v>39.349999999999994</v>
      </c>
      <c r="P268" s="91">
        <v>1102</v>
      </c>
      <c r="Q268" s="91" t="s">
        <v>50</v>
      </c>
      <c r="R268" s="91">
        <v>0.92500000000000004</v>
      </c>
      <c r="S268" s="91">
        <v>14</v>
      </c>
      <c r="T268" s="91" t="s">
        <v>50</v>
      </c>
      <c r="U268" s="37" t="s">
        <v>50</v>
      </c>
      <c r="V268" s="37" t="s">
        <v>50</v>
      </c>
      <c r="W268" s="37" t="s">
        <v>50</v>
      </c>
      <c r="Y268" s="750" t="s">
        <v>32</v>
      </c>
    </row>
    <row r="269" spans="1:25" x14ac:dyDescent="0.25">
      <c r="A269" s="711">
        <v>43962</v>
      </c>
      <c r="B269" s="37" t="s">
        <v>43</v>
      </c>
      <c r="C269" s="693" t="s">
        <v>106</v>
      </c>
      <c r="D269" s="37">
        <v>38.477220000000003</v>
      </c>
      <c r="E269" s="37">
        <v>-121.58331</v>
      </c>
      <c r="F269" s="37" t="s">
        <v>2119</v>
      </c>
      <c r="G269" s="37" t="s">
        <v>90</v>
      </c>
      <c r="H269" s="37" t="s">
        <v>1787</v>
      </c>
      <c r="I269" s="712">
        <v>0.48333333333333334</v>
      </c>
      <c r="J269" s="37" t="s">
        <v>28</v>
      </c>
      <c r="K269" s="37" t="s">
        <v>29</v>
      </c>
      <c r="L269" s="37" t="s">
        <v>30</v>
      </c>
      <c r="M269" s="37">
        <v>2</v>
      </c>
      <c r="N269" s="37">
        <v>10</v>
      </c>
      <c r="O269" s="91">
        <v>35</v>
      </c>
      <c r="P269" s="91">
        <v>915</v>
      </c>
      <c r="Q269" s="91" t="s">
        <v>50</v>
      </c>
      <c r="R269" s="91">
        <v>0.57499999999999996</v>
      </c>
      <c r="S269" s="91">
        <v>25.85</v>
      </c>
      <c r="T269" s="91" t="s">
        <v>50</v>
      </c>
      <c r="U269" s="37" t="s">
        <v>50</v>
      </c>
      <c r="V269" s="37" t="s">
        <v>50</v>
      </c>
      <c r="W269" s="37" t="s">
        <v>50</v>
      </c>
      <c r="Y269" s="750" t="s">
        <v>32</v>
      </c>
    </row>
    <row r="270" spans="1:25" s="421" customFormat="1" x14ac:dyDescent="0.25">
      <c r="A270" s="348">
        <v>43962</v>
      </c>
      <c r="B270" s="421" t="s">
        <v>43</v>
      </c>
      <c r="C270" s="524" t="s">
        <v>106</v>
      </c>
      <c r="D270" s="421">
        <v>38.433169999999997</v>
      </c>
      <c r="E270" s="421">
        <v>-121.60142999999999</v>
      </c>
      <c r="F270" s="421" t="s">
        <v>2120</v>
      </c>
      <c r="G270" s="421" t="s">
        <v>90</v>
      </c>
      <c r="H270" s="421" t="s">
        <v>108</v>
      </c>
      <c r="I270" s="539">
        <v>0.51250000000000007</v>
      </c>
      <c r="J270" s="421" t="s">
        <v>28</v>
      </c>
      <c r="K270" s="421" t="s">
        <v>29</v>
      </c>
      <c r="L270" s="421" t="s">
        <v>30</v>
      </c>
      <c r="M270" s="421">
        <v>2</v>
      </c>
      <c r="N270" s="421">
        <v>10</v>
      </c>
      <c r="O270" s="499">
        <v>34.25</v>
      </c>
      <c r="P270" s="499">
        <v>741</v>
      </c>
      <c r="Q270" s="499" t="s">
        <v>50</v>
      </c>
      <c r="R270" s="499">
        <v>0.4</v>
      </c>
      <c r="S270" s="499">
        <v>35.5</v>
      </c>
      <c r="T270" s="499" t="s">
        <v>50</v>
      </c>
      <c r="U270" s="746" t="s">
        <v>323</v>
      </c>
      <c r="V270" s="421">
        <v>2</v>
      </c>
      <c r="W270" s="421" t="s">
        <v>2121</v>
      </c>
      <c r="X270" s="397" t="s">
        <v>2122</v>
      </c>
      <c r="Y270" s="494" t="s">
        <v>32</v>
      </c>
    </row>
    <row r="271" spans="1:25" x14ac:dyDescent="0.25">
      <c r="A271" s="711">
        <v>43963</v>
      </c>
      <c r="B271" s="37" t="s">
        <v>849</v>
      </c>
      <c r="C271" s="693" t="s">
        <v>95</v>
      </c>
      <c r="D271" s="37">
        <v>38.036200000000001</v>
      </c>
      <c r="E271" s="37">
        <v>-121.70902</v>
      </c>
      <c r="F271" s="37" t="s">
        <v>2123</v>
      </c>
      <c r="G271" s="37" t="s">
        <v>27</v>
      </c>
      <c r="H271" s="37" t="s">
        <v>863</v>
      </c>
      <c r="I271" s="712">
        <v>0.32847222222222222</v>
      </c>
      <c r="J271" s="37" t="s">
        <v>28</v>
      </c>
      <c r="K271" s="37" t="s">
        <v>29</v>
      </c>
      <c r="L271" s="37" t="s">
        <v>30</v>
      </c>
      <c r="M271" s="37">
        <v>2</v>
      </c>
      <c r="N271" s="37">
        <v>10</v>
      </c>
      <c r="O271" s="91">
        <v>27.9</v>
      </c>
      <c r="P271" s="91">
        <v>793</v>
      </c>
      <c r="Q271" s="91" t="s">
        <v>50</v>
      </c>
      <c r="R271" s="91">
        <v>0.86</v>
      </c>
      <c r="S271" s="91">
        <v>11.55</v>
      </c>
      <c r="T271" s="91" t="s">
        <v>50</v>
      </c>
      <c r="U271" s="37" t="s">
        <v>50</v>
      </c>
      <c r="V271" s="37" t="s">
        <v>50</v>
      </c>
      <c r="W271" s="37" t="s">
        <v>50</v>
      </c>
      <c r="Y271" s="750" t="s">
        <v>32</v>
      </c>
    </row>
    <row r="272" spans="1:25" x14ac:dyDescent="0.25">
      <c r="A272" s="711">
        <v>43963</v>
      </c>
      <c r="B272" s="37" t="s">
        <v>849</v>
      </c>
      <c r="C272" s="693" t="s">
        <v>95</v>
      </c>
      <c r="D272" s="37">
        <v>38.048940000000002</v>
      </c>
      <c r="E272" s="37">
        <v>-121.69301</v>
      </c>
      <c r="F272" s="37" t="s">
        <v>2124</v>
      </c>
      <c r="G272" s="37" t="s">
        <v>46</v>
      </c>
      <c r="H272" s="37" t="s">
        <v>908</v>
      </c>
      <c r="I272" s="712">
        <v>0.35694444444444445</v>
      </c>
      <c r="J272" s="37" t="s">
        <v>28</v>
      </c>
      <c r="K272" s="37" t="s">
        <v>29</v>
      </c>
      <c r="L272" s="37" t="s">
        <v>30</v>
      </c>
      <c r="M272" s="37">
        <v>2</v>
      </c>
      <c r="N272" s="37">
        <v>10</v>
      </c>
      <c r="O272" s="91" t="s">
        <v>50</v>
      </c>
      <c r="P272" s="91">
        <v>681.5</v>
      </c>
      <c r="Q272" s="91" t="s">
        <v>50</v>
      </c>
      <c r="R272" s="91">
        <v>0.95</v>
      </c>
      <c r="S272" s="91">
        <v>11.05</v>
      </c>
      <c r="T272" s="91" t="s">
        <v>50</v>
      </c>
      <c r="U272" s="37" t="s">
        <v>50</v>
      </c>
      <c r="V272" s="37" t="s">
        <v>50</v>
      </c>
      <c r="W272" s="37" t="s">
        <v>50</v>
      </c>
      <c r="X272" s="698" t="s">
        <v>2125</v>
      </c>
      <c r="Y272" s="750" t="s">
        <v>32</v>
      </c>
    </row>
    <row r="273" spans="1:25" x14ac:dyDescent="0.25">
      <c r="A273" s="711">
        <v>43963</v>
      </c>
      <c r="B273" s="37" t="s">
        <v>849</v>
      </c>
      <c r="C273" s="693" t="s">
        <v>95</v>
      </c>
      <c r="D273" s="37">
        <v>38.064570000000003</v>
      </c>
      <c r="E273" s="37">
        <v>-121.67613</v>
      </c>
      <c r="F273" s="37" t="s">
        <v>2126</v>
      </c>
      <c r="G273" s="37" t="s">
        <v>46</v>
      </c>
      <c r="H273" s="37" t="s">
        <v>908</v>
      </c>
      <c r="I273" s="712">
        <v>0.3840277777777778</v>
      </c>
      <c r="J273" s="37" t="s">
        <v>28</v>
      </c>
      <c r="K273" s="37" t="s">
        <v>29</v>
      </c>
      <c r="L273" s="37" t="s">
        <v>30</v>
      </c>
      <c r="M273" s="37">
        <v>2</v>
      </c>
      <c r="N273" s="37">
        <v>10</v>
      </c>
      <c r="O273" s="91">
        <v>31.7</v>
      </c>
      <c r="P273" s="91">
        <v>534.5</v>
      </c>
      <c r="Q273" s="91" t="s">
        <v>50</v>
      </c>
      <c r="R273" s="91">
        <v>1.0550000000000002</v>
      </c>
      <c r="S273" s="91">
        <v>9.8550000000000004</v>
      </c>
      <c r="T273" s="91" t="s">
        <v>50</v>
      </c>
      <c r="U273" s="37" t="s">
        <v>50</v>
      </c>
      <c r="V273" s="37" t="s">
        <v>50</v>
      </c>
      <c r="W273" s="37" t="s">
        <v>50</v>
      </c>
      <c r="Y273" s="750" t="s">
        <v>32</v>
      </c>
    </row>
    <row r="274" spans="1:25" x14ac:dyDescent="0.25">
      <c r="A274" s="711">
        <v>43963</v>
      </c>
      <c r="B274" s="37" t="s">
        <v>849</v>
      </c>
      <c r="C274" s="693" t="s">
        <v>95</v>
      </c>
      <c r="D274" s="37">
        <v>38.065989999999999</v>
      </c>
      <c r="E274" s="37">
        <v>-121.53216</v>
      </c>
      <c r="F274" s="37" t="s">
        <v>2127</v>
      </c>
      <c r="G274" s="37" t="s">
        <v>46</v>
      </c>
      <c r="H274" s="37" t="s">
        <v>1767</v>
      </c>
      <c r="I274" s="712">
        <v>0.4236111111111111</v>
      </c>
      <c r="J274" s="37" t="s">
        <v>28</v>
      </c>
      <c r="K274" s="37" t="s">
        <v>29</v>
      </c>
      <c r="L274" s="37" t="s">
        <v>30</v>
      </c>
      <c r="M274" s="37">
        <v>2</v>
      </c>
      <c r="N274" s="37">
        <v>10</v>
      </c>
      <c r="O274" s="91">
        <v>53.9</v>
      </c>
      <c r="P274" s="91">
        <v>237.05</v>
      </c>
      <c r="Q274" s="91" t="s">
        <v>50</v>
      </c>
      <c r="R274" s="91">
        <v>1.5750000000000002</v>
      </c>
      <c r="S274" s="91">
        <v>6.9249999999999998</v>
      </c>
      <c r="T274" s="91" t="s">
        <v>50</v>
      </c>
      <c r="U274" s="37" t="s">
        <v>50</v>
      </c>
      <c r="V274" s="37" t="s">
        <v>50</v>
      </c>
      <c r="W274" s="37" t="s">
        <v>50</v>
      </c>
      <c r="Y274" s="750" t="s">
        <v>32</v>
      </c>
    </row>
    <row r="275" spans="1:25" x14ac:dyDescent="0.25">
      <c r="A275" s="711">
        <v>43963</v>
      </c>
      <c r="B275" s="37" t="s">
        <v>849</v>
      </c>
      <c r="C275" s="693" t="s">
        <v>95</v>
      </c>
      <c r="D275" s="37">
        <v>38.090960000000003</v>
      </c>
      <c r="E275" s="37">
        <v>-121.57274</v>
      </c>
      <c r="F275" s="37" t="s">
        <v>2128</v>
      </c>
      <c r="G275" s="37" t="s">
        <v>46</v>
      </c>
      <c r="H275" s="37" t="s">
        <v>1767</v>
      </c>
      <c r="I275" s="712">
        <v>0.4513888888888889</v>
      </c>
      <c r="J275" s="37" t="s">
        <v>28</v>
      </c>
      <c r="K275" s="37" t="s">
        <v>29</v>
      </c>
      <c r="L275" s="37" t="s">
        <v>30</v>
      </c>
      <c r="M275" s="37">
        <v>2</v>
      </c>
      <c r="N275" s="37">
        <v>10</v>
      </c>
      <c r="O275" s="91">
        <v>30.35</v>
      </c>
      <c r="P275" s="91">
        <v>224.55</v>
      </c>
      <c r="Q275" s="91" t="s">
        <v>50</v>
      </c>
      <c r="R275" s="91">
        <v>1.5619999999999998</v>
      </c>
      <c r="S275" s="91">
        <v>4.74</v>
      </c>
      <c r="T275" s="91" t="s">
        <v>50</v>
      </c>
      <c r="U275" s="37" t="s">
        <v>50</v>
      </c>
      <c r="V275" s="37" t="s">
        <v>50</v>
      </c>
      <c r="W275" s="37" t="s">
        <v>50</v>
      </c>
      <c r="Y275" s="750" t="s">
        <v>32</v>
      </c>
    </row>
    <row r="276" spans="1:25" x14ac:dyDescent="0.25">
      <c r="A276" s="711">
        <v>43963</v>
      </c>
      <c r="B276" s="37" t="s">
        <v>849</v>
      </c>
      <c r="C276" s="693" t="s">
        <v>106</v>
      </c>
      <c r="D276" s="37">
        <v>38.365659999999998</v>
      </c>
      <c r="E276" s="37">
        <v>-121.63302</v>
      </c>
      <c r="F276" s="37" t="s">
        <v>2129</v>
      </c>
      <c r="G276" s="37" t="s">
        <v>90</v>
      </c>
      <c r="H276" s="37" t="s">
        <v>108</v>
      </c>
      <c r="I276" s="712">
        <v>0.36180555555555555</v>
      </c>
      <c r="J276" s="37" t="s">
        <v>28</v>
      </c>
      <c r="K276" s="37" t="s">
        <v>29</v>
      </c>
      <c r="L276" s="37" t="s">
        <v>30</v>
      </c>
      <c r="M276" s="37">
        <v>2</v>
      </c>
      <c r="N276" s="37">
        <v>10</v>
      </c>
      <c r="O276" s="91">
        <v>30</v>
      </c>
      <c r="P276" s="91">
        <v>349.4</v>
      </c>
      <c r="Q276" s="91" t="s">
        <v>50</v>
      </c>
      <c r="R276" s="91">
        <v>0.435</v>
      </c>
      <c r="S276" s="91">
        <v>22.25</v>
      </c>
      <c r="T276" s="91" t="s">
        <v>50</v>
      </c>
      <c r="U276" s="37" t="s">
        <v>50</v>
      </c>
      <c r="V276" s="37" t="s">
        <v>50</v>
      </c>
      <c r="W276" s="37" t="s">
        <v>50</v>
      </c>
      <c r="Y276" s="750" t="s">
        <v>32</v>
      </c>
    </row>
    <row r="277" spans="1:25" x14ac:dyDescent="0.25">
      <c r="A277" s="711">
        <v>43963</v>
      </c>
      <c r="B277" s="37" t="s">
        <v>849</v>
      </c>
      <c r="C277" s="693" t="s">
        <v>106</v>
      </c>
      <c r="D277" s="37">
        <v>38.27073</v>
      </c>
      <c r="E277" s="37">
        <v>-121.66247</v>
      </c>
      <c r="F277" s="37" t="s">
        <v>2130</v>
      </c>
      <c r="G277" s="37" t="s">
        <v>90</v>
      </c>
      <c r="H277" s="37" t="s">
        <v>108</v>
      </c>
      <c r="I277" s="712">
        <v>0.39513888888888887</v>
      </c>
      <c r="J277" s="37" t="s">
        <v>28</v>
      </c>
      <c r="K277" s="37" t="s">
        <v>29</v>
      </c>
      <c r="L277" s="37" t="s">
        <v>30</v>
      </c>
      <c r="M277" s="37">
        <v>2</v>
      </c>
      <c r="N277" s="37">
        <v>10</v>
      </c>
      <c r="O277" s="91">
        <v>23.65</v>
      </c>
      <c r="P277" s="91">
        <v>176.95</v>
      </c>
      <c r="Q277" s="91" t="s">
        <v>50</v>
      </c>
      <c r="R277" s="91">
        <v>0.98499999999999999</v>
      </c>
      <c r="S277" s="91">
        <v>9.3650000000000002</v>
      </c>
      <c r="T277" s="91" t="s">
        <v>50</v>
      </c>
      <c r="U277" s="37" t="s">
        <v>50</v>
      </c>
      <c r="V277" s="37" t="s">
        <v>50</v>
      </c>
      <c r="W277" s="37" t="s">
        <v>50</v>
      </c>
      <c r="Y277" s="750" t="s">
        <v>32</v>
      </c>
    </row>
    <row r="278" spans="1:25" x14ac:dyDescent="0.25">
      <c r="A278" s="711">
        <v>43963</v>
      </c>
      <c r="B278" s="37" t="s">
        <v>849</v>
      </c>
      <c r="C278" s="693" t="s">
        <v>106</v>
      </c>
      <c r="D278" s="37">
        <v>38.263689999999997</v>
      </c>
      <c r="E278" s="37">
        <v>-121.66453</v>
      </c>
      <c r="F278" s="37" t="s">
        <v>2131</v>
      </c>
      <c r="G278" s="37" t="s">
        <v>90</v>
      </c>
      <c r="H278" s="37" t="s">
        <v>108</v>
      </c>
      <c r="I278" s="712">
        <v>0.42777777777777781</v>
      </c>
      <c r="J278" s="37" t="s">
        <v>28</v>
      </c>
      <c r="K278" s="37" t="s">
        <v>29</v>
      </c>
      <c r="L278" s="37" t="s">
        <v>30</v>
      </c>
      <c r="M278" s="37">
        <v>2</v>
      </c>
      <c r="N278" s="37">
        <v>10</v>
      </c>
      <c r="O278" s="91">
        <v>21.6</v>
      </c>
      <c r="P278" s="91">
        <v>177.5</v>
      </c>
      <c r="Q278" s="91" t="s">
        <v>50</v>
      </c>
      <c r="R278" s="91">
        <v>1.29</v>
      </c>
      <c r="S278" s="91">
        <v>8.4499999999999993</v>
      </c>
      <c r="T278" s="91" t="s">
        <v>50</v>
      </c>
      <c r="U278" s="37" t="s">
        <v>50</v>
      </c>
      <c r="V278" s="37" t="s">
        <v>50</v>
      </c>
      <c r="W278" s="37" t="s">
        <v>50</v>
      </c>
      <c r="Y278" s="750" t="s">
        <v>32</v>
      </c>
    </row>
    <row r="279" spans="1:25" x14ac:dyDescent="0.25">
      <c r="A279" s="711">
        <v>43963</v>
      </c>
      <c r="B279" s="37" t="s">
        <v>849</v>
      </c>
      <c r="C279" s="693" t="s">
        <v>106</v>
      </c>
      <c r="D279" s="37">
        <v>38.216549999999998</v>
      </c>
      <c r="E279" s="37">
        <v>-121.66871999999999</v>
      </c>
      <c r="F279" s="37" t="s">
        <v>2132</v>
      </c>
      <c r="G279" s="37" t="s">
        <v>90</v>
      </c>
      <c r="H279" s="37" t="s">
        <v>108</v>
      </c>
      <c r="I279" s="712">
        <v>0.4597222222222222</v>
      </c>
      <c r="J279" s="37" t="s">
        <v>28</v>
      </c>
      <c r="K279" s="37" t="s">
        <v>29</v>
      </c>
      <c r="L279" s="37" t="s">
        <v>30</v>
      </c>
      <c r="M279" s="37">
        <v>2</v>
      </c>
      <c r="N279" s="37">
        <v>10</v>
      </c>
      <c r="O279" s="91">
        <v>50.150000000000006</v>
      </c>
      <c r="P279" s="91">
        <v>163</v>
      </c>
      <c r="Q279" s="91" t="s">
        <v>50</v>
      </c>
      <c r="R279" s="91">
        <v>1.27</v>
      </c>
      <c r="S279" s="91">
        <v>7.5850000000000009</v>
      </c>
      <c r="T279" s="91" t="s">
        <v>50</v>
      </c>
      <c r="U279" s="37" t="s">
        <v>50</v>
      </c>
      <c r="V279" s="37" t="s">
        <v>50</v>
      </c>
      <c r="W279" s="37" t="s">
        <v>50</v>
      </c>
      <c r="Y279" s="750" t="s">
        <v>32</v>
      </c>
    </row>
    <row r="280" spans="1:25" x14ac:dyDescent="0.25">
      <c r="A280" s="711">
        <v>43963</v>
      </c>
      <c r="B280" s="37" t="s">
        <v>849</v>
      </c>
      <c r="C280" s="693" t="s">
        <v>106</v>
      </c>
      <c r="D280" s="37">
        <v>38.182870000000001</v>
      </c>
      <c r="E280" s="37">
        <v>-121.66082</v>
      </c>
      <c r="F280" s="37" t="s">
        <v>2133</v>
      </c>
      <c r="G280" s="37" t="s">
        <v>90</v>
      </c>
      <c r="H280" s="37" t="s">
        <v>108</v>
      </c>
      <c r="I280" s="712">
        <v>0.48819444444444443</v>
      </c>
      <c r="J280" s="37" t="s">
        <v>28</v>
      </c>
      <c r="K280" s="37" t="s">
        <v>29</v>
      </c>
      <c r="L280" s="37" t="s">
        <v>30</v>
      </c>
      <c r="M280" s="37">
        <v>2</v>
      </c>
      <c r="N280" s="37">
        <v>10</v>
      </c>
      <c r="O280" s="91">
        <v>42.4</v>
      </c>
      <c r="P280" s="91">
        <v>161.35</v>
      </c>
      <c r="Q280" s="91" t="s">
        <v>50</v>
      </c>
      <c r="R280" s="91">
        <v>1.7349999999999999</v>
      </c>
      <c r="S280" s="91">
        <v>7.51</v>
      </c>
      <c r="T280" s="91" t="s">
        <v>50</v>
      </c>
      <c r="U280" s="37" t="s">
        <v>50</v>
      </c>
      <c r="V280" s="37" t="s">
        <v>50</v>
      </c>
      <c r="W280" s="37" t="s">
        <v>50</v>
      </c>
      <c r="Y280" s="750" t="s">
        <v>32</v>
      </c>
    </row>
    <row r="281" spans="1:25" s="683" customFormat="1" x14ac:dyDescent="0.25">
      <c r="A281" s="722">
        <v>43964</v>
      </c>
      <c r="B281" s="683" t="s">
        <v>915</v>
      </c>
      <c r="C281" s="742" t="s">
        <v>62</v>
      </c>
      <c r="D281" s="683">
        <v>38.173589999999997</v>
      </c>
      <c r="E281" s="683">
        <v>-121.96225</v>
      </c>
      <c r="F281" s="683" t="s">
        <v>2134</v>
      </c>
      <c r="G281" s="683" t="s">
        <v>27</v>
      </c>
      <c r="H281" s="683" t="s">
        <v>62</v>
      </c>
      <c r="I281" s="708">
        <v>0.36319444444444443</v>
      </c>
      <c r="J281" s="683" t="s">
        <v>28</v>
      </c>
      <c r="K281" s="683" t="s">
        <v>29</v>
      </c>
      <c r="L281" s="683" t="s">
        <v>30</v>
      </c>
      <c r="M281" s="683">
        <v>2</v>
      </c>
      <c r="N281" s="683">
        <v>10</v>
      </c>
      <c r="O281" s="209">
        <v>28.15</v>
      </c>
      <c r="P281" s="209">
        <v>3603.5</v>
      </c>
      <c r="Q281" s="209" t="s">
        <v>50</v>
      </c>
      <c r="R281" s="209">
        <v>0.26500000000000001</v>
      </c>
      <c r="S281" s="209">
        <v>51.95</v>
      </c>
      <c r="T281" s="209" t="s">
        <v>50</v>
      </c>
      <c r="U281" s="709" t="s">
        <v>31</v>
      </c>
      <c r="V281" s="683">
        <v>6</v>
      </c>
      <c r="W281" s="683" t="s">
        <v>2135</v>
      </c>
      <c r="X281" s="689"/>
      <c r="Y281" s="205" t="s">
        <v>32</v>
      </c>
    </row>
    <row r="282" spans="1:25" s="683" customFormat="1" x14ac:dyDescent="0.25">
      <c r="A282" s="722">
        <v>43964</v>
      </c>
      <c r="B282" s="683" t="s">
        <v>915</v>
      </c>
      <c r="C282" s="742" t="s">
        <v>62</v>
      </c>
      <c r="D282" s="683">
        <v>38.1678</v>
      </c>
      <c r="E282" s="683">
        <v>-122.04165999999999</v>
      </c>
      <c r="F282" s="683" t="s">
        <v>2136</v>
      </c>
      <c r="G282" s="683" t="s">
        <v>27</v>
      </c>
      <c r="H282" s="683" t="s">
        <v>62</v>
      </c>
      <c r="I282" s="708">
        <v>0.40763888888888888</v>
      </c>
      <c r="J282" s="683" t="s">
        <v>28</v>
      </c>
      <c r="K282" s="683" t="s">
        <v>29</v>
      </c>
      <c r="L282" s="683" t="s">
        <v>30</v>
      </c>
      <c r="M282" s="683">
        <v>2</v>
      </c>
      <c r="N282" s="683">
        <v>10</v>
      </c>
      <c r="O282" s="209">
        <v>29.65</v>
      </c>
      <c r="P282" s="209">
        <v>5124.5</v>
      </c>
      <c r="Q282" s="209" t="s">
        <v>50</v>
      </c>
      <c r="R282" s="209">
        <v>0.38500000000000001</v>
      </c>
      <c r="S282" s="209">
        <v>49.35</v>
      </c>
      <c r="T282" s="209" t="s">
        <v>50</v>
      </c>
      <c r="U282" s="709" t="s">
        <v>31</v>
      </c>
      <c r="V282" s="683">
        <v>1</v>
      </c>
      <c r="W282" s="683">
        <v>24.1</v>
      </c>
      <c r="X282" s="689"/>
      <c r="Y282" s="205" t="s">
        <v>32</v>
      </c>
    </row>
    <row r="283" spans="1:25" s="683" customFormat="1" x14ac:dyDescent="0.25">
      <c r="A283" s="722">
        <v>43964</v>
      </c>
      <c r="B283" s="683" t="s">
        <v>915</v>
      </c>
      <c r="C283" s="742" t="s">
        <v>62</v>
      </c>
      <c r="D283" s="683">
        <v>38.148400000000002</v>
      </c>
      <c r="E283" s="683">
        <v>-122.05802</v>
      </c>
      <c r="F283" s="683" t="s">
        <v>2137</v>
      </c>
      <c r="G283" s="683" t="s">
        <v>27</v>
      </c>
      <c r="H283" s="683" t="s">
        <v>62</v>
      </c>
      <c r="I283" s="708">
        <v>0.43472222222222223</v>
      </c>
      <c r="J283" s="683" t="s">
        <v>28</v>
      </c>
      <c r="K283" s="683" t="s">
        <v>29</v>
      </c>
      <c r="L283" s="683" t="s">
        <v>30</v>
      </c>
      <c r="M283" s="683">
        <v>2</v>
      </c>
      <c r="N283" s="683">
        <v>10</v>
      </c>
      <c r="O283" s="209">
        <v>35.700000000000003</v>
      </c>
      <c r="P283" s="209">
        <v>6405.5</v>
      </c>
      <c r="Q283" s="209" t="s">
        <v>50</v>
      </c>
      <c r="R283" s="209">
        <v>0.4</v>
      </c>
      <c r="S283" s="209">
        <v>40.200000000000003</v>
      </c>
      <c r="T283" s="209" t="s">
        <v>50</v>
      </c>
      <c r="U283" s="709" t="s">
        <v>31</v>
      </c>
      <c r="V283" s="683">
        <v>1</v>
      </c>
      <c r="W283" s="683">
        <v>21</v>
      </c>
      <c r="X283" s="689"/>
      <c r="Y283" s="205" t="s">
        <v>32</v>
      </c>
    </row>
    <row r="284" spans="1:25" s="683" customFormat="1" x14ac:dyDescent="0.25">
      <c r="A284" s="722">
        <v>43964</v>
      </c>
      <c r="B284" s="683" t="s">
        <v>915</v>
      </c>
      <c r="C284" s="742" t="s">
        <v>62</v>
      </c>
      <c r="D284" s="683">
        <v>38.17803</v>
      </c>
      <c r="E284" s="683">
        <v>-122.00906999999999</v>
      </c>
      <c r="F284" s="683" t="s">
        <v>2138</v>
      </c>
      <c r="G284" s="683" t="s">
        <v>27</v>
      </c>
      <c r="H284" s="683" t="s">
        <v>62</v>
      </c>
      <c r="I284" s="708">
        <v>0.46180555555555558</v>
      </c>
      <c r="J284" s="683" t="s">
        <v>28</v>
      </c>
      <c r="K284" s="683" t="s">
        <v>29</v>
      </c>
      <c r="L284" s="683" t="s">
        <v>30</v>
      </c>
      <c r="M284" s="683">
        <v>2</v>
      </c>
      <c r="N284" s="683">
        <v>10</v>
      </c>
      <c r="O284" s="209">
        <v>27.6</v>
      </c>
      <c r="P284" s="209">
        <v>3753</v>
      </c>
      <c r="Q284" s="209" t="s">
        <v>50</v>
      </c>
      <c r="R284" s="209">
        <v>0.36</v>
      </c>
      <c r="S284" s="209">
        <v>71.150000000000006</v>
      </c>
      <c r="T284" s="209" t="s">
        <v>50</v>
      </c>
      <c r="U284" s="709" t="s">
        <v>31</v>
      </c>
      <c r="V284" s="683">
        <v>7</v>
      </c>
      <c r="W284" s="683" t="s">
        <v>2139</v>
      </c>
      <c r="X284" s="689"/>
      <c r="Y284" s="205" t="s">
        <v>32</v>
      </c>
    </row>
    <row r="285" spans="1:25" s="683" customFormat="1" x14ac:dyDescent="0.25">
      <c r="A285" s="722">
        <v>43964</v>
      </c>
      <c r="B285" s="683" t="s">
        <v>915</v>
      </c>
      <c r="C285" s="742" t="s">
        <v>62</v>
      </c>
      <c r="D285" s="683">
        <v>38.104019999999998</v>
      </c>
      <c r="E285" s="683">
        <v>-122.05813000000001</v>
      </c>
      <c r="F285" s="683" t="s">
        <v>2140</v>
      </c>
      <c r="G285" s="683" t="s">
        <v>27</v>
      </c>
      <c r="H285" s="683" t="s">
        <v>173</v>
      </c>
      <c r="I285" s="708">
        <v>0.49374999999999997</v>
      </c>
      <c r="J285" s="683" t="s">
        <v>28</v>
      </c>
      <c r="K285" s="683" t="s">
        <v>29</v>
      </c>
      <c r="L285" s="683" t="s">
        <v>30</v>
      </c>
      <c r="M285" s="683">
        <v>2</v>
      </c>
      <c r="N285" s="683">
        <v>10</v>
      </c>
      <c r="O285" s="209">
        <v>18.350000000000001</v>
      </c>
      <c r="P285" s="209">
        <v>10032</v>
      </c>
      <c r="Q285" s="209" t="s">
        <v>50</v>
      </c>
      <c r="R285" s="209">
        <v>0.48499999999999999</v>
      </c>
      <c r="S285" s="209">
        <v>45.9</v>
      </c>
      <c r="T285" s="209" t="s">
        <v>50</v>
      </c>
      <c r="U285" s="709" t="s">
        <v>31</v>
      </c>
      <c r="V285" s="683">
        <v>5</v>
      </c>
      <c r="W285" s="683" t="s">
        <v>2141</v>
      </c>
      <c r="X285" s="689"/>
      <c r="Y285" s="205" t="s">
        <v>32</v>
      </c>
    </row>
    <row r="286" spans="1:25" x14ac:dyDescent="0.25">
      <c r="A286" s="711">
        <v>43964</v>
      </c>
      <c r="B286" s="37" t="s">
        <v>915</v>
      </c>
      <c r="C286" s="693" t="s">
        <v>845</v>
      </c>
      <c r="D286" s="37">
        <v>38.253050000000002</v>
      </c>
      <c r="E286" s="37">
        <v>-121.68665</v>
      </c>
      <c r="F286" s="37" t="s">
        <v>2142</v>
      </c>
      <c r="G286" s="37" t="s">
        <v>90</v>
      </c>
      <c r="H286" s="37" t="s">
        <v>126</v>
      </c>
      <c r="I286" s="712">
        <v>0.33263888888888887</v>
      </c>
      <c r="J286" s="37" t="s">
        <v>28</v>
      </c>
      <c r="K286" s="37" t="s">
        <v>29</v>
      </c>
      <c r="L286" s="37" t="s">
        <v>30</v>
      </c>
      <c r="M286" s="37">
        <v>2</v>
      </c>
      <c r="N286" s="37">
        <v>10</v>
      </c>
      <c r="O286" s="91">
        <v>26.95</v>
      </c>
      <c r="P286" s="91">
        <v>173.2</v>
      </c>
      <c r="Q286" s="91" t="s">
        <v>50</v>
      </c>
      <c r="R286" s="91">
        <v>1.6</v>
      </c>
      <c r="S286" s="91">
        <v>5.5549999999999997</v>
      </c>
      <c r="T286" s="91" t="s">
        <v>50</v>
      </c>
      <c r="U286" s="37" t="s">
        <v>50</v>
      </c>
      <c r="V286" s="37" t="s">
        <v>50</v>
      </c>
      <c r="W286" s="37" t="s">
        <v>50</v>
      </c>
      <c r="Y286" s="750" t="s">
        <v>32</v>
      </c>
    </row>
    <row r="287" spans="1:25" x14ac:dyDescent="0.25">
      <c r="A287" s="711">
        <v>43964</v>
      </c>
      <c r="B287" s="37" t="s">
        <v>915</v>
      </c>
      <c r="C287" s="693" t="s">
        <v>845</v>
      </c>
      <c r="D287" s="37">
        <v>38.272829999999999</v>
      </c>
      <c r="E287" s="37">
        <v>-121.69334000000001</v>
      </c>
      <c r="F287" s="37" t="s">
        <v>2143</v>
      </c>
      <c r="G287" s="37" t="s">
        <v>90</v>
      </c>
      <c r="H287" s="37" t="s">
        <v>126</v>
      </c>
      <c r="I287" s="712">
        <v>0.36180555555555555</v>
      </c>
      <c r="J287" s="37" t="s">
        <v>28</v>
      </c>
      <c r="K287" s="37" t="s">
        <v>29</v>
      </c>
      <c r="L287" s="37" t="s">
        <v>30</v>
      </c>
      <c r="M287" s="37">
        <v>2</v>
      </c>
      <c r="N287" s="37">
        <v>10</v>
      </c>
      <c r="O287" s="91">
        <v>18.350000000000001</v>
      </c>
      <c r="P287" s="91">
        <v>187.2</v>
      </c>
      <c r="Q287" s="91" t="s">
        <v>50</v>
      </c>
      <c r="R287" s="91">
        <v>1.3900000000000001</v>
      </c>
      <c r="S287" s="91">
        <v>6.74</v>
      </c>
      <c r="T287" s="91" t="s">
        <v>50</v>
      </c>
      <c r="U287" s="37" t="s">
        <v>50</v>
      </c>
      <c r="V287" s="37" t="s">
        <v>50</v>
      </c>
      <c r="W287" s="37" t="s">
        <v>50</v>
      </c>
      <c r="Y287" s="750" t="s">
        <v>32</v>
      </c>
    </row>
    <row r="288" spans="1:25" x14ac:dyDescent="0.25">
      <c r="A288" s="711">
        <v>43964</v>
      </c>
      <c r="B288" s="37" t="s">
        <v>915</v>
      </c>
      <c r="C288" s="693" t="s">
        <v>845</v>
      </c>
      <c r="D288" s="37">
        <v>38.280430000000003</v>
      </c>
      <c r="E288" s="37">
        <v>-121.71088</v>
      </c>
      <c r="F288" s="37" t="s">
        <v>2144</v>
      </c>
      <c r="G288" s="37" t="s">
        <v>90</v>
      </c>
      <c r="H288" s="37" t="s">
        <v>126</v>
      </c>
      <c r="I288" s="712">
        <v>0.3923611111111111</v>
      </c>
      <c r="J288" s="37" t="s">
        <v>28</v>
      </c>
      <c r="K288" s="37" t="s">
        <v>29</v>
      </c>
      <c r="L288" s="37" t="s">
        <v>30</v>
      </c>
      <c r="M288" s="37">
        <v>3</v>
      </c>
      <c r="N288" s="37">
        <v>10</v>
      </c>
      <c r="O288" s="91">
        <v>13.033333333333333</v>
      </c>
      <c r="P288" s="91">
        <v>198.66666666666666</v>
      </c>
      <c r="Q288" s="91" t="s">
        <v>50</v>
      </c>
      <c r="R288" s="91">
        <v>1.7766666666666666</v>
      </c>
      <c r="S288" s="91">
        <v>4.2399999999999993</v>
      </c>
      <c r="T288" s="91" t="s">
        <v>50</v>
      </c>
      <c r="U288" s="37" t="s">
        <v>50</v>
      </c>
      <c r="V288" s="37" t="s">
        <v>50</v>
      </c>
      <c r="W288" s="37" t="s">
        <v>50</v>
      </c>
      <c r="X288" s="698" t="s">
        <v>2145</v>
      </c>
      <c r="Y288" s="750" t="s">
        <v>32</v>
      </c>
    </row>
    <row r="289" spans="1:25" x14ac:dyDescent="0.25">
      <c r="A289" s="711">
        <v>43964</v>
      </c>
      <c r="B289" s="37" t="s">
        <v>915</v>
      </c>
      <c r="C289" s="693" t="s">
        <v>845</v>
      </c>
      <c r="D289" s="37">
        <v>38.275759999999998</v>
      </c>
      <c r="E289" s="37">
        <v>-121.70741</v>
      </c>
      <c r="F289" s="37" t="s">
        <v>2146</v>
      </c>
      <c r="G289" s="37" t="s">
        <v>90</v>
      </c>
      <c r="H289" s="37" t="s">
        <v>126</v>
      </c>
      <c r="I289" s="712">
        <v>0.44375000000000003</v>
      </c>
      <c r="J289" s="37" t="s">
        <v>28</v>
      </c>
      <c r="K289" s="37" t="s">
        <v>29</v>
      </c>
      <c r="L289" s="37" t="s">
        <v>30</v>
      </c>
      <c r="M289" s="37">
        <v>2</v>
      </c>
      <c r="N289" s="37">
        <v>10</v>
      </c>
      <c r="O289" s="91">
        <v>13.100000000000001</v>
      </c>
      <c r="P289" s="91">
        <v>196.9</v>
      </c>
      <c r="Q289" s="91" t="s">
        <v>50</v>
      </c>
      <c r="R289" s="91">
        <v>1.71</v>
      </c>
      <c r="S289" s="91">
        <v>4.57</v>
      </c>
      <c r="T289" s="91" t="s">
        <v>50</v>
      </c>
      <c r="U289" s="37" t="s">
        <v>50</v>
      </c>
      <c r="V289" s="37" t="s">
        <v>50</v>
      </c>
      <c r="W289" s="37" t="s">
        <v>50</v>
      </c>
      <c r="Y289" s="750" t="s">
        <v>32</v>
      </c>
    </row>
    <row r="290" spans="1:25" x14ac:dyDescent="0.25">
      <c r="A290" s="711">
        <v>43964</v>
      </c>
      <c r="B290" s="37" t="s">
        <v>915</v>
      </c>
      <c r="C290" s="693" t="s">
        <v>845</v>
      </c>
      <c r="D290" s="37">
        <v>38.26464</v>
      </c>
      <c r="E290" s="37">
        <v>-121.69659</v>
      </c>
      <c r="F290" s="37" t="s">
        <v>2147</v>
      </c>
      <c r="G290" s="37" t="s">
        <v>90</v>
      </c>
      <c r="H290" s="37" t="s">
        <v>126</v>
      </c>
      <c r="I290" s="712">
        <v>0.47013888888888888</v>
      </c>
      <c r="J290" s="37" t="s">
        <v>28</v>
      </c>
      <c r="K290" s="37" t="s">
        <v>29</v>
      </c>
      <c r="L290" s="37" t="s">
        <v>30</v>
      </c>
      <c r="M290" s="37">
        <v>2</v>
      </c>
      <c r="N290" s="37">
        <v>10</v>
      </c>
      <c r="O290" s="91">
        <v>12.350000000000001</v>
      </c>
      <c r="P290" s="91">
        <v>193.60000000000002</v>
      </c>
      <c r="Q290" s="91" t="s">
        <v>50</v>
      </c>
      <c r="R290" s="91">
        <v>1.48</v>
      </c>
      <c r="S290" s="91">
        <v>5.5549999999999997</v>
      </c>
      <c r="T290" s="91" t="s">
        <v>50</v>
      </c>
      <c r="U290" s="37" t="s">
        <v>50</v>
      </c>
      <c r="V290" s="37" t="s">
        <v>50</v>
      </c>
      <c r="W290" s="37" t="s">
        <v>50</v>
      </c>
      <c r="Y290" s="750" t="s">
        <v>32</v>
      </c>
    </row>
    <row r="291" spans="1:25" x14ac:dyDescent="0.25">
      <c r="A291" s="711">
        <v>43965</v>
      </c>
      <c r="B291" s="37" t="s">
        <v>876</v>
      </c>
      <c r="C291" s="693" t="s">
        <v>78</v>
      </c>
      <c r="D291" s="37">
        <v>38.028359999999999</v>
      </c>
      <c r="E291" s="37">
        <v>-121.82577000000001</v>
      </c>
      <c r="F291" s="37" t="s">
        <v>2148</v>
      </c>
      <c r="G291" s="37" t="s">
        <v>27</v>
      </c>
      <c r="H291" s="37" t="s">
        <v>101</v>
      </c>
      <c r="I291" s="712">
        <v>0.32916666666666666</v>
      </c>
      <c r="J291" s="37" t="s">
        <v>28</v>
      </c>
      <c r="K291" s="37" t="s">
        <v>29</v>
      </c>
      <c r="L291" s="37" t="s">
        <v>30</v>
      </c>
      <c r="M291" s="37">
        <v>2</v>
      </c>
      <c r="N291" s="37">
        <v>10</v>
      </c>
      <c r="O291" s="91">
        <v>31.15</v>
      </c>
      <c r="P291" s="91">
        <v>1704</v>
      </c>
      <c r="Q291" s="91" t="s">
        <v>50</v>
      </c>
      <c r="R291" s="91">
        <v>0.66500000000000004</v>
      </c>
      <c r="S291" s="91">
        <v>21.15</v>
      </c>
      <c r="T291" s="91" t="s">
        <v>50</v>
      </c>
      <c r="U291" s="37" t="s">
        <v>50</v>
      </c>
      <c r="V291" s="37" t="s">
        <v>50</v>
      </c>
      <c r="W291" s="37" t="s">
        <v>50</v>
      </c>
      <c r="Y291" s="750" t="s">
        <v>32</v>
      </c>
    </row>
    <row r="292" spans="1:25" x14ac:dyDescent="0.25">
      <c r="A292" s="711">
        <v>43965</v>
      </c>
      <c r="B292" s="37" t="s">
        <v>876</v>
      </c>
      <c r="C292" s="693" t="s">
        <v>78</v>
      </c>
      <c r="D292" s="37">
        <v>38.097259999999999</v>
      </c>
      <c r="E292" s="37">
        <v>-122.02815</v>
      </c>
      <c r="F292" s="37" t="s">
        <v>2149</v>
      </c>
      <c r="G292" s="37" t="s">
        <v>27</v>
      </c>
      <c r="H292" s="37" t="s">
        <v>86</v>
      </c>
      <c r="I292" s="712">
        <v>0.37361111111111112</v>
      </c>
      <c r="J292" s="37" t="s">
        <v>28</v>
      </c>
      <c r="K292" s="37" t="s">
        <v>29</v>
      </c>
      <c r="L292" s="37" t="s">
        <v>30</v>
      </c>
      <c r="M292" s="37">
        <v>2</v>
      </c>
      <c r="N292" s="37">
        <v>10</v>
      </c>
      <c r="O292" s="91">
        <v>33.450000000000003</v>
      </c>
      <c r="P292" s="91">
        <v>12003</v>
      </c>
      <c r="Q292" s="91" t="s">
        <v>50</v>
      </c>
      <c r="R292" s="91">
        <v>0.755</v>
      </c>
      <c r="S292" s="91">
        <v>17.399999999999999</v>
      </c>
      <c r="T292" s="91" t="s">
        <v>50</v>
      </c>
      <c r="U292" s="37" t="s">
        <v>50</v>
      </c>
      <c r="V292" s="37" t="s">
        <v>50</v>
      </c>
      <c r="W292" s="37" t="s">
        <v>50</v>
      </c>
      <c r="Y292" s="750" t="s">
        <v>32</v>
      </c>
    </row>
    <row r="293" spans="1:25" x14ac:dyDescent="0.25">
      <c r="A293" s="711">
        <v>43965</v>
      </c>
      <c r="B293" s="37" t="s">
        <v>876</v>
      </c>
      <c r="C293" s="693" t="s">
        <v>78</v>
      </c>
      <c r="D293" s="37">
        <v>38.044080000000001</v>
      </c>
      <c r="E293" s="37">
        <v>-122.12361</v>
      </c>
      <c r="F293" s="37" t="s">
        <v>2150</v>
      </c>
      <c r="G293" s="37" t="s">
        <v>80</v>
      </c>
      <c r="H293" s="37" t="s">
        <v>81</v>
      </c>
      <c r="I293" s="712">
        <v>0.4069444444444445</v>
      </c>
      <c r="J293" s="37" t="s">
        <v>28</v>
      </c>
      <c r="K293" s="37" t="s">
        <v>29</v>
      </c>
      <c r="L293" s="37" t="s">
        <v>30</v>
      </c>
      <c r="M293" s="37">
        <v>2</v>
      </c>
      <c r="N293" s="37">
        <v>10</v>
      </c>
      <c r="O293" s="91">
        <v>53.4</v>
      </c>
      <c r="P293" s="91">
        <v>20728.5</v>
      </c>
      <c r="Q293" s="91" t="s">
        <v>50</v>
      </c>
      <c r="R293" s="91">
        <v>0.83000000000000007</v>
      </c>
      <c r="S293" s="91">
        <v>12.45</v>
      </c>
      <c r="T293" s="91" t="s">
        <v>50</v>
      </c>
      <c r="U293" s="37" t="s">
        <v>50</v>
      </c>
      <c r="V293" s="37" t="s">
        <v>50</v>
      </c>
      <c r="W293" s="37" t="s">
        <v>50</v>
      </c>
      <c r="Y293" s="750" t="s">
        <v>32</v>
      </c>
    </row>
    <row r="294" spans="1:25" x14ac:dyDescent="0.25">
      <c r="A294" s="711">
        <v>43965</v>
      </c>
      <c r="B294" s="37" t="s">
        <v>876</v>
      </c>
      <c r="C294" s="693" t="s">
        <v>78</v>
      </c>
      <c r="D294" s="37">
        <v>38.063299999999998</v>
      </c>
      <c r="E294" s="37">
        <v>-122.09442</v>
      </c>
      <c r="F294" s="37" t="s">
        <v>2151</v>
      </c>
      <c r="G294" s="37" t="s">
        <v>80</v>
      </c>
      <c r="H294" s="37" t="s">
        <v>81</v>
      </c>
      <c r="I294" s="712">
        <v>0.43333333333333335</v>
      </c>
      <c r="J294" s="37" t="s">
        <v>28</v>
      </c>
      <c r="K294" s="37" t="s">
        <v>29</v>
      </c>
      <c r="L294" s="37" t="s">
        <v>30</v>
      </c>
      <c r="M294" s="37">
        <v>2</v>
      </c>
      <c r="N294" s="37">
        <v>10</v>
      </c>
      <c r="O294" s="91">
        <v>25.05</v>
      </c>
      <c r="P294" s="91">
        <v>16227.5</v>
      </c>
      <c r="Q294" s="91" t="s">
        <v>50</v>
      </c>
      <c r="R294" s="91">
        <v>0.76500000000000001</v>
      </c>
      <c r="S294" s="91">
        <v>13.4</v>
      </c>
      <c r="T294" s="91" t="s">
        <v>50</v>
      </c>
      <c r="U294" s="37" t="s">
        <v>50</v>
      </c>
      <c r="V294" s="37" t="s">
        <v>50</v>
      </c>
      <c r="W294" s="37" t="s">
        <v>50</v>
      </c>
      <c r="Y294" s="750" t="s">
        <v>32</v>
      </c>
    </row>
    <row r="295" spans="1:25" x14ac:dyDescent="0.25">
      <c r="A295" s="711">
        <v>43965</v>
      </c>
      <c r="B295" s="37" t="s">
        <v>876</v>
      </c>
      <c r="C295" s="693" t="s">
        <v>78</v>
      </c>
      <c r="D295" s="37">
        <v>38.05491</v>
      </c>
      <c r="E295" s="37">
        <v>-121.94662</v>
      </c>
      <c r="F295" s="37" t="s">
        <v>2152</v>
      </c>
      <c r="G295" s="37" t="s">
        <v>27</v>
      </c>
      <c r="H295" s="37" t="s">
        <v>170</v>
      </c>
      <c r="I295" s="712">
        <v>0.47222222222222227</v>
      </c>
      <c r="J295" s="37" t="s">
        <v>28</v>
      </c>
      <c r="K295" s="37" t="s">
        <v>29</v>
      </c>
      <c r="L295" s="37" t="s">
        <v>30</v>
      </c>
      <c r="M295" s="37">
        <v>2</v>
      </c>
      <c r="N295" s="37">
        <v>10</v>
      </c>
      <c r="O295" s="91">
        <v>47.95</v>
      </c>
      <c r="P295" s="91">
        <v>7644</v>
      </c>
      <c r="Q295" s="91" t="s">
        <v>50</v>
      </c>
      <c r="R295" s="91">
        <v>0.75</v>
      </c>
      <c r="S295" s="91">
        <v>15.2</v>
      </c>
      <c r="T295" s="91" t="s">
        <v>50</v>
      </c>
      <c r="U295" s="37" t="s">
        <v>50</v>
      </c>
      <c r="V295" s="37" t="s">
        <v>50</v>
      </c>
      <c r="W295" s="37" t="s">
        <v>50</v>
      </c>
      <c r="Y295" s="750" t="s">
        <v>32</v>
      </c>
    </row>
    <row r="296" spans="1:25" x14ac:dyDescent="0.25">
      <c r="A296" s="711">
        <v>43965</v>
      </c>
      <c r="B296" s="37" t="s">
        <v>876</v>
      </c>
      <c r="C296" s="693" t="s">
        <v>845</v>
      </c>
      <c r="D296" s="37">
        <v>38.259430000000002</v>
      </c>
      <c r="E296" s="37">
        <v>-121.74245999999999</v>
      </c>
      <c r="F296" s="37" t="s">
        <v>2153</v>
      </c>
      <c r="G296" s="37" t="s">
        <v>90</v>
      </c>
      <c r="H296" s="37" t="s">
        <v>126</v>
      </c>
      <c r="I296" s="712">
        <v>0.35069444444444442</v>
      </c>
      <c r="J296" s="37" t="s">
        <v>28</v>
      </c>
      <c r="K296" s="37" t="s">
        <v>29</v>
      </c>
      <c r="L296" s="37" t="s">
        <v>30</v>
      </c>
      <c r="M296" s="37">
        <v>2</v>
      </c>
      <c r="N296" s="37">
        <v>10</v>
      </c>
      <c r="O296" s="91">
        <v>22.5</v>
      </c>
      <c r="P296" s="91">
        <v>214.10000000000002</v>
      </c>
      <c r="Q296" s="91" t="s">
        <v>50</v>
      </c>
      <c r="R296" s="91">
        <v>1</v>
      </c>
      <c r="S296" s="91">
        <v>7.9700000000000006</v>
      </c>
      <c r="T296" s="91" t="s">
        <v>50</v>
      </c>
      <c r="U296" s="37" t="s">
        <v>50</v>
      </c>
      <c r="V296" s="37" t="s">
        <v>50</v>
      </c>
      <c r="W296" s="37" t="s">
        <v>50</v>
      </c>
      <c r="Y296" s="750" t="s">
        <v>32</v>
      </c>
    </row>
    <row r="297" spans="1:25" x14ac:dyDescent="0.25">
      <c r="A297" s="711">
        <v>43965</v>
      </c>
      <c r="B297" s="37" t="s">
        <v>876</v>
      </c>
      <c r="C297" s="693" t="s">
        <v>845</v>
      </c>
      <c r="D297" s="37">
        <v>38.24391</v>
      </c>
      <c r="E297" s="37">
        <v>-121.69345</v>
      </c>
      <c r="F297" s="37" t="s">
        <v>2154</v>
      </c>
      <c r="G297" s="37" t="s">
        <v>90</v>
      </c>
      <c r="H297" s="37" t="s">
        <v>126</v>
      </c>
      <c r="I297" s="712">
        <v>0.3840277777777778</v>
      </c>
      <c r="J297" s="37" t="s">
        <v>28</v>
      </c>
      <c r="K297" s="37" t="s">
        <v>29</v>
      </c>
      <c r="L297" s="37" t="s">
        <v>30</v>
      </c>
      <c r="M297" s="37">
        <v>2</v>
      </c>
      <c r="N297" s="37">
        <v>10</v>
      </c>
      <c r="O297" s="91">
        <v>23.85</v>
      </c>
      <c r="P297" s="91">
        <v>175.89999999999998</v>
      </c>
      <c r="Q297" s="91" t="s">
        <v>50</v>
      </c>
      <c r="R297" s="91">
        <v>1.5</v>
      </c>
      <c r="S297" s="91">
        <v>6.335</v>
      </c>
      <c r="T297" s="91" t="s">
        <v>50</v>
      </c>
      <c r="U297" s="37" t="s">
        <v>50</v>
      </c>
      <c r="V297" s="37" t="s">
        <v>50</v>
      </c>
      <c r="W297" s="37" t="s">
        <v>50</v>
      </c>
      <c r="Y297" s="750" t="s">
        <v>32</v>
      </c>
    </row>
    <row r="298" spans="1:25" x14ac:dyDescent="0.25">
      <c r="A298" s="711">
        <v>43965</v>
      </c>
      <c r="B298" s="37" t="s">
        <v>876</v>
      </c>
      <c r="C298" s="693" t="s">
        <v>845</v>
      </c>
      <c r="D298" s="37">
        <v>38.239910000000002</v>
      </c>
      <c r="E298" s="37">
        <v>-121.68452000000001</v>
      </c>
      <c r="F298" s="37" t="s">
        <v>2155</v>
      </c>
      <c r="G298" s="37" t="s">
        <v>90</v>
      </c>
      <c r="H298" s="37" t="s">
        <v>126</v>
      </c>
      <c r="I298" s="712">
        <v>0.40833333333333338</v>
      </c>
      <c r="J298" s="37" t="s">
        <v>28</v>
      </c>
      <c r="K298" s="37" t="s">
        <v>29</v>
      </c>
      <c r="L298" s="37" t="s">
        <v>30</v>
      </c>
      <c r="M298" s="37">
        <v>2</v>
      </c>
      <c r="N298" s="37">
        <v>10</v>
      </c>
      <c r="O298" s="91">
        <v>33.200000000000003</v>
      </c>
      <c r="P298" s="91">
        <v>172.95</v>
      </c>
      <c r="Q298" s="91" t="s">
        <v>50</v>
      </c>
      <c r="R298" s="91">
        <v>1.5</v>
      </c>
      <c r="S298" s="91">
        <v>6.17</v>
      </c>
      <c r="T298" s="91" t="s">
        <v>50</v>
      </c>
      <c r="U298" s="37" t="s">
        <v>50</v>
      </c>
      <c r="V298" s="37" t="s">
        <v>50</v>
      </c>
      <c r="W298" s="37" t="s">
        <v>50</v>
      </c>
      <c r="Y298" s="750" t="s">
        <v>32</v>
      </c>
    </row>
    <row r="299" spans="1:25" x14ac:dyDescent="0.25">
      <c r="A299" s="711">
        <v>43965</v>
      </c>
      <c r="B299" s="37" t="s">
        <v>876</v>
      </c>
      <c r="C299" s="693" t="s">
        <v>845</v>
      </c>
      <c r="D299" s="37">
        <v>38.250079999999997</v>
      </c>
      <c r="E299" s="37">
        <v>-121.67299</v>
      </c>
      <c r="F299" s="37" t="s">
        <v>2156</v>
      </c>
      <c r="G299" s="37" t="s">
        <v>90</v>
      </c>
      <c r="H299" s="37" t="s">
        <v>126</v>
      </c>
      <c r="I299" s="712">
        <v>0.43333333333333335</v>
      </c>
      <c r="J299" s="37" t="s">
        <v>28</v>
      </c>
      <c r="K299" s="37" t="s">
        <v>29</v>
      </c>
      <c r="L299" s="37" t="s">
        <v>30</v>
      </c>
      <c r="M299" s="37">
        <v>2</v>
      </c>
      <c r="N299" s="37">
        <v>10</v>
      </c>
      <c r="O299" s="91">
        <v>33.049999999999997</v>
      </c>
      <c r="P299" s="91">
        <v>170.25</v>
      </c>
      <c r="Q299" s="91" t="s">
        <v>50</v>
      </c>
      <c r="R299" s="91">
        <v>1.5</v>
      </c>
      <c r="S299" s="91">
        <v>6.3650000000000002</v>
      </c>
      <c r="T299" s="91" t="s">
        <v>50</v>
      </c>
      <c r="U299" s="37" t="s">
        <v>50</v>
      </c>
      <c r="V299" s="37" t="s">
        <v>50</v>
      </c>
      <c r="W299" s="37" t="s">
        <v>50</v>
      </c>
      <c r="Y299" s="750" t="s">
        <v>32</v>
      </c>
    </row>
    <row r="300" spans="1:25" s="759" customFormat="1" x14ac:dyDescent="0.25">
      <c r="A300" s="798">
        <v>43965</v>
      </c>
      <c r="B300" s="759" t="s">
        <v>876</v>
      </c>
      <c r="C300" s="799" t="s">
        <v>845</v>
      </c>
      <c r="D300" s="759">
        <v>38.233600000000003</v>
      </c>
      <c r="E300" s="759">
        <v>-121.67695999999999</v>
      </c>
      <c r="F300" s="759" t="s">
        <v>2157</v>
      </c>
      <c r="G300" s="759" t="s">
        <v>90</v>
      </c>
      <c r="H300" s="759" t="s">
        <v>126</v>
      </c>
      <c r="I300" s="800">
        <v>0.4597222222222222</v>
      </c>
      <c r="J300" s="759" t="s">
        <v>28</v>
      </c>
      <c r="K300" s="759" t="s">
        <v>29</v>
      </c>
      <c r="L300" s="759" t="s">
        <v>30</v>
      </c>
      <c r="M300" s="759">
        <v>2</v>
      </c>
      <c r="N300" s="759">
        <v>10</v>
      </c>
      <c r="O300" s="802">
        <v>41.45</v>
      </c>
      <c r="P300" s="802">
        <v>166.75</v>
      </c>
      <c r="Q300" s="802" t="s">
        <v>50</v>
      </c>
      <c r="R300" s="802" t="s">
        <v>1233</v>
      </c>
      <c r="S300" s="802">
        <v>6.4</v>
      </c>
      <c r="T300" s="802" t="s">
        <v>50</v>
      </c>
      <c r="U300" s="759" t="s">
        <v>50</v>
      </c>
      <c r="V300" s="759" t="s">
        <v>50</v>
      </c>
      <c r="W300" s="759" t="s">
        <v>50</v>
      </c>
      <c r="X300" s="803"/>
      <c r="Y300" s="763" t="s">
        <v>32</v>
      </c>
    </row>
    <row r="301" spans="1:25" s="683" customFormat="1" x14ac:dyDescent="0.25">
      <c r="A301" s="722">
        <v>43969</v>
      </c>
      <c r="B301" s="683" t="s">
        <v>43</v>
      </c>
      <c r="C301" s="682" t="s">
        <v>62</v>
      </c>
      <c r="D301" s="683">
        <v>38.179630000000003</v>
      </c>
      <c r="E301" s="683">
        <v>-121.92008</v>
      </c>
      <c r="F301" s="683" t="s">
        <v>2158</v>
      </c>
      <c r="G301" s="683" t="s">
        <v>27</v>
      </c>
      <c r="H301" s="683" t="s">
        <v>62</v>
      </c>
      <c r="I301" s="708">
        <v>0.42638888888888887</v>
      </c>
      <c r="J301" s="683" t="s">
        <v>28</v>
      </c>
      <c r="K301" s="683" t="s">
        <v>29</v>
      </c>
      <c r="L301" s="683" t="s">
        <v>30</v>
      </c>
      <c r="M301" s="683">
        <v>2</v>
      </c>
      <c r="N301" s="683">
        <v>10</v>
      </c>
      <c r="O301" s="209">
        <v>23.8</v>
      </c>
      <c r="P301" s="209">
        <v>3068.5</v>
      </c>
      <c r="Q301" s="209" t="s">
        <v>50</v>
      </c>
      <c r="R301" s="209">
        <v>0.4</v>
      </c>
      <c r="S301" s="209">
        <v>43.849999999999994</v>
      </c>
      <c r="T301" s="209" t="s">
        <v>50</v>
      </c>
      <c r="U301" s="709" t="s">
        <v>31</v>
      </c>
      <c r="V301" s="683">
        <v>3</v>
      </c>
      <c r="W301" s="683" t="s">
        <v>2159</v>
      </c>
      <c r="X301" s="689"/>
      <c r="Y301" s="205" t="s">
        <v>32</v>
      </c>
    </row>
    <row r="302" spans="1:25" x14ac:dyDescent="0.25">
      <c r="A302" s="711">
        <v>43969</v>
      </c>
      <c r="B302" s="37" t="s">
        <v>43</v>
      </c>
      <c r="C302" s="693" t="s">
        <v>62</v>
      </c>
      <c r="D302" s="37">
        <v>38.104170000000003</v>
      </c>
      <c r="E302" s="37">
        <v>-122.05117</v>
      </c>
      <c r="F302" s="37" t="s">
        <v>2160</v>
      </c>
      <c r="G302" s="37" t="s">
        <v>27</v>
      </c>
      <c r="H302" s="37" t="s">
        <v>173</v>
      </c>
      <c r="I302" s="712">
        <v>0.47500000000000003</v>
      </c>
      <c r="J302" s="37" t="s">
        <v>28</v>
      </c>
      <c r="K302" s="37" t="s">
        <v>29</v>
      </c>
      <c r="L302" s="37" t="s">
        <v>30</v>
      </c>
      <c r="M302" s="37">
        <v>2</v>
      </c>
      <c r="N302" s="37">
        <v>10</v>
      </c>
      <c r="O302" s="91">
        <v>11.8</v>
      </c>
      <c r="P302" s="91">
        <v>13901.5</v>
      </c>
      <c r="Q302" s="91" t="s">
        <v>50</v>
      </c>
      <c r="R302" s="91">
        <v>0.56499999999999995</v>
      </c>
      <c r="S302" s="91">
        <v>29.65</v>
      </c>
      <c r="T302" s="91" t="s">
        <v>50</v>
      </c>
      <c r="U302" s="37" t="s">
        <v>50</v>
      </c>
      <c r="V302" s="37" t="s">
        <v>50</v>
      </c>
      <c r="W302" s="37" t="s">
        <v>50</v>
      </c>
      <c r="Y302" s="750" t="s">
        <v>32</v>
      </c>
    </row>
    <row r="303" spans="1:25" x14ac:dyDescent="0.25">
      <c r="A303" s="711">
        <v>43969</v>
      </c>
      <c r="B303" s="37" t="s">
        <v>43</v>
      </c>
      <c r="C303" s="693" t="s">
        <v>62</v>
      </c>
      <c r="D303" s="37">
        <v>38.104149999999997</v>
      </c>
      <c r="E303" s="37">
        <v>-122.0346</v>
      </c>
      <c r="F303" s="37" t="s">
        <v>2161</v>
      </c>
      <c r="G303" s="37" t="s">
        <v>27</v>
      </c>
      <c r="H303" s="37" t="s">
        <v>173</v>
      </c>
      <c r="I303" s="712">
        <v>0.50208333333333333</v>
      </c>
      <c r="J303" s="37" t="s">
        <v>28</v>
      </c>
      <c r="K303" s="37" t="s">
        <v>29</v>
      </c>
      <c r="L303" s="37" t="s">
        <v>30</v>
      </c>
      <c r="M303" s="37">
        <v>2</v>
      </c>
      <c r="N303" s="37">
        <v>10</v>
      </c>
      <c r="O303" s="91">
        <v>10.15</v>
      </c>
      <c r="P303" s="91">
        <v>12749</v>
      </c>
      <c r="Q303" s="91" t="s">
        <v>50</v>
      </c>
      <c r="R303" s="91">
        <v>0.56000000000000005</v>
      </c>
      <c r="S303" s="91">
        <v>23.55</v>
      </c>
      <c r="T303" s="91" t="s">
        <v>50</v>
      </c>
      <c r="U303" s="37" t="s">
        <v>50</v>
      </c>
      <c r="V303" s="37" t="s">
        <v>50</v>
      </c>
      <c r="W303" s="37" t="s">
        <v>50</v>
      </c>
      <c r="Y303" s="750" t="s">
        <v>32</v>
      </c>
    </row>
    <row r="304" spans="1:25" s="683" customFormat="1" x14ac:dyDescent="0.25">
      <c r="A304" s="722">
        <v>43969</v>
      </c>
      <c r="B304" s="683" t="s">
        <v>43</v>
      </c>
      <c r="C304" s="682" t="s">
        <v>62</v>
      </c>
      <c r="D304" s="683">
        <v>38.102409999999999</v>
      </c>
      <c r="E304" s="683">
        <v>-122.06438</v>
      </c>
      <c r="F304" s="683" t="s">
        <v>2162</v>
      </c>
      <c r="G304" s="683" t="s">
        <v>27</v>
      </c>
      <c r="H304" s="683" t="s">
        <v>173</v>
      </c>
      <c r="I304" s="708">
        <v>0.52986111111111112</v>
      </c>
      <c r="J304" s="683" t="s">
        <v>28</v>
      </c>
      <c r="K304" s="683" t="s">
        <v>29</v>
      </c>
      <c r="L304" s="683" t="s">
        <v>30</v>
      </c>
      <c r="M304" s="683">
        <v>2</v>
      </c>
      <c r="N304" s="683">
        <v>10</v>
      </c>
      <c r="O304" s="209">
        <v>10.3</v>
      </c>
      <c r="P304" s="209">
        <v>14823.5</v>
      </c>
      <c r="Q304" s="209" t="s">
        <v>50</v>
      </c>
      <c r="R304" s="209">
        <v>0.51500000000000001</v>
      </c>
      <c r="S304" s="209">
        <v>42.15</v>
      </c>
      <c r="T304" s="209" t="s">
        <v>50</v>
      </c>
      <c r="U304" s="709" t="s">
        <v>31</v>
      </c>
      <c r="V304" s="683">
        <v>4</v>
      </c>
      <c r="W304" s="683" t="s">
        <v>2163</v>
      </c>
      <c r="X304" s="689"/>
      <c r="Y304" s="205" t="s">
        <v>32</v>
      </c>
    </row>
    <row r="305" spans="1:25" s="683" customFormat="1" x14ac:dyDescent="0.25">
      <c r="A305" s="722">
        <v>43969</v>
      </c>
      <c r="B305" s="683" t="s">
        <v>43</v>
      </c>
      <c r="C305" s="682" t="s">
        <v>62</v>
      </c>
      <c r="D305" s="683">
        <v>38.14743</v>
      </c>
      <c r="E305" s="683">
        <v>-122.05695</v>
      </c>
      <c r="F305" s="683" t="s">
        <v>2164</v>
      </c>
      <c r="G305" s="683" t="s">
        <v>27</v>
      </c>
      <c r="H305" s="683" t="s">
        <v>62</v>
      </c>
      <c r="I305" s="708">
        <v>0.56041666666666667</v>
      </c>
      <c r="J305" s="683" t="s">
        <v>28</v>
      </c>
      <c r="K305" s="683" t="s">
        <v>29</v>
      </c>
      <c r="L305" s="683" t="s">
        <v>30</v>
      </c>
      <c r="M305" s="683">
        <v>2</v>
      </c>
      <c r="N305" s="683">
        <v>10</v>
      </c>
      <c r="O305" s="209">
        <v>25.05</v>
      </c>
      <c r="P305" s="209">
        <v>8766.5</v>
      </c>
      <c r="Q305" s="209" t="s">
        <v>50</v>
      </c>
      <c r="R305" s="209">
        <v>0.42500000000000004</v>
      </c>
      <c r="S305" s="209">
        <v>44.15</v>
      </c>
      <c r="T305" s="209" t="s">
        <v>50</v>
      </c>
      <c r="U305" s="709" t="s">
        <v>31</v>
      </c>
      <c r="V305" s="683">
        <v>8</v>
      </c>
      <c r="W305" s="683" t="s">
        <v>2165</v>
      </c>
      <c r="X305" s="689"/>
      <c r="Y305" s="205" t="s">
        <v>32</v>
      </c>
    </row>
    <row r="306" spans="1:25" x14ac:dyDescent="0.25">
      <c r="A306" s="711">
        <v>43969</v>
      </c>
      <c r="B306" s="37" t="s">
        <v>43</v>
      </c>
      <c r="C306" s="693" t="s">
        <v>845</v>
      </c>
      <c r="D306" s="37">
        <v>38.280630000000002</v>
      </c>
      <c r="E306" s="37">
        <v>-121.66416</v>
      </c>
      <c r="F306" s="37" t="s">
        <v>2166</v>
      </c>
      <c r="G306" s="37" t="s">
        <v>90</v>
      </c>
      <c r="H306" s="37" t="s">
        <v>126</v>
      </c>
      <c r="I306" s="712">
        <v>0.34930555555555554</v>
      </c>
      <c r="J306" s="37" t="s">
        <v>28</v>
      </c>
      <c r="K306" s="37" t="s">
        <v>29</v>
      </c>
      <c r="L306" s="37" t="s">
        <v>30</v>
      </c>
      <c r="M306" s="37">
        <v>2</v>
      </c>
      <c r="N306" s="37">
        <v>10</v>
      </c>
      <c r="O306" s="91">
        <v>17.7</v>
      </c>
      <c r="P306" s="91">
        <v>214.75</v>
      </c>
      <c r="Q306" s="91" t="s">
        <v>50</v>
      </c>
      <c r="R306" s="91">
        <v>0.94</v>
      </c>
      <c r="S306" s="91">
        <v>9.5350000000000001</v>
      </c>
      <c r="T306" s="91" t="s">
        <v>50</v>
      </c>
      <c r="U306" s="37" t="s">
        <v>50</v>
      </c>
      <c r="V306" s="37" t="s">
        <v>50</v>
      </c>
      <c r="W306" s="37" t="s">
        <v>50</v>
      </c>
      <c r="X306" s="698" t="s">
        <v>2167</v>
      </c>
      <c r="Y306" s="750" t="s">
        <v>32</v>
      </c>
    </row>
    <row r="307" spans="1:25" x14ac:dyDescent="0.25">
      <c r="A307" s="711">
        <v>43969</v>
      </c>
      <c r="B307" s="37" t="s">
        <v>43</v>
      </c>
      <c r="C307" s="693" t="s">
        <v>845</v>
      </c>
      <c r="D307" s="37">
        <v>38.250070000000001</v>
      </c>
      <c r="E307" s="37">
        <v>-121.68622999999999</v>
      </c>
      <c r="F307" s="37" t="s">
        <v>2168</v>
      </c>
      <c r="G307" s="37" t="s">
        <v>90</v>
      </c>
      <c r="H307" s="37" t="s">
        <v>126</v>
      </c>
      <c r="I307" s="712">
        <v>0.38125000000000003</v>
      </c>
      <c r="J307" s="37" t="s">
        <v>28</v>
      </c>
      <c r="K307" s="37" t="s">
        <v>29</v>
      </c>
      <c r="L307" s="37" t="s">
        <v>30</v>
      </c>
      <c r="M307" s="37">
        <v>2</v>
      </c>
      <c r="N307" s="37">
        <v>10</v>
      </c>
      <c r="O307" s="91">
        <v>25.55</v>
      </c>
      <c r="P307" s="91">
        <v>187.55</v>
      </c>
      <c r="Q307" s="91" t="s">
        <v>50</v>
      </c>
      <c r="R307" s="91">
        <v>1.24</v>
      </c>
      <c r="S307" s="91">
        <v>6.8900000000000006</v>
      </c>
      <c r="T307" s="91" t="s">
        <v>50</v>
      </c>
      <c r="U307" s="37" t="s">
        <v>50</v>
      </c>
      <c r="V307" s="37" t="s">
        <v>50</v>
      </c>
      <c r="W307" s="37" t="s">
        <v>50</v>
      </c>
      <c r="Y307" s="750" t="s">
        <v>32</v>
      </c>
    </row>
    <row r="308" spans="1:25" x14ac:dyDescent="0.25">
      <c r="A308" s="711">
        <v>43969</v>
      </c>
      <c r="B308" s="37" t="s">
        <v>43</v>
      </c>
      <c r="C308" s="693" t="s">
        <v>845</v>
      </c>
      <c r="D308" s="37">
        <v>38.279870000000003</v>
      </c>
      <c r="E308" s="37">
        <v>-121.6935</v>
      </c>
      <c r="F308" s="37" t="s">
        <v>2169</v>
      </c>
      <c r="G308" s="37" t="s">
        <v>90</v>
      </c>
      <c r="H308" s="37" t="s">
        <v>126</v>
      </c>
      <c r="I308" s="712">
        <v>0.40833333333333338</v>
      </c>
      <c r="J308" s="37" t="s">
        <v>28</v>
      </c>
      <c r="K308" s="37" t="s">
        <v>29</v>
      </c>
      <c r="L308" s="37" t="s">
        <v>30</v>
      </c>
      <c r="M308" s="37">
        <v>2</v>
      </c>
      <c r="N308" s="37">
        <v>10</v>
      </c>
      <c r="O308" s="91">
        <v>16.5</v>
      </c>
      <c r="P308" s="91">
        <v>276.64999999999998</v>
      </c>
      <c r="Q308" s="91" t="s">
        <v>50</v>
      </c>
      <c r="R308" s="91">
        <v>1.8</v>
      </c>
      <c r="S308" s="91">
        <v>4.3899999999999997</v>
      </c>
      <c r="T308" s="91" t="s">
        <v>50</v>
      </c>
      <c r="U308" s="37" t="s">
        <v>50</v>
      </c>
      <c r="V308" s="37" t="s">
        <v>50</v>
      </c>
      <c r="W308" s="37" t="s">
        <v>50</v>
      </c>
      <c r="Y308" s="750" t="s">
        <v>32</v>
      </c>
    </row>
    <row r="309" spans="1:25" x14ac:dyDescent="0.25">
      <c r="A309" s="711">
        <v>43969</v>
      </c>
      <c r="B309" s="37" t="s">
        <v>43</v>
      </c>
      <c r="C309" s="693" t="s">
        <v>845</v>
      </c>
      <c r="D309" s="37">
        <v>38.270490000000002</v>
      </c>
      <c r="E309" s="37">
        <v>-121.70258</v>
      </c>
      <c r="F309" s="37" t="s">
        <v>2170</v>
      </c>
      <c r="G309" s="37" t="s">
        <v>90</v>
      </c>
      <c r="H309" s="37" t="s">
        <v>126</v>
      </c>
      <c r="I309" s="712">
        <v>0.43541666666666662</v>
      </c>
      <c r="J309" s="37" t="s">
        <v>28</v>
      </c>
      <c r="K309" s="37" t="s">
        <v>29</v>
      </c>
      <c r="L309" s="37" t="s">
        <v>30</v>
      </c>
      <c r="M309" s="37">
        <v>2</v>
      </c>
      <c r="N309" s="37">
        <v>5</v>
      </c>
      <c r="O309" s="91">
        <v>10.3</v>
      </c>
      <c r="P309" s="91">
        <v>199.35</v>
      </c>
      <c r="Q309" s="91" t="s">
        <v>50</v>
      </c>
      <c r="R309" s="91">
        <v>1.8</v>
      </c>
      <c r="S309" s="91">
        <v>3.2199999999999998</v>
      </c>
      <c r="T309" s="91" t="s">
        <v>50</v>
      </c>
      <c r="U309" s="37" t="s">
        <v>50</v>
      </c>
      <c r="V309" s="37" t="s">
        <v>50</v>
      </c>
      <c r="W309" s="37" t="s">
        <v>50</v>
      </c>
      <c r="X309" s="698" t="s">
        <v>2171</v>
      </c>
      <c r="Y309" s="750" t="s">
        <v>32</v>
      </c>
    </row>
    <row r="310" spans="1:25" x14ac:dyDescent="0.25">
      <c r="A310" s="711">
        <v>43969</v>
      </c>
      <c r="B310" s="37" t="s">
        <v>43</v>
      </c>
      <c r="C310" s="693" t="s">
        <v>845</v>
      </c>
      <c r="D310" s="37">
        <v>38.260559999999998</v>
      </c>
      <c r="E310" s="37">
        <v>-121.66943999999999</v>
      </c>
      <c r="F310" s="37" t="s">
        <v>2172</v>
      </c>
      <c r="G310" s="37" t="s">
        <v>90</v>
      </c>
      <c r="H310" s="37" t="s">
        <v>126</v>
      </c>
      <c r="I310" s="712">
        <v>0.4604166666666667</v>
      </c>
      <c r="J310" s="37" t="s">
        <v>28</v>
      </c>
      <c r="K310" s="37" t="s">
        <v>29</v>
      </c>
      <c r="L310" s="37" t="s">
        <v>30</v>
      </c>
      <c r="M310" s="37">
        <v>2</v>
      </c>
      <c r="N310" s="37">
        <v>10</v>
      </c>
      <c r="O310" s="91">
        <v>24.4</v>
      </c>
      <c r="P310" s="91">
        <v>219.25</v>
      </c>
      <c r="Q310" s="91" t="s">
        <v>50</v>
      </c>
      <c r="R310" s="91">
        <v>0.94499999999999995</v>
      </c>
      <c r="S310" s="91">
        <v>8.76</v>
      </c>
      <c r="T310" s="91" t="s">
        <v>50</v>
      </c>
      <c r="U310" s="37" t="s">
        <v>50</v>
      </c>
      <c r="V310" s="37" t="s">
        <v>50</v>
      </c>
      <c r="W310" s="37" t="s">
        <v>50</v>
      </c>
      <c r="Y310" s="750" t="s">
        <v>32</v>
      </c>
    </row>
    <row r="311" spans="1:25" s="683" customFormat="1" x14ac:dyDescent="0.25">
      <c r="A311" s="722">
        <v>43970</v>
      </c>
      <c r="B311" s="683" t="s">
        <v>849</v>
      </c>
      <c r="C311" s="682" t="s">
        <v>78</v>
      </c>
      <c r="D311" s="683">
        <v>38.059750000000001</v>
      </c>
      <c r="E311" s="683">
        <v>-121.8638</v>
      </c>
      <c r="F311" s="683" t="s">
        <v>2173</v>
      </c>
      <c r="G311" s="683" t="s">
        <v>27</v>
      </c>
      <c r="H311" s="683" t="s">
        <v>101</v>
      </c>
      <c r="I311" s="708">
        <v>0.32916666666666666</v>
      </c>
      <c r="J311" s="683" t="s">
        <v>28</v>
      </c>
      <c r="K311" s="683" t="s">
        <v>29</v>
      </c>
      <c r="L311" s="683" t="s">
        <v>30</v>
      </c>
      <c r="M311" s="683">
        <v>2</v>
      </c>
      <c r="N311" s="683">
        <v>10</v>
      </c>
      <c r="O311" s="209">
        <v>44.099999999999994</v>
      </c>
      <c r="P311" s="209">
        <v>2915.5</v>
      </c>
      <c r="Q311" s="209" t="s">
        <v>50</v>
      </c>
      <c r="R311" s="209">
        <v>0.44499999999999995</v>
      </c>
      <c r="S311" s="209">
        <v>46.5</v>
      </c>
      <c r="T311" s="209" t="s">
        <v>50</v>
      </c>
      <c r="U311" s="709" t="s">
        <v>31</v>
      </c>
      <c r="V311" s="683">
        <v>2</v>
      </c>
      <c r="W311" s="683" t="s">
        <v>2174</v>
      </c>
      <c r="X311" s="689" t="s">
        <v>2175</v>
      </c>
      <c r="Y311" s="205" t="s">
        <v>32</v>
      </c>
    </row>
    <row r="312" spans="1:25" s="421" customFormat="1" x14ac:dyDescent="0.25">
      <c r="A312" s="348">
        <v>43970</v>
      </c>
      <c r="B312" s="421" t="s">
        <v>849</v>
      </c>
      <c r="C312" s="524" t="s">
        <v>106</v>
      </c>
      <c r="D312" s="421">
        <v>38.320010000000003</v>
      </c>
      <c r="E312" s="421">
        <v>-121.64973000000001</v>
      </c>
      <c r="F312" s="421" t="s">
        <v>2176</v>
      </c>
      <c r="G312" s="421" t="s">
        <v>90</v>
      </c>
      <c r="H312" s="421" t="s">
        <v>108</v>
      </c>
      <c r="I312" s="539">
        <v>0.34236111111111112</v>
      </c>
      <c r="J312" s="421" t="s">
        <v>28</v>
      </c>
      <c r="K312" s="421" t="s">
        <v>29</v>
      </c>
      <c r="L312" s="421" t="s">
        <v>30</v>
      </c>
      <c r="M312" s="421">
        <v>2</v>
      </c>
      <c r="N312" s="421">
        <v>10</v>
      </c>
      <c r="O312" s="499">
        <v>33.650000000000006</v>
      </c>
      <c r="P312" s="499">
        <v>353.8</v>
      </c>
      <c r="Q312" s="499" t="s">
        <v>50</v>
      </c>
      <c r="R312" s="499">
        <v>0.29000000000000004</v>
      </c>
      <c r="S312" s="499">
        <v>47.2</v>
      </c>
      <c r="T312" s="499" t="s">
        <v>50</v>
      </c>
      <c r="U312" s="746" t="s">
        <v>323</v>
      </c>
      <c r="V312" s="421">
        <v>1</v>
      </c>
      <c r="W312" s="421">
        <v>30</v>
      </c>
      <c r="X312" s="397"/>
      <c r="Y312" s="494" t="s">
        <v>32</v>
      </c>
    </row>
    <row r="313" spans="1:25" x14ac:dyDescent="0.25">
      <c r="A313" s="711">
        <v>43970</v>
      </c>
      <c r="B313" s="37" t="s">
        <v>849</v>
      </c>
      <c r="C313" s="693" t="s">
        <v>106</v>
      </c>
      <c r="D313" s="37">
        <v>38.397460000000002</v>
      </c>
      <c r="E313" s="37">
        <v>-121.61769</v>
      </c>
      <c r="F313" s="37" t="s">
        <v>2177</v>
      </c>
      <c r="G313" s="37" t="s">
        <v>90</v>
      </c>
      <c r="H313" s="37" t="s">
        <v>108</v>
      </c>
      <c r="I313" s="712">
        <v>0.375</v>
      </c>
      <c r="J313" s="37" t="s">
        <v>28</v>
      </c>
      <c r="K313" s="37" t="s">
        <v>29</v>
      </c>
      <c r="L313" s="37" t="s">
        <v>30</v>
      </c>
      <c r="M313" s="37">
        <v>2</v>
      </c>
      <c r="N313" s="37">
        <v>10</v>
      </c>
      <c r="O313" s="91">
        <v>29.700000000000003</v>
      </c>
      <c r="P313" s="91">
        <v>631.5</v>
      </c>
      <c r="Q313" s="91" t="s">
        <v>50</v>
      </c>
      <c r="R313" s="91">
        <v>0.18</v>
      </c>
      <c r="S313" s="91">
        <v>88.75</v>
      </c>
      <c r="T313" s="91" t="s">
        <v>50</v>
      </c>
      <c r="U313" s="37" t="s">
        <v>50</v>
      </c>
      <c r="V313" s="37" t="s">
        <v>50</v>
      </c>
      <c r="W313" s="37" t="s">
        <v>50</v>
      </c>
      <c r="X313" s="698" t="s">
        <v>2178</v>
      </c>
      <c r="Y313" s="750" t="s">
        <v>32</v>
      </c>
    </row>
    <row r="314" spans="1:25" x14ac:dyDescent="0.25">
      <c r="A314" s="711">
        <v>43970</v>
      </c>
      <c r="B314" s="37" t="s">
        <v>849</v>
      </c>
      <c r="C314" s="693" t="s">
        <v>106</v>
      </c>
      <c r="D314" s="37">
        <v>38.471310000000003</v>
      </c>
      <c r="E314" s="37">
        <v>-121.58371</v>
      </c>
      <c r="F314" s="37" t="s">
        <v>2179</v>
      </c>
      <c r="G314" s="37" t="s">
        <v>90</v>
      </c>
      <c r="H314" s="37" t="s">
        <v>108</v>
      </c>
      <c r="I314" s="712">
        <v>0.40833333333333338</v>
      </c>
      <c r="J314" s="37" t="s">
        <v>28</v>
      </c>
      <c r="K314" s="37" t="s">
        <v>29</v>
      </c>
      <c r="L314" s="37" t="s">
        <v>30</v>
      </c>
      <c r="M314" s="37">
        <v>2</v>
      </c>
      <c r="N314" s="37">
        <v>10</v>
      </c>
      <c r="O314" s="91">
        <v>32.4</v>
      </c>
      <c r="P314" s="91">
        <v>917.5</v>
      </c>
      <c r="Q314" s="91" t="s">
        <v>50</v>
      </c>
      <c r="R314" s="91">
        <v>0.26</v>
      </c>
      <c r="S314" s="91">
        <v>44.85</v>
      </c>
      <c r="T314" s="91" t="s">
        <v>50</v>
      </c>
      <c r="U314" s="37" t="s">
        <v>50</v>
      </c>
      <c r="V314" s="37" t="s">
        <v>50</v>
      </c>
      <c r="W314" s="37" t="s">
        <v>50</v>
      </c>
      <c r="X314" s="698" t="s">
        <v>2180</v>
      </c>
      <c r="Y314" s="750" t="s">
        <v>32</v>
      </c>
    </row>
    <row r="315" spans="1:25" s="421" customFormat="1" x14ac:dyDescent="0.25">
      <c r="A315" s="348">
        <v>43970</v>
      </c>
      <c r="B315" s="421" t="s">
        <v>849</v>
      </c>
      <c r="C315" s="524" t="s">
        <v>106</v>
      </c>
      <c r="D315" s="421">
        <v>38.494129999999998</v>
      </c>
      <c r="E315" s="421">
        <v>-121.5836</v>
      </c>
      <c r="F315" s="421" t="s">
        <v>2181</v>
      </c>
      <c r="G315" s="421" t="s">
        <v>90</v>
      </c>
      <c r="H315" s="421" t="s">
        <v>1787</v>
      </c>
      <c r="I315" s="539">
        <v>0.43472222222222223</v>
      </c>
      <c r="J315" s="421" t="s">
        <v>28</v>
      </c>
      <c r="K315" s="421" t="s">
        <v>29</v>
      </c>
      <c r="L315" s="421" t="s">
        <v>30</v>
      </c>
      <c r="M315" s="421">
        <v>2</v>
      </c>
      <c r="N315" s="421">
        <v>10</v>
      </c>
      <c r="O315" s="499">
        <v>32.400000000000006</v>
      </c>
      <c r="P315" s="499">
        <v>1000.5</v>
      </c>
      <c r="Q315" s="499" t="s">
        <v>50</v>
      </c>
      <c r="R315" s="499">
        <v>0.37</v>
      </c>
      <c r="S315" s="499">
        <v>30.1</v>
      </c>
      <c r="T315" s="499" t="s">
        <v>50</v>
      </c>
      <c r="U315" s="746" t="s">
        <v>323</v>
      </c>
      <c r="V315" s="421">
        <v>1</v>
      </c>
      <c r="W315" s="421">
        <v>25</v>
      </c>
      <c r="X315" s="397"/>
      <c r="Y315" s="494" t="s">
        <v>32</v>
      </c>
    </row>
    <row r="316" spans="1:25" s="421" customFormat="1" x14ac:dyDescent="0.25">
      <c r="A316" s="348">
        <v>43970</v>
      </c>
      <c r="B316" s="421" t="s">
        <v>849</v>
      </c>
      <c r="C316" s="524" t="s">
        <v>106</v>
      </c>
      <c r="D316" s="421">
        <v>38.407049999999998</v>
      </c>
      <c r="E316" s="421">
        <v>-121.61382</v>
      </c>
      <c r="F316" s="421" t="s">
        <v>2182</v>
      </c>
      <c r="G316" s="421" t="s">
        <v>90</v>
      </c>
      <c r="H316" s="421" t="s">
        <v>108</v>
      </c>
      <c r="I316" s="539">
        <v>0.46666666666666662</v>
      </c>
      <c r="J316" s="421" t="s">
        <v>28</v>
      </c>
      <c r="K316" s="421" t="s">
        <v>29</v>
      </c>
      <c r="L316" s="421" t="s">
        <v>30</v>
      </c>
      <c r="M316" s="421">
        <v>2</v>
      </c>
      <c r="N316" s="421">
        <v>10</v>
      </c>
      <c r="O316" s="499">
        <v>28.95</v>
      </c>
      <c r="P316" s="499">
        <v>681</v>
      </c>
      <c r="Q316" s="499" t="s">
        <v>50</v>
      </c>
      <c r="R316" s="499">
        <v>0.19</v>
      </c>
      <c r="S316" s="499">
        <v>79.650000000000006</v>
      </c>
      <c r="T316" s="499" t="s">
        <v>50</v>
      </c>
      <c r="U316" s="746" t="s">
        <v>323</v>
      </c>
      <c r="V316" s="421">
        <v>2</v>
      </c>
      <c r="W316" s="421" t="s">
        <v>2183</v>
      </c>
      <c r="X316" s="397" t="s">
        <v>2184</v>
      </c>
      <c r="Y316" s="494" t="s">
        <v>32</v>
      </c>
    </row>
    <row r="317" spans="1:25" x14ac:dyDescent="0.25">
      <c r="A317" s="711">
        <v>43971</v>
      </c>
      <c r="B317" s="37" t="s">
        <v>915</v>
      </c>
      <c r="C317" s="693" t="s">
        <v>78</v>
      </c>
      <c r="D317" s="37">
        <v>38.051819999999999</v>
      </c>
      <c r="E317" s="37">
        <v>-122.10795</v>
      </c>
      <c r="F317" s="37" t="s">
        <v>2185</v>
      </c>
      <c r="G317" s="37" t="s">
        <v>80</v>
      </c>
      <c r="H317" s="37" t="s">
        <v>81</v>
      </c>
      <c r="I317" s="712">
        <v>0.34166666666666662</v>
      </c>
      <c r="J317" s="37" t="s">
        <v>28</v>
      </c>
      <c r="K317" s="37" t="s">
        <v>29</v>
      </c>
      <c r="L317" s="37" t="s">
        <v>30</v>
      </c>
      <c r="M317" s="37">
        <v>2</v>
      </c>
      <c r="N317" s="37">
        <v>10</v>
      </c>
      <c r="O317" s="91">
        <v>14.75</v>
      </c>
      <c r="P317" s="91">
        <v>15811</v>
      </c>
      <c r="Q317" s="91" t="s">
        <v>50</v>
      </c>
      <c r="R317" s="91">
        <v>0.45500000000000002</v>
      </c>
      <c r="S317" s="91">
        <v>42.15</v>
      </c>
      <c r="T317" s="91" t="s">
        <v>50</v>
      </c>
      <c r="U317" s="37" t="s">
        <v>50</v>
      </c>
      <c r="V317" s="37" t="s">
        <v>50</v>
      </c>
      <c r="W317" s="37" t="s">
        <v>50</v>
      </c>
      <c r="Y317" s="750" t="s">
        <v>32</v>
      </c>
    </row>
    <row r="318" spans="1:25" x14ac:dyDescent="0.25">
      <c r="A318" s="711">
        <v>43971</v>
      </c>
      <c r="B318" s="37" t="s">
        <v>915</v>
      </c>
      <c r="C318" s="693" t="s">
        <v>78</v>
      </c>
      <c r="D318" s="37">
        <v>38.091180000000001</v>
      </c>
      <c r="E318" s="37">
        <v>-122.01119</v>
      </c>
      <c r="F318" s="37" t="s">
        <v>2186</v>
      </c>
      <c r="G318" s="37" t="s">
        <v>27</v>
      </c>
      <c r="H318" s="37" t="s">
        <v>86</v>
      </c>
      <c r="I318" s="712">
        <v>0.40833333333333338</v>
      </c>
      <c r="J318" s="37" t="s">
        <v>28</v>
      </c>
      <c r="K318" s="37" t="s">
        <v>29</v>
      </c>
      <c r="L318" s="37" t="s">
        <v>30</v>
      </c>
      <c r="M318" s="37">
        <v>2</v>
      </c>
      <c r="N318" s="37">
        <v>10</v>
      </c>
      <c r="O318" s="91">
        <v>30.8</v>
      </c>
      <c r="P318" s="91">
        <v>8912.5</v>
      </c>
      <c r="Q318" s="91" t="s">
        <v>50</v>
      </c>
      <c r="R318" s="91">
        <v>0.4</v>
      </c>
      <c r="S318" s="91">
        <v>41.95</v>
      </c>
      <c r="T318" s="91" t="s">
        <v>50</v>
      </c>
      <c r="U318" s="37" t="s">
        <v>50</v>
      </c>
      <c r="V318" s="37" t="s">
        <v>50</v>
      </c>
      <c r="W318" s="37" t="s">
        <v>50</v>
      </c>
      <c r="Y318" s="750" t="s">
        <v>32</v>
      </c>
    </row>
    <row r="319" spans="1:25" s="683" customFormat="1" x14ac:dyDescent="0.25">
      <c r="A319" s="722">
        <v>43971</v>
      </c>
      <c r="B319" s="683" t="s">
        <v>915</v>
      </c>
      <c r="C319" s="682" t="s">
        <v>78</v>
      </c>
      <c r="D319" s="683">
        <v>38.067500000000003</v>
      </c>
      <c r="E319" s="683">
        <v>-121.97618</v>
      </c>
      <c r="F319" s="683" t="s">
        <v>2187</v>
      </c>
      <c r="G319" s="683" t="s">
        <v>27</v>
      </c>
      <c r="H319" s="683" t="s">
        <v>86</v>
      </c>
      <c r="I319" s="708">
        <v>0.43611111111111112</v>
      </c>
      <c r="J319" s="683" t="s">
        <v>28</v>
      </c>
      <c r="K319" s="683" t="s">
        <v>29</v>
      </c>
      <c r="L319" s="683" t="s">
        <v>30</v>
      </c>
      <c r="M319" s="683">
        <v>2</v>
      </c>
      <c r="N319" s="683">
        <v>10</v>
      </c>
      <c r="O319" s="209">
        <v>17.850000000000001</v>
      </c>
      <c r="P319" s="209">
        <v>5155</v>
      </c>
      <c r="Q319" s="209" t="s">
        <v>50</v>
      </c>
      <c r="R319" s="209">
        <v>0.48</v>
      </c>
      <c r="S319" s="209">
        <v>37.450000000000003</v>
      </c>
      <c r="T319" s="209" t="s">
        <v>50</v>
      </c>
      <c r="U319" s="709" t="s">
        <v>31</v>
      </c>
      <c r="V319" s="683">
        <v>1</v>
      </c>
      <c r="W319" s="683">
        <v>21</v>
      </c>
      <c r="X319" s="689"/>
      <c r="Y319" s="205" t="s">
        <v>32</v>
      </c>
    </row>
    <row r="320" spans="1:25" s="683" customFormat="1" x14ac:dyDescent="0.25">
      <c r="A320" s="722">
        <v>43971</v>
      </c>
      <c r="B320" s="683" t="s">
        <v>915</v>
      </c>
      <c r="C320" s="682" t="s">
        <v>78</v>
      </c>
      <c r="D320" s="683">
        <v>38.082389999999997</v>
      </c>
      <c r="E320" s="683">
        <v>-121.9837</v>
      </c>
      <c r="F320" s="683" t="s">
        <v>2188</v>
      </c>
      <c r="G320" s="683" t="s">
        <v>27</v>
      </c>
      <c r="H320" s="683" t="s">
        <v>86</v>
      </c>
      <c r="I320" s="708">
        <v>0.37847222222222227</v>
      </c>
      <c r="J320" s="683" t="s">
        <v>28</v>
      </c>
      <c r="K320" s="683" t="s">
        <v>29</v>
      </c>
      <c r="L320" s="683" t="s">
        <v>30</v>
      </c>
      <c r="M320" s="683">
        <v>2</v>
      </c>
      <c r="N320" s="683">
        <v>10</v>
      </c>
      <c r="O320" s="209">
        <v>37.4</v>
      </c>
      <c r="P320" s="209">
        <v>8443.5</v>
      </c>
      <c r="Q320" s="209" t="s">
        <v>50</v>
      </c>
      <c r="R320" s="209">
        <v>0.35499999999999998</v>
      </c>
      <c r="S320" s="209">
        <v>52</v>
      </c>
      <c r="T320" s="209" t="s">
        <v>50</v>
      </c>
      <c r="U320" s="709" t="s">
        <v>31</v>
      </c>
      <c r="V320" s="683">
        <v>9</v>
      </c>
      <c r="W320" s="683" t="s">
        <v>2189</v>
      </c>
      <c r="X320" s="689"/>
      <c r="Y320" s="205" t="s">
        <v>32</v>
      </c>
    </row>
    <row r="321" spans="1:25" x14ac:dyDescent="0.25">
      <c r="A321" s="711">
        <v>43971</v>
      </c>
      <c r="B321" s="37" t="s">
        <v>915</v>
      </c>
      <c r="C321" s="693" t="s">
        <v>106</v>
      </c>
      <c r="D321" s="37">
        <v>38.281829999999999</v>
      </c>
      <c r="E321" s="37">
        <v>-121.65899</v>
      </c>
      <c r="F321" s="37" t="s">
        <v>2190</v>
      </c>
      <c r="G321" s="37" t="s">
        <v>90</v>
      </c>
      <c r="H321" s="37" t="s">
        <v>108</v>
      </c>
      <c r="I321" s="712">
        <v>0.4055555555555555</v>
      </c>
      <c r="J321" s="37" t="s">
        <v>28</v>
      </c>
      <c r="K321" s="37" t="s">
        <v>29</v>
      </c>
      <c r="L321" s="37" t="s">
        <v>30</v>
      </c>
      <c r="M321" s="37">
        <v>2</v>
      </c>
      <c r="N321" s="37">
        <v>10</v>
      </c>
      <c r="O321" s="91">
        <v>34.25</v>
      </c>
      <c r="P321" s="91">
        <v>268.75</v>
      </c>
      <c r="Q321" s="91" t="s">
        <v>50</v>
      </c>
      <c r="R321" s="91">
        <v>0.55000000000000004</v>
      </c>
      <c r="S321" s="91">
        <v>27.55</v>
      </c>
      <c r="T321" s="91" t="s">
        <v>50</v>
      </c>
      <c r="U321" s="37" t="s">
        <v>50</v>
      </c>
      <c r="V321" s="37" t="s">
        <v>50</v>
      </c>
      <c r="W321" s="37" t="s">
        <v>50</v>
      </c>
      <c r="Y321" s="750" t="s">
        <v>32</v>
      </c>
    </row>
    <row r="322" spans="1:25" x14ac:dyDescent="0.25">
      <c r="A322" s="711">
        <v>43971</v>
      </c>
      <c r="B322" s="37" t="s">
        <v>915</v>
      </c>
      <c r="C322" s="693" t="s">
        <v>106</v>
      </c>
      <c r="D322" s="37">
        <v>38.207009999999997</v>
      </c>
      <c r="E322" s="37">
        <v>-121.6698</v>
      </c>
      <c r="F322" s="37" t="s">
        <v>2191</v>
      </c>
      <c r="G322" s="37" t="s">
        <v>90</v>
      </c>
      <c r="H322" s="37" t="s">
        <v>108</v>
      </c>
      <c r="I322" s="712">
        <v>0.43611111111111112</v>
      </c>
      <c r="J322" s="37" t="s">
        <v>28</v>
      </c>
      <c r="K322" s="37" t="s">
        <v>29</v>
      </c>
      <c r="L322" s="37" t="s">
        <v>30</v>
      </c>
      <c r="M322" s="37">
        <v>2</v>
      </c>
      <c r="N322" s="37">
        <v>5</v>
      </c>
      <c r="O322" s="91">
        <v>37.549999999999997</v>
      </c>
      <c r="P322" s="91">
        <v>161.4</v>
      </c>
      <c r="Q322" s="91" t="s">
        <v>50</v>
      </c>
      <c r="R322" s="91">
        <v>1.4</v>
      </c>
      <c r="S322" s="91">
        <v>12.5</v>
      </c>
      <c r="T322" s="91" t="s">
        <v>50</v>
      </c>
      <c r="U322" s="37" t="s">
        <v>50</v>
      </c>
      <c r="V322" s="37" t="s">
        <v>50</v>
      </c>
      <c r="W322" s="37" t="s">
        <v>50</v>
      </c>
      <c r="X322" s="698" t="s">
        <v>2171</v>
      </c>
      <c r="Y322" s="750" t="s">
        <v>32</v>
      </c>
    </row>
    <row r="323" spans="1:25" x14ac:dyDescent="0.25">
      <c r="A323" s="711">
        <v>43971</v>
      </c>
      <c r="B323" s="37" t="s">
        <v>915</v>
      </c>
      <c r="C323" s="693" t="s">
        <v>106</v>
      </c>
      <c r="D323" s="37">
        <v>38.200740000000003</v>
      </c>
      <c r="E323" s="37">
        <v>-121.65667000000001</v>
      </c>
      <c r="F323" s="37" t="s">
        <v>2192</v>
      </c>
      <c r="G323" s="37" t="s">
        <v>90</v>
      </c>
      <c r="H323" s="37" t="s">
        <v>108</v>
      </c>
      <c r="I323" s="712">
        <v>0.4597222222222222</v>
      </c>
      <c r="J323" s="37" t="s">
        <v>28</v>
      </c>
      <c r="K323" s="37" t="s">
        <v>29</v>
      </c>
      <c r="L323" s="37" t="s">
        <v>30</v>
      </c>
      <c r="M323" s="37">
        <v>2</v>
      </c>
      <c r="N323" s="37">
        <v>10</v>
      </c>
      <c r="O323" s="91">
        <v>42.35</v>
      </c>
      <c r="P323" s="91">
        <v>174.25</v>
      </c>
      <c r="Q323" s="91" t="s">
        <v>50</v>
      </c>
      <c r="R323" s="91">
        <v>1.4</v>
      </c>
      <c r="S323" s="91">
        <v>7.4700000000000006</v>
      </c>
      <c r="T323" s="91" t="s">
        <v>50</v>
      </c>
      <c r="U323" s="37" t="s">
        <v>50</v>
      </c>
      <c r="V323" s="37" t="s">
        <v>50</v>
      </c>
      <c r="W323" s="37" t="s">
        <v>50</v>
      </c>
      <c r="Y323" s="750" t="s">
        <v>32</v>
      </c>
    </row>
    <row r="324" spans="1:25" s="421" customFormat="1" x14ac:dyDescent="0.25">
      <c r="A324" s="348">
        <v>43971</v>
      </c>
      <c r="B324" s="421" t="s">
        <v>915</v>
      </c>
      <c r="C324" s="524" t="s">
        <v>106</v>
      </c>
      <c r="D324" s="421">
        <v>38.358400000000003</v>
      </c>
      <c r="E324" s="421">
        <v>-121.63594000000001</v>
      </c>
      <c r="F324" s="421" t="s">
        <v>2193</v>
      </c>
      <c r="G324" s="421" t="s">
        <v>90</v>
      </c>
      <c r="H324" s="421" t="s">
        <v>108</v>
      </c>
      <c r="I324" s="539">
        <v>0.34791666666666665</v>
      </c>
      <c r="J324" s="421" t="s">
        <v>28</v>
      </c>
      <c r="K324" s="421" t="s">
        <v>29</v>
      </c>
      <c r="L324" s="421" t="s">
        <v>30</v>
      </c>
      <c r="M324" s="421">
        <v>2</v>
      </c>
      <c r="N324" s="421">
        <v>10</v>
      </c>
      <c r="O324" s="499">
        <v>32.599999999999994</v>
      </c>
      <c r="P324" s="499">
        <v>459.5</v>
      </c>
      <c r="Q324" s="499" t="s">
        <v>50</v>
      </c>
      <c r="R324" s="499">
        <v>0.2</v>
      </c>
      <c r="S324" s="499">
        <v>56.8</v>
      </c>
      <c r="T324" s="499" t="s">
        <v>50</v>
      </c>
      <c r="U324" s="746" t="s">
        <v>323</v>
      </c>
      <c r="V324" s="421">
        <v>3</v>
      </c>
      <c r="W324" s="421" t="s">
        <v>2194</v>
      </c>
      <c r="X324" s="397" t="s">
        <v>2195</v>
      </c>
      <c r="Y324" s="494" t="s">
        <v>32</v>
      </c>
    </row>
    <row r="325" spans="1:25" s="683" customFormat="1" x14ac:dyDescent="0.25">
      <c r="A325" s="722">
        <v>43971</v>
      </c>
      <c r="B325" s="683" t="s">
        <v>915</v>
      </c>
      <c r="C325" s="682" t="s">
        <v>106</v>
      </c>
      <c r="D325" s="683">
        <v>38.358400000000003</v>
      </c>
      <c r="E325" s="683">
        <v>-121.63594000000001</v>
      </c>
      <c r="F325" s="683" t="s">
        <v>2193</v>
      </c>
      <c r="G325" s="683" t="s">
        <v>90</v>
      </c>
      <c r="H325" s="683" t="s">
        <v>108</v>
      </c>
      <c r="I325" s="708">
        <v>0.34791666666666665</v>
      </c>
      <c r="J325" s="683" t="s">
        <v>28</v>
      </c>
      <c r="K325" s="683" t="s">
        <v>29</v>
      </c>
      <c r="L325" s="683" t="s">
        <v>30</v>
      </c>
      <c r="M325" s="683">
        <v>2</v>
      </c>
      <c r="N325" s="683">
        <v>10</v>
      </c>
      <c r="O325" s="209">
        <v>32.599999999999994</v>
      </c>
      <c r="P325" s="209">
        <v>459.5</v>
      </c>
      <c r="Q325" s="209" t="s">
        <v>50</v>
      </c>
      <c r="R325" s="209">
        <v>0.2</v>
      </c>
      <c r="S325" s="209">
        <v>56.8</v>
      </c>
      <c r="T325" s="209" t="s">
        <v>50</v>
      </c>
      <c r="U325" s="709" t="s">
        <v>31</v>
      </c>
      <c r="V325" s="683">
        <v>1</v>
      </c>
      <c r="W325" s="683">
        <v>15</v>
      </c>
      <c r="X325" s="689" t="s">
        <v>2195</v>
      </c>
      <c r="Y325" s="205" t="s">
        <v>32</v>
      </c>
    </row>
    <row r="326" spans="1:25" s="421" customFormat="1" x14ac:dyDescent="0.25">
      <c r="A326" s="348">
        <v>43971</v>
      </c>
      <c r="B326" s="421" t="s">
        <v>915</v>
      </c>
      <c r="C326" s="524" t="s">
        <v>106</v>
      </c>
      <c r="D326" s="421">
        <v>38.335839999999997</v>
      </c>
      <c r="E326" s="421">
        <v>-121.64608</v>
      </c>
      <c r="F326" s="421" t="s">
        <v>2196</v>
      </c>
      <c r="G326" s="421" t="s">
        <v>90</v>
      </c>
      <c r="H326" s="421" t="s">
        <v>108</v>
      </c>
      <c r="I326" s="539">
        <v>0.3756944444444445</v>
      </c>
      <c r="J326" s="421" t="s">
        <v>28</v>
      </c>
      <c r="K326" s="421" t="s">
        <v>29</v>
      </c>
      <c r="L326" s="421" t="s">
        <v>30</v>
      </c>
      <c r="M326" s="421">
        <v>2</v>
      </c>
      <c r="N326" s="421">
        <v>10</v>
      </c>
      <c r="O326" s="499">
        <v>32.4</v>
      </c>
      <c r="P326" s="499">
        <v>394.9</v>
      </c>
      <c r="Q326" s="499" t="s">
        <v>50</v>
      </c>
      <c r="R326" s="499">
        <v>0.28000000000000003</v>
      </c>
      <c r="S326" s="499">
        <v>51.5</v>
      </c>
      <c r="T326" s="499" t="s">
        <v>50</v>
      </c>
      <c r="U326" s="746" t="s">
        <v>323</v>
      </c>
      <c r="V326" s="421">
        <v>2</v>
      </c>
      <c r="W326" s="421" t="s">
        <v>2197</v>
      </c>
      <c r="X326" s="455" t="s">
        <v>2198</v>
      </c>
      <c r="Y326" s="494" t="s">
        <v>32</v>
      </c>
    </row>
    <row r="327" spans="1:25" x14ac:dyDescent="0.25">
      <c r="A327" s="711">
        <v>43972</v>
      </c>
      <c r="B327" s="37" t="s">
        <v>876</v>
      </c>
      <c r="C327" s="693" t="s">
        <v>88</v>
      </c>
      <c r="D327" s="37">
        <v>38.176720000000003</v>
      </c>
      <c r="E327" s="37">
        <v>-121.66247</v>
      </c>
      <c r="F327" s="37" t="s">
        <v>2199</v>
      </c>
      <c r="G327" s="37" t="s">
        <v>90</v>
      </c>
      <c r="H327" s="37" t="s">
        <v>91</v>
      </c>
      <c r="I327" s="712">
        <v>0.33958333333333335</v>
      </c>
      <c r="J327" s="37" t="s">
        <v>28</v>
      </c>
      <c r="K327" s="37" t="s">
        <v>29</v>
      </c>
      <c r="L327" s="37" t="s">
        <v>30</v>
      </c>
      <c r="M327" s="37">
        <v>2</v>
      </c>
      <c r="N327" s="37">
        <v>10</v>
      </c>
      <c r="O327" s="91">
        <v>9.25</v>
      </c>
      <c r="P327" s="91">
        <v>138.1</v>
      </c>
      <c r="Q327" s="91" t="s">
        <v>50</v>
      </c>
      <c r="R327" s="91">
        <v>1.18</v>
      </c>
      <c r="S327" s="91">
        <v>9.879999999999999</v>
      </c>
      <c r="T327" s="91" t="s">
        <v>50</v>
      </c>
      <c r="U327" s="37" t="s">
        <v>50</v>
      </c>
      <c r="V327" s="37" t="s">
        <v>50</v>
      </c>
      <c r="W327" s="37" t="s">
        <v>50</v>
      </c>
      <c r="Y327" s="750" t="s">
        <v>32</v>
      </c>
    </row>
    <row r="328" spans="1:25" x14ac:dyDescent="0.25">
      <c r="A328" s="711">
        <v>43972</v>
      </c>
      <c r="B328" s="37" t="s">
        <v>876</v>
      </c>
      <c r="C328" s="693" t="s">
        <v>88</v>
      </c>
      <c r="D328" s="37">
        <v>38.092759999999998</v>
      </c>
      <c r="E328" s="37">
        <v>-121.70679</v>
      </c>
      <c r="F328" s="37" t="s">
        <v>2200</v>
      </c>
      <c r="G328" s="37" t="s">
        <v>90</v>
      </c>
      <c r="H328" s="37" t="s">
        <v>91</v>
      </c>
      <c r="I328" s="712">
        <v>0.37708333333333338</v>
      </c>
      <c r="J328" s="37" t="s">
        <v>28</v>
      </c>
      <c r="K328" s="37" t="s">
        <v>29</v>
      </c>
      <c r="L328" s="37" t="s">
        <v>30</v>
      </c>
      <c r="M328" s="37">
        <v>2</v>
      </c>
      <c r="N328" s="37">
        <v>10</v>
      </c>
      <c r="O328" s="91">
        <v>8.5</v>
      </c>
      <c r="P328" s="91">
        <v>184.10000000000002</v>
      </c>
      <c r="Q328" s="91" t="s">
        <v>50</v>
      </c>
      <c r="R328" s="91">
        <v>1.26</v>
      </c>
      <c r="S328" s="91">
        <v>10.7</v>
      </c>
      <c r="T328" s="91" t="s">
        <v>50</v>
      </c>
      <c r="U328" s="37" t="s">
        <v>50</v>
      </c>
      <c r="V328" s="37" t="s">
        <v>50</v>
      </c>
      <c r="W328" s="37" t="s">
        <v>50</v>
      </c>
      <c r="Y328" s="750" t="s">
        <v>32</v>
      </c>
    </row>
    <row r="329" spans="1:25" x14ac:dyDescent="0.25">
      <c r="A329" s="711">
        <v>43972</v>
      </c>
      <c r="B329" s="37" t="s">
        <v>876</v>
      </c>
      <c r="C329" s="693" t="s">
        <v>88</v>
      </c>
      <c r="D329" s="37">
        <v>38.064950000000003</v>
      </c>
      <c r="E329" s="37">
        <v>-121.78185999999999</v>
      </c>
      <c r="F329" s="37" t="s">
        <v>2201</v>
      </c>
      <c r="G329" s="37" t="s">
        <v>90</v>
      </c>
      <c r="H329" s="37" t="s">
        <v>25</v>
      </c>
      <c r="I329" s="712">
        <v>0.40763888888888888</v>
      </c>
      <c r="J329" s="37" t="s">
        <v>28</v>
      </c>
      <c r="K329" s="37" t="s">
        <v>29</v>
      </c>
      <c r="L329" s="37" t="s">
        <v>30</v>
      </c>
      <c r="M329" s="37">
        <v>2</v>
      </c>
      <c r="N329" s="37">
        <v>10</v>
      </c>
      <c r="O329" s="91">
        <v>26.2</v>
      </c>
      <c r="P329" s="91">
        <v>173.89999999999998</v>
      </c>
      <c r="Q329" s="91" t="s">
        <v>50</v>
      </c>
      <c r="R329" s="91">
        <v>0.99</v>
      </c>
      <c r="S329" s="91">
        <v>10.09</v>
      </c>
      <c r="T329" s="91" t="s">
        <v>50</v>
      </c>
      <c r="U329" s="37" t="s">
        <v>50</v>
      </c>
      <c r="V329" s="37" t="s">
        <v>50</v>
      </c>
      <c r="W329" s="37" t="s">
        <v>50</v>
      </c>
      <c r="Y329" s="750" t="s">
        <v>32</v>
      </c>
    </row>
    <row r="330" spans="1:25" x14ac:dyDescent="0.25">
      <c r="A330" s="711">
        <v>43972</v>
      </c>
      <c r="B330" s="37" t="s">
        <v>876</v>
      </c>
      <c r="C330" s="693" t="s">
        <v>88</v>
      </c>
      <c r="D330" s="37">
        <v>38.07367</v>
      </c>
      <c r="E330" s="37">
        <v>-121.77021999999999</v>
      </c>
      <c r="F330" s="37" t="s">
        <v>2202</v>
      </c>
      <c r="G330" s="37" t="s">
        <v>90</v>
      </c>
      <c r="H330" s="37" t="s">
        <v>25</v>
      </c>
      <c r="I330" s="712">
        <v>0.43194444444444446</v>
      </c>
      <c r="J330" s="37" t="s">
        <v>28</v>
      </c>
      <c r="K330" s="37" t="s">
        <v>29</v>
      </c>
      <c r="L330" s="37" t="s">
        <v>30</v>
      </c>
      <c r="M330" s="37">
        <v>2</v>
      </c>
      <c r="N330" s="37">
        <v>10</v>
      </c>
      <c r="O330" s="91">
        <v>28.1</v>
      </c>
      <c r="P330" s="91">
        <v>163.9</v>
      </c>
      <c r="Q330" s="91" t="s">
        <v>50</v>
      </c>
      <c r="R330" s="91">
        <v>1.17</v>
      </c>
      <c r="S330" s="91">
        <v>10.625</v>
      </c>
      <c r="T330" s="91" t="s">
        <v>50</v>
      </c>
      <c r="U330" s="37" t="s">
        <v>50</v>
      </c>
      <c r="V330" s="37" t="s">
        <v>50</v>
      </c>
      <c r="W330" s="37" t="s">
        <v>50</v>
      </c>
      <c r="Y330" s="750" t="s">
        <v>32</v>
      </c>
    </row>
    <row r="331" spans="1:25" x14ac:dyDescent="0.25">
      <c r="A331" s="711">
        <v>43972</v>
      </c>
      <c r="B331" s="37" t="s">
        <v>876</v>
      </c>
      <c r="C331" s="693" t="s">
        <v>88</v>
      </c>
      <c r="D331" s="37">
        <v>38.123269999999998</v>
      </c>
      <c r="E331" s="37">
        <v>-121.69817</v>
      </c>
      <c r="F331" s="37" t="s">
        <v>2203</v>
      </c>
      <c r="G331" s="37" t="s">
        <v>90</v>
      </c>
      <c r="H331" s="37" t="s">
        <v>91</v>
      </c>
      <c r="I331" s="712">
        <v>0.46249999999999997</v>
      </c>
      <c r="J331" s="37" t="s">
        <v>28</v>
      </c>
      <c r="K331" s="37" t="s">
        <v>29</v>
      </c>
      <c r="L331" s="37" t="s">
        <v>30</v>
      </c>
      <c r="M331" s="37">
        <v>2</v>
      </c>
      <c r="N331" s="37">
        <v>10</v>
      </c>
      <c r="O331" s="91">
        <v>29.65</v>
      </c>
      <c r="P331" s="91">
        <v>154.6</v>
      </c>
      <c r="Q331" s="91" t="s">
        <v>50</v>
      </c>
      <c r="R331" s="91">
        <v>1.22</v>
      </c>
      <c r="S331" s="91">
        <v>7.7</v>
      </c>
      <c r="T331" s="91" t="s">
        <v>50</v>
      </c>
      <c r="U331" s="37" t="s">
        <v>50</v>
      </c>
      <c r="V331" s="37" t="s">
        <v>50</v>
      </c>
      <c r="W331" s="37" t="s">
        <v>50</v>
      </c>
      <c r="Y331" s="750" t="s">
        <v>32</v>
      </c>
    </row>
    <row r="332" spans="1:25" x14ac:dyDescent="0.25">
      <c r="A332" s="711">
        <v>43972</v>
      </c>
      <c r="B332" s="37" t="s">
        <v>876</v>
      </c>
      <c r="C332" s="693" t="s">
        <v>95</v>
      </c>
      <c r="D332" s="37">
        <v>38.020400000000002</v>
      </c>
      <c r="E332" s="37">
        <v>-121.74138000000001</v>
      </c>
      <c r="F332" s="37" t="s">
        <v>2204</v>
      </c>
      <c r="G332" s="37" t="s">
        <v>90</v>
      </c>
      <c r="H332" s="37" t="s">
        <v>863</v>
      </c>
      <c r="I332" s="712">
        <v>0.38750000000000001</v>
      </c>
      <c r="J332" s="37" t="s">
        <v>28</v>
      </c>
      <c r="K332" s="37" t="s">
        <v>29</v>
      </c>
      <c r="L332" s="37" t="s">
        <v>30</v>
      </c>
      <c r="M332" s="37">
        <v>2</v>
      </c>
      <c r="N332" s="37">
        <v>10</v>
      </c>
      <c r="O332" s="91">
        <v>10.5</v>
      </c>
      <c r="P332" s="91">
        <v>330</v>
      </c>
      <c r="Q332" s="91" t="s">
        <v>50</v>
      </c>
      <c r="R332" s="91">
        <v>1.8</v>
      </c>
      <c r="S332" s="91">
        <v>3.65</v>
      </c>
      <c r="T332" s="91" t="s">
        <v>50</v>
      </c>
      <c r="U332" s="37" t="s">
        <v>50</v>
      </c>
      <c r="V332" s="37" t="s">
        <v>50</v>
      </c>
      <c r="W332" s="37" t="s">
        <v>50</v>
      </c>
      <c r="X332" s="698" t="s">
        <v>2205</v>
      </c>
      <c r="Y332" s="750" t="s">
        <v>32</v>
      </c>
    </row>
    <row r="333" spans="1:25" x14ac:dyDescent="0.25">
      <c r="A333" s="711">
        <v>43972</v>
      </c>
      <c r="B333" s="37" t="s">
        <v>876</v>
      </c>
      <c r="C333" s="693" t="s">
        <v>95</v>
      </c>
      <c r="D333" s="37">
        <v>38.090679999999999</v>
      </c>
      <c r="E333" s="37">
        <v>-121.63361999999999</v>
      </c>
      <c r="F333" s="37" t="s">
        <v>2206</v>
      </c>
      <c r="G333" s="37" t="s">
        <v>90</v>
      </c>
      <c r="H333" s="37" t="s">
        <v>908</v>
      </c>
      <c r="I333" s="712">
        <v>0.4291666666666667</v>
      </c>
      <c r="J333" s="37" t="s">
        <v>28</v>
      </c>
      <c r="K333" s="37" t="s">
        <v>29</v>
      </c>
      <c r="L333" s="37" t="s">
        <v>30</v>
      </c>
      <c r="M333" s="37">
        <v>2</v>
      </c>
      <c r="N333" s="37">
        <v>10</v>
      </c>
      <c r="O333" s="91">
        <v>53.599999999999994</v>
      </c>
      <c r="P333" s="91">
        <v>216.05</v>
      </c>
      <c r="Q333" s="91" t="s">
        <v>50</v>
      </c>
      <c r="R333" s="91">
        <v>1.7650000000000001</v>
      </c>
      <c r="S333" s="91">
        <v>5.1849999999999996</v>
      </c>
      <c r="T333" s="91" t="s">
        <v>50</v>
      </c>
      <c r="U333" s="37" t="s">
        <v>50</v>
      </c>
      <c r="V333" s="37" t="s">
        <v>50</v>
      </c>
      <c r="W333" s="37" t="s">
        <v>50</v>
      </c>
      <c r="Y333" s="750" t="s">
        <v>32</v>
      </c>
    </row>
    <row r="334" spans="1:25" x14ac:dyDescent="0.25">
      <c r="A334" s="711">
        <v>43972</v>
      </c>
      <c r="B334" s="37" t="s">
        <v>876</v>
      </c>
      <c r="C334" s="693" t="s">
        <v>95</v>
      </c>
      <c r="D334" s="37">
        <v>38.098599999999998</v>
      </c>
      <c r="E334" s="37">
        <v>-121.62672999999999</v>
      </c>
      <c r="F334" s="37" t="s">
        <v>2207</v>
      </c>
      <c r="G334" s="37" t="s">
        <v>90</v>
      </c>
      <c r="H334" s="37" t="s">
        <v>908</v>
      </c>
      <c r="I334" s="712">
        <v>0.4513888888888889</v>
      </c>
      <c r="J334" s="37" t="s">
        <v>28</v>
      </c>
      <c r="K334" s="37" t="s">
        <v>29</v>
      </c>
      <c r="L334" s="37" t="s">
        <v>30</v>
      </c>
      <c r="M334" s="37">
        <v>2</v>
      </c>
      <c r="N334" s="37">
        <v>10</v>
      </c>
      <c r="O334" s="91">
        <v>21.85</v>
      </c>
      <c r="P334" s="91">
        <v>218.55</v>
      </c>
      <c r="Q334" s="91" t="s">
        <v>50</v>
      </c>
      <c r="R334" s="91">
        <v>1.37</v>
      </c>
      <c r="S334" s="91">
        <v>5.23</v>
      </c>
      <c r="T334" s="91" t="s">
        <v>50</v>
      </c>
      <c r="U334" s="37" t="s">
        <v>50</v>
      </c>
      <c r="V334" s="37" t="s">
        <v>50</v>
      </c>
      <c r="W334" s="37" t="s">
        <v>50</v>
      </c>
      <c r="Y334" s="750" t="s">
        <v>32</v>
      </c>
    </row>
    <row r="335" spans="1:25" x14ac:dyDescent="0.25">
      <c r="A335" s="711">
        <v>43972</v>
      </c>
      <c r="B335" s="37" t="s">
        <v>876</v>
      </c>
      <c r="C335" s="693" t="s">
        <v>95</v>
      </c>
      <c r="D335" s="37">
        <v>38.068579999999997</v>
      </c>
      <c r="E335" s="37">
        <v>-121.56079</v>
      </c>
      <c r="F335" s="37" t="s">
        <v>2208</v>
      </c>
      <c r="G335" s="37" t="s">
        <v>90</v>
      </c>
      <c r="H335" s="37" t="s">
        <v>1767</v>
      </c>
      <c r="I335" s="712">
        <v>0.48194444444444445</v>
      </c>
      <c r="J335" s="37" t="s">
        <v>28</v>
      </c>
      <c r="K335" s="37" t="s">
        <v>29</v>
      </c>
      <c r="L335" s="37" t="s">
        <v>30</v>
      </c>
      <c r="M335" s="37">
        <v>2</v>
      </c>
      <c r="N335" s="37">
        <v>10</v>
      </c>
      <c r="O335" s="91">
        <v>43.45</v>
      </c>
      <c r="P335" s="91">
        <v>254.25</v>
      </c>
      <c r="Q335" s="91" t="s">
        <v>50</v>
      </c>
      <c r="R335" s="91">
        <v>1.49</v>
      </c>
      <c r="S335" s="91">
        <v>5.01</v>
      </c>
      <c r="T335" s="91" t="s">
        <v>50</v>
      </c>
      <c r="U335" s="37" t="s">
        <v>50</v>
      </c>
      <c r="V335" s="37" t="s">
        <v>50</v>
      </c>
      <c r="W335" s="37" t="s">
        <v>50</v>
      </c>
      <c r="Y335" s="750" t="s">
        <v>32</v>
      </c>
    </row>
    <row r="336" spans="1:25" x14ac:dyDescent="0.25">
      <c r="A336" s="711">
        <v>43972</v>
      </c>
      <c r="B336" s="37" t="s">
        <v>876</v>
      </c>
      <c r="C336" s="693" t="s">
        <v>95</v>
      </c>
      <c r="D336" s="37">
        <v>38.05395</v>
      </c>
      <c r="E336" s="37">
        <v>-121.49982</v>
      </c>
      <c r="F336" s="37" t="s">
        <v>2209</v>
      </c>
      <c r="G336" s="37" t="s">
        <v>90</v>
      </c>
      <c r="H336" s="37" t="s">
        <v>1767</v>
      </c>
      <c r="I336" s="712">
        <v>0.5131944444444444</v>
      </c>
      <c r="J336" s="37" t="s">
        <v>28</v>
      </c>
      <c r="K336" s="37" t="s">
        <v>29</v>
      </c>
      <c r="L336" s="37" t="s">
        <v>30</v>
      </c>
      <c r="M336" s="37">
        <v>2</v>
      </c>
      <c r="N336" s="37">
        <v>10</v>
      </c>
      <c r="O336" s="91">
        <v>16.25</v>
      </c>
      <c r="P336" s="91">
        <v>258.55</v>
      </c>
      <c r="Q336" s="91" t="s">
        <v>50</v>
      </c>
      <c r="R336" s="91">
        <v>1.8</v>
      </c>
      <c r="S336" s="91">
        <v>3.2249999999999996</v>
      </c>
      <c r="T336" s="91" t="s">
        <v>50</v>
      </c>
      <c r="U336" s="37" t="s">
        <v>50</v>
      </c>
      <c r="V336" s="37" t="s">
        <v>50</v>
      </c>
      <c r="W336" s="37" t="s">
        <v>50</v>
      </c>
      <c r="Y336" s="750" t="s">
        <v>32</v>
      </c>
    </row>
    <row r="337" spans="1:25" x14ac:dyDescent="0.25">
      <c r="A337" s="711">
        <v>43973</v>
      </c>
      <c r="B337" s="37" t="s">
        <v>125</v>
      </c>
      <c r="C337" s="693" t="s">
        <v>95</v>
      </c>
      <c r="D337" s="37">
        <v>38.024540000000002</v>
      </c>
      <c r="E337" s="37">
        <v>-121.75501</v>
      </c>
      <c r="F337" s="37" t="s">
        <v>2210</v>
      </c>
      <c r="G337" s="37" t="s">
        <v>90</v>
      </c>
      <c r="H337" s="37" t="s">
        <v>863</v>
      </c>
      <c r="I337" s="712">
        <v>0.32361111111111113</v>
      </c>
      <c r="J337" s="37" t="s">
        <v>28</v>
      </c>
      <c r="K337" s="37" t="s">
        <v>29</v>
      </c>
      <c r="L337" s="37" t="s">
        <v>30</v>
      </c>
      <c r="M337" s="37">
        <v>2</v>
      </c>
      <c r="N337" s="37">
        <v>10</v>
      </c>
      <c r="O337" s="91">
        <v>19.850000000000001</v>
      </c>
      <c r="P337" s="91">
        <v>658</v>
      </c>
      <c r="Q337" s="91" t="s">
        <v>50</v>
      </c>
      <c r="R337" s="91">
        <v>0.86</v>
      </c>
      <c r="S337" s="91">
        <v>12.15</v>
      </c>
      <c r="T337" s="91" t="s">
        <v>50</v>
      </c>
      <c r="U337" s="37" t="s">
        <v>50</v>
      </c>
      <c r="V337" s="37" t="s">
        <v>50</v>
      </c>
      <c r="W337" s="37" t="s">
        <v>50</v>
      </c>
      <c r="Y337" s="750" t="s">
        <v>32</v>
      </c>
    </row>
    <row r="338" spans="1:25" x14ac:dyDescent="0.25">
      <c r="A338" s="711">
        <v>43973</v>
      </c>
      <c r="B338" s="37" t="s">
        <v>125</v>
      </c>
      <c r="C338" s="693" t="s">
        <v>95</v>
      </c>
      <c r="D338" s="37">
        <v>38.042189999999998</v>
      </c>
      <c r="E338" s="37">
        <v>-121.71935999999999</v>
      </c>
      <c r="F338" s="37" t="s">
        <v>2211</v>
      </c>
      <c r="G338" s="37" t="s">
        <v>90</v>
      </c>
      <c r="H338" s="37" t="s">
        <v>863</v>
      </c>
      <c r="I338" s="712">
        <v>0.35138888888888892</v>
      </c>
      <c r="J338" s="37" t="s">
        <v>28</v>
      </c>
      <c r="K338" s="37" t="s">
        <v>29</v>
      </c>
      <c r="L338" s="37" t="s">
        <v>30</v>
      </c>
      <c r="M338" s="37">
        <v>2</v>
      </c>
      <c r="N338" s="37">
        <v>10</v>
      </c>
      <c r="O338" s="91">
        <v>29.4</v>
      </c>
      <c r="P338" s="91">
        <v>391</v>
      </c>
      <c r="Q338" s="91" t="s">
        <v>50</v>
      </c>
      <c r="R338" s="91">
        <v>0.99</v>
      </c>
      <c r="S338" s="91">
        <v>10.75</v>
      </c>
      <c r="T338" s="91" t="s">
        <v>50</v>
      </c>
      <c r="U338" s="37" t="s">
        <v>50</v>
      </c>
      <c r="V338" s="37" t="s">
        <v>50</v>
      </c>
      <c r="W338" s="37" t="s">
        <v>50</v>
      </c>
      <c r="Y338" s="750" t="s">
        <v>32</v>
      </c>
    </row>
    <row r="339" spans="1:25" x14ac:dyDescent="0.25">
      <c r="A339" s="711">
        <v>43973</v>
      </c>
      <c r="B339" s="37" t="s">
        <v>125</v>
      </c>
      <c r="C339" s="693" t="s">
        <v>95</v>
      </c>
      <c r="D339" s="37">
        <v>38.104649999999999</v>
      </c>
      <c r="E339" s="37">
        <v>-121.59958</v>
      </c>
      <c r="F339" s="37" t="s">
        <v>2212</v>
      </c>
      <c r="G339" s="37" t="s">
        <v>90</v>
      </c>
      <c r="H339" s="37" t="s">
        <v>1767</v>
      </c>
      <c r="I339" s="712">
        <v>0.38819444444444445</v>
      </c>
      <c r="J339" s="37" t="s">
        <v>28</v>
      </c>
      <c r="K339" s="37" t="s">
        <v>29</v>
      </c>
      <c r="L339" s="37" t="s">
        <v>30</v>
      </c>
      <c r="M339" s="37">
        <v>2</v>
      </c>
      <c r="N339" s="37">
        <v>10</v>
      </c>
      <c r="O339" s="91">
        <v>25.2</v>
      </c>
      <c r="P339" s="91">
        <v>209.6</v>
      </c>
      <c r="Q339" s="91" t="s">
        <v>50</v>
      </c>
      <c r="R339" s="91">
        <v>1.8</v>
      </c>
      <c r="S339" s="91">
        <v>5.2050000000000001</v>
      </c>
      <c r="T339" s="91" t="s">
        <v>50</v>
      </c>
      <c r="U339" s="37" t="s">
        <v>50</v>
      </c>
      <c r="V339" s="37" t="s">
        <v>50</v>
      </c>
      <c r="W339" s="37" t="s">
        <v>50</v>
      </c>
      <c r="Y339" s="750" t="s">
        <v>32</v>
      </c>
    </row>
    <row r="340" spans="1:25" x14ac:dyDescent="0.25">
      <c r="A340" s="711">
        <v>43973</v>
      </c>
      <c r="B340" s="37" t="s">
        <v>125</v>
      </c>
      <c r="C340" s="693" t="s">
        <v>95</v>
      </c>
      <c r="D340" s="37">
        <v>38.097290000000001</v>
      </c>
      <c r="E340" s="37">
        <v>-121.58007000000001</v>
      </c>
      <c r="F340" s="37" t="s">
        <v>2213</v>
      </c>
      <c r="G340" s="37" t="s">
        <v>90</v>
      </c>
      <c r="H340" s="37" t="s">
        <v>1767</v>
      </c>
      <c r="I340" s="712">
        <v>0.41388888888888892</v>
      </c>
      <c r="J340" s="37" t="s">
        <v>28</v>
      </c>
      <c r="K340" s="37" t="s">
        <v>29</v>
      </c>
      <c r="L340" s="37" t="s">
        <v>30</v>
      </c>
      <c r="M340" s="37">
        <v>2</v>
      </c>
      <c r="N340" s="37">
        <v>10</v>
      </c>
      <c r="O340" s="91">
        <v>46.650000000000006</v>
      </c>
      <c r="P340" s="91">
        <v>213.8</v>
      </c>
      <c r="Q340" s="91" t="s">
        <v>50</v>
      </c>
      <c r="R340" s="91">
        <v>1.8</v>
      </c>
      <c r="S340" s="91">
        <v>5.2249999999999996</v>
      </c>
      <c r="T340" s="91" t="s">
        <v>50</v>
      </c>
      <c r="U340" s="37" t="s">
        <v>50</v>
      </c>
      <c r="V340" s="37" t="s">
        <v>50</v>
      </c>
      <c r="W340" s="37" t="s">
        <v>50</v>
      </c>
      <c r="Y340" s="750" t="s">
        <v>32</v>
      </c>
    </row>
    <row r="341" spans="1:25" s="759" customFormat="1" x14ac:dyDescent="0.25">
      <c r="A341" s="798">
        <v>43973</v>
      </c>
      <c r="B341" s="759" t="s">
        <v>125</v>
      </c>
      <c r="C341" s="799" t="s">
        <v>95</v>
      </c>
      <c r="D341" s="759">
        <v>38.079859999999996</v>
      </c>
      <c r="E341" s="759">
        <v>-121.57080000000001</v>
      </c>
      <c r="F341" s="759" t="s">
        <v>2214</v>
      </c>
      <c r="G341" s="759" t="s">
        <v>90</v>
      </c>
      <c r="H341" s="759" t="s">
        <v>1767</v>
      </c>
      <c r="I341" s="800">
        <v>0.4375</v>
      </c>
      <c r="J341" s="759" t="s">
        <v>28</v>
      </c>
      <c r="K341" s="759" t="s">
        <v>29</v>
      </c>
      <c r="L341" s="759" t="s">
        <v>30</v>
      </c>
      <c r="M341" s="759">
        <v>2</v>
      </c>
      <c r="N341" s="759">
        <v>10</v>
      </c>
      <c r="O341" s="802">
        <v>49.6</v>
      </c>
      <c r="P341" s="802">
        <v>225.5</v>
      </c>
      <c r="Q341" s="802" t="s">
        <v>50</v>
      </c>
      <c r="R341" s="802">
        <v>1.8</v>
      </c>
      <c r="S341" s="802">
        <v>4.5399999999999991</v>
      </c>
      <c r="T341" s="802" t="s">
        <v>50</v>
      </c>
      <c r="U341" s="759" t="s">
        <v>50</v>
      </c>
      <c r="V341" s="759" t="s">
        <v>50</v>
      </c>
      <c r="W341" s="759" t="s">
        <v>50</v>
      </c>
      <c r="X341" s="803"/>
      <c r="Y341" s="763" t="s">
        <v>32</v>
      </c>
    </row>
    <row r="342" spans="1:25" x14ac:dyDescent="0.25">
      <c r="A342" s="711">
        <v>43977</v>
      </c>
      <c r="B342" s="37" t="s">
        <v>849</v>
      </c>
      <c r="C342" s="693" t="s">
        <v>62</v>
      </c>
      <c r="D342" s="37">
        <v>38.118819999999999</v>
      </c>
      <c r="E342" s="37">
        <v>-121.9088</v>
      </c>
      <c r="F342" s="37" t="s">
        <v>2215</v>
      </c>
      <c r="G342" s="37" t="s">
        <v>27</v>
      </c>
      <c r="H342" s="37" t="s">
        <v>62</v>
      </c>
      <c r="I342" s="712">
        <v>0.35416666666666669</v>
      </c>
      <c r="J342" s="37" t="s">
        <v>28</v>
      </c>
      <c r="K342" s="37" t="s">
        <v>29</v>
      </c>
      <c r="L342" s="37" t="s">
        <v>30</v>
      </c>
      <c r="M342" s="37">
        <v>2</v>
      </c>
      <c r="N342" s="37">
        <v>10</v>
      </c>
      <c r="O342" s="91">
        <v>26.4</v>
      </c>
      <c r="P342" s="91">
        <v>2551</v>
      </c>
      <c r="Q342" s="91" t="s">
        <v>50</v>
      </c>
      <c r="R342" s="91">
        <v>0.45999999999999996</v>
      </c>
      <c r="S342" s="91">
        <v>17</v>
      </c>
      <c r="T342" s="91" t="s">
        <v>50</v>
      </c>
      <c r="U342" s="37" t="s">
        <v>50</v>
      </c>
      <c r="V342" s="37" t="s">
        <v>50</v>
      </c>
      <c r="W342" s="37" t="s">
        <v>50</v>
      </c>
      <c r="Y342" s="750" t="s">
        <v>32</v>
      </c>
    </row>
    <row r="343" spans="1:25" x14ac:dyDescent="0.25">
      <c r="A343" s="711">
        <v>43977</v>
      </c>
      <c r="B343" s="37" t="s">
        <v>849</v>
      </c>
      <c r="C343" s="693" t="s">
        <v>62</v>
      </c>
      <c r="D343" s="37">
        <v>38.187269999999998</v>
      </c>
      <c r="E343" s="37">
        <v>-121.97981</v>
      </c>
      <c r="F343" s="37" t="s">
        <v>2216</v>
      </c>
      <c r="G343" s="37" t="s">
        <v>27</v>
      </c>
      <c r="H343" s="37" t="s">
        <v>62</v>
      </c>
      <c r="I343" s="712">
        <v>0.39166666666666666</v>
      </c>
      <c r="J343" s="37" t="s">
        <v>28</v>
      </c>
      <c r="K343" s="37" t="s">
        <v>29</v>
      </c>
      <c r="L343" s="37" t="s">
        <v>30</v>
      </c>
      <c r="M343" s="37">
        <v>2</v>
      </c>
      <c r="N343" s="37">
        <v>10</v>
      </c>
      <c r="O343" s="91">
        <v>29.4</v>
      </c>
      <c r="P343" s="91">
        <v>2212.5</v>
      </c>
      <c r="Q343" s="91" t="s">
        <v>50</v>
      </c>
      <c r="R343" s="91">
        <v>0.35499999999999998</v>
      </c>
      <c r="S343" s="91">
        <v>37.75</v>
      </c>
      <c r="T343" s="91" t="s">
        <v>50</v>
      </c>
      <c r="U343" s="37" t="s">
        <v>50</v>
      </c>
      <c r="V343" s="37" t="s">
        <v>50</v>
      </c>
      <c r="W343" s="37" t="s">
        <v>50</v>
      </c>
      <c r="Y343" s="750" t="s">
        <v>32</v>
      </c>
    </row>
    <row r="344" spans="1:25" s="714" customFormat="1" x14ac:dyDescent="0.25">
      <c r="A344" s="713">
        <v>43977</v>
      </c>
      <c r="B344" s="714" t="s">
        <v>849</v>
      </c>
      <c r="C344" s="715" t="s">
        <v>62</v>
      </c>
      <c r="D344" s="714">
        <v>38.108499999999999</v>
      </c>
      <c r="E344" s="714">
        <v>-122.05994</v>
      </c>
      <c r="F344" s="714" t="s">
        <v>2217</v>
      </c>
      <c r="G344" s="714" t="s">
        <v>27</v>
      </c>
      <c r="H344" s="714" t="s">
        <v>173</v>
      </c>
      <c r="I344" s="751">
        <v>0.43541666666666662</v>
      </c>
      <c r="J344" s="714" t="s">
        <v>28</v>
      </c>
      <c r="K344" s="714" t="s">
        <v>29</v>
      </c>
      <c r="L344" s="714" t="s">
        <v>30</v>
      </c>
      <c r="M344" s="714">
        <v>0</v>
      </c>
      <c r="N344" s="714" t="s">
        <v>50</v>
      </c>
      <c r="O344" s="752" t="s">
        <v>50</v>
      </c>
      <c r="P344" s="752" t="s">
        <v>50</v>
      </c>
      <c r="Q344" s="752" t="s">
        <v>50</v>
      </c>
      <c r="R344" s="752" t="s">
        <v>50</v>
      </c>
      <c r="S344" s="752" t="s">
        <v>50</v>
      </c>
      <c r="T344" s="752" t="s">
        <v>50</v>
      </c>
      <c r="U344" s="714" t="s">
        <v>50</v>
      </c>
      <c r="V344" s="714" t="s">
        <v>50</v>
      </c>
      <c r="W344" s="714" t="s">
        <v>50</v>
      </c>
      <c r="X344" s="720" t="s">
        <v>1822</v>
      </c>
      <c r="Y344" s="750" t="s">
        <v>32</v>
      </c>
    </row>
    <row r="345" spans="1:25" s="714" customFormat="1" x14ac:dyDescent="0.25">
      <c r="A345" s="713">
        <v>43977</v>
      </c>
      <c r="B345" s="714" t="s">
        <v>849</v>
      </c>
      <c r="C345" s="715" t="s">
        <v>62</v>
      </c>
      <c r="D345" s="714">
        <v>38.110370000000003</v>
      </c>
      <c r="E345" s="714">
        <v>-122.05540000000001</v>
      </c>
      <c r="F345" s="714" t="s">
        <v>2218</v>
      </c>
      <c r="G345" s="714" t="s">
        <v>27</v>
      </c>
      <c r="H345" s="714" t="s">
        <v>173</v>
      </c>
      <c r="I345" s="751">
        <v>0.4381944444444445</v>
      </c>
      <c r="J345" s="714" t="s">
        <v>28</v>
      </c>
      <c r="K345" s="714" t="s">
        <v>29</v>
      </c>
      <c r="L345" s="714" t="s">
        <v>30</v>
      </c>
      <c r="M345" s="714">
        <v>0</v>
      </c>
      <c r="N345" s="714" t="s">
        <v>50</v>
      </c>
      <c r="O345" s="752" t="s">
        <v>50</v>
      </c>
      <c r="P345" s="752" t="s">
        <v>50</v>
      </c>
      <c r="Q345" s="752" t="s">
        <v>50</v>
      </c>
      <c r="R345" s="752" t="s">
        <v>50</v>
      </c>
      <c r="S345" s="752" t="s">
        <v>50</v>
      </c>
      <c r="T345" s="752" t="s">
        <v>50</v>
      </c>
      <c r="U345" s="714" t="s">
        <v>50</v>
      </c>
      <c r="V345" s="714" t="s">
        <v>50</v>
      </c>
      <c r="W345" s="714" t="s">
        <v>50</v>
      </c>
      <c r="X345" s="720" t="s">
        <v>1822</v>
      </c>
      <c r="Y345" s="750" t="s">
        <v>32</v>
      </c>
    </row>
    <row r="346" spans="1:25" x14ac:dyDescent="0.25">
      <c r="A346" s="711">
        <v>43977</v>
      </c>
      <c r="B346" s="37" t="s">
        <v>849</v>
      </c>
      <c r="C346" s="693" t="s">
        <v>62</v>
      </c>
      <c r="D346" s="37">
        <v>38.166110000000003</v>
      </c>
      <c r="E346" s="37">
        <v>-122.0663</v>
      </c>
      <c r="F346" s="37" t="s">
        <v>2219</v>
      </c>
      <c r="G346" s="37" t="s">
        <v>27</v>
      </c>
      <c r="H346" s="37" t="s">
        <v>62</v>
      </c>
      <c r="I346" s="712">
        <v>0.4458333333333333</v>
      </c>
      <c r="J346" s="37" t="s">
        <v>28</v>
      </c>
      <c r="K346" s="37" t="s">
        <v>29</v>
      </c>
      <c r="L346" s="37" t="s">
        <v>30</v>
      </c>
      <c r="M346" s="37">
        <v>2</v>
      </c>
      <c r="N346" s="37">
        <v>10</v>
      </c>
      <c r="O346" s="91">
        <v>25.4</v>
      </c>
      <c r="P346" s="91">
        <v>4193</v>
      </c>
      <c r="Q346" s="91" t="s">
        <v>50</v>
      </c>
      <c r="R346" s="91">
        <v>0.255</v>
      </c>
      <c r="S346" s="91">
        <v>63.6</v>
      </c>
      <c r="T346" s="91" t="s">
        <v>50</v>
      </c>
      <c r="U346" s="37" t="s">
        <v>50</v>
      </c>
      <c r="V346" s="37" t="s">
        <v>50</v>
      </c>
      <c r="W346" s="37" t="s">
        <v>50</v>
      </c>
      <c r="X346" s="698" t="s">
        <v>2220</v>
      </c>
      <c r="Y346" s="750" t="s">
        <v>32</v>
      </c>
    </row>
    <row r="347" spans="1:25" x14ac:dyDescent="0.25">
      <c r="A347" s="711">
        <v>43977</v>
      </c>
      <c r="B347" s="37" t="s">
        <v>849</v>
      </c>
      <c r="C347" s="693" t="s">
        <v>845</v>
      </c>
      <c r="D347" s="37">
        <v>38.282820000000001</v>
      </c>
      <c r="E347" s="37">
        <v>-121.71393999999999</v>
      </c>
      <c r="F347" s="37" t="s">
        <v>2221</v>
      </c>
      <c r="G347" s="37" t="s">
        <v>90</v>
      </c>
      <c r="H347" s="37" t="s">
        <v>126</v>
      </c>
      <c r="I347" s="712">
        <v>0.38194444444444442</v>
      </c>
      <c r="J347" s="37" t="s">
        <v>28</v>
      </c>
      <c r="K347" s="37" t="s">
        <v>29</v>
      </c>
      <c r="L347" s="37" t="s">
        <v>30</v>
      </c>
      <c r="M347" s="37">
        <v>2</v>
      </c>
      <c r="N347" s="37">
        <v>10</v>
      </c>
      <c r="O347" s="91">
        <v>11.95</v>
      </c>
      <c r="P347" s="91">
        <v>188.7</v>
      </c>
      <c r="Q347" s="91" t="s">
        <v>50</v>
      </c>
      <c r="R347" s="91">
        <v>1.8</v>
      </c>
      <c r="S347" s="91">
        <v>2.335</v>
      </c>
      <c r="T347" s="91" t="s">
        <v>50</v>
      </c>
      <c r="U347" s="37" t="s">
        <v>50</v>
      </c>
      <c r="V347" s="37" t="s">
        <v>50</v>
      </c>
      <c r="W347" s="37" t="s">
        <v>50</v>
      </c>
      <c r="X347" s="698" t="s">
        <v>2222</v>
      </c>
      <c r="Y347" s="750" t="s">
        <v>32</v>
      </c>
    </row>
    <row r="348" spans="1:25" x14ac:dyDescent="0.25">
      <c r="A348" s="711">
        <v>43977</v>
      </c>
      <c r="B348" s="37" t="s">
        <v>849</v>
      </c>
      <c r="C348" s="693" t="s">
        <v>845</v>
      </c>
      <c r="D348" s="37">
        <v>38.269370000000002</v>
      </c>
      <c r="E348" s="37">
        <v>-121.70202999999999</v>
      </c>
      <c r="F348" s="37" t="s">
        <v>2223</v>
      </c>
      <c r="G348" s="37" t="s">
        <v>90</v>
      </c>
      <c r="H348" s="37" t="s">
        <v>126</v>
      </c>
      <c r="I348" s="712">
        <v>0.42430555555555555</v>
      </c>
      <c r="J348" s="37" t="s">
        <v>28</v>
      </c>
      <c r="K348" s="37" t="s">
        <v>29</v>
      </c>
      <c r="L348" s="37" t="s">
        <v>30</v>
      </c>
      <c r="M348" s="37">
        <v>2</v>
      </c>
      <c r="N348" s="37">
        <v>10</v>
      </c>
      <c r="O348" s="91">
        <v>9.35</v>
      </c>
      <c r="P348" s="91">
        <v>183.8</v>
      </c>
      <c r="Q348" s="91" t="s">
        <v>50</v>
      </c>
      <c r="R348" s="91">
        <v>1.8</v>
      </c>
      <c r="S348" s="91">
        <v>3.68</v>
      </c>
      <c r="T348" s="91" t="s">
        <v>50</v>
      </c>
      <c r="U348" s="37" t="s">
        <v>50</v>
      </c>
      <c r="V348" s="37" t="s">
        <v>50</v>
      </c>
      <c r="W348" s="37" t="s">
        <v>50</v>
      </c>
      <c r="Y348" s="750" t="s">
        <v>32</v>
      </c>
    </row>
    <row r="349" spans="1:25" x14ac:dyDescent="0.25">
      <c r="A349" s="711">
        <v>43977</v>
      </c>
      <c r="B349" s="37" t="s">
        <v>849</v>
      </c>
      <c r="C349" s="693" t="s">
        <v>845</v>
      </c>
      <c r="D349" s="37">
        <v>38.249029999999998</v>
      </c>
      <c r="E349" s="37">
        <v>-121.68692</v>
      </c>
      <c r="F349" s="37" t="s">
        <v>2224</v>
      </c>
      <c r="G349" s="37" t="s">
        <v>90</v>
      </c>
      <c r="H349" s="37" t="s">
        <v>126</v>
      </c>
      <c r="I349" s="712">
        <v>0.45208333333333334</v>
      </c>
      <c r="J349" s="37" t="s">
        <v>28</v>
      </c>
      <c r="K349" s="37" t="s">
        <v>29</v>
      </c>
      <c r="L349" s="37" t="s">
        <v>30</v>
      </c>
      <c r="M349" s="37">
        <v>2</v>
      </c>
      <c r="N349" s="37">
        <v>10</v>
      </c>
      <c r="O349" s="91">
        <v>22.950000000000003</v>
      </c>
      <c r="P349" s="91">
        <v>172.95</v>
      </c>
      <c r="Q349" s="91" t="s">
        <v>50</v>
      </c>
      <c r="R349" s="91">
        <v>1.8</v>
      </c>
      <c r="S349" s="91">
        <v>7.3849999999999998</v>
      </c>
      <c r="T349" s="91" t="s">
        <v>50</v>
      </c>
      <c r="U349" s="37" t="s">
        <v>50</v>
      </c>
      <c r="V349" s="37" t="s">
        <v>50</v>
      </c>
      <c r="W349" s="37" t="s">
        <v>50</v>
      </c>
      <c r="Y349" s="750" t="s">
        <v>32</v>
      </c>
    </row>
    <row r="350" spans="1:25" x14ac:dyDescent="0.25">
      <c r="A350" s="711">
        <v>43977</v>
      </c>
      <c r="B350" s="37" t="s">
        <v>849</v>
      </c>
      <c r="C350" s="693" t="s">
        <v>845</v>
      </c>
      <c r="D350" s="37">
        <v>38.252220000000001</v>
      </c>
      <c r="E350" s="37">
        <v>-121.723</v>
      </c>
      <c r="F350" s="37" t="s">
        <v>2225</v>
      </c>
      <c r="G350" s="37" t="s">
        <v>90</v>
      </c>
      <c r="H350" s="37" t="s">
        <v>126</v>
      </c>
      <c r="I350" s="712">
        <v>0.49027777777777781</v>
      </c>
      <c r="J350" s="37" t="s">
        <v>28</v>
      </c>
      <c r="K350" s="37" t="s">
        <v>29</v>
      </c>
      <c r="L350" s="37" t="s">
        <v>30</v>
      </c>
      <c r="M350" s="37">
        <v>2</v>
      </c>
      <c r="N350" s="37">
        <v>10</v>
      </c>
      <c r="O350" s="91">
        <v>11.149999999999999</v>
      </c>
      <c r="P350" s="91">
        <v>192.05</v>
      </c>
      <c r="Q350" s="91" t="s">
        <v>50</v>
      </c>
      <c r="R350" s="91">
        <v>1.75</v>
      </c>
      <c r="S350" s="91">
        <v>8.2050000000000001</v>
      </c>
      <c r="T350" s="91" t="s">
        <v>50</v>
      </c>
      <c r="U350" s="37" t="s">
        <v>50</v>
      </c>
      <c r="V350" s="37" t="s">
        <v>50</v>
      </c>
      <c r="W350" s="37" t="s">
        <v>50</v>
      </c>
      <c r="Y350" s="750" t="s">
        <v>32</v>
      </c>
    </row>
    <row r="351" spans="1:25" x14ac:dyDescent="0.25">
      <c r="A351" s="711">
        <v>43977</v>
      </c>
      <c r="B351" s="37" t="s">
        <v>849</v>
      </c>
      <c r="C351" s="693" t="s">
        <v>845</v>
      </c>
      <c r="D351" s="37">
        <v>38.262239999999998</v>
      </c>
      <c r="E351" s="37">
        <v>-121.69535</v>
      </c>
      <c r="F351" s="37" t="s">
        <v>2226</v>
      </c>
      <c r="G351" s="37" t="s">
        <v>90</v>
      </c>
      <c r="H351" s="37" t="s">
        <v>126</v>
      </c>
      <c r="I351" s="712">
        <v>0.52638888888888891</v>
      </c>
      <c r="J351" s="37" t="s">
        <v>28</v>
      </c>
      <c r="K351" s="37" t="s">
        <v>29</v>
      </c>
      <c r="L351" s="37" t="s">
        <v>30</v>
      </c>
      <c r="M351" s="37">
        <v>2</v>
      </c>
      <c r="N351" s="37">
        <v>10</v>
      </c>
      <c r="O351" s="91">
        <v>9.8999999999999986</v>
      </c>
      <c r="P351" s="91">
        <v>185.39999999999998</v>
      </c>
      <c r="Q351" s="91" t="s">
        <v>50</v>
      </c>
      <c r="R351" s="91">
        <v>1.8</v>
      </c>
      <c r="S351" s="91">
        <v>3.7949999999999999</v>
      </c>
      <c r="T351" s="91" t="s">
        <v>50</v>
      </c>
      <c r="U351" s="37" t="s">
        <v>50</v>
      </c>
      <c r="V351" s="37" t="s">
        <v>50</v>
      </c>
      <c r="W351" s="37" t="s">
        <v>50</v>
      </c>
      <c r="Y351" s="750" t="s">
        <v>32</v>
      </c>
    </row>
    <row r="352" spans="1:25" x14ac:dyDescent="0.25">
      <c r="A352" s="711">
        <v>43977</v>
      </c>
      <c r="B352" s="37" t="s">
        <v>849</v>
      </c>
      <c r="C352" s="693" t="s">
        <v>845</v>
      </c>
      <c r="D352" s="37">
        <v>38.29889</v>
      </c>
      <c r="E352" s="37">
        <v>-121.69181</v>
      </c>
      <c r="F352" s="37" t="s">
        <v>2227</v>
      </c>
      <c r="G352" s="37" t="s">
        <v>90</v>
      </c>
      <c r="H352" s="37" t="s">
        <v>126</v>
      </c>
      <c r="I352" s="712">
        <v>0.55486111111111114</v>
      </c>
      <c r="J352" s="37" t="s">
        <v>28</v>
      </c>
      <c r="K352" s="37" t="s">
        <v>29</v>
      </c>
      <c r="L352" s="37" t="s">
        <v>30</v>
      </c>
      <c r="M352" s="37">
        <v>2</v>
      </c>
      <c r="N352" s="37">
        <v>10</v>
      </c>
      <c r="O352" s="91">
        <v>18.299999999999997</v>
      </c>
      <c r="P352" s="91">
        <v>311.25</v>
      </c>
      <c r="Q352" s="91" t="s">
        <v>50</v>
      </c>
      <c r="R352" s="91">
        <v>1.8</v>
      </c>
      <c r="S352" s="91">
        <v>4.7850000000000001</v>
      </c>
      <c r="T352" s="91" t="s">
        <v>50</v>
      </c>
      <c r="U352" s="37" t="s">
        <v>50</v>
      </c>
      <c r="V352" s="37" t="s">
        <v>50</v>
      </c>
      <c r="W352" s="37" t="s">
        <v>50</v>
      </c>
      <c r="Y352" s="750" t="s">
        <v>32</v>
      </c>
    </row>
    <row r="353" spans="1:25" x14ac:dyDescent="0.25">
      <c r="A353" s="711">
        <v>43978</v>
      </c>
      <c r="B353" s="37" t="s">
        <v>915</v>
      </c>
      <c r="C353" s="693" t="s">
        <v>88</v>
      </c>
      <c r="D353" s="37">
        <v>38.179259999999999</v>
      </c>
      <c r="E353" s="37">
        <v>-121.66418</v>
      </c>
      <c r="F353" s="37" t="s">
        <v>2228</v>
      </c>
      <c r="G353" s="37" t="s">
        <v>90</v>
      </c>
      <c r="H353" s="37" t="s">
        <v>91</v>
      </c>
      <c r="I353" s="712">
        <v>0.32916666666666666</v>
      </c>
      <c r="J353" s="37" t="s">
        <v>28</v>
      </c>
      <c r="K353" s="37" t="s">
        <v>29</v>
      </c>
      <c r="L353" s="37" t="s">
        <v>30</v>
      </c>
      <c r="M353" s="37">
        <v>2</v>
      </c>
      <c r="N353" s="37">
        <v>10</v>
      </c>
      <c r="O353" s="91">
        <v>63.45</v>
      </c>
      <c r="P353" s="91">
        <v>182.89999999999998</v>
      </c>
      <c r="Q353" s="91" t="s">
        <v>50</v>
      </c>
      <c r="R353" s="91">
        <v>1.8</v>
      </c>
      <c r="S353" s="91">
        <v>3.5049999999999999</v>
      </c>
      <c r="T353" s="91" t="s">
        <v>50</v>
      </c>
      <c r="U353" s="37" t="s">
        <v>50</v>
      </c>
      <c r="V353" s="37" t="s">
        <v>50</v>
      </c>
      <c r="W353" s="37" t="s">
        <v>50</v>
      </c>
      <c r="Y353" s="750" t="s">
        <v>32</v>
      </c>
    </row>
    <row r="354" spans="1:25" x14ac:dyDescent="0.25">
      <c r="A354" s="711">
        <v>43978</v>
      </c>
      <c r="B354" s="37" t="s">
        <v>915</v>
      </c>
      <c r="C354" s="693" t="s">
        <v>88</v>
      </c>
      <c r="D354" s="37">
        <v>38.071440000000003</v>
      </c>
      <c r="E354" s="37">
        <v>-121.83887</v>
      </c>
      <c r="F354" s="37" t="s">
        <v>2229</v>
      </c>
      <c r="G354" s="37" t="s">
        <v>27</v>
      </c>
      <c r="H354" s="37" t="s">
        <v>25</v>
      </c>
      <c r="I354" s="712">
        <v>0.3840277777777778</v>
      </c>
      <c r="J354" s="37" t="s">
        <v>28</v>
      </c>
      <c r="K354" s="37" t="s">
        <v>29</v>
      </c>
      <c r="L354" s="37" t="s">
        <v>30</v>
      </c>
      <c r="M354" s="37">
        <v>2</v>
      </c>
      <c r="N354" s="37">
        <v>10</v>
      </c>
      <c r="O354" s="91">
        <v>21.950000000000003</v>
      </c>
      <c r="P354" s="91">
        <v>3980.5</v>
      </c>
      <c r="Q354" s="91" t="s">
        <v>50</v>
      </c>
      <c r="R354" s="91">
        <v>0.6399999999999999</v>
      </c>
      <c r="S354" s="91">
        <v>15.899999999999999</v>
      </c>
      <c r="T354" s="91" t="s">
        <v>50</v>
      </c>
      <c r="U354" s="37" t="s">
        <v>50</v>
      </c>
      <c r="V354" s="37" t="s">
        <v>50</v>
      </c>
      <c r="W354" s="37" t="s">
        <v>50</v>
      </c>
      <c r="Y354" s="750" t="s">
        <v>32</v>
      </c>
    </row>
    <row r="355" spans="1:25" x14ac:dyDescent="0.25">
      <c r="A355" s="711">
        <v>43978</v>
      </c>
      <c r="B355" s="37" t="s">
        <v>915</v>
      </c>
      <c r="C355" s="693" t="s">
        <v>88</v>
      </c>
      <c r="D355" s="37">
        <v>38.075069999999997</v>
      </c>
      <c r="E355" s="37">
        <v>-121.76130999999999</v>
      </c>
      <c r="F355" s="37" t="s">
        <v>2230</v>
      </c>
      <c r="G355" s="37" t="s">
        <v>27</v>
      </c>
      <c r="H355" s="37" t="s">
        <v>25</v>
      </c>
      <c r="I355" s="712">
        <v>0.41736111111111113</v>
      </c>
      <c r="J355" s="37" t="s">
        <v>28</v>
      </c>
      <c r="K355" s="37" t="s">
        <v>29</v>
      </c>
      <c r="L355" s="37" t="s">
        <v>30</v>
      </c>
      <c r="M355" s="37">
        <v>2</v>
      </c>
      <c r="N355" s="37">
        <v>10</v>
      </c>
      <c r="O355" s="91">
        <v>28.35</v>
      </c>
      <c r="P355" s="91">
        <v>560</v>
      </c>
      <c r="Q355" s="91" t="s">
        <v>50</v>
      </c>
      <c r="R355" s="91">
        <v>0.98</v>
      </c>
      <c r="S355" s="91">
        <v>12.6</v>
      </c>
      <c r="T355" s="91" t="s">
        <v>50</v>
      </c>
      <c r="U355" s="37" t="s">
        <v>50</v>
      </c>
      <c r="V355" s="37" t="s">
        <v>50</v>
      </c>
      <c r="W355" s="37" t="s">
        <v>50</v>
      </c>
      <c r="Y355" s="750" t="s">
        <v>32</v>
      </c>
    </row>
    <row r="356" spans="1:25" x14ac:dyDescent="0.25">
      <c r="A356" s="711">
        <v>43978</v>
      </c>
      <c r="B356" s="37" t="s">
        <v>915</v>
      </c>
      <c r="C356" s="693" t="s">
        <v>88</v>
      </c>
      <c r="D356" s="37">
        <v>38.055840000000003</v>
      </c>
      <c r="E356" s="37">
        <v>-121.80101999999999</v>
      </c>
      <c r="F356" s="37" t="s">
        <v>2231</v>
      </c>
      <c r="G356" s="37" t="s">
        <v>27</v>
      </c>
      <c r="H356" s="37" t="s">
        <v>25</v>
      </c>
      <c r="I356" s="712">
        <v>0.44791666666666669</v>
      </c>
      <c r="J356" s="37" t="s">
        <v>28</v>
      </c>
      <c r="K356" s="37" t="s">
        <v>29</v>
      </c>
      <c r="L356" s="37" t="s">
        <v>30</v>
      </c>
      <c r="M356" s="37">
        <v>2</v>
      </c>
      <c r="N356" s="37">
        <v>10</v>
      </c>
      <c r="O356" s="91">
        <v>25.6</v>
      </c>
      <c r="P356" s="91">
        <v>1011.5</v>
      </c>
      <c r="Q356" s="91" t="s">
        <v>50</v>
      </c>
      <c r="R356" s="91">
        <v>0.96</v>
      </c>
      <c r="S356" s="91">
        <v>9.0949999999999989</v>
      </c>
      <c r="T356" s="91" t="s">
        <v>50</v>
      </c>
      <c r="U356" s="37" t="s">
        <v>50</v>
      </c>
      <c r="V356" s="37" t="s">
        <v>50</v>
      </c>
      <c r="W356" s="37" t="s">
        <v>50</v>
      </c>
      <c r="Y356" s="750" t="s">
        <v>32</v>
      </c>
    </row>
    <row r="357" spans="1:25" x14ac:dyDescent="0.25">
      <c r="A357" s="711">
        <v>43978</v>
      </c>
      <c r="B357" s="37" t="s">
        <v>915</v>
      </c>
      <c r="C357" s="693" t="s">
        <v>88</v>
      </c>
      <c r="D357" s="37">
        <v>38.135159999999999</v>
      </c>
      <c r="E357" s="37">
        <v>-121.68773</v>
      </c>
      <c r="F357" s="37" t="s">
        <v>2232</v>
      </c>
      <c r="G357" s="37" t="s">
        <v>90</v>
      </c>
      <c r="H357" s="37" t="s">
        <v>91</v>
      </c>
      <c r="I357" s="712">
        <v>0.4861111111111111</v>
      </c>
      <c r="J357" s="37" t="s">
        <v>28</v>
      </c>
      <c r="K357" s="37" t="s">
        <v>29</v>
      </c>
      <c r="L357" s="37" t="s">
        <v>30</v>
      </c>
      <c r="M357" s="37">
        <v>2</v>
      </c>
      <c r="N357" s="37">
        <v>10</v>
      </c>
      <c r="O357" s="91">
        <v>10.85</v>
      </c>
      <c r="P357" s="91">
        <v>173.3</v>
      </c>
      <c r="Q357" s="91" t="s">
        <v>50</v>
      </c>
      <c r="R357" s="91">
        <v>1.75</v>
      </c>
      <c r="S357" s="91">
        <v>9.4749999999999996</v>
      </c>
      <c r="T357" s="91" t="s">
        <v>50</v>
      </c>
      <c r="U357" s="37" t="s">
        <v>50</v>
      </c>
      <c r="V357" s="37" t="s">
        <v>50</v>
      </c>
      <c r="W357" s="37" t="s">
        <v>50</v>
      </c>
      <c r="Y357" s="750" t="s">
        <v>32</v>
      </c>
    </row>
    <row r="358" spans="1:25" x14ac:dyDescent="0.25">
      <c r="A358" s="711">
        <v>43978</v>
      </c>
      <c r="B358" s="37" t="s">
        <v>915</v>
      </c>
      <c r="C358" s="693" t="s">
        <v>78</v>
      </c>
      <c r="D358" s="37">
        <v>38.051920000000003</v>
      </c>
      <c r="E358" s="37">
        <v>-121.83562000000001</v>
      </c>
      <c r="F358" s="37" t="s">
        <v>2233</v>
      </c>
      <c r="G358" s="37" t="s">
        <v>27</v>
      </c>
      <c r="H358" s="37" t="s">
        <v>101</v>
      </c>
      <c r="I358" s="712">
        <v>0.35902777777777778</v>
      </c>
      <c r="J358" s="37" t="s">
        <v>28</v>
      </c>
      <c r="K358" s="37" t="s">
        <v>29</v>
      </c>
      <c r="L358" s="37" t="s">
        <v>30</v>
      </c>
      <c r="M358" s="37">
        <v>2</v>
      </c>
      <c r="N358" s="37">
        <v>10</v>
      </c>
      <c r="O358" s="91">
        <v>33.15</v>
      </c>
      <c r="P358" s="91">
        <v>3160.5</v>
      </c>
      <c r="Q358" s="91" t="s">
        <v>50</v>
      </c>
      <c r="R358" s="91">
        <v>0.73</v>
      </c>
      <c r="S358" s="91">
        <v>15.05</v>
      </c>
      <c r="T358" s="91" t="s">
        <v>50</v>
      </c>
      <c r="U358" s="37" t="s">
        <v>50</v>
      </c>
      <c r="V358" s="37" t="s">
        <v>50</v>
      </c>
      <c r="W358" s="37" t="s">
        <v>50</v>
      </c>
      <c r="Y358" s="750" t="s">
        <v>32</v>
      </c>
    </row>
    <row r="359" spans="1:25" x14ac:dyDescent="0.25">
      <c r="A359" s="711">
        <v>43978</v>
      </c>
      <c r="B359" s="37" t="s">
        <v>915</v>
      </c>
      <c r="C359" s="693" t="s">
        <v>78</v>
      </c>
      <c r="D359" s="37">
        <v>38.081339999999997</v>
      </c>
      <c r="E359" s="37">
        <v>-122.08794</v>
      </c>
      <c r="F359" s="37" t="s">
        <v>2234</v>
      </c>
      <c r="G359" s="37" t="s">
        <v>80</v>
      </c>
      <c r="H359" s="37" t="s">
        <v>81</v>
      </c>
      <c r="I359" s="712">
        <v>0.41111111111111115</v>
      </c>
      <c r="J359" s="37" t="s">
        <v>28</v>
      </c>
      <c r="K359" s="37" t="s">
        <v>29</v>
      </c>
      <c r="L359" s="37" t="s">
        <v>30</v>
      </c>
      <c r="M359" s="37">
        <v>2</v>
      </c>
      <c r="N359" s="37">
        <v>10</v>
      </c>
      <c r="O359" s="91">
        <v>27.1</v>
      </c>
      <c r="P359" s="91">
        <v>11918.5</v>
      </c>
      <c r="Q359" s="91" t="s">
        <v>50</v>
      </c>
      <c r="R359" s="91">
        <v>0.27500000000000002</v>
      </c>
      <c r="S359" s="91">
        <v>62</v>
      </c>
      <c r="T359" s="91" t="s">
        <v>50</v>
      </c>
      <c r="U359" s="37" t="s">
        <v>50</v>
      </c>
      <c r="V359" s="37" t="s">
        <v>50</v>
      </c>
      <c r="W359" s="37" t="s">
        <v>50</v>
      </c>
      <c r="Y359" s="750" t="s">
        <v>32</v>
      </c>
    </row>
    <row r="360" spans="1:25" x14ac:dyDescent="0.25">
      <c r="A360" s="711">
        <v>43978</v>
      </c>
      <c r="B360" s="37" t="s">
        <v>915</v>
      </c>
      <c r="C360" s="693" t="s">
        <v>78</v>
      </c>
      <c r="D360" s="37">
        <v>38.054090000000002</v>
      </c>
      <c r="E360" s="37">
        <v>-122.11002000000001</v>
      </c>
      <c r="F360" s="37" t="s">
        <v>2235</v>
      </c>
      <c r="G360" s="37" t="s">
        <v>80</v>
      </c>
      <c r="H360" s="37" t="s">
        <v>81</v>
      </c>
      <c r="I360" s="712">
        <v>0.4375</v>
      </c>
      <c r="J360" s="37" t="s">
        <v>28</v>
      </c>
      <c r="K360" s="37" t="s">
        <v>29</v>
      </c>
      <c r="L360" s="37" t="s">
        <v>30</v>
      </c>
      <c r="M360" s="37">
        <v>2</v>
      </c>
      <c r="N360" s="37">
        <v>10</v>
      </c>
      <c r="O360" s="91">
        <v>31.6</v>
      </c>
      <c r="P360" s="91">
        <v>13637.5</v>
      </c>
      <c r="Q360" s="91" t="s">
        <v>50</v>
      </c>
      <c r="R360" s="91">
        <v>0.44</v>
      </c>
      <c r="S360" s="91">
        <v>40.200000000000003</v>
      </c>
      <c r="T360" s="91" t="s">
        <v>50</v>
      </c>
      <c r="U360" s="37" t="s">
        <v>50</v>
      </c>
      <c r="V360" s="37" t="s">
        <v>50</v>
      </c>
      <c r="W360" s="37" t="s">
        <v>50</v>
      </c>
      <c r="Y360" s="750" t="s">
        <v>32</v>
      </c>
    </row>
    <row r="361" spans="1:25" x14ac:dyDescent="0.25">
      <c r="A361" s="711">
        <v>43978</v>
      </c>
      <c r="B361" s="37" t="s">
        <v>915</v>
      </c>
      <c r="C361" s="693" t="s">
        <v>78</v>
      </c>
      <c r="D361" s="37">
        <v>38.049289999999999</v>
      </c>
      <c r="E361" s="37">
        <v>-122.09412</v>
      </c>
      <c r="F361" s="37" t="s">
        <v>2236</v>
      </c>
      <c r="G361" s="37" t="s">
        <v>80</v>
      </c>
      <c r="H361" s="37" t="s">
        <v>81</v>
      </c>
      <c r="I361" s="712">
        <v>0.46666666666666662</v>
      </c>
      <c r="J361" s="37" t="s">
        <v>28</v>
      </c>
      <c r="K361" s="37" t="s">
        <v>29</v>
      </c>
      <c r="L361" s="37" t="s">
        <v>30</v>
      </c>
      <c r="M361" s="37">
        <v>2</v>
      </c>
      <c r="N361" s="37">
        <v>10</v>
      </c>
      <c r="O361" s="91">
        <v>54.15</v>
      </c>
      <c r="P361" s="91">
        <v>15455</v>
      </c>
      <c r="Q361" s="91" t="s">
        <v>50</v>
      </c>
      <c r="R361" s="91">
        <v>0.49</v>
      </c>
      <c r="S361" s="91">
        <v>32.950000000000003</v>
      </c>
      <c r="T361" s="91" t="s">
        <v>50</v>
      </c>
      <c r="U361" s="37" t="s">
        <v>50</v>
      </c>
      <c r="V361" s="37" t="s">
        <v>50</v>
      </c>
      <c r="W361" s="37" t="s">
        <v>50</v>
      </c>
      <c r="Y361" s="750" t="s">
        <v>32</v>
      </c>
    </row>
    <row r="362" spans="1:25" x14ac:dyDescent="0.25">
      <c r="A362" s="711">
        <v>43978</v>
      </c>
      <c r="B362" s="37" t="s">
        <v>915</v>
      </c>
      <c r="C362" s="693" t="s">
        <v>78</v>
      </c>
      <c r="D362" s="37">
        <v>38.051450000000003</v>
      </c>
      <c r="E362" s="37">
        <v>-121.97884999999999</v>
      </c>
      <c r="F362" s="37" t="s">
        <v>2237</v>
      </c>
      <c r="G362" s="37" t="s">
        <v>27</v>
      </c>
      <c r="H362" s="37" t="s">
        <v>86</v>
      </c>
      <c r="I362" s="712">
        <v>0.50416666666666665</v>
      </c>
      <c r="J362" s="37" t="s">
        <v>28</v>
      </c>
      <c r="K362" s="37" t="s">
        <v>29</v>
      </c>
      <c r="L362" s="37" t="s">
        <v>30</v>
      </c>
      <c r="M362" s="37">
        <v>2</v>
      </c>
      <c r="N362" s="37">
        <v>10</v>
      </c>
      <c r="O362" s="91">
        <v>8.4499999999999993</v>
      </c>
      <c r="P362" s="91">
        <v>7407</v>
      </c>
      <c r="Q362" s="91" t="s">
        <v>50</v>
      </c>
      <c r="R362" s="91">
        <v>0.59499999999999997</v>
      </c>
      <c r="S362" s="91">
        <v>33.65</v>
      </c>
      <c r="T362" s="91" t="s">
        <v>50</v>
      </c>
      <c r="U362" s="37" t="s">
        <v>50</v>
      </c>
      <c r="V362" s="37" t="s">
        <v>50</v>
      </c>
      <c r="W362" s="37" t="s">
        <v>50</v>
      </c>
      <c r="Y362" s="750" t="s">
        <v>32</v>
      </c>
    </row>
    <row r="363" spans="1:25" x14ac:dyDescent="0.25">
      <c r="A363" s="711">
        <v>43979</v>
      </c>
      <c r="B363" s="37" t="s">
        <v>876</v>
      </c>
      <c r="C363" s="693" t="s">
        <v>106</v>
      </c>
      <c r="D363" s="37">
        <v>38.185549999999999</v>
      </c>
      <c r="E363" s="37">
        <v>-121.65997</v>
      </c>
      <c r="F363" s="37" t="s">
        <v>2238</v>
      </c>
      <c r="G363" s="37" t="s">
        <v>90</v>
      </c>
      <c r="H363" s="37" t="s">
        <v>108</v>
      </c>
      <c r="I363" s="712">
        <v>0.34236111111111112</v>
      </c>
      <c r="J363" s="37" t="s">
        <v>28</v>
      </c>
      <c r="K363" s="37" t="s">
        <v>29</v>
      </c>
      <c r="L363" s="37" t="s">
        <v>30</v>
      </c>
      <c r="M363" s="37">
        <v>2</v>
      </c>
      <c r="N363" s="37">
        <v>10</v>
      </c>
      <c r="O363" s="91">
        <v>55.25</v>
      </c>
      <c r="P363" s="91">
        <v>169.45</v>
      </c>
      <c r="Q363" s="91" t="s">
        <v>50</v>
      </c>
      <c r="R363" s="91">
        <v>1.8</v>
      </c>
      <c r="S363" s="91">
        <v>4.47</v>
      </c>
      <c r="T363" s="91" t="s">
        <v>50</v>
      </c>
      <c r="U363" s="37" t="s">
        <v>50</v>
      </c>
      <c r="V363" s="37" t="s">
        <v>50</v>
      </c>
      <c r="W363" s="37" t="s">
        <v>50</v>
      </c>
      <c r="Y363" s="750" t="s">
        <v>32</v>
      </c>
    </row>
    <row r="364" spans="1:25" x14ac:dyDescent="0.25">
      <c r="A364" s="711">
        <v>43979</v>
      </c>
      <c r="B364" s="37" t="s">
        <v>876</v>
      </c>
      <c r="C364" s="693" t="s">
        <v>106</v>
      </c>
      <c r="D364" s="37">
        <v>38.223950000000002</v>
      </c>
      <c r="E364" s="37">
        <v>-121.67361</v>
      </c>
      <c r="F364" s="37" t="s">
        <v>2239</v>
      </c>
      <c r="G364" s="37" t="s">
        <v>90</v>
      </c>
      <c r="H364" s="37" t="s">
        <v>108</v>
      </c>
      <c r="I364" s="712">
        <v>0.37708333333333338</v>
      </c>
      <c r="J364" s="37" t="s">
        <v>28</v>
      </c>
      <c r="K364" s="37" t="s">
        <v>29</v>
      </c>
      <c r="L364" s="37" t="s">
        <v>30</v>
      </c>
      <c r="M364" s="37">
        <v>2</v>
      </c>
      <c r="N364" s="37">
        <v>10</v>
      </c>
      <c r="O364" s="91">
        <v>38.6</v>
      </c>
      <c r="P364" s="91">
        <v>160.05000000000001</v>
      </c>
      <c r="Q364" s="91" t="s">
        <v>50</v>
      </c>
      <c r="R364" s="91">
        <v>1.625</v>
      </c>
      <c r="S364" s="91">
        <v>5.7200000000000006</v>
      </c>
      <c r="T364" s="91" t="s">
        <v>50</v>
      </c>
      <c r="U364" s="37" t="s">
        <v>50</v>
      </c>
      <c r="V364" s="37" t="s">
        <v>50</v>
      </c>
      <c r="W364" s="37" t="s">
        <v>50</v>
      </c>
      <c r="Y364" s="750" t="s">
        <v>32</v>
      </c>
    </row>
    <row r="365" spans="1:25" x14ac:dyDescent="0.25">
      <c r="A365" s="711">
        <v>43979</v>
      </c>
      <c r="B365" s="37" t="s">
        <v>876</v>
      </c>
      <c r="C365" s="693" t="s">
        <v>106</v>
      </c>
      <c r="D365" s="37">
        <v>38.297370000000001</v>
      </c>
      <c r="E365" s="37">
        <v>-121.65569000000001</v>
      </c>
      <c r="F365" s="37" t="s">
        <v>2240</v>
      </c>
      <c r="G365" s="37" t="s">
        <v>90</v>
      </c>
      <c r="H365" s="37" t="s">
        <v>108</v>
      </c>
      <c r="I365" s="712">
        <v>0.4201388888888889</v>
      </c>
      <c r="J365" s="37" t="s">
        <v>28</v>
      </c>
      <c r="K365" s="37" t="s">
        <v>29</v>
      </c>
      <c r="L365" s="37" t="s">
        <v>30</v>
      </c>
      <c r="M365" s="37">
        <v>2</v>
      </c>
      <c r="N365" s="37">
        <v>10</v>
      </c>
      <c r="O365" s="91">
        <v>19.549999999999997</v>
      </c>
      <c r="P365" s="91">
        <v>189.3</v>
      </c>
      <c r="Q365" s="91" t="s">
        <v>50</v>
      </c>
      <c r="R365" s="91">
        <v>1.385</v>
      </c>
      <c r="S365" s="91">
        <v>7.67</v>
      </c>
      <c r="T365" s="91" t="s">
        <v>50</v>
      </c>
      <c r="U365" s="37" t="s">
        <v>50</v>
      </c>
      <c r="V365" s="37" t="s">
        <v>50</v>
      </c>
      <c r="W365" s="37" t="s">
        <v>50</v>
      </c>
      <c r="Y365" s="750" t="s">
        <v>32</v>
      </c>
    </row>
    <row r="366" spans="1:25" x14ac:dyDescent="0.25">
      <c r="A366" s="711">
        <v>43979</v>
      </c>
      <c r="B366" s="37" t="s">
        <v>876</v>
      </c>
      <c r="C366" s="693" t="s">
        <v>106</v>
      </c>
      <c r="D366" s="37">
        <v>38.324350000000003</v>
      </c>
      <c r="E366" s="37">
        <v>-121.64926</v>
      </c>
      <c r="F366" s="37" t="s">
        <v>2241</v>
      </c>
      <c r="G366" s="37" t="s">
        <v>90</v>
      </c>
      <c r="H366" s="37" t="s">
        <v>108</v>
      </c>
      <c r="I366" s="712">
        <v>0.45277777777777778</v>
      </c>
      <c r="J366" s="37" t="s">
        <v>28</v>
      </c>
      <c r="K366" s="37" t="s">
        <v>29</v>
      </c>
      <c r="L366" s="37" t="s">
        <v>30</v>
      </c>
      <c r="M366" s="37">
        <v>2</v>
      </c>
      <c r="N366" s="37">
        <v>10</v>
      </c>
      <c r="O366" s="91">
        <v>16.95</v>
      </c>
      <c r="P366" s="91">
        <v>266.45</v>
      </c>
      <c r="Q366" s="91" t="s">
        <v>50</v>
      </c>
      <c r="R366" s="91">
        <v>0.85</v>
      </c>
      <c r="S366" s="91">
        <v>11.6</v>
      </c>
      <c r="T366" s="91" t="s">
        <v>50</v>
      </c>
      <c r="U366" s="37" t="s">
        <v>50</v>
      </c>
      <c r="V366" s="37" t="s">
        <v>50</v>
      </c>
      <c r="W366" s="37" t="s">
        <v>50</v>
      </c>
      <c r="Y366" s="750" t="s">
        <v>32</v>
      </c>
    </row>
    <row r="367" spans="1:25" x14ac:dyDescent="0.25">
      <c r="A367" s="711">
        <v>43979</v>
      </c>
      <c r="B367" s="37" t="s">
        <v>876</v>
      </c>
      <c r="C367" s="693" t="s">
        <v>106</v>
      </c>
      <c r="D367" s="37">
        <v>38.239960000000004</v>
      </c>
      <c r="E367" s="37">
        <v>-121.67198999999999</v>
      </c>
      <c r="F367" s="37" t="s">
        <v>2242</v>
      </c>
      <c r="G367" s="37" t="s">
        <v>90</v>
      </c>
      <c r="H367" s="37" t="s">
        <v>108</v>
      </c>
      <c r="I367" s="712">
        <v>0.48819444444444443</v>
      </c>
      <c r="J367" s="37" t="s">
        <v>28</v>
      </c>
      <c r="K367" s="37" t="s">
        <v>29</v>
      </c>
      <c r="L367" s="37" t="s">
        <v>30</v>
      </c>
      <c r="M367" s="37">
        <v>2</v>
      </c>
      <c r="N367" s="37">
        <v>10</v>
      </c>
      <c r="O367" s="91">
        <v>13.05</v>
      </c>
      <c r="P367" s="91">
        <v>166.65</v>
      </c>
      <c r="Q367" s="91" t="s">
        <v>50</v>
      </c>
      <c r="R367" s="91">
        <v>1.8</v>
      </c>
      <c r="S367" s="91">
        <v>6.8150000000000004</v>
      </c>
      <c r="T367" s="91" t="s">
        <v>50</v>
      </c>
      <c r="U367" s="37" t="s">
        <v>50</v>
      </c>
      <c r="V367" s="37" t="s">
        <v>50</v>
      </c>
      <c r="W367" s="37" t="s">
        <v>50</v>
      </c>
      <c r="Y367" s="750" t="s">
        <v>32</v>
      </c>
    </row>
    <row r="368" spans="1:25" s="714" customFormat="1" x14ac:dyDescent="0.25">
      <c r="A368" s="713">
        <v>43979</v>
      </c>
      <c r="B368" s="714" t="s">
        <v>876</v>
      </c>
      <c r="C368" s="715" t="s">
        <v>62</v>
      </c>
      <c r="D368" s="714">
        <v>38.107379999999999</v>
      </c>
      <c r="E368" s="714">
        <v>-122.03599</v>
      </c>
      <c r="F368" s="714" t="s">
        <v>2243</v>
      </c>
      <c r="G368" s="714" t="s">
        <v>27</v>
      </c>
      <c r="H368" s="714" t="s">
        <v>173</v>
      </c>
      <c r="I368" s="751">
        <v>0.35138888888888892</v>
      </c>
      <c r="J368" s="714" t="s">
        <v>28</v>
      </c>
      <c r="K368" s="714" t="s">
        <v>29</v>
      </c>
      <c r="L368" s="714" t="s">
        <v>30</v>
      </c>
      <c r="M368" s="714">
        <v>0</v>
      </c>
      <c r="N368" s="714" t="s">
        <v>50</v>
      </c>
      <c r="O368" s="752" t="s">
        <v>50</v>
      </c>
      <c r="P368" s="752" t="s">
        <v>50</v>
      </c>
      <c r="Q368" s="752" t="s">
        <v>50</v>
      </c>
      <c r="R368" s="752" t="s">
        <v>50</v>
      </c>
      <c r="S368" s="752" t="s">
        <v>50</v>
      </c>
      <c r="T368" s="752" t="s">
        <v>50</v>
      </c>
      <c r="U368" s="714" t="s">
        <v>50</v>
      </c>
      <c r="V368" s="714" t="s">
        <v>50</v>
      </c>
      <c r="W368" s="714" t="s">
        <v>50</v>
      </c>
      <c r="X368" s="720" t="s">
        <v>1822</v>
      </c>
      <c r="Y368" s="750" t="s">
        <v>32</v>
      </c>
    </row>
    <row r="369" spans="1:25" x14ac:dyDescent="0.25">
      <c r="A369" s="711">
        <v>43979</v>
      </c>
      <c r="B369" s="37" t="s">
        <v>876</v>
      </c>
      <c r="C369" s="693" t="s">
        <v>62</v>
      </c>
      <c r="D369" s="37">
        <v>38.102040000000002</v>
      </c>
      <c r="E369" s="37">
        <v>-122.05318</v>
      </c>
      <c r="F369" s="37" t="s">
        <v>2244</v>
      </c>
      <c r="G369" s="37" t="s">
        <v>27</v>
      </c>
      <c r="H369" s="37" t="s">
        <v>173</v>
      </c>
      <c r="I369" s="712">
        <v>0.35833333333333334</v>
      </c>
      <c r="J369" s="37" t="s">
        <v>28</v>
      </c>
      <c r="K369" s="37" t="s">
        <v>29</v>
      </c>
      <c r="L369" s="37" t="s">
        <v>30</v>
      </c>
      <c r="M369" s="37">
        <v>2</v>
      </c>
      <c r="N369" s="37">
        <v>10</v>
      </c>
      <c r="O369" s="91">
        <v>14.5</v>
      </c>
      <c r="P369" s="91">
        <v>10717</v>
      </c>
      <c r="Q369" s="91" t="s">
        <v>50</v>
      </c>
      <c r="R369" s="91">
        <v>0.43</v>
      </c>
      <c r="S369" s="91">
        <v>26.8</v>
      </c>
      <c r="T369" s="91" t="s">
        <v>50</v>
      </c>
      <c r="U369" s="37" t="s">
        <v>50</v>
      </c>
      <c r="V369" s="37" t="s">
        <v>50</v>
      </c>
      <c r="W369" s="37" t="s">
        <v>50</v>
      </c>
      <c r="Y369" s="750" t="s">
        <v>32</v>
      </c>
    </row>
    <row r="370" spans="1:25" x14ac:dyDescent="0.25">
      <c r="A370" s="711">
        <v>43979</v>
      </c>
      <c r="B370" s="37" t="s">
        <v>876</v>
      </c>
      <c r="C370" s="693" t="s">
        <v>62</v>
      </c>
      <c r="D370" s="37">
        <v>38.148899999999998</v>
      </c>
      <c r="E370" s="37">
        <v>-122.05637</v>
      </c>
      <c r="F370" s="37" t="s">
        <v>2245</v>
      </c>
      <c r="G370" s="37" t="s">
        <v>27</v>
      </c>
      <c r="H370" s="37" t="s">
        <v>62</v>
      </c>
      <c r="I370" s="712">
        <v>0.38750000000000001</v>
      </c>
      <c r="J370" s="37" t="s">
        <v>28</v>
      </c>
      <c r="K370" s="37" t="s">
        <v>29</v>
      </c>
      <c r="L370" s="37" t="s">
        <v>30</v>
      </c>
      <c r="M370" s="37">
        <v>2</v>
      </c>
      <c r="N370" s="37">
        <v>10</v>
      </c>
      <c r="O370" s="91">
        <v>28.85</v>
      </c>
      <c r="P370" s="91">
        <v>8005.5</v>
      </c>
      <c r="Q370" s="91" t="s">
        <v>50</v>
      </c>
      <c r="R370" s="91">
        <v>0.44</v>
      </c>
      <c r="S370" s="91">
        <v>27.25</v>
      </c>
      <c r="T370" s="91" t="s">
        <v>50</v>
      </c>
      <c r="U370" s="37" t="s">
        <v>50</v>
      </c>
      <c r="V370" s="37" t="s">
        <v>50</v>
      </c>
      <c r="W370" s="37" t="s">
        <v>50</v>
      </c>
      <c r="Y370" s="750" t="s">
        <v>32</v>
      </c>
    </row>
    <row r="371" spans="1:25" x14ac:dyDescent="0.25">
      <c r="A371" s="711">
        <v>43979</v>
      </c>
      <c r="B371" s="37" t="s">
        <v>876</v>
      </c>
      <c r="C371" s="693" t="s">
        <v>62</v>
      </c>
      <c r="D371" s="37">
        <v>38.153149999999997</v>
      </c>
      <c r="E371" s="37">
        <v>-121.92036</v>
      </c>
      <c r="F371" s="37" t="s">
        <v>2246</v>
      </c>
      <c r="G371" s="37" t="s">
        <v>27</v>
      </c>
      <c r="H371" s="37" t="s">
        <v>62</v>
      </c>
      <c r="I371" s="712">
        <v>0.42638888888888887</v>
      </c>
      <c r="J371" s="37" t="s">
        <v>28</v>
      </c>
      <c r="K371" s="37" t="s">
        <v>29</v>
      </c>
      <c r="L371" s="37" t="s">
        <v>30</v>
      </c>
      <c r="M371" s="37">
        <v>2</v>
      </c>
      <c r="N371" s="37">
        <v>10</v>
      </c>
      <c r="O371" s="91">
        <v>10.65</v>
      </c>
      <c r="P371" s="91">
        <v>2383</v>
      </c>
      <c r="Q371" s="91" t="s">
        <v>50</v>
      </c>
      <c r="R371" s="91">
        <v>0.48</v>
      </c>
      <c r="S371" s="91">
        <v>23.9</v>
      </c>
      <c r="T371" s="91" t="s">
        <v>50</v>
      </c>
      <c r="U371" s="37" t="s">
        <v>50</v>
      </c>
      <c r="V371" s="37" t="s">
        <v>50</v>
      </c>
      <c r="W371" s="37" t="s">
        <v>50</v>
      </c>
      <c r="Y371" s="750" t="s">
        <v>32</v>
      </c>
    </row>
    <row r="372" spans="1:25" x14ac:dyDescent="0.25">
      <c r="A372" s="711">
        <v>43979</v>
      </c>
      <c r="B372" s="37" t="s">
        <v>876</v>
      </c>
      <c r="C372" s="693" t="s">
        <v>88</v>
      </c>
      <c r="D372" s="37">
        <v>38.10474</v>
      </c>
      <c r="E372" s="37">
        <v>-121.72183</v>
      </c>
      <c r="F372" s="37" t="s">
        <v>2247</v>
      </c>
      <c r="G372" s="37" t="s">
        <v>90</v>
      </c>
      <c r="H372" s="37" t="s">
        <v>91</v>
      </c>
      <c r="I372" s="712">
        <v>0.49652777777777773</v>
      </c>
      <c r="J372" s="37" t="s">
        <v>28</v>
      </c>
      <c r="K372" s="37" t="s">
        <v>29</v>
      </c>
      <c r="L372" s="37" t="s">
        <v>30</v>
      </c>
      <c r="M372" s="37">
        <v>2</v>
      </c>
      <c r="N372" s="37">
        <v>10</v>
      </c>
      <c r="O372" s="91">
        <v>30.9</v>
      </c>
      <c r="P372" s="91">
        <v>174.55</v>
      </c>
      <c r="Q372" s="91" t="s">
        <v>50</v>
      </c>
      <c r="R372" s="91">
        <v>1.2649999999999999</v>
      </c>
      <c r="S372" s="91">
        <v>12.15</v>
      </c>
      <c r="T372" s="91" t="s">
        <v>50</v>
      </c>
      <c r="U372" s="37" t="s">
        <v>50</v>
      </c>
      <c r="V372" s="37" t="s">
        <v>50</v>
      </c>
      <c r="W372" s="37" t="s">
        <v>50</v>
      </c>
      <c r="Y372" s="750" t="s">
        <v>32</v>
      </c>
    </row>
    <row r="373" spans="1:25" x14ac:dyDescent="0.25">
      <c r="A373" s="711">
        <v>43980</v>
      </c>
      <c r="B373" s="37" t="s">
        <v>125</v>
      </c>
      <c r="C373" s="693" t="s">
        <v>106</v>
      </c>
      <c r="D373" s="37">
        <v>38.414639999999999</v>
      </c>
      <c r="E373" s="37">
        <v>-121.60973</v>
      </c>
      <c r="F373" s="37" t="s">
        <v>2248</v>
      </c>
      <c r="G373" s="37" t="s">
        <v>90</v>
      </c>
      <c r="H373" s="37" t="s">
        <v>108</v>
      </c>
      <c r="I373" s="712">
        <v>0.35416666666666669</v>
      </c>
      <c r="J373" s="37" t="s">
        <v>28</v>
      </c>
      <c r="K373" s="37" t="s">
        <v>29</v>
      </c>
      <c r="L373" s="37" t="s">
        <v>30</v>
      </c>
      <c r="M373" s="37">
        <v>2</v>
      </c>
      <c r="N373" s="37">
        <v>10</v>
      </c>
      <c r="O373" s="91">
        <v>33.549999999999997</v>
      </c>
      <c r="P373" s="91">
        <v>574</v>
      </c>
      <c r="Q373" s="91" t="s">
        <v>50</v>
      </c>
      <c r="R373" s="91">
        <v>0.54</v>
      </c>
      <c r="S373" s="91">
        <v>27.35</v>
      </c>
      <c r="T373" s="91" t="s">
        <v>50</v>
      </c>
      <c r="U373" s="37" t="s">
        <v>50</v>
      </c>
      <c r="V373" s="37" t="s">
        <v>50</v>
      </c>
      <c r="W373" s="37" t="s">
        <v>50</v>
      </c>
      <c r="Y373" s="750" t="s">
        <v>32</v>
      </c>
    </row>
    <row r="374" spans="1:25" x14ac:dyDescent="0.25">
      <c r="A374" s="711">
        <v>43980</v>
      </c>
      <c r="B374" s="37" t="s">
        <v>125</v>
      </c>
      <c r="C374" s="693" t="s">
        <v>106</v>
      </c>
      <c r="D374" s="37">
        <v>38.506140000000002</v>
      </c>
      <c r="E374" s="37">
        <v>-121.58402</v>
      </c>
      <c r="F374" s="37" t="s">
        <v>2249</v>
      </c>
      <c r="G374" s="37" t="s">
        <v>90</v>
      </c>
      <c r="H374" s="37" t="s">
        <v>1787</v>
      </c>
      <c r="I374" s="712">
        <v>0.42777777777777781</v>
      </c>
      <c r="J374" s="37" t="s">
        <v>28</v>
      </c>
      <c r="K374" s="37" t="s">
        <v>29</v>
      </c>
      <c r="L374" s="37" t="s">
        <v>30</v>
      </c>
      <c r="M374" s="37">
        <v>2</v>
      </c>
      <c r="N374" s="37">
        <v>10</v>
      </c>
      <c r="O374" s="91">
        <v>26.85</v>
      </c>
      <c r="P374" s="91">
        <v>925</v>
      </c>
      <c r="Q374" s="91" t="s">
        <v>50</v>
      </c>
      <c r="R374" s="91">
        <v>0.85</v>
      </c>
      <c r="S374" s="91">
        <v>13.100000000000001</v>
      </c>
      <c r="T374" s="91" t="s">
        <v>50</v>
      </c>
      <c r="U374" s="37" t="s">
        <v>50</v>
      </c>
      <c r="V374" s="37" t="s">
        <v>50</v>
      </c>
      <c r="W374" s="37" t="s">
        <v>50</v>
      </c>
      <c r="X374" s="698" t="s">
        <v>2250</v>
      </c>
      <c r="Y374" s="750" t="s">
        <v>32</v>
      </c>
    </row>
    <row r="375" spans="1:25" x14ac:dyDescent="0.25">
      <c r="A375" s="711">
        <v>43980</v>
      </c>
      <c r="B375" s="37" t="s">
        <v>125</v>
      </c>
      <c r="C375" s="693" t="s">
        <v>106</v>
      </c>
      <c r="D375" s="37">
        <v>38.431019999999997</v>
      </c>
      <c r="E375" s="37">
        <v>-121.60281000000001</v>
      </c>
      <c r="F375" s="37" t="s">
        <v>2251</v>
      </c>
      <c r="G375" s="37" t="s">
        <v>90</v>
      </c>
      <c r="H375" s="37" t="s">
        <v>108</v>
      </c>
      <c r="I375" s="712">
        <v>0.46111111111111108</v>
      </c>
      <c r="J375" s="37" t="s">
        <v>28</v>
      </c>
      <c r="K375" s="37" t="s">
        <v>29</v>
      </c>
      <c r="L375" s="37" t="s">
        <v>30</v>
      </c>
      <c r="M375" s="37">
        <v>2</v>
      </c>
      <c r="N375" s="37">
        <v>10</v>
      </c>
      <c r="O375" s="91">
        <v>26.65</v>
      </c>
      <c r="P375" s="91">
        <v>682</v>
      </c>
      <c r="Q375" s="91" t="s">
        <v>50</v>
      </c>
      <c r="R375" s="91">
        <v>0.52500000000000002</v>
      </c>
      <c r="S375" s="91">
        <v>24.7</v>
      </c>
      <c r="T375" s="91" t="s">
        <v>50</v>
      </c>
      <c r="U375" s="37" t="s">
        <v>50</v>
      </c>
      <c r="V375" s="37" t="s">
        <v>50</v>
      </c>
      <c r="W375" s="37" t="s">
        <v>50</v>
      </c>
      <c r="Y375" s="750" t="s">
        <v>32</v>
      </c>
    </row>
    <row r="376" spans="1:25" x14ac:dyDescent="0.25">
      <c r="A376" s="711">
        <v>43980</v>
      </c>
      <c r="B376" s="37" t="s">
        <v>125</v>
      </c>
      <c r="C376" s="693" t="s">
        <v>106</v>
      </c>
      <c r="D376" s="37">
        <v>38.561169999999997</v>
      </c>
      <c r="E376" s="37">
        <v>-121.54487</v>
      </c>
      <c r="F376" s="37" t="s">
        <v>2252</v>
      </c>
      <c r="G376" s="37" t="s">
        <v>90</v>
      </c>
      <c r="H376" s="37" t="s">
        <v>1787</v>
      </c>
      <c r="I376" s="712">
        <v>0.39583333333333331</v>
      </c>
      <c r="J376" s="37" t="s">
        <v>28</v>
      </c>
      <c r="K376" s="37" t="s">
        <v>29</v>
      </c>
      <c r="L376" s="37" t="s">
        <v>30</v>
      </c>
      <c r="M376" s="37">
        <v>2</v>
      </c>
      <c r="N376" s="37">
        <v>10</v>
      </c>
      <c r="O376" s="91">
        <v>38.5</v>
      </c>
      <c r="P376" s="91">
        <v>1154.5</v>
      </c>
      <c r="Q376" s="91" t="s">
        <v>50</v>
      </c>
      <c r="R376" s="91">
        <v>1.8</v>
      </c>
      <c r="S376" s="91">
        <v>6.97</v>
      </c>
      <c r="T376" s="91" t="s">
        <v>50</v>
      </c>
      <c r="U376" s="37" t="s">
        <v>50</v>
      </c>
      <c r="V376" s="37" t="s">
        <v>50</v>
      </c>
      <c r="W376" s="37" t="s">
        <v>50</v>
      </c>
      <c r="Y376" s="750" t="s">
        <v>32</v>
      </c>
    </row>
    <row r="377" spans="1:25" x14ac:dyDescent="0.25">
      <c r="A377" s="711">
        <v>43980</v>
      </c>
      <c r="B377" s="37" t="s">
        <v>125</v>
      </c>
      <c r="C377" s="693" t="s">
        <v>106</v>
      </c>
      <c r="D377" s="37">
        <v>38.20581</v>
      </c>
      <c r="E377" s="37">
        <v>-121.65849</v>
      </c>
      <c r="F377" s="37" t="s">
        <v>2253</v>
      </c>
      <c r="G377" s="37" t="s">
        <v>90</v>
      </c>
      <c r="H377" s="37" t="s">
        <v>108</v>
      </c>
      <c r="I377" s="712">
        <v>0.51944444444444449</v>
      </c>
      <c r="J377" s="37" t="s">
        <v>28</v>
      </c>
      <c r="K377" s="37" t="s">
        <v>29</v>
      </c>
      <c r="L377" s="37" t="s">
        <v>30</v>
      </c>
      <c r="M377" s="37">
        <v>2</v>
      </c>
      <c r="N377" s="37">
        <v>10</v>
      </c>
      <c r="O377" s="91">
        <v>39.950000000000003</v>
      </c>
      <c r="P377" s="91">
        <v>164.5</v>
      </c>
      <c r="Q377" s="91" t="s">
        <v>50</v>
      </c>
      <c r="R377" s="91">
        <v>1.8</v>
      </c>
      <c r="S377" s="91">
        <v>8.9550000000000001</v>
      </c>
      <c r="T377" s="91" t="s">
        <v>50</v>
      </c>
      <c r="U377" s="37" t="s">
        <v>50</v>
      </c>
      <c r="V377" s="37" t="s">
        <v>50</v>
      </c>
      <c r="W377" s="37" t="s">
        <v>50</v>
      </c>
      <c r="Y377" s="750" t="s">
        <v>32</v>
      </c>
    </row>
    <row r="378" spans="1:25" x14ac:dyDescent="0.25">
      <c r="A378" s="711">
        <v>43980</v>
      </c>
      <c r="B378" s="37" t="s">
        <v>125</v>
      </c>
      <c r="C378" s="693" t="s">
        <v>95</v>
      </c>
      <c r="D378" s="37">
        <v>38.021940000000001</v>
      </c>
      <c r="E378" s="37">
        <v>-121.79586</v>
      </c>
      <c r="F378" s="37" t="s">
        <v>2254</v>
      </c>
      <c r="G378" s="37" t="s">
        <v>27</v>
      </c>
      <c r="H378" s="37" t="s">
        <v>863</v>
      </c>
      <c r="I378" s="712">
        <v>0.3354166666666667</v>
      </c>
      <c r="J378" s="37" t="s">
        <v>28</v>
      </c>
      <c r="K378" s="37" t="s">
        <v>29</v>
      </c>
      <c r="L378" s="37" t="s">
        <v>30</v>
      </c>
      <c r="M378" s="37">
        <v>2</v>
      </c>
      <c r="N378" s="37">
        <v>10</v>
      </c>
      <c r="O378" s="91">
        <v>24.65</v>
      </c>
      <c r="P378" s="91">
        <v>1656.5</v>
      </c>
      <c r="Q378" s="91" t="s">
        <v>50</v>
      </c>
      <c r="R378" s="91">
        <v>0.745</v>
      </c>
      <c r="S378" s="91">
        <v>14.899999999999999</v>
      </c>
      <c r="T378" s="91" t="s">
        <v>50</v>
      </c>
      <c r="U378" s="37" t="s">
        <v>50</v>
      </c>
      <c r="V378" s="37" t="s">
        <v>50</v>
      </c>
      <c r="W378" s="37" t="s">
        <v>50</v>
      </c>
      <c r="Y378" s="750" t="s">
        <v>32</v>
      </c>
    </row>
    <row r="379" spans="1:25" x14ac:dyDescent="0.25">
      <c r="A379" s="711">
        <v>43980</v>
      </c>
      <c r="B379" s="37" t="s">
        <v>125</v>
      </c>
      <c r="C379" s="693" t="s">
        <v>95</v>
      </c>
      <c r="D379" s="37">
        <v>38.076270000000001</v>
      </c>
      <c r="E379" s="37">
        <v>-121.57129999999999</v>
      </c>
      <c r="F379" s="37" t="s">
        <v>2255</v>
      </c>
      <c r="G379" s="37" t="s">
        <v>46</v>
      </c>
      <c r="H379" s="37" t="s">
        <v>1767</v>
      </c>
      <c r="I379" s="712">
        <v>0.4055555555555555</v>
      </c>
      <c r="J379" s="37" t="s">
        <v>28</v>
      </c>
      <c r="K379" s="37" t="s">
        <v>29</v>
      </c>
      <c r="L379" s="37" t="s">
        <v>30</v>
      </c>
      <c r="M379" s="37">
        <v>2</v>
      </c>
      <c r="N379" s="37">
        <v>10</v>
      </c>
      <c r="O379" s="91">
        <v>23.75</v>
      </c>
      <c r="P379" s="91">
        <v>206.45</v>
      </c>
      <c r="Q379" s="91" t="s">
        <v>50</v>
      </c>
      <c r="R379" s="91">
        <v>1.5350000000000001</v>
      </c>
      <c r="S379" s="91">
        <v>8.35</v>
      </c>
      <c r="T379" s="91" t="s">
        <v>50</v>
      </c>
      <c r="U379" s="37" t="s">
        <v>50</v>
      </c>
      <c r="V379" s="37" t="s">
        <v>50</v>
      </c>
      <c r="W379" s="37" t="s">
        <v>50</v>
      </c>
      <c r="Y379" s="750" t="s">
        <v>32</v>
      </c>
    </row>
    <row r="380" spans="1:25" x14ac:dyDescent="0.25">
      <c r="A380" s="711">
        <v>43980</v>
      </c>
      <c r="B380" s="37" t="s">
        <v>125</v>
      </c>
      <c r="C380" s="693" t="s">
        <v>95</v>
      </c>
      <c r="D380" s="37">
        <v>38.102519999999998</v>
      </c>
      <c r="E380" s="37">
        <v>-121.60419</v>
      </c>
      <c r="F380" s="37" t="s">
        <v>2256</v>
      </c>
      <c r="G380" s="37" t="s">
        <v>46</v>
      </c>
      <c r="H380" s="37" t="s">
        <v>1767</v>
      </c>
      <c r="I380" s="712">
        <v>0.4368055555555555</v>
      </c>
      <c r="J380" s="37" t="s">
        <v>28</v>
      </c>
      <c r="K380" s="37" t="s">
        <v>29</v>
      </c>
      <c r="L380" s="37" t="s">
        <v>30</v>
      </c>
      <c r="M380" s="37">
        <v>2</v>
      </c>
      <c r="N380" s="37">
        <v>10</v>
      </c>
      <c r="O380" s="91">
        <v>43.3</v>
      </c>
      <c r="P380" s="91">
        <v>220.45</v>
      </c>
      <c r="Q380" s="91" t="s">
        <v>50</v>
      </c>
      <c r="R380" s="91">
        <v>1.7749999999999999</v>
      </c>
      <c r="S380" s="91">
        <v>5.43</v>
      </c>
      <c r="T380" s="91" t="s">
        <v>50</v>
      </c>
      <c r="U380" s="37" t="s">
        <v>50</v>
      </c>
      <c r="V380" s="37" t="s">
        <v>50</v>
      </c>
      <c r="W380" s="37" t="s">
        <v>50</v>
      </c>
      <c r="Y380" s="750" t="s">
        <v>32</v>
      </c>
    </row>
    <row r="381" spans="1:25" x14ac:dyDescent="0.25">
      <c r="A381" s="711">
        <v>43980</v>
      </c>
      <c r="B381" s="37" t="s">
        <v>125</v>
      </c>
      <c r="C381" s="693" t="s">
        <v>95</v>
      </c>
      <c r="D381" s="37">
        <v>38.04336</v>
      </c>
      <c r="E381" s="37">
        <v>-121.7076</v>
      </c>
      <c r="F381" s="37" t="s">
        <v>2257</v>
      </c>
      <c r="G381" s="750" t="s">
        <v>27</v>
      </c>
      <c r="H381" s="37" t="s">
        <v>863</v>
      </c>
      <c r="I381" s="712">
        <v>0.48402777777777778</v>
      </c>
      <c r="J381" s="37" t="s">
        <v>28</v>
      </c>
      <c r="K381" s="37" t="s">
        <v>29</v>
      </c>
      <c r="L381" s="37" t="s">
        <v>30</v>
      </c>
      <c r="M381" s="37">
        <v>2</v>
      </c>
      <c r="N381" s="37">
        <v>10</v>
      </c>
      <c r="O381" s="91">
        <v>17.700000000000003</v>
      </c>
      <c r="P381" s="91">
        <v>526</v>
      </c>
      <c r="Q381" s="91" t="s">
        <v>50</v>
      </c>
      <c r="R381" s="91">
        <v>1.075</v>
      </c>
      <c r="S381" s="91">
        <v>8.35</v>
      </c>
      <c r="T381" s="91" t="s">
        <v>50</v>
      </c>
      <c r="U381" s="37" t="s">
        <v>50</v>
      </c>
      <c r="V381" s="37" t="s">
        <v>50</v>
      </c>
      <c r="W381" s="37" t="s">
        <v>50</v>
      </c>
      <c r="Y381" s="750" t="s">
        <v>32</v>
      </c>
    </row>
    <row r="382" spans="1:25" s="759" customFormat="1" x14ac:dyDescent="0.25">
      <c r="A382" s="798">
        <v>43980</v>
      </c>
      <c r="B382" s="759" t="s">
        <v>125</v>
      </c>
      <c r="C382" s="799" t="s">
        <v>95</v>
      </c>
      <c r="D382" s="759">
        <v>38.0229</v>
      </c>
      <c r="E382" s="759">
        <v>-121.74771</v>
      </c>
      <c r="F382" s="759" t="s">
        <v>2258</v>
      </c>
      <c r="G382" s="763" t="s">
        <v>27</v>
      </c>
      <c r="H382" s="759" t="s">
        <v>863</v>
      </c>
      <c r="I382" s="800">
        <v>0.53472222222222221</v>
      </c>
      <c r="J382" s="759" t="s">
        <v>28</v>
      </c>
      <c r="K382" s="759" t="s">
        <v>29</v>
      </c>
      <c r="L382" s="759" t="s">
        <v>30</v>
      </c>
      <c r="M382" s="759">
        <v>2</v>
      </c>
      <c r="N382" s="759">
        <v>10</v>
      </c>
      <c r="O382" s="802">
        <v>16.75</v>
      </c>
      <c r="P382" s="802">
        <v>485.6</v>
      </c>
      <c r="Q382" s="802" t="s">
        <v>50</v>
      </c>
      <c r="R382" s="802">
        <v>1.21</v>
      </c>
      <c r="S382" s="802">
        <v>7.99</v>
      </c>
      <c r="T382" s="802" t="s">
        <v>50</v>
      </c>
      <c r="U382" s="759" t="s">
        <v>50</v>
      </c>
      <c r="V382" s="759" t="s">
        <v>50</v>
      </c>
      <c r="W382" s="759" t="s">
        <v>50</v>
      </c>
      <c r="X382" s="803"/>
      <c r="Y382" s="763" t="s">
        <v>32</v>
      </c>
    </row>
    <row r="383" spans="1:25" x14ac:dyDescent="0.25">
      <c r="A383" s="711">
        <v>43983</v>
      </c>
      <c r="B383" s="37" t="s">
        <v>43</v>
      </c>
      <c r="C383" s="693" t="s">
        <v>106</v>
      </c>
      <c r="D383" s="37">
        <v>38.252070000000003</v>
      </c>
      <c r="E383" s="37">
        <v>-121.66804999999999</v>
      </c>
      <c r="F383" s="37" t="s">
        <v>2259</v>
      </c>
      <c r="G383" s="37" t="s">
        <v>90</v>
      </c>
      <c r="H383" s="37" t="s">
        <v>108</v>
      </c>
      <c r="I383" s="712">
        <v>0.34930555555555554</v>
      </c>
      <c r="J383" s="37" t="s">
        <v>28</v>
      </c>
      <c r="K383" s="37" t="s">
        <v>29</v>
      </c>
      <c r="L383" s="37" t="s">
        <v>30</v>
      </c>
      <c r="M383" s="37">
        <v>2</v>
      </c>
      <c r="N383" s="37">
        <v>10</v>
      </c>
      <c r="O383" s="91">
        <v>17.950000000000003</v>
      </c>
      <c r="P383" s="91">
        <v>194.4</v>
      </c>
      <c r="Q383" s="91" t="s">
        <v>50</v>
      </c>
      <c r="R383" s="91">
        <v>1.2349999999999999</v>
      </c>
      <c r="S383" s="91">
        <v>8.51</v>
      </c>
      <c r="T383" s="91" t="s">
        <v>50</v>
      </c>
      <c r="U383" s="37" t="s">
        <v>50</v>
      </c>
      <c r="V383" s="37" t="s">
        <v>50</v>
      </c>
      <c r="W383" s="37" t="s">
        <v>50</v>
      </c>
      <c r="Y383" s="750" t="s">
        <v>32</v>
      </c>
    </row>
    <row r="384" spans="1:25" x14ac:dyDescent="0.25">
      <c r="A384" s="711">
        <v>43983</v>
      </c>
      <c r="B384" s="37" t="s">
        <v>43</v>
      </c>
      <c r="C384" s="693" t="s">
        <v>106</v>
      </c>
      <c r="D384" s="37">
        <v>38.505710000000001</v>
      </c>
      <c r="E384" s="37">
        <v>-121.58422</v>
      </c>
      <c r="F384" s="37" t="s">
        <v>2260</v>
      </c>
      <c r="G384" s="37" t="s">
        <v>90</v>
      </c>
      <c r="H384" s="37" t="s">
        <v>1787</v>
      </c>
      <c r="I384" s="712">
        <v>0.38750000000000001</v>
      </c>
      <c r="J384" s="37" t="s">
        <v>28</v>
      </c>
      <c r="K384" s="37" t="s">
        <v>29</v>
      </c>
      <c r="L384" s="37" t="s">
        <v>30</v>
      </c>
      <c r="M384" s="37">
        <v>2</v>
      </c>
      <c r="N384" s="37">
        <v>10</v>
      </c>
      <c r="O384" s="91">
        <v>9.8000000000000007</v>
      </c>
      <c r="P384" s="91">
        <v>976.5</v>
      </c>
      <c r="Q384" s="91" t="s">
        <v>50</v>
      </c>
      <c r="R384" s="91">
        <v>1.0649999999999999</v>
      </c>
      <c r="S384" s="91">
        <v>11.65</v>
      </c>
      <c r="T384" s="91" t="s">
        <v>50</v>
      </c>
      <c r="U384" s="37" t="s">
        <v>50</v>
      </c>
      <c r="V384" s="37" t="s">
        <v>50</v>
      </c>
      <c r="W384" s="37" t="s">
        <v>50</v>
      </c>
      <c r="Y384" s="750" t="s">
        <v>32</v>
      </c>
    </row>
    <row r="385" spans="1:25" x14ac:dyDescent="0.25">
      <c r="A385" s="711">
        <v>43983</v>
      </c>
      <c r="B385" s="37" t="s">
        <v>43</v>
      </c>
      <c r="C385" s="693" t="s">
        <v>106</v>
      </c>
      <c r="D385" s="37">
        <v>38.560079999999999</v>
      </c>
      <c r="E385" s="37">
        <v>-121.56496</v>
      </c>
      <c r="F385" s="37" t="s">
        <v>2261</v>
      </c>
      <c r="G385" s="37" t="s">
        <v>90</v>
      </c>
      <c r="H385" s="37" t="s">
        <v>1787</v>
      </c>
      <c r="I385" s="712">
        <v>0.42222222222222222</v>
      </c>
      <c r="J385" s="37" t="s">
        <v>28</v>
      </c>
      <c r="K385" s="37" t="s">
        <v>29</v>
      </c>
      <c r="L385" s="37" t="s">
        <v>30</v>
      </c>
      <c r="M385" s="37">
        <v>2</v>
      </c>
      <c r="N385" s="37">
        <v>10</v>
      </c>
      <c r="O385" s="91">
        <v>35.5</v>
      </c>
      <c r="P385" s="91">
        <v>1082</v>
      </c>
      <c r="Q385" s="91" t="s">
        <v>50</v>
      </c>
      <c r="R385" s="91">
        <v>1.8</v>
      </c>
      <c r="S385" s="91">
        <v>4.2</v>
      </c>
      <c r="T385" s="91" t="s">
        <v>50</v>
      </c>
      <c r="U385" s="37" t="s">
        <v>50</v>
      </c>
      <c r="V385" s="37" t="s">
        <v>50</v>
      </c>
      <c r="W385" s="37" t="s">
        <v>50</v>
      </c>
      <c r="Y385" s="750" t="s">
        <v>32</v>
      </c>
    </row>
    <row r="386" spans="1:25" x14ac:dyDescent="0.25">
      <c r="A386" s="711">
        <v>43983</v>
      </c>
      <c r="B386" s="37" t="s">
        <v>43</v>
      </c>
      <c r="C386" s="693" t="s">
        <v>106</v>
      </c>
      <c r="D386" s="37">
        <v>38.534599999999998</v>
      </c>
      <c r="E386" s="37">
        <v>-121.58421</v>
      </c>
      <c r="F386" s="37" t="s">
        <v>2262</v>
      </c>
      <c r="G386" s="37" t="s">
        <v>90</v>
      </c>
      <c r="H386" s="37" t="s">
        <v>1787</v>
      </c>
      <c r="I386" s="712">
        <v>0.45069444444444445</v>
      </c>
      <c r="J386" s="37" t="s">
        <v>28</v>
      </c>
      <c r="K386" s="37" t="s">
        <v>29</v>
      </c>
      <c r="L386" s="37" t="s">
        <v>30</v>
      </c>
      <c r="M386" s="37">
        <v>2</v>
      </c>
      <c r="N386" s="37">
        <v>10</v>
      </c>
      <c r="O386" s="91">
        <v>19.350000000000001</v>
      </c>
      <c r="P386" s="91">
        <v>1013</v>
      </c>
      <c r="Q386" s="91" t="s">
        <v>50</v>
      </c>
      <c r="R386" s="91">
        <v>1.25</v>
      </c>
      <c r="S386" s="91">
        <v>7.32</v>
      </c>
      <c r="T386" s="91" t="s">
        <v>50</v>
      </c>
      <c r="U386" s="37" t="s">
        <v>50</v>
      </c>
      <c r="V386" s="37" t="s">
        <v>50</v>
      </c>
      <c r="W386" s="37" t="s">
        <v>50</v>
      </c>
      <c r="Y386" s="750" t="s">
        <v>32</v>
      </c>
    </row>
    <row r="387" spans="1:25" x14ac:dyDescent="0.25">
      <c r="A387" s="711">
        <v>43983</v>
      </c>
      <c r="B387" s="37" t="s">
        <v>43</v>
      </c>
      <c r="C387" s="693" t="s">
        <v>106</v>
      </c>
      <c r="D387" s="37">
        <v>38.465989999999998</v>
      </c>
      <c r="E387" s="37">
        <v>-121.58686</v>
      </c>
      <c r="F387" s="37" t="s">
        <v>2263</v>
      </c>
      <c r="G387" s="37" t="s">
        <v>90</v>
      </c>
      <c r="H387" s="37" t="s">
        <v>108</v>
      </c>
      <c r="I387" s="712">
        <v>0.4826388888888889</v>
      </c>
      <c r="J387" s="37" t="s">
        <v>28</v>
      </c>
      <c r="K387" s="37" t="s">
        <v>29</v>
      </c>
      <c r="L387" s="37" t="s">
        <v>30</v>
      </c>
      <c r="M387" s="37">
        <v>2</v>
      </c>
      <c r="N387" s="37">
        <v>10</v>
      </c>
      <c r="O387" s="91">
        <v>14.25</v>
      </c>
      <c r="P387" s="91">
        <v>905</v>
      </c>
      <c r="Q387" s="91" t="s">
        <v>50</v>
      </c>
      <c r="R387" s="91">
        <v>0.51500000000000001</v>
      </c>
      <c r="S387" s="91">
        <v>20.75</v>
      </c>
      <c r="T387" s="91" t="s">
        <v>50</v>
      </c>
      <c r="U387" s="37" t="s">
        <v>50</v>
      </c>
      <c r="V387" s="37" t="s">
        <v>50</v>
      </c>
      <c r="W387" s="37" t="s">
        <v>50</v>
      </c>
      <c r="Y387" s="750" t="s">
        <v>32</v>
      </c>
    </row>
    <row r="388" spans="1:25" s="683" customFormat="1" x14ac:dyDescent="0.25">
      <c r="A388" s="722">
        <v>43983</v>
      </c>
      <c r="B388" s="683" t="s">
        <v>43</v>
      </c>
      <c r="C388" s="682" t="s">
        <v>62</v>
      </c>
      <c r="D388" s="683">
        <v>38.123950000000001</v>
      </c>
      <c r="E388" s="683">
        <v>-121.8995</v>
      </c>
      <c r="F388" s="683" t="s">
        <v>2264</v>
      </c>
      <c r="G388" s="683" t="s">
        <v>27</v>
      </c>
      <c r="H388" s="683" t="s">
        <v>62</v>
      </c>
      <c r="I388" s="708">
        <v>0.34513888888888888</v>
      </c>
      <c r="J388" s="683" t="s">
        <v>28</v>
      </c>
      <c r="K388" s="683" t="s">
        <v>29</v>
      </c>
      <c r="L388" s="683" t="s">
        <v>30</v>
      </c>
      <c r="M388" s="683">
        <v>2</v>
      </c>
      <c r="N388" s="683">
        <v>10</v>
      </c>
      <c r="O388" s="209">
        <v>14.55</v>
      </c>
      <c r="P388" s="209">
        <v>4072.5</v>
      </c>
      <c r="Q388" s="209" t="s">
        <v>50</v>
      </c>
      <c r="R388" s="209">
        <v>0.34499999999999997</v>
      </c>
      <c r="S388" s="209">
        <v>54.400000000000006</v>
      </c>
      <c r="T388" s="209" t="s">
        <v>50</v>
      </c>
      <c r="U388" s="709" t="s">
        <v>31</v>
      </c>
      <c r="V388" s="683">
        <v>1</v>
      </c>
      <c r="W388" s="683">
        <v>28.4</v>
      </c>
      <c r="X388" s="689"/>
      <c r="Y388" s="205" t="s">
        <v>32</v>
      </c>
    </row>
    <row r="389" spans="1:25" x14ac:dyDescent="0.25">
      <c r="A389" s="711">
        <v>43983</v>
      </c>
      <c r="B389" s="37" t="s">
        <v>43</v>
      </c>
      <c r="C389" s="693" t="s">
        <v>62</v>
      </c>
      <c r="D389" s="37">
        <v>38.166510000000002</v>
      </c>
      <c r="E389" s="37">
        <v>-121.93324</v>
      </c>
      <c r="F389" s="37" t="s">
        <v>2265</v>
      </c>
      <c r="G389" s="37" t="s">
        <v>27</v>
      </c>
      <c r="H389" s="37" t="s">
        <v>62</v>
      </c>
      <c r="I389" s="712">
        <v>0.38125000000000003</v>
      </c>
      <c r="J389" s="37" t="s">
        <v>28</v>
      </c>
      <c r="K389" s="37" t="s">
        <v>29</v>
      </c>
      <c r="L389" s="37" t="s">
        <v>30</v>
      </c>
      <c r="M389" s="37">
        <v>2</v>
      </c>
      <c r="N389" s="37">
        <v>10</v>
      </c>
      <c r="O389" s="91">
        <v>15.45</v>
      </c>
      <c r="P389" s="91">
        <v>2629</v>
      </c>
      <c r="Q389" s="91" t="s">
        <v>50</v>
      </c>
      <c r="R389" s="91">
        <v>0.27500000000000002</v>
      </c>
      <c r="S389" s="91">
        <v>55.45</v>
      </c>
      <c r="T389" s="91" t="s">
        <v>50</v>
      </c>
      <c r="U389" s="37" t="s">
        <v>50</v>
      </c>
      <c r="V389" s="37" t="s">
        <v>50</v>
      </c>
      <c r="W389" s="37" t="s">
        <v>50</v>
      </c>
      <c r="Y389" s="750" t="s">
        <v>32</v>
      </c>
    </row>
    <row r="390" spans="1:25" x14ac:dyDescent="0.25">
      <c r="A390" s="711">
        <v>43983</v>
      </c>
      <c r="B390" s="37" t="s">
        <v>43</v>
      </c>
      <c r="C390" s="693" t="s">
        <v>62</v>
      </c>
      <c r="D390" s="37">
        <v>38.106209999999997</v>
      </c>
      <c r="E390" s="37">
        <v>-122.05128000000001</v>
      </c>
      <c r="F390" s="37" t="s">
        <v>2266</v>
      </c>
      <c r="G390" s="37" t="s">
        <v>27</v>
      </c>
      <c r="H390" s="37" t="s">
        <v>173</v>
      </c>
      <c r="I390" s="712">
        <v>0.43402777777777773</v>
      </c>
      <c r="J390" s="37" t="s">
        <v>28</v>
      </c>
      <c r="K390" s="37" t="s">
        <v>29</v>
      </c>
      <c r="L390" s="37" t="s">
        <v>30</v>
      </c>
      <c r="M390" s="37">
        <v>2</v>
      </c>
      <c r="N390" s="37">
        <v>10</v>
      </c>
      <c r="O390" s="91">
        <v>10.199999999999999</v>
      </c>
      <c r="P390" s="91">
        <v>14099</v>
      </c>
      <c r="Q390" s="91" t="s">
        <v>50</v>
      </c>
      <c r="R390" s="91">
        <v>0.48499999999999999</v>
      </c>
      <c r="S390" s="91">
        <v>26.8</v>
      </c>
      <c r="T390" s="91" t="s">
        <v>50</v>
      </c>
      <c r="U390" s="37" t="s">
        <v>50</v>
      </c>
      <c r="V390" s="37" t="s">
        <v>50</v>
      </c>
      <c r="W390" s="37" t="s">
        <v>50</v>
      </c>
      <c r="Y390" s="750" t="s">
        <v>32</v>
      </c>
    </row>
    <row r="391" spans="1:25" s="683" customFormat="1" x14ac:dyDescent="0.25">
      <c r="A391" s="722">
        <v>43983</v>
      </c>
      <c r="B391" s="683" t="s">
        <v>43</v>
      </c>
      <c r="C391" s="682" t="s">
        <v>62</v>
      </c>
      <c r="D391" s="683">
        <v>38.102809999999998</v>
      </c>
      <c r="E391" s="683">
        <v>-122.06444</v>
      </c>
      <c r="F391" s="683" t="s">
        <v>2267</v>
      </c>
      <c r="G391" s="683" t="s">
        <v>27</v>
      </c>
      <c r="H391" s="683" t="s">
        <v>173</v>
      </c>
      <c r="I391" s="708">
        <v>0.46319444444444446</v>
      </c>
      <c r="J391" s="683" t="s">
        <v>28</v>
      </c>
      <c r="K391" s="683" t="s">
        <v>29</v>
      </c>
      <c r="L391" s="683" t="s">
        <v>30</v>
      </c>
      <c r="M391" s="683">
        <v>2</v>
      </c>
      <c r="N391" s="683">
        <v>10</v>
      </c>
      <c r="O391" s="209">
        <v>9</v>
      </c>
      <c r="P391" s="209">
        <v>13448.5</v>
      </c>
      <c r="Q391" s="209" t="s">
        <v>50</v>
      </c>
      <c r="R391" s="209">
        <v>0.29500000000000004</v>
      </c>
      <c r="S391" s="209">
        <v>43.6</v>
      </c>
      <c r="T391" s="209" t="s">
        <v>50</v>
      </c>
      <c r="U391" s="709" t="s">
        <v>31</v>
      </c>
      <c r="V391" s="683">
        <v>2</v>
      </c>
      <c r="W391" s="683" t="s">
        <v>2268</v>
      </c>
      <c r="X391" s="689"/>
      <c r="Y391" s="205" t="s">
        <v>32</v>
      </c>
    </row>
    <row r="392" spans="1:25" s="714" customFormat="1" x14ac:dyDescent="0.25">
      <c r="A392" s="713">
        <v>43983</v>
      </c>
      <c r="B392" s="714" t="s">
        <v>43</v>
      </c>
      <c r="C392" s="715" t="s">
        <v>62</v>
      </c>
      <c r="D392" s="714">
        <v>38.099719999999998</v>
      </c>
      <c r="E392" s="714">
        <v>-122.01449</v>
      </c>
      <c r="F392" s="714" t="s">
        <v>2269</v>
      </c>
      <c r="G392" s="714" t="s">
        <v>27</v>
      </c>
      <c r="H392" s="714" t="s">
        <v>173</v>
      </c>
      <c r="I392" s="751">
        <v>0.4916666666666667</v>
      </c>
      <c r="J392" s="714" t="s">
        <v>28</v>
      </c>
      <c r="K392" s="714" t="s">
        <v>29</v>
      </c>
      <c r="L392" s="714" t="s">
        <v>30</v>
      </c>
      <c r="M392" s="714">
        <v>0</v>
      </c>
      <c r="N392" s="714" t="s">
        <v>50</v>
      </c>
      <c r="O392" s="752" t="s">
        <v>50</v>
      </c>
      <c r="P392" s="752" t="s">
        <v>50</v>
      </c>
      <c r="Q392" s="752" t="s">
        <v>50</v>
      </c>
      <c r="R392" s="752" t="s">
        <v>50</v>
      </c>
      <c r="S392" s="752" t="s">
        <v>50</v>
      </c>
      <c r="T392" s="752" t="s">
        <v>50</v>
      </c>
      <c r="U392" s="714" t="s">
        <v>50</v>
      </c>
      <c r="V392" s="714" t="s">
        <v>50</v>
      </c>
      <c r="W392" s="714" t="s">
        <v>50</v>
      </c>
      <c r="X392" s="720" t="s">
        <v>1822</v>
      </c>
      <c r="Y392" s="750" t="s">
        <v>32</v>
      </c>
    </row>
    <row r="393" spans="1:25" s="714" customFormat="1" x14ac:dyDescent="0.25">
      <c r="A393" s="713">
        <v>43983</v>
      </c>
      <c r="B393" s="714" t="s">
        <v>43</v>
      </c>
      <c r="C393" s="715" t="s">
        <v>62</v>
      </c>
      <c r="D393" s="714">
        <v>38.150660000000002</v>
      </c>
      <c r="E393" s="714">
        <v>-122.07088</v>
      </c>
      <c r="F393" s="714" t="s">
        <v>2270</v>
      </c>
      <c r="G393" s="714" t="s">
        <v>27</v>
      </c>
      <c r="H393" s="714" t="s">
        <v>62</v>
      </c>
      <c r="I393" s="751">
        <v>0.51388888888888895</v>
      </c>
      <c r="J393" s="714" t="s">
        <v>28</v>
      </c>
      <c r="K393" s="714" t="s">
        <v>29</v>
      </c>
      <c r="L393" s="714" t="s">
        <v>30</v>
      </c>
      <c r="M393" s="714">
        <v>0</v>
      </c>
      <c r="N393" s="714" t="s">
        <v>50</v>
      </c>
      <c r="O393" s="752" t="s">
        <v>50</v>
      </c>
      <c r="P393" s="752" t="s">
        <v>50</v>
      </c>
      <c r="Q393" s="752" t="s">
        <v>50</v>
      </c>
      <c r="R393" s="752" t="s">
        <v>50</v>
      </c>
      <c r="S393" s="752" t="s">
        <v>50</v>
      </c>
      <c r="T393" s="752" t="s">
        <v>50</v>
      </c>
      <c r="U393" s="714" t="s">
        <v>50</v>
      </c>
      <c r="V393" s="714" t="s">
        <v>50</v>
      </c>
      <c r="W393" s="714" t="s">
        <v>50</v>
      </c>
      <c r="X393" s="720" t="s">
        <v>1822</v>
      </c>
      <c r="Y393" s="750" t="s">
        <v>32</v>
      </c>
    </row>
    <row r="394" spans="1:25" x14ac:dyDescent="0.25">
      <c r="A394" s="711">
        <v>43983</v>
      </c>
      <c r="B394" s="37" t="s">
        <v>43</v>
      </c>
      <c r="C394" s="693" t="s">
        <v>62</v>
      </c>
      <c r="D394" s="37">
        <v>38.116930000000004</v>
      </c>
      <c r="E394" s="37">
        <v>-122.06161</v>
      </c>
      <c r="F394" s="37" t="s">
        <v>2271</v>
      </c>
      <c r="G394" s="37" t="s">
        <v>27</v>
      </c>
      <c r="H394" s="37" t="s">
        <v>62</v>
      </c>
      <c r="I394" s="712">
        <v>0.54166666666666663</v>
      </c>
      <c r="J394" s="37" t="s">
        <v>28</v>
      </c>
      <c r="K394" s="37" t="s">
        <v>29</v>
      </c>
      <c r="L394" s="37" t="s">
        <v>30</v>
      </c>
      <c r="M394" s="37">
        <v>2</v>
      </c>
      <c r="N394" s="37">
        <v>10</v>
      </c>
      <c r="O394" s="91">
        <v>11.4</v>
      </c>
      <c r="P394" s="91">
        <v>12000</v>
      </c>
      <c r="Q394" s="91" t="s">
        <v>50</v>
      </c>
      <c r="R394" s="91">
        <v>0.32499999999999996</v>
      </c>
      <c r="S394" s="91">
        <v>38.85</v>
      </c>
      <c r="T394" s="91" t="s">
        <v>50</v>
      </c>
      <c r="U394" s="37" t="s">
        <v>50</v>
      </c>
      <c r="V394" s="37" t="s">
        <v>50</v>
      </c>
      <c r="W394" s="37" t="s">
        <v>50</v>
      </c>
      <c r="Y394" s="750" t="s">
        <v>32</v>
      </c>
    </row>
    <row r="395" spans="1:25" s="714" customFormat="1" x14ac:dyDescent="0.25">
      <c r="A395" s="713">
        <v>43984</v>
      </c>
      <c r="B395" s="714" t="s">
        <v>849</v>
      </c>
      <c r="C395" s="715" t="s">
        <v>106</v>
      </c>
      <c r="D395" s="714">
        <v>38.377800000000001</v>
      </c>
      <c r="E395" s="714">
        <v>-121.62819</v>
      </c>
      <c r="F395" s="714" t="s">
        <v>2272</v>
      </c>
      <c r="G395" s="714" t="s">
        <v>90</v>
      </c>
      <c r="H395" s="714" t="s">
        <v>108</v>
      </c>
      <c r="I395" s="751">
        <v>0.34375</v>
      </c>
      <c r="J395" s="714" t="s">
        <v>28</v>
      </c>
      <c r="K395" s="714" t="s">
        <v>29</v>
      </c>
      <c r="L395" s="714" t="s">
        <v>30</v>
      </c>
      <c r="M395" s="714">
        <v>0</v>
      </c>
      <c r="N395" s="714" t="s">
        <v>50</v>
      </c>
      <c r="O395" s="752" t="s">
        <v>50</v>
      </c>
      <c r="P395" s="752" t="s">
        <v>50</v>
      </c>
      <c r="Q395" s="752" t="s">
        <v>50</v>
      </c>
      <c r="R395" s="752" t="s">
        <v>50</v>
      </c>
      <c r="S395" s="752" t="s">
        <v>50</v>
      </c>
      <c r="T395" s="752" t="s">
        <v>50</v>
      </c>
      <c r="U395" s="714" t="s">
        <v>50</v>
      </c>
      <c r="V395" s="714" t="s">
        <v>50</v>
      </c>
      <c r="W395" s="714" t="s">
        <v>50</v>
      </c>
      <c r="X395" s="720" t="s">
        <v>2273</v>
      </c>
      <c r="Y395" s="750" t="s">
        <v>32</v>
      </c>
    </row>
    <row r="396" spans="1:25" s="421" customFormat="1" x14ac:dyDescent="0.25">
      <c r="A396" s="348">
        <v>43984</v>
      </c>
      <c r="B396" s="421" t="s">
        <v>849</v>
      </c>
      <c r="C396" s="524" t="s">
        <v>106</v>
      </c>
      <c r="D396" s="421">
        <v>38.360970000000002</v>
      </c>
      <c r="E396" s="421">
        <v>-121.63517</v>
      </c>
      <c r="F396" s="421" t="s">
        <v>2274</v>
      </c>
      <c r="G396" s="421" t="s">
        <v>90</v>
      </c>
      <c r="H396" s="421" t="s">
        <v>108</v>
      </c>
      <c r="I396" s="539">
        <v>0.35069444444444442</v>
      </c>
      <c r="J396" s="421" t="s">
        <v>28</v>
      </c>
      <c r="K396" s="421" t="s">
        <v>29</v>
      </c>
      <c r="L396" s="421" t="s">
        <v>30</v>
      </c>
      <c r="M396" s="421">
        <v>2</v>
      </c>
      <c r="N396" s="421">
        <v>10</v>
      </c>
      <c r="O396" s="499">
        <v>24.5</v>
      </c>
      <c r="P396" s="499">
        <v>509</v>
      </c>
      <c r="Q396" s="499" t="s">
        <v>50</v>
      </c>
      <c r="R396" s="499">
        <v>0.26500000000000001</v>
      </c>
      <c r="S396" s="499">
        <v>49.7</v>
      </c>
      <c r="T396" s="499" t="s">
        <v>50</v>
      </c>
      <c r="U396" s="746" t="s">
        <v>323</v>
      </c>
      <c r="V396" s="421">
        <v>1</v>
      </c>
      <c r="W396" s="421">
        <v>38</v>
      </c>
      <c r="X396" s="397" t="s">
        <v>2275</v>
      </c>
      <c r="Y396" s="494" t="s">
        <v>32</v>
      </c>
    </row>
    <row r="397" spans="1:25" s="714" customFormat="1" x14ac:dyDescent="0.25">
      <c r="A397" s="713">
        <v>43984</v>
      </c>
      <c r="B397" s="714" t="s">
        <v>849</v>
      </c>
      <c r="C397" s="715" t="s">
        <v>106</v>
      </c>
      <c r="D397" s="714">
        <v>38.309869999999997</v>
      </c>
      <c r="E397" s="714">
        <v>-121.65363000000001</v>
      </c>
      <c r="F397" s="714" t="s">
        <v>2276</v>
      </c>
      <c r="G397" s="714" t="s">
        <v>90</v>
      </c>
      <c r="H397" s="714" t="s">
        <v>108</v>
      </c>
      <c r="I397" s="751">
        <v>0.38125000000000003</v>
      </c>
      <c r="J397" s="714" t="s">
        <v>28</v>
      </c>
      <c r="K397" s="714" t="s">
        <v>29</v>
      </c>
      <c r="L397" s="714" t="s">
        <v>30</v>
      </c>
      <c r="M397" s="714">
        <v>0</v>
      </c>
      <c r="N397" s="714" t="s">
        <v>50</v>
      </c>
      <c r="O397" s="752" t="s">
        <v>50</v>
      </c>
      <c r="P397" s="752" t="s">
        <v>50</v>
      </c>
      <c r="Q397" s="752" t="s">
        <v>50</v>
      </c>
      <c r="R397" s="752" t="s">
        <v>50</v>
      </c>
      <c r="S397" s="752" t="s">
        <v>50</v>
      </c>
      <c r="T397" s="752" t="s">
        <v>50</v>
      </c>
      <c r="U397" s="714" t="s">
        <v>50</v>
      </c>
      <c r="V397" s="714" t="s">
        <v>50</v>
      </c>
      <c r="W397" s="714" t="s">
        <v>50</v>
      </c>
      <c r="X397" s="720" t="s">
        <v>2273</v>
      </c>
      <c r="Y397" s="750" t="s">
        <v>32</v>
      </c>
    </row>
    <row r="398" spans="1:25" x14ac:dyDescent="0.25">
      <c r="A398" s="711">
        <v>43984</v>
      </c>
      <c r="B398" s="37" t="s">
        <v>849</v>
      </c>
      <c r="C398" s="693" t="s">
        <v>106</v>
      </c>
      <c r="D398" s="37">
        <v>38.275930000000002</v>
      </c>
      <c r="E398" s="37">
        <v>-121.66027</v>
      </c>
      <c r="F398" s="37" t="s">
        <v>2277</v>
      </c>
      <c r="G398" s="37" t="s">
        <v>90</v>
      </c>
      <c r="H398" s="37" t="s">
        <v>108</v>
      </c>
      <c r="I398" s="712">
        <v>0.38680555555555557</v>
      </c>
      <c r="J398" s="37" t="s">
        <v>28</v>
      </c>
      <c r="K398" s="37" t="s">
        <v>29</v>
      </c>
      <c r="L398" s="37" t="s">
        <v>30</v>
      </c>
      <c r="M398" s="37">
        <v>2</v>
      </c>
      <c r="N398" s="37">
        <v>10</v>
      </c>
      <c r="O398" s="91">
        <v>33.4</v>
      </c>
      <c r="P398" s="91">
        <v>256.60000000000002</v>
      </c>
      <c r="Q398" s="91" t="s">
        <v>50</v>
      </c>
      <c r="R398" s="91">
        <v>0.63</v>
      </c>
      <c r="S398" s="91">
        <v>23.75</v>
      </c>
      <c r="T398" s="91" t="s">
        <v>50</v>
      </c>
      <c r="U398" s="37" t="s">
        <v>50</v>
      </c>
      <c r="V398" s="37" t="s">
        <v>50</v>
      </c>
      <c r="W398" s="37" t="s">
        <v>50</v>
      </c>
      <c r="Y398" s="750" t="s">
        <v>32</v>
      </c>
    </row>
    <row r="399" spans="1:25" x14ac:dyDescent="0.25">
      <c r="A399" s="711">
        <v>43984</v>
      </c>
      <c r="B399" s="37" t="s">
        <v>849</v>
      </c>
      <c r="C399" s="693" t="s">
        <v>106</v>
      </c>
      <c r="D399" s="37">
        <v>38.223559999999999</v>
      </c>
      <c r="E399" s="37">
        <v>-121.67271</v>
      </c>
      <c r="F399" s="37" t="s">
        <v>2278</v>
      </c>
      <c r="G399" s="37" t="s">
        <v>90</v>
      </c>
      <c r="H399" s="37" t="s">
        <v>108</v>
      </c>
      <c r="I399" s="712">
        <v>0.41805555555555557</v>
      </c>
      <c r="J399" s="37" t="s">
        <v>28</v>
      </c>
      <c r="K399" s="37" t="s">
        <v>29</v>
      </c>
      <c r="L399" s="37" t="s">
        <v>30</v>
      </c>
      <c r="M399" s="37">
        <v>2</v>
      </c>
      <c r="N399" s="37">
        <v>10</v>
      </c>
      <c r="O399" s="91">
        <v>43.7</v>
      </c>
      <c r="P399" s="91">
        <v>174.15</v>
      </c>
      <c r="Q399" s="91" t="s">
        <v>50</v>
      </c>
      <c r="R399" s="91">
        <v>1.115</v>
      </c>
      <c r="S399" s="91">
        <v>13.6</v>
      </c>
      <c r="T399" s="91" t="s">
        <v>50</v>
      </c>
      <c r="U399" s="37" t="s">
        <v>50</v>
      </c>
      <c r="V399" s="37" t="s">
        <v>50</v>
      </c>
      <c r="W399" s="37" t="s">
        <v>50</v>
      </c>
      <c r="Y399" s="750" t="s">
        <v>32</v>
      </c>
    </row>
    <row r="400" spans="1:25" x14ac:dyDescent="0.25">
      <c r="A400" s="711">
        <v>43984</v>
      </c>
      <c r="B400" s="37" t="s">
        <v>849</v>
      </c>
      <c r="C400" s="693" t="s">
        <v>106</v>
      </c>
      <c r="D400" s="37">
        <v>38.209949999999999</v>
      </c>
      <c r="E400" s="37">
        <v>-121.66365999999999</v>
      </c>
      <c r="F400" s="37" t="s">
        <v>2279</v>
      </c>
      <c r="G400" s="37" t="s">
        <v>90</v>
      </c>
      <c r="H400" s="37" t="s">
        <v>108</v>
      </c>
      <c r="I400" s="712">
        <v>0.44444444444444442</v>
      </c>
      <c r="J400" s="37" t="s">
        <v>28</v>
      </c>
      <c r="K400" s="37" t="s">
        <v>29</v>
      </c>
      <c r="L400" s="37" t="s">
        <v>30</v>
      </c>
      <c r="M400" s="37">
        <v>2</v>
      </c>
      <c r="N400" s="37">
        <v>10</v>
      </c>
      <c r="O400" s="91">
        <v>31.9</v>
      </c>
      <c r="P400" s="91">
        <v>170.95</v>
      </c>
      <c r="Q400" s="91" t="s">
        <v>50</v>
      </c>
      <c r="R400" s="91">
        <v>1.48</v>
      </c>
      <c r="S400" s="91">
        <v>8.7750000000000004</v>
      </c>
      <c r="T400" s="91" t="s">
        <v>50</v>
      </c>
      <c r="U400" s="37" t="s">
        <v>50</v>
      </c>
      <c r="V400" s="37" t="s">
        <v>50</v>
      </c>
      <c r="W400" s="37" t="s">
        <v>50</v>
      </c>
      <c r="Y400" s="750" t="s">
        <v>32</v>
      </c>
    </row>
    <row r="401" spans="1:25" x14ac:dyDescent="0.25">
      <c r="A401" s="711">
        <v>43984</v>
      </c>
      <c r="B401" s="37" t="s">
        <v>849</v>
      </c>
      <c r="C401" s="693" t="s">
        <v>106</v>
      </c>
      <c r="D401" s="37">
        <v>38.203319999999998</v>
      </c>
      <c r="E401" s="37">
        <v>-121.65742</v>
      </c>
      <c r="F401" s="37" t="s">
        <v>2280</v>
      </c>
      <c r="G401" s="37" t="s">
        <v>90</v>
      </c>
      <c r="H401" s="37" t="s">
        <v>108</v>
      </c>
      <c r="I401" s="712">
        <v>0.47152777777777777</v>
      </c>
      <c r="J401" s="37" t="s">
        <v>28</v>
      </c>
      <c r="K401" s="37" t="s">
        <v>29</v>
      </c>
      <c r="L401" s="37" t="s">
        <v>30</v>
      </c>
      <c r="M401" s="37">
        <v>2</v>
      </c>
      <c r="N401" s="37">
        <v>10</v>
      </c>
      <c r="O401" s="91">
        <v>37.200000000000003</v>
      </c>
      <c r="P401" s="91">
        <v>169.5</v>
      </c>
      <c r="Q401" s="91" t="s">
        <v>50</v>
      </c>
      <c r="R401" s="91">
        <v>1.5449999999999999</v>
      </c>
      <c r="S401" s="91">
        <v>9.75</v>
      </c>
      <c r="T401" s="91" t="s">
        <v>50</v>
      </c>
      <c r="U401" s="37" t="s">
        <v>50</v>
      </c>
      <c r="V401" s="37" t="s">
        <v>50</v>
      </c>
      <c r="W401" s="37" t="s">
        <v>50</v>
      </c>
      <c r="Y401" s="750" t="s">
        <v>32</v>
      </c>
    </row>
    <row r="402" spans="1:25" x14ac:dyDescent="0.25">
      <c r="A402" s="711">
        <v>43984</v>
      </c>
      <c r="B402" s="37" t="s">
        <v>849</v>
      </c>
      <c r="C402" s="693" t="s">
        <v>62</v>
      </c>
      <c r="D402" s="37">
        <v>38.187130000000003</v>
      </c>
      <c r="E402" s="37">
        <v>-121.97854</v>
      </c>
      <c r="F402" s="37" t="s">
        <v>2281</v>
      </c>
      <c r="G402" s="37" t="s">
        <v>27</v>
      </c>
      <c r="H402" s="37" t="s">
        <v>62</v>
      </c>
      <c r="I402" s="712">
        <v>0.3520833333333333</v>
      </c>
      <c r="J402" s="37" t="s">
        <v>28</v>
      </c>
      <c r="K402" s="37" t="s">
        <v>29</v>
      </c>
      <c r="L402" s="37" t="s">
        <v>30</v>
      </c>
      <c r="M402" s="37">
        <v>2</v>
      </c>
      <c r="N402" s="37">
        <v>10</v>
      </c>
      <c r="O402" s="91">
        <v>22.8</v>
      </c>
      <c r="P402" s="91">
        <v>3006.5</v>
      </c>
      <c r="Q402" s="91" t="s">
        <v>50</v>
      </c>
      <c r="R402" s="91">
        <v>0.28999999999999998</v>
      </c>
      <c r="S402" s="91">
        <v>48.05</v>
      </c>
      <c r="T402" s="91" t="s">
        <v>50</v>
      </c>
      <c r="U402" s="37" t="s">
        <v>50</v>
      </c>
      <c r="V402" s="37" t="s">
        <v>50</v>
      </c>
      <c r="W402" s="37" t="s">
        <v>50</v>
      </c>
      <c r="Y402" s="750" t="s">
        <v>32</v>
      </c>
    </row>
    <row r="403" spans="1:25" x14ac:dyDescent="0.25">
      <c r="A403" s="711">
        <v>43984</v>
      </c>
      <c r="B403" s="37" t="s">
        <v>849</v>
      </c>
      <c r="C403" s="693" t="s">
        <v>62</v>
      </c>
      <c r="D403" s="37">
        <v>38.179499999999997</v>
      </c>
      <c r="E403" s="37">
        <v>-122.05728999999999</v>
      </c>
      <c r="F403" s="37" t="s">
        <v>2282</v>
      </c>
      <c r="G403" s="37" t="s">
        <v>27</v>
      </c>
      <c r="H403" s="37" t="s">
        <v>62</v>
      </c>
      <c r="I403" s="712">
        <v>0.38958333333333334</v>
      </c>
      <c r="J403" s="37" t="s">
        <v>28</v>
      </c>
      <c r="K403" s="37" t="s">
        <v>29</v>
      </c>
      <c r="L403" s="37" t="s">
        <v>30</v>
      </c>
      <c r="M403" s="37">
        <v>2</v>
      </c>
      <c r="N403" s="37">
        <v>10</v>
      </c>
      <c r="O403" s="91">
        <v>32.450000000000003</v>
      </c>
      <c r="P403" s="91">
        <v>5808.5</v>
      </c>
      <c r="Q403" s="91" t="s">
        <v>50</v>
      </c>
      <c r="R403" s="91">
        <v>0.19</v>
      </c>
      <c r="S403" s="91">
        <v>78.2</v>
      </c>
      <c r="T403" s="91" t="s">
        <v>50</v>
      </c>
      <c r="U403" s="37" t="s">
        <v>50</v>
      </c>
      <c r="V403" s="37" t="s">
        <v>50</v>
      </c>
      <c r="W403" s="37" t="s">
        <v>50</v>
      </c>
      <c r="Y403" s="750" t="s">
        <v>32</v>
      </c>
    </row>
    <row r="404" spans="1:25" x14ac:dyDescent="0.25">
      <c r="A404" s="711">
        <v>43984</v>
      </c>
      <c r="B404" s="37" t="s">
        <v>849</v>
      </c>
      <c r="C404" s="693" t="s">
        <v>62</v>
      </c>
      <c r="D404" s="37">
        <v>38.193719999999999</v>
      </c>
      <c r="E404" s="37">
        <v>-122.04056</v>
      </c>
      <c r="F404" s="37" t="s">
        <v>2283</v>
      </c>
      <c r="G404" s="37" t="s">
        <v>27</v>
      </c>
      <c r="H404" s="37" t="s">
        <v>62</v>
      </c>
      <c r="I404" s="712">
        <v>0.42152777777777778</v>
      </c>
      <c r="J404" s="37" t="s">
        <v>28</v>
      </c>
      <c r="K404" s="37" t="s">
        <v>29</v>
      </c>
      <c r="L404" s="37" t="s">
        <v>30</v>
      </c>
      <c r="M404" s="37">
        <v>2</v>
      </c>
      <c r="N404" s="37">
        <v>10</v>
      </c>
      <c r="O404" s="91">
        <v>16.399999999999999</v>
      </c>
      <c r="P404" s="91">
        <v>4573</v>
      </c>
      <c r="Q404" s="91" t="s">
        <v>50</v>
      </c>
      <c r="R404" s="91">
        <v>0.2</v>
      </c>
      <c r="S404" s="91">
        <v>75.650000000000006</v>
      </c>
      <c r="T404" s="91" t="s">
        <v>50</v>
      </c>
      <c r="U404" s="37" t="s">
        <v>50</v>
      </c>
      <c r="V404" s="37" t="s">
        <v>50</v>
      </c>
      <c r="W404" s="37" t="s">
        <v>50</v>
      </c>
      <c r="Y404" s="750" t="s">
        <v>32</v>
      </c>
    </row>
    <row r="405" spans="1:25" s="683" customFormat="1" x14ac:dyDescent="0.25">
      <c r="A405" s="722">
        <v>43984</v>
      </c>
      <c r="B405" s="683" t="s">
        <v>849</v>
      </c>
      <c r="C405" s="682" t="s">
        <v>62</v>
      </c>
      <c r="D405" s="683">
        <v>38.142069999999997</v>
      </c>
      <c r="E405" s="683">
        <v>-122.06107</v>
      </c>
      <c r="F405" s="683" t="s">
        <v>2284</v>
      </c>
      <c r="G405" s="683" t="s">
        <v>27</v>
      </c>
      <c r="H405" s="683" t="s">
        <v>62</v>
      </c>
      <c r="I405" s="708">
        <v>0.46319444444444446</v>
      </c>
      <c r="J405" s="683" t="s">
        <v>28</v>
      </c>
      <c r="K405" s="683" t="s">
        <v>29</v>
      </c>
      <c r="L405" s="683" t="s">
        <v>30</v>
      </c>
      <c r="M405" s="683">
        <v>2</v>
      </c>
      <c r="N405" s="683">
        <v>10</v>
      </c>
      <c r="O405" s="209">
        <v>33.799999999999997</v>
      </c>
      <c r="P405" s="209">
        <v>10537</v>
      </c>
      <c r="Q405" s="209" t="s">
        <v>50</v>
      </c>
      <c r="R405" s="209">
        <v>0.315</v>
      </c>
      <c r="S405" s="209">
        <v>39.75</v>
      </c>
      <c r="T405" s="209" t="s">
        <v>50</v>
      </c>
      <c r="U405" s="709" t="s">
        <v>31</v>
      </c>
      <c r="V405" s="683">
        <v>2</v>
      </c>
      <c r="W405" s="683" t="s">
        <v>2285</v>
      </c>
      <c r="X405" s="689"/>
      <c r="Y405" s="205" t="s">
        <v>32</v>
      </c>
    </row>
    <row r="406" spans="1:25" s="421" customFormat="1" x14ac:dyDescent="0.25">
      <c r="A406" s="348">
        <v>43984</v>
      </c>
      <c r="B406" s="421" t="s">
        <v>849</v>
      </c>
      <c r="C406" s="524" t="s">
        <v>62</v>
      </c>
      <c r="D406" s="421">
        <v>38.142069999999997</v>
      </c>
      <c r="E406" s="421">
        <v>-122.06107</v>
      </c>
      <c r="F406" s="421" t="s">
        <v>2284</v>
      </c>
      <c r="G406" s="421" t="s">
        <v>27</v>
      </c>
      <c r="H406" s="421" t="s">
        <v>62</v>
      </c>
      <c r="I406" s="539">
        <v>0.46319444444444446</v>
      </c>
      <c r="J406" s="421" t="s">
        <v>28</v>
      </c>
      <c r="K406" s="421" t="s">
        <v>29</v>
      </c>
      <c r="L406" s="421" t="s">
        <v>30</v>
      </c>
      <c r="M406" s="421">
        <v>2</v>
      </c>
      <c r="N406" s="421">
        <v>10</v>
      </c>
      <c r="O406" s="499">
        <v>33.799999999999997</v>
      </c>
      <c r="P406" s="499">
        <v>10537</v>
      </c>
      <c r="Q406" s="499" t="s">
        <v>50</v>
      </c>
      <c r="R406" s="499">
        <v>0.315</v>
      </c>
      <c r="S406" s="499">
        <v>39.75</v>
      </c>
      <c r="T406" s="499" t="s">
        <v>50</v>
      </c>
      <c r="U406" s="746" t="s">
        <v>323</v>
      </c>
      <c r="V406" s="421">
        <v>1</v>
      </c>
      <c r="W406" s="421">
        <v>37</v>
      </c>
      <c r="X406" s="397"/>
      <c r="Y406" s="494" t="s">
        <v>32</v>
      </c>
    </row>
    <row r="407" spans="1:25" x14ac:dyDescent="0.25">
      <c r="A407" s="711">
        <v>43984</v>
      </c>
      <c r="B407" s="37" t="s">
        <v>849</v>
      </c>
      <c r="C407" s="693" t="s">
        <v>62</v>
      </c>
      <c r="D407" s="37">
        <v>38.105969999999999</v>
      </c>
      <c r="E407" s="37">
        <v>-122.04225</v>
      </c>
      <c r="F407" s="37" t="s">
        <v>2286</v>
      </c>
      <c r="G407" s="37" t="s">
        <v>27</v>
      </c>
      <c r="H407" s="37" t="s">
        <v>173</v>
      </c>
      <c r="I407" s="712">
        <v>0.49791666666666662</v>
      </c>
      <c r="J407" s="37" t="s">
        <v>28</v>
      </c>
      <c r="K407" s="37" t="s">
        <v>29</v>
      </c>
      <c r="L407" s="37" t="s">
        <v>30</v>
      </c>
      <c r="M407" s="37">
        <v>2</v>
      </c>
      <c r="N407" s="37">
        <v>10</v>
      </c>
      <c r="O407" s="91">
        <v>9.85</v>
      </c>
      <c r="P407" s="91">
        <v>13945.5</v>
      </c>
      <c r="Q407" s="91" t="s">
        <v>50</v>
      </c>
      <c r="R407" s="91">
        <v>0.5</v>
      </c>
      <c r="S407" s="91">
        <v>25.7</v>
      </c>
      <c r="T407" s="91" t="s">
        <v>50</v>
      </c>
      <c r="U407" s="37" t="s">
        <v>50</v>
      </c>
      <c r="V407" s="37" t="s">
        <v>50</v>
      </c>
      <c r="W407" s="37" t="s">
        <v>50</v>
      </c>
      <c r="Y407" s="750" t="s">
        <v>32</v>
      </c>
    </row>
    <row r="408" spans="1:25" x14ac:dyDescent="0.25">
      <c r="A408" s="711">
        <v>43985</v>
      </c>
      <c r="B408" s="37" t="s">
        <v>915</v>
      </c>
      <c r="C408" s="693" t="s">
        <v>78</v>
      </c>
      <c r="D408" s="37">
        <v>38.047739999999997</v>
      </c>
      <c r="E408" s="37">
        <v>-121.93589</v>
      </c>
      <c r="F408" s="37" t="s">
        <v>2287</v>
      </c>
      <c r="G408" s="37" t="s">
        <v>27</v>
      </c>
      <c r="H408" s="37" t="s">
        <v>170</v>
      </c>
      <c r="I408" s="712">
        <v>0.32430555555555557</v>
      </c>
      <c r="J408" s="37" t="s">
        <v>28</v>
      </c>
      <c r="K408" s="37" t="s">
        <v>29</v>
      </c>
      <c r="L408" s="37" t="s">
        <v>30</v>
      </c>
      <c r="M408" s="37">
        <v>2</v>
      </c>
      <c r="N408" s="37">
        <v>10</v>
      </c>
      <c r="O408" s="91">
        <v>60.2</v>
      </c>
      <c r="P408" s="91">
        <v>4076</v>
      </c>
      <c r="Q408" s="91" t="s">
        <v>50</v>
      </c>
      <c r="R408" s="91">
        <v>0.33500000000000002</v>
      </c>
      <c r="S408" s="91">
        <v>39.549999999999997</v>
      </c>
      <c r="T408" s="91" t="s">
        <v>50</v>
      </c>
      <c r="U408" s="37" t="s">
        <v>50</v>
      </c>
      <c r="V408" s="37" t="s">
        <v>50</v>
      </c>
      <c r="W408" s="37" t="s">
        <v>50</v>
      </c>
      <c r="Y408" s="750" t="s">
        <v>32</v>
      </c>
    </row>
    <row r="409" spans="1:25" s="683" customFormat="1" x14ac:dyDescent="0.25">
      <c r="A409" s="722">
        <v>43985</v>
      </c>
      <c r="B409" s="683" t="s">
        <v>915</v>
      </c>
      <c r="C409" s="682" t="s">
        <v>78</v>
      </c>
      <c r="D409" s="683">
        <v>38.070900000000002</v>
      </c>
      <c r="E409" s="683">
        <v>-121.96822</v>
      </c>
      <c r="F409" s="683" t="s">
        <v>2288</v>
      </c>
      <c r="G409" s="683" t="s">
        <v>27</v>
      </c>
      <c r="H409" s="683" t="s">
        <v>170</v>
      </c>
      <c r="I409" s="708">
        <v>0.40486111111111112</v>
      </c>
      <c r="J409" s="683" t="s">
        <v>28</v>
      </c>
      <c r="K409" s="683" t="s">
        <v>29</v>
      </c>
      <c r="L409" s="683" t="s">
        <v>30</v>
      </c>
      <c r="M409" s="683">
        <v>2</v>
      </c>
      <c r="N409" s="683">
        <v>10</v>
      </c>
      <c r="O409" s="209">
        <v>12.2</v>
      </c>
      <c r="P409" s="209">
        <v>4468</v>
      </c>
      <c r="Q409" s="209" t="s">
        <v>50</v>
      </c>
      <c r="R409" s="209">
        <v>0.26500000000000001</v>
      </c>
      <c r="S409" s="209">
        <v>38.85</v>
      </c>
      <c r="T409" s="209" t="s">
        <v>50</v>
      </c>
      <c r="U409" s="709" t="s">
        <v>31</v>
      </c>
      <c r="V409" s="683">
        <v>2</v>
      </c>
      <c r="W409" s="683" t="s">
        <v>2289</v>
      </c>
      <c r="X409" s="689"/>
      <c r="Y409" s="205" t="s">
        <v>32</v>
      </c>
    </row>
    <row r="410" spans="1:25" x14ac:dyDescent="0.25">
      <c r="A410" s="711">
        <v>43985</v>
      </c>
      <c r="B410" s="37" t="s">
        <v>915</v>
      </c>
      <c r="C410" s="693" t="s">
        <v>78</v>
      </c>
      <c r="D410" s="37">
        <v>38.047130000000003</v>
      </c>
      <c r="E410" s="37">
        <v>-121.90491</v>
      </c>
      <c r="F410" s="37" t="s">
        <v>2290</v>
      </c>
      <c r="G410" s="37" t="s">
        <v>27</v>
      </c>
      <c r="H410" s="37" t="s">
        <v>101</v>
      </c>
      <c r="I410" s="712">
        <v>0.47569444444444442</v>
      </c>
      <c r="J410" s="37" t="s">
        <v>28</v>
      </c>
      <c r="K410" s="37" t="s">
        <v>29</v>
      </c>
      <c r="L410" s="37" t="s">
        <v>30</v>
      </c>
      <c r="M410" s="37">
        <v>2</v>
      </c>
      <c r="N410" s="37">
        <v>10</v>
      </c>
      <c r="O410" s="91">
        <v>39.25</v>
      </c>
      <c r="P410" s="91">
        <v>1877.5</v>
      </c>
      <c r="Q410" s="91" t="s">
        <v>50</v>
      </c>
      <c r="R410" s="91">
        <v>0.48</v>
      </c>
      <c r="S410" s="91">
        <v>24.3</v>
      </c>
      <c r="T410" s="91" t="s">
        <v>50</v>
      </c>
      <c r="U410" s="37" t="s">
        <v>50</v>
      </c>
      <c r="V410" s="37" t="s">
        <v>50</v>
      </c>
      <c r="W410" s="37" t="s">
        <v>50</v>
      </c>
      <c r="Y410" s="750" t="s">
        <v>32</v>
      </c>
    </row>
    <row r="411" spans="1:25" x14ac:dyDescent="0.25">
      <c r="A411" s="711">
        <v>43985</v>
      </c>
      <c r="B411" s="37" t="s">
        <v>915</v>
      </c>
      <c r="C411" s="693" t="s">
        <v>78</v>
      </c>
      <c r="D411" s="37">
        <v>38.062849999999997</v>
      </c>
      <c r="E411" s="37">
        <v>-122.04427</v>
      </c>
      <c r="F411" s="37" t="s">
        <v>2291</v>
      </c>
      <c r="G411" s="37" t="s">
        <v>27</v>
      </c>
      <c r="H411" s="37" t="s">
        <v>86</v>
      </c>
      <c r="I411" s="712">
        <v>0.3611111111111111</v>
      </c>
      <c r="J411" s="37" t="s">
        <v>28</v>
      </c>
      <c r="K411" s="37" t="s">
        <v>29</v>
      </c>
      <c r="L411" s="37" t="s">
        <v>30</v>
      </c>
      <c r="M411" s="37">
        <v>2</v>
      </c>
      <c r="N411" s="37">
        <v>10</v>
      </c>
      <c r="O411" s="91">
        <v>25.25</v>
      </c>
      <c r="P411" s="91">
        <v>8208.5</v>
      </c>
      <c r="Q411" s="91" t="s">
        <v>50</v>
      </c>
      <c r="R411" s="91">
        <v>0.33</v>
      </c>
      <c r="S411" s="91">
        <v>52.55</v>
      </c>
      <c r="T411" s="91" t="s">
        <v>50</v>
      </c>
      <c r="U411" s="37" t="s">
        <v>50</v>
      </c>
      <c r="V411" s="37" t="s">
        <v>50</v>
      </c>
      <c r="W411" s="37" t="s">
        <v>50</v>
      </c>
      <c r="Y411" s="750" t="s">
        <v>32</v>
      </c>
    </row>
    <row r="412" spans="1:25" x14ac:dyDescent="0.25">
      <c r="A412" s="711">
        <v>43985</v>
      </c>
      <c r="B412" s="37" t="s">
        <v>915</v>
      </c>
      <c r="C412" s="693" t="s">
        <v>78</v>
      </c>
      <c r="D412" s="37">
        <v>38.092750000000002</v>
      </c>
      <c r="E412" s="37">
        <v>-122.02502</v>
      </c>
      <c r="F412" s="37" t="s">
        <v>2292</v>
      </c>
      <c r="G412" s="37" t="s">
        <v>27</v>
      </c>
      <c r="H412" s="37" t="s">
        <v>86</v>
      </c>
      <c r="I412" s="712">
        <v>0.43958333333333338</v>
      </c>
      <c r="J412" s="37" t="s">
        <v>28</v>
      </c>
      <c r="K412" s="37" t="s">
        <v>29</v>
      </c>
      <c r="L412" s="37" t="s">
        <v>30</v>
      </c>
      <c r="M412" s="37">
        <v>2</v>
      </c>
      <c r="N412" s="37">
        <v>10</v>
      </c>
      <c r="O412" s="91">
        <v>14.1</v>
      </c>
      <c r="P412" s="91">
        <v>8711.5</v>
      </c>
      <c r="Q412" s="91" t="s">
        <v>50</v>
      </c>
      <c r="R412" s="91">
        <v>0.41</v>
      </c>
      <c r="S412" s="91">
        <v>23.75</v>
      </c>
      <c r="T412" s="91" t="s">
        <v>50</v>
      </c>
      <c r="U412" s="37" t="s">
        <v>50</v>
      </c>
      <c r="V412" s="37" t="s">
        <v>50</v>
      </c>
      <c r="W412" s="37" t="s">
        <v>50</v>
      </c>
      <c r="Y412" s="750" t="s">
        <v>32</v>
      </c>
    </row>
    <row r="413" spans="1:25" x14ac:dyDescent="0.25">
      <c r="A413" s="711">
        <v>43985</v>
      </c>
      <c r="B413" s="37" t="s">
        <v>915</v>
      </c>
      <c r="C413" s="693" t="s">
        <v>88</v>
      </c>
      <c r="D413" s="37">
        <v>38.099290000000003</v>
      </c>
      <c r="E413" s="37">
        <v>-121.72318</v>
      </c>
      <c r="F413" s="37" t="s">
        <v>2293</v>
      </c>
      <c r="G413" s="37" t="s">
        <v>90</v>
      </c>
      <c r="H413" s="37" t="s">
        <v>91</v>
      </c>
      <c r="I413" s="712">
        <v>0.34375</v>
      </c>
      <c r="J413" s="37" t="s">
        <v>28</v>
      </c>
      <c r="K413" s="37" t="s">
        <v>29</v>
      </c>
      <c r="L413" s="37" t="s">
        <v>30</v>
      </c>
      <c r="M413" s="37">
        <v>2</v>
      </c>
      <c r="N413" s="37">
        <v>10</v>
      </c>
      <c r="O413" s="91">
        <v>21.7</v>
      </c>
      <c r="P413" s="91">
        <v>174.7</v>
      </c>
      <c r="Q413" s="91" t="s">
        <v>50</v>
      </c>
      <c r="R413" s="91">
        <v>1.45</v>
      </c>
      <c r="S413" s="91">
        <v>10.37</v>
      </c>
      <c r="T413" s="91" t="s">
        <v>50</v>
      </c>
      <c r="U413" s="37" t="s">
        <v>50</v>
      </c>
      <c r="V413" s="37" t="s">
        <v>50</v>
      </c>
      <c r="W413" s="37" t="s">
        <v>50</v>
      </c>
      <c r="Y413" s="750" t="s">
        <v>32</v>
      </c>
    </row>
    <row r="414" spans="1:25" x14ac:dyDescent="0.25">
      <c r="A414" s="711">
        <v>43985</v>
      </c>
      <c r="B414" s="37" t="s">
        <v>915</v>
      </c>
      <c r="C414" s="693" t="s">
        <v>88</v>
      </c>
      <c r="D414" s="37">
        <v>38.077530000000003</v>
      </c>
      <c r="E414" s="37">
        <v>-121.75867</v>
      </c>
      <c r="F414" s="37" t="s">
        <v>2294</v>
      </c>
      <c r="G414" s="37" t="s">
        <v>27</v>
      </c>
      <c r="H414" s="37" t="s">
        <v>25</v>
      </c>
      <c r="I414" s="712">
        <v>0.38611111111111113</v>
      </c>
      <c r="J414" s="37" t="s">
        <v>28</v>
      </c>
      <c r="K414" s="37" t="s">
        <v>29</v>
      </c>
      <c r="L414" s="37" t="s">
        <v>30</v>
      </c>
      <c r="M414" s="37">
        <v>2</v>
      </c>
      <c r="N414" s="37">
        <v>10</v>
      </c>
      <c r="O414" s="91">
        <v>27</v>
      </c>
      <c r="P414" s="91">
        <v>173.35</v>
      </c>
      <c r="Q414" s="91" t="s">
        <v>50</v>
      </c>
      <c r="R414" s="91">
        <v>1.105</v>
      </c>
      <c r="S414" s="91">
        <v>13.15</v>
      </c>
      <c r="T414" s="91" t="s">
        <v>50</v>
      </c>
      <c r="U414" s="37" t="s">
        <v>50</v>
      </c>
      <c r="V414" s="37" t="s">
        <v>50</v>
      </c>
      <c r="W414" s="37" t="s">
        <v>50</v>
      </c>
      <c r="Y414" s="750" t="s">
        <v>32</v>
      </c>
    </row>
    <row r="415" spans="1:25" x14ac:dyDescent="0.25">
      <c r="A415" s="711">
        <v>43985</v>
      </c>
      <c r="B415" s="37" t="s">
        <v>915</v>
      </c>
      <c r="C415" s="693" t="s">
        <v>88</v>
      </c>
      <c r="D415" s="37">
        <v>38.063130000000001</v>
      </c>
      <c r="E415" s="37">
        <v>-121.81648</v>
      </c>
      <c r="F415" s="37" t="s">
        <v>2295</v>
      </c>
      <c r="G415" s="37" t="s">
        <v>27</v>
      </c>
      <c r="H415" s="37" t="s">
        <v>25</v>
      </c>
      <c r="I415" s="712">
        <v>0.41666666666666669</v>
      </c>
      <c r="J415" s="37" t="s">
        <v>28</v>
      </c>
      <c r="K415" s="37" t="s">
        <v>29</v>
      </c>
      <c r="L415" s="37" t="s">
        <v>30</v>
      </c>
      <c r="M415" s="37">
        <v>2</v>
      </c>
      <c r="N415" s="37">
        <v>10</v>
      </c>
      <c r="O415" s="91">
        <v>30.25</v>
      </c>
      <c r="P415" s="91">
        <v>202.25</v>
      </c>
      <c r="Q415" s="91" t="s">
        <v>50</v>
      </c>
      <c r="R415" s="91">
        <v>0.65</v>
      </c>
      <c r="S415" s="91">
        <v>22.25</v>
      </c>
      <c r="T415" s="91" t="s">
        <v>50</v>
      </c>
      <c r="U415" s="37" t="s">
        <v>50</v>
      </c>
      <c r="V415" s="37" t="s">
        <v>50</v>
      </c>
      <c r="W415" s="37" t="s">
        <v>50</v>
      </c>
      <c r="Y415" s="750" t="s">
        <v>32</v>
      </c>
    </row>
    <row r="416" spans="1:25" x14ac:dyDescent="0.25">
      <c r="A416" s="711">
        <v>43985</v>
      </c>
      <c r="B416" s="37" t="s">
        <v>915</v>
      </c>
      <c r="C416" s="693" t="s">
        <v>88</v>
      </c>
      <c r="D416" s="37">
        <v>38.069710000000001</v>
      </c>
      <c r="E416" s="37">
        <v>-121.77558000000001</v>
      </c>
      <c r="F416" s="37" t="s">
        <v>2296</v>
      </c>
      <c r="G416" s="37" t="s">
        <v>27</v>
      </c>
      <c r="H416" s="37" t="s">
        <v>25</v>
      </c>
      <c r="I416" s="712">
        <v>0.4458333333333333</v>
      </c>
      <c r="J416" s="37" t="s">
        <v>28</v>
      </c>
      <c r="K416" s="37" t="s">
        <v>29</v>
      </c>
      <c r="L416" s="37" t="s">
        <v>30</v>
      </c>
      <c r="M416" s="37">
        <v>2</v>
      </c>
      <c r="N416" s="37">
        <v>10</v>
      </c>
      <c r="O416" s="91">
        <v>29.6</v>
      </c>
      <c r="P416" s="91">
        <v>172.7</v>
      </c>
      <c r="Q416" s="91" t="s">
        <v>50</v>
      </c>
      <c r="R416" s="91">
        <v>1.0900000000000001</v>
      </c>
      <c r="S416" s="91">
        <v>11.7</v>
      </c>
      <c r="T416" s="91" t="s">
        <v>50</v>
      </c>
      <c r="U416" s="37" t="s">
        <v>50</v>
      </c>
      <c r="V416" s="37" t="s">
        <v>50</v>
      </c>
      <c r="W416" s="37" t="s">
        <v>50</v>
      </c>
      <c r="Y416" s="750" t="s">
        <v>32</v>
      </c>
    </row>
    <row r="417" spans="1:25" x14ac:dyDescent="0.25">
      <c r="A417" s="711">
        <v>43985</v>
      </c>
      <c r="B417" s="37" t="s">
        <v>915</v>
      </c>
      <c r="C417" s="693" t="s">
        <v>88</v>
      </c>
      <c r="D417" s="37">
        <v>38.107050000000001</v>
      </c>
      <c r="E417" s="37">
        <v>-121.70128</v>
      </c>
      <c r="F417" s="37" t="s">
        <v>2297</v>
      </c>
      <c r="G417" s="37" t="s">
        <v>90</v>
      </c>
      <c r="H417" s="37" t="s">
        <v>91</v>
      </c>
      <c r="I417" s="712">
        <v>0.47986111111111113</v>
      </c>
      <c r="J417" s="37" t="s">
        <v>28</v>
      </c>
      <c r="K417" s="37" t="s">
        <v>29</v>
      </c>
      <c r="L417" s="37" t="s">
        <v>30</v>
      </c>
      <c r="M417" s="37">
        <v>2</v>
      </c>
      <c r="N417" s="37">
        <v>10</v>
      </c>
      <c r="O417" s="91">
        <v>16.7</v>
      </c>
      <c r="P417" s="91">
        <v>228.95</v>
      </c>
      <c r="Q417" s="91" t="s">
        <v>50</v>
      </c>
      <c r="R417" s="91">
        <v>1.8</v>
      </c>
      <c r="S417" s="91">
        <v>8.3000000000000007</v>
      </c>
      <c r="T417" s="91" t="s">
        <v>50</v>
      </c>
      <c r="U417" s="37" t="s">
        <v>50</v>
      </c>
      <c r="V417" s="37" t="s">
        <v>50</v>
      </c>
      <c r="W417" s="37" t="s">
        <v>50</v>
      </c>
      <c r="Y417" s="750" t="s">
        <v>32</v>
      </c>
    </row>
    <row r="418" spans="1:25" x14ac:dyDescent="0.25">
      <c r="A418" s="711">
        <v>43986</v>
      </c>
      <c r="B418" s="37" t="s">
        <v>876</v>
      </c>
      <c r="C418" s="693" t="s">
        <v>845</v>
      </c>
      <c r="D418" s="37">
        <v>38.23518</v>
      </c>
      <c r="E418" s="37">
        <v>-121.67761</v>
      </c>
      <c r="F418" s="37" t="s">
        <v>2298</v>
      </c>
      <c r="G418" s="37" t="s">
        <v>90</v>
      </c>
      <c r="H418" s="37" t="s">
        <v>126</v>
      </c>
      <c r="I418" s="712">
        <v>0.33124999999999999</v>
      </c>
      <c r="J418" s="37" t="s">
        <v>28</v>
      </c>
      <c r="K418" s="37" t="s">
        <v>29</v>
      </c>
      <c r="L418" s="37" t="s">
        <v>30</v>
      </c>
      <c r="M418" s="37">
        <v>2</v>
      </c>
      <c r="N418" s="37">
        <v>10</v>
      </c>
      <c r="O418" s="91">
        <v>33.1</v>
      </c>
      <c r="P418" s="91">
        <v>165.8</v>
      </c>
      <c r="Q418" s="91" t="s">
        <v>50</v>
      </c>
      <c r="R418" s="91">
        <v>1.6</v>
      </c>
      <c r="S418" s="91">
        <v>7</v>
      </c>
      <c r="T418" s="91" t="s">
        <v>50</v>
      </c>
      <c r="U418" s="37" t="s">
        <v>50</v>
      </c>
      <c r="V418" s="37" t="s">
        <v>50</v>
      </c>
      <c r="W418" s="37" t="s">
        <v>50</v>
      </c>
      <c r="Y418" s="750" t="s">
        <v>32</v>
      </c>
    </row>
    <row r="419" spans="1:25" x14ac:dyDescent="0.25">
      <c r="A419" s="711">
        <v>43986</v>
      </c>
      <c r="B419" s="37" t="s">
        <v>876</v>
      </c>
      <c r="C419" s="693" t="s">
        <v>845</v>
      </c>
      <c r="D419" s="37">
        <v>38.242789999999999</v>
      </c>
      <c r="E419" s="37">
        <v>-121.67824</v>
      </c>
      <c r="F419" s="37" t="s">
        <v>2299</v>
      </c>
      <c r="G419" s="37" t="s">
        <v>90</v>
      </c>
      <c r="H419" s="37" t="s">
        <v>126</v>
      </c>
      <c r="I419" s="712">
        <v>0.37152777777777773</v>
      </c>
      <c r="J419" s="37" t="s">
        <v>28</v>
      </c>
      <c r="K419" s="37" t="s">
        <v>29</v>
      </c>
      <c r="L419" s="37" t="s">
        <v>30</v>
      </c>
      <c r="M419" s="37">
        <v>2</v>
      </c>
      <c r="N419" s="37">
        <v>10</v>
      </c>
      <c r="O419" s="91">
        <v>47.6</v>
      </c>
      <c r="P419" s="91">
        <v>175</v>
      </c>
      <c r="Q419" s="91" t="s">
        <v>50</v>
      </c>
      <c r="R419" s="91">
        <v>1.2</v>
      </c>
      <c r="S419" s="91">
        <v>13.05</v>
      </c>
      <c r="T419" s="91" t="s">
        <v>50</v>
      </c>
      <c r="U419" s="37" t="s">
        <v>50</v>
      </c>
      <c r="V419" s="37" t="s">
        <v>50</v>
      </c>
      <c r="W419" s="37" t="s">
        <v>50</v>
      </c>
      <c r="Y419" s="750" t="s">
        <v>32</v>
      </c>
    </row>
    <row r="420" spans="1:25" x14ac:dyDescent="0.25">
      <c r="A420" s="711">
        <v>43986</v>
      </c>
      <c r="B420" s="37" t="s">
        <v>876</v>
      </c>
      <c r="C420" s="693" t="s">
        <v>845</v>
      </c>
      <c r="D420" s="37">
        <v>38.258809999999997</v>
      </c>
      <c r="E420" s="37">
        <v>-121.69095</v>
      </c>
      <c r="F420" s="37" t="s">
        <v>2300</v>
      </c>
      <c r="G420" s="37" t="s">
        <v>90</v>
      </c>
      <c r="H420" s="37" t="s">
        <v>126</v>
      </c>
      <c r="I420" s="712">
        <v>0.40972222222222227</v>
      </c>
      <c r="J420" s="37" t="s">
        <v>28</v>
      </c>
      <c r="K420" s="37" t="s">
        <v>29</v>
      </c>
      <c r="L420" s="37" t="s">
        <v>30</v>
      </c>
      <c r="M420" s="37">
        <v>2</v>
      </c>
      <c r="N420" s="37">
        <v>10</v>
      </c>
      <c r="O420" s="91">
        <v>26.95</v>
      </c>
      <c r="P420" s="91">
        <v>177.5</v>
      </c>
      <c r="Q420" s="91" t="s">
        <v>50</v>
      </c>
      <c r="R420" s="91">
        <v>1.645</v>
      </c>
      <c r="S420" s="91">
        <v>6.9450000000000003</v>
      </c>
      <c r="T420" s="91" t="s">
        <v>50</v>
      </c>
      <c r="U420" s="37" t="s">
        <v>50</v>
      </c>
      <c r="V420" s="37" t="s">
        <v>50</v>
      </c>
      <c r="W420" s="37" t="s">
        <v>50</v>
      </c>
      <c r="Y420" s="750" t="s">
        <v>32</v>
      </c>
    </row>
    <row r="421" spans="1:25" x14ac:dyDescent="0.25">
      <c r="A421" s="711">
        <v>43986</v>
      </c>
      <c r="B421" s="37" t="s">
        <v>876</v>
      </c>
      <c r="C421" s="693" t="s">
        <v>845</v>
      </c>
      <c r="D421" s="37">
        <v>38.273712000000003</v>
      </c>
      <c r="E421" s="37">
        <v>-121.69387999999999</v>
      </c>
      <c r="F421" s="37" t="s">
        <v>2301</v>
      </c>
      <c r="G421" s="37" t="s">
        <v>90</v>
      </c>
      <c r="H421" s="37" t="s">
        <v>126</v>
      </c>
      <c r="I421" s="712">
        <v>0.44097222222222227</v>
      </c>
      <c r="J421" s="37" t="s">
        <v>28</v>
      </c>
      <c r="K421" s="37" t="s">
        <v>29</v>
      </c>
      <c r="L421" s="37" t="s">
        <v>30</v>
      </c>
      <c r="M421" s="37">
        <v>2</v>
      </c>
      <c r="N421" s="37">
        <v>10</v>
      </c>
      <c r="O421" s="91">
        <v>15.2</v>
      </c>
      <c r="P421" s="91">
        <v>206.75</v>
      </c>
      <c r="Q421" s="91" t="s">
        <v>50</v>
      </c>
      <c r="R421" s="91">
        <v>1.8</v>
      </c>
      <c r="S421" s="91">
        <v>5.4950000000000001</v>
      </c>
      <c r="T421" s="91" t="s">
        <v>50</v>
      </c>
      <c r="U421" s="37" t="s">
        <v>50</v>
      </c>
      <c r="V421" s="37" t="s">
        <v>50</v>
      </c>
      <c r="W421" s="37" t="s">
        <v>50</v>
      </c>
      <c r="Y421" s="750" t="s">
        <v>32</v>
      </c>
    </row>
    <row r="422" spans="1:25" x14ac:dyDescent="0.25">
      <c r="A422" s="711">
        <v>43986</v>
      </c>
      <c r="B422" s="37" t="s">
        <v>876</v>
      </c>
      <c r="C422" s="693" t="s">
        <v>845</v>
      </c>
      <c r="D422" s="37">
        <v>38.260399999999997</v>
      </c>
      <c r="E422" s="37">
        <v>-121.6692</v>
      </c>
      <c r="F422" s="37" t="s">
        <v>2302</v>
      </c>
      <c r="G422" s="37" t="s">
        <v>90</v>
      </c>
      <c r="H422" s="37" t="s">
        <v>126</v>
      </c>
      <c r="I422" s="712">
        <v>0.47847222222222219</v>
      </c>
      <c r="J422" s="37" t="s">
        <v>28</v>
      </c>
      <c r="K422" s="37" t="s">
        <v>29</v>
      </c>
      <c r="L422" s="37" t="s">
        <v>30</v>
      </c>
      <c r="M422" s="37">
        <v>2</v>
      </c>
      <c r="N422" s="37">
        <v>10</v>
      </c>
      <c r="O422" s="91">
        <v>22.6</v>
      </c>
      <c r="P422" s="91">
        <v>188.15</v>
      </c>
      <c r="Q422" s="91" t="s">
        <v>50</v>
      </c>
      <c r="R422" s="91">
        <v>1.425</v>
      </c>
      <c r="S422" s="91">
        <v>7.7549999999999999</v>
      </c>
      <c r="T422" s="91" t="s">
        <v>50</v>
      </c>
      <c r="U422" s="37" t="s">
        <v>50</v>
      </c>
      <c r="V422" s="37" t="s">
        <v>50</v>
      </c>
      <c r="W422" s="37" t="s">
        <v>50</v>
      </c>
      <c r="Y422" s="750" t="s">
        <v>32</v>
      </c>
    </row>
    <row r="423" spans="1:25" x14ac:dyDescent="0.25">
      <c r="A423" s="711">
        <v>43986</v>
      </c>
      <c r="B423" s="37" t="s">
        <v>876</v>
      </c>
      <c r="C423" s="693" t="s">
        <v>95</v>
      </c>
      <c r="D423" s="37">
        <v>38.055970000000002</v>
      </c>
      <c r="E423" s="37">
        <v>-121.53849</v>
      </c>
      <c r="F423" s="37" t="s">
        <v>2303</v>
      </c>
      <c r="G423" s="37" t="s">
        <v>46</v>
      </c>
      <c r="H423" s="37" t="s">
        <v>1767</v>
      </c>
      <c r="I423" s="712">
        <v>0.37013888888888885</v>
      </c>
      <c r="J423" s="37" t="s">
        <v>28</v>
      </c>
      <c r="K423" s="37" t="s">
        <v>29</v>
      </c>
      <c r="L423" s="37" t="s">
        <v>30</v>
      </c>
      <c r="M423" s="37">
        <v>2</v>
      </c>
      <c r="N423" s="37">
        <v>10</v>
      </c>
      <c r="O423" s="91">
        <v>35.450000000000003</v>
      </c>
      <c r="P423" s="91">
        <v>228.5</v>
      </c>
      <c r="Q423" s="91" t="s">
        <v>50</v>
      </c>
      <c r="R423" s="91">
        <v>1.8</v>
      </c>
      <c r="S423" s="91">
        <v>5.2949999999999999</v>
      </c>
      <c r="T423" s="91" t="s">
        <v>50</v>
      </c>
      <c r="U423" s="37" t="s">
        <v>50</v>
      </c>
      <c r="V423" s="37" t="s">
        <v>50</v>
      </c>
      <c r="W423" s="37" t="s">
        <v>50</v>
      </c>
      <c r="X423" s="698" t="s">
        <v>2304</v>
      </c>
      <c r="Y423" s="750" t="s">
        <v>32</v>
      </c>
    </row>
    <row r="424" spans="1:25" x14ac:dyDescent="0.25">
      <c r="A424" s="711">
        <v>43986</v>
      </c>
      <c r="B424" s="37" t="s">
        <v>876</v>
      </c>
      <c r="C424" s="693" t="s">
        <v>95</v>
      </c>
      <c r="D424" s="37">
        <v>38.059399999999997</v>
      </c>
      <c r="E424" s="37">
        <v>-121.55694</v>
      </c>
      <c r="F424" s="37" t="s">
        <v>2305</v>
      </c>
      <c r="G424" s="37" t="s">
        <v>46</v>
      </c>
      <c r="H424" s="37" t="s">
        <v>1767</v>
      </c>
      <c r="I424" s="712">
        <v>0.40416666666666662</v>
      </c>
      <c r="J424" s="37" t="s">
        <v>28</v>
      </c>
      <c r="K424" s="37" t="s">
        <v>29</v>
      </c>
      <c r="L424" s="37" t="s">
        <v>30</v>
      </c>
      <c r="M424" s="37">
        <v>2</v>
      </c>
      <c r="N424" s="37">
        <v>7</v>
      </c>
      <c r="O424" s="91">
        <v>58.65</v>
      </c>
      <c r="P424" s="91">
        <v>231.75</v>
      </c>
      <c r="Q424" s="91" t="s">
        <v>50</v>
      </c>
      <c r="R424" s="91">
        <v>1.79</v>
      </c>
      <c r="S424" s="91">
        <v>7.46</v>
      </c>
      <c r="T424" s="91" t="s">
        <v>50</v>
      </c>
      <c r="U424" s="37" t="s">
        <v>50</v>
      </c>
      <c r="V424" s="37" t="s">
        <v>50</v>
      </c>
      <c r="W424" s="37" t="s">
        <v>50</v>
      </c>
      <c r="X424" s="698" t="s">
        <v>2306</v>
      </c>
      <c r="Y424" s="750" t="s">
        <v>32</v>
      </c>
    </row>
    <row r="425" spans="1:25" x14ac:dyDescent="0.25">
      <c r="A425" s="711">
        <v>43986</v>
      </c>
      <c r="B425" s="37" t="s">
        <v>876</v>
      </c>
      <c r="C425" s="693" t="s">
        <v>95</v>
      </c>
      <c r="D425" s="37">
        <v>38.103050000000003</v>
      </c>
      <c r="E425" s="37">
        <v>-121.60795</v>
      </c>
      <c r="F425" s="37" t="s">
        <v>2307</v>
      </c>
      <c r="G425" s="37" t="s">
        <v>46</v>
      </c>
      <c r="H425" s="37" t="s">
        <v>908</v>
      </c>
      <c r="I425" s="712">
        <v>0.43194444444444446</v>
      </c>
      <c r="J425" s="37" t="s">
        <v>28</v>
      </c>
      <c r="K425" s="37" t="s">
        <v>29</v>
      </c>
      <c r="L425" s="37" t="s">
        <v>30</v>
      </c>
      <c r="M425" s="37">
        <v>2</v>
      </c>
      <c r="N425" s="37">
        <v>10</v>
      </c>
      <c r="O425" s="91">
        <v>38.9</v>
      </c>
      <c r="P425" s="91">
        <v>213.25</v>
      </c>
      <c r="Q425" s="91" t="s">
        <v>50</v>
      </c>
      <c r="R425" s="91">
        <v>1.42</v>
      </c>
      <c r="S425" s="91">
        <v>6.8650000000000002</v>
      </c>
      <c r="T425" s="91" t="s">
        <v>50</v>
      </c>
      <c r="U425" s="37" t="s">
        <v>50</v>
      </c>
      <c r="V425" s="37" t="s">
        <v>50</v>
      </c>
      <c r="W425" s="37" t="s">
        <v>50</v>
      </c>
      <c r="X425" s="698" t="s">
        <v>2308</v>
      </c>
      <c r="Y425" s="750" t="s">
        <v>32</v>
      </c>
    </row>
    <row r="426" spans="1:25" x14ac:dyDescent="0.25">
      <c r="A426" s="711">
        <v>43986</v>
      </c>
      <c r="B426" s="37" t="s">
        <v>876</v>
      </c>
      <c r="C426" s="693" t="s">
        <v>95</v>
      </c>
      <c r="D426" s="37">
        <v>38.086309999999997</v>
      </c>
      <c r="E426" s="37">
        <v>-121.6814</v>
      </c>
      <c r="F426" s="37" t="s">
        <v>2309</v>
      </c>
      <c r="G426" s="37" t="s">
        <v>46</v>
      </c>
      <c r="H426" s="37" t="s">
        <v>908</v>
      </c>
      <c r="I426" s="712">
        <v>0.47847222222222219</v>
      </c>
      <c r="J426" s="37" t="s">
        <v>28</v>
      </c>
      <c r="K426" s="37" t="s">
        <v>29</v>
      </c>
      <c r="L426" s="37" t="s">
        <v>30</v>
      </c>
      <c r="M426" s="37">
        <v>2</v>
      </c>
      <c r="N426" s="37">
        <v>10</v>
      </c>
      <c r="O426" s="91">
        <v>30.9</v>
      </c>
      <c r="P426" s="91">
        <v>215</v>
      </c>
      <c r="Q426" s="91" t="s">
        <v>50</v>
      </c>
      <c r="R426" s="91">
        <v>1.4350000000000001</v>
      </c>
      <c r="S426" s="91">
        <v>6.85</v>
      </c>
      <c r="T426" s="91" t="s">
        <v>50</v>
      </c>
      <c r="U426" s="37" t="s">
        <v>50</v>
      </c>
      <c r="V426" s="37" t="s">
        <v>50</v>
      </c>
      <c r="W426" s="37" t="s">
        <v>50</v>
      </c>
      <c r="Y426" s="750" t="s">
        <v>32</v>
      </c>
    </row>
    <row r="427" spans="1:25" s="759" customFormat="1" x14ac:dyDescent="0.25">
      <c r="A427" s="798">
        <v>43986</v>
      </c>
      <c r="B427" s="759" t="s">
        <v>876</v>
      </c>
      <c r="C427" s="799" t="s">
        <v>95</v>
      </c>
      <c r="D427" s="759">
        <v>38.043170000000003</v>
      </c>
      <c r="E427" s="759">
        <v>-121.71265</v>
      </c>
      <c r="F427" s="759" t="s">
        <v>2310</v>
      </c>
      <c r="G427" s="759" t="s">
        <v>27</v>
      </c>
      <c r="H427" s="759" t="s">
        <v>863</v>
      </c>
      <c r="I427" s="800">
        <v>0.51250000000000007</v>
      </c>
      <c r="J427" s="759" t="s">
        <v>28</v>
      </c>
      <c r="K427" s="759" t="s">
        <v>29</v>
      </c>
      <c r="L427" s="759" t="s">
        <v>30</v>
      </c>
      <c r="M427" s="759">
        <v>2</v>
      </c>
      <c r="N427" s="759">
        <v>10</v>
      </c>
      <c r="O427" s="802">
        <v>18.600000000000001</v>
      </c>
      <c r="P427" s="802">
        <v>238.65</v>
      </c>
      <c r="Q427" s="802" t="s">
        <v>50</v>
      </c>
      <c r="R427" s="802">
        <v>1.5</v>
      </c>
      <c r="S427" s="802">
        <v>6.585</v>
      </c>
      <c r="T427" s="802" t="s">
        <v>50</v>
      </c>
      <c r="U427" s="759" t="s">
        <v>50</v>
      </c>
      <c r="V427" s="759" t="s">
        <v>50</v>
      </c>
      <c r="W427" s="759" t="s">
        <v>50</v>
      </c>
      <c r="X427" s="803"/>
      <c r="Y427" s="763" t="s">
        <v>32</v>
      </c>
    </row>
    <row r="428" spans="1:25" x14ac:dyDescent="0.25">
      <c r="A428" s="711">
        <v>43990</v>
      </c>
      <c r="B428" s="37" t="s">
        <v>43</v>
      </c>
      <c r="C428" s="693" t="s">
        <v>62</v>
      </c>
      <c r="D428" s="37">
        <v>38.193330000000003</v>
      </c>
      <c r="E428" s="37">
        <v>-122.03927</v>
      </c>
      <c r="F428" s="37" t="s">
        <v>2311</v>
      </c>
      <c r="G428" s="37" t="s">
        <v>27</v>
      </c>
      <c r="H428" s="37" t="s">
        <v>62</v>
      </c>
      <c r="I428" s="712">
        <v>0.37986111111111115</v>
      </c>
      <c r="J428" s="37" t="s">
        <v>28</v>
      </c>
      <c r="K428" s="37" t="s">
        <v>29</v>
      </c>
      <c r="L428" s="37" t="s">
        <v>30</v>
      </c>
      <c r="M428" s="37">
        <v>2</v>
      </c>
      <c r="N428" s="37">
        <v>10</v>
      </c>
      <c r="O428" s="91">
        <v>20.25</v>
      </c>
      <c r="P428" s="91">
        <v>5273</v>
      </c>
      <c r="Q428" s="91" t="s">
        <v>50</v>
      </c>
      <c r="R428" s="91">
        <v>0.26500000000000001</v>
      </c>
      <c r="S428" s="91">
        <v>69.349999999999994</v>
      </c>
      <c r="T428" s="91" t="s">
        <v>50</v>
      </c>
      <c r="U428" s="37" t="s">
        <v>50</v>
      </c>
      <c r="V428" s="37" t="s">
        <v>50</v>
      </c>
      <c r="W428" s="37" t="s">
        <v>50</v>
      </c>
      <c r="Y428" s="750" t="s">
        <v>32</v>
      </c>
    </row>
    <row r="429" spans="1:25" x14ac:dyDescent="0.25">
      <c r="A429" s="711">
        <v>43990</v>
      </c>
      <c r="B429" s="37" t="s">
        <v>43</v>
      </c>
      <c r="C429" s="693" t="s">
        <v>62</v>
      </c>
      <c r="D429" s="37">
        <v>38.17212</v>
      </c>
      <c r="E429" s="37">
        <v>-122.05668</v>
      </c>
      <c r="F429" s="37" t="s">
        <v>2312</v>
      </c>
      <c r="G429" s="37" t="s">
        <v>27</v>
      </c>
      <c r="H429" s="37" t="s">
        <v>62</v>
      </c>
      <c r="I429" s="712">
        <v>0.41388888888888892</v>
      </c>
      <c r="J429" s="37" t="s">
        <v>28</v>
      </c>
      <c r="K429" s="37" t="s">
        <v>29</v>
      </c>
      <c r="L429" s="37" t="s">
        <v>30</v>
      </c>
      <c r="M429" s="37">
        <v>2</v>
      </c>
      <c r="N429" s="37">
        <v>10</v>
      </c>
      <c r="O429" s="91">
        <v>58.7</v>
      </c>
      <c r="P429" s="91">
        <v>7338</v>
      </c>
      <c r="Q429" s="91" t="s">
        <v>50</v>
      </c>
      <c r="R429" s="91">
        <v>0.21000000000000002</v>
      </c>
      <c r="S429" s="91">
        <v>84.05</v>
      </c>
      <c r="T429" s="91" t="s">
        <v>50</v>
      </c>
      <c r="U429" s="37" t="s">
        <v>50</v>
      </c>
      <c r="V429" s="37" t="s">
        <v>50</v>
      </c>
      <c r="W429" s="37" t="s">
        <v>50</v>
      </c>
      <c r="Y429" s="750" t="s">
        <v>32</v>
      </c>
    </row>
    <row r="430" spans="1:25" x14ac:dyDescent="0.25">
      <c r="A430" s="711">
        <v>43990</v>
      </c>
      <c r="B430" s="37" t="s">
        <v>43</v>
      </c>
      <c r="C430" s="693" t="s">
        <v>62</v>
      </c>
      <c r="D430" s="37">
        <v>38.152749999999997</v>
      </c>
      <c r="E430" s="37">
        <v>-122.05477999999999</v>
      </c>
      <c r="F430" s="37" t="s">
        <v>2313</v>
      </c>
      <c r="G430" s="37" t="s">
        <v>27</v>
      </c>
      <c r="H430" s="37" t="s">
        <v>62</v>
      </c>
      <c r="I430" s="712">
        <v>0.44375000000000003</v>
      </c>
      <c r="J430" s="37" t="s">
        <v>28</v>
      </c>
      <c r="K430" s="37" t="s">
        <v>29</v>
      </c>
      <c r="L430" s="37" t="s">
        <v>30</v>
      </c>
      <c r="M430" s="37">
        <v>2</v>
      </c>
      <c r="N430" s="37">
        <v>10</v>
      </c>
      <c r="O430" s="91">
        <v>27.85</v>
      </c>
      <c r="P430" s="91">
        <v>8807.5</v>
      </c>
      <c r="Q430" s="91" t="s">
        <v>50</v>
      </c>
      <c r="R430" s="91">
        <v>0.22</v>
      </c>
      <c r="S430" s="91">
        <v>59.349999999999994</v>
      </c>
      <c r="T430" s="91" t="s">
        <v>50</v>
      </c>
      <c r="U430" s="37" t="s">
        <v>50</v>
      </c>
      <c r="V430" s="37" t="s">
        <v>50</v>
      </c>
      <c r="W430" s="37" t="s">
        <v>50</v>
      </c>
      <c r="Y430" s="750" t="s">
        <v>32</v>
      </c>
    </row>
    <row r="431" spans="1:25" x14ac:dyDescent="0.25">
      <c r="A431" s="711">
        <v>43990</v>
      </c>
      <c r="B431" s="37" t="s">
        <v>43</v>
      </c>
      <c r="C431" s="693" t="s">
        <v>62</v>
      </c>
      <c r="D431" s="37">
        <v>38.128250000000001</v>
      </c>
      <c r="E431" s="37">
        <v>-122.05979000000001</v>
      </c>
      <c r="F431" s="37" t="s">
        <v>2314</v>
      </c>
      <c r="G431" s="37" t="s">
        <v>27</v>
      </c>
      <c r="H431" s="37" t="s">
        <v>62</v>
      </c>
      <c r="I431" s="712">
        <v>0.48333333333333334</v>
      </c>
      <c r="J431" s="37" t="s">
        <v>28</v>
      </c>
      <c r="K431" s="37" t="s">
        <v>29</v>
      </c>
      <c r="L431" s="37" t="s">
        <v>30</v>
      </c>
      <c r="M431" s="37">
        <v>2</v>
      </c>
      <c r="N431" s="37">
        <v>10</v>
      </c>
      <c r="O431" s="91">
        <v>14.2</v>
      </c>
      <c r="P431" s="91">
        <v>9390</v>
      </c>
      <c r="Q431" s="91" t="s">
        <v>50</v>
      </c>
      <c r="R431" s="91">
        <v>0.35499999999999998</v>
      </c>
      <c r="S431" s="91">
        <v>45.9</v>
      </c>
      <c r="T431" s="91" t="s">
        <v>50</v>
      </c>
      <c r="U431" s="37" t="s">
        <v>50</v>
      </c>
      <c r="V431" s="37" t="s">
        <v>50</v>
      </c>
      <c r="W431" s="37" t="s">
        <v>50</v>
      </c>
      <c r="Y431" s="750" t="s">
        <v>32</v>
      </c>
    </row>
    <row r="432" spans="1:25" x14ac:dyDescent="0.25">
      <c r="A432" s="711">
        <v>43990</v>
      </c>
      <c r="B432" s="37" t="s">
        <v>43</v>
      </c>
      <c r="C432" s="693" t="s">
        <v>62</v>
      </c>
      <c r="D432" s="37">
        <v>38.187040000000003</v>
      </c>
      <c r="E432" s="37">
        <v>-121.98047</v>
      </c>
      <c r="F432" s="37" t="s">
        <v>2315</v>
      </c>
      <c r="G432" s="37" t="s">
        <v>27</v>
      </c>
      <c r="H432" s="37" t="s">
        <v>62</v>
      </c>
      <c r="I432" s="712">
        <v>0.52152777777777781</v>
      </c>
      <c r="J432" s="37" t="s">
        <v>28</v>
      </c>
      <c r="K432" s="37" t="s">
        <v>29</v>
      </c>
      <c r="L432" s="37" t="s">
        <v>30</v>
      </c>
      <c r="M432" s="37">
        <v>2</v>
      </c>
      <c r="N432" s="37">
        <v>10</v>
      </c>
      <c r="O432" s="91">
        <v>22.65</v>
      </c>
      <c r="P432" s="91">
        <v>5042</v>
      </c>
      <c r="Q432" s="91" t="s">
        <v>50</v>
      </c>
      <c r="R432" s="91">
        <v>0.26</v>
      </c>
      <c r="S432" s="91">
        <v>45.6</v>
      </c>
      <c r="T432" s="91" t="s">
        <v>50</v>
      </c>
      <c r="U432" s="37" t="s">
        <v>50</v>
      </c>
      <c r="V432" s="37" t="s">
        <v>50</v>
      </c>
      <c r="W432" s="37" t="s">
        <v>50</v>
      </c>
      <c r="Y432" s="750" t="s">
        <v>32</v>
      </c>
    </row>
    <row r="433" spans="1:25" s="714" customFormat="1" x14ac:dyDescent="0.25">
      <c r="A433" s="713">
        <v>43990</v>
      </c>
      <c r="B433" s="714" t="s">
        <v>43</v>
      </c>
      <c r="C433" s="715" t="s">
        <v>62</v>
      </c>
      <c r="D433" s="714">
        <v>38.10671</v>
      </c>
      <c r="E433" s="714">
        <v>-122.06318</v>
      </c>
      <c r="F433" s="714" t="s">
        <v>2316</v>
      </c>
      <c r="G433" s="714" t="s">
        <v>27</v>
      </c>
      <c r="H433" s="714" t="s">
        <v>173</v>
      </c>
      <c r="I433" s="751">
        <v>0.3527777777777778</v>
      </c>
      <c r="J433" s="714" t="s">
        <v>28</v>
      </c>
      <c r="K433" s="714" t="s">
        <v>29</v>
      </c>
      <c r="L433" s="714" t="s">
        <v>30</v>
      </c>
      <c r="M433" s="714">
        <v>0</v>
      </c>
      <c r="N433" s="714" t="s">
        <v>50</v>
      </c>
      <c r="O433" s="752" t="s">
        <v>50</v>
      </c>
      <c r="P433" s="752" t="s">
        <v>50</v>
      </c>
      <c r="Q433" s="752" t="s">
        <v>50</v>
      </c>
      <c r="R433" s="752" t="s">
        <v>50</v>
      </c>
      <c r="S433" s="752" t="s">
        <v>50</v>
      </c>
      <c r="T433" s="752" t="s">
        <v>50</v>
      </c>
      <c r="U433" s="714" t="s">
        <v>50</v>
      </c>
      <c r="V433" s="714" t="s">
        <v>50</v>
      </c>
      <c r="W433" s="714" t="s">
        <v>50</v>
      </c>
      <c r="X433" s="720" t="s">
        <v>734</v>
      </c>
      <c r="Y433" s="750" t="s">
        <v>32</v>
      </c>
    </row>
    <row r="434" spans="1:25" s="714" customFormat="1" x14ac:dyDescent="0.25">
      <c r="A434" s="713">
        <v>43990</v>
      </c>
      <c r="B434" s="714" t="s">
        <v>43</v>
      </c>
      <c r="C434" s="715" t="s">
        <v>62</v>
      </c>
      <c r="D434" s="714">
        <v>38.111339999999998</v>
      </c>
      <c r="E434" s="714">
        <v>-121.06094</v>
      </c>
      <c r="F434" s="714" t="s">
        <v>2317</v>
      </c>
      <c r="G434" s="714" t="s">
        <v>27</v>
      </c>
      <c r="H434" s="714" t="s">
        <v>173</v>
      </c>
      <c r="I434" s="751">
        <v>0.35416666666666669</v>
      </c>
      <c r="J434" s="714" t="s">
        <v>28</v>
      </c>
      <c r="K434" s="714" t="s">
        <v>29</v>
      </c>
      <c r="L434" s="714" t="s">
        <v>30</v>
      </c>
      <c r="M434" s="714">
        <v>0</v>
      </c>
      <c r="N434" s="714" t="s">
        <v>50</v>
      </c>
      <c r="O434" s="752" t="s">
        <v>50</v>
      </c>
      <c r="P434" s="752" t="s">
        <v>50</v>
      </c>
      <c r="Q434" s="752" t="s">
        <v>50</v>
      </c>
      <c r="R434" s="752" t="s">
        <v>50</v>
      </c>
      <c r="S434" s="752" t="s">
        <v>50</v>
      </c>
      <c r="T434" s="752" t="s">
        <v>50</v>
      </c>
      <c r="U434" s="714" t="s">
        <v>50</v>
      </c>
      <c r="V434" s="714" t="s">
        <v>50</v>
      </c>
      <c r="W434" s="714" t="s">
        <v>50</v>
      </c>
      <c r="X434" s="720" t="s">
        <v>734</v>
      </c>
      <c r="Y434" s="750" t="s">
        <v>32</v>
      </c>
    </row>
    <row r="435" spans="1:25" s="714" customFormat="1" x14ac:dyDescent="0.25">
      <c r="A435" s="713">
        <v>43990</v>
      </c>
      <c r="B435" s="714" t="s">
        <v>43</v>
      </c>
      <c r="C435" s="715" t="s">
        <v>62</v>
      </c>
      <c r="D435" s="714">
        <v>38.106140000000003</v>
      </c>
      <c r="E435" s="714">
        <v>-122.03874999999999</v>
      </c>
      <c r="F435" s="714" t="s">
        <v>2318</v>
      </c>
      <c r="G435" s="714" t="s">
        <v>27</v>
      </c>
      <c r="H435" s="714" t="s">
        <v>173</v>
      </c>
      <c r="I435" s="751">
        <v>0.36388888888888887</v>
      </c>
      <c r="J435" s="714" t="s">
        <v>28</v>
      </c>
      <c r="K435" s="714" t="s">
        <v>29</v>
      </c>
      <c r="L435" s="714" t="s">
        <v>30</v>
      </c>
      <c r="M435" s="714">
        <v>0</v>
      </c>
      <c r="N435" s="714" t="s">
        <v>50</v>
      </c>
      <c r="O435" s="752" t="s">
        <v>50</v>
      </c>
      <c r="P435" s="752" t="s">
        <v>50</v>
      </c>
      <c r="Q435" s="752" t="s">
        <v>50</v>
      </c>
      <c r="R435" s="752" t="s">
        <v>50</v>
      </c>
      <c r="S435" s="752" t="s">
        <v>50</v>
      </c>
      <c r="T435" s="752" t="s">
        <v>50</v>
      </c>
      <c r="U435" s="714" t="s">
        <v>50</v>
      </c>
      <c r="V435" s="714" t="s">
        <v>50</v>
      </c>
      <c r="W435" s="714" t="s">
        <v>50</v>
      </c>
      <c r="X435" s="720" t="s">
        <v>734</v>
      </c>
      <c r="Y435" s="750" t="s">
        <v>32</v>
      </c>
    </row>
    <row r="436" spans="1:25" s="714" customFormat="1" x14ac:dyDescent="0.25">
      <c r="A436" s="713">
        <v>43990</v>
      </c>
      <c r="B436" s="714" t="s">
        <v>43</v>
      </c>
      <c r="C436" s="715" t="s">
        <v>62</v>
      </c>
      <c r="D436" s="714">
        <v>38.113500000000002</v>
      </c>
      <c r="E436" s="714">
        <v>-122.05495000000001</v>
      </c>
      <c r="F436" s="714" t="s">
        <v>2319</v>
      </c>
      <c r="G436" s="714" t="s">
        <v>27</v>
      </c>
      <c r="H436" s="714" t="s">
        <v>173</v>
      </c>
      <c r="I436" s="751">
        <v>0.47916666666666669</v>
      </c>
      <c r="J436" s="714" t="s">
        <v>28</v>
      </c>
      <c r="K436" s="714" t="s">
        <v>29</v>
      </c>
      <c r="L436" s="714" t="s">
        <v>30</v>
      </c>
      <c r="M436" s="714">
        <v>0</v>
      </c>
      <c r="N436" s="714" t="s">
        <v>50</v>
      </c>
      <c r="O436" s="752" t="s">
        <v>50</v>
      </c>
      <c r="P436" s="752" t="s">
        <v>50</v>
      </c>
      <c r="Q436" s="752" t="s">
        <v>50</v>
      </c>
      <c r="R436" s="752" t="s">
        <v>50</v>
      </c>
      <c r="S436" s="752" t="s">
        <v>50</v>
      </c>
      <c r="T436" s="752" t="s">
        <v>50</v>
      </c>
      <c r="U436" s="714" t="s">
        <v>50</v>
      </c>
      <c r="V436" s="714" t="s">
        <v>50</v>
      </c>
      <c r="W436" s="714" t="s">
        <v>50</v>
      </c>
      <c r="X436" s="720" t="s">
        <v>734</v>
      </c>
      <c r="Y436" s="750" t="s">
        <v>32</v>
      </c>
    </row>
    <row r="437" spans="1:25" s="714" customFormat="1" x14ac:dyDescent="0.25">
      <c r="A437" s="713">
        <v>43990</v>
      </c>
      <c r="B437" s="714" t="s">
        <v>43</v>
      </c>
      <c r="C437" s="715" t="s">
        <v>62</v>
      </c>
      <c r="D437" s="714">
        <v>38.19491</v>
      </c>
      <c r="E437" s="714">
        <v>-122.92796</v>
      </c>
      <c r="F437" s="714" t="s">
        <v>2320</v>
      </c>
      <c r="G437" s="714" t="s">
        <v>27</v>
      </c>
      <c r="H437" s="714" t="s">
        <v>62</v>
      </c>
      <c r="I437" s="751">
        <v>0.43402777777777773</v>
      </c>
      <c r="J437" s="714" t="s">
        <v>28</v>
      </c>
      <c r="K437" s="714" t="s">
        <v>29</v>
      </c>
      <c r="L437" s="714" t="s">
        <v>30</v>
      </c>
      <c r="M437" s="714">
        <v>0</v>
      </c>
      <c r="N437" s="714" t="s">
        <v>50</v>
      </c>
      <c r="O437" s="752" t="s">
        <v>50</v>
      </c>
      <c r="P437" s="752" t="s">
        <v>50</v>
      </c>
      <c r="Q437" s="752" t="s">
        <v>50</v>
      </c>
      <c r="R437" s="752" t="s">
        <v>50</v>
      </c>
      <c r="S437" s="752" t="s">
        <v>50</v>
      </c>
      <c r="T437" s="752" t="s">
        <v>50</v>
      </c>
      <c r="U437" s="714" t="s">
        <v>50</v>
      </c>
      <c r="V437" s="714" t="s">
        <v>50</v>
      </c>
      <c r="W437" s="714" t="s">
        <v>50</v>
      </c>
      <c r="X437" s="720" t="s">
        <v>734</v>
      </c>
      <c r="Y437" s="750" t="s">
        <v>32</v>
      </c>
    </row>
    <row r="438" spans="1:25" s="714" customFormat="1" x14ac:dyDescent="0.25">
      <c r="A438" s="713">
        <v>43990</v>
      </c>
      <c r="B438" s="714" t="s">
        <v>43</v>
      </c>
      <c r="C438" s="715" t="s">
        <v>62</v>
      </c>
      <c r="D438" s="714">
        <v>38.091410000000003</v>
      </c>
      <c r="E438" s="714">
        <v>-121.88531</v>
      </c>
      <c r="F438" s="714" t="s">
        <v>2321</v>
      </c>
      <c r="G438" s="714" t="s">
        <v>27</v>
      </c>
      <c r="H438" s="714" t="s">
        <v>62</v>
      </c>
      <c r="I438" s="751">
        <v>0.43472222222222223</v>
      </c>
      <c r="J438" s="714" t="s">
        <v>28</v>
      </c>
      <c r="K438" s="714" t="s">
        <v>29</v>
      </c>
      <c r="L438" s="714" t="s">
        <v>30</v>
      </c>
      <c r="M438" s="714">
        <v>0</v>
      </c>
      <c r="N438" s="714" t="s">
        <v>50</v>
      </c>
      <c r="O438" s="752" t="s">
        <v>50</v>
      </c>
      <c r="P438" s="752" t="s">
        <v>50</v>
      </c>
      <c r="Q438" s="752" t="s">
        <v>50</v>
      </c>
      <c r="R438" s="752" t="s">
        <v>50</v>
      </c>
      <c r="S438" s="752" t="s">
        <v>50</v>
      </c>
      <c r="T438" s="752" t="s">
        <v>50</v>
      </c>
      <c r="U438" s="714" t="s">
        <v>50</v>
      </c>
      <c r="V438" s="714" t="s">
        <v>50</v>
      </c>
      <c r="W438" s="714" t="s">
        <v>50</v>
      </c>
      <c r="X438" s="720" t="s">
        <v>734</v>
      </c>
      <c r="Y438" s="750" t="s">
        <v>32</v>
      </c>
    </row>
    <row r="439" spans="1:25" x14ac:dyDescent="0.25">
      <c r="A439" s="711">
        <v>43990</v>
      </c>
      <c r="B439" s="37" t="s">
        <v>43</v>
      </c>
      <c r="C439" s="693" t="s">
        <v>845</v>
      </c>
      <c r="D439" s="37">
        <v>38.422060000000002</v>
      </c>
      <c r="E439" s="37">
        <v>-121.61297999999999</v>
      </c>
      <c r="F439" s="37" t="s">
        <v>2322</v>
      </c>
      <c r="G439" s="37" t="s">
        <v>90</v>
      </c>
      <c r="H439" s="37" t="s">
        <v>126</v>
      </c>
      <c r="I439" s="712">
        <v>0.38055555555555554</v>
      </c>
      <c r="J439" s="37" t="s">
        <v>28</v>
      </c>
      <c r="K439" s="37" t="s">
        <v>29</v>
      </c>
      <c r="L439" s="37" t="s">
        <v>30</v>
      </c>
      <c r="M439" s="37">
        <v>2</v>
      </c>
      <c r="N439" s="37">
        <v>10</v>
      </c>
      <c r="O439" s="91">
        <v>15.95</v>
      </c>
      <c r="P439" s="91">
        <v>229.25</v>
      </c>
      <c r="Q439" s="91" t="s">
        <v>50</v>
      </c>
      <c r="R439" s="91">
        <v>0.3</v>
      </c>
      <c r="S439" s="91">
        <v>47.35</v>
      </c>
      <c r="T439" s="91" t="s">
        <v>50</v>
      </c>
      <c r="U439" s="37" t="s">
        <v>50</v>
      </c>
      <c r="V439" s="37" t="s">
        <v>50</v>
      </c>
      <c r="W439" s="37" t="s">
        <v>50</v>
      </c>
      <c r="Y439" s="750" t="s">
        <v>32</v>
      </c>
    </row>
    <row r="440" spans="1:25" x14ac:dyDescent="0.25">
      <c r="A440" s="711">
        <v>43990</v>
      </c>
      <c r="B440" s="37" t="s">
        <v>43</v>
      </c>
      <c r="C440" s="693" t="s">
        <v>845</v>
      </c>
      <c r="D440" s="37">
        <v>38.253709999999998</v>
      </c>
      <c r="E440" s="37">
        <v>-121.67076</v>
      </c>
      <c r="F440" s="37" t="s">
        <v>2323</v>
      </c>
      <c r="G440" s="37" t="s">
        <v>90</v>
      </c>
      <c r="H440" s="37" t="s">
        <v>126</v>
      </c>
      <c r="I440" s="712">
        <v>0.42986111111111108</v>
      </c>
      <c r="J440" s="37" t="s">
        <v>28</v>
      </c>
      <c r="K440" s="37" t="s">
        <v>29</v>
      </c>
      <c r="L440" s="37" t="s">
        <v>30</v>
      </c>
      <c r="M440" s="37">
        <v>2</v>
      </c>
      <c r="N440" s="37">
        <v>10</v>
      </c>
      <c r="O440" s="91">
        <v>27.85</v>
      </c>
      <c r="P440" s="91">
        <v>161.44999999999999</v>
      </c>
      <c r="Q440" s="91" t="s">
        <v>50</v>
      </c>
      <c r="R440" s="91">
        <v>0.63500000000000001</v>
      </c>
      <c r="S440" s="91">
        <v>16.8</v>
      </c>
      <c r="T440" s="91" t="s">
        <v>50</v>
      </c>
      <c r="U440" s="37" t="s">
        <v>50</v>
      </c>
      <c r="V440" s="37" t="s">
        <v>50</v>
      </c>
      <c r="W440" s="37" t="s">
        <v>50</v>
      </c>
      <c r="Y440" s="750" t="s">
        <v>32</v>
      </c>
    </row>
    <row r="441" spans="1:25" x14ac:dyDescent="0.25">
      <c r="A441" s="711">
        <v>43990</v>
      </c>
      <c r="B441" s="37" t="s">
        <v>43</v>
      </c>
      <c r="C441" s="693" t="s">
        <v>845</v>
      </c>
      <c r="D441" s="37">
        <v>38.27187</v>
      </c>
      <c r="E441" s="37">
        <v>-121.70256000000001</v>
      </c>
      <c r="F441" s="37" t="s">
        <v>2324</v>
      </c>
      <c r="G441" s="37" t="s">
        <v>90</v>
      </c>
      <c r="H441" s="37" t="s">
        <v>126</v>
      </c>
      <c r="I441" s="712">
        <v>0.46875</v>
      </c>
      <c r="J441" s="37" t="s">
        <v>28</v>
      </c>
      <c r="K441" s="37" t="s">
        <v>29</v>
      </c>
      <c r="L441" s="37" t="s">
        <v>30</v>
      </c>
      <c r="M441" s="37">
        <v>2</v>
      </c>
      <c r="N441" s="37">
        <v>10</v>
      </c>
      <c r="O441" s="91">
        <v>10.850000000000001</v>
      </c>
      <c r="P441" s="91">
        <v>165.14999999999998</v>
      </c>
      <c r="Q441" s="91" t="s">
        <v>50</v>
      </c>
      <c r="R441" s="91">
        <v>1.8</v>
      </c>
      <c r="S441" s="91">
        <v>6.54</v>
      </c>
      <c r="T441" s="91" t="s">
        <v>50</v>
      </c>
      <c r="U441" s="37" t="s">
        <v>50</v>
      </c>
      <c r="V441" s="37" t="s">
        <v>50</v>
      </c>
      <c r="W441" s="37" t="s">
        <v>50</v>
      </c>
      <c r="X441" s="698" t="s">
        <v>2325</v>
      </c>
      <c r="Y441" s="750" t="s">
        <v>32</v>
      </c>
    </row>
    <row r="442" spans="1:25" x14ac:dyDescent="0.25">
      <c r="A442" s="711">
        <v>43990</v>
      </c>
      <c r="B442" s="37" t="s">
        <v>43</v>
      </c>
      <c r="C442" s="693" t="s">
        <v>845</v>
      </c>
      <c r="D442" s="37">
        <v>38.260120000000001</v>
      </c>
      <c r="E442" s="37">
        <v>-121.74651</v>
      </c>
      <c r="F442" s="37" t="s">
        <v>2326</v>
      </c>
      <c r="G442" s="37" t="s">
        <v>90</v>
      </c>
      <c r="H442" s="37" t="s">
        <v>126</v>
      </c>
      <c r="I442" s="712">
        <v>0.51041666666666663</v>
      </c>
      <c r="J442" s="37" t="s">
        <v>28</v>
      </c>
      <c r="K442" s="37" t="s">
        <v>29</v>
      </c>
      <c r="L442" s="37" t="s">
        <v>30</v>
      </c>
      <c r="M442" s="37">
        <v>2</v>
      </c>
      <c r="N442" s="37">
        <v>10</v>
      </c>
      <c r="O442" s="91">
        <v>13.049999999999999</v>
      </c>
      <c r="P442" s="91">
        <v>184.6</v>
      </c>
      <c r="Q442" s="91" t="s">
        <v>50</v>
      </c>
      <c r="R442" s="91">
        <v>0.94</v>
      </c>
      <c r="S442" s="91">
        <v>9.1</v>
      </c>
      <c r="T442" s="91" t="s">
        <v>50</v>
      </c>
      <c r="U442" s="37" t="s">
        <v>50</v>
      </c>
      <c r="V442" s="37" t="s">
        <v>50</v>
      </c>
      <c r="W442" s="37" t="s">
        <v>50</v>
      </c>
      <c r="Y442" s="750" t="s">
        <v>32</v>
      </c>
    </row>
    <row r="443" spans="1:25" x14ac:dyDescent="0.25">
      <c r="A443" s="711">
        <v>43990</v>
      </c>
      <c r="B443" s="37" t="s">
        <v>43</v>
      </c>
      <c r="C443" s="693" t="s">
        <v>845</v>
      </c>
      <c r="D443" s="37">
        <v>38.336329999999997</v>
      </c>
      <c r="E443" s="37">
        <v>-121.67213</v>
      </c>
      <c r="F443" s="37" t="s">
        <v>2327</v>
      </c>
      <c r="G443" s="37" t="s">
        <v>90</v>
      </c>
      <c r="H443" s="37" t="s">
        <v>126</v>
      </c>
      <c r="I443" s="712">
        <v>0.55555555555555558</v>
      </c>
      <c r="J443" s="37" t="s">
        <v>28</v>
      </c>
      <c r="K443" s="37" t="s">
        <v>29</v>
      </c>
      <c r="L443" s="37" t="s">
        <v>30</v>
      </c>
      <c r="M443" s="37">
        <v>3</v>
      </c>
      <c r="N443" s="37">
        <v>10</v>
      </c>
      <c r="O443" s="91">
        <v>10.600000000000001</v>
      </c>
      <c r="P443" s="91">
        <v>239.33333333333334</v>
      </c>
      <c r="Q443" s="91" t="s">
        <v>50</v>
      </c>
      <c r="R443" s="91">
        <v>0.36999999999999994</v>
      </c>
      <c r="S443" s="91">
        <v>28.533333333333331</v>
      </c>
      <c r="T443" s="91" t="s">
        <v>50</v>
      </c>
      <c r="U443" s="37" t="s">
        <v>50</v>
      </c>
      <c r="V443" s="37" t="s">
        <v>50</v>
      </c>
      <c r="W443" s="37" t="s">
        <v>50</v>
      </c>
      <c r="X443" s="698" t="s">
        <v>2328</v>
      </c>
      <c r="Y443" s="750" t="s">
        <v>32</v>
      </c>
    </row>
    <row r="444" spans="1:25" x14ac:dyDescent="0.25">
      <c r="A444" s="711">
        <v>43991</v>
      </c>
      <c r="B444" s="37" t="s">
        <v>849</v>
      </c>
      <c r="C444" s="693" t="s">
        <v>78</v>
      </c>
      <c r="D444" s="37">
        <v>38.0657</v>
      </c>
      <c r="E444" s="37">
        <v>-122.04136</v>
      </c>
      <c r="F444" s="37" t="s">
        <v>2329</v>
      </c>
      <c r="G444" s="37" t="s">
        <v>27</v>
      </c>
      <c r="H444" s="37" t="s">
        <v>86</v>
      </c>
      <c r="I444" s="712">
        <v>0.32500000000000001</v>
      </c>
      <c r="J444" s="37" t="s">
        <v>28</v>
      </c>
      <c r="K444" s="37" t="s">
        <v>29</v>
      </c>
      <c r="L444" s="37" t="s">
        <v>30</v>
      </c>
      <c r="M444" s="37">
        <v>2</v>
      </c>
      <c r="N444" s="37">
        <v>10</v>
      </c>
      <c r="O444" s="91">
        <v>35.299999999999997</v>
      </c>
      <c r="P444" s="91">
        <v>12879.5</v>
      </c>
      <c r="Q444" s="91" t="s">
        <v>50</v>
      </c>
      <c r="R444" s="91">
        <v>0.71</v>
      </c>
      <c r="S444" s="91">
        <v>18.649999999999999</v>
      </c>
      <c r="T444" s="91" t="s">
        <v>50</v>
      </c>
      <c r="U444" s="37" t="s">
        <v>50</v>
      </c>
      <c r="V444" s="37" t="s">
        <v>50</v>
      </c>
      <c r="W444" s="37" t="s">
        <v>50</v>
      </c>
      <c r="Y444" s="750" t="s">
        <v>32</v>
      </c>
    </row>
    <row r="445" spans="1:25" x14ac:dyDescent="0.25">
      <c r="A445" s="711">
        <v>43991</v>
      </c>
      <c r="B445" s="37" t="s">
        <v>849</v>
      </c>
      <c r="C445" s="693" t="s">
        <v>78</v>
      </c>
      <c r="D445" s="37">
        <v>38.06962</v>
      </c>
      <c r="E445" s="37">
        <v>-122.09990000000001</v>
      </c>
      <c r="F445" s="37" t="s">
        <v>2330</v>
      </c>
      <c r="G445" s="37" t="s">
        <v>80</v>
      </c>
      <c r="H445" s="37" t="s">
        <v>81</v>
      </c>
      <c r="I445" s="712">
        <v>0.35833333333333334</v>
      </c>
      <c r="J445" s="37" t="s">
        <v>28</v>
      </c>
      <c r="K445" s="37" t="s">
        <v>29</v>
      </c>
      <c r="L445" s="37" t="s">
        <v>30</v>
      </c>
      <c r="M445" s="37">
        <v>2</v>
      </c>
      <c r="N445" s="37">
        <v>10</v>
      </c>
      <c r="O445" s="91">
        <v>25.3</v>
      </c>
      <c r="P445" s="91">
        <v>9815.5</v>
      </c>
      <c r="Q445" s="91" t="s">
        <v>50</v>
      </c>
      <c r="R445" s="91">
        <v>0.57999999999999996</v>
      </c>
      <c r="S445" s="91">
        <v>38.6</v>
      </c>
      <c r="T445" s="91" t="s">
        <v>50</v>
      </c>
      <c r="U445" s="37" t="s">
        <v>50</v>
      </c>
      <c r="V445" s="37" t="s">
        <v>50</v>
      </c>
      <c r="W445" s="37" t="s">
        <v>50</v>
      </c>
      <c r="Y445" s="750" t="s">
        <v>32</v>
      </c>
    </row>
    <row r="446" spans="1:25" s="683" customFormat="1" x14ac:dyDescent="0.25">
      <c r="A446" s="722">
        <v>43991</v>
      </c>
      <c r="B446" s="683" t="s">
        <v>849</v>
      </c>
      <c r="C446" s="682" t="s">
        <v>78</v>
      </c>
      <c r="D446" s="683">
        <v>38.100230000000003</v>
      </c>
      <c r="E446" s="683">
        <v>-122.05418</v>
      </c>
      <c r="F446" s="683" t="s">
        <v>2331</v>
      </c>
      <c r="G446" s="683" t="s">
        <v>27</v>
      </c>
      <c r="H446" s="683" t="s">
        <v>86</v>
      </c>
      <c r="I446" s="708">
        <v>0.39027777777777778</v>
      </c>
      <c r="J446" s="683" t="s">
        <v>28</v>
      </c>
      <c r="K446" s="683" t="s">
        <v>29</v>
      </c>
      <c r="L446" s="683" t="s">
        <v>30</v>
      </c>
      <c r="M446" s="683">
        <v>2</v>
      </c>
      <c r="N446" s="683">
        <v>10</v>
      </c>
      <c r="O446" s="209">
        <v>17.8</v>
      </c>
      <c r="P446" s="209">
        <v>10861.5</v>
      </c>
      <c r="Q446" s="209" t="s">
        <v>50</v>
      </c>
      <c r="R446" s="209">
        <v>0.49</v>
      </c>
      <c r="S446" s="209">
        <v>31.950000000000003</v>
      </c>
      <c r="T446" s="209" t="s">
        <v>50</v>
      </c>
      <c r="U446" s="709" t="s">
        <v>31</v>
      </c>
      <c r="V446" s="683">
        <v>1</v>
      </c>
      <c r="W446" s="683">
        <v>28.5</v>
      </c>
      <c r="X446" s="689"/>
      <c r="Y446" s="205" t="s">
        <v>32</v>
      </c>
    </row>
    <row r="447" spans="1:25" x14ac:dyDescent="0.25">
      <c r="A447" s="711">
        <v>43991</v>
      </c>
      <c r="B447" s="37" t="s">
        <v>849</v>
      </c>
      <c r="C447" s="693" t="s">
        <v>78</v>
      </c>
      <c r="D447" s="37">
        <v>38.093380000000003</v>
      </c>
      <c r="E447" s="37">
        <v>-122.02032</v>
      </c>
      <c r="F447" s="37" t="s">
        <v>2332</v>
      </c>
      <c r="G447" s="37" t="s">
        <v>27</v>
      </c>
      <c r="H447" s="37" t="s">
        <v>86</v>
      </c>
      <c r="I447" s="712">
        <v>0.4236111111111111</v>
      </c>
      <c r="J447" s="37" t="s">
        <v>28</v>
      </c>
      <c r="K447" s="37" t="s">
        <v>29</v>
      </c>
      <c r="L447" s="37" t="s">
        <v>30</v>
      </c>
      <c r="M447" s="37">
        <v>2</v>
      </c>
      <c r="N447" s="37">
        <v>10</v>
      </c>
      <c r="O447" s="91">
        <v>29.45</v>
      </c>
      <c r="P447" s="91">
        <v>11434</v>
      </c>
      <c r="Q447" s="91" t="s">
        <v>50</v>
      </c>
      <c r="R447" s="91">
        <v>0.37</v>
      </c>
      <c r="S447" s="91">
        <v>49.900000000000006</v>
      </c>
      <c r="T447" s="91" t="s">
        <v>50</v>
      </c>
      <c r="U447" s="37" t="s">
        <v>50</v>
      </c>
      <c r="V447" s="37" t="s">
        <v>50</v>
      </c>
      <c r="W447" s="37" t="s">
        <v>50</v>
      </c>
      <c r="Y447" s="750" t="s">
        <v>32</v>
      </c>
    </row>
    <row r="448" spans="1:25" x14ac:dyDescent="0.25">
      <c r="A448" s="711">
        <v>43991</v>
      </c>
      <c r="B448" s="37" t="s">
        <v>849</v>
      </c>
      <c r="C448" s="693" t="s">
        <v>78</v>
      </c>
      <c r="D448" s="37">
        <v>38.062609999999999</v>
      </c>
      <c r="E448" s="37">
        <v>-121.84285</v>
      </c>
      <c r="F448" s="37" t="s">
        <v>2333</v>
      </c>
      <c r="G448" s="37" t="s">
        <v>27</v>
      </c>
      <c r="H448" s="37" t="s">
        <v>101</v>
      </c>
      <c r="I448" s="712">
        <v>0.46388888888888885</v>
      </c>
      <c r="J448" s="37" t="s">
        <v>28</v>
      </c>
      <c r="K448" s="37" t="s">
        <v>29</v>
      </c>
      <c r="L448" s="37" t="s">
        <v>30</v>
      </c>
      <c r="M448" s="37">
        <v>2</v>
      </c>
      <c r="N448" s="37">
        <v>10</v>
      </c>
      <c r="O448" s="91">
        <v>21</v>
      </c>
      <c r="P448" s="91">
        <v>2611.5</v>
      </c>
      <c r="Q448" s="91" t="s">
        <v>50</v>
      </c>
      <c r="R448" s="91">
        <v>0.64</v>
      </c>
      <c r="S448" s="91">
        <v>28.049999999999997</v>
      </c>
      <c r="T448" s="91" t="s">
        <v>50</v>
      </c>
      <c r="U448" s="37" t="s">
        <v>50</v>
      </c>
      <c r="V448" s="37" t="s">
        <v>50</v>
      </c>
      <c r="W448" s="37" t="s">
        <v>50</v>
      </c>
      <c r="X448" s="698" t="s">
        <v>1860</v>
      </c>
      <c r="Y448" s="750" t="s">
        <v>32</v>
      </c>
    </row>
    <row r="449" spans="1:25" x14ac:dyDescent="0.25">
      <c r="A449" s="711">
        <v>43991</v>
      </c>
      <c r="B449" s="37" t="s">
        <v>849</v>
      </c>
      <c r="C449" s="693" t="s">
        <v>106</v>
      </c>
      <c r="D449" s="37">
        <v>38.190910000000002</v>
      </c>
      <c r="E449" s="37">
        <v>-121.65722</v>
      </c>
      <c r="F449" s="37" t="s">
        <v>2334</v>
      </c>
      <c r="G449" s="37" t="s">
        <v>90</v>
      </c>
      <c r="H449" s="37" t="s">
        <v>108</v>
      </c>
      <c r="I449" s="712">
        <v>0.32847222222222222</v>
      </c>
      <c r="J449" s="37" t="s">
        <v>28</v>
      </c>
      <c r="K449" s="37" t="s">
        <v>29</v>
      </c>
      <c r="L449" s="37" t="s">
        <v>30</v>
      </c>
      <c r="M449" s="37">
        <v>2</v>
      </c>
      <c r="N449" s="37">
        <v>10</v>
      </c>
      <c r="O449" s="91">
        <v>61.45</v>
      </c>
      <c r="P449" s="91">
        <v>160.75</v>
      </c>
      <c r="Q449" s="91" t="s">
        <v>50</v>
      </c>
      <c r="R449" s="91">
        <v>1.35</v>
      </c>
      <c r="S449" s="91">
        <v>7.0049999999999999</v>
      </c>
      <c r="T449" s="91" t="s">
        <v>50</v>
      </c>
      <c r="U449" s="37" t="s">
        <v>50</v>
      </c>
      <c r="V449" s="37" t="s">
        <v>50</v>
      </c>
      <c r="W449" s="37" t="s">
        <v>50</v>
      </c>
      <c r="Y449" s="750" t="s">
        <v>32</v>
      </c>
    </row>
    <row r="450" spans="1:25" x14ac:dyDescent="0.25">
      <c r="A450" s="711">
        <v>43991</v>
      </c>
      <c r="B450" s="37" t="s">
        <v>849</v>
      </c>
      <c r="C450" s="693" t="s">
        <v>106</v>
      </c>
      <c r="D450" s="37">
        <v>38.225619999999999</v>
      </c>
      <c r="E450" s="37">
        <v>-121.67355999999999</v>
      </c>
      <c r="F450" s="37" t="s">
        <v>2335</v>
      </c>
      <c r="G450" s="37" t="s">
        <v>90</v>
      </c>
      <c r="H450" s="37" t="s">
        <v>108</v>
      </c>
      <c r="I450" s="712">
        <v>0.36180555555555555</v>
      </c>
      <c r="J450" s="37" t="s">
        <v>28</v>
      </c>
      <c r="K450" s="37" t="s">
        <v>29</v>
      </c>
      <c r="L450" s="37" t="s">
        <v>30</v>
      </c>
      <c r="M450" s="37">
        <v>2</v>
      </c>
      <c r="N450" s="37">
        <v>10</v>
      </c>
      <c r="O450" s="91">
        <v>41</v>
      </c>
      <c r="P450" s="91">
        <v>161.15</v>
      </c>
      <c r="Q450" s="91" t="s">
        <v>50</v>
      </c>
      <c r="R450" s="91">
        <v>1.1950000000000001</v>
      </c>
      <c r="S450" s="91">
        <v>7.2249999999999996</v>
      </c>
      <c r="T450" s="91" t="s">
        <v>50</v>
      </c>
      <c r="U450" s="37" t="s">
        <v>50</v>
      </c>
      <c r="V450" s="37" t="s">
        <v>50</v>
      </c>
      <c r="W450" s="37" t="s">
        <v>50</v>
      </c>
      <c r="Y450" s="750" t="s">
        <v>32</v>
      </c>
    </row>
    <row r="451" spans="1:25" x14ac:dyDescent="0.25">
      <c r="A451" s="711">
        <v>43991</v>
      </c>
      <c r="B451" s="37" t="s">
        <v>849</v>
      </c>
      <c r="C451" s="693" t="s">
        <v>106</v>
      </c>
      <c r="D451" s="37">
        <v>38.28331</v>
      </c>
      <c r="E451" s="37">
        <v>-121.65900000000001</v>
      </c>
      <c r="F451" s="37" t="s">
        <v>2336</v>
      </c>
      <c r="G451" s="37" t="s">
        <v>90</v>
      </c>
      <c r="H451" s="37" t="s">
        <v>108</v>
      </c>
      <c r="I451" s="712">
        <v>0.39374999999999999</v>
      </c>
      <c r="J451" s="37" t="s">
        <v>28</v>
      </c>
      <c r="K451" s="37" t="s">
        <v>29</v>
      </c>
      <c r="L451" s="37" t="s">
        <v>30</v>
      </c>
      <c r="M451" s="37">
        <v>2</v>
      </c>
      <c r="N451" s="37">
        <v>10</v>
      </c>
      <c r="O451" s="91">
        <v>16</v>
      </c>
      <c r="P451" s="91">
        <v>182</v>
      </c>
      <c r="Q451" s="91" t="s">
        <v>50</v>
      </c>
      <c r="R451" s="91">
        <v>0.82499999999999996</v>
      </c>
      <c r="S451" s="91">
        <v>15.3</v>
      </c>
      <c r="T451" s="91" t="s">
        <v>50</v>
      </c>
      <c r="U451" s="37" t="s">
        <v>50</v>
      </c>
      <c r="V451" s="37" t="s">
        <v>50</v>
      </c>
      <c r="W451" s="37" t="s">
        <v>50</v>
      </c>
      <c r="Y451" s="750" t="s">
        <v>32</v>
      </c>
    </row>
    <row r="452" spans="1:25" x14ac:dyDescent="0.25">
      <c r="A452" s="711">
        <v>43991</v>
      </c>
      <c r="B452" s="37" t="s">
        <v>849</v>
      </c>
      <c r="C452" s="693" t="s">
        <v>106</v>
      </c>
      <c r="D452" s="37">
        <v>38.250050000000002</v>
      </c>
      <c r="E452" s="37">
        <v>-121.66879</v>
      </c>
      <c r="F452" s="37" t="s">
        <v>2337</v>
      </c>
      <c r="G452" s="37" t="s">
        <v>90</v>
      </c>
      <c r="H452" s="37" t="s">
        <v>108</v>
      </c>
      <c r="I452" s="712">
        <v>0.4236111111111111</v>
      </c>
      <c r="J452" s="37" t="s">
        <v>28</v>
      </c>
      <c r="K452" s="37" t="s">
        <v>29</v>
      </c>
      <c r="L452" s="37" t="s">
        <v>30</v>
      </c>
      <c r="M452" s="37">
        <v>2</v>
      </c>
      <c r="N452" s="37">
        <v>10</v>
      </c>
      <c r="O452" s="91">
        <v>15</v>
      </c>
      <c r="P452" s="91">
        <v>164</v>
      </c>
      <c r="Q452" s="91" t="s">
        <v>50</v>
      </c>
      <c r="R452" s="91">
        <v>1.0049999999999999</v>
      </c>
      <c r="S452" s="91">
        <v>11.55</v>
      </c>
      <c r="T452" s="91" t="s">
        <v>50</v>
      </c>
      <c r="U452" s="37" t="s">
        <v>50</v>
      </c>
      <c r="V452" s="37" t="s">
        <v>50</v>
      </c>
      <c r="W452" s="37" t="s">
        <v>50</v>
      </c>
      <c r="Y452" s="750" t="s">
        <v>32</v>
      </c>
    </row>
    <row r="453" spans="1:25" x14ac:dyDescent="0.25">
      <c r="A453" s="711">
        <v>43991</v>
      </c>
      <c r="B453" s="37" t="s">
        <v>849</v>
      </c>
      <c r="C453" s="693" t="s">
        <v>106</v>
      </c>
      <c r="D453" s="37">
        <v>38.243549999999999</v>
      </c>
      <c r="E453" s="37">
        <v>-121.67075</v>
      </c>
      <c r="F453" s="37" t="s">
        <v>2338</v>
      </c>
      <c r="G453" s="37" t="s">
        <v>90</v>
      </c>
      <c r="H453" s="37" t="s">
        <v>108</v>
      </c>
      <c r="I453" s="712">
        <v>0.4513888888888889</v>
      </c>
      <c r="J453" s="37" t="s">
        <v>28</v>
      </c>
      <c r="K453" s="37" t="s">
        <v>29</v>
      </c>
      <c r="L453" s="37" t="s">
        <v>30</v>
      </c>
      <c r="M453" s="37">
        <v>2</v>
      </c>
      <c r="N453" s="37">
        <v>10</v>
      </c>
      <c r="O453" s="91">
        <v>20</v>
      </c>
      <c r="P453" s="91">
        <v>162.75</v>
      </c>
      <c r="Q453" s="91" t="s">
        <v>50</v>
      </c>
      <c r="R453" s="91">
        <v>1.0149999999999999</v>
      </c>
      <c r="S453" s="91">
        <v>10.75</v>
      </c>
      <c r="T453" s="91" t="s">
        <v>50</v>
      </c>
      <c r="U453" s="37" t="s">
        <v>50</v>
      </c>
      <c r="V453" s="37" t="s">
        <v>50</v>
      </c>
      <c r="W453" s="37" t="s">
        <v>50</v>
      </c>
      <c r="Y453" s="750" t="s">
        <v>32</v>
      </c>
    </row>
    <row r="454" spans="1:25" x14ac:dyDescent="0.25">
      <c r="A454" s="711">
        <v>43992</v>
      </c>
      <c r="B454" s="37" t="s">
        <v>915</v>
      </c>
      <c r="C454" s="693" t="s">
        <v>78</v>
      </c>
      <c r="D454" s="37">
        <v>38.06776</v>
      </c>
      <c r="E454" s="37">
        <v>-122.08284</v>
      </c>
      <c r="F454" s="37" t="s">
        <v>2339</v>
      </c>
      <c r="G454" s="37" t="s">
        <v>80</v>
      </c>
      <c r="H454" s="37" t="s">
        <v>81</v>
      </c>
      <c r="I454" s="712">
        <v>0.3354166666666667</v>
      </c>
      <c r="J454" s="37" t="s">
        <v>28</v>
      </c>
      <c r="K454" s="37" t="s">
        <v>29</v>
      </c>
      <c r="L454" s="37" t="s">
        <v>30</v>
      </c>
      <c r="M454" s="37">
        <v>2</v>
      </c>
      <c r="N454" s="37">
        <v>10</v>
      </c>
      <c r="O454" s="91">
        <v>16.350000000000001</v>
      </c>
      <c r="P454" s="91">
        <v>19341</v>
      </c>
      <c r="Q454" s="91" t="s">
        <v>50</v>
      </c>
      <c r="R454" s="91">
        <v>0.745</v>
      </c>
      <c r="S454" s="91">
        <v>12.35</v>
      </c>
      <c r="T454" s="91" t="s">
        <v>50</v>
      </c>
      <c r="U454" s="37" t="s">
        <v>50</v>
      </c>
      <c r="V454" s="37" t="s">
        <v>50</v>
      </c>
      <c r="W454" s="37" t="s">
        <v>50</v>
      </c>
      <c r="Y454" s="750" t="s">
        <v>32</v>
      </c>
    </row>
    <row r="455" spans="1:25" x14ac:dyDescent="0.25">
      <c r="A455" s="711">
        <v>43992</v>
      </c>
      <c r="B455" s="37" t="s">
        <v>915</v>
      </c>
      <c r="C455" s="693" t="s">
        <v>78</v>
      </c>
      <c r="D455" s="37">
        <v>38.042459999999998</v>
      </c>
      <c r="E455" s="37">
        <v>-122.12387</v>
      </c>
      <c r="F455" s="37" t="s">
        <v>2340</v>
      </c>
      <c r="G455" s="37" t="s">
        <v>80</v>
      </c>
      <c r="H455" s="37" t="s">
        <v>81</v>
      </c>
      <c r="I455" s="712">
        <v>0.36249999999999999</v>
      </c>
      <c r="J455" s="37" t="s">
        <v>28</v>
      </c>
      <c r="K455" s="37" t="s">
        <v>29</v>
      </c>
      <c r="L455" s="37" t="s">
        <v>30</v>
      </c>
      <c r="M455" s="37">
        <v>2</v>
      </c>
      <c r="N455" s="37">
        <v>10</v>
      </c>
      <c r="O455" s="91">
        <v>65.3</v>
      </c>
      <c r="P455" s="91">
        <v>19006</v>
      </c>
      <c r="Q455" s="91" t="s">
        <v>50</v>
      </c>
      <c r="R455" s="91">
        <v>0.59</v>
      </c>
      <c r="S455" s="91">
        <v>13.6</v>
      </c>
      <c r="T455" s="91" t="s">
        <v>50</v>
      </c>
      <c r="U455" s="37" t="s">
        <v>50</v>
      </c>
      <c r="V455" s="37" t="s">
        <v>50</v>
      </c>
      <c r="W455" s="37" t="s">
        <v>50</v>
      </c>
      <c r="Y455" s="750" t="s">
        <v>32</v>
      </c>
    </row>
    <row r="456" spans="1:25" x14ac:dyDescent="0.25">
      <c r="A456" s="711">
        <v>43992</v>
      </c>
      <c r="B456" s="37" t="s">
        <v>915</v>
      </c>
      <c r="C456" s="693" t="s">
        <v>78</v>
      </c>
      <c r="D456" s="37">
        <v>38.058990000000001</v>
      </c>
      <c r="E456" s="37">
        <v>-122.0582</v>
      </c>
      <c r="F456" s="37" t="s">
        <v>2341</v>
      </c>
      <c r="G456" s="37" t="s">
        <v>80</v>
      </c>
      <c r="H456" s="37" t="s">
        <v>81</v>
      </c>
      <c r="I456" s="712">
        <v>0.38819444444444445</v>
      </c>
      <c r="J456" s="37" t="s">
        <v>28</v>
      </c>
      <c r="K456" s="37" t="s">
        <v>29</v>
      </c>
      <c r="L456" s="37" t="s">
        <v>30</v>
      </c>
      <c r="M456" s="37">
        <v>2</v>
      </c>
      <c r="N456" s="37">
        <v>10</v>
      </c>
      <c r="O456" s="91">
        <v>19.399999999999999</v>
      </c>
      <c r="P456" s="91">
        <v>12499</v>
      </c>
      <c r="Q456" s="91" t="s">
        <v>50</v>
      </c>
      <c r="R456" s="91">
        <v>0.65500000000000003</v>
      </c>
      <c r="S456" s="91">
        <v>13</v>
      </c>
      <c r="T456" s="91" t="s">
        <v>50</v>
      </c>
      <c r="U456" s="37" t="s">
        <v>50</v>
      </c>
      <c r="V456" s="37" t="s">
        <v>50</v>
      </c>
      <c r="W456" s="37" t="s">
        <v>50</v>
      </c>
      <c r="Y456" s="750" t="s">
        <v>32</v>
      </c>
    </row>
    <row r="457" spans="1:25" x14ac:dyDescent="0.25">
      <c r="A457" s="711">
        <v>43992</v>
      </c>
      <c r="B457" s="37" t="s">
        <v>915</v>
      </c>
      <c r="C457" s="693" t="s">
        <v>78</v>
      </c>
      <c r="D457" s="37">
        <v>38.05771</v>
      </c>
      <c r="E457" s="37">
        <v>-121.94670000000001</v>
      </c>
      <c r="F457" s="37" t="s">
        <v>2342</v>
      </c>
      <c r="G457" s="37" t="s">
        <v>27</v>
      </c>
      <c r="H457" s="37" t="s">
        <v>170</v>
      </c>
      <c r="I457" s="712">
        <v>0.42152777777777778</v>
      </c>
      <c r="J457" s="37" t="s">
        <v>28</v>
      </c>
      <c r="K457" s="37" t="s">
        <v>29</v>
      </c>
      <c r="L457" s="37" t="s">
        <v>30</v>
      </c>
      <c r="M457" s="37">
        <v>2</v>
      </c>
      <c r="N457" s="37">
        <v>10</v>
      </c>
      <c r="O457" s="91">
        <v>18.100000000000001</v>
      </c>
      <c r="P457" s="91">
        <v>8047.5</v>
      </c>
      <c r="Q457" s="91" t="s">
        <v>50</v>
      </c>
      <c r="R457" s="91">
        <v>0.44</v>
      </c>
      <c r="S457" s="91">
        <v>44.1</v>
      </c>
      <c r="T457" s="91" t="s">
        <v>50</v>
      </c>
      <c r="U457" s="37" t="s">
        <v>50</v>
      </c>
      <c r="V457" s="37" t="s">
        <v>50</v>
      </c>
      <c r="W457" s="37" t="s">
        <v>50</v>
      </c>
      <c r="Y457" s="750" t="s">
        <v>32</v>
      </c>
    </row>
    <row r="458" spans="1:25" s="714" customFormat="1" x14ac:dyDescent="0.25">
      <c r="A458" s="713">
        <v>43992</v>
      </c>
      <c r="B458" s="714" t="s">
        <v>915</v>
      </c>
      <c r="C458" s="715" t="s">
        <v>78</v>
      </c>
      <c r="D458" s="714">
        <v>38.059080000000002</v>
      </c>
      <c r="E458" s="714">
        <v>-122.02021999999999</v>
      </c>
      <c r="F458" s="714" t="s">
        <v>2343</v>
      </c>
      <c r="G458" s="714" t="s">
        <v>27</v>
      </c>
      <c r="H458" s="714" t="s">
        <v>86</v>
      </c>
      <c r="I458" s="751">
        <v>0.44166666666666665</v>
      </c>
      <c r="J458" s="714" t="s">
        <v>28</v>
      </c>
      <c r="K458" s="714" t="s">
        <v>29</v>
      </c>
      <c r="L458" s="714" t="s">
        <v>30</v>
      </c>
      <c r="M458" s="714">
        <v>0</v>
      </c>
      <c r="N458" s="714" t="s">
        <v>50</v>
      </c>
      <c r="O458" s="752" t="s">
        <v>50</v>
      </c>
      <c r="P458" s="752" t="s">
        <v>50</v>
      </c>
      <c r="Q458" s="752" t="s">
        <v>50</v>
      </c>
      <c r="R458" s="752" t="s">
        <v>50</v>
      </c>
      <c r="S458" s="752" t="s">
        <v>50</v>
      </c>
      <c r="T458" s="752" t="s">
        <v>50</v>
      </c>
      <c r="U458" s="714" t="s">
        <v>50</v>
      </c>
      <c r="V458" s="714" t="s">
        <v>50</v>
      </c>
      <c r="W458" s="714" t="s">
        <v>50</v>
      </c>
      <c r="X458" s="720" t="s">
        <v>734</v>
      </c>
      <c r="Y458" s="750" t="s">
        <v>32</v>
      </c>
    </row>
    <row r="459" spans="1:25" x14ac:dyDescent="0.25">
      <c r="A459" s="711">
        <v>43992</v>
      </c>
      <c r="B459" s="37" t="s">
        <v>915</v>
      </c>
      <c r="C459" s="693" t="s">
        <v>78</v>
      </c>
      <c r="D459" s="37">
        <v>38.036059999999999</v>
      </c>
      <c r="E459" s="37">
        <v>-121.87679</v>
      </c>
      <c r="F459" s="37" t="s">
        <v>2344</v>
      </c>
      <c r="G459" s="37" t="s">
        <v>27</v>
      </c>
      <c r="H459" s="37" t="s">
        <v>101</v>
      </c>
      <c r="I459" s="712">
        <v>0.45069444444444445</v>
      </c>
      <c r="J459" s="37" t="s">
        <v>28</v>
      </c>
      <c r="K459" s="37" t="s">
        <v>29</v>
      </c>
      <c r="L459" s="37" t="s">
        <v>30</v>
      </c>
      <c r="M459" s="37">
        <v>2</v>
      </c>
      <c r="N459" s="37">
        <v>10</v>
      </c>
      <c r="O459" s="91">
        <v>34.25</v>
      </c>
      <c r="P459" s="91">
        <v>2981.5</v>
      </c>
      <c r="Q459" s="91" t="s">
        <v>50</v>
      </c>
      <c r="R459" s="91">
        <v>0.55000000000000004</v>
      </c>
      <c r="S459" s="91">
        <v>23.8</v>
      </c>
      <c r="T459" s="91" t="s">
        <v>50</v>
      </c>
      <c r="U459" s="37" t="s">
        <v>50</v>
      </c>
      <c r="V459" s="37" t="s">
        <v>50</v>
      </c>
      <c r="W459" s="37" t="s">
        <v>50</v>
      </c>
      <c r="Y459" s="750" t="s">
        <v>32</v>
      </c>
    </row>
    <row r="460" spans="1:25" x14ac:dyDescent="0.25">
      <c r="A460" s="711">
        <v>43992</v>
      </c>
      <c r="B460" s="37" t="s">
        <v>915</v>
      </c>
      <c r="C460" s="693" t="s">
        <v>106</v>
      </c>
      <c r="D460" s="37">
        <v>38.429729999999999</v>
      </c>
      <c r="E460" s="37">
        <v>-121.60326000000001</v>
      </c>
      <c r="F460" s="37" t="s">
        <v>2345</v>
      </c>
      <c r="G460" s="37" t="s">
        <v>90</v>
      </c>
      <c r="H460" s="37" t="s">
        <v>108</v>
      </c>
      <c r="I460" s="712">
        <v>0.4465277777777778</v>
      </c>
      <c r="J460" s="37" t="s">
        <v>28</v>
      </c>
      <c r="K460" s="37" t="s">
        <v>29</v>
      </c>
      <c r="L460" s="37" t="s">
        <v>30</v>
      </c>
      <c r="M460" s="37">
        <v>2</v>
      </c>
      <c r="N460" s="37">
        <v>10</v>
      </c>
      <c r="O460" s="91">
        <v>29.05</v>
      </c>
      <c r="P460" s="91">
        <v>683.5</v>
      </c>
      <c r="Q460" s="91" t="s">
        <v>50</v>
      </c>
      <c r="R460" s="91">
        <v>0.33999999999999997</v>
      </c>
      <c r="S460" s="91">
        <v>35.5</v>
      </c>
      <c r="T460" s="91" t="s">
        <v>50</v>
      </c>
      <c r="U460" s="37" t="s">
        <v>50</v>
      </c>
      <c r="V460" s="37" t="s">
        <v>50</v>
      </c>
      <c r="W460" s="37" t="s">
        <v>50</v>
      </c>
      <c r="Y460" s="750" t="s">
        <v>32</v>
      </c>
    </row>
    <row r="461" spans="1:25" x14ac:dyDescent="0.25">
      <c r="A461" s="711">
        <v>43992</v>
      </c>
      <c r="B461" s="37" t="s">
        <v>915</v>
      </c>
      <c r="C461" s="693" t="s">
        <v>106</v>
      </c>
      <c r="D461" s="37">
        <v>38.458379999999998</v>
      </c>
      <c r="E461" s="37">
        <v>-121.59007</v>
      </c>
      <c r="F461" s="37" t="s">
        <v>2346</v>
      </c>
      <c r="G461" s="37" t="s">
        <v>90</v>
      </c>
      <c r="H461" s="37" t="s">
        <v>108</v>
      </c>
      <c r="I461" s="712">
        <v>0.41388888888888892</v>
      </c>
      <c r="J461" s="37" t="s">
        <v>28</v>
      </c>
      <c r="K461" s="37" t="s">
        <v>29</v>
      </c>
      <c r="L461" s="37" t="s">
        <v>30</v>
      </c>
      <c r="M461" s="37">
        <v>2</v>
      </c>
      <c r="N461" s="37">
        <v>10</v>
      </c>
      <c r="O461" s="91">
        <v>28</v>
      </c>
      <c r="P461" s="91">
        <v>786</v>
      </c>
      <c r="Q461" s="91" t="s">
        <v>50</v>
      </c>
      <c r="R461" s="91">
        <v>0.30500000000000005</v>
      </c>
      <c r="S461" s="91">
        <v>30.45</v>
      </c>
      <c r="T461" s="91" t="s">
        <v>50</v>
      </c>
      <c r="U461" s="37" t="s">
        <v>50</v>
      </c>
      <c r="V461" s="37" t="s">
        <v>50</v>
      </c>
      <c r="W461" s="37" t="s">
        <v>50</v>
      </c>
      <c r="Y461" s="750" t="s">
        <v>32</v>
      </c>
    </row>
    <row r="462" spans="1:25" x14ac:dyDescent="0.25">
      <c r="A462" s="711">
        <v>43992</v>
      </c>
      <c r="B462" s="37" t="s">
        <v>915</v>
      </c>
      <c r="C462" s="693" t="s">
        <v>106</v>
      </c>
      <c r="D462" s="37">
        <v>38.37236</v>
      </c>
      <c r="E462" s="37">
        <v>-121.6297</v>
      </c>
      <c r="F462" s="37" t="s">
        <v>2347</v>
      </c>
      <c r="G462" s="37" t="s">
        <v>90</v>
      </c>
      <c r="H462" s="37" t="s">
        <v>108</v>
      </c>
      <c r="I462" s="712">
        <v>0.4777777777777778</v>
      </c>
      <c r="J462" s="37" t="s">
        <v>28</v>
      </c>
      <c r="K462" s="37" t="s">
        <v>29</v>
      </c>
      <c r="L462" s="37" t="s">
        <v>30</v>
      </c>
      <c r="M462" s="37">
        <v>2</v>
      </c>
      <c r="N462" s="37">
        <v>10</v>
      </c>
      <c r="O462" s="91">
        <v>29.75</v>
      </c>
      <c r="P462" s="91">
        <v>487.5</v>
      </c>
      <c r="Q462" s="91" t="s">
        <v>50</v>
      </c>
      <c r="R462" s="91">
        <v>0.34499999999999997</v>
      </c>
      <c r="S462" s="91">
        <v>34.549999999999997</v>
      </c>
      <c r="T462" s="91" t="s">
        <v>50</v>
      </c>
      <c r="U462" s="37" t="s">
        <v>50</v>
      </c>
      <c r="V462" s="37" t="s">
        <v>50</v>
      </c>
      <c r="W462" s="37" t="s">
        <v>50</v>
      </c>
      <c r="Y462" s="750" t="s">
        <v>32</v>
      </c>
    </row>
    <row r="463" spans="1:25" x14ac:dyDescent="0.25">
      <c r="A463" s="711">
        <v>43992</v>
      </c>
      <c r="B463" s="37" t="s">
        <v>915</v>
      </c>
      <c r="C463" s="693" t="s">
        <v>106</v>
      </c>
      <c r="D463" s="37">
        <v>38.552990000000001</v>
      </c>
      <c r="E463" s="37">
        <v>-121.57732</v>
      </c>
      <c r="F463" s="37" t="s">
        <v>2348</v>
      </c>
      <c r="G463" s="37" t="s">
        <v>90</v>
      </c>
      <c r="H463" s="37" t="s">
        <v>1787</v>
      </c>
      <c r="I463" s="712">
        <v>0.38125000000000003</v>
      </c>
      <c r="J463" s="37" t="s">
        <v>28</v>
      </c>
      <c r="K463" s="37" t="s">
        <v>29</v>
      </c>
      <c r="L463" s="37" t="s">
        <v>30</v>
      </c>
      <c r="M463" s="37">
        <v>2</v>
      </c>
      <c r="N463" s="37">
        <v>10</v>
      </c>
      <c r="O463" s="91">
        <v>38.5</v>
      </c>
      <c r="P463" s="91">
        <v>1077</v>
      </c>
      <c r="Q463" s="91" t="s">
        <v>50</v>
      </c>
      <c r="R463" s="91">
        <v>1.21</v>
      </c>
      <c r="S463" s="91">
        <v>6.3449999999999998</v>
      </c>
      <c r="T463" s="91" t="s">
        <v>50</v>
      </c>
      <c r="U463" s="37" t="s">
        <v>50</v>
      </c>
      <c r="V463" s="37" t="s">
        <v>50</v>
      </c>
      <c r="W463" s="37" t="s">
        <v>50</v>
      </c>
      <c r="Y463" s="750" t="s">
        <v>32</v>
      </c>
    </row>
    <row r="464" spans="1:25" x14ac:dyDescent="0.25">
      <c r="A464" s="711">
        <v>43992</v>
      </c>
      <c r="B464" s="37" t="s">
        <v>915</v>
      </c>
      <c r="C464" s="693" t="s">
        <v>106</v>
      </c>
      <c r="D464" s="37">
        <v>38.210090000000001</v>
      </c>
      <c r="E464" s="37">
        <v>-121.66216</v>
      </c>
      <c r="F464" s="37" t="s">
        <v>2349</v>
      </c>
      <c r="G464" s="37" t="s">
        <v>90</v>
      </c>
      <c r="H464" s="37" t="s">
        <v>1787</v>
      </c>
      <c r="I464" s="712">
        <v>0.51666666666666672</v>
      </c>
      <c r="J464" s="37" t="s">
        <v>28</v>
      </c>
      <c r="K464" s="37" t="s">
        <v>29</v>
      </c>
      <c r="L464" s="37" t="s">
        <v>30</v>
      </c>
      <c r="M464" s="37">
        <v>2</v>
      </c>
      <c r="N464" s="37">
        <v>10</v>
      </c>
      <c r="O464" s="91">
        <v>41</v>
      </c>
      <c r="P464" s="91">
        <v>161</v>
      </c>
      <c r="Q464" s="91" t="s">
        <v>50</v>
      </c>
      <c r="R464" s="91">
        <v>1.37</v>
      </c>
      <c r="S464" s="91">
        <v>9.5449999999999999</v>
      </c>
      <c r="T464" s="91" t="s">
        <v>50</v>
      </c>
      <c r="U464" s="37" t="s">
        <v>50</v>
      </c>
      <c r="V464" s="37" t="s">
        <v>50</v>
      </c>
      <c r="W464" s="37" t="s">
        <v>50</v>
      </c>
      <c r="Y464" s="750" t="s">
        <v>32</v>
      </c>
    </row>
    <row r="465" spans="1:25" x14ac:dyDescent="0.25">
      <c r="A465" s="711">
        <v>43993</v>
      </c>
      <c r="B465" s="37" t="s">
        <v>876</v>
      </c>
      <c r="C465" s="693" t="s">
        <v>95</v>
      </c>
      <c r="D465" s="37">
        <v>38.062989999999999</v>
      </c>
      <c r="E465" s="37">
        <v>-121.54239</v>
      </c>
      <c r="F465" s="37" t="s">
        <v>2350</v>
      </c>
      <c r="G465" s="37" t="s">
        <v>46</v>
      </c>
      <c r="H465" s="37" t="s">
        <v>1767</v>
      </c>
      <c r="I465" s="712">
        <v>0.35555555555555557</v>
      </c>
      <c r="J465" s="37" t="s">
        <v>28</v>
      </c>
      <c r="K465" s="37" t="s">
        <v>29</v>
      </c>
      <c r="L465" s="37" t="s">
        <v>30</v>
      </c>
      <c r="M465" s="37">
        <v>2</v>
      </c>
      <c r="N465" s="37">
        <v>10</v>
      </c>
      <c r="O465" s="91">
        <v>15.75</v>
      </c>
      <c r="P465" s="91">
        <v>215.4</v>
      </c>
      <c r="Q465" s="91" t="s">
        <v>50</v>
      </c>
      <c r="R465" s="91">
        <v>1.4</v>
      </c>
      <c r="S465" s="91">
        <v>6.915</v>
      </c>
      <c r="T465" s="91" t="s">
        <v>50</v>
      </c>
      <c r="U465" s="37" t="s">
        <v>50</v>
      </c>
      <c r="V465" s="37" t="s">
        <v>50</v>
      </c>
      <c r="W465" s="37" t="s">
        <v>50</v>
      </c>
      <c r="Y465" s="750" t="s">
        <v>32</v>
      </c>
    </row>
    <row r="466" spans="1:25" x14ac:dyDescent="0.25">
      <c r="A466" s="711">
        <v>43993</v>
      </c>
      <c r="B466" s="37" t="s">
        <v>876</v>
      </c>
      <c r="C466" s="693" t="s">
        <v>95</v>
      </c>
      <c r="D466" s="37">
        <v>38.060459999999999</v>
      </c>
      <c r="E466" s="37">
        <v>-121.67689</v>
      </c>
      <c r="F466" s="37" t="s">
        <v>2351</v>
      </c>
      <c r="G466" s="37" t="s">
        <v>46</v>
      </c>
      <c r="H466" s="37" t="s">
        <v>908</v>
      </c>
      <c r="I466" s="712">
        <v>0.39097222222222222</v>
      </c>
      <c r="J466" s="37" t="s">
        <v>28</v>
      </c>
      <c r="K466" s="37" t="s">
        <v>29</v>
      </c>
      <c r="L466" s="37" t="s">
        <v>30</v>
      </c>
      <c r="M466" s="37">
        <v>2</v>
      </c>
      <c r="N466" s="37">
        <v>10</v>
      </c>
      <c r="O466" s="91">
        <v>19.350000000000001</v>
      </c>
      <c r="P466" s="91">
        <v>486.5</v>
      </c>
      <c r="Q466" s="91" t="s">
        <v>50</v>
      </c>
      <c r="R466" s="91">
        <v>1.2250000000000001</v>
      </c>
      <c r="S466" s="91">
        <v>9.0850000000000009</v>
      </c>
      <c r="T466" s="91" t="s">
        <v>50</v>
      </c>
      <c r="U466" s="37" t="s">
        <v>50</v>
      </c>
      <c r="V466" s="37" t="s">
        <v>50</v>
      </c>
      <c r="W466" s="37" t="s">
        <v>50</v>
      </c>
      <c r="Y466" s="750" t="s">
        <v>32</v>
      </c>
    </row>
    <row r="467" spans="1:25" x14ac:dyDescent="0.25">
      <c r="A467" s="711">
        <v>43993</v>
      </c>
      <c r="B467" s="37" t="s">
        <v>876</v>
      </c>
      <c r="C467" s="693" t="s">
        <v>95</v>
      </c>
      <c r="D467" s="37">
        <v>38.032980000000002</v>
      </c>
      <c r="E467" s="37">
        <v>-121.75263</v>
      </c>
      <c r="F467" s="37" t="s">
        <v>2352</v>
      </c>
      <c r="G467" s="37" t="s">
        <v>27</v>
      </c>
      <c r="H467" s="37" t="s">
        <v>863</v>
      </c>
      <c r="I467" s="712">
        <v>0.42083333333333334</v>
      </c>
      <c r="J467" s="37" t="s">
        <v>28</v>
      </c>
      <c r="K467" s="37" t="s">
        <v>29</v>
      </c>
      <c r="L467" s="37" t="s">
        <v>30</v>
      </c>
      <c r="M467" s="37">
        <v>2</v>
      </c>
      <c r="N467" s="37">
        <v>10</v>
      </c>
      <c r="O467" s="91">
        <v>20.7</v>
      </c>
      <c r="P467" s="91">
        <v>1110.5</v>
      </c>
      <c r="Q467" s="91" t="s">
        <v>50</v>
      </c>
      <c r="R467" s="91">
        <v>1.5</v>
      </c>
      <c r="S467" s="91">
        <v>11.05</v>
      </c>
      <c r="T467" s="91" t="s">
        <v>50</v>
      </c>
      <c r="U467" s="37" t="s">
        <v>50</v>
      </c>
      <c r="V467" s="37" t="s">
        <v>50</v>
      </c>
      <c r="W467" s="37" t="s">
        <v>50</v>
      </c>
      <c r="X467" s="698" t="s">
        <v>2353</v>
      </c>
      <c r="Y467" s="750" t="s">
        <v>32</v>
      </c>
    </row>
    <row r="468" spans="1:25" x14ac:dyDescent="0.25">
      <c r="A468" s="711">
        <v>43993</v>
      </c>
      <c r="B468" s="37" t="s">
        <v>876</v>
      </c>
      <c r="C468" s="693" t="s">
        <v>95</v>
      </c>
      <c r="D468" s="37">
        <v>38.029000000000003</v>
      </c>
      <c r="E468" s="37">
        <v>-121.76898</v>
      </c>
      <c r="F468" s="37" t="s">
        <v>2354</v>
      </c>
      <c r="G468" s="37" t="s">
        <v>27</v>
      </c>
      <c r="H468" s="37" t="s">
        <v>863</v>
      </c>
      <c r="I468" s="712">
        <v>0.44791666666666669</v>
      </c>
      <c r="J468" s="37" t="s">
        <v>28</v>
      </c>
      <c r="K468" s="37" t="s">
        <v>29</v>
      </c>
      <c r="L468" s="37" t="s">
        <v>30</v>
      </c>
      <c r="M468" s="37">
        <v>2</v>
      </c>
      <c r="N468" s="37">
        <v>10</v>
      </c>
      <c r="O468" s="91">
        <v>42.55</v>
      </c>
      <c r="P468" s="91">
        <v>1051.5</v>
      </c>
      <c r="Q468" s="91" t="s">
        <v>50</v>
      </c>
      <c r="R468" s="91">
        <v>0.85</v>
      </c>
      <c r="S468" s="91">
        <v>17.8</v>
      </c>
      <c r="T468" s="91" t="s">
        <v>50</v>
      </c>
      <c r="U468" s="37" t="s">
        <v>50</v>
      </c>
      <c r="V468" s="37" t="s">
        <v>50</v>
      </c>
      <c r="W468" s="37" t="s">
        <v>50</v>
      </c>
      <c r="Y468" s="750" t="s">
        <v>32</v>
      </c>
    </row>
    <row r="469" spans="1:25" x14ac:dyDescent="0.25">
      <c r="A469" s="711">
        <v>43993</v>
      </c>
      <c r="B469" s="37" t="s">
        <v>876</v>
      </c>
      <c r="C469" s="693" t="s">
        <v>95</v>
      </c>
      <c r="D469" s="37">
        <v>38.018320000000003</v>
      </c>
      <c r="E469" s="37">
        <v>-121.77451000000001</v>
      </c>
      <c r="F469" s="37" t="s">
        <v>2355</v>
      </c>
      <c r="G469" s="37" t="s">
        <v>27</v>
      </c>
      <c r="H469" s="37" t="s">
        <v>863</v>
      </c>
      <c r="I469" s="712">
        <v>0.47152777777777777</v>
      </c>
      <c r="J469" s="37" t="s">
        <v>28</v>
      </c>
      <c r="K469" s="37" t="s">
        <v>29</v>
      </c>
      <c r="L469" s="37" t="s">
        <v>30</v>
      </c>
      <c r="M469" s="37">
        <v>2</v>
      </c>
      <c r="N469" s="37">
        <v>10</v>
      </c>
      <c r="O469" s="91">
        <v>29.15</v>
      </c>
      <c r="P469" s="91">
        <v>1150</v>
      </c>
      <c r="Q469" s="91" t="s">
        <v>50</v>
      </c>
      <c r="R469" s="91">
        <v>0.86</v>
      </c>
      <c r="S469" s="91">
        <v>12.2</v>
      </c>
      <c r="T469" s="91" t="s">
        <v>50</v>
      </c>
      <c r="U469" s="37" t="s">
        <v>50</v>
      </c>
      <c r="V469" s="37" t="s">
        <v>50</v>
      </c>
      <c r="W469" s="37" t="s">
        <v>50</v>
      </c>
      <c r="Y469" s="750" t="s">
        <v>32</v>
      </c>
    </row>
    <row r="470" spans="1:25" x14ac:dyDescent="0.25">
      <c r="A470" s="711">
        <v>43993</v>
      </c>
      <c r="B470" s="37" t="s">
        <v>876</v>
      </c>
      <c r="C470" s="693" t="s">
        <v>88</v>
      </c>
      <c r="D470" s="37">
        <v>38.16189</v>
      </c>
      <c r="E470" s="37">
        <v>-121.68151</v>
      </c>
      <c r="F470" s="37" t="s">
        <v>2356</v>
      </c>
      <c r="G470" s="37" t="s">
        <v>90</v>
      </c>
      <c r="H470" s="37" t="s">
        <v>91</v>
      </c>
      <c r="I470" s="712">
        <v>0.3215277777777778</v>
      </c>
      <c r="J470" s="37" t="s">
        <v>28</v>
      </c>
      <c r="K470" s="37" t="s">
        <v>29</v>
      </c>
      <c r="L470" s="37" t="s">
        <v>30</v>
      </c>
      <c r="M470" s="37">
        <v>2</v>
      </c>
      <c r="N470" s="37">
        <v>10</v>
      </c>
      <c r="O470" s="91">
        <v>34.15</v>
      </c>
      <c r="P470" s="91">
        <v>161.65</v>
      </c>
      <c r="Q470" s="91" t="s">
        <v>50</v>
      </c>
      <c r="R470" s="91">
        <v>1.55</v>
      </c>
      <c r="S470" s="91">
        <v>5.1449999999999996</v>
      </c>
      <c r="T470" s="91" t="s">
        <v>50</v>
      </c>
      <c r="U470" s="37" t="s">
        <v>50</v>
      </c>
      <c r="V470" s="37" t="s">
        <v>50</v>
      </c>
      <c r="W470" s="37" t="s">
        <v>50</v>
      </c>
      <c r="Y470" s="750" t="s">
        <v>32</v>
      </c>
    </row>
    <row r="471" spans="1:25" x14ac:dyDescent="0.25">
      <c r="A471" s="711">
        <v>43993</v>
      </c>
      <c r="B471" s="37" t="s">
        <v>876</v>
      </c>
      <c r="C471" s="693" t="s">
        <v>88</v>
      </c>
      <c r="D471" s="37">
        <v>38.106360000000002</v>
      </c>
      <c r="E471" s="37">
        <v>-121.70835</v>
      </c>
      <c r="F471" s="37" t="s">
        <v>2357</v>
      </c>
      <c r="G471" s="37" t="s">
        <v>90</v>
      </c>
      <c r="H471" s="37" t="s">
        <v>91</v>
      </c>
      <c r="I471" s="712">
        <v>0.35416666666666669</v>
      </c>
      <c r="J471" s="37" t="s">
        <v>28</v>
      </c>
      <c r="K471" s="37" t="s">
        <v>29</v>
      </c>
      <c r="L471" s="37" t="s">
        <v>30</v>
      </c>
      <c r="M471" s="37">
        <v>2</v>
      </c>
      <c r="N471" s="37">
        <v>10</v>
      </c>
      <c r="O471" s="91">
        <v>15.9</v>
      </c>
      <c r="P471" s="91">
        <v>245.15</v>
      </c>
      <c r="Q471" s="91" t="s">
        <v>50</v>
      </c>
      <c r="R471" s="91">
        <v>0.79</v>
      </c>
      <c r="S471" s="91">
        <v>9.2949999999999999</v>
      </c>
      <c r="T471" s="91" t="s">
        <v>50</v>
      </c>
      <c r="U471" s="37" t="s">
        <v>50</v>
      </c>
      <c r="V471" s="37" t="s">
        <v>50</v>
      </c>
      <c r="W471" s="37" t="s">
        <v>50</v>
      </c>
      <c r="Y471" s="750" t="s">
        <v>32</v>
      </c>
    </row>
    <row r="472" spans="1:25" x14ac:dyDescent="0.25">
      <c r="A472" s="711">
        <v>43993</v>
      </c>
      <c r="B472" s="37" t="s">
        <v>876</v>
      </c>
      <c r="C472" s="693" t="s">
        <v>88</v>
      </c>
      <c r="D472" s="37">
        <v>38.066839999999999</v>
      </c>
      <c r="E472" s="37">
        <v>-121.77396</v>
      </c>
      <c r="F472" s="37" t="s">
        <v>2358</v>
      </c>
      <c r="G472" s="37" t="s">
        <v>27</v>
      </c>
      <c r="H472" s="37" t="s">
        <v>25</v>
      </c>
      <c r="I472" s="712">
        <v>0.38541666666666669</v>
      </c>
      <c r="J472" s="37" t="s">
        <v>28</v>
      </c>
      <c r="K472" s="37" t="s">
        <v>29</v>
      </c>
      <c r="L472" s="37" t="s">
        <v>30</v>
      </c>
      <c r="M472" s="37">
        <v>2</v>
      </c>
      <c r="N472" s="37">
        <v>10</v>
      </c>
      <c r="O472" s="91">
        <v>27.45</v>
      </c>
      <c r="P472" s="91">
        <v>1110.5</v>
      </c>
      <c r="Q472" s="91" t="s">
        <v>50</v>
      </c>
      <c r="R472" s="91">
        <v>0.66500000000000004</v>
      </c>
      <c r="S472" s="91">
        <v>17.95</v>
      </c>
      <c r="T472" s="91" t="s">
        <v>50</v>
      </c>
      <c r="U472" s="37" t="s">
        <v>50</v>
      </c>
      <c r="V472" s="37" t="s">
        <v>50</v>
      </c>
      <c r="W472" s="37" t="s">
        <v>50</v>
      </c>
      <c r="Y472" s="750" t="s">
        <v>32</v>
      </c>
    </row>
    <row r="473" spans="1:25" x14ac:dyDescent="0.25">
      <c r="A473" s="711">
        <v>43993</v>
      </c>
      <c r="B473" s="37" t="s">
        <v>876</v>
      </c>
      <c r="C473" s="693" t="s">
        <v>88</v>
      </c>
      <c r="D473" s="37">
        <v>38.066040000000001</v>
      </c>
      <c r="E473" s="37">
        <v>-121.83093</v>
      </c>
      <c r="F473" s="37" t="s">
        <v>2359</v>
      </c>
      <c r="G473" s="37" t="s">
        <v>27</v>
      </c>
      <c r="H473" s="37" t="s">
        <v>25</v>
      </c>
      <c r="I473" s="712">
        <v>0.41875000000000001</v>
      </c>
      <c r="J473" s="37" t="s">
        <v>28</v>
      </c>
      <c r="K473" s="37" t="s">
        <v>29</v>
      </c>
      <c r="L473" s="37" t="s">
        <v>30</v>
      </c>
      <c r="M473" s="37">
        <v>2</v>
      </c>
      <c r="N473" s="37">
        <v>10</v>
      </c>
      <c r="O473" s="91">
        <v>26.3</v>
      </c>
      <c r="P473" s="91">
        <v>3116.5</v>
      </c>
      <c r="Q473" s="91" t="s">
        <v>50</v>
      </c>
      <c r="R473" s="91">
        <v>0.495</v>
      </c>
      <c r="S473" s="91">
        <v>21.3</v>
      </c>
      <c r="T473" s="91" t="s">
        <v>50</v>
      </c>
      <c r="U473" s="37" t="s">
        <v>50</v>
      </c>
      <c r="V473" s="37" t="s">
        <v>50</v>
      </c>
      <c r="W473" s="37" t="s">
        <v>50</v>
      </c>
      <c r="Y473" s="750" t="s">
        <v>32</v>
      </c>
    </row>
    <row r="474" spans="1:25" s="759" customFormat="1" x14ac:dyDescent="0.25">
      <c r="A474" s="798">
        <v>43993</v>
      </c>
      <c r="B474" s="759" t="s">
        <v>876</v>
      </c>
      <c r="C474" s="799" t="s">
        <v>88</v>
      </c>
      <c r="D474" s="759">
        <v>38.117789999999999</v>
      </c>
      <c r="E474" s="759">
        <v>-121.69947999999999</v>
      </c>
      <c r="F474" s="759" t="s">
        <v>2360</v>
      </c>
      <c r="G474" s="759" t="s">
        <v>90</v>
      </c>
      <c r="H474" s="759" t="s">
        <v>91</v>
      </c>
      <c r="I474" s="800">
        <v>0.45555555555555555</v>
      </c>
      <c r="J474" s="759" t="s">
        <v>28</v>
      </c>
      <c r="K474" s="759" t="s">
        <v>29</v>
      </c>
      <c r="L474" s="759" t="s">
        <v>30</v>
      </c>
      <c r="M474" s="759">
        <v>2</v>
      </c>
      <c r="N474" s="759">
        <v>10</v>
      </c>
      <c r="O474" s="802">
        <v>22.1</v>
      </c>
      <c r="P474" s="802">
        <v>177.65</v>
      </c>
      <c r="Q474" s="802" t="s">
        <v>50</v>
      </c>
      <c r="R474" s="802">
        <v>1.385</v>
      </c>
      <c r="S474" s="802">
        <v>9.5950000000000006</v>
      </c>
      <c r="T474" s="802" t="s">
        <v>50</v>
      </c>
      <c r="U474" s="759" t="s">
        <v>50</v>
      </c>
      <c r="V474" s="759" t="s">
        <v>50</v>
      </c>
      <c r="W474" s="759" t="s">
        <v>50</v>
      </c>
      <c r="X474" s="803"/>
      <c r="Y474" s="763" t="s">
        <v>32</v>
      </c>
    </row>
    <row r="475" spans="1:25" x14ac:dyDescent="0.25">
      <c r="A475" s="711">
        <v>43997</v>
      </c>
      <c r="B475" s="37" t="s">
        <v>43</v>
      </c>
      <c r="C475" s="693" t="s">
        <v>95</v>
      </c>
      <c r="D475" s="37">
        <v>38.021050000000002</v>
      </c>
      <c r="E475" s="37">
        <v>-121.73304</v>
      </c>
      <c r="F475" s="37" t="s">
        <v>2361</v>
      </c>
      <c r="G475" s="37" t="s">
        <v>27</v>
      </c>
      <c r="H475" s="37" t="s">
        <v>863</v>
      </c>
      <c r="I475" s="712">
        <v>0.32291666666666669</v>
      </c>
      <c r="J475" s="37" t="s">
        <v>28</v>
      </c>
      <c r="K475" s="37" t="s">
        <v>29</v>
      </c>
      <c r="L475" s="37" t="s">
        <v>30</v>
      </c>
      <c r="M475" s="37">
        <v>2</v>
      </c>
      <c r="N475" s="37">
        <v>10</v>
      </c>
      <c r="O475" s="91">
        <v>10.45</v>
      </c>
      <c r="P475" s="91">
        <v>334.35</v>
      </c>
      <c r="Q475" s="91" t="s">
        <v>50</v>
      </c>
      <c r="R475" s="91">
        <v>1.75</v>
      </c>
      <c r="S475" s="91">
        <v>4.125</v>
      </c>
      <c r="T475" s="91" t="s">
        <v>50</v>
      </c>
      <c r="U475" s="37" t="s">
        <v>50</v>
      </c>
      <c r="V475" s="37" t="s">
        <v>50</v>
      </c>
      <c r="W475" s="37" t="s">
        <v>50</v>
      </c>
      <c r="X475" s="698" t="s">
        <v>2362</v>
      </c>
      <c r="Y475" s="750" t="s">
        <v>32</v>
      </c>
    </row>
    <row r="476" spans="1:25" x14ac:dyDescent="0.25">
      <c r="A476" s="711">
        <v>43997</v>
      </c>
      <c r="B476" s="37" t="s">
        <v>43</v>
      </c>
      <c r="C476" s="693" t="s">
        <v>106</v>
      </c>
      <c r="D476" s="37">
        <v>38.36374</v>
      </c>
      <c r="E476" s="37">
        <v>-121.63369</v>
      </c>
      <c r="F476" s="37" t="s">
        <v>2363</v>
      </c>
      <c r="G476" s="37" t="s">
        <v>90</v>
      </c>
      <c r="H476" s="37" t="s">
        <v>108</v>
      </c>
      <c r="I476" s="712">
        <v>0.35555555555555557</v>
      </c>
      <c r="J476" s="37" t="s">
        <v>28</v>
      </c>
      <c r="K476" s="37" t="s">
        <v>29</v>
      </c>
      <c r="L476" s="37" t="s">
        <v>30</v>
      </c>
      <c r="M476" s="37">
        <v>2</v>
      </c>
      <c r="N476" s="37">
        <v>10</v>
      </c>
      <c r="O476" s="91">
        <v>31.25</v>
      </c>
      <c r="P476" s="91">
        <v>542</v>
      </c>
      <c r="Q476" s="91" t="s">
        <v>50</v>
      </c>
      <c r="R476" s="91">
        <v>0.38500000000000001</v>
      </c>
      <c r="S476" s="91">
        <v>36.799999999999997</v>
      </c>
      <c r="T476" s="91" t="s">
        <v>50</v>
      </c>
      <c r="U476" s="37" t="s">
        <v>50</v>
      </c>
      <c r="V476" s="37" t="s">
        <v>50</v>
      </c>
      <c r="W476" s="37" t="s">
        <v>50</v>
      </c>
      <c r="Y476" s="750" t="s">
        <v>32</v>
      </c>
    </row>
    <row r="477" spans="1:25" x14ac:dyDescent="0.25">
      <c r="A477" s="711">
        <v>43997</v>
      </c>
      <c r="B477" s="37" t="s">
        <v>43</v>
      </c>
      <c r="C477" s="693" t="s">
        <v>106</v>
      </c>
      <c r="D477" s="37">
        <v>38.212110000000003</v>
      </c>
      <c r="E477" s="37">
        <v>-121.66607999999999</v>
      </c>
      <c r="F477" s="37" t="s">
        <v>2364</v>
      </c>
      <c r="G477" s="37" t="s">
        <v>90</v>
      </c>
      <c r="H477" s="37" t="s">
        <v>108</v>
      </c>
      <c r="I477" s="712">
        <v>0.39513888888888887</v>
      </c>
      <c r="J477" s="37" t="s">
        <v>28</v>
      </c>
      <c r="K477" s="37" t="s">
        <v>29</v>
      </c>
      <c r="L477" s="37" t="s">
        <v>30</v>
      </c>
      <c r="M477" s="37">
        <v>2</v>
      </c>
      <c r="N477" s="37">
        <v>10</v>
      </c>
      <c r="O477" s="91">
        <v>38.549999999999997</v>
      </c>
      <c r="P477" s="91">
        <v>156.6</v>
      </c>
      <c r="Q477" s="91" t="s">
        <v>50</v>
      </c>
      <c r="R477" s="91">
        <v>1.35</v>
      </c>
      <c r="S477" s="91">
        <v>8.879999999999999</v>
      </c>
      <c r="T477" s="91" t="s">
        <v>50</v>
      </c>
      <c r="U477" s="37" t="s">
        <v>50</v>
      </c>
      <c r="V477" s="37" t="s">
        <v>50</v>
      </c>
      <c r="W477" s="37" t="s">
        <v>50</v>
      </c>
      <c r="Y477" s="750" t="s">
        <v>32</v>
      </c>
    </row>
    <row r="478" spans="1:25" x14ac:dyDescent="0.25">
      <c r="A478" s="711">
        <v>43997</v>
      </c>
      <c r="B478" s="37" t="s">
        <v>43</v>
      </c>
      <c r="C478" s="693" t="s">
        <v>106</v>
      </c>
      <c r="D478" s="37">
        <v>38.190519999999999</v>
      </c>
      <c r="E478" s="37">
        <v>-121.65795</v>
      </c>
      <c r="F478" s="37" t="s">
        <v>2365</v>
      </c>
      <c r="G478" s="37" t="s">
        <v>90</v>
      </c>
      <c r="H478" s="37" t="s">
        <v>108</v>
      </c>
      <c r="I478" s="712">
        <v>0.42222222222222222</v>
      </c>
      <c r="J478" s="37" t="s">
        <v>28</v>
      </c>
      <c r="K478" s="37" t="s">
        <v>29</v>
      </c>
      <c r="L478" s="37" t="s">
        <v>30</v>
      </c>
      <c r="M478" s="37">
        <v>2</v>
      </c>
      <c r="N478" s="37">
        <v>10</v>
      </c>
      <c r="O478" s="91">
        <v>61.5</v>
      </c>
      <c r="P478" s="91">
        <v>147.5</v>
      </c>
      <c r="Q478" s="91" t="s">
        <v>50</v>
      </c>
      <c r="R478" s="91">
        <v>1.5</v>
      </c>
      <c r="S478" s="91">
        <v>5.5</v>
      </c>
      <c r="T478" s="91" t="s">
        <v>50</v>
      </c>
      <c r="U478" s="37" t="s">
        <v>50</v>
      </c>
      <c r="V478" s="37" t="s">
        <v>50</v>
      </c>
      <c r="W478" s="37" t="s">
        <v>50</v>
      </c>
      <c r="Y478" s="750" t="s">
        <v>32</v>
      </c>
    </row>
    <row r="479" spans="1:25" x14ac:dyDescent="0.25">
      <c r="A479" s="711">
        <v>43997</v>
      </c>
      <c r="B479" s="37" t="s">
        <v>43</v>
      </c>
      <c r="C479" s="693" t="s">
        <v>106</v>
      </c>
      <c r="D479" s="37">
        <v>38.210349999999998</v>
      </c>
      <c r="E479" s="37">
        <v>-121.66237</v>
      </c>
      <c r="F479" s="37" t="s">
        <v>2366</v>
      </c>
      <c r="G479" s="37" t="s">
        <v>90</v>
      </c>
      <c r="H479" s="37" t="s">
        <v>108</v>
      </c>
      <c r="I479" s="712">
        <v>0.44722222222222219</v>
      </c>
      <c r="J479" s="37" t="s">
        <v>28</v>
      </c>
      <c r="K479" s="37" t="s">
        <v>29</v>
      </c>
      <c r="L479" s="37" t="s">
        <v>30</v>
      </c>
      <c r="M479" s="37">
        <v>2</v>
      </c>
      <c r="N479" s="37">
        <v>10</v>
      </c>
      <c r="O479" s="91">
        <v>42.65</v>
      </c>
      <c r="P479" s="91">
        <v>153.94999999999999</v>
      </c>
      <c r="Q479" s="91" t="s">
        <v>50</v>
      </c>
      <c r="R479" s="91">
        <v>1.52</v>
      </c>
      <c r="S479" s="91">
        <v>7.4350000000000005</v>
      </c>
      <c r="T479" s="91" t="s">
        <v>50</v>
      </c>
      <c r="U479" s="37" t="s">
        <v>50</v>
      </c>
      <c r="V479" s="37" t="s">
        <v>50</v>
      </c>
      <c r="W479" s="37" t="s">
        <v>50</v>
      </c>
      <c r="Y479" s="750" t="s">
        <v>32</v>
      </c>
    </row>
    <row r="480" spans="1:25" x14ac:dyDescent="0.25">
      <c r="A480" s="711">
        <v>43997</v>
      </c>
      <c r="B480" s="37" t="s">
        <v>43</v>
      </c>
      <c r="C480" s="693" t="s">
        <v>106</v>
      </c>
      <c r="D480" s="37">
        <v>38.193669999999997</v>
      </c>
      <c r="E480" s="37">
        <v>-121.65572</v>
      </c>
      <c r="F480" s="37" t="s">
        <v>2367</v>
      </c>
      <c r="G480" s="37" t="s">
        <v>90</v>
      </c>
      <c r="H480" s="37" t="s">
        <v>108</v>
      </c>
      <c r="I480" s="712">
        <v>0.47291666666666665</v>
      </c>
      <c r="J480" s="37" t="s">
        <v>28</v>
      </c>
      <c r="K480" s="37" t="s">
        <v>29</v>
      </c>
      <c r="L480" s="37" t="s">
        <v>30</v>
      </c>
      <c r="M480" s="37">
        <v>2</v>
      </c>
      <c r="N480" s="37">
        <v>10</v>
      </c>
      <c r="O480" s="91">
        <v>48</v>
      </c>
      <c r="P480" s="91">
        <v>143.05000000000001</v>
      </c>
      <c r="Q480" s="91" t="s">
        <v>50</v>
      </c>
      <c r="R480" s="91">
        <v>1.6</v>
      </c>
      <c r="S480" s="91">
        <v>6.04</v>
      </c>
      <c r="T480" s="91" t="s">
        <v>50</v>
      </c>
      <c r="U480" s="37" t="s">
        <v>50</v>
      </c>
      <c r="V480" s="37" t="s">
        <v>50</v>
      </c>
      <c r="W480" s="37" t="s">
        <v>50</v>
      </c>
      <c r="Y480" s="750" t="s">
        <v>32</v>
      </c>
    </row>
    <row r="481" spans="1:25" x14ac:dyDescent="0.25">
      <c r="A481" s="711">
        <v>43998</v>
      </c>
      <c r="B481" s="37" t="s">
        <v>849</v>
      </c>
      <c r="C481" s="693" t="s">
        <v>106</v>
      </c>
      <c r="D481" s="37">
        <v>38.548229999999997</v>
      </c>
      <c r="E481" s="37">
        <v>-121.58157</v>
      </c>
      <c r="F481" s="37" t="s">
        <v>2368</v>
      </c>
      <c r="G481" s="37" t="s">
        <v>90</v>
      </c>
      <c r="H481" s="37" t="s">
        <v>1787</v>
      </c>
      <c r="I481" s="712">
        <v>0.37708333333333338</v>
      </c>
      <c r="J481" s="37" t="s">
        <v>28</v>
      </c>
      <c r="K481" s="37" t="s">
        <v>29</v>
      </c>
      <c r="L481" s="37" t="s">
        <v>30</v>
      </c>
      <c r="M481" s="37">
        <v>2</v>
      </c>
      <c r="N481" s="37">
        <v>10</v>
      </c>
      <c r="O481" s="91">
        <v>23.2</v>
      </c>
      <c r="P481" s="91">
        <v>1065.5</v>
      </c>
      <c r="Q481" s="91" t="s">
        <v>50</v>
      </c>
      <c r="R481" s="91">
        <v>1.2850000000000001</v>
      </c>
      <c r="S481" s="91">
        <v>7.2799999999999994</v>
      </c>
      <c r="T481" s="91" t="s">
        <v>50</v>
      </c>
      <c r="U481" s="37" t="s">
        <v>50</v>
      </c>
      <c r="V481" s="37" t="s">
        <v>50</v>
      </c>
      <c r="W481" s="37" t="s">
        <v>50</v>
      </c>
      <c r="Y481" s="750" t="s">
        <v>32</v>
      </c>
    </row>
    <row r="482" spans="1:25" x14ac:dyDescent="0.25">
      <c r="A482" s="711">
        <v>43998</v>
      </c>
      <c r="B482" s="37" t="s">
        <v>849</v>
      </c>
      <c r="C482" s="693" t="s">
        <v>106</v>
      </c>
      <c r="D482" s="37">
        <v>38.459739999999996</v>
      </c>
      <c r="E482" s="37">
        <v>-121.58945</v>
      </c>
      <c r="F482" s="37" t="s">
        <v>2369</v>
      </c>
      <c r="G482" s="37" t="s">
        <v>90</v>
      </c>
      <c r="H482" s="37" t="s">
        <v>108</v>
      </c>
      <c r="I482" s="712">
        <v>0.40763888888888888</v>
      </c>
      <c r="J482" s="37" t="s">
        <v>28</v>
      </c>
      <c r="K482" s="37" t="s">
        <v>29</v>
      </c>
      <c r="L482" s="37" t="s">
        <v>30</v>
      </c>
      <c r="M482" s="37">
        <v>2</v>
      </c>
      <c r="N482" s="37">
        <v>10</v>
      </c>
      <c r="O482" s="91">
        <v>24.75</v>
      </c>
      <c r="P482" s="91">
        <v>886</v>
      </c>
      <c r="Q482" s="91" t="s">
        <v>50</v>
      </c>
      <c r="R482" s="91">
        <v>0.57499999999999996</v>
      </c>
      <c r="S482" s="91">
        <v>24.799999999999997</v>
      </c>
      <c r="T482" s="91" t="s">
        <v>50</v>
      </c>
      <c r="U482" s="37" t="s">
        <v>50</v>
      </c>
      <c r="V482" s="37" t="s">
        <v>50</v>
      </c>
      <c r="W482" s="37" t="s">
        <v>50</v>
      </c>
      <c r="Y482" s="750" t="s">
        <v>32</v>
      </c>
    </row>
    <row r="483" spans="1:25" x14ac:dyDescent="0.25">
      <c r="A483" s="711">
        <v>43998</v>
      </c>
      <c r="B483" s="37" t="s">
        <v>849</v>
      </c>
      <c r="C483" s="693" t="s">
        <v>106</v>
      </c>
      <c r="D483" s="37">
        <v>38.379739999999998</v>
      </c>
      <c r="E483" s="37">
        <v>-121.62656</v>
      </c>
      <c r="F483" s="37" t="s">
        <v>2370</v>
      </c>
      <c r="G483" s="37" t="s">
        <v>90</v>
      </c>
      <c r="H483" s="37" t="s">
        <v>108</v>
      </c>
      <c r="I483" s="712">
        <v>0.44027777777777777</v>
      </c>
      <c r="J483" s="37" t="s">
        <v>28</v>
      </c>
      <c r="K483" s="37" t="s">
        <v>29</v>
      </c>
      <c r="L483" s="37" t="s">
        <v>30</v>
      </c>
      <c r="M483" s="37">
        <v>2</v>
      </c>
      <c r="N483" s="37">
        <v>10</v>
      </c>
      <c r="O483" s="91">
        <v>27.25</v>
      </c>
      <c r="P483" s="91">
        <v>596.5</v>
      </c>
      <c r="Q483" s="91" t="s">
        <v>50</v>
      </c>
      <c r="R483" s="91">
        <v>0.34499999999999997</v>
      </c>
      <c r="S483" s="91">
        <v>33</v>
      </c>
      <c r="T483" s="91" t="s">
        <v>50</v>
      </c>
      <c r="U483" s="37" t="s">
        <v>50</v>
      </c>
      <c r="V483" s="37" t="s">
        <v>50</v>
      </c>
      <c r="W483" s="37" t="s">
        <v>50</v>
      </c>
      <c r="Y483" s="750" t="s">
        <v>32</v>
      </c>
    </row>
    <row r="484" spans="1:25" x14ac:dyDescent="0.25">
      <c r="A484" s="711">
        <v>43998</v>
      </c>
      <c r="B484" s="37" t="s">
        <v>849</v>
      </c>
      <c r="C484" s="693" t="s">
        <v>106</v>
      </c>
      <c r="D484" s="37">
        <v>38.278649999999999</v>
      </c>
      <c r="E484" s="37">
        <v>-121.66003000000001</v>
      </c>
      <c r="F484" s="37" t="s">
        <v>2371</v>
      </c>
      <c r="G484" s="37" t="s">
        <v>90</v>
      </c>
      <c r="H484" s="37" t="s">
        <v>108</v>
      </c>
      <c r="I484" s="712">
        <v>0.47430555555555554</v>
      </c>
      <c r="J484" s="37" t="s">
        <v>28</v>
      </c>
      <c r="K484" s="37" t="s">
        <v>29</v>
      </c>
      <c r="L484" s="37" t="s">
        <v>30</v>
      </c>
      <c r="M484" s="37">
        <v>2</v>
      </c>
      <c r="N484" s="37">
        <v>10</v>
      </c>
      <c r="O484" s="91">
        <v>28.5</v>
      </c>
      <c r="P484" s="91">
        <v>239.8</v>
      </c>
      <c r="Q484" s="91" t="s">
        <v>50</v>
      </c>
      <c r="R484" s="91">
        <v>0.75</v>
      </c>
      <c r="S484" s="91">
        <v>12.899999999999999</v>
      </c>
      <c r="T484" s="91" t="s">
        <v>50</v>
      </c>
      <c r="U484" s="37" t="s">
        <v>50</v>
      </c>
      <c r="V484" s="37" t="s">
        <v>50</v>
      </c>
      <c r="W484" s="37" t="s">
        <v>50</v>
      </c>
      <c r="Y484" s="750" t="s">
        <v>32</v>
      </c>
    </row>
    <row r="485" spans="1:25" x14ac:dyDescent="0.25">
      <c r="A485" s="711">
        <v>43998</v>
      </c>
      <c r="B485" s="37" t="s">
        <v>849</v>
      </c>
      <c r="C485" s="693" t="s">
        <v>106</v>
      </c>
      <c r="D485" s="37">
        <v>38.265059999999998</v>
      </c>
      <c r="E485" s="37">
        <v>-121.66418</v>
      </c>
      <c r="F485" s="37" t="s">
        <v>2372</v>
      </c>
      <c r="G485" s="37" t="s">
        <v>90</v>
      </c>
      <c r="H485" s="37" t="s">
        <v>108</v>
      </c>
      <c r="I485" s="712">
        <v>0.49722222222222223</v>
      </c>
      <c r="J485" s="37" t="s">
        <v>28</v>
      </c>
      <c r="K485" s="37" t="s">
        <v>29</v>
      </c>
      <c r="L485" s="37" t="s">
        <v>30</v>
      </c>
      <c r="M485" s="37">
        <v>2</v>
      </c>
      <c r="N485" s="37">
        <v>10</v>
      </c>
      <c r="O485" s="91">
        <v>23.5</v>
      </c>
      <c r="P485" s="91">
        <v>195.89999999999998</v>
      </c>
      <c r="Q485" s="91" t="s">
        <v>50</v>
      </c>
      <c r="R485" s="91">
        <v>0.81499999999999995</v>
      </c>
      <c r="S485" s="91">
        <v>11.7</v>
      </c>
      <c r="T485" s="91" t="s">
        <v>50</v>
      </c>
      <c r="U485" s="37" t="s">
        <v>50</v>
      </c>
      <c r="V485" s="37" t="s">
        <v>50</v>
      </c>
      <c r="W485" s="37" t="s">
        <v>50</v>
      </c>
      <c r="Y485" s="750" t="s">
        <v>32</v>
      </c>
    </row>
    <row r="486" spans="1:25" x14ac:dyDescent="0.25">
      <c r="A486" s="711">
        <v>43998</v>
      </c>
      <c r="B486" s="37" t="s">
        <v>849</v>
      </c>
      <c r="C486" s="693" t="s">
        <v>88</v>
      </c>
      <c r="D486" s="37">
        <v>38.085259999999998</v>
      </c>
      <c r="E486" s="37">
        <v>-121.73882999999999</v>
      </c>
      <c r="F486" s="37" t="s">
        <v>2373</v>
      </c>
      <c r="G486" s="37" t="s">
        <v>90</v>
      </c>
      <c r="H486" s="37" t="s">
        <v>91</v>
      </c>
      <c r="I486" s="712">
        <v>0.37222222222222223</v>
      </c>
      <c r="J486" s="37" t="s">
        <v>28</v>
      </c>
      <c r="K486" s="37" t="s">
        <v>29</v>
      </c>
      <c r="L486" s="37" t="s">
        <v>30</v>
      </c>
      <c r="M486" s="37">
        <v>2</v>
      </c>
      <c r="N486" s="37">
        <v>10</v>
      </c>
      <c r="O486" s="91">
        <v>27.6</v>
      </c>
      <c r="P486" s="91">
        <v>205.6</v>
      </c>
      <c r="Q486" s="91" t="s">
        <v>50</v>
      </c>
      <c r="R486" s="91">
        <v>1.26</v>
      </c>
      <c r="S486" s="91">
        <v>8.4649999999999999</v>
      </c>
      <c r="T486" s="91" t="s">
        <v>50</v>
      </c>
      <c r="U486" s="37" t="s">
        <v>50</v>
      </c>
      <c r="V486" s="37" t="s">
        <v>50</v>
      </c>
      <c r="W486" s="37" t="s">
        <v>50</v>
      </c>
      <c r="Y486" s="750" t="s">
        <v>32</v>
      </c>
    </row>
    <row r="487" spans="1:25" x14ac:dyDescent="0.25">
      <c r="A487" s="711">
        <v>43998</v>
      </c>
      <c r="B487" s="37" t="s">
        <v>849</v>
      </c>
      <c r="C487" s="693" t="s">
        <v>88</v>
      </c>
      <c r="D487" s="37">
        <v>38.082129999999999</v>
      </c>
      <c r="E487" s="37">
        <v>-121.74681</v>
      </c>
      <c r="F487" s="37" t="s">
        <v>2374</v>
      </c>
      <c r="G487" s="37" t="s">
        <v>27</v>
      </c>
      <c r="H487" s="37" t="s">
        <v>25</v>
      </c>
      <c r="I487" s="712">
        <v>0.39513888888888887</v>
      </c>
      <c r="J487" s="37" t="s">
        <v>28</v>
      </c>
      <c r="K487" s="37" t="s">
        <v>29</v>
      </c>
      <c r="L487" s="37" t="s">
        <v>30</v>
      </c>
      <c r="M487" s="37">
        <v>2</v>
      </c>
      <c r="N487" s="37">
        <v>10</v>
      </c>
      <c r="O487" s="91">
        <v>34.049999999999997</v>
      </c>
      <c r="P487" s="91">
        <v>205.55</v>
      </c>
      <c r="Q487" s="91" t="s">
        <v>50</v>
      </c>
      <c r="R487" s="91">
        <v>1.31</v>
      </c>
      <c r="S487" s="91">
        <v>7.57</v>
      </c>
      <c r="T487" s="91" t="s">
        <v>50</v>
      </c>
      <c r="U487" s="37" t="s">
        <v>50</v>
      </c>
      <c r="V487" s="37" t="s">
        <v>50</v>
      </c>
      <c r="W487" s="37" t="s">
        <v>50</v>
      </c>
      <c r="Y487" s="750" t="s">
        <v>32</v>
      </c>
    </row>
    <row r="488" spans="1:25" x14ac:dyDescent="0.25">
      <c r="A488" s="711">
        <v>43998</v>
      </c>
      <c r="B488" s="37" t="s">
        <v>849</v>
      </c>
      <c r="C488" s="693" t="s">
        <v>88</v>
      </c>
      <c r="D488" s="37">
        <v>38.093899999999998</v>
      </c>
      <c r="E488" s="37">
        <v>-121.73643</v>
      </c>
      <c r="F488" s="37" t="s">
        <v>2375</v>
      </c>
      <c r="G488" s="37" t="s">
        <v>90</v>
      </c>
      <c r="H488" s="37" t="s">
        <v>91</v>
      </c>
      <c r="I488" s="712">
        <v>0.42152777777777778</v>
      </c>
      <c r="J488" s="37" t="s">
        <v>28</v>
      </c>
      <c r="K488" s="37" t="s">
        <v>29</v>
      </c>
      <c r="L488" s="37" t="s">
        <v>30</v>
      </c>
      <c r="M488" s="37">
        <v>2</v>
      </c>
      <c r="N488" s="37">
        <v>10</v>
      </c>
      <c r="O488" s="91">
        <v>29.549999999999997</v>
      </c>
      <c r="P488" s="91">
        <v>151.85000000000002</v>
      </c>
      <c r="Q488" s="91" t="s">
        <v>50</v>
      </c>
      <c r="R488" s="91">
        <v>1.2</v>
      </c>
      <c r="S488" s="91">
        <v>9.125</v>
      </c>
      <c r="T488" s="91" t="s">
        <v>50</v>
      </c>
      <c r="U488" s="37" t="s">
        <v>50</v>
      </c>
      <c r="V488" s="37" t="s">
        <v>50</v>
      </c>
      <c r="W488" s="37" t="s">
        <v>50</v>
      </c>
      <c r="Y488" s="750" t="s">
        <v>32</v>
      </c>
    </row>
    <row r="489" spans="1:25" x14ac:dyDescent="0.25">
      <c r="A489" s="711">
        <v>43998</v>
      </c>
      <c r="B489" s="37" t="s">
        <v>849</v>
      </c>
      <c r="C489" s="693" t="s">
        <v>88</v>
      </c>
      <c r="D489" s="37">
        <v>38.137560000000001</v>
      </c>
      <c r="E489" s="37">
        <v>-121.69031</v>
      </c>
      <c r="F489" s="37" t="s">
        <v>2376</v>
      </c>
      <c r="G489" s="37" t="s">
        <v>90</v>
      </c>
      <c r="H489" s="37" t="s">
        <v>91</v>
      </c>
      <c r="I489" s="712">
        <v>0.34097222222222223</v>
      </c>
      <c r="J489" s="37" t="s">
        <v>28</v>
      </c>
      <c r="K489" s="37" t="s">
        <v>29</v>
      </c>
      <c r="L489" s="37" t="s">
        <v>30</v>
      </c>
      <c r="M489" s="37">
        <v>2</v>
      </c>
      <c r="N489" s="37">
        <v>10</v>
      </c>
      <c r="O489" s="91">
        <v>17.100000000000001</v>
      </c>
      <c r="P489" s="91">
        <v>150.15</v>
      </c>
      <c r="Q489" s="91" t="s">
        <v>50</v>
      </c>
      <c r="R489" s="91">
        <v>1.3199999999999998</v>
      </c>
      <c r="S489" s="91">
        <v>8.8099999999999987</v>
      </c>
      <c r="T489" s="91" t="s">
        <v>50</v>
      </c>
      <c r="U489" s="37" t="s">
        <v>50</v>
      </c>
      <c r="V489" s="37" t="s">
        <v>50</v>
      </c>
      <c r="W489" s="37" t="s">
        <v>50</v>
      </c>
      <c r="Y489" s="750" t="s">
        <v>32</v>
      </c>
    </row>
    <row r="490" spans="1:25" x14ac:dyDescent="0.25">
      <c r="A490" s="711">
        <v>43998</v>
      </c>
      <c r="B490" s="37" t="s">
        <v>849</v>
      </c>
      <c r="C490" s="693" t="s">
        <v>88</v>
      </c>
      <c r="D490" s="37">
        <v>38.061680000000003</v>
      </c>
      <c r="E490" s="37">
        <v>-121.78494000000001</v>
      </c>
      <c r="F490" s="37" t="s">
        <v>2377</v>
      </c>
      <c r="G490" s="37" t="s">
        <v>27</v>
      </c>
      <c r="H490" s="37" t="s">
        <v>25</v>
      </c>
      <c r="I490" s="712">
        <v>0.44791666666666669</v>
      </c>
      <c r="J490" s="37" t="s">
        <v>28</v>
      </c>
      <c r="K490" s="37" t="s">
        <v>29</v>
      </c>
      <c r="L490" s="37" t="s">
        <v>30</v>
      </c>
      <c r="M490" s="37">
        <v>2</v>
      </c>
      <c r="N490" s="37">
        <v>10</v>
      </c>
      <c r="O490" s="91">
        <v>30.95</v>
      </c>
      <c r="P490" s="91">
        <v>237.55</v>
      </c>
      <c r="Q490" s="91" t="s">
        <v>50</v>
      </c>
      <c r="R490" s="91">
        <v>1.145</v>
      </c>
      <c r="S490" s="91">
        <v>12.1</v>
      </c>
      <c r="T490" s="91" t="s">
        <v>50</v>
      </c>
      <c r="U490" s="37" t="s">
        <v>50</v>
      </c>
      <c r="V490" s="37" t="s">
        <v>50</v>
      </c>
      <c r="W490" s="37" t="s">
        <v>50</v>
      </c>
      <c r="Y490" s="750" t="s">
        <v>32</v>
      </c>
    </row>
    <row r="491" spans="1:25" x14ac:dyDescent="0.25">
      <c r="A491" s="713">
        <v>43999</v>
      </c>
      <c r="B491" s="714" t="s">
        <v>915</v>
      </c>
      <c r="C491" s="715" t="s">
        <v>845</v>
      </c>
      <c r="D491" s="714">
        <v>38.308639999999997</v>
      </c>
      <c r="E491" s="714">
        <v>-121.69314</v>
      </c>
      <c r="F491" s="714" t="s">
        <v>2378</v>
      </c>
      <c r="G491" s="714" t="s">
        <v>90</v>
      </c>
      <c r="H491" s="714" t="s">
        <v>126</v>
      </c>
      <c r="I491" s="751">
        <v>0.45555555555555555</v>
      </c>
      <c r="J491" s="714" t="s">
        <v>28</v>
      </c>
      <c r="K491" s="714" t="s">
        <v>29</v>
      </c>
      <c r="L491" s="714" t="s">
        <v>30</v>
      </c>
      <c r="M491" s="714">
        <v>0</v>
      </c>
      <c r="N491" s="714" t="s">
        <v>50</v>
      </c>
      <c r="O491" s="752" t="s">
        <v>50</v>
      </c>
      <c r="P491" s="752" t="s">
        <v>50</v>
      </c>
      <c r="Q491" s="752" t="s">
        <v>50</v>
      </c>
      <c r="R491" s="752" t="s">
        <v>50</v>
      </c>
      <c r="S491" s="752" t="s">
        <v>50</v>
      </c>
      <c r="T491" s="752" t="s">
        <v>50</v>
      </c>
      <c r="U491" s="714" t="s">
        <v>50</v>
      </c>
      <c r="V491" s="714" t="s">
        <v>50</v>
      </c>
      <c r="W491" s="714" t="s">
        <v>50</v>
      </c>
      <c r="X491" s="720" t="s">
        <v>2273</v>
      </c>
      <c r="Y491" s="750" t="s">
        <v>32</v>
      </c>
    </row>
    <row r="492" spans="1:25" x14ac:dyDescent="0.25">
      <c r="A492" s="713">
        <v>43999</v>
      </c>
      <c r="B492" s="714" t="s">
        <v>915</v>
      </c>
      <c r="C492" s="715" t="s">
        <v>845</v>
      </c>
      <c r="D492" s="714">
        <v>38.24436</v>
      </c>
      <c r="E492" s="714">
        <v>-121.68170000000001</v>
      </c>
      <c r="F492" s="714" t="s">
        <v>2379</v>
      </c>
      <c r="G492" s="714" t="s">
        <v>90</v>
      </c>
      <c r="H492" s="714" t="s">
        <v>126</v>
      </c>
      <c r="I492" s="751">
        <v>0.49444444444444446</v>
      </c>
      <c r="J492" s="714" t="s">
        <v>28</v>
      </c>
      <c r="K492" s="714" t="s">
        <v>29</v>
      </c>
      <c r="L492" s="714" t="s">
        <v>30</v>
      </c>
      <c r="M492" s="714">
        <v>0</v>
      </c>
      <c r="N492" s="714" t="s">
        <v>50</v>
      </c>
      <c r="O492" s="752" t="s">
        <v>50</v>
      </c>
      <c r="P492" s="752" t="s">
        <v>50</v>
      </c>
      <c r="Q492" s="752" t="s">
        <v>50</v>
      </c>
      <c r="R492" s="752" t="s">
        <v>50</v>
      </c>
      <c r="S492" s="752" t="s">
        <v>50</v>
      </c>
      <c r="T492" s="752" t="s">
        <v>50</v>
      </c>
      <c r="U492" s="714" t="s">
        <v>50</v>
      </c>
      <c r="V492" s="714" t="s">
        <v>50</v>
      </c>
      <c r="W492" s="714" t="s">
        <v>50</v>
      </c>
      <c r="X492" s="720" t="s">
        <v>734</v>
      </c>
      <c r="Y492" s="750" t="s">
        <v>32</v>
      </c>
    </row>
    <row r="493" spans="1:25" x14ac:dyDescent="0.25">
      <c r="A493" s="711">
        <v>43999</v>
      </c>
      <c r="B493" s="37" t="s">
        <v>915</v>
      </c>
      <c r="C493" s="693" t="s">
        <v>845</v>
      </c>
      <c r="D493" s="37">
        <v>38.328539999999997</v>
      </c>
      <c r="E493" s="37">
        <v>-121.66619</v>
      </c>
      <c r="F493" s="37" t="s">
        <v>2380</v>
      </c>
      <c r="G493" s="37" t="s">
        <v>90</v>
      </c>
      <c r="H493" s="37" t="s">
        <v>126</v>
      </c>
      <c r="I493" s="712">
        <v>0.35069444444444442</v>
      </c>
      <c r="J493" s="37" t="s">
        <v>28</v>
      </c>
      <c r="K493" s="37" t="s">
        <v>29</v>
      </c>
      <c r="L493" s="37" t="s">
        <v>30</v>
      </c>
      <c r="M493" s="37">
        <v>2</v>
      </c>
      <c r="N493" s="37">
        <v>10</v>
      </c>
      <c r="O493" s="91">
        <v>15.850000000000001</v>
      </c>
      <c r="P493" s="91">
        <v>220.6</v>
      </c>
      <c r="Q493" s="91" t="s">
        <v>50</v>
      </c>
      <c r="R493" s="91">
        <v>0.60499999999999998</v>
      </c>
      <c r="S493" s="91">
        <v>17</v>
      </c>
      <c r="T493" s="91" t="s">
        <v>50</v>
      </c>
      <c r="U493" s="37" t="s">
        <v>50</v>
      </c>
      <c r="V493" s="37" t="s">
        <v>50</v>
      </c>
      <c r="W493" s="37" t="s">
        <v>50</v>
      </c>
      <c r="Y493" s="750" t="s">
        <v>32</v>
      </c>
    </row>
    <row r="494" spans="1:25" x14ac:dyDescent="0.25">
      <c r="A494" s="711">
        <v>43999</v>
      </c>
      <c r="B494" s="37" t="s">
        <v>915</v>
      </c>
      <c r="C494" s="693" t="s">
        <v>845</v>
      </c>
      <c r="D494" s="37">
        <v>38.252070000000003</v>
      </c>
      <c r="E494" s="37">
        <v>-121.67136000000001</v>
      </c>
      <c r="F494" s="37" t="s">
        <v>2381</v>
      </c>
      <c r="G494" s="37" t="s">
        <v>90</v>
      </c>
      <c r="H494" s="37" t="s">
        <v>126</v>
      </c>
      <c r="I494" s="712">
        <v>0.38750000000000001</v>
      </c>
      <c r="J494" s="37" t="s">
        <v>28</v>
      </c>
      <c r="K494" s="37" t="s">
        <v>29</v>
      </c>
      <c r="L494" s="37" t="s">
        <v>30</v>
      </c>
      <c r="M494" s="37">
        <v>2</v>
      </c>
      <c r="N494" s="37">
        <v>10</v>
      </c>
      <c r="O494" s="91">
        <v>20.55</v>
      </c>
      <c r="P494" s="91">
        <v>171.1</v>
      </c>
      <c r="Q494" s="91" t="s">
        <v>50</v>
      </c>
      <c r="R494" s="91">
        <v>0.52</v>
      </c>
      <c r="S494" s="91">
        <v>26.35</v>
      </c>
      <c r="T494" s="91" t="s">
        <v>50</v>
      </c>
      <c r="U494" s="37" t="s">
        <v>50</v>
      </c>
      <c r="V494" s="37" t="s">
        <v>50</v>
      </c>
      <c r="W494" s="37" t="s">
        <v>50</v>
      </c>
      <c r="X494" s="698" t="s">
        <v>2308</v>
      </c>
      <c r="Y494" s="750" t="s">
        <v>32</v>
      </c>
    </row>
    <row r="495" spans="1:25" x14ac:dyDescent="0.25">
      <c r="A495" s="711">
        <v>43999</v>
      </c>
      <c r="B495" s="37" t="s">
        <v>915</v>
      </c>
      <c r="C495" s="693" t="s">
        <v>845</v>
      </c>
      <c r="D495" s="37">
        <v>38.270769999999999</v>
      </c>
      <c r="E495" s="37">
        <v>-121.69311</v>
      </c>
      <c r="F495" s="37" t="s">
        <v>2382</v>
      </c>
      <c r="G495" s="37" t="s">
        <v>90</v>
      </c>
      <c r="H495" s="37" t="s">
        <v>126</v>
      </c>
      <c r="I495" s="712">
        <v>0.42638888888888887</v>
      </c>
      <c r="J495" s="37" t="s">
        <v>28</v>
      </c>
      <c r="K495" s="37" t="s">
        <v>29</v>
      </c>
      <c r="L495" s="37" t="s">
        <v>30</v>
      </c>
      <c r="M495" s="37">
        <v>2</v>
      </c>
      <c r="N495" s="37">
        <v>10</v>
      </c>
      <c r="O495" s="91">
        <v>10.8</v>
      </c>
      <c r="P495" s="91">
        <v>179.3</v>
      </c>
      <c r="Q495" s="91" t="s">
        <v>50</v>
      </c>
      <c r="R495" s="91">
        <v>0.72499999999999998</v>
      </c>
      <c r="S495" s="91">
        <v>11.025</v>
      </c>
      <c r="T495" s="91" t="s">
        <v>50</v>
      </c>
      <c r="U495" s="37" t="s">
        <v>50</v>
      </c>
      <c r="V495" s="37" t="s">
        <v>50</v>
      </c>
      <c r="W495" s="37" t="s">
        <v>50</v>
      </c>
      <c r="Y495" s="750" t="s">
        <v>32</v>
      </c>
    </row>
    <row r="496" spans="1:25" x14ac:dyDescent="0.25">
      <c r="A496" s="711">
        <v>43999</v>
      </c>
      <c r="B496" s="37" t="s">
        <v>915</v>
      </c>
      <c r="C496" s="693" t="s">
        <v>845</v>
      </c>
      <c r="D496" s="37">
        <v>38.237349999999999</v>
      </c>
      <c r="E496" s="37">
        <v>-121.68223</v>
      </c>
      <c r="F496" s="37" t="s">
        <v>2383</v>
      </c>
      <c r="G496" s="37" t="s">
        <v>90</v>
      </c>
      <c r="H496" s="37" t="s">
        <v>126</v>
      </c>
      <c r="I496" s="712">
        <v>0.46666666666666662</v>
      </c>
      <c r="J496" s="37" t="s">
        <v>28</v>
      </c>
      <c r="K496" s="37" t="s">
        <v>29</v>
      </c>
      <c r="L496" s="37" t="s">
        <v>30</v>
      </c>
      <c r="M496" s="37">
        <v>2</v>
      </c>
      <c r="N496" s="37">
        <v>10</v>
      </c>
      <c r="O496" s="91">
        <v>38.75</v>
      </c>
      <c r="P496" s="91">
        <v>169</v>
      </c>
      <c r="Q496" s="91" t="s">
        <v>50</v>
      </c>
      <c r="R496" s="91">
        <v>0.83000000000000007</v>
      </c>
      <c r="S496" s="91">
        <v>12.1</v>
      </c>
      <c r="T496" s="91" t="s">
        <v>50</v>
      </c>
      <c r="U496" s="37" t="s">
        <v>50</v>
      </c>
      <c r="V496" s="37" t="s">
        <v>50</v>
      </c>
      <c r="W496" s="37" t="s">
        <v>50</v>
      </c>
      <c r="Y496" s="750" t="s">
        <v>32</v>
      </c>
    </row>
    <row r="497" spans="1:25" x14ac:dyDescent="0.25">
      <c r="A497" s="711">
        <v>43999</v>
      </c>
      <c r="B497" s="37" t="s">
        <v>915</v>
      </c>
      <c r="C497" s="693" t="s">
        <v>845</v>
      </c>
      <c r="D497" s="37">
        <v>38.246830000000003</v>
      </c>
      <c r="E497" s="37">
        <v>-121.69691</v>
      </c>
      <c r="F497" s="37" t="s">
        <v>2384</v>
      </c>
      <c r="G497" s="37" t="s">
        <v>90</v>
      </c>
      <c r="H497" s="37" t="s">
        <v>126</v>
      </c>
      <c r="I497" s="712">
        <v>0.49722222222222223</v>
      </c>
      <c r="J497" s="37" t="s">
        <v>28</v>
      </c>
      <c r="K497" s="37" t="s">
        <v>29</v>
      </c>
      <c r="L497" s="37" t="s">
        <v>30</v>
      </c>
      <c r="M497" s="37">
        <v>2</v>
      </c>
      <c r="N497" s="37">
        <v>10</v>
      </c>
      <c r="O497" s="91">
        <v>25.35</v>
      </c>
      <c r="P497" s="91">
        <v>172.45</v>
      </c>
      <c r="Q497" s="91" t="s">
        <v>50</v>
      </c>
      <c r="R497" s="91">
        <v>1.2549999999999999</v>
      </c>
      <c r="S497" s="91">
        <v>9.9149999999999991</v>
      </c>
      <c r="T497" s="91" t="s">
        <v>50</v>
      </c>
      <c r="U497" s="37" t="s">
        <v>50</v>
      </c>
      <c r="V497" s="37" t="s">
        <v>50</v>
      </c>
      <c r="W497" s="37" t="s">
        <v>50</v>
      </c>
      <c r="Y497" s="750" t="s">
        <v>32</v>
      </c>
    </row>
    <row r="498" spans="1:25" x14ac:dyDescent="0.25">
      <c r="A498" s="713">
        <v>43999</v>
      </c>
      <c r="B498" s="714" t="s">
        <v>915</v>
      </c>
      <c r="C498" s="715" t="s">
        <v>62</v>
      </c>
      <c r="D498" s="714">
        <v>38.132170000000002</v>
      </c>
      <c r="E498" s="714">
        <v>-122.08132000000001</v>
      </c>
      <c r="F498" s="714" t="s">
        <v>2385</v>
      </c>
      <c r="G498" s="714" t="s">
        <v>27</v>
      </c>
      <c r="H498" s="714" t="s">
        <v>62</v>
      </c>
      <c r="I498" s="751">
        <v>0.3611111111111111</v>
      </c>
      <c r="J498" s="714" t="s">
        <v>28</v>
      </c>
      <c r="K498" s="714" t="s">
        <v>29</v>
      </c>
      <c r="L498" s="714" t="s">
        <v>30</v>
      </c>
      <c r="M498" s="714">
        <v>0</v>
      </c>
      <c r="N498" s="714" t="s">
        <v>50</v>
      </c>
      <c r="O498" s="752" t="s">
        <v>50</v>
      </c>
      <c r="P498" s="752" t="s">
        <v>50</v>
      </c>
      <c r="Q498" s="752" t="s">
        <v>50</v>
      </c>
      <c r="R498" s="752" t="s">
        <v>50</v>
      </c>
      <c r="S498" s="752" t="s">
        <v>50</v>
      </c>
      <c r="T498" s="752" t="s">
        <v>50</v>
      </c>
      <c r="U498" s="714" t="s">
        <v>50</v>
      </c>
      <c r="V498" s="714" t="s">
        <v>50</v>
      </c>
      <c r="W498" s="714" t="s">
        <v>50</v>
      </c>
      <c r="X498" s="720" t="s">
        <v>734</v>
      </c>
      <c r="Y498" s="750" t="s">
        <v>32</v>
      </c>
    </row>
    <row r="499" spans="1:25" x14ac:dyDescent="0.25">
      <c r="A499" s="711">
        <v>43999</v>
      </c>
      <c r="B499" s="37" t="s">
        <v>915</v>
      </c>
      <c r="C499" s="693" t="s">
        <v>62</v>
      </c>
      <c r="D499" s="37">
        <v>38.169440000000002</v>
      </c>
      <c r="E499" s="37">
        <v>-122.02759</v>
      </c>
      <c r="F499" s="37" t="s">
        <v>2386</v>
      </c>
      <c r="G499" s="37" t="s">
        <v>27</v>
      </c>
      <c r="H499" s="37" t="s">
        <v>62</v>
      </c>
      <c r="I499" s="712">
        <v>0.39513888888888887</v>
      </c>
      <c r="J499" s="37" t="s">
        <v>28</v>
      </c>
      <c r="K499" s="37" t="s">
        <v>29</v>
      </c>
      <c r="L499" s="37" t="s">
        <v>30</v>
      </c>
      <c r="M499" s="37">
        <v>2</v>
      </c>
      <c r="N499" s="37">
        <v>10</v>
      </c>
      <c r="O499" s="91">
        <v>16.799999999999997</v>
      </c>
      <c r="P499" s="91">
        <v>6900</v>
      </c>
      <c r="Q499" s="91" t="s">
        <v>50</v>
      </c>
      <c r="R499" s="91">
        <v>0.47499999999999998</v>
      </c>
      <c r="S499" s="91">
        <v>22.05</v>
      </c>
      <c r="T499" s="91" t="s">
        <v>50</v>
      </c>
      <c r="U499" s="37" t="s">
        <v>50</v>
      </c>
      <c r="V499" s="37" t="s">
        <v>50</v>
      </c>
      <c r="W499" s="37" t="s">
        <v>50</v>
      </c>
      <c r="Y499" s="750" t="s">
        <v>32</v>
      </c>
    </row>
    <row r="500" spans="1:25" x14ac:dyDescent="0.25">
      <c r="A500" s="711">
        <v>43999</v>
      </c>
      <c r="B500" s="37" t="s">
        <v>915</v>
      </c>
      <c r="C500" s="693" t="s">
        <v>62</v>
      </c>
      <c r="D500" s="37">
        <v>38.161850000000001</v>
      </c>
      <c r="E500" s="37">
        <v>-122.04656</v>
      </c>
      <c r="F500" s="37" t="s">
        <v>2387</v>
      </c>
      <c r="G500" s="37" t="s">
        <v>27</v>
      </c>
      <c r="H500" s="37" t="s">
        <v>62</v>
      </c>
      <c r="I500" s="712">
        <v>0.41944444444444445</v>
      </c>
      <c r="J500" s="37" t="s">
        <v>28</v>
      </c>
      <c r="K500" s="37" t="s">
        <v>29</v>
      </c>
      <c r="L500" s="37" t="s">
        <v>30</v>
      </c>
      <c r="M500" s="37">
        <v>2</v>
      </c>
      <c r="N500" s="37">
        <v>10</v>
      </c>
      <c r="O500" s="91">
        <v>17.649999999999999</v>
      </c>
      <c r="P500" s="91">
        <v>8832.5</v>
      </c>
      <c r="Q500" s="91" t="s">
        <v>50</v>
      </c>
      <c r="R500" s="91">
        <v>0.51500000000000001</v>
      </c>
      <c r="S500" s="91">
        <v>19.75</v>
      </c>
      <c r="T500" s="91" t="s">
        <v>50</v>
      </c>
      <c r="U500" s="37" t="s">
        <v>50</v>
      </c>
      <c r="V500" s="37" t="s">
        <v>50</v>
      </c>
      <c r="W500" s="37" t="s">
        <v>50</v>
      </c>
      <c r="Y500" s="750" t="s">
        <v>32</v>
      </c>
    </row>
    <row r="501" spans="1:25" x14ac:dyDescent="0.25">
      <c r="A501" s="711">
        <v>43999</v>
      </c>
      <c r="B501" s="37" t="s">
        <v>915</v>
      </c>
      <c r="C501" s="693" t="s">
        <v>62</v>
      </c>
      <c r="D501" s="37">
        <v>38.105849999999997</v>
      </c>
      <c r="E501" s="37">
        <v>-122.05791000000001</v>
      </c>
      <c r="F501" s="37" t="s">
        <v>2388</v>
      </c>
      <c r="G501" s="37" t="s">
        <v>27</v>
      </c>
      <c r="H501" s="37" t="s">
        <v>62</v>
      </c>
      <c r="I501" s="712">
        <v>0.4458333333333333</v>
      </c>
      <c r="J501" s="37" t="s">
        <v>28</v>
      </c>
      <c r="K501" s="37" t="s">
        <v>29</v>
      </c>
      <c r="L501" s="37" t="s">
        <v>30</v>
      </c>
      <c r="M501" s="37">
        <v>2</v>
      </c>
      <c r="N501" s="37">
        <v>10</v>
      </c>
      <c r="O501" s="91">
        <v>10.75</v>
      </c>
      <c r="P501" s="91">
        <v>11850.5</v>
      </c>
      <c r="Q501" s="91" t="s">
        <v>50</v>
      </c>
      <c r="R501" s="91">
        <v>0.61</v>
      </c>
      <c r="S501" s="91">
        <v>19.45</v>
      </c>
      <c r="T501" s="91" t="s">
        <v>50</v>
      </c>
      <c r="U501" s="37" t="s">
        <v>50</v>
      </c>
      <c r="V501" s="37" t="s">
        <v>50</v>
      </c>
      <c r="W501" s="37" t="s">
        <v>50</v>
      </c>
      <c r="Y501" s="750" t="s">
        <v>32</v>
      </c>
    </row>
    <row r="502" spans="1:25" x14ac:dyDescent="0.25">
      <c r="A502" s="711">
        <v>43999</v>
      </c>
      <c r="B502" s="37" t="s">
        <v>915</v>
      </c>
      <c r="C502" s="693" t="s">
        <v>62</v>
      </c>
      <c r="D502" s="37">
        <v>38.176839999999999</v>
      </c>
      <c r="E502" s="37">
        <v>-122.01224999999999</v>
      </c>
      <c r="F502" s="37" t="s">
        <v>2389</v>
      </c>
      <c r="G502" s="37" t="s">
        <v>27</v>
      </c>
      <c r="H502" s="37" t="s">
        <v>173</v>
      </c>
      <c r="I502" s="712">
        <v>0.37222222222222223</v>
      </c>
      <c r="J502" s="37" t="s">
        <v>28</v>
      </c>
      <c r="K502" s="37" t="s">
        <v>29</v>
      </c>
      <c r="L502" s="37" t="s">
        <v>30</v>
      </c>
      <c r="M502" s="37">
        <v>2</v>
      </c>
      <c r="N502" s="37">
        <v>10</v>
      </c>
      <c r="O502" s="91">
        <v>16.7</v>
      </c>
      <c r="P502" s="91">
        <v>6004</v>
      </c>
      <c r="Q502" s="91" t="s">
        <v>50</v>
      </c>
      <c r="R502" s="91">
        <v>0.5</v>
      </c>
      <c r="S502" s="91">
        <v>23.65</v>
      </c>
      <c r="T502" s="91" t="s">
        <v>50</v>
      </c>
      <c r="U502" s="37" t="s">
        <v>50</v>
      </c>
      <c r="V502" s="37" t="s">
        <v>50</v>
      </c>
      <c r="W502" s="37" t="s">
        <v>50</v>
      </c>
      <c r="Y502" s="750" t="s">
        <v>32</v>
      </c>
    </row>
    <row r="503" spans="1:25" x14ac:dyDescent="0.25">
      <c r="A503" s="711">
        <v>43999</v>
      </c>
      <c r="B503" s="37" t="s">
        <v>915</v>
      </c>
      <c r="C503" s="693" t="s">
        <v>62</v>
      </c>
      <c r="D503" s="37">
        <v>38.150599999999997</v>
      </c>
      <c r="E503" s="37">
        <v>-121.91768</v>
      </c>
      <c r="F503" s="37" t="s">
        <v>2390</v>
      </c>
      <c r="G503" s="37" t="s">
        <v>27</v>
      </c>
      <c r="H503" s="37" t="s">
        <v>62</v>
      </c>
      <c r="I503" s="712">
        <v>0.35000000000000003</v>
      </c>
      <c r="J503" s="37" t="s">
        <v>28</v>
      </c>
      <c r="K503" s="37" t="s">
        <v>29</v>
      </c>
      <c r="L503" s="37" t="s">
        <v>30</v>
      </c>
      <c r="M503" s="37">
        <v>2</v>
      </c>
      <c r="N503" s="37">
        <v>10</v>
      </c>
      <c r="O503" s="91">
        <v>11.45</v>
      </c>
      <c r="P503" s="91">
        <v>4924.5</v>
      </c>
      <c r="Q503" s="91" t="s">
        <v>50</v>
      </c>
      <c r="R503" s="91">
        <v>0.55000000000000004</v>
      </c>
      <c r="S503" s="91">
        <v>45.05</v>
      </c>
      <c r="T503" s="91" t="s">
        <v>50</v>
      </c>
      <c r="U503" s="37" t="s">
        <v>50</v>
      </c>
      <c r="V503" s="37" t="s">
        <v>50</v>
      </c>
      <c r="W503" s="37" t="s">
        <v>50</v>
      </c>
      <c r="Y503" s="750" t="s">
        <v>32</v>
      </c>
    </row>
    <row r="504" spans="1:25" x14ac:dyDescent="0.25">
      <c r="A504" s="711">
        <v>44000</v>
      </c>
      <c r="B504" s="37" t="s">
        <v>876</v>
      </c>
      <c r="C504" s="693" t="s">
        <v>78</v>
      </c>
      <c r="D504" s="37">
        <v>38.046999999999997</v>
      </c>
      <c r="E504" s="37">
        <v>-121.88523000000001</v>
      </c>
      <c r="F504" s="37" t="s">
        <v>2391</v>
      </c>
      <c r="G504" s="37" t="s">
        <v>27</v>
      </c>
      <c r="H504" s="37" t="s">
        <v>101</v>
      </c>
      <c r="I504" s="712">
        <v>0.32222222222222224</v>
      </c>
      <c r="J504" s="37" t="s">
        <v>28</v>
      </c>
      <c r="K504" s="37" t="s">
        <v>29</v>
      </c>
      <c r="L504" s="37" t="s">
        <v>30</v>
      </c>
      <c r="M504" s="37">
        <v>2</v>
      </c>
      <c r="N504" s="37">
        <v>10</v>
      </c>
      <c r="O504" s="91">
        <v>41.9</v>
      </c>
      <c r="P504" s="91">
        <v>4271</v>
      </c>
      <c r="Q504" s="91" t="s">
        <v>50</v>
      </c>
      <c r="R504" s="91">
        <v>0.56000000000000005</v>
      </c>
      <c r="S504" s="91">
        <v>25.85</v>
      </c>
      <c r="T504" s="91" t="s">
        <v>50</v>
      </c>
      <c r="U504" s="37" t="s">
        <v>50</v>
      </c>
      <c r="V504" s="37" t="s">
        <v>50</v>
      </c>
      <c r="W504" s="37" t="s">
        <v>50</v>
      </c>
      <c r="Y504" s="750" t="s">
        <v>32</v>
      </c>
    </row>
    <row r="505" spans="1:25" x14ac:dyDescent="0.25">
      <c r="A505" s="711">
        <v>44000</v>
      </c>
      <c r="B505" s="37" t="s">
        <v>876</v>
      </c>
      <c r="C505" s="693" t="s">
        <v>78</v>
      </c>
      <c r="D505" s="37">
        <v>38.061129999999999</v>
      </c>
      <c r="E505" s="37">
        <v>-121.85966000000001</v>
      </c>
      <c r="F505" s="37" t="s">
        <v>2392</v>
      </c>
      <c r="G505" s="37" t="s">
        <v>27</v>
      </c>
      <c r="H505" s="37" t="s">
        <v>101</v>
      </c>
      <c r="I505" s="712">
        <v>0.45624999999999999</v>
      </c>
      <c r="J505" s="37" t="s">
        <v>28</v>
      </c>
      <c r="K505" s="37" t="s">
        <v>29</v>
      </c>
      <c r="L505" s="37" t="s">
        <v>30</v>
      </c>
      <c r="M505" s="37">
        <v>2</v>
      </c>
      <c r="N505" s="37">
        <v>10</v>
      </c>
      <c r="O505" s="91">
        <v>34.9</v>
      </c>
      <c r="P505" s="91">
        <v>1347</v>
      </c>
      <c r="Q505" s="91" t="s">
        <v>50</v>
      </c>
      <c r="R505" s="91">
        <v>0.73499999999999999</v>
      </c>
      <c r="S505" s="91">
        <v>20.200000000000003</v>
      </c>
      <c r="T505" s="91" t="s">
        <v>50</v>
      </c>
      <c r="U505" s="37" t="s">
        <v>50</v>
      </c>
      <c r="V505" s="37" t="s">
        <v>50</v>
      </c>
      <c r="W505" s="37" t="s">
        <v>50</v>
      </c>
      <c r="Y505" s="750" t="s">
        <v>32</v>
      </c>
    </row>
    <row r="506" spans="1:25" x14ac:dyDescent="0.25">
      <c r="A506" s="713">
        <v>44000</v>
      </c>
      <c r="B506" s="714" t="s">
        <v>876</v>
      </c>
      <c r="C506" s="715" t="s">
        <v>78</v>
      </c>
      <c r="D506" s="714">
        <v>38.075690000000002</v>
      </c>
      <c r="E506" s="714">
        <v>-121.94788</v>
      </c>
      <c r="F506" s="714" t="s">
        <v>2393</v>
      </c>
      <c r="G506" s="714" t="s">
        <v>27</v>
      </c>
      <c r="H506" s="714" t="s">
        <v>170</v>
      </c>
      <c r="I506" s="751">
        <v>0.44513888888888892</v>
      </c>
      <c r="J506" s="714" t="s">
        <v>28</v>
      </c>
      <c r="K506" s="714" t="s">
        <v>29</v>
      </c>
      <c r="L506" s="714" t="s">
        <v>30</v>
      </c>
      <c r="M506" s="714">
        <v>0</v>
      </c>
      <c r="N506" s="714" t="s">
        <v>50</v>
      </c>
      <c r="O506" s="752" t="s">
        <v>50</v>
      </c>
      <c r="P506" s="752" t="s">
        <v>50</v>
      </c>
      <c r="Q506" s="752" t="s">
        <v>50</v>
      </c>
      <c r="R506" s="752" t="s">
        <v>50</v>
      </c>
      <c r="S506" s="752" t="s">
        <v>50</v>
      </c>
      <c r="T506" s="752" t="s">
        <v>50</v>
      </c>
      <c r="U506" s="714" t="s">
        <v>50</v>
      </c>
      <c r="V506" s="714" t="s">
        <v>50</v>
      </c>
      <c r="W506" s="714" t="s">
        <v>50</v>
      </c>
      <c r="X506" s="720" t="s">
        <v>734</v>
      </c>
      <c r="Y506" s="750" t="s">
        <v>32</v>
      </c>
    </row>
    <row r="507" spans="1:25" x14ac:dyDescent="0.25">
      <c r="A507" s="711">
        <v>44000</v>
      </c>
      <c r="B507" s="37" t="s">
        <v>876</v>
      </c>
      <c r="C507" s="693" t="s">
        <v>78</v>
      </c>
      <c r="D507" s="37">
        <v>38.060180000000003</v>
      </c>
      <c r="E507" s="37">
        <v>-121.94788</v>
      </c>
      <c r="F507" s="37" t="s">
        <v>2394</v>
      </c>
      <c r="G507" s="37" t="s">
        <v>27</v>
      </c>
      <c r="H507" s="37" t="s">
        <v>86</v>
      </c>
      <c r="I507" s="712">
        <v>0.36041666666666666</v>
      </c>
      <c r="J507" s="37" t="s">
        <v>28</v>
      </c>
      <c r="K507" s="37" t="s">
        <v>29</v>
      </c>
      <c r="L507" s="37" t="s">
        <v>30</v>
      </c>
      <c r="M507" s="37">
        <v>3</v>
      </c>
      <c r="N507" s="37">
        <v>10</v>
      </c>
      <c r="O507" s="91">
        <v>21.900000000000002</v>
      </c>
      <c r="P507" s="91">
        <v>12035</v>
      </c>
      <c r="Q507" s="91" t="s">
        <v>50</v>
      </c>
      <c r="R507" s="91">
        <v>0.57333333333333336</v>
      </c>
      <c r="S507" s="91">
        <v>23.3</v>
      </c>
      <c r="T507" s="91" t="s">
        <v>50</v>
      </c>
      <c r="U507" s="37" t="s">
        <v>50</v>
      </c>
      <c r="V507" s="37" t="s">
        <v>50</v>
      </c>
      <c r="W507" s="37" t="s">
        <v>50</v>
      </c>
      <c r="X507" s="698" t="s">
        <v>2395</v>
      </c>
      <c r="Y507" s="750" t="s">
        <v>32</v>
      </c>
    </row>
    <row r="508" spans="1:25" x14ac:dyDescent="0.25">
      <c r="A508" s="711">
        <v>44000</v>
      </c>
      <c r="B508" s="37" t="s">
        <v>876</v>
      </c>
      <c r="C508" s="693" t="s">
        <v>78</v>
      </c>
      <c r="D508" s="37">
        <v>38.098379999999999</v>
      </c>
      <c r="E508" s="37">
        <v>-122.02778000000001</v>
      </c>
      <c r="F508" s="37" t="s">
        <v>2396</v>
      </c>
      <c r="G508" s="37" t="s">
        <v>27</v>
      </c>
      <c r="H508" s="37" t="s">
        <v>86</v>
      </c>
      <c r="I508" s="712">
        <v>0.42083333333333334</v>
      </c>
      <c r="J508" s="37" t="s">
        <v>28</v>
      </c>
      <c r="K508" s="37" t="s">
        <v>29</v>
      </c>
      <c r="L508" s="37" t="s">
        <v>30</v>
      </c>
      <c r="M508" s="37">
        <v>2</v>
      </c>
      <c r="N508" s="37">
        <v>10</v>
      </c>
      <c r="O508" s="91">
        <v>21.950000000000003</v>
      </c>
      <c r="P508" s="91">
        <v>9892.5</v>
      </c>
      <c r="Q508" s="91" t="s">
        <v>50</v>
      </c>
      <c r="R508" s="91">
        <v>0.54</v>
      </c>
      <c r="S508" s="91">
        <v>21.7</v>
      </c>
      <c r="T508" s="91" t="s">
        <v>50</v>
      </c>
      <c r="U508" s="37" t="s">
        <v>50</v>
      </c>
      <c r="V508" s="37" t="s">
        <v>50</v>
      </c>
      <c r="W508" s="37" t="s">
        <v>50</v>
      </c>
      <c r="Y508" s="750" t="s">
        <v>32</v>
      </c>
    </row>
    <row r="509" spans="1:25" x14ac:dyDescent="0.25">
      <c r="A509" s="711">
        <v>44000</v>
      </c>
      <c r="B509" s="37" t="s">
        <v>876</v>
      </c>
      <c r="C509" s="693" t="s">
        <v>78</v>
      </c>
      <c r="D509" s="37">
        <v>38.096919999999997</v>
      </c>
      <c r="E509" s="37">
        <v>-122.07203</v>
      </c>
      <c r="F509" s="37" t="s">
        <v>2397</v>
      </c>
      <c r="G509" s="37" t="s">
        <v>80</v>
      </c>
      <c r="H509" s="37" t="s">
        <v>81</v>
      </c>
      <c r="I509" s="712">
        <v>0.39652777777777781</v>
      </c>
      <c r="J509" s="37" t="s">
        <v>28</v>
      </c>
      <c r="K509" s="37" t="s">
        <v>29</v>
      </c>
      <c r="L509" s="37" t="s">
        <v>30</v>
      </c>
      <c r="M509" s="37">
        <v>2</v>
      </c>
      <c r="N509" s="37">
        <v>10</v>
      </c>
      <c r="O509" s="91">
        <v>7.5</v>
      </c>
      <c r="P509" s="91">
        <v>11347.5</v>
      </c>
      <c r="Q509" s="91" t="s">
        <v>50</v>
      </c>
      <c r="R509" s="91">
        <v>0.375</v>
      </c>
      <c r="S509" s="91">
        <v>33.799999999999997</v>
      </c>
      <c r="T509" s="91" t="s">
        <v>50</v>
      </c>
      <c r="U509" s="37" t="s">
        <v>50</v>
      </c>
      <c r="V509" s="37" t="s">
        <v>50</v>
      </c>
      <c r="W509" s="37" t="s">
        <v>50</v>
      </c>
      <c r="Y509" s="750" t="s">
        <v>32</v>
      </c>
    </row>
    <row r="510" spans="1:25" x14ac:dyDescent="0.25">
      <c r="A510" s="713">
        <v>44000</v>
      </c>
      <c r="B510" s="714" t="s">
        <v>876</v>
      </c>
      <c r="C510" s="715" t="s">
        <v>845</v>
      </c>
      <c r="D510" s="714">
        <v>38.27957</v>
      </c>
      <c r="E510" s="714">
        <v>-121.71266</v>
      </c>
      <c r="F510" s="714" t="s">
        <v>2398</v>
      </c>
      <c r="G510" s="714" t="s">
        <v>90</v>
      </c>
      <c r="H510" s="714" t="s">
        <v>126</v>
      </c>
      <c r="I510" s="751">
        <v>0.40972222222222227</v>
      </c>
      <c r="J510" s="714" t="s">
        <v>28</v>
      </c>
      <c r="K510" s="714" t="s">
        <v>29</v>
      </c>
      <c r="L510" s="714" t="s">
        <v>30</v>
      </c>
      <c r="M510" s="714">
        <v>0</v>
      </c>
      <c r="N510" s="714" t="s">
        <v>50</v>
      </c>
      <c r="O510" s="752" t="s">
        <v>50</v>
      </c>
      <c r="P510" s="752" t="s">
        <v>50</v>
      </c>
      <c r="Q510" s="752" t="s">
        <v>50</v>
      </c>
      <c r="R510" s="752" t="s">
        <v>50</v>
      </c>
      <c r="S510" s="752" t="s">
        <v>50</v>
      </c>
      <c r="T510" s="752" t="s">
        <v>50</v>
      </c>
      <c r="U510" s="714" t="s">
        <v>50</v>
      </c>
      <c r="V510" s="714" t="s">
        <v>50</v>
      </c>
      <c r="W510" s="714" t="s">
        <v>50</v>
      </c>
      <c r="X510" s="720" t="s">
        <v>734</v>
      </c>
      <c r="Y510" s="750" t="s">
        <v>32</v>
      </c>
    </row>
    <row r="511" spans="1:25" x14ac:dyDescent="0.25">
      <c r="A511" s="713">
        <v>44000</v>
      </c>
      <c r="B511" s="714" t="s">
        <v>876</v>
      </c>
      <c r="C511" s="715" t="s">
        <v>845</v>
      </c>
      <c r="D511" s="714">
        <v>38.281080000000003</v>
      </c>
      <c r="E511" s="714">
        <v>-121.67998</v>
      </c>
      <c r="F511" s="714" t="s">
        <v>2399</v>
      </c>
      <c r="G511" s="714" t="s">
        <v>90</v>
      </c>
      <c r="H511" s="714" t="s">
        <v>126</v>
      </c>
      <c r="I511" s="751">
        <v>0.37152777777777773</v>
      </c>
      <c r="J511" s="714" t="s">
        <v>28</v>
      </c>
      <c r="K511" s="714" t="s">
        <v>29</v>
      </c>
      <c r="L511" s="714" t="s">
        <v>30</v>
      </c>
      <c r="M511" s="714">
        <v>0</v>
      </c>
      <c r="N511" s="714" t="s">
        <v>50</v>
      </c>
      <c r="O511" s="752" t="s">
        <v>50</v>
      </c>
      <c r="P511" s="752" t="s">
        <v>50</v>
      </c>
      <c r="Q511" s="752" t="s">
        <v>50</v>
      </c>
      <c r="R511" s="752" t="s">
        <v>50</v>
      </c>
      <c r="S511" s="752" t="s">
        <v>50</v>
      </c>
      <c r="T511" s="752" t="s">
        <v>50</v>
      </c>
      <c r="U511" s="714" t="s">
        <v>50</v>
      </c>
      <c r="V511" s="714" t="s">
        <v>50</v>
      </c>
      <c r="W511" s="714" t="s">
        <v>50</v>
      </c>
      <c r="X511" s="720" t="s">
        <v>734</v>
      </c>
      <c r="Y511" s="750" t="s">
        <v>32</v>
      </c>
    </row>
    <row r="512" spans="1:25" x14ac:dyDescent="0.25">
      <c r="A512" s="711">
        <v>44000</v>
      </c>
      <c r="B512" s="37" t="s">
        <v>876</v>
      </c>
      <c r="C512" s="693" t="s">
        <v>845</v>
      </c>
      <c r="D512" s="37">
        <v>38.269919999999999</v>
      </c>
      <c r="E512" s="37">
        <v>-121.70229999999999</v>
      </c>
      <c r="F512" s="37" t="s">
        <v>2400</v>
      </c>
      <c r="G512" s="37" t="s">
        <v>90</v>
      </c>
      <c r="H512" s="37" t="s">
        <v>126</v>
      </c>
      <c r="I512" s="712">
        <v>0.41319444444444442</v>
      </c>
      <c r="J512" s="37" t="s">
        <v>28</v>
      </c>
      <c r="K512" s="37" t="s">
        <v>29</v>
      </c>
      <c r="L512" s="37" t="s">
        <v>30</v>
      </c>
      <c r="M512" s="37">
        <v>2</v>
      </c>
      <c r="N512" s="37">
        <v>10</v>
      </c>
      <c r="O512" s="91">
        <v>9.3999999999999986</v>
      </c>
      <c r="P512" s="91">
        <v>169.15</v>
      </c>
      <c r="Q512" s="91" t="s">
        <v>50</v>
      </c>
      <c r="R512" s="91">
        <v>1.8</v>
      </c>
      <c r="S512" s="91">
        <v>3.9350000000000001</v>
      </c>
      <c r="T512" s="91" t="s">
        <v>50</v>
      </c>
      <c r="U512" s="37" t="s">
        <v>50</v>
      </c>
      <c r="V512" s="37" t="s">
        <v>50</v>
      </c>
      <c r="W512" s="37" t="s">
        <v>50</v>
      </c>
      <c r="X512" s="698" t="s">
        <v>2401</v>
      </c>
      <c r="Y512" s="750" t="s">
        <v>32</v>
      </c>
    </row>
    <row r="513" spans="1:25" x14ac:dyDescent="0.25">
      <c r="A513" s="711">
        <v>44000</v>
      </c>
      <c r="B513" s="37" t="s">
        <v>876</v>
      </c>
      <c r="C513" s="693" t="s">
        <v>845</v>
      </c>
      <c r="D513" s="37">
        <v>38.247070000000001</v>
      </c>
      <c r="E513" s="37">
        <v>-121.69924</v>
      </c>
      <c r="F513" s="37" t="s">
        <v>2402</v>
      </c>
      <c r="G513" s="37" t="s">
        <v>90</v>
      </c>
      <c r="H513" s="37" t="s">
        <v>126</v>
      </c>
      <c r="I513" s="712">
        <v>0.46666666666666662</v>
      </c>
      <c r="J513" s="37" t="s">
        <v>28</v>
      </c>
      <c r="K513" s="37" t="s">
        <v>29</v>
      </c>
      <c r="L513" s="37" t="s">
        <v>30</v>
      </c>
      <c r="M513" s="37">
        <v>2</v>
      </c>
      <c r="N513" s="37">
        <v>10</v>
      </c>
      <c r="O513" s="91">
        <v>17.55</v>
      </c>
      <c r="P513" s="91">
        <v>175.4</v>
      </c>
      <c r="Q513" s="91" t="s">
        <v>50</v>
      </c>
      <c r="R513" s="91">
        <v>1.75</v>
      </c>
      <c r="S513" s="91">
        <v>5.3800000000000008</v>
      </c>
      <c r="T513" s="91" t="s">
        <v>50</v>
      </c>
      <c r="U513" s="37" t="s">
        <v>50</v>
      </c>
      <c r="V513" s="37" t="s">
        <v>50</v>
      </c>
      <c r="W513" s="37" t="s">
        <v>50</v>
      </c>
      <c r="X513" s="698" t="s">
        <v>2401</v>
      </c>
      <c r="Y513" s="750" t="s">
        <v>32</v>
      </c>
    </row>
    <row r="514" spans="1:25" x14ac:dyDescent="0.25">
      <c r="A514" s="713">
        <v>44000</v>
      </c>
      <c r="B514" s="714" t="s">
        <v>876</v>
      </c>
      <c r="C514" s="715" t="s">
        <v>845</v>
      </c>
      <c r="D514" s="714">
        <v>38.295650000000002</v>
      </c>
      <c r="E514" s="714">
        <v>-121.72703</v>
      </c>
      <c r="F514" s="714" t="s">
        <v>2403</v>
      </c>
      <c r="G514" s="714" t="s">
        <v>90</v>
      </c>
      <c r="H514" s="714" t="s">
        <v>126</v>
      </c>
      <c r="I514" s="751">
        <v>0.37638888888888888</v>
      </c>
      <c r="J514" s="714" t="s">
        <v>28</v>
      </c>
      <c r="K514" s="714" t="s">
        <v>29</v>
      </c>
      <c r="L514" s="714" t="s">
        <v>30</v>
      </c>
      <c r="M514" s="714">
        <v>0</v>
      </c>
      <c r="N514" s="714" t="s">
        <v>50</v>
      </c>
      <c r="O514" s="752" t="s">
        <v>50</v>
      </c>
      <c r="P514" s="752" t="s">
        <v>50</v>
      </c>
      <c r="Q514" s="752" t="s">
        <v>50</v>
      </c>
      <c r="R514" s="752" t="s">
        <v>50</v>
      </c>
      <c r="S514" s="752" t="s">
        <v>50</v>
      </c>
      <c r="T514" s="752" t="s">
        <v>50</v>
      </c>
      <c r="U514" s="714" t="s">
        <v>50</v>
      </c>
      <c r="V514" s="714" t="s">
        <v>50</v>
      </c>
      <c r="W514" s="714" t="s">
        <v>50</v>
      </c>
      <c r="X514" s="720" t="s">
        <v>734</v>
      </c>
      <c r="Y514" s="750" t="s">
        <v>32</v>
      </c>
    </row>
    <row r="515" spans="1:25" x14ac:dyDescent="0.25">
      <c r="A515" s="711">
        <v>44000</v>
      </c>
      <c r="B515" s="37" t="s">
        <v>876</v>
      </c>
      <c r="C515" s="693" t="s">
        <v>845</v>
      </c>
      <c r="D515" s="37">
        <v>38.301929999999999</v>
      </c>
      <c r="E515" s="37">
        <v>-121.66627</v>
      </c>
      <c r="F515" s="37" t="s">
        <v>2404</v>
      </c>
      <c r="G515" s="37" t="s">
        <v>90</v>
      </c>
      <c r="H515" s="37" t="s">
        <v>126</v>
      </c>
      <c r="I515" s="712">
        <v>0.33819444444444446</v>
      </c>
      <c r="J515" s="37" t="s">
        <v>28</v>
      </c>
      <c r="K515" s="37" t="s">
        <v>29</v>
      </c>
      <c r="L515" s="37" t="s">
        <v>30</v>
      </c>
      <c r="M515" s="37">
        <v>2</v>
      </c>
      <c r="N515" s="37">
        <v>10</v>
      </c>
      <c r="O515" s="91">
        <v>23.5</v>
      </c>
      <c r="P515" s="91">
        <v>173.10000000000002</v>
      </c>
      <c r="Q515" s="91" t="s">
        <v>50</v>
      </c>
      <c r="R515" s="91">
        <v>1.1850000000000001</v>
      </c>
      <c r="S515" s="91">
        <v>15.780000000000001</v>
      </c>
      <c r="T515" s="91" t="s">
        <v>50</v>
      </c>
      <c r="U515" s="37" t="s">
        <v>50</v>
      </c>
      <c r="V515" s="37" t="s">
        <v>50</v>
      </c>
      <c r="W515" s="37" t="s">
        <v>50</v>
      </c>
      <c r="Y515" s="750" t="s">
        <v>32</v>
      </c>
    </row>
    <row r="516" spans="1:25" x14ac:dyDescent="0.25">
      <c r="A516" s="711">
        <v>44000</v>
      </c>
      <c r="B516" s="37" t="s">
        <v>876</v>
      </c>
      <c r="C516" s="693" t="s">
        <v>845</v>
      </c>
      <c r="D516" s="37">
        <v>38.264859999999999</v>
      </c>
      <c r="E516" s="37">
        <v>-121.69709</v>
      </c>
      <c r="F516" s="37" t="s">
        <v>2405</v>
      </c>
      <c r="G516" s="37" t="s">
        <v>90</v>
      </c>
      <c r="H516" s="37" t="s">
        <v>126</v>
      </c>
      <c r="I516" s="712">
        <v>0.38194444444444442</v>
      </c>
      <c r="J516" s="37" t="s">
        <v>28</v>
      </c>
      <c r="K516" s="37" t="s">
        <v>29</v>
      </c>
      <c r="L516" s="37" t="s">
        <v>30</v>
      </c>
      <c r="M516" s="37">
        <v>2</v>
      </c>
      <c r="N516" s="37">
        <v>10</v>
      </c>
      <c r="O516" s="91">
        <v>8.8000000000000007</v>
      </c>
      <c r="P516" s="91">
        <v>166.45</v>
      </c>
      <c r="Q516" s="91" t="s">
        <v>50</v>
      </c>
      <c r="R516" s="91">
        <v>1.8</v>
      </c>
      <c r="S516" s="91">
        <v>6.8150000000000004</v>
      </c>
      <c r="T516" s="91" t="s">
        <v>50</v>
      </c>
      <c r="U516" s="37" t="s">
        <v>50</v>
      </c>
      <c r="V516" s="37" t="s">
        <v>50</v>
      </c>
      <c r="W516" s="37" t="s">
        <v>50</v>
      </c>
      <c r="X516" s="698" t="s">
        <v>2401</v>
      </c>
      <c r="Y516" s="750" t="s">
        <v>32</v>
      </c>
    </row>
    <row r="517" spans="1:25" x14ac:dyDescent="0.25">
      <c r="A517" s="711">
        <v>44000</v>
      </c>
      <c r="B517" s="37" t="s">
        <v>876</v>
      </c>
      <c r="C517" s="693" t="s">
        <v>845</v>
      </c>
      <c r="D517" s="37">
        <v>38.254069999999999</v>
      </c>
      <c r="E517" s="37">
        <v>-121.6874</v>
      </c>
      <c r="F517" s="37" t="s">
        <v>2406</v>
      </c>
      <c r="G517" s="37" t="s">
        <v>90</v>
      </c>
      <c r="H517" s="37" t="s">
        <v>126</v>
      </c>
      <c r="I517" s="712">
        <v>0.43888888888888888</v>
      </c>
      <c r="J517" s="37" t="s">
        <v>28</v>
      </c>
      <c r="K517" s="37" t="s">
        <v>29</v>
      </c>
      <c r="L517" s="37" t="s">
        <v>30</v>
      </c>
      <c r="M517" s="37">
        <v>2</v>
      </c>
      <c r="N517" s="37">
        <v>10</v>
      </c>
      <c r="O517" s="91">
        <v>22.35</v>
      </c>
      <c r="P517" s="91">
        <v>165.55</v>
      </c>
      <c r="Q517" s="91" t="s">
        <v>50</v>
      </c>
      <c r="R517" s="91">
        <v>1.1600000000000001</v>
      </c>
      <c r="S517" s="91">
        <v>7.37</v>
      </c>
      <c r="T517" s="91" t="s">
        <v>50</v>
      </c>
      <c r="U517" s="37" t="s">
        <v>50</v>
      </c>
      <c r="V517" s="37" t="s">
        <v>50</v>
      </c>
      <c r="W517" s="37" t="s">
        <v>50</v>
      </c>
      <c r="X517" s="698" t="s">
        <v>2401</v>
      </c>
      <c r="Y517" s="750" t="s">
        <v>32</v>
      </c>
    </row>
    <row r="518" spans="1:25" x14ac:dyDescent="0.25">
      <c r="A518" s="711">
        <v>44001</v>
      </c>
      <c r="B518" s="37" t="s">
        <v>125</v>
      </c>
      <c r="C518" s="693" t="s">
        <v>95</v>
      </c>
      <c r="D518" s="37">
        <v>38.035800000000002</v>
      </c>
      <c r="E518" s="37">
        <v>-121.70699</v>
      </c>
      <c r="F518" s="37" t="s">
        <v>2407</v>
      </c>
      <c r="G518" s="37" t="s">
        <v>27</v>
      </c>
      <c r="H518" s="37" t="s">
        <v>863</v>
      </c>
      <c r="I518" s="712">
        <v>0.44513888888888892</v>
      </c>
      <c r="J518" s="37" t="s">
        <v>28</v>
      </c>
      <c r="K518" s="37" t="s">
        <v>29</v>
      </c>
      <c r="L518" s="37" t="s">
        <v>30</v>
      </c>
      <c r="M518" s="37">
        <v>2</v>
      </c>
      <c r="N518" s="37">
        <v>10</v>
      </c>
      <c r="O518" s="91">
        <v>34.9</v>
      </c>
      <c r="P518" s="91">
        <v>280.35000000000002</v>
      </c>
      <c r="Q518" s="91" t="s">
        <v>50</v>
      </c>
      <c r="R518" s="91">
        <v>1.2000000000000002</v>
      </c>
      <c r="S518" s="91">
        <v>7.58</v>
      </c>
      <c r="T518" s="91" t="s">
        <v>50</v>
      </c>
      <c r="U518" s="37" t="s">
        <v>50</v>
      </c>
      <c r="V518" s="37" t="s">
        <v>50</v>
      </c>
      <c r="W518" s="37" t="s">
        <v>50</v>
      </c>
      <c r="Y518" s="750" t="s">
        <v>32</v>
      </c>
    </row>
    <row r="519" spans="1:25" x14ac:dyDescent="0.25">
      <c r="A519" s="711">
        <v>44001</v>
      </c>
      <c r="B519" s="37" t="s">
        <v>125</v>
      </c>
      <c r="C519" s="693" t="s">
        <v>95</v>
      </c>
      <c r="D519" s="37">
        <v>38.100650000000002</v>
      </c>
      <c r="E519" s="37">
        <v>-121.58391</v>
      </c>
      <c r="F519" s="37" t="s">
        <v>2408</v>
      </c>
      <c r="G519" s="37" t="s">
        <v>46</v>
      </c>
      <c r="H519" s="37" t="s">
        <v>1767</v>
      </c>
      <c r="I519" s="712">
        <v>0.36249999999999999</v>
      </c>
      <c r="J519" s="37" t="s">
        <v>28</v>
      </c>
      <c r="K519" s="37" t="s">
        <v>29</v>
      </c>
      <c r="L519" s="37" t="s">
        <v>30</v>
      </c>
      <c r="M519" s="37">
        <v>2</v>
      </c>
      <c r="N519" s="37">
        <v>10</v>
      </c>
      <c r="O519" s="91">
        <v>12.100000000000001</v>
      </c>
      <c r="P519" s="91">
        <v>150.05000000000001</v>
      </c>
      <c r="Q519" s="91" t="s">
        <v>50</v>
      </c>
      <c r="R519" s="91">
        <v>1.5750000000000002</v>
      </c>
      <c r="S519" s="91">
        <v>4.33</v>
      </c>
      <c r="T519" s="91" t="s">
        <v>50</v>
      </c>
      <c r="U519" s="37" t="s">
        <v>50</v>
      </c>
      <c r="V519" s="37" t="s">
        <v>50</v>
      </c>
      <c r="W519" s="37" t="s">
        <v>50</v>
      </c>
      <c r="X519" s="698" t="s">
        <v>2409</v>
      </c>
      <c r="Y519" s="750" t="s">
        <v>32</v>
      </c>
    </row>
    <row r="520" spans="1:25" x14ac:dyDescent="0.25">
      <c r="A520" s="711">
        <v>44001</v>
      </c>
      <c r="B520" s="37" t="s">
        <v>125</v>
      </c>
      <c r="C520" s="693" t="s">
        <v>95</v>
      </c>
      <c r="D520" s="37">
        <v>38.060189999999999</v>
      </c>
      <c r="E520" s="37">
        <v>-121.67829999999999</v>
      </c>
      <c r="F520" s="37" t="s">
        <v>2410</v>
      </c>
      <c r="G520" s="37" t="s">
        <v>46</v>
      </c>
      <c r="H520" s="37" t="s">
        <v>908</v>
      </c>
      <c r="I520" s="712">
        <v>0.41805555555555557</v>
      </c>
      <c r="J520" s="37" t="s">
        <v>28</v>
      </c>
      <c r="K520" s="37" t="s">
        <v>29</v>
      </c>
      <c r="L520" s="37" t="s">
        <v>30</v>
      </c>
      <c r="M520" s="37">
        <v>2</v>
      </c>
      <c r="N520" s="37">
        <v>10</v>
      </c>
      <c r="O520" s="91">
        <v>32.700000000000003</v>
      </c>
      <c r="P520" s="91">
        <v>266.55</v>
      </c>
      <c r="Q520" s="91" t="s">
        <v>50</v>
      </c>
      <c r="R520" s="91">
        <v>1.35</v>
      </c>
      <c r="S520" s="91">
        <v>7.3599999999999994</v>
      </c>
      <c r="T520" s="91" t="s">
        <v>50</v>
      </c>
      <c r="U520" s="37" t="s">
        <v>50</v>
      </c>
      <c r="V520" s="37" t="s">
        <v>50</v>
      </c>
      <c r="W520" s="37" t="s">
        <v>50</v>
      </c>
      <c r="Y520" s="750" t="s">
        <v>32</v>
      </c>
    </row>
    <row r="521" spans="1:25" s="759" customFormat="1" x14ac:dyDescent="0.25">
      <c r="A521" s="798">
        <v>44001</v>
      </c>
      <c r="B521" s="759" t="s">
        <v>125</v>
      </c>
      <c r="C521" s="799" t="s">
        <v>95</v>
      </c>
      <c r="D521" s="759">
        <v>38.101239999999997</v>
      </c>
      <c r="E521" s="759">
        <v>-121.62229000000001</v>
      </c>
      <c r="F521" s="759" t="s">
        <v>2411</v>
      </c>
      <c r="G521" s="759" t="s">
        <v>46</v>
      </c>
      <c r="H521" s="759" t="s">
        <v>908</v>
      </c>
      <c r="I521" s="800">
        <v>0.38958333333333334</v>
      </c>
      <c r="J521" s="759" t="s">
        <v>28</v>
      </c>
      <c r="K521" s="759" t="s">
        <v>29</v>
      </c>
      <c r="L521" s="759" t="s">
        <v>30</v>
      </c>
      <c r="M521" s="759">
        <v>2</v>
      </c>
      <c r="N521" s="759">
        <v>10</v>
      </c>
      <c r="O521" s="802">
        <v>26.9</v>
      </c>
      <c r="P521" s="802">
        <v>196.35</v>
      </c>
      <c r="Q521" s="802" t="s">
        <v>50</v>
      </c>
      <c r="R521" s="802">
        <v>1.375</v>
      </c>
      <c r="S521" s="802">
        <v>6.79</v>
      </c>
      <c r="T521" s="802" t="s">
        <v>50</v>
      </c>
      <c r="U521" s="759" t="s">
        <v>50</v>
      </c>
      <c r="V521" s="759" t="s">
        <v>50</v>
      </c>
      <c r="W521" s="759" t="s">
        <v>50</v>
      </c>
      <c r="X521" s="803"/>
      <c r="Y521" s="763" t="s">
        <v>32</v>
      </c>
    </row>
    <row r="522" spans="1:25" x14ac:dyDescent="0.25">
      <c r="A522" s="711">
        <v>44004</v>
      </c>
      <c r="B522" s="37" t="s">
        <v>43</v>
      </c>
      <c r="C522" s="693" t="s">
        <v>78</v>
      </c>
      <c r="D522" s="37">
        <v>38.026789999999998</v>
      </c>
      <c r="E522" s="37">
        <v>-121.82258</v>
      </c>
      <c r="F522" s="37" t="s">
        <v>2412</v>
      </c>
      <c r="G522" s="37" t="s">
        <v>27</v>
      </c>
      <c r="H522" s="37" t="s">
        <v>101</v>
      </c>
      <c r="I522" s="712">
        <v>0.32847222222222222</v>
      </c>
      <c r="J522" s="37" t="s">
        <v>28</v>
      </c>
      <c r="K522" s="37" t="s">
        <v>29</v>
      </c>
      <c r="L522" s="37" t="s">
        <v>30</v>
      </c>
      <c r="M522" s="37">
        <v>2</v>
      </c>
      <c r="N522" s="37">
        <v>10</v>
      </c>
      <c r="O522" s="91">
        <v>17.399999999999999</v>
      </c>
      <c r="P522" s="91">
        <v>4402</v>
      </c>
      <c r="Q522" s="91" t="s">
        <v>50</v>
      </c>
      <c r="R522" s="91">
        <v>0.53</v>
      </c>
      <c r="S522" s="91">
        <v>20.149999999999999</v>
      </c>
      <c r="T522" s="91" t="s">
        <v>50</v>
      </c>
      <c r="U522" s="37" t="s">
        <v>50</v>
      </c>
      <c r="V522" s="37" t="s">
        <v>50</v>
      </c>
      <c r="W522" s="37" t="s">
        <v>50</v>
      </c>
      <c r="Y522" s="750" t="s">
        <v>32</v>
      </c>
    </row>
    <row r="523" spans="1:25" x14ac:dyDescent="0.25">
      <c r="A523" s="711">
        <v>44004</v>
      </c>
      <c r="B523" s="37" t="s">
        <v>43</v>
      </c>
      <c r="C523" s="693" t="s">
        <v>78</v>
      </c>
      <c r="D523" s="37">
        <v>38.047719999999998</v>
      </c>
      <c r="E523" s="37">
        <v>-121.88088</v>
      </c>
      <c r="F523" s="37" t="s">
        <v>2413</v>
      </c>
      <c r="G523" s="37" t="s">
        <v>27</v>
      </c>
      <c r="H523" s="37" t="s">
        <v>101</v>
      </c>
      <c r="I523" s="712">
        <v>0.3576388888888889</v>
      </c>
      <c r="J523" s="37" t="s">
        <v>28</v>
      </c>
      <c r="K523" s="37" t="s">
        <v>29</v>
      </c>
      <c r="L523" s="37" t="s">
        <v>30</v>
      </c>
      <c r="M523" s="37">
        <v>2</v>
      </c>
      <c r="N523" s="37">
        <v>10</v>
      </c>
      <c r="O523" s="91">
        <v>38</v>
      </c>
      <c r="P523" s="91">
        <v>7765</v>
      </c>
      <c r="Q523" s="91" t="s">
        <v>50</v>
      </c>
      <c r="R523" s="91">
        <v>0.56000000000000005</v>
      </c>
      <c r="S523" s="91">
        <v>25</v>
      </c>
      <c r="T523" s="91" t="s">
        <v>50</v>
      </c>
      <c r="U523" s="37" t="s">
        <v>50</v>
      </c>
      <c r="V523" s="37" t="s">
        <v>50</v>
      </c>
      <c r="W523" s="37" t="s">
        <v>50</v>
      </c>
      <c r="Y523" s="750" t="s">
        <v>32</v>
      </c>
    </row>
    <row r="524" spans="1:25" x14ac:dyDescent="0.25">
      <c r="A524" s="711">
        <v>44004</v>
      </c>
      <c r="B524" s="37" t="s">
        <v>43</v>
      </c>
      <c r="C524" s="693" t="s">
        <v>78</v>
      </c>
      <c r="D524" s="37">
        <v>38.050649999999997</v>
      </c>
      <c r="E524" s="37">
        <v>-121.95124</v>
      </c>
      <c r="F524" s="37" t="s">
        <v>2414</v>
      </c>
      <c r="G524" s="37" t="s">
        <v>27</v>
      </c>
      <c r="H524" s="37" t="s">
        <v>170</v>
      </c>
      <c r="I524" s="712">
        <v>0.3923611111111111</v>
      </c>
      <c r="J524" s="37" t="s">
        <v>28</v>
      </c>
      <c r="K524" s="37" t="s">
        <v>29</v>
      </c>
      <c r="L524" s="37" t="s">
        <v>30</v>
      </c>
      <c r="M524" s="37">
        <v>2</v>
      </c>
      <c r="N524" s="37">
        <v>10</v>
      </c>
      <c r="O524" s="91">
        <v>12.05</v>
      </c>
      <c r="P524" s="91">
        <v>10182.5</v>
      </c>
      <c r="Q524" s="91" t="s">
        <v>50</v>
      </c>
      <c r="R524" s="91">
        <v>0.28000000000000003</v>
      </c>
      <c r="S524" s="91">
        <v>49.95</v>
      </c>
      <c r="T524" s="91" t="s">
        <v>50</v>
      </c>
      <c r="U524" s="37" t="s">
        <v>50</v>
      </c>
      <c r="V524" s="37" t="s">
        <v>50</v>
      </c>
      <c r="W524" s="37" t="s">
        <v>50</v>
      </c>
      <c r="Y524" s="750" t="s">
        <v>32</v>
      </c>
    </row>
    <row r="525" spans="1:25" x14ac:dyDescent="0.25">
      <c r="A525" s="711">
        <v>44004</v>
      </c>
      <c r="B525" s="37" t="s">
        <v>43</v>
      </c>
      <c r="C525" s="693" t="s">
        <v>78</v>
      </c>
      <c r="D525" s="37">
        <v>38.045209999999997</v>
      </c>
      <c r="E525" s="37">
        <v>-121.90167</v>
      </c>
      <c r="F525" s="37" t="s">
        <v>2415</v>
      </c>
      <c r="G525" s="37" t="s">
        <v>27</v>
      </c>
      <c r="H525" s="37" t="s">
        <v>101</v>
      </c>
      <c r="I525" s="712">
        <v>0.43194444444444446</v>
      </c>
      <c r="J525" s="37" t="s">
        <v>28</v>
      </c>
      <c r="K525" s="37" t="s">
        <v>29</v>
      </c>
      <c r="L525" s="37" t="s">
        <v>30</v>
      </c>
      <c r="M525" s="37">
        <v>2</v>
      </c>
      <c r="N525" s="37">
        <v>10</v>
      </c>
      <c r="O525" s="91">
        <v>57.099999999999994</v>
      </c>
      <c r="P525" s="91">
        <v>5058.5</v>
      </c>
      <c r="Q525" s="91" t="s">
        <v>50</v>
      </c>
      <c r="R525" s="91">
        <v>0.34499999999999997</v>
      </c>
      <c r="S525" s="91">
        <v>42.35</v>
      </c>
      <c r="T525" s="91" t="s">
        <v>50</v>
      </c>
      <c r="U525" s="37" t="s">
        <v>50</v>
      </c>
      <c r="V525" s="37" t="s">
        <v>50</v>
      </c>
      <c r="W525" s="37" t="s">
        <v>50</v>
      </c>
      <c r="Y525" s="750" t="s">
        <v>32</v>
      </c>
    </row>
    <row r="526" spans="1:25" x14ac:dyDescent="0.25">
      <c r="A526" s="711">
        <v>44004</v>
      </c>
      <c r="B526" s="37" t="s">
        <v>43</v>
      </c>
      <c r="C526" s="693" t="s">
        <v>845</v>
      </c>
      <c r="D526" s="37">
        <v>38.271920000000001</v>
      </c>
      <c r="E526" s="37">
        <v>-121.66670999999999</v>
      </c>
      <c r="F526" s="37" t="s">
        <v>2416</v>
      </c>
      <c r="G526" s="37" t="s">
        <v>90</v>
      </c>
      <c r="H526" s="37" t="s">
        <v>126</v>
      </c>
      <c r="I526" s="712">
        <v>0.36319444444444443</v>
      </c>
      <c r="J526" s="37" t="s">
        <v>28</v>
      </c>
      <c r="K526" s="37" t="s">
        <v>29</v>
      </c>
      <c r="L526" s="37" t="s">
        <v>30</v>
      </c>
      <c r="M526" s="37">
        <v>2</v>
      </c>
      <c r="N526" s="37">
        <v>10</v>
      </c>
      <c r="O526" s="91">
        <v>25.4</v>
      </c>
      <c r="P526" s="91">
        <v>163.69999999999999</v>
      </c>
      <c r="Q526" s="91" t="s">
        <v>50</v>
      </c>
      <c r="R526" s="91">
        <v>1.155</v>
      </c>
      <c r="S526" s="91">
        <v>8.34</v>
      </c>
      <c r="T526" s="91" t="s">
        <v>50</v>
      </c>
      <c r="U526" s="37" t="s">
        <v>50</v>
      </c>
      <c r="V526" s="37" t="s">
        <v>50</v>
      </c>
      <c r="W526" s="37" t="s">
        <v>50</v>
      </c>
      <c r="Y526" s="750" t="s">
        <v>32</v>
      </c>
    </row>
    <row r="527" spans="1:25" x14ac:dyDescent="0.25">
      <c r="A527" s="711">
        <v>44004</v>
      </c>
      <c r="B527" s="37" t="s">
        <v>43</v>
      </c>
      <c r="C527" s="693" t="s">
        <v>845</v>
      </c>
      <c r="D527" s="37">
        <v>38.241570000000003</v>
      </c>
      <c r="E527" s="37">
        <v>-121.68392</v>
      </c>
      <c r="F527" s="37" t="s">
        <v>2417</v>
      </c>
      <c r="G527" s="37" t="s">
        <v>90</v>
      </c>
      <c r="H527" s="37" t="s">
        <v>126</v>
      </c>
      <c r="I527" s="712">
        <v>0.40625</v>
      </c>
      <c r="J527" s="37" t="s">
        <v>28</v>
      </c>
      <c r="K527" s="37" t="s">
        <v>29</v>
      </c>
      <c r="L527" s="37" t="s">
        <v>30</v>
      </c>
      <c r="M527" s="37">
        <v>2</v>
      </c>
      <c r="N527" s="37">
        <v>10</v>
      </c>
      <c r="O527" s="91">
        <v>21.950000000000003</v>
      </c>
      <c r="P527" s="91">
        <v>153.4</v>
      </c>
      <c r="Q527" s="91" t="s">
        <v>50</v>
      </c>
      <c r="R527" s="91">
        <v>1.4300000000000002</v>
      </c>
      <c r="S527" s="91">
        <v>6.2949999999999999</v>
      </c>
      <c r="T527" s="91" t="s">
        <v>50</v>
      </c>
      <c r="U527" s="37" t="s">
        <v>50</v>
      </c>
      <c r="V527" s="37" t="s">
        <v>50</v>
      </c>
      <c r="W527" s="37" t="s">
        <v>50</v>
      </c>
      <c r="Y527" s="750" t="s">
        <v>32</v>
      </c>
    </row>
    <row r="528" spans="1:25" x14ac:dyDescent="0.25">
      <c r="A528" s="711">
        <v>44004</v>
      </c>
      <c r="B528" s="37" t="s">
        <v>43</v>
      </c>
      <c r="C528" s="693" t="s">
        <v>845</v>
      </c>
      <c r="D528" s="37">
        <v>38.271419999999999</v>
      </c>
      <c r="E528" s="37">
        <v>-121.69444</v>
      </c>
      <c r="F528" s="37" t="s">
        <v>2418</v>
      </c>
      <c r="G528" s="37" t="s">
        <v>90</v>
      </c>
      <c r="H528" s="37" t="s">
        <v>126</v>
      </c>
      <c r="I528" s="712">
        <v>0.44722222222222219</v>
      </c>
      <c r="J528" s="37" t="s">
        <v>28</v>
      </c>
      <c r="K528" s="37" t="s">
        <v>29</v>
      </c>
      <c r="L528" s="37" t="s">
        <v>30</v>
      </c>
      <c r="M528" s="37">
        <v>2</v>
      </c>
      <c r="N528" s="37">
        <v>10</v>
      </c>
      <c r="O528" s="91">
        <v>15.55</v>
      </c>
      <c r="P528" s="91">
        <v>167.5</v>
      </c>
      <c r="Q528" s="91" t="s">
        <v>50</v>
      </c>
      <c r="R528" s="91">
        <v>1.345</v>
      </c>
      <c r="S528" s="91">
        <v>5.27</v>
      </c>
      <c r="T528" s="91" t="s">
        <v>50</v>
      </c>
      <c r="U528" s="37" t="s">
        <v>50</v>
      </c>
      <c r="V528" s="37" t="s">
        <v>50</v>
      </c>
      <c r="W528" s="37" t="s">
        <v>50</v>
      </c>
      <c r="Y528" s="750" t="s">
        <v>32</v>
      </c>
    </row>
    <row r="529" spans="1:25" x14ac:dyDescent="0.25">
      <c r="A529" s="711">
        <v>44004</v>
      </c>
      <c r="B529" s="37" t="s">
        <v>43</v>
      </c>
      <c r="C529" s="693" t="s">
        <v>845</v>
      </c>
      <c r="D529" s="37">
        <v>38.284990000000001</v>
      </c>
      <c r="E529" s="37">
        <v>-121.71911</v>
      </c>
      <c r="F529" s="37" t="s">
        <v>2419</v>
      </c>
      <c r="G529" s="37" t="s">
        <v>90</v>
      </c>
      <c r="H529" s="37" t="s">
        <v>126</v>
      </c>
      <c r="I529" s="712">
        <v>0.48680555555555555</v>
      </c>
      <c r="J529" s="37" t="s">
        <v>28</v>
      </c>
      <c r="K529" s="37" t="s">
        <v>29</v>
      </c>
      <c r="L529" s="37" t="s">
        <v>30</v>
      </c>
      <c r="M529" s="37">
        <v>2</v>
      </c>
      <c r="N529" s="37">
        <v>5</v>
      </c>
      <c r="O529" s="91">
        <v>14.7</v>
      </c>
      <c r="P529" s="91">
        <v>176.6</v>
      </c>
      <c r="Q529" s="91" t="s">
        <v>50</v>
      </c>
      <c r="R529" s="91">
        <v>1.8</v>
      </c>
      <c r="S529" s="91">
        <v>2.415</v>
      </c>
      <c r="T529" s="91" t="s">
        <v>50</v>
      </c>
      <c r="U529" s="37" t="s">
        <v>50</v>
      </c>
      <c r="V529" s="37" t="s">
        <v>50</v>
      </c>
      <c r="W529" s="37" t="s">
        <v>50</v>
      </c>
      <c r="X529" s="698" t="s">
        <v>2420</v>
      </c>
      <c r="Y529" s="750" t="s">
        <v>32</v>
      </c>
    </row>
    <row r="530" spans="1:25" x14ac:dyDescent="0.25">
      <c r="A530" s="711">
        <v>44004</v>
      </c>
      <c r="B530" s="37" t="s">
        <v>43</v>
      </c>
      <c r="C530" s="693" t="s">
        <v>845</v>
      </c>
      <c r="D530" s="37">
        <v>38.246899999999997</v>
      </c>
      <c r="E530" s="37">
        <v>-121.70636</v>
      </c>
      <c r="F530" s="37" t="s">
        <v>2421</v>
      </c>
      <c r="G530" s="37" t="s">
        <v>90</v>
      </c>
      <c r="H530" s="37" t="s">
        <v>126</v>
      </c>
      <c r="I530" s="712">
        <v>0.51944444444444449</v>
      </c>
      <c r="J530" s="37" t="s">
        <v>28</v>
      </c>
      <c r="K530" s="37" t="s">
        <v>29</v>
      </c>
      <c r="L530" s="37" t="s">
        <v>30</v>
      </c>
      <c r="M530" s="37">
        <v>3</v>
      </c>
      <c r="N530" s="37">
        <v>5</v>
      </c>
      <c r="O530" s="91">
        <v>20</v>
      </c>
      <c r="P530" s="91">
        <v>172.86666666666667</v>
      </c>
      <c r="Q530" s="91" t="s">
        <v>50</v>
      </c>
      <c r="R530" s="91">
        <v>1.8</v>
      </c>
      <c r="S530" s="91">
        <v>4.8999999999999995</v>
      </c>
      <c r="T530" s="91" t="s">
        <v>50</v>
      </c>
      <c r="U530" s="37" t="s">
        <v>50</v>
      </c>
      <c r="V530" s="37" t="s">
        <v>50</v>
      </c>
      <c r="W530" s="37" t="s">
        <v>50</v>
      </c>
      <c r="X530" s="698" t="s">
        <v>2422</v>
      </c>
      <c r="Y530" s="750" t="s">
        <v>32</v>
      </c>
    </row>
    <row r="531" spans="1:25" x14ac:dyDescent="0.25">
      <c r="A531" s="711">
        <v>44005</v>
      </c>
      <c r="B531" s="37" t="s">
        <v>849</v>
      </c>
      <c r="C531" s="693" t="s">
        <v>62</v>
      </c>
      <c r="D531" s="37">
        <v>38.133969999999998</v>
      </c>
      <c r="E531" s="37">
        <v>-121.91432</v>
      </c>
      <c r="F531" s="37" t="s">
        <v>2423</v>
      </c>
      <c r="G531" s="37" t="s">
        <v>27</v>
      </c>
      <c r="H531" s="37" t="s">
        <v>62</v>
      </c>
      <c r="I531" s="712">
        <v>0.36388888888888887</v>
      </c>
      <c r="J531" s="37" t="s">
        <v>28</v>
      </c>
      <c r="K531" s="37" t="s">
        <v>29</v>
      </c>
      <c r="L531" s="37" t="s">
        <v>30</v>
      </c>
      <c r="M531" s="37">
        <v>2</v>
      </c>
      <c r="N531" s="37">
        <v>10</v>
      </c>
      <c r="O531" s="91">
        <v>14.2</v>
      </c>
      <c r="P531" s="91">
        <v>6188</v>
      </c>
      <c r="Q531" s="91" t="s">
        <v>50</v>
      </c>
      <c r="R531" s="91">
        <v>0.4</v>
      </c>
      <c r="S531" s="91">
        <v>35.4</v>
      </c>
      <c r="T531" s="91" t="s">
        <v>50</v>
      </c>
      <c r="U531" s="37" t="s">
        <v>50</v>
      </c>
      <c r="V531" s="37" t="s">
        <v>50</v>
      </c>
      <c r="W531" s="37" t="s">
        <v>50</v>
      </c>
      <c r="Y531" s="750" t="s">
        <v>32</v>
      </c>
    </row>
    <row r="532" spans="1:25" x14ac:dyDescent="0.25">
      <c r="A532" s="711">
        <v>44005</v>
      </c>
      <c r="B532" s="37" t="s">
        <v>849</v>
      </c>
      <c r="C532" s="693" t="s">
        <v>62</v>
      </c>
      <c r="D532" s="37">
        <v>38.169089999999997</v>
      </c>
      <c r="E532" s="37">
        <v>-122.04008</v>
      </c>
      <c r="F532" s="37" t="s">
        <v>2424</v>
      </c>
      <c r="G532" s="37" t="s">
        <v>27</v>
      </c>
      <c r="H532" s="37" t="s">
        <v>62</v>
      </c>
      <c r="I532" s="712">
        <v>0.39999999999999997</v>
      </c>
      <c r="J532" s="37" t="s">
        <v>28</v>
      </c>
      <c r="K532" s="37" t="s">
        <v>29</v>
      </c>
      <c r="L532" s="37" t="s">
        <v>30</v>
      </c>
      <c r="M532" s="37">
        <v>2</v>
      </c>
      <c r="N532" s="37">
        <v>10</v>
      </c>
      <c r="O532" s="91">
        <v>23</v>
      </c>
      <c r="P532" s="91">
        <v>10749</v>
      </c>
      <c r="Q532" s="91" t="s">
        <v>50</v>
      </c>
      <c r="R532" s="91">
        <v>0.315</v>
      </c>
      <c r="S532" s="91">
        <v>51.95</v>
      </c>
      <c r="T532" s="91" t="s">
        <v>50</v>
      </c>
      <c r="U532" s="37" t="s">
        <v>50</v>
      </c>
      <c r="V532" s="37" t="s">
        <v>50</v>
      </c>
      <c r="W532" s="37" t="s">
        <v>50</v>
      </c>
      <c r="Y532" s="750" t="s">
        <v>32</v>
      </c>
    </row>
    <row r="533" spans="1:25" x14ac:dyDescent="0.25">
      <c r="A533" s="711">
        <v>44005</v>
      </c>
      <c r="B533" s="37" t="s">
        <v>849</v>
      </c>
      <c r="C533" s="693" t="s">
        <v>62</v>
      </c>
      <c r="D533" s="37">
        <v>38.167639999999999</v>
      </c>
      <c r="E533" s="37">
        <v>-122.0676</v>
      </c>
      <c r="F533" s="37" t="s">
        <v>2425</v>
      </c>
      <c r="G533" s="37" t="s">
        <v>27</v>
      </c>
      <c r="H533" s="37" t="s">
        <v>62</v>
      </c>
      <c r="I533" s="712">
        <v>0.42638888888888887</v>
      </c>
      <c r="J533" s="37" t="s">
        <v>28</v>
      </c>
      <c r="K533" s="37" t="s">
        <v>29</v>
      </c>
      <c r="L533" s="37" t="s">
        <v>30</v>
      </c>
      <c r="M533" s="37">
        <v>2</v>
      </c>
      <c r="N533" s="37">
        <v>10</v>
      </c>
      <c r="O533" s="91">
        <v>21.2</v>
      </c>
      <c r="P533" s="91">
        <v>9683.5</v>
      </c>
      <c r="Q533" s="91" t="s">
        <v>50</v>
      </c>
      <c r="R533" s="91">
        <v>0.32</v>
      </c>
      <c r="S533" s="91">
        <v>42.95</v>
      </c>
      <c r="T533" s="91" t="s">
        <v>50</v>
      </c>
      <c r="U533" s="37" t="s">
        <v>50</v>
      </c>
      <c r="V533" s="37" t="s">
        <v>50</v>
      </c>
      <c r="W533" s="37" t="s">
        <v>50</v>
      </c>
      <c r="Y533" s="750" t="s">
        <v>32</v>
      </c>
    </row>
    <row r="534" spans="1:25" x14ac:dyDescent="0.25">
      <c r="A534" s="711">
        <v>44005</v>
      </c>
      <c r="B534" s="37" t="s">
        <v>849</v>
      </c>
      <c r="C534" s="693" t="s">
        <v>62</v>
      </c>
      <c r="D534" s="37">
        <v>38.178980000000003</v>
      </c>
      <c r="E534" s="37">
        <v>-122.00663</v>
      </c>
      <c r="F534" s="37" t="s">
        <v>2426</v>
      </c>
      <c r="G534" s="37" t="s">
        <v>27</v>
      </c>
      <c r="H534" s="37" t="s">
        <v>62</v>
      </c>
      <c r="I534" s="712">
        <v>0.45694444444444443</v>
      </c>
      <c r="J534" s="37" t="s">
        <v>28</v>
      </c>
      <c r="K534" s="37" t="s">
        <v>29</v>
      </c>
      <c r="L534" s="37" t="s">
        <v>30</v>
      </c>
      <c r="M534" s="37">
        <v>2</v>
      </c>
      <c r="N534" s="37">
        <v>10</v>
      </c>
      <c r="O534" s="91">
        <v>19.649999999999999</v>
      </c>
      <c r="P534" s="91">
        <v>6677.5</v>
      </c>
      <c r="Q534" s="91" t="s">
        <v>50</v>
      </c>
      <c r="R534" s="91">
        <v>0.31</v>
      </c>
      <c r="S534" s="91">
        <v>40.75</v>
      </c>
      <c r="T534" s="91" t="s">
        <v>50</v>
      </c>
      <c r="U534" s="37" t="s">
        <v>50</v>
      </c>
      <c r="V534" s="37" t="s">
        <v>50</v>
      </c>
      <c r="W534" s="37" t="s">
        <v>50</v>
      </c>
      <c r="Y534" s="750" t="s">
        <v>32</v>
      </c>
    </row>
    <row r="535" spans="1:25" x14ac:dyDescent="0.25">
      <c r="A535" s="711">
        <v>44005</v>
      </c>
      <c r="B535" s="37" t="s">
        <v>849</v>
      </c>
      <c r="C535" s="693" t="s">
        <v>62</v>
      </c>
      <c r="D535" s="37">
        <v>38.175640000000001</v>
      </c>
      <c r="E535" s="37">
        <v>-121.92182</v>
      </c>
      <c r="F535" s="37" t="s">
        <v>2427</v>
      </c>
      <c r="G535" s="37" t="s">
        <v>27</v>
      </c>
      <c r="H535" s="37" t="s">
        <v>62</v>
      </c>
      <c r="I535" s="712">
        <v>0.50763888888888886</v>
      </c>
      <c r="J535" s="37" t="s">
        <v>28</v>
      </c>
      <c r="K535" s="37" t="s">
        <v>29</v>
      </c>
      <c r="L535" s="37" t="s">
        <v>30</v>
      </c>
      <c r="M535" s="37">
        <v>2</v>
      </c>
      <c r="N535" s="37">
        <v>10</v>
      </c>
      <c r="O535" s="91">
        <v>14.6</v>
      </c>
      <c r="P535" s="91">
        <v>5838</v>
      </c>
      <c r="Q535" s="91" t="s">
        <v>50</v>
      </c>
      <c r="R535" s="91">
        <v>0.3</v>
      </c>
      <c r="S535" s="91">
        <v>40.700000000000003</v>
      </c>
      <c r="T535" s="91" t="s">
        <v>50</v>
      </c>
      <c r="U535" s="37" t="s">
        <v>50</v>
      </c>
      <c r="V535" s="37" t="s">
        <v>50</v>
      </c>
      <c r="W535" s="37" t="s">
        <v>50</v>
      </c>
      <c r="Y535" s="750" t="s">
        <v>32</v>
      </c>
    </row>
    <row r="536" spans="1:25" s="714" customFormat="1" x14ac:dyDescent="0.25">
      <c r="A536" s="713">
        <v>44005</v>
      </c>
      <c r="B536" s="714" t="s">
        <v>849</v>
      </c>
      <c r="C536" s="715" t="s">
        <v>62</v>
      </c>
      <c r="D536" s="714">
        <v>38.11318</v>
      </c>
      <c r="E536" s="714">
        <v>-122.06059</v>
      </c>
      <c r="F536" s="714" t="s">
        <v>2428</v>
      </c>
      <c r="G536" s="714" t="s">
        <v>27</v>
      </c>
      <c r="H536" s="714" t="s">
        <v>173</v>
      </c>
      <c r="I536" s="751">
        <v>0.48680555555555555</v>
      </c>
      <c r="J536" s="714" t="s">
        <v>28</v>
      </c>
      <c r="K536" s="714" t="s">
        <v>29</v>
      </c>
      <c r="L536" s="714" t="s">
        <v>30</v>
      </c>
      <c r="M536" s="714">
        <v>0</v>
      </c>
      <c r="N536" s="714" t="s">
        <v>50</v>
      </c>
      <c r="O536" s="752" t="s">
        <v>50</v>
      </c>
      <c r="P536" s="752" t="s">
        <v>50</v>
      </c>
      <c r="Q536" s="752" t="s">
        <v>50</v>
      </c>
      <c r="R536" s="752" t="s">
        <v>50</v>
      </c>
      <c r="S536" s="752" t="s">
        <v>50</v>
      </c>
      <c r="T536" s="752" t="s">
        <v>50</v>
      </c>
      <c r="U536" s="714" t="s">
        <v>50</v>
      </c>
      <c r="V536" s="714" t="s">
        <v>50</v>
      </c>
      <c r="W536" s="714" t="s">
        <v>50</v>
      </c>
      <c r="X536" s="720" t="s">
        <v>734</v>
      </c>
      <c r="Y536" s="750" t="s">
        <v>32</v>
      </c>
    </row>
    <row r="537" spans="1:25" x14ac:dyDescent="0.25">
      <c r="A537" s="711">
        <v>44005</v>
      </c>
      <c r="B537" s="37" t="s">
        <v>849</v>
      </c>
      <c r="C537" s="693" t="s">
        <v>88</v>
      </c>
      <c r="D537" s="37">
        <v>38.158169999999998</v>
      </c>
      <c r="E537" s="37">
        <v>-121.68438</v>
      </c>
      <c r="F537" s="37" t="s">
        <v>2429</v>
      </c>
      <c r="G537" s="37" t="s">
        <v>90</v>
      </c>
      <c r="H537" s="37" t="s">
        <v>91</v>
      </c>
      <c r="I537" s="712">
        <v>0.33958333333333335</v>
      </c>
      <c r="J537" s="37" t="s">
        <v>28</v>
      </c>
      <c r="K537" s="37" t="s">
        <v>29</v>
      </c>
      <c r="L537" s="37" t="s">
        <v>30</v>
      </c>
      <c r="M537" s="37">
        <v>2</v>
      </c>
      <c r="N537" s="37">
        <v>10</v>
      </c>
      <c r="O537" s="91">
        <v>38.65</v>
      </c>
      <c r="P537" s="91">
        <v>182.10000000000002</v>
      </c>
      <c r="Q537" s="91" t="s">
        <v>50</v>
      </c>
      <c r="R537" s="91">
        <v>1.2349999999999999</v>
      </c>
      <c r="S537" s="91">
        <v>7.59</v>
      </c>
      <c r="T537" s="91" t="s">
        <v>50</v>
      </c>
      <c r="U537" s="37" t="s">
        <v>50</v>
      </c>
      <c r="V537" s="37" t="s">
        <v>50</v>
      </c>
      <c r="W537" s="37" t="s">
        <v>50</v>
      </c>
      <c r="Y537" s="750" t="s">
        <v>32</v>
      </c>
    </row>
    <row r="538" spans="1:25" x14ac:dyDescent="0.25">
      <c r="A538" s="711">
        <v>44005</v>
      </c>
      <c r="B538" s="37" t="s">
        <v>849</v>
      </c>
      <c r="C538" s="693" t="s">
        <v>88</v>
      </c>
      <c r="D538" s="37">
        <v>38.132989999999999</v>
      </c>
      <c r="E538" s="37">
        <v>-121.69582</v>
      </c>
      <c r="F538" s="37" t="s">
        <v>2430</v>
      </c>
      <c r="G538" s="37" t="s">
        <v>90</v>
      </c>
      <c r="H538" s="37" t="s">
        <v>91</v>
      </c>
      <c r="I538" s="712">
        <v>0.3923611111111111</v>
      </c>
      <c r="J538" s="37" t="s">
        <v>28</v>
      </c>
      <c r="K538" s="37" t="s">
        <v>29</v>
      </c>
      <c r="L538" s="37" t="s">
        <v>30</v>
      </c>
      <c r="M538" s="37">
        <v>2</v>
      </c>
      <c r="N538" s="37">
        <v>10</v>
      </c>
      <c r="O538" s="91">
        <v>35.5</v>
      </c>
      <c r="P538" s="91">
        <v>184.85000000000002</v>
      </c>
      <c r="Q538" s="91" t="s">
        <v>50</v>
      </c>
      <c r="R538" s="91">
        <v>1.06</v>
      </c>
      <c r="S538" s="91">
        <v>10.7</v>
      </c>
      <c r="T538" s="91" t="s">
        <v>50</v>
      </c>
      <c r="U538" s="37" t="s">
        <v>50</v>
      </c>
      <c r="V538" s="37" t="s">
        <v>50</v>
      </c>
      <c r="W538" s="37" t="s">
        <v>50</v>
      </c>
      <c r="Y538" s="750" t="s">
        <v>32</v>
      </c>
    </row>
    <row r="539" spans="1:25" x14ac:dyDescent="0.25">
      <c r="A539" s="711">
        <v>44005</v>
      </c>
      <c r="B539" s="37" t="s">
        <v>849</v>
      </c>
      <c r="C539" s="693" t="s">
        <v>88</v>
      </c>
      <c r="D539" s="37">
        <v>38.06297</v>
      </c>
      <c r="E539" s="37">
        <v>-121.789</v>
      </c>
      <c r="F539" s="37" t="s">
        <v>2431</v>
      </c>
      <c r="G539" s="37" t="s">
        <v>27</v>
      </c>
      <c r="H539" s="37" t="s">
        <v>25</v>
      </c>
      <c r="I539" s="712">
        <v>0.4465277777777778</v>
      </c>
      <c r="J539" s="37" t="s">
        <v>28</v>
      </c>
      <c r="K539" s="37" t="s">
        <v>29</v>
      </c>
      <c r="L539" s="37" t="s">
        <v>30</v>
      </c>
      <c r="M539" s="37">
        <v>2</v>
      </c>
      <c r="N539" s="37">
        <v>10</v>
      </c>
      <c r="O539" s="91">
        <v>36.200000000000003</v>
      </c>
      <c r="P539" s="91">
        <v>1376</v>
      </c>
      <c r="Q539" s="91" t="s">
        <v>50</v>
      </c>
      <c r="R539" s="91">
        <v>0.55499999999999994</v>
      </c>
      <c r="S539" s="91">
        <v>21.25</v>
      </c>
      <c r="T539" s="91" t="s">
        <v>50</v>
      </c>
      <c r="U539" s="37" t="s">
        <v>50</v>
      </c>
      <c r="V539" s="37" t="s">
        <v>50</v>
      </c>
      <c r="W539" s="37" t="s">
        <v>50</v>
      </c>
      <c r="Y539" s="750" t="s">
        <v>32</v>
      </c>
    </row>
    <row r="540" spans="1:25" x14ac:dyDescent="0.25">
      <c r="A540" s="711">
        <v>44005</v>
      </c>
      <c r="B540" s="37" t="s">
        <v>849</v>
      </c>
      <c r="C540" s="693" t="s">
        <v>88</v>
      </c>
      <c r="D540" s="37">
        <v>38.061549999999997</v>
      </c>
      <c r="E540" s="37">
        <v>-121.82801000000001</v>
      </c>
      <c r="F540" s="37" t="s">
        <v>2432</v>
      </c>
      <c r="G540" s="37" t="s">
        <v>27</v>
      </c>
      <c r="H540" s="37" t="s">
        <v>25</v>
      </c>
      <c r="I540" s="712">
        <v>0.47916666666666669</v>
      </c>
      <c r="J540" s="37" t="s">
        <v>28</v>
      </c>
      <c r="K540" s="37" t="s">
        <v>29</v>
      </c>
      <c r="L540" s="37" t="s">
        <v>30</v>
      </c>
      <c r="M540" s="37">
        <v>2</v>
      </c>
      <c r="N540" s="37">
        <v>10</v>
      </c>
      <c r="O540" s="91">
        <v>36.049999999999997</v>
      </c>
      <c r="P540" s="91">
        <v>2440.5</v>
      </c>
      <c r="Q540" s="91" t="s">
        <v>50</v>
      </c>
      <c r="R540" s="91">
        <v>0.5</v>
      </c>
      <c r="S540" s="91">
        <v>23.05</v>
      </c>
      <c r="T540" s="91" t="s">
        <v>50</v>
      </c>
      <c r="U540" s="37" t="s">
        <v>50</v>
      </c>
      <c r="V540" s="37" t="s">
        <v>50</v>
      </c>
      <c r="W540" s="37" t="s">
        <v>50</v>
      </c>
      <c r="Y540" s="750" t="s">
        <v>32</v>
      </c>
    </row>
    <row r="541" spans="1:25" x14ac:dyDescent="0.25">
      <c r="A541" s="711">
        <v>44005</v>
      </c>
      <c r="B541" s="37" t="s">
        <v>849</v>
      </c>
      <c r="C541" s="693" t="s">
        <v>88</v>
      </c>
      <c r="D541" s="37">
        <v>38.09093</v>
      </c>
      <c r="E541" s="37">
        <v>-121.73303</v>
      </c>
      <c r="F541" s="37" t="s">
        <v>2433</v>
      </c>
      <c r="G541" s="37" t="s">
        <v>90</v>
      </c>
      <c r="H541" s="37" t="s">
        <v>91</v>
      </c>
      <c r="I541" s="712">
        <v>0.5229166666666667</v>
      </c>
      <c r="J541" s="37" t="s">
        <v>28</v>
      </c>
      <c r="K541" s="37" t="s">
        <v>29</v>
      </c>
      <c r="L541" s="37" t="s">
        <v>30</v>
      </c>
      <c r="M541" s="37">
        <v>2</v>
      </c>
      <c r="N541" s="37">
        <v>10</v>
      </c>
      <c r="O541" s="91">
        <v>20.65</v>
      </c>
      <c r="P541" s="91">
        <v>314.35000000000002</v>
      </c>
      <c r="Q541" s="91" t="s">
        <v>50</v>
      </c>
      <c r="R541" s="91">
        <v>0.96499999999999997</v>
      </c>
      <c r="S541" s="91">
        <v>10.045</v>
      </c>
      <c r="T541" s="91" t="s">
        <v>50</v>
      </c>
      <c r="U541" s="37" t="s">
        <v>50</v>
      </c>
      <c r="V541" s="37" t="s">
        <v>50</v>
      </c>
      <c r="W541" s="37" t="s">
        <v>50</v>
      </c>
      <c r="Y541" s="750" t="s">
        <v>32</v>
      </c>
    </row>
    <row r="542" spans="1:25" x14ac:dyDescent="0.25">
      <c r="A542" s="711">
        <v>44006</v>
      </c>
      <c r="B542" s="37" t="s">
        <v>915</v>
      </c>
      <c r="C542" s="693" t="s">
        <v>106</v>
      </c>
      <c r="D542" s="37">
        <v>38.324300000000001</v>
      </c>
      <c r="E542" s="37">
        <v>-121.64997</v>
      </c>
      <c r="F542" s="37" t="s">
        <v>2434</v>
      </c>
      <c r="G542" s="37" t="s">
        <v>90</v>
      </c>
      <c r="H542" s="37" t="s">
        <v>108</v>
      </c>
      <c r="I542" s="712">
        <v>0.3527777777777778</v>
      </c>
      <c r="J542" s="37" t="s">
        <v>28</v>
      </c>
      <c r="K542" s="37" t="s">
        <v>29</v>
      </c>
      <c r="L542" s="37" t="s">
        <v>30</v>
      </c>
      <c r="M542" s="37">
        <v>2</v>
      </c>
      <c r="N542" s="37">
        <v>10</v>
      </c>
      <c r="O542" s="91">
        <v>41.15</v>
      </c>
      <c r="P542" s="91">
        <v>217.95</v>
      </c>
      <c r="Q542" s="91" t="s">
        <v>50</v>
      </c>
      <c r="R542" s="91">
        <v>0.9</v>
      </c>
      <c r="S542" s="91">
        <v>15.3</v>
      </c>
      <c r="T542" s="91" t="s">
        <v>50</v>
      </c>
      <c r="U542" s="37" t="s">
        <v>50</v>
      </c>
      <c r="V542" s="37" t="s">
        <v>50</v>
      </c>
      <c r="W542" s="37" t="s">
        <v>50</v>
      </c>
      <c r="Y542" s="750" t="s">
        <v>32</v>
      </c>
    </row>
    <row r="543" spans="1:25" x14ac:dyDescent="0.25">
      <c r="A543" s="711">
        <v>44006</v>
      </c>
      <c r="B543" s="37" t="s">
        <v>915</v>
      </c>
      <c r="C543" s="693" t="s">
        <v>106</v>
      </c>
      <c r="D543" s="37">
        <v>38.355490000000003</v>
      </c>
      <c r="E543" s="37">
        <v>-121.6388</v>
      </c>
      <c r="F543" s="37" t="s">
        <v>2435</v>
      </c>
      <c r="G543" s="37" t="s">
        <v>90</v>
      </c>
      <c r="H543" s="37" t="s">
        <v>108</v>
      </c>
      <c r="I543" s="712">
        <v>0.38055555555555554</v>
      </c>
      <c r="J543" s="37" t="s">
        <v>28</v>
      </c>
      <c r="K543" s="37" t="s">
        <v>29</v>
      </c>
      <c r="L543" s="37" t="s">
        <v>30</v>
      </c>
      <c r="M543" s="37">
        <v>2</v>
      </c>
      <c r="N543" s="37">
        <v>10</v>
      </c>
      <c r="O543" s="91">
        <v>34.35</v>
      </c>
      <c r="P543" s="91">
        <v>330.5</v>
      </c>
      <c r="Q543" s="91" t="s">
        <v>50</v>
      </c>
      <c r="R543" s="91">
        <v>0.48499999999999999</v>
      </c>
      <c r="S543" s="91">
        <v>26.700000000000003</v>
      </c>
      <c r="T543" s="91" t="s">
        <v>50</v>
      </c>
      <c r="U543" s="37" t="s">
        <v>50</v>
      </c>
      <c r="V543" s="37" t="s">
        <v>50</v>
      </c>
      <c r="W543" s="37" t="s">
        <v>50</v>
      </c>
      <c r="Y543" s="750" t="s">
        <v>32</v>
      </c>
    </row>
    <row r="544" spans="1:25" x14ac:dyDescent="0.25">
      <c r="A544" s="711">
        <v>44006</v>
      </c>
      <c r="B544" s="37" t="s">
        <v>915</v>
      </c>
      <c r="C544" s="693" t="s">
        <v>106</v>
      </c>
      <c r="D544" s="37">
        <v>38.560749999999999</v>
      </c>
      <c r="E544" s="37">
        <v>-121.56092</v>
      </c>
      <c r="F544" s="37" t="s">
        <v>2436</v>
      </c>
      <c r="G544" s="37" t="s">
        <v>90</v>
      </c>
      <c r="H544" s="37" t="s">
        <v>1787</v>
      </c>
      <c r="I544" s="712">
        <v>0.43055555555555558</v>
      </c>
      <c r="J544" s="37" t="s">
        <v>28</v>
      </c>
      <c r="K544" s="37" t="s">
        <v>29</v>
      </c>
      <c r="L544" s="37" t="s">
        <v>30</v>
      </c>
      <c r="M544" s="37">
        <v>2</v>
      </c>
      <c r="N544" s="37">
        <v>10</v>
      </c>
      <c r="O544" s="91">
        <v>41.95</v>
      </c>
      <c r="P544" s="91">
        <v>1133</v>
      </c>
      <c r="Q544" s="91" t="s">
        <v>50</v>
      </c>
      <c r="R544" s="91">
        <v>1.8</v>
      </c>
      <c r="S544" s="91">
        <v>7.0150000000000006</v>
      </c>
      <c r="T544" s="91" t="s">
        <v>50</v>
      </c>
      <c r="U544" s="37" t="s">
        <v>50</v>
      </c>
      <c r="V544" s="37" t="s">
        <v>50</v>
      </c>
      <c r="W544" s="37" t="s">
        <v>50</v>
      </c>
      <c r="Y544" s="750" t="s">
        <v>32</v>
      </c>
    </row>
    <row r="545" spans="1:25" x14ac:dyDescent="0.25">
      <c r="A545" s="711">
        <v>44006</v>
      </c>
      <c r="B545" s="37" t="s">
        <v>915</v>
      </c>
      <c r="C545" s="693" t="s">
        <v>106</v>
      </c>
      <c r="D545" s="37">
        <v>38.517809999999997</v>
      </c>
      <c r="E545" s="37">
        <v>-121.58505</v>
      </c>
      <c r="F545" s="37" t="s">
        <v>2437</v>
      </c>
      <c r="G545" s="37" t="s">
        <v>90</v>
      </c>
      <c r="H545" s="37" t="s">
        <v>1787</v>
      </c>
      <c r="I545" s="712">
        <v>0.46597222222222223</v>
      </c>
      <c r="J545" s="37" t="s">
        <v>28</v>
      </c>
      <c r="K545" s="37" t="s">
        <v>29</v>
      </c>
      <c r="L545" s="37" t="s">
        <v>30</v>
      </c>
      <c r="M545" s="37">
        <v>2</v>
      </c>
      <c r="N545" s="37">
        <v>10</v>
      </c>
      <c r="O545" s="91">
        <v>29</v>
      </c>
      <c r="P545" s="91">
        <v>986</v>
      </c>
      <c r="Q545" s="91" t="s">
        <v>50</v>
      </c>
      <c r="R545" s="91">
        <v>0.64</v>
      </c>
      <c r="S545" s="91">
        <v>15.55</v>
      </c>
      <c r="T545" s="91" t="s">
        <v>50</v>
      </c>
      <c r="U545" s="37" t="s">
        <v>50</v>
      </c>
      <c r="V545" s="37" t="s">
        <v>50</v>
      </c>
      <c r="W545" s="37" t="s">
        <v>50</v>
      </c>
      <c r="Y545" s="750" t="s">
        <v>32</v>
      </c>
    </row>
    <row r="546" spans="1:25" x14ac:dyDescent="0.25">
      <c r="A546" s="711">
        <v>44006</v>
      </c>
      <c r="B546" s="37" t="s">
        <v>915</v>
      </c>
      <c r="C546" s="693" t="s">
        <v>106</v>
      </c>
      <c r="D546" s="37">
        <v>38.391910000000003</v>
      </c>
      <c r="E546" s="37">
        <v>-121.62088</v>
      </c>
      <c r="F546" s="37" t="s">
        <v>2438</v>
      </c>
      <c r="G546" s="37" t="s">
        <v>90</v>
      </c>
      <c r="H546" s="37" t="s">
        <v>108</v>
      </c>
      <c r="I546" s="712">
        <v>0.51597222222222217</v>
      </c>
      <c r="J546" s="37" t="s">
        <v>28</v>
      </c>
      <c r="K546" s="37" t="s">
        <v>29</v>
      </c>
      <c r="L546" s="37" t="s">
        <v>30</v>
      </c>
      <c r="M546" s="37">
        <v>2</v>
      </c>
      <c r="N546" s="37">
        <v>10</v>
      </c>
      <c r="O546" s="91">
        <v>24.2</v>
      </c>
      <c r="P546" s="91">
        <v>564</v>
      </c>
      <c r="Q546" s="91" t="s">
        <v>50</v>
      </c>
      <c r="R546" s="91">
        <v>0.30500000000000005</v>
      </c>
      <c r="S546" s="91">
        <v>69.599999999999994</v>
      </c>
      <c r="T546" s="91" t="s">
        <v>50</v>
      </c>
      <c r="U546" s="37" t="s">
        <v>50</v>
      </c>
      <c r="V546" s="37" t="s">
        <v>50</v>
      </c>
      <c r="W546" s="37" t="s">
        <v>50</v>
      </c>
      <c r="Y546" s="750" t="s">
        <v>32</v>
      </c>
    </row>
    <row r="547" spans="1:25" x14ac:dyDescent="0.25">
      <c r="A547" s="711">
        <v>44006</v>
      </c>
      <c r="B547" s="37" t="s">
        <v>915</v>
      </c>
      <c r="C547" s="693" t="s">
        <v>95</v>
      </c>
      <c r="D547" s="37">
        <v>38.018619999999999</v>
      </c>
      <c r="E547" s="37">
        <v>-121.81308</v>
      </c>
      <c r="F547" s="37" t="s">
        <v>2439</v>
      </c>
      <c r="G547" s="37" t="s">
        <v>27</v>
      </c>
      <c r="H547" s="37" t="s">
        <v>863</v>
      </c>
      <c r="I547" s="712">
        <v>0.3263888888888889</v>
      </c>
      <c r="J547" s="37" t="s">
        <v>28</v>
      </c>
      <c r="K547" s="37" t="s">
        <v>29</v>
      </c>
      <c r="L547" s="37" t="s">
        <v>30</v>
      </c>
      <c r="M547" s="37">
        <v>2</v>
      </c>
      <c r="N547" s="37">
        <v>10</v>
      </c>
      <c r="O547" s="91">
        <v>51.55</v>
      </c>
      <c r="P547" s="91">
        <v>4382.5</v>
      </c>
      <c r="Q547" s="91" t="s">
        <v>50</v>
      </c>
      <c r="R547" s="91">
        <v>0.75</v>
      </c>
      <c r="S547" s="91">
        <v>14.6</v>
      </c>
      <c r="T547" s="91" t="s">
        <v>50</v>
      </c>
      <c r="U547" s="37" t="s">
        <v>50</v>
      </c>
      <c r="V547" s="37" t="s">
        <v>50</v>
      </c>
      <c r="W547" s="37" t="s">
        <v>50</v>
      </c>
      <c r="X547" s="698" t="s">
        <v>2440</v>
      </c>
      <c r="Y547" s="750" t="s">
        <v>32</v>
      </c>
    </row>
    <row r="548" spans="1:25" x14ac:dyDescent="0.25">
      <c r="A548" s="711">
        <v>44006</v>
      </c>
      <c r="B548" s="37" t="s">
        <v>915</v>
      </c>
      <c r="C548" s="693" t="s">
        <v>95</v>
      </c>
      <c r="D548" s="37">
        <v>38.017380000000003</v>
      </c>
      <c r="E548" s="37">
        <v>-121.79362999999999</v>
      </c>
      <c r="F548" s="37" t="s">
        <v>2441</v>
      </c>
      <c r="G548" s="37" t="s">
        <v>27</v>
      </c>
      <c r="H548" s="37" t="s">
        <v>863</v>
      </c>
      <c r="I548" s="712">
        <v>0.35138888888888892</v>
      </c>
      <c r="J548" s="37" t="s">
        <v>28</v>
      </c>
      <c r="K548" s="37" t="s">
        <v>29</v>
      </c>
      <c r="L548" s="37" t="s">
        <v>30</v>
      </c>
      <c r="M548" s="37">
        <v>2</v>
      </c>
      <c r="N548" s="37">
        <v>10</v>
      </c>
      <c r="O548" s="91">
        <v>36.35</v>
      </c>
      <c r="P548" s="91">
        <v>3064</v>
      </c>
      <c r="Q548" s="91" t="s">
        <v>50</v>
      </c>
      <c r="R548" s="91">
        <v>0.77500000000000002</v>
      </c>
      <c r="S548" s="91">
        <v>12.85</v>
      </c>
      <c r="T548" s="91" t="s">
        <v>50</v>
      </c>
      <c r="U548" s="37" t="s">
        <v>50</v>
      </c>
      <c r="V548" s="37" t="s">
        <v>50</v>
      </c>
      <c r="W548" s="37" t="s">
        <v>50</v>
      </c>
      <c r="Y548" s="750" t="s">
        <v>32</v>
      </c>
    </row>
    <row r="549" spans="1:25" x14ac:dyDescent="0.25">
      <c r="A549" s="711">
        <v>44006</v>
      </c>
      <c r="B549" s="37" t="s">
        <v>915</v>
      </c>
      <c r="C549" s="693" t="s">
        <v>95</v>
      </c>
      <c r="D549" s="37">
        <v>38.019939999999998</v>
      </c>
      <c r="E549" s="37">
        <v>-121.7396</v>
      </c>
      <c r="F549" s="37" t="s">
        <v>2442</v>
      </c>
      <c r="G549" s="37" t="s">
        <v>27</v>
      </c>
      <c r="H549" s="37" t="s">
        <v>863</v>
      </c>
      <c r="I549" s="712">
        <v>0.37916666666666665</v>
      </c>
      <c r="J549" s="37" t="s">
        <v>28</v>
      </c>
      <c r="K549" s="37" t="s">
        <v>29</v>
      </c>
      <c r="L549" s="37" t="s">
        <v>30</v>
      </c>
      <c r="M549" s="37">
        <v>2</v>
      </c>
      <c r="N549" s="37">
        <v>10</v>
      </c>
      <c r="O549" s="91">
        <v>15.7</v>
      </c>
      <c r="P549" s="91">
        <v>792</v>
      </c>
      <c r="Q549" s="91" t="s">
        <v>50</v>
      </c>
      <c r="R549" s="91">
        <v>1.26</v>
      </c>
      <c r="S549" s="91">
        <v>7.03</v>
      </c>
      <c r="T549" s="91" t="s">
        <v>50</v>
      </c>
      <c r="U549" s="37" t="s">
        <v>50</v>
      </c>
      <c r="V549" s="37" t="s">
        <v>50</v>
      </c>
      <c r="W549" s="37" t="s">
        <v>50</v>
      </c>
      <c r="Y549" s="750" t="s">
        <v>32</v>
      </c>
    </row>
    <row r="550" spans="1:25" x14ac:dyDescent="0.25">
      <c r="A550" s="711">
        <v>44006</v>
      </c>
      <c r="B550" s="37" t="s">
        <v>915</v>
      </c>
      <c r="C550" s="693" t="s">
        <v>95</v>
      </c>
      <c r="D550" s="37">
        <v>38.037120000000002</v>
      </c>
      <c r="E550" s="37">
        <v>-121.71218</v>
      </c>
      <c r="F550" s="37" t="s">
        <v>2443</v>
      </c>
      <c r="G550" s="37" t="s">
        <v>27</v>
      </c>
      <c r="H550" s="37" t="s">
        <v>863</v>
      </c>
      <c r="I550" s="712">
        <v>0.4055555555555555</v>
      </c>
      <c r="J550" s="37" t="s">
        <v>28</v>
      </c>
      <c r="K550" s="37" t="s">
        <v>29</v>
      </c>
      <c r="L550" s="37" t="s">
        <v>30</v>
      </c>
      <c r="M550" s="37">
        <v>2</v>
      </c>
      <c r="N550" s="37">
        <v>10</v>
      </c>
      <c r="O550" s="91">
        <v>15.850000000000001</v>
      </c>
      <c r="P550" s="91">
        <v>1057.5</v>
      </c>
      <c r="Q550" s="91" t="s">
        <v>50</v>
      </c>
      <c r="R550" s="91">
        <v>0.80500000000000005</v>
      </c>
      <c r="S550" s="91">
        <v>12.75</v>
      </c>
      <c r="T550" s="91" t="s">
        <v>50</v>
      </c>
      <c r="U550" s="37" t="s">
        <v>50</v>
      </c>
      <c r="V550" s="37" t="s">
        <v>50</v>
      </c>
      <c r="W550" s="37" t="s">
        <v>50</v>
      </c>
      <c r="Y550" s="750" t="s">
        <v>32</v>
      </c>
    </row>
    <row r="551" spans="1:25" x14ac:dyDescent="0.25">
      <c r="A551" s="711">
        <v>44006</v>
      </c>
      <c r="B551" s="37" t="s">
        <v>915</v>
      </c>
      <c r="C551" s="693" t="s">
        <v>78</v>
      </c>
      <c r="D551" s="37">
        <v>38.06747</v>
      </c>
      <c r="E551" s="37">
        <v>-122.05284</v>
      </c>
      <c r="F551" s="37" t="s">
        <v>2444</v>
      </c>
      <c r="G551" s="37" t="s">
        <v>27</v>
      </c>
      <c r="H551" s="37" t="s">
        <v>86</v>
      </c>
      <c r="I551" s="712">
        <v>0.47013888888888888</v>
      </c>
      <c r="J551" s="37" t="s">
        <v>28</v>
      </c>
      <c r="K551" s="37" t="s">
        <v>29</v>
      </c>
      <c r="L551" s="37" t="s">
        <v>30</v>
      </c>
      <c r="M551" s="37">
        <v>2</v>
      </c>
      <c r="N551" s="37">
        <v>10</v>
      </c>
      <c r="O551" s="91">
        <v>14.55</v>
      </c>
      <c r="P551" s="91">
        <v>13929</v>
      </c>
      <c r="Q551" s="91" t="s">
        <v>50</v>
      </c>
      <c r="R551" s="91">
        <v>0.33</v>
      </c>
      <c r="S551" s="91">
        <v>52.650000000000006</v>
      </c>
      <c r="T551" s="91" t="s">
        <v>50</v>
      </c>
      <c r="U551" s="37" t="s">
        <v>50</v>
      </c>
      <c r="V551" s="37" t="s">
        <v>50</v>
      </c>
      <c r="W551" s="37" t="s">
        <v>50</v>
      </c>
      <c r="Y551" s="750" t="s">
        <v>32</v>
      </c>
    </row>
    <row r="552" spans="1:25" x14ac:dyDescent="0.25">
      <c r="A552" s="711">
        <v>44007</v>
      </c>
      <c r="B552" s="37" t="s">
        <v>876</v>
      </c>
      <c r="C552" s="693" t="s">
        <v>106</v>
      </c>
      <c r="D552" s="37">
        <v>38.312449999999998</v>
      </c>
      <c r="E552" s="37">
        <v>-121.65219</v>
      </c>
      <c r="F552" s="37" t="s">
        <v>2445</v>
      </c>
      <c r="G552" s="37" t="s">
        <v>90</v>
      </c>
      <c r="H552" s="37" t="s">
        <v>108</v>
      </c>
      <c r="I552" s="712">
        <v>0.37083333333333335</v>
      </c>
      <c r="J552" s="37" t="s">
        <v>28</v>
      </c>
      <c r="K552" s="37" t="s">
        <v>29</v>
      </c>
      <c r="L552" s="37" t="s">
        <v>30</v>
      </c>
      <c r="M552" s="37">
        <v>2</v>
      </c>
      <c r="N552" s="37">
        <v>10</v>
      </c>
      <c r="O552" s="91">
        <v>36.450000000000003</v>
      </c>
      <c r="P552" s="91">
        <v>190</v>
      </c>
      <c r="Q552" s="91" t="s">
        <v>50</v>
      </c>
      <c r="R552" s="91">
        <v>0.88500000000000001</v>
      </c>
      <c r="S552" s="91">
        <v>13.8</v>
      </c>
      <c r="T552" s="91" t="s">
        <v>50</v>
      </c>
      <c r="U552" s="37" t="s">
        <v>50</v>
      </c>
      <c r="V552" s="37" t="s">
        <v>50</v>
      </c>
      <c r="W552" s="37" t="s">
        <v>50</v>
      </c>
      <c r="Y552" s="750" t="s">
        <v>32</v>
      </c>
    </row>
    <row r="553" spans="1:25" x14ac:dyDescent="0.25">
      <c r="A553" s="711">
        <v>44007</v>
      </c>
      <c r="B553" s="37" t="s">
        <v>876</v>
      </c>
      <c r="C553" s="693" t="s">
        <v>106</v>
      </c>
      <c r="D553" s="37">
        <v>38.26681</v>
      </c>
      <c r="E553" s="37">
        <v>-121.66459</v>
      </c>
      <c r="F553" s="37" t="s">
        <v>2446</v>
      </c>
      <c r="G553" s="37" t="s">
        <v>90</v>
      </c>
      <c r="H553" s="37" t="s">
        <v>108</v>
      </c>
      <c r="I553" s="712">
        <v>0.39930555555555558</v>
      </c>
      <c r="J553" s="37" t="s">
        <v>28</v>
      </c>
      <c r="K553" s="37" t="s">
        <v>29</v>
      </c>
      <c r="L553" s="37" t="s">
        <v>30</v>
      </c>
      <c r="M553" s="37">
        <v>2</v>
      </c>
      <c r="N553" s="37">
        <v>10</v>
      </c>
      <c r="O553" s="91">
        <v>20.9</v>
      </c>
      <c r="P553" s="91">
        <v>153.35</v>
      </c>
      <c r="Q553" s="91" t="s">
        <v>50</v>
      </c>
      <c r="R553" s="91">
        <v>1.2850000000000001</v>
      </c>
      <c r="S553" s="91">
        <v>8.9699999999999989</v>
      </c>
      <c r="T553" s="91" t="s">
        <v>50</v>
      </c>
      <c r="U553" s="37" t="s">
        <v>50</v>
      </c>
      <c r="V553" s="37" t="s">
        <v>50</v>
      </c>
      <c r="W553" s="37" t="s">
        <v>50</v>
      </c>
      <c r="Y553" s="750" t="s">
        <v>32</v>
      </c>
    </row>
    <row r="554" spans="1:25" x14ac:dyDescent="0.25">
      <c r="A554" s="711">
        <v>44007</v>
      </c>
      <c r="B554" s="37" t="s">
        <v>876</v>
      </c>
      <c r="C554" s="693" t="s">
        <v>106</v>
      </c>
      <c r="D554" s="37">
        <v>38.201259999999998</v>
      </c>
      <c r="E554" s="37">
        <v>-121.65758</v>
      </c>
      <c r="F554" s="37" t="s">
        <v>2447</v>
      </c>
      <c r="G554" s="37" t="s">
        <v>90</v>
      </c>
      <c r="H554" s="37" t="s">
        <v>108</v>
      </c>
      <c r="I554" s="712">
        <v>0.42986111111111108</v>
      </c>
      <c r="J554" s="37" t="s">
        <v>28</v>
      </c>
      <c r="K554" s="37" t="s">
        <v>29</v>
      </c>
      <c r="L554" s="37" t="s">
        <v>30</v>
      </c>
      <c r="M554" s="37">
        <v>2</v>
      </c>
      <c r="N554" s="37">
        <v>10</v>
      </c>
      <c r="O554" s="91">
        <v>48.75</v>
      </c>
      <c r="P554" s="91">
        <v>143.44999999999999</v>
      </c>
      <c r="Q554" s="91" t="s">
        <v>50</v>
      </c>
      <c r="R554" s="91">
        <v>1.3900000000000001</v>
      </c>
      <c r="S554" s="91">
        <v>7.95</v>
      </c>
      <c r="T554" s="91" t="s">
        <v>50</v>
      </c>
      <c r="U554" s="37" t="s">
        <v>50</v>
      </c>
      <c r="V554" s="37" t="s">
        <v>50</v>
      </c>
      <c r="W554" s="37" t="s">
        <v>50</v>
      </c>
      <c r="Y554" s="750" t="s">
        <v>32</v>
      </c>
    </row>
    <row r="555" spans="1:25" x14ac:dyDescent="0.25">
      <c r="A555" s="711">
        <v>44007</v>
      </c>
      <c r="B555" s="37" t="s">
        <v>876</v>
      </c>
      <c r="C555" s="693" t="s">
        <v>106</v>
      </c>
      <c r="D555" s="37">
        <v>38.183309999999999</v>
      </c>
      <c r="E555" s="37">
        <v>-121.66203</v>
      </c>
      <c r="F555" s="37" t="s">
        <v>2448</v>
      </c>
      <c r="G555" s="37" t="s">
        <v>90</v>
      </c>
      <c r="H555" s="37" t="s">
        <v>108</v>
      </c>
      <c r="I555" s="712">
        <v>0.45624999999999999</v>
      </c>
      <c r="J555" s="37" t="s">
        <v>28</v>
      </c>
      <c r="K555" s="37" t="s">
        <v>29</v>
      </c>
      <c r="L555" s="37" t="s">
        <v>30</v>
      </c>
      <c r="M555" s="37">
        <v>2</v>
      </c>
      <c r="N555" s="37">
        <v>10</v>
      </c>
      <c r="O555" s="91">
        <v>38.1</v>
      </c>
      <c r="P555" s="91">
        <v>143.85000000000002</v>
      </c>
      <c r="Q555" s="91" t="s">
        <v>50</v>
      </c>
      <c r="R555" s="91">
        <v>1.39</v>
      </c>
      <c r="S555" s="91">
        <v>5.49</v>
      </c>
      <c r="T555" s="91" t="s">
        <v>50</v>
      </c>
      <c r="U555" s="37" t="s">
        <v>50</v>
      </c>
      <c r="V555" s="37" t="s">
        <v>50</v>
      </c>
      <c r="W555" s="37" t="s">
        <v>50</v>
      </c>
      <c r="Y555" s="750" t="s">
        <v>32</v>
      </c>
    </row>
    <row r="556" spans="1:25" x14ac:dyDescent="0.25">
      <c r="A556" s="711">
        <v>44007</v>
      </c>
      <c r="B556" s="37" t="s">
        <v>876</v>
      </c>
      <c r="C556" s="693" t="s">
        <v>106</v>
      </c>
      <c r="D556" s="37">
        <v>38.373280000000001</v>
      </c>
      <c r="E556" s="37">
        <v>-121.63035000000001</v>
      </c>
      <c r="F556" s="37" t="s">
        <v>2449</v>
      </c>
      <c r="G556" s="37" t="s">
        <v>90</v>
      </c>
      <c r="H556" s="37" t="s">
        <v>108</v>
      </c>
      <c r="I556" s="712">
        <v>0.33888888888888885</v>
      </c>
      <c r="J556" s="37" t="s">
        <v>28</v>
      </c>
      <c r="K556" s="37" t="s">
        <v>29</v>
      </c>
      <c r="L556" s="37" t="s">
        <v>30</v>
      </c>
      <c r="M556" s="37">
        <v>2</v>
      </c>
      <c r="N556" s="37">
        <v>10</v>
      </c>
      <c r="O556" s="91">
        <v>38.799999999999997</v>
      </c>
      <c r="P556" s="91">
        <v>353.25</v>
      </c>
      <c r="Q556" s="91" t="s">
        <v>50</v>
      </c>
      <c r="R556" s="91">
        <v>0.375</v>
      </c>
      <c r="S556" s="91">
        <v>29.1</v>
      </c>
      <c r="T556" s="91" t="s">
        <v>50</v>
      </c>
      <c r="U556" s="37" t="s">
        <v>50</v>
      </c>
      <c r="V556" s="37" t="s">
        <v>50</v>
      </c>
      <c r="W556" s="37" t="s">
        <v>50</v>
      </c>
      <c r="Y556" s="750" t="s">
        <v>32</v>
      </c>
    </row>
    <row r="557" spans="1:25" x14ac:dyDescent="0.25">
      <c r="A557" s="711">
        <v>44007</v>
      </c>
      <c r="B557" s="37" t="s">
        <v>876</v>
      </c>
      <c r="C557" s="693" t="s">
        <v>95</v>
      </c>
      <c r="D557" s="37">
        <v>38.075229999999998</v>
      </c>
      <c r="E557" s="37">
        <v>-121.67740000000001</v>
      </c>
      <c r="F557" s="37" t="s">
        <v>2450</v>
      </c>
      <c r="G557" s="37" t="s">
        <v>46</v>
      </c>
      <c r="H557" s="37" t="s">
        <v>908</v>
      </c>
      <c r="I557" s="712">
        <v>0.34375</v>
      </c>
      <c r="J557" s="37" t="s">
        <v>28</v>
      </c>
      <c r="K557" s="37" t="s">
        <v>29</v>
      </c>
      <c r="L557" s="37" t="s">
        <v>30</v>
      </c>
      <c r="M557" s="37">
        <v>2</v>
      </c>
      <c r="N557" s="37">
        <v>10</v>
      </c>
      <c r="O557" s="91">
        <v>42.05</v>
      </c>
      <c r="P557" s="91">
        <v>637.5</v>
      </c>
      <c r="Q557" s="91" t="s">
        <v>50</v>
      </c>
      <c r="R557" s="91">
        <v>1.165</v>
      </c>
      <c r="S557" s="91">
        <v>11.9</v>
      </c>
      <c r="T557" s="91" t="s">
        <v>50</v>
      </c>
      <c r="U557" s="37" t="s">
        <v>50</v>
      </c>
      <c r="V557" s="37" t="s">
        <v>50</v>
      </c>
      <c r="W557" s="37" t="s">
        <v>50</v>
      </c>
      <c r="Y557" s="750" t="s">
        <v>32</v>
      </c>
    </row>
    <row r="558" spans="1:25" x14ac:dyDescent="0.25">
      <c r="A558" s="711">
        <v>44007</v>
      </c>
      <c r="B558" s="37" t="s">
        <v>876</v>
      </c>
      <c r="C558" s="693" t="s">
        <v>95</v>
      </c>
      <c r="D558" s="37">
        <v>38.097679999999997</v>
      </c>
      <c r="E558" s="37">
        <v>-121.58450000000001</v>
      </c>
      <c r="F558" s="37" t="s">
        <v>2451</v>
      </c>
      <c r="G558" s="37" t="s">
        <v>46</v>
      </c>
      <c r="H558" s="37" t="s">
        <v>1767</v>
      </c>
      <c r="I558" s="712">
        <v>0.37638888888888888</v>
      </c>
      <c r="J558" s="37" t="s">
        <v>28</v>
      </c>
      <c r="K558" s="37" t="s">
        <v>29</v>
      </c>
      <c r="L558" s="37" t="s">
        <v>30</v>
      </c>
      <c r="M558" s="37">
        <v>2</v>
      </c>
      <c r="N558" s="37">
        <v>10</v>
      </c>
      <c r="O558" s="91">
        <v>39</v>
      </c>
      <c r="P558" s="91">
        <v>199.45</v>
      </c>
      <c r="Q558" s="91" t="s">
        <v>50</v>
      </c>
      <c r="R558" s="91">
        <v>1.575</v>
      </c>
      <c r="S558" s="91">
        <v>8.495000000000001</v>
      </c>
      <c r="T558" s="91" t="s">
        <v>50</v>
      </c>
      <c r="U558" s="37" t="s">
        <v>50</v>
      </c>
      <c r="V558" s="37" t="s">
        <v>50</v>
      </c>
      <c r="W558" s="37" t="s">
        <v>50</v>
      </c>
      <c r="Y558" s="750" t="s">
        <v>32</v>
      </c>
    </row>
    <row r="559" spans="1:25" x14ac:dyDescent="0.25">
      <c r="A559" s="711">
        <v>44007</v>
      </c>
      <c r="B559" s="37" t="s">
        <v>876</v>
      </c>
      <c r="C559" s="693" t="s">
        <v>95</v>
      </c>
      <c r="D559" s="37">
        <v>38.08907</v>
      </c>
      <c r="E559" s="37">
        <v>-121.57261</v>
      </c>
      <c r="F559" s="37" t="s">
        <v>2452</v>
      </c>
      <c r="G559" s="37" t="s">
        <v>46</v>
      </c>
      <c r="H559" s="37" t="s">
        <v>1767</v>
      </c>
      <c r="I559" s="712">
        <v>0.39861111111111108</v>
      </c>
      <c r="J559" s="37" t="s">
        <v>28</v>
      </c>
      <c r="K559" s="37" t="s">
        <v>29</v>
      </c>
      <c r="L559" s="37" t="s">
        <v>30</v>
      </c>
      <c r="M559" s="37">
        <v>2</v>
      </c>
      <c r="N559" s="37">
        <v>10</v>
      </c>
      <c r="O559" s="91">
        <v>26.25</v>
      </c>
      <c r="P559" s="91">
        <v>179.2</v>
      </c>
      <c r="Q559" s="91" t="s">
        <v>50</v>
      </c>
      <c r="R559" s="91" t="s">
        <v>1233</v>
      </c>
      <c r="S559" s="91">
        <v>6.01</v>
      </c>
      <c r="T559" s="91" t="s">
        <v>50</v>
      </c>
      <c r="U559" s="37" t="s">
        <v>50</v>
      </c>
      <c r="V559" s="37" t="s">
        <v>50</v>
      </c>
      <c r="W559" s="37" t="s">
        <v>50</v>
      </c>
      <c r="Y559" s="750" t="s">
        <v>32</v>
      </c>
    </row>
    <row r="560" spans="1:25" x14ac:dyDescent="0.25">
      <c r="A560" s="711">
        <v>44007</v>
      </c>
      <c r="B560" s="37" t="s">
        <v>876</v>
      </c>
      <c r="C560" s="693" t="s">
        <v>95</v>
      </c>
      <c r="D560" s="37">
        <v>38.060740000000003</v>
      </c>
      <c r="E560" s="37">
        <v>-121.55709</v>
      </c>
      <c r="F560" s="37" t="s">
        <v>2453</v>
      </c>
      <c r="G560" s="37" t="s">
        <v>46</v>
      </c>
      <c r="H560" s="37" t="s">
        <v>1767</v>
      </c>
      <c r="I560" s="712">
        <v>0.42291666666666666</v>
      </c>
      <c r="J560" s="37" t="s">
        <v>28</v>
      </c>
      <c r="K560" s="37" t="s">
        <v>29</v>
      </c>
      <c r="L560" s="37" t="s">
        <v>30</v>
      </c>
      <c r="M560" s="37">
        <v>2</v>
      </c>
      <c r="N560" s="37">
        <v>10</v>
      </c>
      <c r="O560" s="91">
        <v>41.6</v>
      </c>
      <c r="P560" s="91">
        <v>178.3</v>
      </c>
      <c r="Q560" s="91" t="s">
        <v>50</v>
      </c>
      <c r="R560" s="91">
        <v>1.8</v>
      </c>
      <c r="S560" s="91">
        <v>4.09</v>
      </c>
      <c r="T560" s="91" t="s">
        <v>50</v>
      </c>
      <c r="U560" s="37" t="s">
        <v>50</v>
      </c>
      <c r="V560" s="37" t="s">
        <v>50</v>
      </c>
      <c r="W560" s="37" t="s">
        <v>50</v>
      </c>
      <c r="X560" s="698" t="s">
        <v>2454</v>
      </c>
      <c r="Y560" s="750" t="s">
        <v>32</v>
      </c>
    </row>
    <row r="561" spans="1:25" s="759" customFormat="1" x14ac:dyDescent="0.25">
      <c r="A561" s="798">
        <v>44007</v>
      </c>
      <c r="B561" s="759" t="s">
        <v>876</v>
      </c>
      <c r="C561" s="799" t="s">
        <v>95</v>
      </c>
      <c r="D561" s="759">
        <v>38.06297</v>
      </c>
      <c r="E561" s="759">
        <v>-121.54297</v>
      </c>
      <c r="F561" s="759" t="s">
        <v>2455</v>
      </c>
      <c r="G561" s="759" t="s">
        <v>46</v>
      </c>
      <c r="H561" s="759" t="s">
        <v>1767</v>
      </c>
      <c r="I561" s="800">
        <v>0.4458333333333333</v>
      </c>
      <c r="J561" s="759" t="s">
        <v>28</v>
      </c>
      <c r="K561" s="759" t="s">
        <v>29</v>
      </c>
      <c r="L561" s="759" t="s">
        <v>30</v>
      </c>
      <c r="M561" s="759">
        <v>2</v>
      </c>
      <c r="N561" s="759">
        <v>10</v>
      </c>
      <c r="O561" s="802">
        <v>19.5</v>
      </c>
      <c r="P561" s="802">
        <v>180.7</v>
      </c>
      <c r="Q561" s="802" t="s">
        <v>50</v>
      </c>
      <c r="R561" s="802" t="s">
        <v>1233</v>
      </c>
      <c r="S561" s="802">
        <v>4.25</v>
      </c>
      <c r="T561" s="802" t="s">
        <v>50</v>
      </c>
      <c r="U561" s="759" t="s">
        <v>50</v>
      </c>
      <c r="V561" s="759" t="s">
        <v>50</v>
      </c>
      <c r="W561" s="759" t="s">
        <v>50</v>
      </c>
      <c r="X561" s="803"/>
      <c r="Y561" s="763" t="s">
        <v>32</v>
      </c>
    </row>
    <row r="562" spans="1:25" x14ac:dyDescent="0.25">
      <c r="A562" s="71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59999389629810485"/>
  </sheetPr>
  <dimension ref="A1:AP1299"/>
  <sheetViews>
    <sheetView zoomScaleNormal="100" zoomScaleSheetLayoutView="100" workbookViewId="0">
      <pane xSplit="3" ySplit="2" topLeftCell="D581" activePane="bottomRight" state="frozen"/>
      <selection pane="topRight" activeCell="D1" sqref="D1"/>
      <selection pane="bottomLeft" activeCell="A4" sqref="A4"/>
      <selection pane="bottomRight" activeCell="Y599" sqref="Y599"/>
    </sheetView>
  </sheetViews>
  <sheetFormatPr defaultColWidth="9.140625" defaultRowHeight="15" x14ac:dyDescent="0.25"/>
  <cols>
    <col min="1" max="1" width="12.85546875" style="89" customWidth="1"/>
    <col min="2" max="2" width="9.140625" style="89" bestFit="1" customWidth="1"/>
    <col min="3" max="3" width="30.85546875" style="89" bestFit="1" customWidth="1"/>
    <col min="4" max="4" width="15.7109375" style="89" customWidth="1"/>
    <col min="5" max="5" width="16.5703125" style="89" customWidth="1"/>
    <col min="6" max="6" width="14.85546875" style="89" customWidth="1"/>
    <col min="7" max="7" width="10.42578125" style="89" customWidth="1"/>
    <col min="8" max="8" width="43.7109375" style="89" customWidth="1"/>
    <col min="9" max="9" width="10.85546875" style="602" customWidth="1"/>
    <col min="10" max="10" width="20.7109375" style="82" customWidth="1"/>
    <col min="11" max="14" width="20.7109375" style="89" customWidth="1"/>
    <col min="15" max="15" width="8" style="89" customWidth="1"/>
    <col min="16" max="16" width="15.7109375" style="89" customWidth="1"/>
    <col min="17" max="17" width="13" style="89" customWidth="1"/>
    <col min="18" max="18" width="13.42578125" style="89" customWidth="1"/>
    <col min="19" max="20" width="7.7109375" style="89" customWidth="1"/>
    <col min="21" max="21" width="14.7109375" style="89" bestFit="1" customWidth="1"/>
    <col min="22" max="22" width="11.85546875" style="89" customWidth="1"/>
    <col min="23" max="23" width="6.85546875" style="89" customWidth="1"/>
    <col min="24" max="24" width="11.42578125" style="89" customWidth="1"/>
    <col min="25" max="25" width="61.7109375" style="600" customWidth="1"/>
    <col min="26" max="16384" width="9.140625" style="89"/>
  </cols>
  <sheetData>
    <row r="1" spans="1:25" s="631" customFormat="1" x14ac:dyDescent="0.25">
      <c r="A1" s="147" t="s">
        <v>33</v>
      </c>
      <c r="B1" s="147"/>
      <c r="C1" s="147"/>
      <c r="D1" s="147"/>
      <c r="E1" s="147"/>
      <c r="F1" s="147"/>
      <c r="G1" s="147"/>
      <c r="H1" s="147"/>
      <c r="I1" s="611"/>
      <c r="J1" s="677"/>
      <c r="K1" s="147"/>
      <c r="L1" s="147"/>
      <c r="M1" s="147"/>
      <c r="N1" s="147"/>
      <c r="O1" s="147"/>
      <c r="P1" s="147"/>
      <c r="Q1" s="147"/>
      <c r="R1" s="147"/>
      <c r="S1" s="147"/>
      <c r="T1" s="147"/>
      <c r="U1" s="147"/>
      <c r="V1" s="147"/>
      <c r="W1" s="146"/>
      <c r="X1" s="146"/>
      <c r="Y1" s="5"/>
    </row>
    <row r="2" spans="1:25" s="230" customFormat="1" x14ac:dyDescent="0.25">
      <c r="A2" s="339" t="s">
        <v>1</v>
      </c>
      <c r="B2" s="339" t="s">
        <v>2</v>
      </c>
      <c r="C2" s="230" t="s">
        <v>3</v>
      </c>
      <c r="D2" s="230" t="s">
        <v>4</v>
      </c>
      <c r="E2" s="230" t="s">
        <v>5</v>
      </c>
      <c r="F2" s="97" t="s">
        <v>6</v>
      </c>
      <c r="G2" s="230" t="s">
        <v>7</v>
      </c>
      <c r="H2" s="230" t="s">
        <v>8</v>
      </c>
      <c r="I2" s="632" t="s">
        <v>9</v>
      </c>
      <c r="J2" s="340" t="s">
        <v>34</v>
      </c>
      <c r="K2" s="633" t="s">
        <v>35</v>
      </c>
      <c r="L2" s="340" t="s">
        <v>36</v>
      </c>
      <c r="M2" s="101" t="s">
        <v>37</v>
      </c>
      <c r="N2" s="634" t="s">
        <v>38</v>
      </c>
      <c r="O2" s="339" t="s">
        <v>10</v>
      </c>
      <c r="P2" s="339" t="s">
        <v>13</v>
      </c>
      <c r="Q2" s="339" t="s">
        <v>14</v>
      </c>
      <c r="R2" s="339" t="s">
        <v>39</v>
      </c>
      <c r="S2" s="339" t="s">
        <v>19</v>
      </c>
      <c r="T2" s="339" t="s">
        <v>20</v>
      </c>
      <c r="U2" s="339" t="s">
        <v>21</v>
      </c>
      <c r="V2" s="339" t="s">
        <v>40</v>
      </c>
      <c r="W2" s="339" t="s">
        <v>41</v>
      </c>
      <c r="X2" s="339" t="s">
        <v>42</v>
      </c>
      <c r="Y2" s="635" t="s">
        <v>22</v>
      </c>
    </row>
    <row r="3" spans="1:25" s="97" customFormat="1" x14ac:dyDescent="0.25">
      <c r="A3" s="194">
        <v>43801</v>
      </c>
      <c r="B3" s="97" t="s">
        <v>43</v>
      </c>
      <c r="C3" s="89" t="s">
        <v>126</v>
      </c>
      <c r="D3" s="98">
        <v>38.280880000000003</v>
      </c>
      <c r="E3" s="98">
        <v>-121.69387</v>
      </c>
      <c r="F3" s="97" t="s">
        <v>2456</v>
      </c>
      <c r="G3" s="97" t="s">
        <v>90</v>
      </c>
      <c r="H3" s="89" t="s">
        <v>845</v>
      </c>
      <c r="I3" s="621">
        <v>0.32291666666666669</v>
      </c>
      <c r="J3" s="100">
        <v>202.35</v>
      </c>
      <c r="K3" s="100">
        <v>9.5750000000000011</v>
      </c>
      <c r="L3" s="100">
        <v>48.774999999999999</v>
      </c>
      <c r="M3" s="100">
        <v>0.25</v>
      </c>
      <c r="N3" s="101">
        <v>7.2750000000000004</v>
      </c>
      <c r="O3" s="89" t="s">
        <v>48</v>
      </c>
      <c r="P3" s="89">
        <v>4</v>
      </c>
      <c r="Q3" s="89">
        <v>10</v>
      </c>
      <c r="R3" s="89" t="s">
        <v>64</v>
      </c>
      <c r="S3" s="89" t="s">
        <v>50</v>
      </c>
      <c r="T3" s="89" t="s">
        <v>50</v>
      </c>
      <c r="U3" s="89" t="s">
        <v>50</v>
      </c>
      <c r="V3" s="89" t="s">
        <v>50</v>
      </c>
      <c r="W3" s="89" t="s">
        <v>50</v>
      </c>
      <c r="X3" s="89" t="s">
        <v>50</v>
      </c>
      <c r="Y3" s="102"/>
    </row>
    <row r="4" spans="1:25" s="97" customFormat="1" x14ac:dyDescent="0.25">
      <c r="A4" s="194">
        <v>43801</v>
      </c>
      <c r="B4" s="97" t="s">
        <v>43</v>
      </c>
      <c r="C4" s="98" t="s">
        <v>126</v>
      </c>
      <c r="D4" s="98">
        <v>38.25873</v>
      </c>
      <c r="E4" s="98">
        <v>-121.74343</v>
      </c>
      <c r="F4" s="97" t="s">
        <v>2457</v>
      </c>
      <c r="G4" s="97" t="s">
        <v>90</v>
      </c>
      <c r="H4" s="98" t="s">
        <v>845</v>
      </c>
      <c r="I4" s="621">
        <v>0.38472222222222219</v>
      </c>
      <c r="J4" s="100">
        <v>176.77500000000001</v>
      </c>
      <c r="K4" s="100">
        <v>9.8000000000000007</v>
      </c>
      <c r="L4" s="100">
        <v>14.774999999999999</v>
      </c>
      <c r="M4" s="100">
        <v>0.91250000000000009</v>
      </c>
      <c r="N4" s="101">
        <v>4.7249999999999996</v>
      </c>
      <c r="O4" s="98" t="s">
        <v>48</v>
      </c>
      <c r="P4" s="98">
        <v>4</v>
      </c>
      <c r="Q4" s="98">
        <v>10</v>
      </c>
      <c r="R4" s="98" t="s">
        <v>64</v>
      </c>
      <c r="S4" s="98" t="s">
        <v>50</v>
      </c>
      <c r="T4" s="98" t="s">
        <v>50</v>
      </c>
      <c r="U4" s="98" t="s">
        <v>50</v>
      </c>
      <c r="V4" s="98" t="s">
        <v>50</v>
      </c>
      <c r="W4" s="98" t="s">
        <v>50</v>
      </c>
      <c r="X4" s="98" t="s">
        <v>50</v>
      </c>
      <c r="Y4" s="102" t="s">
        <v>159</v>
      </c>
    </row>
    <row r="5" spans="1:25" s="97" customFormat="1" x14ac:dyDescent="0.25">
      <c r="A5" s="194">
        <v>43801</v>
      </c>
      <c r="B5" s="97" t="s">
        <v>43</v>
      </c>
      <c r="C5" s="89" t="s">
        <v>126</v>
      </c>
      <c r="D5" s="98">
        <v>38.246659999999999</v>
      </c>
      <c r="E5" s="98">
        <v>-121.70828</v>
      </c>
      <c r="F5" s="97" t="s">
        <v>2458</v>
      </c>
      <c r="G5" s="97" t="s">
        <v>90</v>
      </c>
      <c r="H5" s="89" t="s">
        <v>845</v>
      </c>
      <c r="I5" s="621">
        <v>0.4368055555555555</v>
      </c>
      <c r="J5" s="100">
        <v>180.79999999999998</v>
      </c>
      <c r="K5" s="100">
        <v>9.75</v>
      </c>
      <c r="L5" s="100">
        <v>18.75</v>
      </c>
      <c r="M5" s="100">
        <v>0.53750000000000009</v>
      </c>
      <c r="N5" s="101">
        <v>4.5999999999999996</v>
      </c>
      <c r="O5" s="89" t="s">
        <v>48</v>
      </c>
      <c r="P5" s="89">
        <v>4</v>
      </c>
      <c r="Q5" s="89">
        <v>10</v>
      </c>
      <c r="R5" s="89" t="s">
        <v>64</v>
      </c>
      <c r="S5" s="89" t="s">
        <v>50</v>
      </c>
      <c r="T5" s="89" t="s">
        <v>50</v>
      </c>
      <c r="U5" s="89" t="s">
        <v>50</v>
      </c>
      <c r="V5" s="89" t="s">
        <v>50</v>
      </c>
      <c r="W5" s="89" t="s">
        <v>50</v>
      </c>
      <c r="X5" s="89" t="s">
        <v>50</v>
      </c>
      <c r="Y5" s="102"/>
    </row>
    <row r="6" spans="1:25" s="97" customFormat="1" x14ac:dyDescent="0.25">
      <c r="A6" s="194">
        <v>43801</v>
      </c>
      <c r="B6" s="97" t="s">
        <v>43</v>
      </c>
      <c r="C6" s="97" t="s">
        <v>118</v>
      </c>
      <c r="D6" s="98">
        <v>38.122190000000003</v>
      </c>
      <c r="E6" s="98">
        <v>-122.28143</v>
      </c>
      <c r="F6" s="97" t="s">
        <v>2459</v>
      </c>
      <c r="G6" s="97" t="s">
        <v>80</v>
      </c>
      <c r="H6" s="89" t="s">
        <v>191</v>
      </c>
      <c r="I6" s="621">
        <v>0.4145833333333333</v>
      </c>
      <c r="J6" s="100">
        <v>27413.25</v>
      </c>
      <c r="K6" s="100">
        <v>11.025</v>
      </c>
      <c r="L6" s="100">
        <v>31.174999999999997</v>
      </c>
      <c r="M6" s="100">
        <v>0.49249999999999999</v>
      </c>
      <c r="N6" s="101">
        <v>9.0749999999999993</v>
      </c>
      <c r="O6" s="89" t="s">
        <v>48</v>
      </c>
      <c r="P6" s="89">
        <v>4</v>
      </c>
      <c r="Q6" s="89">
        <v>10</v>
      </c>
      <c r="R6" s="89" t="s">
        <v>49</v>
      </c>
      <c r="S6" s="89" t="s">
        <v>50</v>
      </c>
      <c r="T6" s="89" t="s">
        <v>50</v>
      </c>
      <c r="U6" s="89" t="s">
        <v>50</v>
      </c>
      <c r="V6" s="89" t="s">
        <v>50</v>
      </c>
      <c r="W6" s="89" t="s">
        <v>50</v>
      </c>
      <c r="X6" s="89" t="s">
        <v>50</v>
      </c>
      <c r="Y6" s="102" t="s">
        <v>139</v>
      </c>
    </row>
    <row r="7" spans="1:25" s="97" customFormat="1" x14ac:dyDescent="0.25">
      <c r="A7" s="194">
        <v>43801</v>
      </c>
      <c r="B7" s="97" t="s">
        <v>43</v>
      </c>
      <c r="C7" s="97" t="s">
        <v>118</v>
      </c>
      <c r="D7" s="98">
        <v>38.055030000000002</v>
      </c>
      <c r="E7" s="98">
        <v>-122.32182</v>
      </c>
      <c r="F7" s="97" t="s">
        <v>2460</v>
      </c>
      <c r="G7" s="97" t="s">
        <v>80</v>
      </c>
      <c r="H7" s="89" t="s">
        <v>123</v>
      </c>
      <c r="I7" s="621">
        <v>0.47430555555555554</v>
      </c>
      <c r="J7" s="100">
        <v>34267.5</v>
      </c>
      <c r="K7" s="100">
        <v>11.5</v>
      </c>
      <c r="L7" s="100">
        <v>20.5</v>
      </c>
      <c r="M7" s="100">
        <v>0.78</v>
      </c>
      <c r="N7" s="101">
        <v>9.2749999999999986</v>
      </c>
      <c r="O7" s="89" t="s">
        <v>48</v>
      </c>
      <c r="P7" s="89">
        <v>4</v>
      </c>
      <c r="Q7" s="89">
        <v>10</v>
      </c>
      <c r="R7" s="89" t="s">
        <v>49</v>
      </c>
      <c r="S7" s="89" t="s">
        <v>50</v>
      </c>
      <c r="T7" s="89" t="s">
        <v>50</v>
      </c>
      <c r="U7" s="89" t="s">
        <v>50</v>
      </c>
      <c r="V7" s="89" t="s">
        <v>50</v>
      </c>
      <c r="W7" s="89" t="s">
        <v>50</v>
      </c>
      <c r="X7" s="89" t="s">
        <v>50</v>
      </c>
      <c r="Y7" s="102" t="s">
        <v>2461</v>
      </c>
    </row>
    <row r="8" spans="1:25" s="97" customFormat="1" x14ac:dyDescent="0.25">
      <c r="A8" s="194">
        <v>43801</v>
      </c>
      <c r="B8" s="97" t="s">
        <v>43</v>
      </c>
      <c r="C8" s="97" t="s">
        <v>118</v>
      </c>
      <c r="D8" s="98">
        <v>38.044780000000003</v>
      </c>
      <c r="E8" s="98">
        <v>-122.29653</v>
      </c>
      <c r="F8" s="97" t="s">
        <v>2462</v>
      </c>
      <c r="G8" s="97" t="s">
        <v>80</v>
      </c>
      <c r="H8" s="89" t="s">
        <v>123</v>
      </c>
      <c r="I8" s="621">
        <v>0.53611111111111109</v>
      </c>
      <c r="J8" s="103">
        <v>34156.5</v>
      </c>
      <c r="K8" s="103">
        <v>11.6</v>
      </c>
      <c r="L8" s="103">
        <v>20.5</v>
      </c>
      <c r="M8" s="103">
        <v>0.74250000000000016</v>
      </c>
      <c r="N8" s="103">
        <v>6.5499999999999989</v>
      </c>
      <c r="O8" s="89" t="s">
        <v>48</v>
      </c>
      <c r="P8" s="89">
        <v>4</v>
      </c>
      <c r="Q8" s="89">
        <v>10</v>
      </c>
      <c r="R8" s="89" t="s">
        <v>49</v>
      </c>
      <c r="S8" s="89" t="s">
        <v>50</v>
      </c>
      <c r="T8" s="89" t="s">
        <v>50</v>
      </c>
      <c r="U8" s="89" t="s">
        <v>50</v>
      </c>
      <c r="V8" s="89" t="s">
        <v>50</v>
      </c>
      <c r="W8" s="89" t="s">
        <v>50</v>
      </c>
      <c r="X8" s="89" t="s">
        <v>50</v>
      </c>
      <c r="Y8" s="102" t="s">
        <v>2463</v>
      </c>
    </row>
    <row r="9" spans="1:25" s="97" customFormat="1" x14ac:dyDescent="0.25">
      <c r="A9" s="194">
        <v>43802</v>
      </c>
      <c r="B9" s="97" t="s">
        <v>849</v>
      </c>
      <c r="C9" s="89" t="s">
        <v>106</v>
      </c>
      <c r="D9" s="98">
        <v>38.227350000000001</v>
      </c>
      <c r="E9" s="98">
        <v>-121.67428</v>
      </c>
      <c r="F9" s="97" t="s">
        <v>2464</v>
      </c>
      <c r="G9" s="98" t="s">
        <v>90</v>
      </c>
      <c r="H9" s="89" t="s">
        <v>362</v>
      </c>
      <c r="I9" s="621">
        <v>0.48819444444444443</v>
      </c>
      <c r="J9" s="100">
        <v>164.8</v>
      </c>
      <c r="K9" s="100">
        <v>9.9250000000000007</v>
      </c>
      <c r="L9" s="100">
        <v>13.350000000000001</v>
      </c>
      <c r="M9" s="100">
        <v>1.1850000000000001</v>
      </c>
      <c r="N9" s="100">
        <v>11.450000000000001</v>
      </c>
      <c r="O9" s="89" t="s">
        <v>48</v>
      </c>
      <c r="P9" s="89">
        <v>4</v>
      </c>
      <c r="Q9" s="89">
        <v>10</v>
      </c>
      <c r="R9" s="89" t="s">
        <v>49</v>
      </c>
      <c r="S9" s="89" t="s">
        <v>50</v>
      </c>
      <c r="T9" s="89" t="s">
        <v>50</v>
      </c>
      <c r="U9" s="89" t="s">
        <v>50</v>
      </c>
      <c r="V9" s="89" t="s">
        <v>50</v>
      </c>
      <c r="W9" s="89" t="s">
        <v>50</v>
      </c>
      <c r="X9" s="89" t="s">
        <v>50</v>
      </c>
      <c r="Y9" s="102" t="s">
        <v>2465</v>
      </c>
    </row>
    <row r="10" spans="1:25" s="97" customFormat="1" x14ac:dyDescent="0.25">
      <c r="A10" s="194">
        <v>43802</v>
      </c>
      <c r="B10" s="97" t="s">
        <v>849</v>
      </c>
      <c r="C10" s="89" t="s">
        <v>106</v>
      </c>
      <c r="D10" s="98">
        <v>38.324739999999998</v>
      </c>
      <c r="E10" s="98">
        <v>-121.64969000000001</v>
      </c>
      <c r="F10" s="97" t="s">
        <v>2466</v>
      </c>
      <c r="G10" s="98" t="s">
        <v>90</v>
      </c>
      <c r="H10" s="89" t="s">
        <v>362</v>
      </c>
      <c r="I10" s="621">
        <v>0.40138888888888885</v>
      </c>
      <c r="J10" s="100">
        <v>223.6</v>
      </c>
      <c r="K10" s="100">
        <v>10.925000000000001</v>
      </c>
      <c r="L10" s="100">
        <v>32.825000000000003</v>
      </c>
      <c r="M10" s="100">
        <v>0.42499999999999999</v>
      </c>
      <c r="N10" s="100">
        <v>11.375</v>
      </c>
      <c r="O10" s="89" t="s">
        <v>48</v>
      </c>
      <c r="P10" s="89">
        <v>4</v>
      </c>
      <c r="Q10" s="89">
        <v>10</v>
      </c>
      <c r="R10" s="89" t="s">
        <v>64</v>
      </c>
      <c r="S10" s="89" t="s">
        <v>50</v>
      </c>
      <c r="T10" s="89" t="s">
        <v>50</v>
      </c>
      <c r="U10" s="89" t="s">
        <v>50</v>
      </c>
      <c r="V10" s="89" t="s">
        <v>50</v>
      </c>
      <c r="W10" s="89" t="s">
        <v>50</v>
      </c>
      <c r="X10" s="89" t="s">
        <v>50</v>
      </c>
      <c r="Y10" s="102" t="s">
        <v>2467</v>
      </c>
    </row>
    <row r="11" spans="1:25" s="97" customFormat="1" x14ac:dyDescent="0.25">
      <c r="A11" s="194">
        <v>43802</v>
      </c>
      <c r="B11" s="97" t="s">
        <v>849</v>
      </c>
      <c r="C11" s="89" t="s">
        <v>106</v>
      </c>
      <c r="D11" s="98">
        <v>38.380670000000002</v>
      </c>
      <c r="E11" s="98">
        <v>-121.62674</v>
      </c>
      <c r="F11" s="97" t="s">
        <v>2468</v>
      </c>
      <c r="G11" s="97" t="s">
        <v>90</v>
      </c>
      <c r="H11" s="89" t="s">
        <v>362</v>
      </c>
      <c r="I11" s="621">
        <v>0.34236111111111112</v>
      </c>
      <c r="J11" s="100">
        <v>401.02499999999998</v>
      </c>
      <c r="K11" s="100">
        <v>11.149999999999999</v>
      </c>
      <c r="L11" s="100">
        <v>101.8</v>
      </c>
      <c r="M11" s="100">
        <v>0.16250000000000001</v>
      </c>
      <c r="N11" s="101">
        <v>10.350000000000001</v>
      </c>
      <c r="O11" s="97" t="s">
        <v>48</v>
      </c>
      <c r="P11" s="97">
        <v>4</v>
      </c>
      <c r="Q11" s="97">
        <v>10</v>
      </c>
      <c r="R11" s="97" t="s">
        <v>64</v>
      </c>
      <c r="S11" s="97" t="s">
        <v>50</v>
      </c>
      <c r="T11" s="97" t="s">
        <v>50</v>
      </c>
      <c r="U11" s="97" t="s">
        <v>50</v>
      </c>
      <c r="V11" s="97" t="s">
        <v>50</v>
      </c>
      <c r="W11" s="97" t="s">
        <v>50</v>
      </c>
      <c r="X11" s="97" t="s">
        <v>50</v>
      </c>
      <c r="Y11" s="102" t="s">
        <v>2469</v>
      </c>
    </row>
    <row r="12" spans="1:25" s="97" customFormat="1" x14ac:dyDescent="0.25">
      <c r="A12" s="194">
        <v>43802</v>
      </c>
      <c r="B12" s="97" t="s">
        <v>849</v>
      </c>
      <c r="C12" s="97" t="s">
        <v>95</v>
      </c>
      <c r="D12" s="98">
        <v>38.064999999999998</v>
      </c>
      <c r="E12" s="98">
        <v>-121.54248</v>
      </c>
      <c r="F12" s="97" t="s">
        <v>2470</v>
      </c>
      <c r="G12" s="97" t="s">
        <v>46</v>
      </c>
      <c r="H12" s="89" t="s">
        <v>115</v>
      </c>
      <c r="I12" s="621">
        <v>0.4826388888888889</v>
      </c>
      <c r="J12" s="100">
        <v>194.79999999999998</v>
      </c>
      <c r="K12" s="100">
        <v>10.6</v>
      </c>
      <c r="L12" s="100">
        <v>10.0175</v>
      </c>
      <c r="M12" s="100">
        <v>1.56</v>
      </c>
      <c r="N12" s="101">
        <v>11.45</v>
      </c>
      <c r="O12" s="97" t="s">
        <v>48</v>
      </c>
      <c r="P12" s="97">
        <v>4</v>
      </c>
      <c r="Q12" s="97">
        <v>10</v>
      </c>
      <c r="R12" s="97" t="s">
        <v>49</v>
      </c>
      <c r="S12" s="97" t="s">
        <v>50</v>
      </c>
      <c r="T12" s="97" t="s">
        <v>50</v>
      </c>
      <c r="U12" s="97" t="s">
        <v>50</v>
      </c>
      <c r="V12" s="97" t="s">
        <v>50</v>
      </c>
      <c r="W12" s="97" t="s">
        <v>50</v>
      </c>
      <c r="X12" s="97" t="s">
        <v>50</v>
      </c>
      <c r="Y12" s="102" t="s">
        <v>2471</v>
      </c>
    </row>
    <row r="13" spans="1:25" s="97" customFormat="1" x14ac:dyDescent="0.25">
      <c r="A13" s="194">
        <v>43802</v>
      </c>
      <c r="B13" s="97" t="s">
        <v>849</v>
      </c>
      <c r="C13" s="97" t="s">
        <v>95</v>
      </c>
      <c r="D13" s="98">
        <v>38.053789999999999</v>
      </c>
      <c r="E13" s="98">
        <v>-121.69022</v>
      </c>
      <c r="F13" s="97" t="s">
        <v>2472</v>
      </c>
      <c r="G13" s="97" t="s">
        <v>46</v>
      </c>
      <c r="H13" s="89" t="s">
        <v>908</v>
      </c>
      <c r="I13" s="621">
        <v>0.32361111111111113</v>
      </c>
      <c r="J13" s="103">
        <v>682.25</v>
      </c>
      <c r="K13" s="103">
        <v>10.725000000000001</v>
      </c>
      <c r="L13" s="103">
        <v>29.774999999999999</v>
      </c>
      <c r="M13" s="103">
        <v>0.45999999999999996</v>
      </c>
      <c r="N13" s="103">
        <v>15.675000000000001</v>
      </c>
      <c r="O13" s="97" t="s">
        <v>48</v>
      </c>
      <c r="P13" s="97">
        <v>4</v>
      </c>
      <c r="Q13" s="97">
        <v>10</v>
      </c>
      <c r="R13" s="97" t="s">
        <v>64</v>
      </c>
      <c r="S13" s="97" t="s">
        <v>50</v>
      </c>
      <c r="T13" s="97" t="s">
        <v>50</v>
      </c>
      <c r="U13" s="97" t="s">
        <v>50</v>
      </c>
      <c r="V13" s="97" t="s">
        <v>50</v>
      </c>
      <c r="W13" s="97" t="s">
        <v>50</v>
      </c>
      <c r="X13" s="97" t="s">
        <v>50</v>
      </c>
      <c r="Y13" s="102"/>
    </row>
    <row r="14" spans="1:25" s="97" customFormat="1" x14ac:dyDescent="0.25">
      <c r="A14" s="194">
        <v>43802</v>
      </c>
      <c r="B14" s="97" t="s">
        <v>849</v>
      </c>
      <c r="C14" s="97" t="s">
        <v>44</v>
      </c>
      <c r="D14" s="98">
        <v>38.060630000000003</v>
      </c>
      <c r="E14" s="98">
        <v>-121.59175</v>
      </c>
      <c r="F14" s="97" t="s">
        <v>2473</v>
      </c>
      <c r="G14" s="97" t="s">
        <v>46</v>
      </c>
      <c r="H14" s="97" t="s">
        <v>47</v>
      </c>
      <c r="I14" s="621">
        <v>0.43055555555555558</v>
      </c>
      <c r="J14" s="103">
        <v>416.02499999999998</v>
      </c>
      <c r="K14" s="103">
        <v>10.625</v>
      </c>
      <c r="L14" s="103">
        <v>38.625</v>
      </c>
      <c r="M14" s="103">
        <v>0.38999999999999996</v>
      </c>
      <c r="N14" s="103">
        <v>8.0500000000000007</v>
      </c>
      <c r="O14" s="97" t="s">
        <v>48</v>
      </c>
      <c r="P14" s="97">
        <v>4</v>
      </c>
      <c r="Q14" s="97">
        <v>10</v>
      </c>
      <c r="R14" s="97" t="s">
        <v>64</v>
      </c>
      <c r="S14" s="97" t="s">
        <v>50</v>
      </c>
      <c r="T14" s="97" t="s">
        <v>50</v>
      </c>
      <c r="U14" s="97" t="s">
        <v>50</v>
      </c>
      <c r="V14" s="97" t="s">
        <v>50</v>
      </c>
      <c r="W14" s="97" t="s">
        <v>50</v>
      </c>
      <c r="X14" s="97" t="s">
        <v>50</v>
      </c>
      <c r="Y14" s="102"/>
    </row>
    <row r="15" spans="1:25" s="97" customFormat="1" x14ac:dyDescent="0.25">
      <c r="A15" s="194">
        <v>43802</v>
      </c>
      <c r="B15" s="97" t="s">
        <v>849</v>
      </c>
      <c r="C15" s="97" t="s">
        <v>44</v>
      </c>
      <c r="D15" s="98">
        <v>38.042380000000001</v>
      </c>
      <c r="E15" s="98">
        <v>-121.5835</v>
      </c>
      <c r="F15" s="97" t="s">
        <v>2474</v>
      </c>
      <c r="G15" s="97" t="s">
        <v>46</v>
      </c>
      <c r="H15" s="97" t="s">
        <v>74</v>
      </c>
      <c r="I15" s="621">
        <v>0.38055555555555554</v>
      </c>
      <c r="J15" s="103">
        <v>257.02499999999998</v>
      </c>
      <c r="K15" s="103">
        <v>10.55</v>
      </c>
      <c r="L15" s="103">
        <v>26.1</v>
      </c>
      <c r="M15" s="103">
        <v>0.51</v>
      </c>
      <c r="N15" s="103">
        <v>3.5</v>
      </c>
      <c r="O15" s="97" t="s">
        <v>48</v>
      </c>
      <c r="P15" s="97">
        <v>4</v>
      </c>
      <c r="Q15" s="97">
        <v>10</v>
      </c>
      <c r="R15" s="97" t="s">
        <v>64</v>
      </c>
      <c r="S15" s="97" t="s">
        <v>50</v>
      </c>
      <c r="T15" s="97" t="s">
        <v>50</v>
      </c>
      <c r="U15" s="97" t="s">
        <v>50</v>
      </c>
      <c r="V15" s="97" t="s">
        <v>50</v>
      </c>
      <c r="W15" s="97" t="s">
        <v>50</v>
      </c>
      <c r="X15" s="97" t="s">
        <v>50</v>
      </c>
      <c r="Y15" s="102"/>
    </row>
    <row r="16" spans="1:25" s="97" customFormat="1" x14ac:dyDescent="0.25">
      <c r="A16" s="194">
        <v>43802</v>
      </c>
      <c r="B16" s="97" t="s">
        <v>849</v>
      </c>
      <c r="C16" s="97" t="s">
        <v>78</v>
      </c>
      <c r="D16" s="98">
        <v>38.050089999999997</v>
      </c>
      <c r="E16" s="98">
        <v>-121.91797</v>
      </c>
      <c r="F16" s="97" t="s">
        <v>2475</v>
      </c>
      <c r="G16" s="97" t="s">
        <v>27</v>
      </c>
      <c r="H16" s="97" t="s">
        <v>101</v>
      </c>
      <c r="I16" s="621">
        <v>0.35069444444444442</v>
      </c>
      <c r="J16" s="103">
        <v>11589.75</v>
      </c>
      <c r="K16" s="103">
        <v>11.125</v>
      </c>
      <c r="L16" s="103">
        <v>25.049999999999997</v>
      </c>
      <c r="M16" s="103">
        <v>0.47</v>
      </c>
      <c r="N16" s="103">
        <v>5.9</v>
      </c>
      <c r="O16" s="97" t="s">
        <v>48</v>
      </c>
      <c r="P16" s="97">
        <v>4</v>
      </c>
      <c r="Q16" s="97">
        <v>10</v>
      </c>
      <c r="R16" s="97" t="s">
        <v>64</v>
      </c>
      <c r="S16" s="97" t="s">
        <v>50</v>
      </c>
      <c r="T16" s="97" t="s">
        <v>50</v>
      </c>
      <c r="U16" s="97" t="s">
        <v>50</v>
      </c>
      <c r="V16" s="97" t="s">
        <v>50</v>
      </c>
      <c r="W16" s="97" t="s">
        <v>50</v>
      </c>
      <c r="X16" s="97" t="s">
        <v>50</v>
      </c>
      <c r="Y16" s="102"/>
    </row>
    <row r="17" spans="1:25" s="97" customFormat="1" x14ac:dyDescent="0.25">
      <c r="A17" s="194">
        <v>43802</v>
      </c>
      <c r="B17" s="97" t="s">
        <v>849</v>
      </c>
      <c r="C17" s="97" t="s">
        <v>78</v>
      </c>
      <c r="D17" s="98">
        <v>38.058570000000003</v>
      </c>
      <c r="E17" s="98">
        <v>-121.8758</v>
      </c>
      <c r="F17" s="97" t="s">
        <v>2476</v>
      </c>
      <c r="G17" s="97" t="s">
        <v>27</v>
      </c>
      <c r="H17" s="97" t="s">
        <v>101</v>
      </c>
      <c r="I17" s="621">
        <v>0.39999999999999997</v>
      </c>
      <c r="J17" s="100">
        <v>9629</v>
      </c>
      <c r="K17" s="100">
        <v>11.224999999999998</v>
      </c>
      <c r="L17" s="100">
        <v>20.175000000000001</v>
      </c>
      <c r="M17" s="100">
        <v>0.5575</v>
      </c>
      <c r="N17" s="100">
        <v>6.875</v>
      </c>
      <c r="O17" s="97" t="s">
        <v>48</v>
      </c>
      <c r="P17" s="97">
        <v>4</v>
      </c>
      <c r="Q17" s="97">
        <v>10</v>
      </c>
      <c r="R17" s="97" t="s">
        <v>64</v>
      </c>
      <c r="S17" s="97" t="s">
        <v>50</v>
      </c>
      <c r="T17" s="97" t="s">
        <v>50</v>
      </c>
      <c r="U17" s="97" t="s">
        <v>50</v>
      </c>
      <c r="V17" s="97" t="s">
        <v>50</v>
      </c>
      <c r="W17" s="97" t="s">
        <v>50</v>
      </c>
      <c r="X17" s="97" t="s">
        <v>50</v>
      </c>
      <c r="Y17" s="102"/>
    </row>
    <row r="18" spans="1:25" s="97" customFormat="1" x14ac:dyDescent="0.25">
      <c r="A18" s="194">
        <v>43802</v>
      </c>
      <c r="B18" s="97" t="s">
        <v>849</v>
      </c>
      <c r="C18" s="97" t="s">
        <v>78</v>
      </c>
      <c r="D18" s="98">
        <v>38.036900000000003</v>
      </c>
      <c r="E18" s="98">
        <v>-121.8379</v>
      </c>
      <c r="F18" s="97" t="s">
        <v>2477</v>
      </c>
      <c r="G18" s="97" t="s">
        <v>27</v>
      </c>
      <c r="H18" s="97" t="s">
        <v>101</v>
      </c>
      <c r="I18" s="621">
        <v>0.45416666666666666</v>
      </c>
      <c r="J18" s="100">
        <v>7736.75</v>
      </c>
      <c r="K18" s="100">
        <v>11.450000000000001</v>
      </c>
      <c r="L18" s="100">
        <v>19.05</v>
      </c>
      <c r="M18" s="100">
        <v>0.55249999999999999</v>
      </c>
      <c r="N18" s="101">
        <v>6.5</v>
      </c>
      <c r="O18" s="97" t="s">
        <v>48</v>
      </c>
      <c r="P18" s="97">
        <v>4</v>
      </c>
      <c r="Q18" s="97">
        <v>10</v>
      </c>
      <c r="R18" s="97" t="s">
        <v>64</v>
      </c>
      <c r="S18" s="97" t="s">
        <v>50</v>
      </c>
      <c r="T18" s="97" t="s">
        <v>50</v>
      </c>
      <c r="U18" s="97" t="s">
        <v>50</v>
      </c>
      <c r="V18" s="97" t="s">
        <v>50</v>
      </c>
      <c r="W18" s="97" t="s">
        <v>50</v>
      </c>
      <c r="X18" s="97" t="s">
        <v>50</v>
      </c>
      <c r="Y18" s="102" t="s">
        <v>159</v>
      </c>
    </row>
    <row r="19" spans="1:25" s="97" customFormat="1" x14ac:dyDescent="0.25">
      <c r="A19" s="194">
        <v>43803</v>
      </c>
      <c r="B19" s="97" t="s">
        <v>915</v>
      </c>
      <c r="C19" s="97" t="s">
        <v>88</v>
      </c>
      <c r="D19" s="98">
        <v>38.156559999999999</v>
      </c>
      <c r="E19" s="98">
        <v>-121.68367000000001</v>
      </c>
      <c r="F19" s="97" t="s">
        <v>2478</v>
      </c>
      <c r="G19" s="97" t="s">
        <v>90</v>
      </c>
      <c r="H19" s="89" t="s">
        <v>91</v>
      </c>
      <c r="I19" s="621">
        <v>0.31319444444444444</v>
      </c>
      <c r="J19" s="100">
        <v>158.77499999999998</v>
      </c>
      <c r="K19" s="100">
        <v>10</v>
      </c>
      <c r="L19" s="100">
        <v>9.2724999999999991</v>
      </c>
      <c r="M19" s="100">
        <v>1.2749999999999999</v>
      </c>
      <c r="N19" s="101">
        <v>6.15</v>
      </c>
      <c r="O19" s="97" t="s">
        <v>48</v>
      </c>
      <c r="P19" s="97">
        <v>4</v>
      </c>
      <c r="Q19" s="97">
        <v>10</v>
      </c>
      <c r="R19" s="97" t="s">
        <v>64</v>
      </c>
      <c r="S19" s="97" t="s">
        <v>50</v>
      </c>
      <c r="T19" s="97" t="s">
        <v>50</v>
      </c>
      <c r="U19" s="97" t="s">
        <v>50</v>
      </c>
      <c r="V19" s="97" t="s">
        <v>50</v>
      </c>
      <c r="W19" s="97" t="s">
        <v>50</v>
      </c>
      <c r="X19" s="97" t="s">
        <v>50</v>
      </c>
      <c r="Y19" s="102"/>
    </row>
    <row r="20" spans="1:25" s="97" customFormat="1" x14ac:dyDescent="0.25">
      <c r="A20" s="194">
        <v>43803</v>
      </c>
      <c r="B20" s="97" t="s">
        <v>915</v>
      </c>
      <c r="C20" s="97" t="s">
        <v>88</v>
      </c>
      <c r="D20" s="98">
        <v>38.122660000000003</v>
      </c>
      <c r="E20" s="98">
        <v>-121.69669</v>
      </c>
      <c r="F20" s="97" t="s">
        <v>2479</v>
      </c>
      <c r="G20" s="97" t="s">
        <v>90</v>
      </c>
      <c r="H20" s="89" t="s">
        <v>91</v>
      </c>
      <c r="I20" s="621">
        <v>0.36736111111111108</v>
      </c>
      <c r="J20" s="100">
        <v>192.42500000000001</v>
      </c>
      <c r="K20" s="100">
        <v>9.9749999999999996</v>
      </c>
      <c r="L20" s="100">
        <v>11.1675</v>
      </c>
      <c r="M20" s="100">
        <v>1.2524999999999999</v>
      </c>
      <c r="N20" s="101">
        <v>8.9249999999999989</v>
      </c>
      <c r="O20" s="97" t="s">
        <v>48</v>
      </c>
      <c r="P20" s="97">
        <v>4</v>
      </c>
      <c r="Q20" s="97">
        <v>10</v>
      </c>
      <c r="R20" s="97" t="s">
        <v>64</v>
      </c>
      <c r="S20" s="97" t="s">
        <v>50</v>
      </c>
      <c r="T20" s="97" t="s">
        <v>50</v>
      </c>
      <c r="U20" s="97" t="s">
        <v>50</v>
      </c>
      <c r="V20" s="97" t="s">
        <v>50</v>
      </c>
      <c r="W20" s="97" t="s">
        <v>50</v>
      </c>
      <c r="X20" s="97" t="s">
        <v>50</v>
      </c>
      <c r="Y20" s="102"/>
    </row>
    <row r="21" spans="1:25" s="97" customFormat="1" x14ac:dyDescent="0.25">
      <c r="A21" s="194">
        <v>43803</v>
      </c>
      <c r="B21" s="97" t="s">
        <v>915</v>
      </c>
      <c r="C21" s="97" t="s">
        <v>88</v>
      </c>
      <c r="D21" s="98">
        <v>38.111669999999997</v>
      </c>
      <c r="E21" s="98">
        <v>-121.70408</v>
      </c>
      <c r="F21" s="97" t="s">
        <v>2480</v>
      </c>
      <c r="G21" s="97" t="s">
        <v>90</v>
      </c>
      <c r="H21" s="89" t="s">
        <v>91</v>
      </c>
      <c r="I21" s="621">
        <v>0.4152777777777778</v>
      </c>
      <c r="J21" s="100">
        <v>214.45</v>
      </c>
      <c r="K21" s="100">
        <v>10.1</v>
      </c>
      <c r="L21" s="100">
        <v>16.25</v>
      </c>
      <c r="M21" s="100">
        <v>1.0475000000000001</v>
      </c>
      <c r="N21" s="101">
        <v>5.2250000000000005</v>
      </c>
      <c r="O21" s="97" t="s">
        <v>48</v>
      </c>
      <c r="P21" s="97">
        <v>4</v>
      </c>
      <c r="Q21" s="97">
        <v>10</v>
      </c>
      <c r="R21" s="97" t="s">
        <v>64</v>
      </c>
      <c r="S21" s="40" t="s">
        <v>50</v>
      </c>
      <c r="T21" s="40" t="s">
        <v>50</v>
      </c>
      <c r="U21" s="235" t="s">
        <v>50</v>
      </c>
      <c r="V21" s="40" t="s">
        <v>50</v>
      </c>
      <c r="W21" s="40" t="s">
        <v>50</v>
      </c>
      <c r="X21" s="235" t="s">
        <v>50</v>
      </c>
      <c r="Y21" s="102"/>
    </row>
    <row r="22" spans="1:25" s="97" customFormat="1" x14ac:dyDescent="0.25">
      <c r="A22" s="194">
        <v>43803</v>
      </c>
      <c r="B22" s="97" t="s">
        <v>915</v>
      </c>
      <c r="C22" s="97" t="s">
        <v>88</v>
      </c>
      <c r="D22" s="98">
        <v>38.111220000000003</v>
      </c>
      <c r="E22" s="98">
        <v>-121.70950000000001</v>
      </c>
      <c r="F22" s="97" t="s">
        <v>2481</v>
      </c>
      <c r="G22" s="97" t="s">
        <v>90</v>
      </c>
      <c r="H22" s="89" t="s">
        <v>91</v>
      </c>
      <c r="I22" s="621">
        <v>0.46319444444444446</v>
      </c>
      <c r="J22" s="103">
        <v>649.70000000000005</v>
      </c>
      <c r="K22" s="103">
        <v>10.199999999999999</v>
      </c>
      <c r="L22" s="103">
        <v>26.425000000000001</v>
      </c>
      <c r="M22" s="103">
        <v>0.67749999999999999</v>
      </c>
      <c r="N22" s="103">
        <v>8.375</v>
      </c>
      <c r="O22" s="97" t="s">
        <v>48</v>
      </c>
      <c r="P22" s="97">
        <v>4</v>
      </c>
      <c r="Q22" s="97">
        <v>10</v>
      </c>
      <c r="R22" s="97" t="s">
        <v>64</v>
      </c>
      <c r="S22" s="40" t="s">
        <v>50</v>
      </c>
      <c r="T22" s="40" t="s">
        <v>50</v>
      </c>
      <c r="U22" s="235" t="s">
        <v>50</v>
      </c>
      <c r="V22" s="40" t="s">
        <v>50</v>
      </c>
      <c r="W22" s="40" t="s">
        <v>50</v>
      </c>
      <c r="X22" s="235" t="s">
        <v>50</v>
      </c>
      <c r="Y22" s="102" t="s">
        <v>159</v>
      </c>
    </row>
    <row r="23" spans="1:25" s="97" customFormat="1" x14ac:dyDescent="0.25">
      <c r="A23" s="194">
        <v>43803</v>
      </c>
      <c r="B23" s="97" t="s">
        <v>915</v>
      </c>
      <c r="C23" s="97" t="s">
        <v>95</v>
      </c>
      <c r="D23" s="98">
        <v>38.018000000000001</v>
      </c>
      <c r="E23" s="98">
        <v>-121.77311</v>
      </c>
      <c r="F23" s="97" t="s">
        <v>2482</v>
      </c>
      <c r="G23" s="97" t="s">
        <v>27</v>
      </c>
      <c r="H23" s="97" t="s">
        <v>863</v>
      </c>
      <c r="I23" s="621">
        <v>0.32847222222222222</v>
      </c>
      <c r="J23" s="100">
        <v>2557.25</v>
      </c>
      <c r="K23" s="100">
        <v>11.1</v>
      </c>
      <c r="L23" s="100">
        <v>26.5</v>
      </c>
      <c r="M23" s="100">
        <v>0.59250000000000003</v>
      </c>
      <c r="N23" s="101">
        <v>11.150000000000002</v>
      </c>
      <c r="O23" s="97" t="s">
        <v>48</v>
      </c>
      <c r="P23" s="97">
        <v>4</v>
      </c>
      <c r="Q23" s="97">
        <v>10</v>
      </c>
      <c r="R23" s="97" t="s">
        <v>64</v>
      </c>
      <c r="S23" s="40" t="s">
        <v>50</v>
      </c>
      <c r="T23" s="40" t="s">
        <v>50</v>
      </c>
      <c r="U23" s="235" t="s">
        <v>50</v>
      </c>
      <c r="V23" s="40" t="s">
        <v>50</v>
      </c>
      <c r="W23" s="40" t="s">
        <v>50</v>
      </c>
      <c r="X23" s="235" t="s">
        <v>50</v>
      </c>
      <c r="Y23" s="102"/>
    </row>
    <row r="24" spans="1:25" s="97" customFormat="1" x14ac:dyDescent="0.25">
      <c r="A24" s="194">
        <v>43803</v>
      </c>
      <c r="B24" s="97" t="s">
        <v>915</v>
      </c>
      <c r="C24" s="97" t="s">
        <v>95</v>
      </c>
      <c r="D24" s="98">
        <v>38.028700000000001</v>
      </c>
      <c r="E24" s="98">
        <v>-121.75609</v>
      </c>
      <c r="F24" s="97" t="s">
        <v>2483</v>
      </c>
      <c r="G24" s="97" t="s">
        <v>27</v>
      </c>
      <c r="H24" s="97" t="s">
        <v>863</v>
      </c>
      <c r="I24" s="621">
        <v>0.40069444444444446</v>
      </c>
      <c r="J24" s="100">
        <v>2998</v>
      </c>
      <c r="K24" s="100">
        <v>11.025</v>
      </c>
      <c r="L24" s="100">
        <v>44.125</v>
      </c>
      <c r="M24" s="100">
        <v>0.53750000000000009</v>
      </c>
      <c r="N24" s="101">
        <v>11.299999999999999</v>
      </c>
      <c r="O24" s="97" t="s">
        <v>48</v>
      </c>
      <c r="P24" s="97">
        <v>4</v>
      </c>
      <c r="Q24" s="97">
        <v>10</v>
      </c>
      <c r="R24" s="97" t="s">
        <v>64</v>
      </c>
      <c r="S24" s="40" t="s">
        <v>50</v>
      </c>
      <c r="T24" s="40" t="s">
        <v>50</v>
      </c>
      <c r="U24" s="235" t="s">
        <v>50</v>
      </c>
      <c r="V24" s="40" t="s">
        <v>50</v>
      </c>
      <c r="W24" s="40" t="s">
        <v>50</v>
      </c>
      <c r="X24" s="235" t="s">
        <v>50</v>
      </c>
      <c r="Y24" s="102"/>
    </row>
    <row r="25" spans="1:25" s="97" customFormat="1" x14ac:dyDescent="0.25">
      <c r="A25" s="194">
        <v>43803</v>
      </c>
      <c r="B25" s="97" t="s">
        <v>915</v>
      </c>
      <c r="C25" s="97" t="s">
        <v>95</v>
      </c>
      <c r="D25" s="98">
        <v>38.027189999999997</v>
      </c>
      <c r="E25" s="98">
        <v>-121.73506999999999</v>
      </c>
      <c r="F25" s="97" t="s">
        <v>2484</v>
      </c>
      <c r="G25" s="97" t="s">
        <v>27</v>
      </c>
      <c r="H25" s="97" t="s">
        <v>863</v>
      </c>
      <c r="I25" s="621">
        <v>0.44791666666666669</v>
      </c>
      <c r="J25" s="100">
        <v>3268.25</v>
      </c>
      <c r="K25" s="100">
        <v>11.1</v>
      </c>
      <c r="L25" s="100">
        <v>33.924999999999997</v>
      </c>
      <c r="M25" s="100">
        <v>0.54249999999999998</v>
      </c>
      <c r="N25" s="101">
        <v>11.775</v>
      </c>
      <c r="O25" s="97" t="s">
        <v>48</v>
      </c>
      <c r="P25" s="97">
        <v>4</v>
      </c>
      <c r="Q25" s="97">
        <v>10</v>
      </c>
      <c r="R25" s="97" t="s">
        <v>64</v>
      </c>
      <c r="S25" s="40" t="s">
        <v>50</v>
      </c>
      <c r="T25" s="40" t="s">
        <v>50</v>
      </c>
      <c r="U25" s="235" t="s">
        <v>50</v>
      </c>
      <c r="V25" s="40" t="s">
        <v>50</v>
      </c>
      <c r="W25" s="40" t="s">
        <v>50</v>
      </c>
      <c r="X25" s="235" t="s">
        <v>50</v>
      </c>
      <c r="Y25" s="102" t="s">
        <v>2485</v>
      </c>
    </row>
    <row r="26" spans="1:25" s="97" customFormat="1" x14ac:dyDescent="0.25">
      <c r="A26" s="194">
        <v>43803</v>
      </c>
      <c r="B26" s="97" t="s">
        <v>915</v>
      </c>
      <c r="C26" s="97" t="s">
        <v>95</v>
      </c>
      <c r="D26" s="98">
        <v>38.035730000000001</v>
      </c>
      <c r="E26" s="98">
        <v>-121.71671000000001</v>
      </c>
      <c r="F26" s="97" t="s">
        <v>2486</v>
      </c>
      <c r="G26" s="97" t="s">
        <v>27</v>
      </c>
      <c r="H26" s="97" t="s">
        <v>863</v>
      </c>
      <c r="I26" s="621">
        <v>0.49444444444444446</v>
      </c>
      <c r="J26" s="100">
        <v>3204.5</v>
      </c>
      <c r="K26" s="100">
        <v>11.1</v>
      </c>
      <c r="L26" s="100">
        <v>35.024999999999999</v>
      </c>
      <c r="M26" s="100">
        <v>0.57000000000000006</v>
      </c>
      <c r="N26" s="101">
        <v>9.5</v>
      </c>
      <c r="O26" s="97" t="s">
        <v>48</v>
      </c>
      <c r="P26" s="97">
        <v>4</v>
      </c>
      <c r="Q26" s="97">
        <v>10</v>
      </c>
      <c r="R26" s="97" t="s">
        <v>64</v>
      </c>
      <c r="S26" s="40" t="s">
        <v>50</v>
      </c>
      <c r="T26" s="40" t="s">
        <v>50</v>
      </c>
      <c r="U26" s="235" t="s">
        <v>50</v>
      </c>
      <c r="V26" s="40" t="s">
        <v>50</v>
      </c>
      <c r="W26" s="40" t="s">
        <v>50</v>
      </c>
      <c r="X26" s="235" t="s">
        <v>50</v>
      </c>
      <c r="Y26" s="102"/>
    </row>
    <row r="27" spans="1:25" s="97" customFormat="1" x14ac:dyDescent="0.25">
      <c r="A27" s="194">
        <v>43803</v>
      </c>
      <c r="B27" s="97" t="s">
        <v>915</v>
      </c>
      <c r="C27" s="97" t="s">
        <v>78</v>
      </c>
      <c r="D27" s="97">
        <v>38.072659999999999</v>
      </c>
      <c r="E27" s="97">
        <v>-122.06486</v>
      </c>
      <c r="F27" s="97" t="s">
        <v>2487</v>
      </c>
      <c r="G27" s="97" t="s">
        <v>80</v>
      </c>
      <c r="H27" s="97" t="s">
        <v>81</v>
      </c>
      <c r="I27" s="99">
        <v>0.36041666666666666</v>
      </c>
      <c r="J27" s="100">
        <v>21262.5</v>
      </c>
      <c r="K27" s="97">
        <v>11.4</v>
      </c>
      <c r="L27" s="97">
        <v>37.75</v>
      </c>
      <c r="M27" s="97">
        <v>0.46</v>
      </c>
      <c r="N27" s="97">
        <v>3.2749999999999999</v>
      </c>
      <c r="O27" s="97" t="s">
        <v>48</v>
      </c>
      <c r="P27" s="97">
        <v>4</v>
      </c>
      <c r="Q27" s="97">
        <v>10</v>
      </c>
      <c r="R27" s="97" t="s">
        <v>64</v>
      </c>
      <c r="S27" s="40" t="s">
        <v>50</v>
      </c>
      <c r="T27" s="40" t="s">
        <v>50</v>
      </c>
      <c r="U27" s="235" t="s">
        <v>50</v>
      </c>
      <c r="V27" s="40" t="s">
        <v>50</v>
      </c>
      <c r="W27" s="40" t="s">
        <v>50</v>
      </c>
      <c r="X27" s="235" t="s">
        <v>50</v>
      </c>
      <c r="Y27" s="102"/>
    </row>
    <row r="28" spans="1:25" s="97" customFormat="1" x14ac:dyDescent="0.25">
      <c r="A28" s="194">
        <v>43803</v>
      </c>
      <c r="B28" s="97" t="s">
        <v>915</v>
      </c>
      <c r="C28" s="97" t="s">
        <v>78</v>
      </c>
      <c r="D28" s="98">
        <v>38.100110000000001</v>
      </c>
      <c r="E28" s="98">
        <v>-122.05181</v>
      </c>
      <c r="F28" s="97" t="s">
        <v>2488</v>
      </c>
      <c r="G28" s="97" t="s">
        <v>27</v>
      </c>
      <c r="H28" s="97" t="s">
        <v>86</v>
      </c>
      <c r="I28" s="621">
        <v>0.41736111111111113</v>
      </c>
      <c r="J28" s="100">
        <v>20007.25</v>
      </c>
      <c r="K28" s="100">
        <v>11.324999999999999</v>
      </c>
      <c r="L28" s="100">
        <v>38.299999999999997</v>
      </c>
      <c r="M28" s="100">
        <v>0.49</v>
      </c>
      <c r="N28" s="101">
        <v>8.375</v>
      </c>
      <c r="O28" s="97" t="s">
        <v>48</v>
      </c>
      <c r="P28" s="97">
        <v>4</v>
      </c>
      <c r="Q28" s="97">
        <v>10</v>
      </c>
      <c r="R28" s="97" t="s">
        <v>64</v>
      </c>
      <c r="S28" s="40" t="s">
        <v>50</v>
      </c>
      <c r="T28" s="40" t="s">
        <v>50</v>
      </c>
      <c r="U28" s="235" t="s">
        <v>50</v>
      </c>
      <c r="V28" s="40" t="s">
        <v>50</v>
      </c>
      <c r="W28" s="40" t="s">
        <v>50</v>
      </c>
      <c r="X28" s="235" t="s">
        <v>50</v>
      </c>
      <c r="Y28" s="102"/>
    </row>
    <row r="29" spans="1:25" s="591" customFormat="1" ht="14.25" customHeight="1" x14ac:dyDescent="0.25">
      <c r="A29" s="590">
        <v>43803</v>
      </c>
      <c r="B29" s="591" t="s">
        <v>915</v>
      </c>
      <c r="C29" s="591" t="s">
        <v>78</v>
      </c>
      <c r="D29" s="592">
        <v>38.078229999999998</v>
      </c>
      <c r="E29" s="592">
        <v>-121.98174</v>
      </c>
      <c r="F29" s="591" t="s">
        <v>2489</v>
      </c>
      <c r="G29" s="591" t="s">
        <v>27</v>
      </c>
      <c r="H29" s="591" t="s">
        <v>86</v>
      </c>
      <c r="I29" s="619">
        <v>0.4826388888888889</v>
      </c>
      <c r="J29" s="593">
        <v>16397.75</v>
      </c>
      <c r="K29" s="593">
        <v>11.3</v>
      </c>
      <c r="L29" s="593">
        <v>37.375</v>
      </c>
      <c r="M29" s="593">
        <v>0.50249999999999995</v>
      </c>
      <c r="N29" s="594">
        <v>17.700000000000003</v>
      </c>
      <c r="O29" s="591" t="s">
        <v>48</v>
      </c>
      <c r="P29" s="591">
        <v>4</v>
      </c>
      <c r="Q29" s="591">
        <v>10</v>
      </c>
      <c r="R29" s="591" t="s">
        <v>49</v>
      </c>
      <c r="S29" s="559" t="s">
        <v>323</v>
      </c>
      <c r="T29" s="560">
        <v>1</v>
      </c>
      <c r="U29" s="561">
        <v>64</v>
      </c>
      <c r="V29" s="560" t="s">
        <v>66</v>
      </c>
      <c r="W29" s="560" t="s">
        <v>50</v>
      </c>
      <c r="X29" s="561" t="s">
        <v>50</v>
      </c>
      <c r="Y29" s="595"/>
    </row>
    <row r="30" spans="1:25" s="97" customFormat="1" x14ac:dyDescent="0.25">
      <c r="A30" s="194">
        <v>43804</v>
      </c>
      <c r="B30" s="97" t="s">
        <v>876</v>
      </c>
      <c r="C30" s="97" t="s">
        <v>88</v>
      </c>
      <c r="D30" s="98">
        <v>38.050260000000002</v>
      </c>
      <c r="E30" s="98">
        <v>-121.79686</v>
      </c>
      <c r="F30" s="97" t="s">
        <v>2490</v>
      </c>
      <c r="G30" s="97" t="s">
        <v>27</v>
      </c>
      <c r="H30" s="97" t="s">
        <v>25</v>
      </c>
      <c r="I30" s="621">
        <v>0.4152777777777778</v>
      </c>
      <c r="J30" s="100">
        <v>4527</v>
      </c>
      <c r="K30" s="100">
        <v>11.075000000000001</v>
      </c>
      <c r="L30" s="100">
        <v>28.65</v>
      </c>
      <c r="M30" s="100">
        <v>0.61499999999999999</v>
      </c>
      <c r="N30" s="101">
        <v>3.375</v>
      </c>
      <c r="O30" s="97" t="s">
        <v>48</v>
      </c>
      <c r="P30" s="97">
        <v>4</v>
      </c>
      <c r="Q30" s="97">
        <v>10</v>
      </c>
      <c r="R30" s="97" t="s">
        <v>64</v>
      </c>
      <c r="S30" s="40" t="s">
        <v>50</v>
      </c>
      <c r="T30" s="40" t="s">
        <v>50</v>
      </c>
      <c r="U30" s="235" t="s">
        <v>50</v>
      </c>
      <c r="V30" s="40" t="s">
        <v>50</v>
      </c>
      <c r="W30" s="40" t="s">
        <v>50</v>
      </c>
      <c r="X30" s="235" t="s">
        <v>50</v>
      </c>
      <c r="Y30" s="102"/>
    </row>
    <row r="31" spans="1:25" s="97" customFormat="1" x14ac:dyDescent="0.25">
      <c r="A31" s="194">
        <v>43804</v>
      </c>
      <c r="B31" s="97" t="s">
        <v>876</v>
      </c>
      <c r="C31" s="97" t="s">
        <v>88</v>
      </c>
      <c r="D31" s="98">
        <v>38.092619999999997</v>
      </c>
      <c r="E31" s="98">
        <v>-121.73927999999999</v>
      </c>
      <c r="F31" s="97" t="s">
        <v>2491</v>
      </c>
      <c r="G31" s="97" t="s">
        <v>90</v>
      </c>
      <c r="H31" s="97" t="s">
        <v>91</v>
      </c>
      <c r="I31" s="621">
        <v>0.31736111111111115</v>
      </c>
      <c r="J31" s="100">
        <v>166.9</v>
      </c>
      <c r="K31" s="100">
        <v>10.199999999999999</v>
      </c>
      <c r="L31" s="100">
        <v>11.6175</v>
      </c>
      <c r="M31" s="100">
        <v>1.335</v>
      </c>
      <c r="N31" s="101">
        <v>10.050000000000001</v>
      </c>
      <c r="O31" s="97" t="s">
        <v>48</v>
      </c>
      <c r="P31" s="97">
        <v>4</v>
      </c>
      <c r="Q31" s="97">
        <v>10</v>
      </c>
      <c r="R31" s="97" t="s">
        <v>64</v>
      </c>
      <c r="S31" s="40" t="s">
        <v>50</v>
      </c>
      <c r="T31" s="40" t="s">
        <v>50</v>
      </c>
      <c r="U31" s="235" t="s">
        <v>50</v>
      </c>
      <c r="V31" s="40" t="s">
        <v>50</v>
      </c>
      <c r="W31" s="40" t="s">
        <v>50</v>
      </c>
      <c r="X31" s="235" t="s">
        <v>50</v>
      </c>
      <c r="Y31" s="102"/>
    </row>
    <row r="32" spans="1:25" s="97" customFormat="1" x14ac:dyDescent="0.25">
      <c r="A32" s="194">
        <v>43804</v>
      </c>
      <c r="B32" s="97" t="s">
        <v>876</v>
      </c>
      <c r="C32" s="97" t="s">
        <v>88</v>
      </c>
      <c r="D32" s="98">
        <v>38.092500000000001</v>
      </c>
      <c r="E32" s="98">
        <v>-121.72835000000001</v>
      </c>
      <c r="F32" s="97" t="s">
        <v>2492</v>
      </c>
      <c r="G32" s="97" t="s">
        <v>90</v>
      </c>
      <c r="H32" s="97" t="s">
        <v>91</v>
      </c>
      <c r="I32" s="621">
        <v>0.36180555555555555</v>
      </c>
      <c r="J32" s="100">
        <v>223.82499999999999</v>
      </c>
      <c r="K32" s="100">
        <v>10.3</v>
      </c>
      <c r="L32" s="100">
        <v>13.5825</v>
      </c>
      <c r="M32" s="100">
        <v>0.93250000000000011</v>
      </c>
      <c r="N32" s="101">
        <v>5.3250000000000002</v>
      </c>
      <c r="O32" s="97" t="s">
        <v>48</v>
      </c>
      <c r="P32" s="97">
        <v>4</v>
      </c>
      <c r="Q32" s="97">
        <v>10</v>
      </c>
      <c r="R32" s="97" t="s">
        <v>64</v>
      </c>
      <c r="S32" s="40" t="s">
        <v>50</v>
      </c>
      <c r="T32" s="40" t="s">
        <v>50</v>
      </c>
      <c r="U32" s="235" t="s">
        <v>50</v>
      </c>
      <c r="V32" s="40" t="s">
        <v>50</v>
      </c>
      <c r="W32" s="40" t="s">
        <v>50</v>
      </c>
      <c r="X32" s="235" t="s">
        <v>50</v>
      </c>
      <c r="Y32" s="102"/>
    </row>
    <row r="33" spans="1:25" s="97" customFormat="1" x14ac:dyDescent="0.25">
      <c r="A33" s="194">
        <v>43804</v>
      </c>
      <c r="B33" s="97" t="s">
        <v>876</v>
      </c>
      <c r="C33" s="97" t="s">
        <v>44</v>
      </c>
      <c r="D33" s="98">
        <v>37.917859999999997</v>
      </c>
      <c r="E33" s="98">
        <v>-121.56571</v>
      </c>
      <c r="F33" s="97" t="s">
        <v>2493</v>
      </c>
      <c r="G33" s="97" t="s">
        <v>46</v>
      </c>
      <c r="H33" s="97" t="s">
        <v>199</v>
      </c>
      <c r="I33" s="621">
        <v>0.36458333333333331</v>
      </c>
      <c r="J33" s="100">
        <v>236.67500000000001</v>
      </c>
      <c r="K33" s="100">
        <v>10.7</v>
      </c>
      <c r="L33" s="100">
        <v>5.13</v>
      </c>
      <c r="M33" s="100">
        <v>1.4750000000000001</v>
      </c>
      <c r="N33" s="101">
        <v>7.0749999999999993</v>
      </c>
      <c r="O33" s="97" t="s">
        <v>48</v>
      </c>
      <c r="P33" s="97">
        <v>4</v>
      </c>
      <c r="Q33" s="97">
        <v>10</v>
      </c>
      <c r="R33" s="97" t="s">
        <v>64</v>
      </c>
      <c r="S33" s="40" t="s">
        <v>50</v>
      </c>
      <c r="T33" s="40" t="s">
        <v>50</v>
      </c>
      <c r="U33" s="235" t="s">
        <v>50</v>
      </c>
      <c r="V33" s="40" t="s">
        <v>50</v>
      </c>
      <c r="W33" s="40" t="s">
        <v>50</v>
      </c>
      <c r="X33" s="235" t="s">
        <v>50</v>
      </c>
      <c r="Y33" s="102"/>
    </row>
    <row r="34" spans="1:25" s="97" customFormat="1" x14ac:dyDescent="0.25">
      <c r="A34" s="194">
        <v>43804</v>
      </c>
      <c r="B34" s="97" t="s">
        <v>876</v>
      </c>
      <c r="C34" s="97" t="s">
        <v>44</v>
      </c>
      <c r="D34" s="98">
        <v>37.971490000000003</v>
      </c>
      <c r="E34" s="98">
        <v>-121.52222999999999</v>
      </c>
      <c r="F34" s="97" t="s">
        <v>2494</v>
      </c>
      <c r="G34" s="97" t="s">
        <v>46</v>
      </c>
      <c r="H34" s="97" t="s">
        <v>59</v>
      </c>
      <c r="I34" s="621">
        <v>0.43263888888888885</v>
      </c>
      <c r="J34" s="100">
        <v>290.875</v>
      </c>
      <c r="K34" s="100">
        <v>10.9</v>
      </c>
      <c r="L34" s="100">
        <v>4.5225</v>
      </c>
      <c r="M34" s="100">
        <v>1.5974999999999999</v>
      </c>
      <c r="N34" s="101">
        <v>8.6000000000000014</v>
      </c>
      <c r="O34" s="97" t="s">
        <v>48</v>
      </c>
      <c r="P34" s="97">
        <v>4</v>
      </c>
      <c r="Q34" s="97">
        <v>10</v>
      </c>
      <c r="R34" s="97" t="s">
        <v>64</v>
      </c>
      <c r="S34" s="40" t="s">
        <v>50</v>
      </c>
      <c r="T34" s="40" t="s">
        <v>50</v>
      </c>
      <c r="U34" s="235" t="s">
        <v>50</v>
      </c>
      <c r="V34" s="40" t="s">
        <v>50</v>
      </c>
      <c r="W34" s="40" t="s">
        <v>50</v>
      </c>
      <c r="X34" s="235" t="s">
        <v>50</v>
      </c>
      <c r="Y34" s="102" t="s">
        <v>2485</v>
      </c>
    </row>
    <row r="35" spans="1:25" s="97" customFormat="1" x14ac:dyDescent="0.25">
      <c r="A35" s="194">
        <v>43804</v>
      </c>
      <c r="B35" s="97" t="s">
        <v>876</v>
      </c>
      <c r="C35" s="97" t="s">
        <v>44</v>
      </c>
      <c r="D35" s="98">
        <v>37.999450000000003</v>
      </c>
      <c r="E35" s="98">
        <v>-121.52525</v>
      </c>
      <c r="F35" s="97" t="s">
        <v>2495</v>
      </c>
      <c r="G35" s="97" t="s">
        <v>46</v>
      </c>
      <c r="H35" s="97" t="s">
        <v>59</v>
      </c>
      <c r="I35" s="621">
        <v>0.47569444444444442</v>
      </c>
      <c r="J35" s="100">
        <v>213.79999999999998</v>
      </c>
      <c r="K35" s="100">
        <v>10.8</v>
      </c>
      <c r="L35" s="100">
        <v>6.4375</v>
      </c>
      <c r="M35" s="100">
        <v>1.2875000000000001</v>
      </c>
      <c r="N35" s="101">
        <v>7.625</v>
      </c>
      <c r="O35" s="97" t="s">
        <v>48</v>
      </c>
      <c r="P35" s="97">
        <v>4</v>
      </c>
      <c r="Q35" s="97">
        <v>10</v>
      </c>
      <c r="R35" s="97" t="s">
        <v>64</v>
      </c>
      <c r="S35" s="40" t="s">
        <v>50</v>
      </c>
      <c r="T35" s="40" t="s">
        <v>50</v>
      </c>
      <c r="U35" s="235" t="s">
        <v>50</v>
      </c>
      <c r="V35" s="40" t="s">
        <v>50</v>
      </c>
      <c r="W35" s="40" t="s">
        <v>50</v>
      </c>
      <c r="X35" s="235" t="s">
        <v>50</v>
      </c>
      <c r="Y35" s="102"/>
    </row>
    <row r="36" spans="1:25" s="97" customFormat="1" x14ac:dyDescent="0.25">
      <c r="A36" s="194">
        <v>43804</v>
      </c>
      <c r="B36" s="97" t="s">
        <v>876</v>
      </c>
      <c r="C36" s="97" t="s">
        <v>62</v>
      </c>
      <c r="D36" s="98">
        <v>38.125349999999997</v>
      </c>
      <c r="E36" s="98">
        <v>-122.05759999999999</v>
      </c>
      <c r="F36" s="97" t="s">
        <v>2496</v>
      </c>
      <c r="G36" s="97" t="s">
        <v>27</v>
      </c>
      <c r="H36" s="97" t="s">
        <v>62</v>
      </c>
      <c r="I36" s="621">
        <v>0.51944444444444449</v>
      </c>
      <c r="J36" s="100">
        <v>15102</v>
      </c>
      <c r="K36" s="100">
        <v>11.525</v>
      </c>
      <c r="L36" s="100">
        <v>22.349999999999998</v>
      </c>
      <c r="M36" s="100">
        <v>0.65</v>
      </c>
      <c r="N36" s="101">
        <v>4.2</v>
      </c>
      <c r="O36" s="89" t="s">
        <v>48</v>
      </c>
      <c r="P36" s="89">
        <v>4</v>
      </c>
      <c r="Q36" s="89">
        <v>10</v>
      </c>
      <c r="R36" s="89" t="s">
        <v>49</v>
      </c>
      <c r="S36" s="89" t="s">
        <v>50</v>
      </c>
      <c r="T36" s="89" t="s">
        <v>50</v>
      </c>
      <c r="U36" s="89" t="s">
        <v>50</v>
      </c>
      <c r="V36" s="89" t="s">
        <v>50</v>
      </c>
      <c r="W36" s="89" t="s">
        <v>50</v>
      </c>
      <c r="X36" s="89" t="s">
        <v>50</v>
      </c>
      <c r="Y36" s="102"/>
    </row>
    <row r="37" spans="1:25" s="97" customFormat="1" x14ac:dyDescent="0.25">
      <c r="A37" s="194">
        <v>43804</v>
      </c>
      <c r="B37" s="97" t="s">
        <v>876</v>
      </c>
      <c r="C37" s="97" t="s">
        <v>62</v>
      </c>
      <c r="D37" s="98">
        <v>38.198050000000002</v>
      </c>
      <c r="E37" s="98">
        <v>-122.044</v>
      </c>
      <c r="F37" s="97" t="s">
        <v>2497</v>
      </c>
      <c r="G37" s="97" t="s">
        <v>27</v>
      </c>
      <c r="H37" s="97" t="s">
        <v>62</v>
      </c>
      <c r="I37" s="621">
        <v>0.45555555555555555</v>
      </c>
      <c r="J37" s="103">
        <v>7070.5</v>
      </c>
      <c r="K37" s="103">
        <v>10.525</v>
      </c>
      <c r="L37" s="103">
        <v>51.900000000000006</v>
      </c>
      <c r="M37" s="103">
        <v>0.31</v>
      </c>
      <c r="N37" s="103">
        <v>6.1</v>
      </c>
      <c r="O37" s="89" t="s">
        <v>48</v>
      </c>
      <c r="P37" s="89">
        <v>4</v>
      </c>
      <c r="Q37" s="89">
        <v>10</v>
      </c>
      <c r="R37" s="89" t="s">
        <v>49</v>
      </c>
      <c r="S37" s="89" t="s">
        <v>50</v>
      </c>
      <c r="T37" s="89" t="s">
        <v>50</v>
      </c>
      <c r="U37" s="89" t="s">
        <v>50</v>
      </c>
      <c r="V37" s="89" t="s">
        <v>50</v>
      </c>
      <c r="W37" s="89" t="s">
        <v>50</v>
      </c>
      <c r="X37" s="89" t="s">
        <v>50</v>
      </c>
      <c r="Y37" s="102" t="s">
        <v>2498</v>
      </c>
    </row>
    <row r="38" spans="1:25" s="361" customFormat="1" x14ac:dyDescent="0.25">
      <c r="A38" s="360">
        <v>43804</v>
      </c>
      <c r="B38" s="361" t="s">
        <v>876</v>
      </c>
      <c r="C38" s="361" t="s">
        <v>62</v>
      </c>
      <c r="D38" s="362">
        <v>38.123010000000001</v>
      </c>
      <c r="E38" s="362">
        <v>-121.90093</v>
      </c>
      <c r="F38" s="361" t="s">
        <v>2499</v>
      </c>
      <c r="G38" s="361" t="s">
        <v>27</v>
      </c>
      <c r="H38" s="361" t="s">
        <v>62</v>
      </c>
      <c r="I38" s="618">
        <v>0.37222222222222223</v>
      </c>
      <c r="J38" s="639">
        <v>4827.25</v>
      </c>
      <c r="K38" s="639">
        <v>11.224999999999998</v>
      </c>
      <c r="L38" s="639">
        <v>31.900000000000002</v>
      </c>
      <c r="M38" s="639">
        <v>0.49249999999999999</v>
      </c>
      <c r="N38" s="639">
        <v>7.1749999999999989</v>
      </c>
      <c r="O38" s="361" t="s">
        <v>48</v>
      </c>
      <c r="P38" s="361">
        <v>4</v>
      </c>
      <c r="Q38" s="361">
        <v>10</v>
      </c>
      <c r="R38" s="361" t="s">
        <v>64</v>
      </c>
      <c r="S38" s="640" t="s">
        <v>50</v>
      </c>
      <c r="T38" s="640" t="s">
        <v>50</v>
      </c>
      <c r="U38" s="641" t="s">
        <v>50</v>
      </c>
      <c r="V38" s="640" t="s">
        <v>50</v>
      </c>
      <c r="W38" s="640" t="s">
        <v>50</v>
      </c>
      <c r="X38" s="641" t="s">
        <v>50</v>
      </c>
      <c r="Y38" s="366"/>
    </row>
    <row r="39" spans="1:25" s="97" customFormat="1" x14ac:dyDescent="0.25">
      <c r="A39" s="637">
        <v>43808</v>
      </c>
      <c r="B39" s="97" t="s">
        <v>43</v>
      </c>
      <c r="C39" s="97" t="s">
        <v>88</v>
      </c>
      <c r="D39" s="98">
        <v>38.111690000000003</v>
      </c>
      <c r="E39" s="98">
        <v>-121.69019</v>
      </c>
      <c r="F39" s="97" t="s">
        <v>2500</v>
      </c>
      <c r="G39" s="97" t="s">
        <v>27</v>
      </c>
      <c r="H39" s="97" t="s">
        <v>91</v>
      </c>
      <c r="I39" s="621">
        <v>0.31458333333333333</v>
      </c>
      <c r="J39" s="100">
        <v>740.5</v>
      </c>
      <c r="K39" s="100">
        <v>11.3</v>
      </c>
      <c r="L39" s="100">
        <v>9.9824999999999999</v>
      </c>
      <c r="M39" s="100">
        <v>1.1424999999999998</v>
      </c>
      <c r="N39" s="101">
        <v>6.125</v>
      </c>
      <c r="O39" s="97" t="s">
        <v>48</v>
      </c>
      <c r="P39" s="97">
        <v>4</v>
      </c>
      <c r="Q39" s="97">
        <v>10</v>
      </c>
      <c r="R39" s="97" t="s">
        <v>49</v>
      </c>
      <c r="S39" s="89" t="s">
        <v>50</v>
      </c>
      <c r="T39" s="89" t="s">
        <v>50</v>
      </c>
      <c r="U39" s="89" t="s">
        <v>50</v>
      </c>
      <c r="V39" s="89" t="s">
        <v>50</v>
      </c>
      <c r="W39" s="89" t="s">
        <v>50</v>
      </c>
      <c r="X39" s="89" t="s">
        <v>50</v>
      </c>
      <c r="Y39" s="102" t="s">
        <v>2501</v>
      </c>
    </row>
    <row r="40" spans="1:25" s="97" customFormat="1" x14ac:dyDescent="0.25">
      <c r="A40" s="637">
        <v>43808</v>
      </c>
      <c r="B40" s="97" t="s">
        <v>43</v>
      </c>
      <c r="C40" s="97" t="s">
        <v>88</v>
      </c>
      <c r="D40" s="98">
        <v>38.099420000000002</v>
      </c>
      <c r="E40" s="98">
        <v>-121.71907</v>
      </c>
      <c r="F40" s="97" t="s">
        <v>2502</v>
      </c>
      <c r="G40" s="97" t="s">
        <v>27</v>
      </c>
      <c r="H40" s="97" t="s">
        <v>91</v>
      </c>
      <c r="I40" s="621">
        <v>0.38055555555555554</v>
      </c>
      <c r="J40" s="100">
        <v>362.47499999999997</v>
      </c>
      <c r="K40" s="100">
        <v>11.4</v>
      </c>
      <c r="L40" s="100">
        <v>9.004999999999999</v>
      </c>
      <c r="M40" s="100">
        <v>1.2249999999999999</v>
      </c>
      <c r="N40" s="101">
        <v>6.625</v>
      </c>
      <c r="O40" s="97" t="s">
        <v>48</v>
      </c>
      <c r="P40" s="97">
        <v>4</v>
      </c>
      <c r="Q40" s="97">
        <v>10</v>
      </c>
      <c r="R40" s="97" t="s">
        <v>64</v>
      </c>
      <c r="S40" s="89" t="s">
        <v>50</v>
      </c>
      <c r="T40" s="89" t="s">
        <v>50</v>
      </c>
      <c r="U40" s="89" t="s">
        <v>50</v>
      </c>
      <c r="V40" s="89" t="s">
        <v>50</v>
      </c>
      <c r="W40" s="89" t="s">
        <v>50</v>
      </c>
      <c r="X40" s="89" t="s">
        <v>50</v>
      </c>
      <c r="Y40" s="102"/>
    </row>
    <row r="41" spans="1:25" s="97" customFormat="1" x14ac:dyDescent="0.25">
      <c r="A41" s="637">
        <v>43808</v>
      </c>
      <c r="B41" s="97" t="s">
        <v>43</v>
      </c>
      <c r="C41" s="97" t="s">
        <v>88</v>
      </c>
      <c r="D41" s="98">
        <v>38.123980000000003</v>
      </c>
      <c r="E41" s="98">
        <v>-121.69235999999999</v>
      </c>
      <c r="F41" s="97" t="s">
        <v>2503</v>
      </c>
      <c r="G41" s="97" t="s">
        <v>27</v>
      </c>
      <c r="H41" s="97" t="s">
        <v>91</v>
      </c>
      <c r="I41" s="621">
        <v>0.4381944444444445</v>
      </c>
      <c r="J41" s="100">
        <v>272.52499999999998</v>
      </c>
      <c r="K41" s="100">
        <v>11.65</v>
      </c>
      <c r="L41" s="100">
        <v>12.535</v>
      </c>
      <c r="M41" s="100">
        <v>1.1425000000000001</v>
      </c>
      <c r="N41" s="101">
        <v>3.375</v>
      </c>
      <c r="O41" s="97" t="s">
        <v>48</v>
      </c>
      <c r="P41" s="97">
        <v>4</v>
      </c>
      <c r="Q41" s="97">
        <v>10</v>
      </c>
      <c r="R41" s="97" t="s">
        <v>64</v>
      </c>
      <c r="S41" s="89" t="s">
        <v>50</v>
      </c>
      <c r="T41" s="89" t="s">
        <v>50</v>
      </c>
      <c r="U41" s="89" t="s">
        <v>50</v>
      </c>
      <c r="V41" s="89" t="s">
        <v>50</v>
      </c>
      <c r="W41" s="89" t="s">
        <v>50</v>
      </c>
      <c r="X41" s="89" t="s">
        <v>50</v>
      </c>
      <c r="Y41" s="102"/>
    </row>
    <row r="42" spans="1:25" s="97" customFormat="1" x14ac:dyDescent="0.25">
      <c r="A42" s="637">
        <v>43808</v>
      </c>
      <c r="B42" s="97" t="s">
        <v>43</v>
      </c>
      <c r="C42" s="97" t="s">
        <v>95</v>
      </c>
      <c r="D42" s="98">
        <v>38.018239999999999</v>
      </c>
      <c r="E42" s="98">
        <v>-121.80148</v>
      </c>
      <c r="F42" s="97" t="s">
        <v>2504</v>
      </c>
      <c r="G42" s="97" t="s">
        <v>27</v>
      </c>
      <c r="H42" s="97" t="s">
        <v>863</v>
      </c>
      <c r="I42" s="621">
        <v>0.33333333333333331</v>
      </c>
      <c r="J42" s="100">
        <v>2615.25</v>
      </c>
      <c r="K42" s="100">
        <v>11.700000000000001</v>
      </c>
      <c r="L42" s="100">
        <v>9.8524999999999991</v>
      </c>
      <c r="M42" s="100">
        <v>0.85749999999999993</v>
      </c>
      <c r="N42" s="101">
        <v>13.324999999999999</v>
      </c>
      <c r="O42" s="97" t="s">
        <v>48</v>
      </c>
      <c r="P42" s="97">
        <v>4</v>
      </c>
      <c r="Q42" s="97">
        <v>10</v>
      </c>
      <c r="R42" s="97" t="s">
        <v>49</v>
      </c>
      <c r="S42" s="89" t="s">
        <v>50</v>
      </c>
      <c r="T42" s="89" t="s">
        <v>50</v>
      </c>
      <c r="U42" s="89" t="s">
        <v>50</v>
      </c>
      <c r="V42" s="89" t="s">
        <v>50</v>
      </c>
      <c r="W42" s="89" t="s">
        <v>50</v>
      </c>
      <c r="X42" s="89" t="s">
        <v>50</v>
      </c>
      <c r="Y42" s="102"/>
    </row>
    <row r="43" spans="1:25" s="97" customFormat="1" x14ac:dyDescent="0.25">
      <c r="A43" s="194">
        <v>43808</v>
      </c>
      <c r="B43" s="97" t="s">
        <v>43</v>
      </c>
      <c r="C43" s="97" t="s">
        <v>95</v>
      </c>
      <c r="D43" s="98">
        <v>38.028010000000002</v>
      </c>
      <c r="E43" s="98">
        <v>-121.76065</v>
      </c>
      <c r="F43" s="97" t="s">
        <v>2505</v>
      </c>
      <c r="G43" s="97" t="s">
        <v>27</v>
      </c>
      <c r="H43" s="97" t="s">
        <v>863</v>
      </c>
      <c r="I43" s="621">
        <v>0.38750000000000001</v>
      </c>
      <c r="J43" s="103">
        <v>1812</v>
      </c>
      <c r="K43" s="103">
        <v>11.549999999999999</v>
      </c>
      <c r="L43" s="103">
        <v>14</v>
      </c>
      <c r="M43" s="103">
        <v>0.92999999999999994</v>
      </c>
      <c r="N43" s="103">
        <v>12.625000000000002</v>
      </c>
      <c r="O43" s="34" t="s">
        <v>48</v>
      </c>
      <c r="P43" s="34">
        <v>4</v>
      </c>
      <c r="Q43" s="34">
        <v>10</v>
      </c>
      <c r="R43" s="34" t="s">
        <v>64</v>
      </c>
      <c r="S43" s="89" t="s">
        <v>50</v>
      </c>
      <c r="T43" s="89" t="s">
        <v>50</v>
      </c>
      <c r="U43" s="89" t="s">
        <v>50</v>
      </c>
      <c r="V43" s="89" t="s">
        <v>50</v>
      </c>
      <c r="W43" s="89" t="s">
        <v>50</v>
      </c>
      <c r="X43" s="89" t="s">
        <v>50</v>
      </c>
      <c r="Y43" s="102"/>
    </row>
    <row r="44" spans="1:25" s="97" customFormat="1" x14ac:dyDescent="0.25">
      <c r="A44" s="194">
        <v>43808</v>
      </c>
      <c r="B44" s="97" t="s">
        <v>43</v>
      </c>
      <c r="C44" s="97" t="s">
        <v>95</v>
      </c>
      <c r="D44" s="98">
        <v>38.02863</v>
      </c>
      <c r="E44" s="98">
        <v>-121.74258</v>
      </c>
      <c r="F44" s="97" t="s">
        <v>2506</v>
      </c>
      <c r="G44" s="97" t="s">
        <v>27</v>
      </c>
      <c r="H44" s="97" t="s">
        <v>863</v>
      </c>
      <c r="I44" s="621">
        <v>0.44027777777777777</v>
      </c>
      <c r="J44" s="100">
        <v>2028.25</v>
      </c>
      <c r="K44" s="100">
        <v>11.7</v>
      </c>
      <c r="L44" s="100">
        <v>13.225</v>
      </c>
      <c r="M44" s="100">
        <v>0.80999999999999994</v>
      </c>
      <c r="N44" s="101">
        <v>9.8000000000000007</v>
      </c>
      <c r="O44" s="97" t="s">
        <v>48</v>
      </c>
      <c r="P44" s="97">
        <v>4</v>
      </c>
      <c r="Q44" s="97">
        <v>10</v>
      </c>
      <c r="R44" s="97" t="s">
        <v>64</v>
      </c>
      <c r="S44" s="89" t="s">
        <v>50</v>
      </c>
      <c r="T44" s="89" t="s">
        <v>50</v>
      </c>
      <c r="U44" s="89" t="s">
        <v>50</v>
      </c>
      <c r="V44" s="89" t="s">
        <v>50</v>
      </c>
      <c r="W44" s="89" t="s">
        <v>50</v>
      </c>
      <c r="X44" s="89" t="s">
        <v>50</v>
      </c>
      <c r="Y44" s="102" t="s">
        <v>2507</v>
      </c>
    </row>
    <row r="45" spans="1:25" s="97" customFormat="1" x14ac:dyDescent="0.25">
      <c r="A45" s="194">
        <v>43808</v>
      </c>
      <c r="B45" s="97" t="s">
        <v>43</v>
      </c>
      <c r="C45" s="97" t="s">
        <v>95</v>
      </c>
      <c r="D45" s="98">
        <v>38.018790000000003</v>
      </c>
      <c r="E45" s="98">
        <v>-121.7077</v>
      </c>
      <c r="F45" s="97" t="s">
        <v>2508</v>
      </c>
      <c r="G45" s="97" t="s">
        <v>27</v>
      </c>
      <c r="H45" s="97" t="s">
        <v>863</v>
      </c>
      <c r="I45" s="621">
        <v>0.49374999999999997</v>
      </c>
      <c r="J45" s="100">
        <v>1394.5</v>
      </c>
      <c r="K45" s="100">
        <v>11.925000000000001</v>
      </c>
      <c r="L45" s="100">
        <v>14.925000000000001</v>
      </c>
      <c r="M45" s="100">
        <v>0.89</v>
      </c>
      <c r="N45" s="101">
        <v>2.8750000000000004</v>
      </c>
      <c r="O45" s="97" t="s">
        <v>48</v>
      </c>
      <c r="P45" s="97">
        <v>4</v>
      </c>
      <c r="Q45" s="97">
        <v>10</v>
      </c>
      <c r="R45" s="97" t="s">
        <v>64</v>
      </c>
      <c r="S45" s="89" t="s">
        <v>50</v>
      </c>
      <c r="T45" s="89" t="s">
        <v>50</v>
      </c>
      <c r="U45" s="89" t="s">
        <v>50</v>
      </c>
      <c r="V45" s="89" t="s">
        <v>50</v>
      </c>
      <c r="W45" s="89" t="s">
        <v>50</v>
      </c>
      <c r="X45" s="89" t="s">
        <v>50</v>
      </c>
      <c r="Y45" s="102"/>
    </row>
    <row r="46" spans="1:25" s="214" customFormat="1" x14ac:dyDescent="0.25">
      <c r="A46" s="645">
        <v>43808</v>
      </c>
      <c r="B46" s="214" t="s">
        <v>43</v>
      </c>
      <c r="C46" s="214" t="s">
        <v>62</v>
      </c>
      <c r="D46" s="646">
        <v>38.17848</v>
      </c>
      <c r="E46" s="646">
        <v>-122.05077</v>
      </c>
      <c r="F46" s="214" t="s">
        <v>2509</v>
      </c>
      <c r="G46" s="214" t="s">
        <v>27</v>
      </c>
      <c r="H46" s="214" t="s">
        <v>62</v>
      </c>
      <c r="I46" s="647">
        <v>0.37361111111111112</v>
      </c>
      <c r="J46" s="648">
        <v>10959.75</v>
      </c>
      <c r="K46" s="648">
        <v>11.975</v>
      </c>
      <c r="L46" s="648">
        <v>91.75</v>
      </c>
      <c r="M46" s="648">
        <v>0.31</v>
      </c>
      <c r="N46" s="649">
        <v>4.45</v>
      </c>
      <c r="O46" s="214" t="s">
        <v>48</v>
      </c>
      <c r="P46" s="214">
        <v>4</v>
      </c>
      <c r="Q46" s="214">
        <v>10</v>
      </c>
      <c r="R46" s="214" t="s">
        <v>64</v>
      </c>
      <c r="S46" s="553" t="s">
        <v>31</v>
      </c>
      <c r="T46" s="549">
        <v>6</v>
      </c>
      <c r="U46" s="550" t="s">
        <v>2510</v>
      </c>
      <c r="V46" s="549" t="s">
        <v>66</v>
      </c>
      <c r="W46" s="206" t="s">
        <v>50</v>
      </c>
      <c r="X46" s="206" t="s">
        <v>50</v>
      </c>
      <c r="Y46" s="650"/>
    </row>
    <row r="47" spans="1:25" s="97" customFormat="1" x14ac:dyDescent="0.25">
      <c r="A47" s="194">
        <v>43808</v>
      </c>
      <c r="B47" s="97" t="s">
        <v>43</v>
      </c>
      <c r="C47" s="97" t="s">
        <v>62</v>
      </c>
      <c r="D47" s="98">
        <v>38.149839999999998</v>
      </c>
      <c r="E47" s="98">
        <v>-122.05539</v>
      </c>
      <c r="F47" s="97" t="s">
        <v>2511</v>
      </c>
      <c r="G47" s="97" t="s">
        <v>27</v>
      </c>
      <c r="H47" s="97" t="s">
        <v>62</v>
      </c>
      <c r="I47" s="621">
        <v>0.4284722222222222</v>
      </c>
      <c r="J47" s="100">
        <v>16504.5</v>
      </c>
      <c r="K47" s="100">
        <v>11.825000000000001</v>
      </c>
      <c r="L47" s="100">
        <v>53.150000000000006</v>
      </c>
      <c r="M47" s="100">
        <v>0.47000000000000003</v>
      </c>
      <c r="N47" s="101">
        <v>10.85</v>
      </c>
      <c r="O47" s="97" t="s">
        <v>48</v>
      </c>
      <c r="P47" s="97">
        <v>4</v>
      </c>
      <c r="Q47" s="97">
        <v>10</v>
      </c>
      <c r="R47" s="97" t="s">
        <v>64</v>
      </c>
      <c r="S47" s="89" t="s">
        <v>50</v>
      </c>
      <c r="T47" s="89" t="s">
        <v>50</v>
      </c>
      <c r="U47" s="89" t="s">
        <v>50</v>
      </c>
      <c r="V47" s="89" t="s">
        <v>50</v>
      </c>
      <c r="W47" s="89" t="s">
        <v>50</v>
      </c>
      <c r="X47" s="89" t="s">
        <v>50</v>
      </c>
      <c r="Y47" s="635"/>
    </row>
    <row r="48" spans="1:25" s="97" customFormat="1" x14ac:dyDescent="0.25">
      <c r="A48" s="194">
        <v>43808</v>
      </c>
      <c r="B48" s="97" t="s">
        <v>43</v>
      </c>
      <c r="C48" s="97" t="s">
        <v>62</v>
      </c>
      <c r="D48" s="98">
        <v>38.18712</v>
      </c>
      <c r="E48" s="98">
        <v>-121.92977999999999</v>
      </c>
      <c r="F48" s="97" t="s">
        <v>2512</v>
      </c>
      <c r="G48" s="97" t="s">
        <v>27</v>
      </c>
      <c r="H48" s="97" t="s">
        <v>62</v>
      </c>
      <c r="I48" s="621">
        <v>0.50069444444444444</v>
      </c>
      <c r="J48" s="103">
        <v>8002.25</v>
      </c>
      <c r="K48" s="103">
        <v>12.5</v>
      </c>
      <c r="L48" s="103">
        <v>51.525000000000006</v>
      </c>
      <c r="M48" s="103">
        <v>0.51249999999999996</v>
      </c>
      <c r="N48" s="103">
        <v>5.2750000000000004</v>
      </c>
      <c r="O48" s="97" t="s">
        <v>48</v>
      </c>
      <c r="P48" s="97">
        <v>4</v>
      </c>
      <c r="Q48" s="97">
        <v>10</v>
      </c>
      <c r="R48" s="34" t="s">
        <v>64</v>
      </c>
      <c r="S48" s="98" t="s">
        <v>50</v>
      </c>
      <c r="T48" s="98" t="s">
        <v>50</v>
      </c>
      <c r="U48" s="98" t="s">
        <v>50</v>
      </c>
      <c r="V48" s="98" t="s">
        <v>50</v>
      </c>
      <c r="W48" s="98" t="s">
        <v>50</v>
      </c>
      <c r="X48" s="98" t="s">
        <v>50</v>
      </c>
      <c r="Y48" s="102"/>
    </row>
    <row r="49" spans="1:25" s="591" customFormat="1" x14ac:dyDescent="0.25">
      <c r="A49" s="590">
        <v>43809</v>
      </c>
      <c r="B49" s="591" t="s">
        <v>70</v>
      </c>
      <c r="C49" s="591" t="s">
        <v>106</v>
      </c>
      <c r="D49" s="592">
        <v>38.366480000000003</v>
      </c>
      <c r="E49" s="592">
        <v>-121.63326000000001</v>
      </c>
      <c r="F49" s="591" t="s">
        <v>2513</v>
      </c>
      <c r="G49" s="591" t="s">
        <v>90</v>
      </c>
      <c r="H49" s="591" t="s">
        <v>362</v>
      </c>
      <c r="I49" s="619">
        <v>0.33333333333333331</v>
      </c>
      <c r="J49" s="593">
        <v>428.1</v>
      </c>
      <c r="K49" s="593">
        <v>11.9</v>
      </c>
      <c r="L49" s="593">
        <v>68.349999999999994</v>
      </c>
      <c r="M49" s="593">
        <v>0.215</v>
      </c>
      <c r="N49" s="594">
        <v>10.050000000000001</v>
      </c>
      <c r="O49" s="591" t="s">
        <v>48</v>
      </c>
      <c r="P49" s="591">
        <v>2</v>
      </c>
      <c r="Q49" s="591">
        <v>10</v>
      </c>
      <c r="R49" s="591" t="s">
        <v>49</v>
      </c>
      <c r="S49" s="559" t="s">
        <v>323</v>
      </c>
      <c r="T49" s="560">
        <v>1</v>
      </c>
      <c r="U49" s="561">
        <v>76</v>
      </c>
      <c r="V49" s="560" t="s">
        <v>66</v>
      </c>
      <c r="W49" s="560" t="s">
        <v>50</v>
      </c>
      <c r="X49" s="561" t="s">
        <v>50</v>
      </c>
      <c r="Y49" s="595" t="s">
        <v>2514</v>
      </c>
    </row>
    <row r="50" spans="1:25" s="97" customFormat="1" x14ac:dyDescent="0.25">
      <c r="A50" s="194">
        <v>43809</v>
      </c>
      <c r="B50" s="97" t="s">
        <v>70</v>
      </c>
      <c r="C50" s="97" t="s">
        <v>106</v>
      </c>
      <c r="D50" s="98">
        <v>38.239060000000002</v>
      </c>
      <c r="E50" s="98">
        <v>-121.67261999999999</v>
      </c>
      <c r="F50" s="97" t="s">
        <v>2515</v>
      </c>
      <c r="G50" s="97" t="s">
        <v>90</v>
      </c>
      <c r="H50" s="97" t="s">
        <v>362</v>
      </c>
      <c r="I50" s="621">
        <v>0.39097222222222222</v>
      </c>
      <c r="J50" s="100">
        <v>211.42500000000001</v>
      </c>
      <c r="K50" s="100">
        <v>11.875</v>
      </c>
      <c r="L50" s="100">
        <v>20.5</v>
      </c>
      <c r="M50" s="100">
        <v>0.88250000000000006</v>
      </c>
      <c r="N50" s="101">
        <v>10.75</v>
      </c>
      <c r="O50" s="97" t="s">
        <v>48</v>
      </c>
      <c r="P50" s="97">
        <v>4</v>
      </c>
      <c r="Q50" s="97">
        <v>10</v>
      </c>
      <c r="R50" s="97" t="s">
        <v>49</v>
      </c>
      <c r="S50" s="89" t="s">
        <v>50</v>
      </c>
      <c r="T50" s="89" t="s">
        <v>50</v>
      </c>
      <c r="U50" s="89" t="s">
        <v>50</v>
      </c>
      <c r="V50" s="89" t="s">
        <v>50</v>
      </c>
      <c r="W50" s="89" t="s">
        <v>50</v>
      </c>
      <c r="X50" s="89" t="s">
        <v>50</v>
      </c>
      <c r="Y50" s="102"/>
    </row>
    <row r="51" spans="1:25" s="97" customFormat="1" x14ac:dyDescent="0.25">
      <c r="A51" s="194">
        <v>43809</v>
      </c>
      <c r="B51" s="97" t="s">
        <v>70</v>
      </c>
      <c r="C51" s="97" t="s">
        <v>106</v>
      </c>
      <c r="D51" s="98">
        <v>38.231450000000002</v>
      </c>
      <c r="E51" s="98">
        <v>-121.67531</v>
      </c>
      <c r="F51" s="97" t="s">
        <v>2516</v>
      </c>
      <c r="G51" s="97" t="s">
        <v>90</v>
      </c>
      <c r="H51" s="97" t="s">
        <v>362</v>
      </c>
      <c r="I51" s="621">
        <v>0.44236111111111115</v>
      </c>
      <c r="J51" s="103">
        <v>207.125</v>
      </c>
      <c r="K51" s="103">
        <v>12.075000000000001</v>
      </c>
      <c r="L51" s="103">
        <v>14.650000000000002</v>
      </c>
      <c r="M51" s="103">
        <v>0.96499999999999997</v>
      </c>
      <c r="N51" s="103">
        <v>10.774999999999999</v>
      </c>
      <c r="O51" s="97" t="s">
        <v>48</v>
      </c>
      <c r="P51" s="97">
        <v>4</v>
      </c>
      <c r="Q51" s="97">
        <v>10</v>
      </c>
      <c r="R51" s="34" t="s">
        <v>64</v>
      </c>
      <c r="S51" s="89" t="s">
        <v>50</v>
      </c>
      <c r="T51" s="89" t="s">
        <v>50</v>
      </c>
      <c r="U51" s="89" t="s">
        <v>50</v>
      </c>
      <c r="V51" s="89" t="s">
        <v>50</v>
      </c>
      <c r="W51" s="89" t="s">
        <v>50</v>
      </c>
      <c r="X51" s="89" t="s">
        <v>50</v>
      </c>
      <c r="Y51" s="102"/>
    </row>
    <row r="52" spans="1:25" s="97" customFormat="1" x14ac:dyDescent="0.25">
      <c r="A52" s="194">
        <v>43809</v>
      </c>
      <c r="B52" s="97" t="s">
        <v>70</v>
      </c>
      <c r="C52" s="97" t="s">
        <v>95</v>
      </c>
      <c r="D52" s="98">
        <v>38.073900000000002</v>
      </c>
      <c r="E52" s="98">
        <v>-121.67937000000001</v>
      </c>
      <c r="F52" s="97" t="s">
        <v>2517</v>
      </c>
      <c r="G52" s="97" t="s">
        <v>46</v>
      </c>
      <c r="H52" s="89" t="s">
        <v>908</v>
      </c>
      <c r="I52" s="621">
        <v>0.32500000000000001</v>
      </c>
      <c r="J52" s="103">
        <v>700.25</v>
      </c>
      <c r="K52" s="103">
        <v>11.525</v>
      </c>
      <c r="L52" s="103">
        <v>23.2</v>
      </c>
      <c r="M52" s="103">
        <v>1.2275</v>
      </c>
      <c r="N52" s="103">
        <v>5.7750000000000004</v>
      </c>
      <c r="O52" s="97" t="s">
        <v>48</v>
      </c>
      <c r="P52" s="97">
        <v>4</v>
      </c>
      <c r="Q52" s="97">
        <v>10</v>
      </c>
      <c r="R52" s="34" t="s">
        <v>49</v>
      </c>
      <c r="S52" s="89" t="s">
        <v>50</v>
      </c>
      <c r="T52" s="89" t="s">
        <v>50</v>
      </c>
      <c r="U52" s="89" t="s">
        <v>50</v>
      </c>
      <c r="V52" s="89" t="s">
        <v>50</v>
      </c>
      <c r="W52" s="89" t="s">
        <v>50</v>
      </c>
      <c r="X52" s="89" t="s">
        <v>50</v>
      </c>
      <c r="Y52" s="102" t="s">
        <v>2518</v>
      </c>
    </row>
    <row r="53" spans="1:25" s="97" customFormat="1" x14ac:dyDescent="0.25">
      <c r="A53" s="194">
        <v>43809</v>
      </c>
      <c r="B53" s="97" t="s">
        <v>70</v>
      </c>
      <c r="C53" s="97" t="s">
        <v>95</v>
      </c>
      <c r="D53" s="98">
        <v>38.062309999999997</v>
      </c>
      <c r="E53" s="98">
        <v>-121.54644</v>
      </c>
      <c r="F53" s="97" t="s">
        <v>2519</v>
      </c>
      <c r="G53" s="97" t="s">
        <v>46</v>
      </c>
      <c r="H53" s="89" t="s">
        <v>115</v>
      </c>
      <c r="I53" s="621">
        <v>0.41250000000000003</v>
      </c>
      <c r="J53" s="100">
        <v>258.27500000000003</v>
      </c>
      <c r="K53" s="100">
        <v>11.724999999999998</v>
      </c>
      <c r="L53" s="100">
        <v>36.700000000000003</v>
      </c>
      <c r="M53" s="100">
        <v>0.67500000000000004</v>
      </c>
      <c r="N53" s="101">
        <v>5.6749999999999998</v>
      </c>
      <c r="O53" s="97" t="s">
        <v>48</v>
      </c>
      <c r="P53" s="97">
        <v>4</v>
      </c>
      <c r="Q53" s="97">
        <v>10</v>
      </c>
      <c r="R53" s="97" t="s">
        <v>49</v>
      </c>
      <c r="S53" s="89" t="s">
        <v>50</v>
      </c>
      <c r="T53" s="89" t="s">
        <v>50</v>
      </c>
      <c r="U53" s="89" t="s">
        <v>50</v>
      </c>
      <c r="V53" s="89" t="s">
        <v>50</v>
      </c>
      <c r="W53" s="89" t="s">
        <v>50</v>
      </c>
      <c r="X53" s="89" t="s">
        <v>50</v>
      </c>
      <c r="Y53" s="102"/>
    </row>
    <row r="54" spans="1:25" s="97" customFormat="1" x14ac:dyDescent="0.25">
      <c r="A54" s="194">
        <v>43809</v>
      </c>
      <c r="B54" s="97" t="s">
        <v>70</v>
      </c>
      <c r="C54" s="97" t="s">
        <v>95</v>
      </c>
      <c r="D54" s="98">
        <v>38.091209999999997</v>
      </c>
      <c r="E54" s="98">
        <v>-121.57657</v>
      </c>
      <c r="F54" s="97" t="s">
        <v>2520</v>
      </c>
      <c r="G54" s="97" t="s">
        <v>46</v>
      </c>
      <c r="H54" s="89" t="s">
        <v>115</v>
      </c>
      <c r="I54" s="621">
        <v>0.47291666666666665</v>
      </c>
      <c r="J54" s="100">
        <v>253.25</v>
      </c>
      <c r="K54" s="100">
        <v>11.7</v>
      </c>
      <c r="L54" s="100">
        <v>34.924999999999997</v>
      </c>
      <c r="M54" s="100">
        <v>1.4375</v>
      </c>
      <c r="N54" s="101">
        <v>11.825000000000001</v>
      </c>
      <c r="O54" s="97" t="s">
        <v>48</v>
      </c>
      <c r="P54" s="97">
        <v>4</v>
      </c>
      <c r="Q54" s="97">
        <v>10</v>
      </c>
      <c r="R54" s="97" t="s">
        <v>64</v>
      </c>
      <c r="S54" s="89" t="s">
        <v>50</v>
      </c>
      <c r="T54" s="89" t="s">
        <v>50</v>
      </c>
      <c r="U54" s="89" t="s">
        <v>50</v>
      </c>
      <c r="V54" s="89" t="s">
        <v>50</v>
      </c>
      <c r="W54" s="89" t="s">
        <v>50</v>
      </c>
      <c r="X54" s="89" t="s">
        <v>50</v>
      </c>
      <c r="Y54" s="102" t="s">
        <v>2521</v>
      </c>
    </row>
    <row r="55" spans="1:25" s="97" customFormat="1" x14ac:dyDescent="0.25">
      <c r="A55" s="194">
        <v>43809</v>
      </c>
      <c r="B55" s="97" t="s">
        <v>70</v>
      </c>
      <c r="C55" s="97" t="s">
        <v>78</v>
      </c>
      <c r="D55" s="98">
        <v>38.071719999999999</v>
      </c>
      <c r="E55" s="98">
        <v>-122.01544</v>
      </c>
      <c r="F55" s="97" t="s">
        <v>2522</v>
      </c>
      <c r="G55" s="97" t="s">
        <v>27</v>
      </c>
      <c r="H55" s="97" t="s">
        <v>86</v>
      </c>
      <c r="I55" s="621">
        <v>0.34513888888888888</v>
      </c>
      <c r="J55" s="100">
        <v>10455.75</v>
      </c>
      <c r="K55" s="100">
        <v>11.6</v>
      </c>
      <c r="L55" s="100">
        <v>16.05</v>
      </c>
      <c r="M55" s="100">
        <v>0.71499999999999986</v>
      </c>
      <c r="N55" s="101">
        <v>8.6750000000000007</v>
      </c>
      <c r="O55" s="97" t="s">
        <v>48</v>
      </c>
      <c r="P55" s="97">
        <v>4</v>
      </c>
      <c r="Q55" s="97">
        <v>10</v>
      </c>
      <c r="R55" s="97" t="s">
        <v>49</v>
      </c>
      <c r="S55" s="98" t="s">
        <v>50</v>
      </c>
      <c r="T55" s="98" t="s">
        <v>50</v>
      </c>
      <c r="U55" s="98" t="s">
        <v>50</v>
      </c>
      <c r="V55" s="98" t="s">
        <v>50</v>
      </c>
      <c r="W55" s="98" t="s">
        <v>50</v>
      </c>
      <c r="X55" s="98" t="s">
        <v>50</v>
      </c>
      <c r="Y55" s="102"/>
    </row>
    <row r="56" spans="1:25" s="97" customFormat="1" x14ac:dyDescent="0.25">
      <c r="A56" s="194">
        <v>43809</v>
      </c>
      <c r="B56" s="97" t="s">
        <v>70</v>
      </c>
      <c r="C56" s="97" t="s">
        <v>78</v>
      </c>
      <c r="D56" s="98">
        <v>38.08802</v>
      </c>
      <c r="E56" s="98">
        <v>-122.07941</v>
      </c>
      <c r="F56" s="97" t="s">
        <v>2523</v>
      </c>
      <c r="G56" s="97" t="s">
        <v>80</v>
      </c>
      <c r="H56" s="97" t="s">
        <v>81</v>
      </c>
      <c r="I56" s="621">
        <v>0.40069444444444446</v>
      </c>
      <c r="J56" s="100">
        <v>16066.25</v>
      </c>
      <c r="K56" s="100">
        <v>11.824999999999999</v>
      </c>
      <c r="L56" s="100">
        <v>18.225000000000001</v>
      </c>
      <c r="M56" s="100">
        <v>0.67249999999999999</v>
      </c>
      <c r="N56" s="101">
        <v>10.95</v>
      </c>
      <c r="O56" s="97" t="s">
        <v>48</v>
      </c>
      <c r="P56" s="97">
        <v>4</v>
      </c>
      <c r="Q56" s="97">
        <v>10</v>
      </c>
      <c r="R56" s="97" t="s">
        <v>64</v>
      </c>
      <c r="S56" s="89" t="s">
        <v>50</v>
      </c>
      <c r="T56" s="89" t="s">
        <v>50</v>
      </c>
      <c r="U56" s="89" t="s">
        <v>50</v>
      </c>
      <c r="V56" s="89" t="s">
        <v>50</v>
      </c>
      <c r="W56" s="89" t="s">
        <v>50</v>
      </c>
      <c r="X56" s="89" t="s">
        <v>50</v>
      </c>
      <c r="Y56" s="102"/>
    </row>
    <row r="57" spans="1:25" s="214" customFormat="1" x14ac:dyDescent="0.25">
      <c r="A57" s="645">
        <v>43809</v>
      </c>
      <c r="B57" s="214" t="s">
        <v>70</v>
      </c>
      <c r="C57" s="214" t="s">
        <v>78</v>
      </c>
      <c r="D57" s="646">
        <v>38.094700000000003</v>
      </c>
      <c r="E57" s="646">
        <v>-122.02512</v>
      </c>
      <c r="F57" s="214" t="s">
        <v>2524</v>
      </c>
      <c r="G57" s="214" t="s">
        <v>27</v>
      </c>
      <c r="H57" s="214" t="s">
        <v>86</v>
      </c>
      <c r="I57" s="647">
        <v>0.45208333333333334</v>
      </c>
      <c r="J57" s="648">
        <v>14556</v>
      </c>
      <c r="K57" s="648">
        <v>11.724999999999998</v>
      </c>
      <c r="L57" s="648">
        <v>20.350000000000001</v>
      </c>
      <c r="M57" s="648">
        <v>0.625</v>
      </c>
      <c r="N57" s="649">
        <v>9.1750000000000007</v>
      </c>
      <c r="O57" s="214" t="s">
        <v>48</v>
      </c>
      <c r="P57" s="214">
        <v>4</v>
      </c>
      <c r="Q57" s="214">
        <v>10</v>
      </c>
      <c r="R57" s="214" t="s">
        <v>64</v>
      </c>
      <c r="S57" s="553" t="s">
        <v>348</v>
      </c>
      <c r="T57" s="549">
        <v>1</v>
      </c>
      <c r="U57" s="550">
        <v>140</v>
      </c>
      <c r="V57" s="549" t="s">
        <v>50</v>
      </c>
      <c r="W57" s="549">
        <v>5</v>
      </c>
      <c r="X57" s="437" t="s">
        <v>2525</v>
      </c>
      <c r="Y57" s="650" t="s">
        <v>1497</v>
      </c>
    </row>
    <row r="58" spans="1:25" s="97" customFormat="1" x14ac:dyDescent="0.25">
      <c r="A58" s="194">
        <v>43810</v>
      </c>
      <c r="B58" s="97" t="s">
        <v>915</v>
      </c>
      <c r="C58" s="97" t="s">
        <v>88</v>
      </c>
      <c r="D58" s="98">
        <v>38.059570000000001</v>
      </c>
      <c r="E58" s="98">
        <v>-121.80192</v>
      </c>
      <c r="F58" s="97" t="s">
        <v>2526</v>
      </c>
      <c r="G58" s="97" t="s">
        <v>27</v>
      </c>
      <c r="H58" s="97" t="s">
        <v>25</v>
      </c>
      <c r="I58" s="621">
        <v>0.32500000000000001</v>
      </c>
      <c r="J58" s="100">
        <v>501.375</v>
      </c>
      <c r="K58" s="100">
        <v>11.725000000000001</v>
      </c>
      <c r="L58" s="100">
        <v>12.875</v>
      </c>
      <c r="M58" s="100">
        <v>0.99749999999999983</v>
      </c>
      <c r="N58" s="101">
        <v>9.5749999999999993</v>
      </c>
      <c r="O58" s="97" t="s">
        <v>48</v>
      </c>
      <c r="P58" s="97">
        <v>4</v>
      </c>
      <c r="Q58" s="97">
        <v>10</v>
      </c>
      <c r="R58" s="97" t="s">
        <v>49</v>
      </c>
      <c r="S58" s="89" t="s">
        <v>50</v>
      </c>
      <c r="T58" s="89" t="s">
        <v>50</v>
      </c>
      <c r="U58" s="89" t="s">
        <v>50</v>
      </c>
      <c r="V58" s="89" t="s">
        <v>50</v>
      </c>
      <c r="W58" s="89" t="s">
        <v>50</v>
      </c>
      <c r="X58" s="89" t="s">
        <v>50</v>
      </c>
      <c r="Y58" s="102"/>
    </row>
    <row r="59" spans="1:25" s="97" customFormat="1" x14ac:dyDescent="0.25">
      <c r="A59" s="194">
        <v>43810</v>
      </c>
      <c r="B59" s="97" t="s">
        <v>915</v>
      </c>
      <c r="C59" s="97" t="s">
        <v>88</v>
      </c>
      <c r="D59" s="98">
        <v>38.072229999999998</v>
      </c>
      <c r="E59" s="98">
        <v>-121.77925999999999</v>
      </c>
      <c r="F59" s="97" t="s">
        <v>2527</v>
      </c>
      <c r="G59" s="97" t="s">
        <v>27</v>
      </c>
      <c r="H59" s="97" t="s">
        <v>25</v>
      </c>
      <c r="I59" s="621">
        <v>0.36944444444444446</v>
      </c>
      <c r="J59" s="100">
        <v>226.77499999999998</v>
      </c>
      <c r="K59" s="100">
        <v>11.975</v>
      </c>
      <c r="L59" s="100">
        <v>16.174999999999997</v>
      </c>
      <c r="M59" s="100">
        <v>1.0225</v>
      </c>
      <c r="N59" s="101">
        <v>6.25</v>
      </c>
      <c r="O59" s="97" t="s">
        <v>48</v>
      </c>
      <c r="P59" s="97">
        <v>4</v>
      </c>
      <c r="Q59" s="97">
        <v>10</v>
      </c>
      <c r="R59" s="97" t="s">
        <v>49</v>
      </c>
      <c r="S59" s="89" t="s">
        <v>50</v>
      </c>
      <c r="T59" s="89" t="s">
        <v>50</v>
      </c>
      <c r="U59" s="89" t="s">
        <v>50</v>
      </c>
      <c r="V59" s="89" t="s">
        <v>50</v>
      </c>
      <c r="W59" s="89" t="s">
        <v>50</v>
      </c>
      <c r="X59" s="89" t="s">
        <v>50</v>
      </c>
      <c r="Y59" s="102" t="s">
        <v>2528</v>
      </c>
    </row>
    <row r="60" spans="1:25" s="97" customFormat="1" x14ac:dyDescent="0.25">
      <c r="A60" s="194">
        <v>43810</v>
      </c>
      <c r="B60" s="97" t="s">
        <v>915</v>
      </c>
      <c r="C60" s="97" t="s">
        <v>88</v>
      </c>
      <c r="D60" s="98">
        <v>38.074489999999997</v>
      </c>
      <c r="E60" s="98">
        <v>-121.77191000000001</v>
      </c>
      <c r="F60" s="97" t="s">
        <v>2529</v>
      </c>
      <c r="G60" s="97" t="s">
        <v>27</v>
      </c>
      <c r="H60" s="97" t="s">
        <v>25</v>
      </c>
      <c r="I60" s="621">
        <v>0.42291666666666666</v>
      </c>
      <c r="J60" s="103">
        <v>241.375</v>
      </c>
      <c r="K60" s="103">
        <v>11.975</v>
      </c>
      <c r="L60" s="103">
        <v>11.574999999999999</v>
      </c>
      <c r="M60" s="103">
        <v>1.1975</v>
      </c>
      <c r="N60" s="103">
        <v>10.299999999999999</v>
      </c>
      <c r="O60" s="97" t="s">
        <v>48</v>
      </c>
      <c r="P60" s="97">
        <v>4</v>
      </c>
      <c r="Q60" s="97">
        <v>10</v>
      </c>
      <c r="R60" s="34" t="s">
        <v>64</v>
      </c>
      <c r="S60" s="89" t="s">
        <v>50</v>
      </c>
      <c r="T60" s="89" t="s">
        <v>50</v>
      </c>
      <c r="U60" s="89" t="s">
        <v>50</v>
      </c>
      <c r="V60" s="89" t="s">
        <v>50</v>
      </c>
      <c r="W60" s="89" t="s">
        <v>50</v>
      </c>
      <c r="X60" s="89" t="s">
        <v>50</v>
      </c>
      <c r="Y60" s="102"/>
    </row>
    <row r="61" spans="1:25" s="97" customFormat="1" x14ac:dyDescent="0.25">
      <c r="A61" s="194">
        <v>43810</v>
      </c>
      <c r="B61" s="97" t="s">
        <v>915</v>
      </c>
      <c r="C61" s="97" t="s">
        <v>88</v>
      </c>
      <c r="D61" s="98">
        <v>38.105730000000001</v>
      </c>
      <c r="E61" s="98">
        <v>-121.72154</v>
      </c>
      <c r="F61" s="97" t="s">
        <v>2530</v>
      </c>
      <c r="G61" s="97" t="s">
        <v>90</v>
      </c>
      <c r="H61" s="97" t="s">
        <v>91</v>
      </c>
      <c r="I61" s="621">
        <v>0.47361111111111115</v>
      </c>
      <c r="J61" s="103">
        <v>199.15</v>
      </c>
      <c r="K61" s="103">
        <v>12.2</v>
      </c>
      <c r="L61" s="103">
        <v>13.2</v>
      </c>
      <c r="M61" s="103">
        <v>1.25</v>
      </c>
      <c r="N61" s="103">
        <v>8.8500000000000014</v>
      </c>
      <c r="O61" s="97" t="s">
        <v>48</v>
      </c>
      <c r="P61" s="97">
        <v>4</v>
      </c>
      <c r="Q61" s="97">
        <v>10</v>
      </c>
      <c r="R61" s="34" t="s">
        <v>64</v>
      </c>
      <c r="S61" s="89" t="s">
        <v>50</v>
      </c>
      <c r="T61" s="89" t="s">
        <v>50</v>
      </c>
      <c r="U61" s="89" t="s">
        <v>50</v>
      </c>
      <c r="V61" s="89" t="s">
        <v>50</v>
      </c>
      <c r="W61" s="89" t="s">
        <v>50</v>
      </c>
      <c r="X61" s="89" t="s">
        <v>50</v>
      </c>
      <c r="Y61" s="102"/>
    </row>
    <row r="62" spans="1:25" s="153" customFormat="1" x14ac:dyDescent="0.25">
      <c r="A62" s="195">
        <v>43810</v>
      </c>
      <c r="B62" s="153" t="s">
        <v>915</v>
      </c>
      <c r="C62" s="153" t="s">
        <v>44</v>
      </c>
      <c r="D62" s="154">
        <v>38.01764</v>
      </c>
      <c r="E62" s="154">
        <v>-121.65214</v>
      </c>
      <c r="F62" s="153" t="s">
        <v>2531</v>
      </c>
      <c r="G62" s="153" t="s">
        <v>46</v>
      </c>
      <c r="H62" s="153" t="s">
        <v>47</v>
      </c>
      <c r="I62" s="636">
        <v>0.375</v>
      </c>
      <c r="J62" s="197" t="s">
        <v>50</v>
      </c>
      <c r="K62" s="197" t="s">
        <v>50</v>
      </c>
      <c r="L62" s="197" t="s">
        <v>50</v>
      </c>
      <c r="M62" s="197" t="s">
        <v>50</v>
      </c>
      <c r="N62" s="197" t="s">
        <v>50</v>
      </c>
      <c r="O62" s="149" t="s">
        <v>48</v>
      </c>
      <c r="P62" s="149">
        <v>0</v>
      </c>
      <c r="Q62" s="149" t="s">
        <v>50</v>
      </c>
      <c r="R62" s="149" t="s">
        <v>50</v>
      </c>
      <c r="S62" s="149" t="s">
        <v>50</v>
      </c>
      <c r="T62" s="149" t="s">
        <v>50</v>
      </c>
      <c r="U62" s="149" t="s">
        <v>50</v>
      </c>
      <c r="V62" s="149" t="s">
        <v>50</v>
      </c>
      <c r="W62" s="149" t="s">
        <v>50</v>
      </c>
      <c r="X62" s="149" t="s">
        <v>50</v>
      </c>
      <c r="Y62" s="152" t="s">
        <v>2532</v>
      </c>
    </row>
    <row r="63" spans="1:25" s="97" customFormat="1" x14ac:dyDescent="0.25">
      <c r="A63" s="194">
        <v>43810</v>
      </c>
      <c r="B63" s="97" t="s">
        <v>915</v>
      </c>
      <c r="C63" s="97" t="s">
        <v>44</v>
      </c>
      <c r="D63" s="98">
        <v>37.887729999999998</v>
      </c>
      <c r="E63" s="98">
        <v>-121.57581999999999</v>
      </c>
      <c r="F63" s="97" t="s">
        <v>2533</v>
      </c>
      <c r="G63" s="97" t="s">
        <v>46</v>
      </c>
      <c r="H63" s="97" t="s">
        <v>202</v>
      </c>
      <c r="I63" s="621">
        <v>0.4916666666666667</v>
      </c>
      <c r="J63" s="100">
        <v>293.625</v>
      </c>
      <c r="K63" s="100">
        <v>12</v>
      </c>
      <c r="L63" s="100">
        <v>5.4949999999999992</v>
      </c>
      <c r="M63" s="100">
        <v>1.7874999999999999</v>
      </c>
      <c r="N63" s="101">
        <v>6.2249999999999996</v>
      </c>
      <c r="O63" s="97" t="s">
        <v>48</v>
      </c>
      <c r="P63" s="97">
        <v>4</v>
      </c>
      <c r="Q63" s="34">
        <v>10</v>
      </c>
      <c r="R63" s="97" t="s">
        <v>64</v>
      </c>
      <c r="S63" s="89" t="s">
        <v>50</v>
      </c>
      <c r="T63" s="89" t="s">
        <v>50</v>
      </c>
      <c r="U63" s="89" t="s">
        <v>50</v>
      </c>
      <c r="V63" s="89" t="s">
        <v>50</v>
      </c>
      <c r="W63" s="89" t="s">
        <v>50</v>
      </c>
      <c r="X63" s="89" t="s">
        <v>50</v>
      </c>
      <c r="Y63" s="102"/>
    </row>
    <row r="64" spans="1:25" s="97" customFormat="1" x14ac:dyDescent="0.25">
      <c r="A64" s="194">
        <v>43810</v>
      </c>
      <c r="B64" s="97" t="s">
        <v>915</v>
      </c>
      <c r="C64" s="97" t="s">
        <v>44</v>
      </c>
      <c r="D64" s="98">
        <v>38.045589999999997</v>
      </c>
      <c r="E64" s="98">
        <v>-121.5843</v>
      </c>
      <c r="F64" s="97" t="s">
        <v>2534</v>
      </c>
      <c r="G64" s="97" t="s">
        <v>46</v>
      </c>
      <c r="H64" s="97" t="s">
        <v>47</v>
      </c>
      <c r="I64" s="621">
        <v>0.39861111111111108</v>
      </c>
      <c r="J64" s="100">
        <v>333.04999999999995</v>
      </c>
      <c r="K64" s="100">
        <v>11.85</v>
      </c>
      <c r="L64" s="100">
        <v>3.5475000000000003</v>
      </c>
      <c r="M64" s="100">
        <v>1.8</v>
      </c>
      <c r="N64" s="101">
        <v>4.0750000000000002</v>
      </c>
      <c r="O64" s="97" t="s">
        <v>48</v>
      </c>
      <c r="P64" s="97">
        <v>4</v>
      </c>
      <c r="Q64" s="97">
        <v>10</v>
      </c>
      <c r="R64" s="97" t="s">
        <v>49</v>
      </c>
      <c r="S64" s="89" t="s">
        <v>50</v>
      </c>
      <c r="T64" s="89" t="s">
        <v>50</v>
      </c>
      <c r="U64" s="89" t="s">
        <v>50</v>
      </c>
      <c r="V64" s="89" t="s">
        <v>50</v>
      </c>
      <c r="W64" s="89" t="s">
        <v>50</v>
      </c>
      <c r="X64" s="89" t="s">
        <v>50</v>
      </c>
      <c r="Y64" s="102"/>
    </row>
    <row r="65" spans="1:25" s="97" customFormat="1" x14ac:dyDescent="0.25">
      <c r="A65" s="194">
        <v>43810</v>
      </c>
      <c r="B65" s="97" t="s">
        <v>915</v>
      </c>
      <c r="C65" s="97" t="s">
        <v>78</v>
      </c>
      <c r="D65" s="98">
        <v>38.052579999999999</v>
      </c>
      <c r="E65" s="98">
        <v>-122.05135</v>
      </c>
      <c r="F65" s="97" t="s">
        <v>2535</v>
      </c>
      <c r="G65" s="97" t="s">
        <v>27</v>
      </c>
      <c r="H65" s="97" t="s">
        <v>86</v>
      </c>
      <c r="I65" s="621">
        <v>0.3659722222222222</v>
      </c>
      <c r="J65" s="100">
        <v>13692.25</v>
      </c>
      <c r="K65" s="100">
        <v>11.850000000000001</v>
      </c>
      <c r="L65" s="100">
        <v>16.2</v>
      </c>
      <c r="M65" s="100">
        <v>0.73499999999999988</v>
      </c>
      <c r="N65" s="100">
        <v>8.5500000000000007</v>
      </c>
      <c r="O65" s="97" t="s">
        <v>48</v>
      </c>
      <c r="P65" s="97">
        <v>4</v>
      </c>
      <c r="Q65" s="97">
        <v>10</v>
      </c>
      <c r="R65" s="97" t="s">
        <v>49</v>
      </c>
      <c r="S65" s="89" t="s">
        <v>50</v>
      </c>
      <c r="T65" s="89" t="s">
        <v>50</v>
      </c>
      <c r="U65" s="89" t="s">
        <v>50</v>
      </c>
      <c r="V65" s="89" t="s">
        <v>50</v>
      </c>
      <c r="W65" s="89" t="s">
        <v>50</v>
      </c>
      <c r="X65" s="89" t="s">
        <v>50</v>
      </c>
      <c r="Y65" s="102"/>
    </row>
    <row r="66" spans="1:25" s="97" customFormat="1" x14ac:dyDescent="0.25">
      <c r="A66" s="194">
        <v>43810</v>
      </c>
      <c r="B66" s="97" t="s">
        <v>915</v>
      </c>
      <c r="C66" s="97" t="s">
        <v>78</v>
      </c>
      <c r="D66" s="98">
        <v>38.056249999999999</v>
      </c>
      <c r="E66" s="98">
        <v>-121.98245</v>
      </c>
      <c r="F66" s="97" t="s">
        <v>2536</v>
      </c>
      <c r="G66" s="97" t="s">
        <v>27</v>
      </c>
      <c r="H66" s="97" t="s">
        <v>86</v>
      </c>
      <c r="I66" s="621">
        <v>0.42222222222222222</v>
      </c>
      <c r="J66" s="100">
        <v>8821.5</v>
      </c>
      <c r="K66" s="100">
        <v>11.7</v>
      </c>
      <c r="L66" s="100">
        <v>15.5</v>
      </c>
      <c r="M66" s="100">
        <v>0.77500000000000002</v>
      </c>
      <c r="N66" s="100">
        <v>8.0749999999999993</v>
      </c>
      <c r="O66" s="97" t="s">
        <v>48</v>
      </c>
      <c r="P66" s="97">
        <v>4</v>
      </c>
      <c r="Q66" s="97">
        <v>10</v>
      </c>
      <c r="R66" s="97" t="s">
        <v>64</v>
      </c>
      <c r="S66" s="89" t="s">
        <v>50</v>
      </c>
      <c r="T66" s="89" t="s">
        <v>50</v>
      </c>
      <c r="U66" s="89" t="s">
        <v>50</v>
      </c>
      <c r="V66" s="89" t="s">
        <v>50</v>
      </c>
      <c r="W66" s="89" t="s">
        <v>50</v>
      </c>
      <c r="X66" s="89" t="s">
        <v>50</v>
      </c>
      <c r="Y66" s="102"/>
    </row>
    <row r="67" spans="1:25" s="97" customFormat="1" x14ac:dyDescent="0.25">
      <c r="A67" s="194">
        <v>43810</v>
      </c>
      <c r="B67" s="97" t="s">
        <v>915</v>
      </c>
      <c r="C67" s="97" t="s">
        <v>78</v>
      </c>
      <c r="D67" s="98">
        <v>38.053649999999998</v>
      </c>
      <c r="E67" s="98">
        <v>-121.96044999999999</v>
      </c>
      <c r="F67" s="97" t="s">
        <v>2537</v>
      </c>
      <c r="G67" s="97" t="s">
        <v>27</v>
      </c>
      <c r="H67" s="97" t="s">
        <v>170</v>
      </c>
      <c r="I67" s="621">
        <v>0.46875</v>
      </c>
      <c r="J67" s="100">
        <v>8492.75</v>
      </c>
      <c r="K67" s="100">
        <v>11.7</v>
      </c>
      <c r="L67" s="100">
        <v>15.675000000000001</v>
      </c>
      <c r="M67" s="100">
        <v>0.78750000000000009</v>
      </c>
      <c r="N67" s="100">
        <v>11.75</v>
      </c>
      <c r="O67" s="97" t="s">
        <v>48</v>
      </c>
      <c r="P67" s="97">
        <v>4</v>
      </c>
      <c r="Q67" s="97">
        <v>10</v>
      </c>
      <c r="R67" s="97" t="s">
        <v>64</v>
      </c>
      <c r="S67" s="89" t="s">
        <v>50</v>
      </c>
      <c r="T67" s="89" t="s">
        <v>50</v>
      </c>
      <c r="U67" s="89" t="s">
        <v>50</v>
      </c>
      <c r="V67" s="89" t="s">
        <v>50</v>
      </c>
      <c r="W67" s="89" t="s">
        <v>50</v>
      </c>
      <c r="X67" s="89" t="s">
        <v>50</v>
      </c>
      <c r="Y67" s="102"/>
    </row>
    <row r="68" spans="1:25" s="97" customFormat="1" x14ac:dyDescent="0.25">
      <c r="A68" s="194">
        <v>43810</v>
      </c>
      <c r="B68" s="97" t="s">
        <v>915</v>
      </c>
      <c r="C68" s="97" t="s">
        <v>78</v>
      </c>
      <c r="D68" s="98">
        <v>38.04636</v>
      </c>
      <c r="E68" s="98">
        <v>-121.92955000000001</v>
      </c>
      <c r="F68" s="97" t="s">
        <v>2538</v>
      </c>
      <c r="G68" s="97" t="s">
        <v>27</v>
      </c>
      <c r="H68" s="97" t="s">
        <v>101</v>
      </c>
      <c r="I68" s="621">
        <v>0.51597222222222217</v>
      </c>
      <c r="J68" s="100">
        <v>7031.5</v>
      </c>
      <c r="K68" s="100">
        <v>11.7</v>
      </c>
      <c r="L68" s="100">
        <v>17.55</v>
      </c>
      <c r="M68" s="100">
        <v>0.69000000000000006</v>
      </c>
      <c r="N68" s="100">
        <v>19.2</v>
      </c>
      <c r="O68" s="97" t="s">
        <v>48</v>
      </c>
      <c r="P68" s="97">
        <v>4</v>
      </c>
      <c r="Q68" s="97">
        <v>10</v>
      </c>
      <c r="R68" s="97" t="s">
        <v>64</v>
      </c>
      <c r="S68" s="89" t="s">
        <v>50</v>
      </c>
      <c r="T68" s="89" t="s">
        <v>50</v>
      </c>
      <c r="U68" s="89" t="s">
        <v>50</v>
      </c>
      <c r="V68" s="89" t="s">
        <v>50</v>
      </c>
      <c r="W68" s="89" t="s">
        <v>50</v>
      </c>
      <c r="X68" s="89" t="s">
        <v>50</v>
      </c>
      <c r="Y68" s="102"/>
    </row>
    <row r="69" spans="1:25" s="97" customFormat="1" x14ac:dyDescent="0.25">
      <c r="A69" s="194">
        <v>43811</v>
      </c>
      <c r="B69" s="97" t="s">
        <v>915</v>
      </c>
      <c r="C69" s="97" t="s">
        <v>126</v>
      </c>
      <c r="D69" s="98">
        <v>38.259140000000002</v>
      </c>
      <c r="E69" s="98">
        <v>-121.7436</v>
      </c>
      <c r="F69" s="97" t="s">
        <v>2539</v>
      </c>
      <c r="G69" s="97" t="s">
        <v>90</v>
      </c>
      <c r="H69" s="97" t="s">
        <v>845</v>
      </c>
      <c r="I69" s="621">
        <v>0.32847222222222222</v>
      </c>
      <c r="J69" s="100">
        <v>212.7</v>
      </c>
      <c r="K69" s="100">
        <v>11.5</v>
      </c>
      <c r="L69" s="100">
        <v>9.61</v>
      </c>
      <c r="M69" s="100">
        <v>1.02</v>
      </c>
      <c r="N69" s="100">
        <v>4.5999999999999996</v>
      </c>
      <c r="O69" s="97" t="s">
        <v>48</v>
      </c>
      <c r="P69" s="97">
        <v>4</v>
      </c>
      <c r="Q69" s="97">
        <v>10</v>
      </c>
      <c r="R69" s="97" t="s">
        <v>49</v>
      </c>
      <c r="S69" s="89" t="s">
        <v>50</v>
      </c>
      <c r="T69" s="89" t="s">
        <v>50</v>
      </c>
      <c r="U69" s="89" t="s">
        <v>50</v>
      </c>
      <c r="V69" s="89" t="s">
        <v>50</v>
      </c>
      <c r="W69" s="89" t="s">
        <v>50</v>
      </c>
      <c r="X69" s="89" t="s">
        <v>50</v>
      </c>
      <c r="Y69" s="102"/>
    </row>
    <row r="70" spans="1:25" s="97" customFormat="1" x14ac:dyDescent="0.25">
      <c r="A70" s="194">
        <v>43811</v>
      </c>
      <c r="B70" s="97" t="s">
        <v>915</v>
      </c>
      <c r="C70" s="97" t="s">
        <v>126</v>
      </c>
      <c r="D70" s="98">
        <v>38.290999999999997</v>
      </c>
      <c r="E70" s="98">
        <v>-121.69273</v>
      </c>
      <c r="F70" s="97" t="s">
        <v>2540</v>
      </c>
      <c r="G70" s="97" t="s">
        <v>90</v>
      </c>
      <c r="H70" s="97" t="s">
        <v>845</v>
      </c>
      <c r="I70" s="621">
        <v>0.38958333333333334</v>
      </c>
      <c r="J70" s="103">
        <v>1012.375</v>
      </c>
      <c r="K70" s="103">
        <v>11.75</v>
      </c>
      <c r="L70" s="103">
        <v>7.5949999999999989</v>
      </c>
      <c r="M70" s="103">
        <v>1.2575000000000001</v>
      </c>
      <c r="N70" s="103">
        <v>6.9749999999999996</v>
      </c>
      <c r="O70" s="97" t="s">
        <v>48</v>
      </c>
      <c r="P70" s="34">
        <v>4</v>
      </c>
      <c r="Q70" s="34">
        <v>10</v>
      </c>
      <c r="R70" s="34" t="s">
        <v>49</v>
      </c>
      <c r="S70" s="89" t="s">
        <v>50</v>
      </c>
      <c r="T70" s="89" t="s">
        <v>50</v>
      </c>
      <c r="U70" s="89" t="s">
        <v>50</v>
      </c>
      <c r="V70" s="89" t="s">
        <v>50</v>
      </c>
      <c r="W70" s="89" t="s">
        <v>50</v>
      </c>
      <c r="X70" s="89" t="s">
        <v>50</v>
      </c>
      <c r="Y70" s="102"/>
    </row>
    <row r="71" spans="1:25" s="97" customFormat="1" x14ac:dyDescent="0.25">
      <c r="A71" s="194">
        <v>43811</v>
      </c>
      <c r="B71" s="97" t="s">
        <v>915</v>
      </c>
      <c r="C71" s="97" t="s">
        <v>126</v>
      </c>
      <c r="D71" s="98">
        <v>38.267629999999997</v>
      </c>
      <c r="E71" s="98">
        <v>-121.69379000000001</v>
      </c>
      <c r="F71" s="97" t="s">
        <v>2541</v>
      </c>
      <c r="G71" s="97" t="s">
        <v>90</v>
      </c>
      <c r="H71" s="97" t="s">
        <v>845</v>
      </c>
      <c r="I71" s="621">
        <v>0.43958333333333338</v>
      </c>
      <c r="J71" s="100">
        <v>243.3</v>
      </c>
      <c r="K71" s="100">
        <v>12.025</v>
      </c>
      <c r="L71" s="100">
        <v>9.1300000000000008</v>
      </c>
      <c r="M71" s="100">
        <v>1.0874999999999999</v>
      </c>
      <c r="N71" s="100">
        <v>5.9249999999999998</v>
      </c>
      <c r="O71" s="97" t="s">
        <v>48</v>
      </c>
      <c r="P71" s="97">
        <v>4</v>
      </c>
      <c r="Q71" s="97">
        <v>10</v>
      </c>
      <c r="R71" s="97" t="s">
        <v>64</v>
      </c>
      <c r="S71" s="89" t="s">
        <v>50</v>
      </c>
      <c r="T71" s="89" t="s">
        <v>50</v>
      </c>
      <c r="U71" s="89" t="s">
        <v>50</v>
      </c>
      <c r="V71" s="89" t="s">
        <v>50</v>
      </c>
      <c r="W71" s="89" t="s">
        <v>50</v>
      </c>
      <c r="X71" s="89" t="s">
        <v>50</v>
      </c>
      <c r="Y71" s="102"/>
    </row>
    <row r="72" spans="1:25" s="97" customFormat="1" x14ac:dyDescent="0.25">
      <c r="A72" s="194">
        <v>43811</v>
      </c>
      <c r="B72" s="97" t="s">
        <v>915</v>
      </c>
      <c r="C72" s="97" t="s">
        <v>118</v>
      </c>
      <c r="D72" s="98">
        <v>38.061770000000003</v>
      </c>
      <c r="E72" s="98">
        <v>-122.28816</v>
      </c>
      <c r="F72" s="97" t="s">
        <v>2542</v>
      </c>
      <c r="G72" s="97" t="s">
        <v>80</v>
      </c>
      <c r="H72" s="97" t="s">
        <v>123</v>
      </c>
      <c r="I72" s="621">
        <v>0.31388888888888888</v>
      </c>
      <c r="J72" s="103">
        <v>25939.5</v>
      </c>
      <c r="K72" s="103">
        <v>12.3</v>
      </c>
      <c r="L72" s="103">
        <v>29.450000000000003</v>
      </c>
      <c r="M72" s="103">
        <v>0.55500000000000005</v>
      </c>
      <c r="N72" s="103">
        <v>9.125</v>
      </c>
      <c r="O72" s="34" t="s">
        <v>48</v>
      </c>
      <c r="P72" s="34">
        <v>4</v>
      </c>
      <c r="Q72" s="34">
        <v>10</v>
      </c>
      <c r="R72" s="34" t="s">
        <v>49</v>
      </c>
      <c r="S72" s="89" t="s">
        <v>50</v>
      </c>
      <c r="T72" s="89" t="s">
        <v>50</v>
      </c>
      <c r="U72" s="89" t="s">
        <v>50</v>
      </c>
      <c r="V72" s="89" t="s">
        <v>50</v>
      </c>
      <c r="W72" s="89" t="s">
        <v>50</v>
      </c>
      <c r="X72" s="89" t="s">
        <v>50</v>
      </c>
      <c r="Y72" s="102" t="s">
        <v>2543</v>
      </c>
    </row>
    <row r="73" spans="1:25" s="97" customFormat="1" x14ac:dyDescent="0.25">
      <c r="A73" s="194">
        <v>43811</v>
      </c>
      <c r="B73" s="97" t="s">
        <v>915</v>
      </c>
      <c r="C73" s="97" t="s">
        <v>118</v>
      </c>
      <c r="D73" s="98">
        <v>38.056739999999998</v>
      </c>
      <c r="E73" s="98">
        <v>-122.32158</v>
      </c>
      <c r="F73" s="97" t="s">
        <v>2544</v>
      </c>
      <c r="G73" s="97" t="s">
        <v>80</v>
      </c>
      <c r="H73" s="97" t="s">
        <v>123</v>
      </c>
      <c r="I73" s="621">
        <v>0.3611111111111111</v>
      </c>
      <c r="J73" s="103">
        <v>28594</v>
      </c>
      <c r="K73" s="103">
        <v>12.375</v>
      </c>
      <c r="L73" s="103">
        <v>23</v>
      </c>
      <c r="M73" s="103">
        <v>0.73250000000000004</v>
      </c>
      <c r="N73" s="103">
        <v>6.9499999999999993</v>
      </c>
      <c r="O73" s="34" t="s">
        <v>48</v>
      </c>
      <c r="P73" s="34">
        <v>4</v>
      </c>
      <c r="Q73" s="34">
        <v>10</v>
      </c>
      <c r="R73" s="34" t="s">
        <v>49</v>
      </c>
      <c r="S73" s="89" t="s">
        <v>50</v>
      </c>
      <c r="T73" s="89" t="s">
        <v>50</v>
      </c>
      <c r="U73" s="89" t="s">
        <v>50</v>
      </c>
      <c r="V73" s="89" t="s">
        <v>50</v>
      </c>
      <c r="W73" s="89" t="s">
        <v>50</v>
      </c>
      <c r="X73" s="89" t="s">
        <v>50</v>
      </c>
      <c r="Y73" s="102"/>
    </row>
    <row r="74" spans="1:25" s="97" customFormat="1" x14ac:dyDescent="0.25">
      <c r="A74" s="194">
        <v>43811</v>
      </c>
      <c r="B74" s="97" t="s">
        <v>915</v>
      </c>
      <c r="C74" s="97" t="s">
        <v>118</v>
      </c>
      <c r="D74" s="98">
        <v>38.038919999999997</v>
      </c>
      <c r="E74" s="98">
        <v>-122.29398</v>
      </c>
      <c r="F74" s="97" t="s">
        <v>2545</v>
      </c>
      <c r="G74" s="97" t="s">
        <v>80</v>
      </c>
      <c r="H74" s="97" t="s">
        <v>123</v>
      </c>
      <c r="I74" s="621">
        <v>0.41250000000000003</v>
      </c>
      <c r="J74" s="103">
        <v>34679.5</v>
      </c>
      <c r="K74" s="103">
        <v>12.600000000000001</v>
      </c>
      <c r="L74" s="103">
        <v>41.075000000000003</v>
      </c>
      <c r="M74" s="103">
        <v>0.4975</v>
      </c>
      <c r="N74" s="103">
        <v>3.95</v>
      </c>
      <c r="O74" s="34" t="s">
        <v>48</v>
      </c>
      <c r="P74" s="34">
        <v>4</v>
      </c>
      <c r="Q74" s="34">
        <v>10</v>
      </c>
      <c r="R74" s="34" t="s">
        <v>64</v>
      </c>
      <c r="S74" s="89" t="s">
        <v>50</v>
      </c>
      <c r="T74" s="89" t="s">
        <v>50</v>
      </c>
      <c r="U74" s="89" t="s">
        <v>50</v>
      </c>
      <c r="V74" s="89" t="s">
        <v>50</v>
      </c>
      <c r="W74" s="89" t="s">
        <v>50</v>
      </c>
      <c r="X74" s="89" t="s">
        <v>50</v>
      </c>
      <c r="Y74" s="102"/>
    </row>
    <row r="75" spans="1:25" s="97" customFormat="1" x14ac:dyDescent="0.25">
      <c r="A75" s="194">
        <v>43811</v>
      </c>
      <c r="B75" s="97" t="s">
        <v>915</v>
      </c>
      <c r="C75" s="34" t="s">
        <v>44</v>
      </c>
      <c r="D75" s="34">
        <v>38.015140000000002</v>
      </c>
      <c r="E75" s="34">
        <v>-121.56872</v>
      </c>
      <c r="F75" s="34" t="s">
        <v>2546</v>
      </c>
      <c r="G75" s="34" t="s">
        <v>46</v>
      </c>
      <c r="H75" s="34" t="s">
        <v>74</v>
      </c>
      <c r="I75" s="621">
        <v>0.31805555555555554</v>
      </c>
      <c r="J75" s="103">
        <v>287.25</v>
      </c>
      <c r="K75" s="103">
        <v>11.675000000000001</v>
      </c>
      <c r="L75" s="103">
        <v>4.1399999999999997</v>
      </c>
      <c r="M75" s="103" t="s">
        <v>2547</v>
      </c>
      <c r="N75" s="103">
        <v>6.875</v>
      </c>
      <c r="O75" s="34" t="s">
        <v>48</v>
      </c>
      <c r="P75" s="34">
        <v>4</v>
      </c>
      <c r="Q75" s="34">
        <v>10</v>
      </c>
      <c r="R75" s="34" t="s">
        <v>49</v>
      </c>
      <c r="S75" s="98" t="s">
        <v>50</v>
      </c>
      <c r="T75" s="98" t="s">
        <v>50</v>
      </c>
      <c r="U75" s="98" t="s">
        <v>50</v>
      </c>
      <c r="V75" s="98" t="s">
        <v>50</v>
      </c>
      <c r="W75" s="98" t="s">
        <v>50</v>
      </c>
      <c r="X75" s="98" t="s">
        <v>50</v>
      </c>
      <c r="Y75" s="102" t="s">
        <v>2548</v>
      </c>
    </row>
    <row r="76" spans="1:25" s="97" customFormat="1" x14ac:dyDescent="0.25">
      <c r="A76" s="194">
        <v>43811</v>
      </c>
      <c r="B76" s="97" t="s">
        <v>915</v>
      </c>
      <c r="C76" s="34" t="s">
        <v>44</v>
      </c>
      <c r="D76" s="34">
        <v>37.971670000000003</v>
      </c>
      <c r="E76" s="34">
        <v>-121.52624</v>
      </c>
      <c r="F76" s="34" t="s">
        <v>2549</v>
      </c>
      <c r="G76" s="34" t="s">
        <v>46</v>
      </c>
      <c r="H76" s="34" t="s">
        <v>59</v>
      </c>
      <c r="I76" s="621">
        <v>0.40972222222222227</v>
      </c>
      <c r="J76" s="103">
        <v>418.27499999999998</v>
      </c>
      <c r="K76" s="103">
        <v>12.1</v>
      </c>
      <c r="L76" s="103">
        <v>6.5224999999999991</v>
      </c>
      <c r="M76" s="103">
        <v>1.6525000000000001</v>
      </c>
      <c r="N76" s="103">
        <v>7</v>
      </c>
      <c r="O76" s="34" t="s">
        <v>48</v>
      </c>
      <c r="P76" s="34">
        <v>4</v>
      </c>
      <c r="Q76" s="34">
        <v>10</v>
      </c>
      <c r="R76" s="34" t="s">
        <v>49</v>
      </c>
      <c r="S76" s="89" t="s">
        <v>50</v>
      </c>
      <c r="T76" s="89" t="s">
        <v>50</v>
      </c>
      <c r="U76" s="89" t="s">
        <v>50</v>
      </c>
      <c r="V76" s="89" t="s">
        <v>50</v>
      </c>
      <c r="W76" s="89" t="s">
        <v>50</v>
      </c>
      <c r="X76" s="89" t="s">
        <v>50</v>
      </c>
      <c r="Y76" s="102" t="s">
        <v>2550</v>
      </c>
    </row>
    <row r="77" spans="1:25" s="97" customFormat="1" x14ac:dyDescent="0.25">
      <c r="A77" s="194">
        <v>43811</v>
      </c>
      <c r="B77" s="97" t="s">
        <v>915</v>
      </c>
      <c r="C77" s="34" t="s">
        <v>44</v>
      </c>
      <c r="D77" s="34">
        <v>37.918309999999998</v>
      </c>
      <c r="E77" s="34">
        <v>-121.58408</v>
      </c>
      <c r="F77" s="34" t="s">
        <v>2551</v>
      </c>
      <c r="G77" s="34" t="s">
        <v>46</v>
      </c>
      <c r="H77" s="34" t="s">
        <v>423</v>
      </c>
      <c r="I77" s="621">
        <v>0.49305555555555558</v>
      </c>
      <c r="J77" s="103">
        <v>290.875</v>
      </c>
      <c r="K77" s="103">
        <v>12.2</v>
      </c>
      <c r="L77" s="103">
        <v>3.3574999999999999</v>
      </c>
      <c r="M77" s="103" t="s">
        <v>2547</v>
      </c>
      <c r="N77" s="103">
        <v>3.3</v>
      </c>
      <c r="O77" s="34" t="s">
        <v>48</v>
      </c>
      <c r="P77" s="34">
        <v>4</v>
      </c>
      <c r="Q77" s="34">
        <v>10</v>
      </c>
      <c r="R77" s="34" t="s">
        <v>49</v>
      </c>
      <c r="S77" s="89" t="s">
        <v>50</v>
      </c>
      <c r="T77" s="89" t="s">
        <v>50</v>
      </c>
      <c r="U77" s="89" t="s">
        <v>50</v>
      </c>
      <c r="V77" s="89" t="s">
        <v>50</v>
      </c>
      <c r="W77" s="89" t="s">
        <v>50</v>
      </c>
      <c r="X77" s="89" t="s">
        <v>50</v>
      </c>
      <c r="Y77" s="102" t="s">
        <v>2552</v>
      </c>
    </row>
    <row r="78" spans="1:25" s="283" customFormat="1" x14ac:dyDescent="0.25">
      <c r="A78" s="350">
        <v>43811</v>
      </c>
      <c r="B78" s="283" t="s">
        <v>915</v>
      </c>
      <c r="C78" s="288" t="s">
        <v>44</v>
      </c>
      <c r="D78" s="288">
        <v>37.992780000000003</v>
      </c>
      <c r="E78" s="288">
        <v>-121.52052999999999</v>
      </c>
      <c r="F78" s="288" t="s">
        <v>2553</v>
      </c>
      <c r="G78" s="288" t="s">
        <v>46</v>
      </c>
      <c r="H78" s="288" t="s">
        <v>59</v>
      </c>
      <c r="I78" s="616">
        <v>0.4694444444444445</v>
      </c>
      <c r="J78" s="368" t="s">
        <v>50</v>
      </c>
      <c r="K78" s="368" t="s">
        <v>50</v>
      </c>
      <c r="L78" s="368" t="s">
        <v>50</v>
      </c>
      <c r="M78" s="368" t="s">
        <v>50</v>
      </c>
      <c r="N78" s="368" t="s">
        <v>50</v>
      </c>
      <c r="O78" s="283" t="s">
        <v>48</v>
      </c>
      <c r="P78" s="283">
        <v>0</v>
      </c>
      <c r="Q78" s="283" t="s">
        <v>50</v>
      </c>
      <c r="R78" s="283" t="s">
        <v>50</v>
      </c>
      <c r="S78" s="283" t="s">
        <v>50</v>
      </c>
      <c r="T78" s="283" t="s">
        <v>50</v>
      </c>
      <c r="U78" s="283" t="s">
        <v>50</v>
      </c>
      <c r="V78" s="283" t="s">
        <v>50</v>
      </c>
      <c r="W78" s="283" t="s">
        <v>50</v>
      </c>
      <c r="X78" s="283" t="s">
        <v>50</v>
      </c>
      <c r="Y78" s="290" t="s">
        <v>2554</v>
      </c>
    </row>
    <row r="79" spans="1:25" s="97" customFormat="1" x14ac:dyDescent="0.25">
      <c r="A79" s="194">
        <v>43815</v>
      </c>
      <c r="B79" s="97" t="s">
        <v>43</v>
      </c>
      <c r="C79" s="34" t="s">
        <v>44</v>
      </c>
      <c r="D79" s="34">
        <v>37.976030000000002</v>
      </c>
      <c r="E79" s="34">
        <v>-121.59508</v>
      </c>
      <c r="F79" s="34" t="s">
        <v>2555</v>
      </c>
      <c r="G79" s="34" t="s">
        <v>46</v>
      </c>
      <c r="H79" s="34" t="s">
        <v>423</v>
      </c>
      <c r="I79" s="621">
        <v>0.33611111111111108</v>
      </c>
      <c r="J79" s="103">
        <v>379.57499999999999</v>
      </c>
      <c r="K79" s="103">
        <v>11.35</v>
      </c>
      <c r="L79" s="103">
        <v>8.3925000000000001</v>
      </c>
      <c r="M79" s="103">
        <v>1.77</v>
      </c>
      <c r="N79" s="103">
        <v>2.7749999999999999</v>
      </c>
      <c r="O79" s="34" t="s">
        <v>48</v>
      </c>
      <c r="P79" s="34">
        <v>4</v>
      </c>
      <c r="Q79" s="34">
        <v>10</v>
      </c>
      <c r="R79" s="34" t="s">
        <v>64</v>
      </c>
      <c r="S79" s="49" t="s">
        <v>50</v>
      </c>
      <c r="T79" s="49" t="s">
        <v>50</v>
      </c>
      <c r="U79" s="34" t="s">
        <v>50</v>
      </c>
      <c r="V79" s="49" t="s">
        <v>50</v>
      </c>
      <c r="W79" s="49" t="s">
        <v>50</v>
      </c>
      <c r="X79" s="34" t="s">
        <v>50</v>
      </c>
      <c r="Y79" s="102" t="s">
        <v>2556</v>
      </c>
    </row>
    <row r="80" spans="1:25" s="97" customFormat="1" x14ac:dyDescent="0.25">
      <c r="A80" s="194">
        <v>43815</v>
      </c>
      <c r="B80" s="97" t="s">
        <v>43</v>
      </c>
      <c r="C80" s="34" t="s">
        <v>44</v>
      </c>
      <c r="D80" s="34">
        <v>38.039729999999999</v>
      </c>
      <c r="E80" s="34">
        <v>-121.59013</v>
      </c>
      <c r="F80" s="34" t="s">
        <v>2557</v>
      </c>
      <c r="G80" s="34" t="s">
        <v>46</v>
      </c>
      <c r="H80" s="34" t="s">
        <v>47</v>
      </c>
      <c r="I80" s="621">
        <v>0.40208333333333335</v>
      </c>
      <c r="J80" s="103">
        <v>441.56666666666666</v>
      </c>
      <c r="K80" s="103">
        <v>11.1</v>
      </c>
      <c r="L80" s="103">
        <v>9.2066666666666652</v>
      </c>
      <c r="M80" s="103">
        <v>1.1466666666666667</v>
      </c>
      <c r="N80" s="103">
        <v>2.5333333333333332</v>
      </c>
      <c r="O80" s="34" t="s">
        <v>48</v>
      </c>
      <c r="P80" s="34">
        <v>3</v>
      </c>
      <c r="Q80" s="34">
        <v>10</v>
      </c>
      <c r="R80" s="34" t="s">
        <v>49</v>
      </c>
      <c r="S80" s="49" t="s">
        <v>50</v>
      </c>
      <c r="T80" s="49" t="s">
        <v>50</v>
      </c>
      <c r="U80" s="34" t="s">
        <v>50</v>
      </c>
      <c r="V80" s="49" t="s">
        <v>50</v>
      </c>
      <c r="W80" s="49" t="s">
        <v>50</v>
      </c>
      <c r="X80" s="34" t="s">
        <v>50</v>
      </c>
      <c r="Y80" s="102" t="s">
        <v>2558</v>
      </c>
    </row>
    <row r="81" spans="1:25" s="97" customFormat="1" x14ac:dyDescent="0.25">
      <c r="A81" s="194">
        <v>43815</v>
      </c>
      <c r="B81" s="97" t="s">
        <v>43</v>
      </c>
      <c r="C81" s="34" t="s">
        <v>44</v>
      </c>
      <c r="D81" s="34">
        <v>38.055059999999997</v>
      </c>
      <c r="E81" s="34">
        <v>-121.64803999999999</v>
      </c>
      <c r="F81" s="34" t="s">
        <v>2559</v>
      </c>
      <c r="G81" s="34" t="s">
        <v>46</v>
      </c>
      <c r="H81" s="34" t="s">
        <v>47</v>
      </c>
      <c r="I81" s="621">
        <v>0.45555555555555555</v>
      </c>
      <c r="J81" s="103">
        <v>583.75</v>
      </c>
      <c r="K81" s="103">
        <v>11.5</v>
      </c>
      <c r="L81" s="103">
        <v>9.0449999999999999</v>
      </c>
      <c r="M81" s="103">
        <v>1.415</v>
      </c>
      <c r="N81" s="103">
        <v>8.9250000000000007</v>
      </c>
      <c r="O81" s="34" t="s">
        <v>48</v>
      </c>
      <c r="P81" s="34">
        <v>4</v>
      </c>
      <c r="Q81" s="34">
        <v>10</v>
      </c>
      <c r="R81" s="34" t="s">
        <v>49</v>
      </c>
      <c r="S81" s="89" t="s">
        <v>50</v>
      </c>
      <c r="T81" s="89" t="s">
        <v>50</v>
      </c>
      <c r="U81" s="89" t="s">
        <v>50</v>
      </c>
      <c r="V81" s="89" t="s">
        <v>50</v>
      </c>
      <c r="W81" s="89" t="s">
        <v>50</v>
      </c>
      <c r="X81" s="89" t="s">
        <v>50</v>
      </c>
      <c r="Y81" s="102"/>
    </row>
    <row r="82" spans="1:25" s="214" customFormat="1" x14ac:dyDescent="0.25">
      <c r="A82" s="645">
        <v>43815</v>
      </c>
      <c r="B82" s="214" t="s">
        <v>43</v>
      </c>
      <c r="C82" s="565" t="s">
        <v>126</v>
      </c>
      <c r="D82" s="565">
        <v>38.348170000000003</v>
      </c>
      <c r="E82" s="565">
        <v>-121.64527</v>
      </c>
      <c r="F82" s="565" t="s">
        <v>2560</v>
      </c>
      <c r="G82" s="565" t="s">
        <v>90</v>
      </c>
      <c r="H82" s="565" t="s">
        <v>845</v>
      </c>
      <c r="I82" s="647">
        <v>0.34583333333333338</v>
      </c>
      <c r="J82" s="656">
        <v>672.5</v>
      </c>
      <c r="K82" s="656">
        <v>11.475000000000001</v>
      </c>
      <c r="L82" s="656">
        <v>22.825000000000003</v>
      </c>
      <c r="M82" s="656">
        <v>0.64249999999999996</v>
      </c>
      <c r="N82" s="656">
        <v>5.8000000000000007</v>
      </c>
      <c r="O82" s="565" t="s">
        <v>48</v>
      </c>
      <c r="P82" s="565">
        <v>4</v>
      </c>
      <c r="Q82" s="565">
        <v>10</v>
      </c>
      <c r="R82" s="565" t="s">
        <v>64</v>
      </c>
      <c r="S82" s="572" t="s">
        <v>758</v>
      </c>
      <c r="T82" s="566">
        <v>1</v>
      </c>
      <c r="U82" s="565">
        <v>59</v>
      </c>
      <c r="V82" s="566" t="s">
        <v>50</v>
      </c>
      <c r="W82" s="566">
        <v>5</v>
      </c>
      <c r="X82" s="565" t="s">
        <v>50</v>
      </c>
      <c r="Y82" s="650" t="s">
        <v>2556</v>
      </c>
    </row>
    <row r="83" spans="1:25" s="97" customFormat="1" x14ac:dyDescent="0.25">
      <c r="A83" s="194">
        <v>43815</v>
      </c>
      <c r="B83" s="97" t="s">
        <v>43</v>
      </c>
      <c r="C83" s="34" t="s">
        <v>126</v>
      </c>
      <c r="D83" s="34">
        <v>38.263240000000003</v>
      </c>
      <c r="E83" s="34">
        <v>-121.67076</v>
      </c>
      <c r="F83" s="34" t="s">
        <v>2561</v>
      </c>
      <c r="G83" s="34" t="s">
        <v>90</v>
      </c>
      <c r="H83" s="34" t="s">
        <v>845</v>
      </c>
      <c r="I83" s="621">
        <v>0.40972222222222227</v>
      </c>
      <c r="J83" s="103">
        <v>226.29999999999998</v>
      </c>
      <c r="K83" s="103">
        <v>11.7</v>
      </c>
      <c r="L83" s="103">
        <v>16.95</v>
      </c>
      <c r="M83" s="103">
        <v>0.92999999999999994</v>
      </c>
      <c r="N83" s="103">
        <v>6.65</v>
      </c>
      <c r="O83" s="34" t="s">
        <v>48</v>
      </c>
      <c r="P83" s="34">
        <v>4</v>
      </c>
      <c r="Q83" s="34">
        <v>10</v>
      </c>
      <c r="R83" s="34" t="s">
        <v>49</v>
      </c>
      <c r="S83" s="89" t="s">
        <v>50</v>
      </c>
      <c r="T83" s="89" t="s">
        <v>50</v>
      </c>
      <c r="U83" s="89" t="s">
        <v>50</v>
      </c>
      <c r="V83" s="89" t="s">
        <v>50</v>
      </c>
      <c r="W83" s="89" t="s">
        <v>50</v>
      </c>
      <c r="X83" s="89" t="s">
        <v>50</v>
      </c>
      <c r="Y83" s="102" t="s">
        <v>139</v>
      </c>
    </row>
    <row r="84" spans="1:25" s="97" customFormat="1" x14ac:dyDescent="0.25">
      <c r="A84" s="194">
        <v>43815</v>
      </c>
      <c r="B84" s="97" t="s">
        <v>43</v>
      </c>
      <c r="C84" s="34" t="s">
        <v>126</v>
      </c>
      <c r="D84" s="34">
        <v>38.23677</v>
      </c>
      <c r="E84" s="34">
        <v>-121.68389000000001</v>
      </c>
      <c r="F84" s="34" t="s">
        <v>2562</v>
      </c>
      <c r="G84" s="34" t="s">
        <v>90</v>
      </c>
      <c r="H84" s="34" t="s">
        <v>845</v>
      </c>
      <c r="I84" s="621">
        <v>0.45763888888888887</v>
      </c>
      <c r="J84" s="103">
        <v>215.5</v>
      </c>
      <c r="K84" s="103">
        <v>11.724999999999998</v>
      </c>
      <c r="L84" s="103">
        <v>15.5</v>
      </c>
      <c r="M84" s="103">
        <v>0.85499999999999998</v>
      </c>
      <c r="N84" s="103">
        <v>16.975000000000001</v>
      </c>
      <c r="O84" s="34" t="s">
        <v>48</v>
      </c>
      <c r="P84" s="34">
        <v>4</v>
      </c>
      <c r="Q84" s="34">
        <v>10</v>
      </c>
      <c r="R84" s="34" t="s">
        <v>49</v>
      </c>
      <c r="S84" s="89" t="s">
        <v>50</v>
      </c>
      <c r="T84" s="89" t="s">
        <v>50</v>
      </c>
      <c r="U84" s="89" t="s">
        <v>50</v>
      </c>
      <c r="V84" s="89" t="s">
        <v>50</v>
      </c>
      <c r="W84" s="89" t="s">
        <v>50</v>
      </c>
      <c r="X84" s="89" t="s">
        <v>50</v>
      </c>
      <c r="Y84" s="102"/>
    </row>
    <row r="85" spans="1:25" s="194" customFormat="1" x14ac:dyDescent="0.25">
      <c r="A85" s="194">
        <v>43815</v>
      </c>
      <c r="B85" s="97" t="s">
        <v>43</v>
      </c>
      <c r="C85" s="194" t="s">
        <v>118</v>
      </c>
      <c r="D85" s="98">
        <v>38.12068</v>
      </c>
      <c r="E85" s="98">
        <v>-122.28122999999999</v>
      </c>
      <c r="F85" s="34" t="s">
        <v>2563</v>
      </c>
      <c r="G85" s="194" t="s">
        <v>80</v>
      </c>
      <c r="H85" s="194" t="s">
        <v>191</v>
      </c>
      <c r="I85" s="621">
        <v>0.48194444444444445</v>
      </c>
      <c r="J85" s="100">
        <v>21098</v>
      </c>
      <c r="K85" s="100">
        <v>11.625</v>
      </c>
      <c r="L85" s="100">
        <v>30.524999999999999</v>
      </c>
      <c r="M85" s="100">
        <v>0.44999999999999996</v>
      </c>
      <c r="N85" s="100">
        <v>9.4499999999999993</v>
      </c>
      <c r="O85" s="34" t="s">
        <v>48</v>
      </c>
      <c r="P85" s="34">
        <v>4</v>
      </c>
      <c r="Q85" s="34">
        <v>10</v>
      </c>
      <c r="R85" s="34" t="s">
        <v>64</v>
      </c>
      <c r="S85" s="89" t="s">
        <v>50</v>
      </c>
      <c r="T85" s="89" t="s">
        <v>50</v>
      </c>
      <c r="U85" s="89" t="s">
        <v>50</v>
      </c>
      <c r="V85" s="89" t="s">
        <v>50</v>
      </c>
      <c r="W85" s="89" t="s">
        <v>50</v>
      </c>
      <c r="X85" s="89" t="s">
        <v>50</v>
      </c>
    </row>
    <row r="86" spans="1:25" s="214" customFormat="1" x14ac:dyDescent="0.25">
      <c r="A86" s="645">
        <v>43815</v>
      </c>
      <c r="B86" s="214" t="s">
        <v>43</v>
      </c>
      <c r="C86" s="645" t="s">
        <v>118</v>
      </c>
      <c r="D86" s="646">
        <v>38.043610000000001</v>
      </c>
      <c r="E86" s="646">
        <v>-122.30795000000001</v>
      </c>
      <c r="F86" s="565" t="s">
        <v>2564</v>
      </c>
      <c r="G86" s="645" t="s">
        <v>80</v>
      </c>
      <c r="H86" s="645" t="s">
        <v>123</v>
      </c>
      <c r="I86" s="647">
        <v>0.54027777777777775</v>
      </c>
      <c r="J86" s="648">
        <v>26742.25</v>
      </c>
      <c r="K86" s="648">
        <v>12.225000000000001</v>
      </c>
      <c r="L86" s="648">
        <v>13.725000000000001</v>
      </c>
      <c r="M86" s="648">
        <v>0.6974999999999999</v>
      </c>
      <c r="N86" s="648">
        <v>9.8000000000000007</v>
      </c>
      <c r="O86" s="565" t="s">
        <v>48</v>
      </c>
      <c r="P86" s="565">
        <v>4</v>
      </c>
      <c r="Q86" s="565">
        <v>10</v>
      </c>
      <c r="R86" s="565" t="s">
        <v>64</v>
      </c>
      <c r="S86" s="657" t="s">
        <v>348</v>
      </c>
      <c r="T86" s="566">
        <v>1</v>
      </c>
      <c r="U86" s="646">
        <v>168</v>
      </c>
      <c r="V86" s="645" t="s">
        <v>50</v>
      </c>
      <c r="W86" s="645" t="s">
        <v>50</v>
      </c>
      <c r="X86" s="645" t="s">
        <v>2525</v>
      </c>
      <c r="Y86" s="650"/>
    </row>
    <row r="87" spans="1:25" s="97" customFormat="1" x14ac:dyDescent="0.25">
      <c r="A87" s="194">
        <v>43815</v>
      </c>
      <c r="B87" s="97" t="s">
        <v>43</v>
      </c>
      <c r="C87" s="194" t="s">
        <v>118</v>
      </c>
      <c r="D87" s="98">
        <v>38.056789999999999</v>
      </c>
      <c r="E87" s="98">
        <v>-122.29732</v>
      </c>
      <c r="F87" s="194" t="s">
        <v>2565</v>
      </c>
      <c r="G87" s="194" t="s">
        <v>80</v>
      </c>
      <c r="H87" s="194" t="s">
        <v>123</v>
      </c>
      <c r="I87" s="621">
        <v>0.59236111111111112</v>
      </c>
      <c r="J87" s="103">
        <v>26765.25</v>
      </c>
      <c r="K87" s="103">
        <v>12.149999999999999</v>
      </c>
      <c r="L87" s="103">
        <v>13.55</v>
      </c>
      <c r="M87" s="103">
        <v>0.64999999999999991</v>
      </c>
      <c r="N87" s="103">
        <v>13.149999999999999</v>
      </c>
      <c r="O87" s="34" t="s">
        <v>48</v>
      </c>
      <c r="P87" s="34">
        <v>4</v>
      </c>
      <c r="Q87" s="34">
        <v>10</v>
      </c>
      <c r="R87" s="34" t="s">
        <v>64</v>
      </c>
      <c r="S87" s="89" t="s">
        <v>50</v>
      </c>
      <c r="T87" s="89" t="s">
        <v>50</v>
      </c>
      <c r="U87" s="89" t="s">
        <v>50</v>
      </c>
      <c r="V87" s="89" t="s">
        <v>50</v>
      </c>
      <c r="W87" s="89" t="s">
        <v>50</v>
      </c>
      <c r="X87" s="89" t="s">
        <v>50</v>
      </c>
      <c r="Y87" s="102"/>
    </row>
    <row r="88" spans="1:25" s="591" customFormat="1" x14ac:dyDescent="0.25">
      <c r="A88" s="590">
        <v>43816</v>
      </c>
      <c r="B88" s="590" t="s">
        <v>849</v>
      </c>
      <c r="C88" s="590" t="s">
        <v>106</v>
      </c>
      <c r="D88" s="592">
        <v>38.344769999999997</v>
      </c>
      <c r="E88" s="592">
        <v>-121.64321</v>
      </c>
      <c r="F88" s="568" t="s">
        <v>2566</v>
      </c>
      <c r="G88" s="591" t="s">
        <v>90</v>
      </c>
      <c r="H88" s="591" t="s">
        <v>362</v>
      </c>
      <c r="I88" s="619">
        <v>0.3430555555555555</v>
      </c>
      <c r="J88" s="593">
        <v>317.35000000000002</v>
      </c>
      <c r="K88" s="593">
        <v>11.4</v>
      </c>
      <c r="L88" s="593">
        <v>58.650000000000006</v>
      </c>
      <c r="M88" s="593">
        <v>0.23</v>
      </c>
      <c r="N88" s="593">
        <v>11.049999999999999</v>
      </c>
      <c r="O88" s="591" t="s">
        <v>48</v>
      </c>
      <c r="P88" s="591">
        <v>4</v>
      </c>
      <c r="Q88" s="591">
        <v>10</v>
      </c>
      <c r="R88" s="591" t="s">
        <v>64</v>
      </c>
      <c r="S88" s="658" t="s">
        <v>323</v>
      </c>
      <c r="T88" s="592">
        <v>2</v>
      </c>
      <c r="U88" s="590" t="s">
        <v>2567</v>
      </c>
      <c r="V88" s="590" t="s">
        <v>66</v>
      </c>
      <c r="W88" s="590" t="s">
        <v>50</v>
      </c>
      <c r="X88" s="590" t="s">
        <v>50</v>
      </c>
      <c r="Y88" s="595" t="s">
        <v>2568</v>
      </c>
    </row>
    <row r="89" spans="1:25" s="97" customFormat="1" x14ac:dyDescent="0.25">
      <c r="A89" s="194">
        <v>43816</v>
      </c>
      <c r="B89" s="194" t="s">
        <v>849</v>
      </c>
      <c r="C89" s="194" t="s">
        <v>106</v>
      </c>
      <c r="D89" s="98">
        <v>38.327260000000003</v>
      </c>
      <c r="E89" s="98">
        <v>-121.64924000000001</v>
      </c>
      <c r="F89" s="97" t="s">
        <v>2569</v>
      </c>
      <c r="G89" s="97" t="s">
        <v>90</v>
      </c>
      <c r="H89" s="97" t="s">
        <v>362</v>
      </c>
      <c r="I89" s="621">
        <v>0.40347222222222223</v>
      </c>
      <c r="J89" s="100">
        <v>277.97500000000002</v>
      </c>
      <c r="K89" s="100">
        <v>11.4</v>
      </c>
      <c r="L89" s="100">
        <v>38.700000000000003</v>
      </c>
      <c r="M89" s="100">
        <v>0.315</v>
      </c>
      <c r="N89" s="100">
        <v>11.200000000000001</v>
      </c>
      <c r="O89" s="97" t="s">
        <v>48</v>
      </c>
      <c r="P89" s="97">
        <v>4</v>
      </c>
      <c r="Q89" s="97">
        <v>10</v>
      </c>
      <c r="R89" s="97" t="s">
        <v>64</v>
      </c>
      <c r="S89" s="89" t="s">
        <v>50</v>
      </c>
      <c r="T89" s="89" t="s">
        <v>50</v>
      </c>
      <c r="U89" s="89" t="s">
        <v>50</v>
      </c>
      <c r="V89" s="89" t="s">
        <v>50</v>
      </c>
      <c r="W89" s="89" t="s">
        <v>50</v>
      </c>
      <c r="X89" s="89" t="s">
        <v>50</v>
      </c>
      <c r="Y89" s="102" t="s">
        <v>2570</v>
      </c>
    </row>
    <row r="90" spans="1:25" s="97" customFormat="1" x14ac:dyDescent="0.25">
      <c r="A90" s="194">
        <v>43816</v>
      </c>
      <c r="B90" s="194" t="s">
        <v>849</v>
      </c>
      <c r="C90" s="194" t="s">
        <v>106</v>
      </c>
      <c r="D90" s="98">
        <v>38.214359999999999</v>
      </c>
      <c r="E90" s="98">
        <v>-121.66978</v>
      </c>
      <c r="F90" s="97" t="s">
        <v>2571</v>
      </c>
      <c r="G90" s="97" t="s">
        <v>90</v>
      </c>
      <c r="H90" s="97" t="s">
        <v>362</v>
      </c>
      <c r="I90" s="621">
        <v>0.47916666666666669</v>
      </c>
      <c r="J90" s="100">
        <v>208.7</v>
      </c>
      <c r="K90" s="100">
        <v>11.3</v>
      </c>
      <c r="L90" s="100">
        <v>16.574999999999999</v>
      </c>
      <c r="M90" s="100">
        <v>0.9</v>
      </c>
      <c r="N90" s="100">
        <v>11.174999999999999</v>
      </c>
      <c r="O90" s="34" t="s">
        <v>48</v>
      </c>
      <c r="P90" s="34">
        <v>4</v>
      </c>
      <c r="Q90" s="34">
        <v>10</v>
      </c>
      <c r="R90" s="34" t="s">
        <v>49</v>
      </c>
      <c r="S90" s="89" t="s">
        <v>50</v>
      </c>
      <c r="T90" s="89" t="s">
        <v>50</v>
      </c>
      <c r="U90" s="89" t="s">
        <v>50</v>
      </c>
      <c r="V90" s="89" t="s">
        <v>50</v>
      </c>
      <c r="W90" s="89" t="s">
        <v>50</v>
      </c>
      <c r="X90" s="89" t="s">
        <v>50</v>
      </c>
      <c r="Y90" s="102"/>
    </row>
    <row r="91" spans="1:25" s="97" customFormat="1" x14ac:dyDescent="0.25">
      <c r="A91" s="194">
        <v>43816</v>
      </c>
      <c r="B91" s="194" t="s">
        <v>849</v>
      </c>
      <c r="C91" s="194" t="s">
        <v>44</v>
      </c>
      <c r="D91" s="98">
        <v>37.97119</v>
      </c>
      <c r="E91" s="98">
        <v>-121.48251999999999</v>
      </c>
      <c r="F91" s="97" t="s">
        <v>2572</v>
      </c>
      <c r="G91" s="97" t="s">
        <v>46</v>
      </c>
      <c r="H91" s="97" t="s">
        <v>59</v>
      </c>
      <c r="I91" s="621">
        <v>0.3527777777777778</v>
      </c>
      <c r="J91" s="103">
        <v>317.73749999999995</v>
      </c>
      <c r="K91" s="103">
        <v>11.5</v>
      </c>
      <c r="L91" s="103">
        <v>16.024999999999999</v>
      </c>
      <c r="M91" s="103">
        <v>0.89250000000000007</v>
      </c>
      <c r="N91" s="103">
        <v>6.0500000000000007</v>
      </c>
      <c r="O91" s="97" t="s">
        <v>48</v>
      </c>
      <c r="P91" s="97">
        <v>4</v>
      </c>
      <c r="Q91" s="97">
        <v>10</v>
      </c>
      <c r="R91" s="97" t="s">
        <v>64</v>
      </c>
      <c r="S91" s="89" t="s">
        <v>50</v>
      </c>
      <c r="T91" s="89" t="s">
        <v>50</v>
      </c>
      <c r="U91" s="89" t="s">
        <v>50</v>
      </c>
      <c r="V91" s="89" t="s">
        <v>50</v>
      </c>
      <c r="W91" s="89" t="s">
        <v>50</v>
      </c>
      <c r="X91" s="89" t="s">
        <v>50</v>
      </c>
      <c r="Y91" s="102"/>
    </row>
    <row r="92" spans="1:25" s="97" customFormat="1" x14ac:dyDescent="0.25">
      <c r="A92" s="194">
        <v>43816</v>
      </c>
      <c r="B92" s="194" t="s">
        <v>849</v>
      </c>
      <c r="C92" s="194" t="s">
        <v>44</v>
      </c>
      <c r="D92" s="98">
        <v>38.031700000000001</v>
      </c>
      <c r="E92" s="98">
        <v>-121.56773</v>
      </c>
      <c r="F92" s="97" t="s">
        <v>2573</v>
      </c>
      <c r="G92" s="97" t="s">
        <v>46</v>
      </c>
      <c r="H92" s="97" t="s">
        <v>74</v>
      </c>
      <c r="I92" s="621">
        <v>0.4152777777777778</v>
      </c>
      <c r="J92" s="100">
        <v>356.77499999999998</v>
      </c>
      <c r="K92" s="100">
        <v>11.2</v>
      </c>
      <c r="L92" s="100">
        <v>8.5175000000000001</v>
      </c>
      <c r="M92" s="100">
        <v>1.6025</v>
      </c>
      <c r="N92" s="100">
        <v>6.35</v>
      </c>
      <c r="O92" s="97" t="s">
        <v>48</v>
      </c>
      <c r="P92" s="97">
        <v>4</v>
      </c>
      <c r="Q92" s="97">
        <v>10</v>
      </c>
      <c r="R92" s="97" t="s">
        <v>64</v>
      </c>
      <c r="S92" s="89" t="s">
        <v>50</v>
      </c>
      <c r="T92" s="89" t="s">
        <v>50</v>
      </c>
      <c r="U92" s="89" t="s">
        <v>50</v>
      </c>
      <c r="V92" s="89" t="s">
        <v>50</v>
      </c>
      <c r="W92" s="89" t="s">
        <v>50</v>
      </c>
      <c r="X92" s="89" t="s">
        <v>50</v>
      </c>
      <c r="Y92" s="102"/>
    </row>
    <row r="93" spans="1:25" s="97" customFormat="1" x14ac:dyDescent="0.25">
      <c r="A93" s="194">
        <v>43816</v>
      </c>
      <c r="B93" s="194" t="s">
        <v>849</v>
      </c>
      <c r="C93" s="194" t="s">
        <v>44</v>
      </c>
      <c r="D93" s="98">
        <v>38.050370000000001</v>
      </c>
      <c r="E93" s="98">
        <v>-121.65698</v>
      </c>
      <c r="F93" s="97" t="s">
        <v>2574</v>
      </c>
      <c r="G93" s="97" t="s">
        <v>46</v>
      </c>
      <c r="H93" s="97" t="s">
        <v>47</v>
      </c>
      <c r="I93" s="621">
        <v>0.47222222222222227</v>
      </c>
      <c r="J93" s="103">
        <v>578.5</v>
      </c>
      <c r="K93" s="103">
        <v>11.425000000000001</v>
      </c>
      <c r="L93" s="103">
        <v>8.4175000000000004</v>
      </c>
      <c r="M93" s="103">
        <v>1.5249999999999999</v>
      </c>
      <c r="N93" s="103">
        <v>7.1749999999999998</v>
      </c>
      <c r="O93" s="34" t="s">
        <v>48</v>
      </c>
      <c r="P93" s="34">
        <v>4</v>
      </c>
      <c r="Q93" s="34">
        <v>10</v>
      </c>
      <c r="R93" s="34" t="s">
        <v>49</v>
      </c>
      <c r="S93" s="89" t="s">
        <v>50</v>
      </c>
      <c r="T93" s="89" t="s">
        <v>50</v>
      </c>
      <c r="U93" s="89" t="s">
        <v>50</v>
      </c>
      <c r="V93" s="89" t="s">
        <v>50</v>
      </c>
      <c r="W93" s="89" t="s">
        <v>50</v>
      </c>
      <c r="X93" s="89" t="s">
        <v>50</v>
      </c>
      <c r="Y93" s="102"/>
    </row>
    <row r="94" spans="1:25" s="97" customFormat="1" x14ac:dyDescent="0.25">
      <c r="A94" s="194">
        <v>43816</v>
      </c>
      <c r="B94" s="194" t="s">
        <v>849</v>
      </c>
      <c r="C94" s="97" t="s">
        <v>78</v>
      </c>
      <c r="D94" s="98">
        <v>38.045789999999997</v>
      </c>
      <c r="E94" s="98">
        <v>-122.12718</v>
      </c>
      <c r="F94" s="97" t="s">
        <v>2575</v>
      </c>
      <c r="G94" s="97" t="s">
        <v>80</v>
      </c>
      <c r="H94" s="97" t="s">
        <v>81</v>
      </c>
      <c r="I94" s="621">
        <v>0.31597222222222221</v>
      </c>
      <c r="J94" s="100">
        <v>17909</v>
      </c>
      <c r="K94" s="100">
        <v>11.575000000000001</v>
      </c>
      <c r="L94" s="100">
        <v>32.125</v>
      </c>
      <c r="M94" s="100">
        <v>0.43749999999999994</v>
      </c>
      <c r="N94" s="100">
        <v>19.274999999999999</v>
      </c>
      <c r="O94" s="97" t="s">
        <v>48</v>
      </c>
      <c r="P94" s="97">
        <v>4</v>
      </c>
      <c r="Q94" s="97">
        <v>10</v>
      </c>
      <c r="R94" s="97" t="s">
        <v>64</v>
      </c>
      <c r="S94" s="89" t="s">
        <v>50</v>
      </c>
      <c r="T94" s="89" t="s">
        <v>50</v>
      </c>
      <c r="U94" s="89" t="s">
        <v>50</v>
      </c>
      <c r="V94" s="89" t="s">
        <v>50</v>
      </c>
      <c r="W94" s="89" t="s">
        <v>50</v>
      </c>
      <c r="X94" s="89" t="s">
        <v>50</v>
      </c>
      <c r="Y94" s="102" t="s">
        <v>2576</v>
      </c>
    </row>
    <row r="95" spans="1:25" s="97" customFormat="1" x14ac:dyDescent="0.25">
      <c r="A95" s="194">
        <v>43816</v>
      </c>
      <c r="B95" s="194" t="s">
        <v>849</v>
      </c>
      <c r="C95" s="97" t="s">
        <v>78</v>
      </c>
      <c r="D95" s="98">
        <v>38.062100000000001</v>
      </c>
      <c r="E95" s="98">
        <v>-122.01734999999999</v>
      </c>
      <c r="F95" s="97" t="s">
        <v>2577</v>
      </c>
      <c r="G95" s="97" t="s">
        <v>27</v>
      </c>
      <c r="H95" s="97" t="s">
        <v>86</v>
      </c>
      <c r="I95" s="621">
        <v>0.41736111111111113</v>
      </c>
      <c r="J95" s="100">
        <v>7882.25</v>
      </c>
      <c r="K95" s="100">
        <v>11.025</v>
      </c>
      <c r="L95" s="100">
        <v>28.275000000000002</v>
      </c>
      <c r="M95" s="100">
        <v>0.48749999999999999</v>
      </c>
      <c r="N95" s="100">
        <v>11.950000000000001</v>
      </c>
      <c r="O95" s="97" t="s">
        <v>48</v>
      </c>
      <c r="P95" s="97">
        <v>4</v>
      </c>
      <c r="Q95" s="97">
        <v>10</v>
      </c>
      <c r="R95" s="97" t="s">
        <v>49</v>
      </c>
      <c r="S95" s="49" t="s">
        <v>50</v>
      </c>
      <c r="T95" s="49" t="s">
        <v>50</v>
      </c>
      <c r="U95" s="34" t="s">
        <v>50</v>
      </c>
      <c r="V95" s="49" t="s">
        <v>50</v>
      </c>
      <c r="W95" s="49" t="s">
        <v>50</v>
      </c>
      <c r="X95" s="34" t="s">
        <v>50</v>
      </c>
      <c r="Y95" s="102"/>
    </row>
    <row r="96" spans="1:25" s="97" customFormat="1" x14ac:dyDescent="0.25">
      <c r="A96" s="194">
        <v>43816</v>
      </c>
      <c r="B96" s="194" t="s">
        <v>849</v>
      </c>
      <c r="C96" s="97" t="s">
        <v>78</v>
      </c>
      <c r="D96" s="98">
        <v>38.056690000000003</v>
      </c>
      <c r="E96" s="98">
        <v>-121.95697</v>
      </c>
      <c r="F96" s="97" t="s">
        <v>2578</v>
      </c>
      <c r="G96" s="97" t="s">
        <v>27</v>
      </c>
      <c r="H96" s="97" t="s">
        <v>170</v>
      </c>
      <c r="I96" s="621">
        <v>0.47013888888888888</v>
      </c>
      <c r="J96" s="100">
        <v>4277.25</v>
      </c>
      <c r="K96" s="100">
        <v>11.3</v>
      </c>
      <c r="L96" s="100">
        <v>26.15</v>
      </c>
      <c r="M96" s="100">
        <v>0.47499999999999998</v>
      </c>
      <c r="N96" s="100">
        <v>12.899999999999999</v>
      </c>
      <c r="O96" s="97" t="s">
        <v>48</v>
      </c>
      <c r="P96" s="97">
        <v>4</v>
      </c>
      <c r="Q96" s="97">
        <v>10</v>
      </c>
      <c r="R96" s="97" t="s">
        <v>49</v>
      </c>
      <c r="S96" s="49" t="s">
        <v>50</v>
      </c>
      <c r="T96" s="49" t="s">
        <v>50</v>
      </c>
      <c r="U96" s="34" t="s">
        <v>50</v>
      </c>
      <c r="V96" s="49" t="s">
        <v>50</v>
      </c>
      <c r="W96" s="49" t="s">
        <v>50</v>
      </c>
      <c r="X96" s="34" t="s">
        <v>50</v>
      </c>
      <c r="Y96" s="102"/>
    </row>
    <row r="97" spans="1:25" s="97" customFormat="1" x14ac:dyDescent="0.25">
      <c r="A97" s="194">
        <v>43817</v>
      </c>
      <c r="B97" s="97" t="s">
        <v>915</v>
      </c>
      <c r="C97" s="97" t="s">
        <v>88</v>
      </c>
      <c r="D97" s="98">
        <v>38.039250000000003</v>
      </c>
      <c r="E97" s="98">
        <v>-121.75848000000001</v>
      </c>
      <c r="F97" s="97" t="s">
        <v>2579</v>
      </c>
      <c r="G97" s="97" t="s">
        <v>27</v>
      </c>
      <c r="H97" s="97" t="s">
        <v>25</v>
      </c>
      <c r="I97" s="621">
        <v>0.3298611111111111</v>
      </c>
      <c r="J97" s="100">
        <v>388.55</v>
      </c>
      <c r="K97" s="100">
        <v>11.2</v>
      </c>
      <c r="L97" s="100">
        <v>25.9</v>
      </c>
      <c r="M97" s="100">
        <v>0.66500000000000004</v>
      </c>
      <c r="N97" s="100">
        <v>14.15</v>
      </c>
      <c r="O97" s="97" t="s">
        <v>48</v>
      </c>
      <c r="P97" s="97">
        <v>4</v>
      </c>
      <c r="Q97" s="97">
        <v>10</v>
      </c>
      <c r="R97" s="97" t="s">
        <v>64</v>
      </c>
      <c r="S97" s="89" t="s">
        <v>50</v>
      </c>
      <c r="T97" s="89" t="s">
        <v>50</v>
      </c>
      <c r="U97" s="89" t="s">
        <v>50</v>
      </c>
      <c r="V97" s="89" t="s">
        <v>50</v>
      </c>
      <c r="W97" s="89" t="s">
        <v>50</v>
      </c>
      <c r="X97" s="89" t="s">
        <v>50</v>
      </c>
      <c r="Y97" s="102"/>
    </row>
    <row r="98" spans="1:25" s="97" customFormat="1" x14ac:dyDescent="0.25">
      <c r="A98" s="194">
        <v>43817</v>
      </c>
      <c r="B98" s="97" t="s">
        <v>915</v>
      </c>
      <c r="C98" s="97" t="s">
        <v>88</v>
      </c>
      <c r="D98" s="98">
        <v>38.063870000000001</v>
      </c>
      <c r="E98" s="98">
        <v>-121.81572</v>
      </c>
      <c r="F98" s="97" t="s">
        <v>2580</v>
      </c>
      <c r="G98" s="97" t="s">
        <v>27</v>
      </c>
      <c r="H98" s="97" t="s">
        <v>25</v>
      </c>
      <c r="I98" s="621">
        <v>0.37847222222222227</v>
      </c>
      <c r="J98" s="100">
        <v>1083.25</v>
      </c>
      <c r="K98" s="100">
        <v>11.350000000000001</v>
      </c>
      <c r="L98" s="100">
        <v>37.700000000000003</v>
      </c>
      <c r="M98" s="100">
        <v>0.48749999999999999</v>
      </c>
      <c r="N98" s="100">
        <v>10.149999999999999</v>
      </c>
      <c r="O98" s="97" t="s">
        <v>48</v>
      </c>
      <c r="P98" s="97">
        <v>4</v>
      </c>
      <c r="Q98" s="97">
        <v>10</v>
      </c>
      <c r="R98" s="97" t="s">
        <v>64</v>
      </c>
      <c r="S98" s="89" t="s">
        <v>50</v>
      </c>
      <c r="T98" s="89" t="s">
        <v>50</v>
      </c>
      <c r="U98" s="89" t="s">
        <v>50</v>
      </c>
      <c r="V98" s="89" t="s">
        <v>50</v>
      </c>
      <c r="W98" s="89" t="s">
        <v>50</v>
      </c>
      <c r="X98" s="89" t="s">
        <v>50</v>
      </c>
      <c r="Y98" s="102"/>
    </row>
    <row r="99" spans="1:25" s="97" customFormat="1" x14ac:dyDescent="0.25">
      <c r="A99" s="194">
        <v>43817</v>
      </c>
      <c r="B99" s="97" t="s">
        <v>915</v>
      </c>
      <c r="C99" s="97" t="s">
        <v>88</v>
      </c>
      <c r="D99" s="98">
        <v>38.055529999999997</v>
      </c>
      <c r="E99" s="98">
        <v>-121.80607999999999</v>
      </c>
      <c r="F99" s="97" t="s">
        <v>2581</v>
      </c>
      <c r="G99" s="97" t="s">
        <v>27</v>
      </c>
      <c r="H99" s="97" t="s">
        <v>25</v>
      </c>
      <c r="I99" s="621">
        <v>0.42430555555555555</v>
      </c>
      <c r="J99" s="100">
        <v>1359.5</v>
      </c>
      <c r="K99" s="100">
        <v>11.4</v>
      </c>
      <c r="L99" s="100">
        <v>26.65</v>
      </c>
      <c r="M99" s="100">
        <v>0.61499999999999999</v>
      </c>
      <c r="N99" s="100">
        <v>9.7000000000000011</v>
      </c>
      <c r="O99" s="97" t="s">
        <v>48</v>
      </c>
      <c r="P99" s="97">
        <v>4</v>
      </c>
      <c r="Q99" s="97">
        <v>10</v>
      </c>
      <c r="R99" s="97" t="s">
        <v>64</v>
      </c>
      <c r="S99" s="89" t="s">
        <v>50</v>
      </c>
      <c r="T99" s="89" t="s">
        <v>50</v>
      </c>
      <c r="U99" s="89" t="s">
        <v>50</v>
      </c>
      <c r="V99" s="89" t="s">
        <v>50</v>
      </c>
      <c r="W99" s="89" t="s">
        <v>50</v>
      </c>
      <c r="X99" s="89" t="s">
        <v>50</v>
      </c>
      <c r="Y99" s="102"/>
    </row>
    <row r="100" spans="1:25" s="97" customFormat="1" x14ac:dyDescent="0.25">
      <c r="A100" s="194">
        <v>43817</v>
      </c>
      <c r="B100" s="97" t="s">
        <v>915</v>
      </c>
      <c r="C100" s="97" t="s">
        <v>95</v>
      </c>
      <c r="D100" s="98">
        <v>38.03978</v>
      </c>
      <c r="E100" s="98">
        <v>-121.49216</v>
      </c>
      <c r="F100" s="97" t="s">
        <v>2582</v>
      </c>
      <c r="G100" s="97" t="s">
        <v>46</v>
      </c>
      <c r="H100" s="97" t="s">
        <v>115</v>
      </c>
      <c r="I100" s="621">
        <v>0.32361111111111113</v>
      </c>
      <c r="J100" s="100">
        <v>289.14999999999998</v>
      </c>
      <c r="K100" s="100">
        <v>11.3</v>
      </c>
      <c r="L100" s="100">
        <v>12.125</v>
      </c>
      <c r="M100" s="100">
        <v>0.96750000000000003</v>
      </c>
      <c r="N100" s="100">
        <v>10.5</v>
      </c>
      <c r="O100" s="97" t="s">
        <v>48</v>
      </c>
      <c r="P100" s="97">
        <v>4</v>
      </c>
      <c r="Q100" s="97">
        <v>10</v>
      </c>
      <c r="R100" s="97" t="s">
        <v>64</v>
      </c>
      <c r="S100" s="98" t="s">
        <v>50</v>
      </c>
      <c r="T100" s="98" t="s">
        <v>50</v>
      </c>
      <c r="U100" s="98" t="s">
        <v>50</v>
      </c>
      <c r="V100" s="98" t="s">
        <v>50</v>
      </c>
      <c r="W100" s="98" t="s">
        <v>50</v>
      </c>
      <c r="X100" s="98" t="s">
        <v>50</v>
      </c>
      <c r="Y100" s="102"/>
    </row>
    <row r="101" spans="1:25" s="97" customFormat="1" x14ac:dyDescent="0.25">
      <c r="A101" s="194">
        <v>43817</v>
      </c>
      <c r="B101" s="97" t="s">
        <v>915</v>
      </c>
      <c r="C101" s="97" t="s">
        <v>95</v>
      </c>
      <c r="D101" s="98">
        <v>38.053449999999998</v>
      </c>
      <c r="E101" s="98">
        <v>-121.51488000000001</v>
      </c>
      <c r="F101" s="97" t="s">
        <v>2583</v>
      </c>
      <c r="G101" s="97" t="s">
        <v>46</v>
      </c>
      <c r="H101" s="97" t="s">
        <v>115</v>
      </c>
      <c r="I101" s="621">
        <v>0.37291666666666662</v>
      </c>
      <c r="J101" s="100">
        <v>284.85000000000002</v>
      </c>
      <c r="K101" s="100">
        <v>11.3</v>
      </c>
      <c r="L101" s="100">
        <v>12.524999999999999</v>
      </c>
      <c r="M101" s="100">
        <v>1.0075000000000001</v>
      </c>
      <c r="N101" s="100">
        <v>11.850000000000001</v>
      </c>
      <c r="O101" s="97" t="s">
        <v>48</v>
      </c>
      <c r="P101" s="97">
        <v>4</v>
      </c>
      <c r="Q101" s="97">
        <v>10</v>
      </c>
      <c r="R101" s="97" t="s">
        <v>64</v>
      </c>
      <c r="S101" s="49" t="s">
        <v>50</v>
      </c>
      <c r="T101" s="49" t="s">
        <v>50</v>
      </c>
      <c r="U101" s="34" t="s">
        <v>50</v>
      </c>
      <c r="V101" s="49" t="s">
        <v>50</v>
      </c>
      <c r="W101" s="49" t="s">
        <v>50</v>
      </c>
      <c r="X101" s="34" t="s">
        <v>50</v>
      </c>
      <c r="Y101" s="102"/>
    </row>
    <row r="102" spans="1:25" s="97" customFormat="1" x14ac:dyDescent="0.25">
      <c r="A102" s="194">
        <v>43817</v>
      </c>
      <c r="B102" s="97" t="s">
        <v>915</v>
      </c>
      <c r="C102" s="97" t="s">
        <v>95</v>
      </c>
      <c r="D102" s="98">
        <v>38.046990000000001</v>
      </c>
      <c r="E102" s="98">
        <v>-121.69467</v>
      </c>
      <c r="F102" s="97" t="s">
        <v>2584</v>
      </c>
      <c r="G102" s="97" t="s">
        <v>27</v>
      </c>
      <c r="H102" s="97" t="s">
        <v>863</v>
      </c>
      <c r="I102" s="621">
        <v>0.45833333333333331</v>
      </c>
      <c r="J102" s="100">
        <v>877.5</v>
      </c>
      <c r="K102" s="100">
        <v>11.3</v>
      </c>
      <c r="L102" s="100">
        <v>14.6</v>
      </c>
      <c r="M102" s="100">
        <v>0.90500000000000003</v>
      </c>
      <c r="N102" s="100">
        <v>10.700000000000001</v>
      </c>
      <c r="O102" s="97" t="s">
        <v>48</v>
      </c>
      <c r="P102" s="97">
        <v>4</v>
      </c>
      <c r="Q102" s="97">
        <v>10</v>
      </c>
      <c r="R102" s="97" t="s">
        <v>64</v>
      </c>
      <c r="S102" s="49" t="s">
        <v>50</v>
      </c>
      <c r="T102" s="49" t="s">
        <v>50</v>
      </c>
      <c r="U102" s="34" t="s">
        <v>50</v>
      </c>
      <c r="V102" s="49" t="s">
        <v>50</v>
      </c>
      <c r="W102" s="49" t="s">
        <v>50</v>
      </c>
      <c r="X102" s="34" t="s">
        <v>50</v>
      </c>
    </row>
    <row r="103" spans="1:25" s="97" customFormat="1" x14ac:dyDescent="0.25">
      <c r="A103" s="194">
        <v>43817</v>
      </c>
      <c r="B103" s="97" t="s">
        <v>915</v>
      </c>
      <c r="C103" s="97" t="s">
        <v>78</v>
      </c>
      <c r="D103" s="98">
        <v>38.048360000000002</v>
      </c>
      <c r="E103" s="98">
        <v>-122.10052</v>
      </c>
      <c r="F103" s="97" t="s">
        <v>2585</v>
      </c>
      <c r="G103" s="97" t="s">
        <v>80</v>
      </c>
      <c r="H103" s="97" t="s">
        <v>81</v>
      </c>
      <c r="I103" s="621">
        <v>0.35138888888888892</v>
      </c>
      <c r="J103" s="100">
        <v>22186</v>
      </c>
      <c r="K103" s="97">
        <v>11.424999999999999</v>
      </c>
      <c r="L103" s="97">
        <v>30.9</v>
      </c>
      <c r="M103" s="97">
        <v>0.35</v>
      </c>
      <c r="N103" s="97">
        <v>14.275</v>
      </c>
      <c r="O103" s="97" t="s">
        <v>48</v>
      </c>
      <c r="P103" s="97">
        <v>4</v>
      </c>
      <c r="Q103" s="97">
        <v>10</v>
      </c>
      <c r="R103" s="97" t="s">
        <v>64</v>
      </c>
      <c r="S103" s="49" t="s">
        <v>50</v>
      </c>
      <c r="T103" s="49" t="s">
        <v>50</v>
      </c>
      <c r="U103" s="34" t="s">
        <v>50</v>
      </c>
      <c r="V103" s="49" t="s">
        <v>50</v>
      </c>
      <c r="W103" s="49" t="s">
        <v>50</v>
      </c>
      <c r="X103" s="34" t="s">
        <v>50</v>
      </c>
      <c r="Y103" s="102" t="s">
        <v>2586</v>
      </c>
    </row>
    <row r="104" spans="1:25" s="97" customFormat="1" x14ac:dyDescent="0.25">
      <c r="A104" s="194">
        <v>43817</v>
      </c>
      <c r="B104" s="97" t="s">
        <v>915</v>
      </c>
      <c r="C104" s="97" t="s">
        <v>78</v>
      </c>
      <c r="D104" s="98">
        <v>38.050199999999997</v>
      </c>
      <c r="E104" s="98">
        <v>-122.08449</v>
      </c>
      <c r="F104" s="97" t="s">
        <v>2587</v>
      </c>
      <c r="G104" s="97" t="s">
        <v>80</v>
      </c>
      <c r="H104" s="97" t="s">
        <v>81</v>
      </c>
      <c r="I104" s="621">
        <v>0.40138888888888885</v>
      </c>
      <c r="J104" s="100">
        <v>17511.25</v>
      </c>
      <c r="K104" s="100">
        <v>11.375</v>
      </c>
      <c r="L104" s="100">
        <v>26.225000000000001</v>
      </c>
      <c r="M104" s="100">
        <v>0.38749999999999996</v>
      </c>
      <c r="N104" s="100">
        <v>11.175000000000001</v>
      </c>
      <c r="O104" s="97" t="s">
        <v>48</v>
      </c>
      <c r="P104" s="97">
        <v>4</v>
      </c>
      <c r="Q104" s="97">
        <v>10</v>
      </c>
      <c r="R104" s="97" t="s">
        <v>49</v>
      </c>
      <c r="S104" s="49" t="s">
        <v>50</v>
      </c>
      <c r="T104" s="49" t="s">
        <v>50</v>
      </c>
      <c r="U104" s="34" t="s">
        <v>50</v>
      </c>
      <c r="V104" s="49" t="s">
        <v>50</v>
      </c>
      <c r="W104" s="49" t="s">
        <v>50</v>
      </c>
      <c r="X104" s="34" t="s">
        <v>50</v>
      </c>
      <c r="Y104" s="102" t="s">
        <v>2586</v>
      </c>
    </row>
    <row r="105" spans="1:25" s="97" customFormat="1" x14ac:dyDescent="0.25">
      <c r="A105" s="194">
        <v>43817</v>
      </c>
      <c r="B105" s="97" t="s">
        <v>915</v>
      </c>
      <c r="C105" s="97" t="s">
        <v>78</v>
      </c>
      <c r="D105" s="98">
        <v>38.083530000000003</v>
      </c>
      <c r="E105" s="98">
        <v>-122.04386</v>
      </c>
      <c r="F105" s="97" t="s">
        <v>2588</v>
      </c>
      <c r="G105" s="97" t="s">
        <v>27</v>
      </c>
      <c r="H105" s="97" t="s">
        <v>86</v>
      </c>
      <c r="I105" s="621">
        <v>0.45694444444444443</v>
      </c>
      <c r="J105" s="100">
        <v>10652.75</v>
      </c>
      <c r="K105" s="100">
        <v>11.225000000000001</v>
      </c>
      <c r="L105" s="100">
        <v>33.974999999999994</v>
      </c>
      <c r="M105" s="100">
        <v>0.39749999999999996</v>
      </c>
      <c r="N105" s="100">
        <v>4.8499999999999996</v>
      </c>
      <c r="O105" s="97" t="s">
        <v>48</v>
      </c>
      <c r="P105" s="97">
        <v>4</v>
      </c>
      <c r="Q105" s="97">
        <v>10</v>
      </c>
      <c r="R105" s="97" t="s">
        <v>49</v>
      </c>
      <c r="S105" s="49" t="s">
        <v>50</v>
      </c>
      <c r="T105" s="49" t="s">
        <v>50</v>
      </c>
      <c r="U105" s="34" t="s">
        <v>50</v>
      </c>
      <c r="V105" s="49" t="s">
        <v>50</v>
      </c>
      <c r="W105" s="49" t="s">
        <v>50</v>
      </c>
      <c r="X105" s="34" t="s">
        <v>50</v>
      </c>
      <c r="Y105" s="102"/>
    </row>
    <row r="106" spans="1:25" s="97" customFormat="1" x14ac:dyDescent="0.25">
      <c r="A106" s="194">
        <v>43818</v>
      </c>
      <c r="B106" s="97" t="s">
        <v>876</v>
      </c>
      <c r="C106" s="97" t="s">
        <v>88</v>
      </c>
      <c r="D106" s="98">
        <v>38.072690000000001</v>
      </c>
      <c r="E106" s="98">
        <v>-121.76852</v>
      </c>
      <c r="F106" s="97" t="s">
        <v>2589</v>
      </c>
      <c r="G106" s="97" t="s">
        <v>27</v>
      </c>
      <c r="H106" s="97" t="s">
        <v>25</v>
      </c>
      <c r="I106" s="621">
        <v>0.3520833333333333</v>
      </c>
      <c r="J106" s="100">
        <v>291.25</v>
      </c>
      <c r="K106" s="100">
        <v>11.225000000000001</v>
      </c>
      <c r="L106" s="100">
        <v>15.4</v>
      </c>
      <c r="M106" s="100">
        <v>0.81500000000000006</v>
      </c>
      <c r="N106" s="100">
        <v>9.9749999999999996</v>
      </c>
      <c r="O106" s="97" t="s">
        <v>48</v>
      </c>
      <c r="P106" s="97">
        <v>4</v>
      </c>
      <c r="Q106" s="97">
        <v>10</v>
      </c>
      <c r="R106" s="97" t="s">
        <v>64</v>
      </c>
      <c r="S106" s="49" t="s">
        <v>50</v>
      </c>
      <c r="T106" s="49" t="s">
        <v>50</v>
      </c>
      <c r="U106" s="34" t="s">
        <v>50</v>
      </c>
      <c r="V106" s="49" t="s">
        <v>50</v>
      </c>
      <c r="W106" s="49" t="s">
        <v>50</v>
      </c>
      <c r="X106" s="34" t="s">
        <v>50</v>
      </c>
      <c r="Y106" s="102"/>
    </row>
    <row r="107" spans="1:25" s="214" customFormat="1" x14ac:dyDescent="0.25">
      <c r="A107" s="645">
        <v>43818</v>
      </c>
      <c r="B107" s="214" t="s">
        <v>876</v>
      </c>
      <c r="C107" s="214" t="s">
        <v>88</v>
      </c>
      <c r="D107" s="646">
        <v>38.117420000000003</v>
      </c>
      <c r="E107" s="646">
        <v>-121.69750000000001</v>
      </c>
      <c r="F107" s="214" t="s">
        <v>2590</v>
      </c>
      <c r="G107" s="214" t="s">
        <v>90</v>
      </c>
      <c r="H107" s="214" t="s">
        <v>91</v>
      </c>
      <c r="I107" s="647">
        <v>0.37708333333333338</v>
      </c>
      <c r="J107" s="648">
        <v>207.52500000000001</v>
      </c>
      <c r="K107" s="648">
        <v>10.924999999999999</v>
      </c>
      <c r="L107" s="648">
        <v>12.45</v>
      </c>
      <c r="M107" s="648">
        <v>1.0149999999999999</v>
      </c>
      <c r="N107" s="648">
        <v>5.625</v>
      </c>
      <c r="O107" s="214" t="s">
        <v>48</v>
      </c>
      <c r="P107" s="214">
        <v>4</v>
      </c>
      <c r="Q107" s="214">
        <v>10</v>
      </c>
      <c r="R107" s="214" t="s">
        <v>64</v>
      </c>
      <c r="S107" s="572" t="s">
        <v>348</v>
      </c>
      <c r="T107" s="214">
        <v>1</v>
      </c>
      <c r="U107" s="214">
        <v>125</v>
      </c>
      <c r="V107" s="214" t="s">
        <v>50</v>
      </c>
      <c r="W107" s="214" t="s">
        <v>50</v>
      </c>
      <c r="X107" s="214" t="s">
        <v>2525</v>
      </c>
      <c r="Y107" s="650"/>
    </row>
    <row r="108" spans="1:25" s="97" customFormat="1" x14ac:dyDescent="0.25">
      <c r="A108" s="194">
        <v>43818</v>
      </c>
      <c r="B108" s="97" t="s">
        <v>876</v>
      </c>
      <c r="C108" s="97" t="s">
        <v>88</v>
      </c>
      <c r="D108" s="98">
        <v>38.162550000000003</v>
      </c>
      <c r="E108" s="98">
        <v>-121.68313000000001</v>
      </c>
      <c r="F108" s="97" t="s">
        <v>2591</v>
      </c>
      <c r="G108" s="97" t="s">
        <v>90</v>
      </c>
      <c r="H108" s="97" t="s">
        <v>91</v>
      </c>
      <c r="I108" s="621">
        <v>0.43124999999999997</v>
      </c>
      <c r="J108" s="100">
        <v>201.47500000000002</v>
      </c>
      <c r="K108" s="100">
        <v>10.9</v>
      </c>
      <c r="L108" s="100">
        <v>13.65</v>
      </c>
      <c r="M108" s="100">
        <v>0.96499999999999997</v>
      </c>
      <c r="N108" s="100">
        <v>10.5</v>
      </c>
      <c r="O108" s="97" t="s">
        <v>48</v>
      </c>
      <c r="P108" s="97">
        <v>4</v>
      </c>
      <c r="Q108" s="97">
        <v>10</v>
      </c>
      <c r="R108" s="97" t="s">
        <v>64</v>
      </c>
      <c r="S108" s="49" t="s">
        <v>50</v>
      </c>
      <c r="T108" s="49" t="s">
        <v>50</v>
      </c>
      <c r="U108" s="34" t="s">
        <v>50</v>
      </c>
      <c r="V108" s="49" t="s">
        <v>50</v>
      </c>
      <c r="W108" s="49" t="s">
        <v>50</v>
      </c>
      <c r="X108" s="34" t="s">
        <v>50</v>
      </c>
      <c r="Y108" s="102" t="s">
        <v>2471</v>
      </c>
    </row>
    <row r="109" spans="1:25" s="214" customFormat="1" x14ac:dyDescent="0.25">
      <c r="A109" s="645">
        <v>43818</v>
      </c>
      <c r="B109" s="214" t="s">
        <v>876</v>
      </c>
      <c r="C109" s="214" t="s">
        <v>95</v>
      </c>
      <c r="D109" s="646">
        <v>38.020890000000001</v>
      </c>
      <c r="E109" s="646">
        <v>-121.80123</v>
      </c>
      <c r="F109" s="214" t="s">
        <v>2592</v>
      </c>
      <c r="G109" s="214" t="s">
        <v>27</v>
      </c>
      <c r="H109" s="214" t="s">
        <v>863</v>
      </c>
      <c r="I109" s="647">
        <v>0.33124999999999999</v>
      </c>
      <c r="J109" s="648">
        <v>900.25</v>
      </c>
      <c r="K109" s="648">
        <v>11.3</v>
      </c>
      <c r="L109" s="648">
        <v>19.3</v>
      </c>
      <c r="M109" s="648">
        <v>0.75</v>
      </c>
      <c r="N109" s="648">
        <v>6.1</v>
      </c>
      <c r="O109" s="214" t="s">
        <v>48</v>
      </c>
      <c r="P109" s="214">
        <v>4</v>
      </c>
      <c r="Q109" s="214">
        <v>10</v>
      </c>
      <c r="R109" s="214" t="s">
        <v>64</v>
      </c>
      <c r="S109" s="572" t="s">
        <v>348</v>
      </c>
      <c r="T109" s="214">
        <v>1</v>
      </c>
      <c r="U109" s="214">
        <v>164</v>
      </c>
      <c r="V109" s="214" t="s">
        <v>50</v>
      </c>
      <c r="W109" s="214">
        <v>5</v>
      </c>
      <c r="X109" s="214" t="s">
        <v>2525</v>
      </c>
      <c r="Y109" s="650"/>
    </row>
    <row r="110" spans="1:25" s="214" customFormat="1" x14ac:dyDescent="0.25">
      <c r="A110" s="645">
        <v>43818</v>
      </c>
      <c r="B110" s="214" t="s">
        <v>876</v>
      </c>
      <c r="C110" s="214" t="s">
        <v>95</v>
      </c>
      <c r="D110" s="646">
        <v>38.025480000000002</v>
      </c>
      <c r="E110" s="646">
        <v>-121.78766</v>
      </c>
      <c r="F110" s="214" t="s">
        <v>2593</v>
      </c>
      <c r="G110" s="214" t="s">
        <v>27</v>
      </c>
      <c r="H110" s="214" t="s">
        <v>863</v>
      </c>
      <c r="I110" s="647">
        <v>0.37361111111111112</v>
      </c>
      <c r="J110" s="648">
        <v>882.75</v>
      </c>
      <c r="K110" s="648">
        <v>11.3</v>
      </c>
      <c r="L110" s="648">
        <v>21.55</v>
      </c>
      <c r="M110" s="648">
        <v>0.72499999999999998</v>
      </c>
      <c r="N110" s="648">
        <v>13.375</v>
      </c>
      <c r="O110" s="214" t="s">
        <v>48</v>
      </c>
      <c r="P110" s="214">
        <v>4</v>
      </c>
      <c r="Q110" s="214">
        <v>10</v>
      </c>
      <c r="R110" s="214" t="s">
        <v>64</v>
      </c>
      <c r="S110" s="572" t="s">
        <v>348</v>
      </c>
      <c r="T110" s="214">
        <v>1</v>
      </c>
      <c r="U110" s="214">
        <v>172</v>
      </c>
      <c r="V110" s="214" t="s">
        <v>50</v>
      </c>
      <c r="W110" s="214">
        <v>5</v>
      </c>
      <c r="X110" s="214" t="s">
        <v>2525</v>
      </c>
      <c r="Y110" s="650"/>
    </row>
    <row r="111" spans="1:25" s="97" customFormat="1" x14ac:dyDescent="0.25">
      <c r="A111" s="194">
        <v>43818</v>
      </c>
      <c r="B111" s="97" t="s">
        <v>876</v>
      </c>
      <c r="C111" s="97" t="s">
        <v>95</v>
      </c>
      <c r="D111" s="97">
        <v>38.027529999999999</v>
      </c>
      <c r="E111" s="98">
        <v>-121.74525</v>
      </c>
      <c r="F111" s="97" t="s">
        <v>2594</v>
      </c>
      <c r="G111" s="97" t="s">
        <v>27</v>
      </c>
      <c r="H111" s="97" t="s">
        <v>863</v>
      </c>
      <c r="I111" s="621">
        <v>0.42222222222222222</v>
      </c>
      <c r="J111" s="103">
        <v>830</v>
      </c>
      <c r="K111" s="103">
        <v>11.3</v>
      </c>
      <c r="L111" s="103">
        <v>18.574999999999999</v>
      </c>
      <c r="M111" s="103">
        <v>0.82250000000000001</v>
      </c>
      <c r="N111" s="103">
        <v>12.3</v>
      </c>
      <c r="O111" s="97" t="s">
        <v>48</v>
      </c>
      <c r="P111" s="97">
        <v>4</v>
      </c>
      <c r="Q111" s="97">
        <v>10</v>
      </c>
      <c r="R111" s="97" t="s">
        <v>64</v>
      </c>
      <c r="S111" s="49" t="s">
        <v>50</v>
      </c>
      <c r="T111" s="49" t="s">
        <v>50</v>
      </c>
      <c r="U111" s="34" t="s">
        <v>50</v>
      </c>
      <c r="V111" s="49" t="s">
        <v>50</v>
      </c>
      <c r="W111" s="49" t="s">
        <v>50</v>
      </c>
      <c r="X111" s="34" t="s">
        <v>50</v>
      </c>
      <c r="Y111" s="102"/>
    </row>
    <row r="112" spans="1:25" s="214" customFormat="1" x14ac:dyDescent="0.25">
      <c r="A112" s="645">
        <v>43818</v>
      </c>
      <c r="B112" s="214" t="s">
        <v>876</v>
      </c>
      <c r="C112" s="214" t="s">
        <v>62</v>
      </c>
      <c r="D112" s="646">
        <v>38.104810000000001</v>
      </c>
      <c r="E112" s="646">
        <v>-122.04452999999999</v>
      </c>
      <c r="F112" s="214" t="s">
        <v>2595</v>
      </c>
      <c r="G112" s="214" t="s">
        <v>27</v>
      </c>
      <c r="H112" s="214" t="s">
        <v>173</v>
      </c>
      <c r="I112" s="647">
        <v>0.37638888888888888</v>
      </c>
      <c r="J112" s="656">
        <v>11257</v>
      </c>
      <c r="K112" s="656">
        <v>11.1</v>
      </c>
      <c r="L112" s="656">
        <v>46.050000000000004</v>
      </c>
      <c r="M112" s="656">
        <v>0.33750000000000002</v>
      </c>
      <c r="N112" s="656">
        <v>4.3250000000000002</v>
      </c>
      <c r="O112" s="565" t="s">
        <v>48</v>
      </c>
      <c r="P112" s="565">
        <v>4</v>
      </c>
      <c r="Q112" s="565">
        <v>10</v>
      </c>
      <c r="R112" s="565" t="s">
        <v>64</v>
      </c>
      <c r="S112" s="572" t="s">
        <v>31</v>
      </c>
      <c r="T112" s="566">
        <v>1</v>
      </c>
      <c r="U112" s="565">
        <v>100</v>
      </c>
      <c r="V112" s="566" t="s">
        <v>66</v>
      </c>
      <c r="W112" s="566" t="s">
        <v>50</v>
      </c>
      <c r="X112" s="565" t="s">
        <v>50</v>
      </c>
      <c r="Y112" s="650" t="s">
        <v>1497</v>
      </c>
    </row>
    <row r="113" spans="1:25" s="214" customFormat="1" x14ac:dyDescent="0.25">
      <c r="A113" s="645">
        <v>43818</v>
      </c>
      <c r="B113" s="214" t="s">
        <v>876</v>
      </c>
      <c r="C113" s="214" t="s">
        <v>62</v>
      </c>
      <c r="D113" s="646">
        <v>38.110230000000001</v>
      </c>
      <c r="E113" s="646">
        <v>-122.05628</v>
      </c>
      <c r="F113" s="214" t="s">
        <v>2596</v>
      </c>
      <c r="G113" s="214" t="s">
        <v>27</v>
      </c>
      <c r="H113" s="214" t="s">
        <v>173</v>
      </c>
      <c r="I113" s="647">
        <v>0.42430555555555555</v>
      </c>
      <c r="J113" s="656">
        <v>8135</v>
      </c>
      <c r="K113" s="656">
        <v>10.875</v>
      </c>
      <c r="L113" s="656">
        <v>34.35</v>
      </c>
      <c r="M113" s="656">
        <v>0.32750000000000001</v>
      </c>
      <c r="N113" s="656">
        <v>3</v>
      </c>
      <c r="O113" s="565" t="s">
        <v>48</v>
      </c>
      <c r="P113" s="565">
        <v>4</v>
      </c>
      <c r="Q113" s="565">
        <v>10</v>
      </c>
      <c r="R113" s="565" t="s">
        <v>49</v>
      </c>
      <c r="S113" s="572" t="s">
        <v>31</v>
      </c>
      <c r="T113" s="566">
        <v>12</v>
      </c>
      <c r="U113" s="565" t="s">
        <v>2597</v>
      </c>
      <c r="V113" s="566" t="s">
        <v>66</v>
      </c>
      <c r="W113" s="566" t="s">
        <v>50</v>
      </c>
      <c r="X113" s="565" t="s">
        <v>50</v>
      </c>
      <c r="Y113" s="650"/>
    </row>
    <row r="114" spans="1:25" s="214" customFormat="1" x14ac:dyDescent="0.25">
      <c r="A114" s="645">
        <v>43818</v>
      </c>
      <c r="B114" s="214" t="s">
        <v>876</v>
      </c>
      <c r="C114" s="214" t="s">
        <v>62</v>
      </c>
      <c r="D114" s="646">
        <v>38.110230000000001</v>
      </c>
      <c r="E114" s="646">
        <v>-122.05628</v>
      </c>
      <c r="F114" s="214" t="s">
        <v>2596</v>
      </c>
      <c r="G114" s="214" t="s">
        <v>27</v>
      </c>
      <c r="H114" s="214" t="s">
        <v>173</v>
      </c>
      <c r="I114" s="647">
        <v>0.42430555555555555</v>
      </c>
      <c r="J114" s="656">
        <v>8135</v>
      </c>
      <c r="K114" s="656">
        <v>10.875</v>
      </c>
      <c r="L114" s="656">
        <v>34.35</v>
      </c>
      <c r="M114" s="656">
        <v>0.32750000000000001</v>
      </c>
      <c r="N114" s="656">
        <v>3</v>
      </c>
      <c r="O114" s="565" t="s">
        <v>48</v>
      </c>
      <c r="P114" s="565">
        <v>4</v>
      </c>
      <c r="Q114" s="565">
        <v>10</v>
      </c>
      <c r="R114" s="565" t="s">
        <v>49</v>
      </c>
      <c r="S114" s="572" t="s">
        <v>31</v>
      </c>
      <c r="T114" s="566">
        <v>1</v>
      </c>
      <c r="U114" s="565">
        <v>104</v>
      </c>
      <c r="V114" s="566" t="s">
        <v>355</v>
      </c>
      <c r="W114" s="566" t="s">
        <v>50</v>
      </c>
      <c r="X114" s="565" t="s">
        <v>50</v>
      </c>
      <c r="Y114" s="650"/>
    </row>
    <row r="115" spans="1:25" s="214" customFormat="1" x14ac:dyDescent="0.25">
      <c r="A115" s="645">
        <v>43818</v>
      </c>
      <c r="B115" s="214" t="s">
        <v>876</v>
      </c>
      <c r="C115" s="214" t="s">
        <v>62</v>
      </c>
      <c r="D115" s="646">
        <v>38.110230000000001</v>
      </c>
      <c r="E115" s="646">
        <v>-122.05628</v>
      </c>
      <c r="F115" s="214" t="s">
        <v>2596</v>
      </c>
      <c r="G115" s="214" t="s">
        <v>27</v>
      </c>
      <c r="H115" s="214" t="s">
        <v>173</v>
      </c>
      <c r="I115" s="647">
        <v>0.42430555555555555</v>
      </c>
      <c r="J115" s="656">
        <v>8135</v>
      </c>
      <c r="K115" s="656">
        <v>10.875</v>
      </c>
      <c r="L115" s="656">
        <v>34.35</v>
      </c>
      <c r="M115" s="656">
        <v>0.32750000000000001</v>
      </c>
      <c r="N115" s="656">
        <v>3</v>
      </c>
      <c r="O115" s="565" t="s">
        <v>48</v>
      </c>
      <c r="P115" s="565">
        <v>4</v>
      </c>
      <c r="Q115" s="565">
        <v>10</v>
      </c>
      <c r="R115" s="565" t="s">
        <v>49</v>
      </c>
      <c r="S115" s="572" t="s">
        <v>348</v>
      </c>
      <c r="T115" s="566">
        <v>4</v>
      </c>
      <c r="U115" s="565" t="s">
        <v>2598</v>
      </c>
      <c r="V115" s="566" t="s">
        <v>50</v>
      </c>
      <c r="W115" s="566">
        <v>5</v>
      </c>
      <c r="X115" s="565" t="s">
        <v>2525</v>
      </c>
      <c r="Y115" s="650"/>
    </row>
    <row r="116" spans="1:25" s="660" customFormat="1" x14ac:dyDescent="0.25">
      <c r="A116" s="659">
        <v>43818</v>
      </c>
      <c r="B116" s="660" t="s">
        <v>876</v>
      </c>
      <c r="C116" s="660" t="s">
        <v>62</v>
      </c>
      <c r="D116" s="661">
        <v>38.170369999999998</v>
      </c>
      <c r="E116" s="661">
        <v>-121.93103000000001</v>
      </c>
      <c r="F116" s="660" t="s">
        <v>2599</v>
      </c>
      <c r="G116" s="660" t="s">
        <v>27</v>
      </c>
      <c r="H116" s="660" t="s">
        <v>62</v>
      </c>
      <c r="I116" s="662">
        <v>0.4993055555555555</v>
      </c>
      <c r="J116" s="663">
        <v>5474.5</v>
      </c>
      <c r="K116" s="663">
        <v>10.725000000000001</v>
      </c>
      <c r="L116" s="663">
        <v>46.975000000000001</v>
      </c>
      <c r="M116" s="663">
        <v>0.28000000000000003</v>
      </c>
      <c r="N116" s="663">
        <v>9.35</v>
      </c>
      <c r="O116" s="660" t="s">
        <v>48</v>
      </c>
      <c r="P116" s="660">
        <v>4</v>
      </c>
      <c r="Q116" s="660">
        <v>10</v>
      </c>
      <c r="R116" s="660" t="s">
        <v>49</v>
      </c>
      <c r="S116" s="660" t="s">
        <v>323</v>
      </c>
      <c r="T116" s="660">
        <v>1</v>
      </c>
      <c r="U116" s="660">
        <v>66</v>
      </c>
      <c r="V116" s="660" t="s">
        <v>66</v>
      </c>
      <c r="W116" s="660" t="s">
        <v>50</v>
      </c>
      <c r="X116" s="660" t="s">
        <v>50</v>
      </c>
      <c r="Y116" s="664"/>
    </row>
    <row r="117" spans="1:25" s="97" customFormat="1" x14ac:dyDescent="0.25">
      <c r="A117" s="194">
        <v>43822</v>
      </c>
      <c r="B117" s="97" t="s">
        <v>43</v>
      </c>
      <c r="C117" s="97" t="s">
        <v>88</v>
      </c>
      <c r="D117" s="98">
        <v>38.067880000000002</v>
      </c>
      <c r="E117" s="98">
        <v>-121.83502</v>
      </c>
      <c r="F117" s="97" t="s">
        <v>2600</v>
      </c>
      <c r="G117" s="97" t="s">
        <v>27</v>
      </c>
      <c r="H117" s="97" t="s">
        <v>25</v>
      </c>
      <c r="I117" s="621">
        <v>0.3298611111111111</v>
      </c>
      <c r="J117" s="100">
        <v>874.5</v>
      </c>
      <c r="K117" s="100">
        <v>10.6</v>
      </c>
      <c r="L117" s="100">
        <v>19.649999999999999</v>
      </c>
      <c r="M117" s="100">
        <v>0.61749999999999994</v>
      </c>
      <c r="N117" s="100">
        <v>7.0250000000000004</v>
      </c>
      <c r="O117" s="97" t="s">
        <v>48</v>
      </c>
      <c r="P117" s="97">
        <v>4</v>
      </c>
      <c r="Q117" s="97">
        <v>10</v>
      </c>
      <c r="R117" s="97" t="s">
        <v>64</v>
      </c>
      <c r="S117" s="49" t="s">
        <v>50</v>
      </c>
      <c r="T117" s="49" t="s">
        <v>50</v>
      </c>
      <c r="U117" s="34" t="s">
        <v>50</v>
      </c>
      <c r="V117" s="49" t="s">
        <v>50</v>
      </c>
      <c r="W117" s="49" t="s">
        <v>50</v>
      </c>
      <c r="X117" s="34" t="s">
        <v>50</v>
      </c>
      <c r="Y117" s="102"/>
    </row>
    <row r="118" spans="1:25" s="592" customFormat="1" x14ac:dyDescent="0.25">
      <c r="A118" s="590">
        <v>43822</v>
      </c>
      <c r="B118" s="591" t="s">
        <v>43</v>
      </c>
      <c r="C118" s="591" t="s">
        <v>88</v>
      </c>
      <c r="D118" s="592">
        <v>38.064920000000001</v>
      </c>
      <c r="E118" s="592">
        <v>-121.79356</v>
      </c>
      <c r="F118" s="591" t="s">
        <v>2601</v>
      </c>
      <c r="G118" s="591" t="s">
        <v>27</v>
      </c>
      <c r="H118" s="591" t="s">
        <v>25</v>
      </c>
      <c r="I118" s="619">
        <v>0.38055555555555554</v>
      </c>
      <c r="J118" s="593">
        <v>342.4</v>
      </c>
      <c r="K118" s="593">
        <v>10.25</v>
      </c>
      <c r="L118" s="593">
        <v>24.95</v>
      </c>
      <c r="M118" s="593">
        <v>0.61</v>
      </c>
      <c r="N118" s="593">
        <v>7.9499999999999993</v>
      </c>
      <c r="O118" s="592" t="s">
        <v>48</v>
      </c>
      <c r="P118" s="592">
        <v>2</v>
      </c>
      <c r="Q118" s="592">
        <v>10</v>
      </c>
      <c r="R118" s="592" t="s">
        <v>64</v>
      </c>
      <c r="S118" s="591" t="s">
        <v>323</v>
      </c>
      <c r="T118" s="591">
        <v>4</v>
      </c>
      <c r="U118" s="591" t="s">
        <v>2602</v>
      </c>
      <c r="V118" s="591" t="s">
        <v>66</v>
      </c>
      <c r="W118" s="591" t="s">
        <v>50</v>
      </c>
      <c r="X118" s="591" t="s">
        <v>50</v>
      </c>
      <c r="Y118" s="665" t="s">
        <v>2603</v>
      </c>
    </row>
    <row r="119" spans="1:25" s="98" customFormat="1" x14ac:dyDescent="0.25">
      <c r="A119" s="194">
        <v>43822</v>
      </c>
      <c r="B119" s="97" t="s">
        <v>43</v>
      </c>
      <c r="C119" s="97" t="s">
        <v>88</v>
      </c>
      <c r="D119" s="98">
        <v>38.075899999999997</v>
      </c>
      <c r="E119" s="98">
        <v>-121.76394000000001</v>
      </c>
      <c r="F119" s="97" t="s">
        <v>2604</v>
      </c>
      <c r="G119" s="97" t="s">
        <v>27</v>
      </c>
      <c r="H119" s="97" t="s">
        <v>25</v>
      </c>
      <c r="I119" s="621">
        <v>0.41805555555555557</v>
      </c>
      <c r="J119" s="100">
        <v>246.27499999999998</v>
      </c>
      <c r="K119" s="100">
        <v>10.324999999999999</v>
      </c>
      <c r="L119" s="100">
        <v>19.975000000000001</v>
      </c>
      <c r="M119" s="100">
        <v>0.82250000000000001</v>
      </c>
      <c r="N119" s="100">
        <v>10.175000000000001</v>
      </c>
      <c r="O119" s="98" t="s">
        <v>48</v>
      </c>
      <c r="P119" s="98">
        <v>4</v>
      </c>
      <c r="Q119" s="98">
        <v>10</v>
      </c>
      <c r="R119" s="98" t="s">
        <v>64</v>
      </c>
      <c r="S119" s="98" t="s">
        <v>50</v>
      </c>
      <c r="T119" s="98" t="s">
        <v>50</v>
      </c>
      <c r="U119" s="98" t="s">
        <v>50</v>
      </c>
      <c r="V119" s="98" t="s">
        <v>50</v>
      </c>
      <c r="W119" s="98" t="s">
        <v>50</v>
      </c>
      <c r="X119" s="98" t="s">
        <v>50</v>
      </c>
      <c r="Y119" s="638"/>
    </row>
    <row r="120" spans="1:25" s="98" customFormat="1" x14ac:dyDescent="0.25">
      <c r="A120" s="194">
        <v>43822</v>
      </c>
      <c r="B120" s="97" t="s">
        <v>43</v>
      </c>
      <c r="C120" s="98" t="s">
        <v>62</v>
      </c>
      <c r="D120" s="98">
        <v>38.176600000000001</v>
      </c>
      <c r="E120" s="98">
        <v>-121.91964</v>
      </c>
      <c r="F120" s="98" t="s">
        <v>2605</v>
      </c>
      <c r="G120" s="98" t="s">
        <v>27</v>
      </c>
      <c r="H120" s="98" t="s">
        <v>62</v>
      </c>
      <c r="I120" s="621">
        <v>0.35625000000000001</v>
      </c>
      <c r="J120" s="100">
        <v>7483</v>
      </c>
      <c r="K120" s="100">
        <v>10.3</v>
      </c>
      <c r="L120" s="100">
        <v>41.674999999999997</v>
      </c>
      <c r="M120" s="100">
        <v>0.28250000000000003</v>
      </c>
      <c r="N120" s="100">
        <v>5.9250000000000007</v>
      </c>
      <c r="O120" s="98" t="s">
        <v>48</v>
      </c>
      <c r="P120" s="98">
        <v>4</v>
      </c>
      <c r="Q120" s="98">
        <v>10</v>
      </c>
      <c r="R120" s="98" t="s">
        <v>64</v>
      </c>
      <c r="S120" s="98" t="s">
        <v>50</v>
      </c>
      <c r="T120" s="98" t="s">
        <v>50</v>
      </c>
      <c r="U120" s="98" t="s">
        <v>50</v>
      </c>
      <c r="V120" s="98" t="s">
        <v>50</v>
      </c>
      <c r="W120" s="98" t="s">
        <v>50</v>
      </c>
      <c r="X120" s="98" t="s">
        <v>50</v>
      </c>
      <c r="Y120" s="638" t="s">
        <v>2606</v>
      </c>
    </row>
    <row r="121" spans="1:25" s="646" customFormat="1" x14ac:dyDescent="0.25">
      <c r="A121" s="645">
        <v>43822</v>
      </c>
      <c r="B121" s="214" t="s">
        <v>43</v>
      </c>
      <c r="C121" s="646" t="s">
        <v>62</v>
      </c>
      <c r="D121" s="646">
        <v>38.171529999999997</v>
      </c>
      <c r="E121" s="646">
        <v>-122.03241</v>
      </c>
      <c r="F121" s="646" t="s">
        <v>2607</v>
      </c>
      <c r="G121" s="646" t="s">
        <v>27</v>
      </c>
      <c r="H121" s="646" t="s">
        <v>62</v>
      </c>
      <c r="I121" s="647">
        <v>0.42291666666666666</v>
      </c>
      <c r="J121" s="648">
        <v>10605.5</v>
      </c>
      <c r="K121" s="648">
        <v>10.4</v>
      </c>
      <c r="L121" s="648">
        <v>48.274999999999999</v>
      </c>
      <c r="M121" s="648">
        <v>0.29250000000000004</v>
      </c>
      <c r="N121" s="648">
        <v>10.475</v>
      </c>
      <c r="O121" s="646" t="s">
        <v>48</v>
      </c>
      <c r="P121" s="646">
        <v>4</v>
      </c>
      <c r="Q121" s="646">
        <v>10</v>
      </c>
      <c r="R121" s="646" t="s">
        <v>64</v>
      </c>
      <c r="S121" s="667" t="s">
        <v>31</v>
      </c>
      <c r="T121" s="646">
        <v>2</v>
      </c>
      <c r="U121" s="646" t="s">
        <v>2608</v>
      </c>
      <c r="V121" s="646" t="s">
        <v>66</v>
      </c>
      <c r="W121" s="646" t="s">
        <v>50</v>
      </c>
      <c r="X121" s="646" t="s">
        <v>50</v>
      </c>
      <c r="Y121" s="666" t="s">
        <v>2609</v>
      </c>
    </row>
    <row r="122" spans="1:25" s="98" customFormat="1" x14ac:dyDescent="0.25">
      <c r="A122" s="194">
        <v>43822</v>
      </c>
      <c r="B122" s="97" t="s">
        <v>43</v>
      </c>
      <c r="C122" s="98" t="s">
        <v>62</v>
      </c>
      <c r="D122" s="98">
        <v>38.132629999999999</v>
      </c>
      <c r="E122" s="98">
        <v>-122.06063</v>
      </c>
      <c r="F122" s="98" t="s">
        <v>2610</v>
      </c>
      <c r="G122" s="98" t="s">
        <v>27</v>
      </c>
      <c r="H122" s="98" t="s">
        <v>62</v>
      </c>
      <c r="I122" s="621">
        <v>0.47361111111111115</v>
      </c>
      <c r="J122" s="100">
        <v>14094.5</v>
      </c>
      <c r="K122" s="100">
        <v>10.925000000000001</v>
      </c>
      <c r="L122" s="100">
        <v>23.549999999999997</v>
      </c>
      <c r="M122" s="100">
        <v>0.4</v>
      </c>
      <c r="N122" s="100">
        <v>7.75</v>
      </c>
      <c r="O122" s="98" t="s">
        <v>48</v>
      </c>
      <c r="P122" s="98">
        <v>4</v>
      </c>
      <c r="Q122" s="98">
        <v>10</v>
      </c>
      <c r="R122" s="98" t="s">
        <v>64</v>
      </c>
      <c r="S122" s="98" t="s">
        <v>50</v>
      </c>
      <c r="T122" s="98" t="s">
        <v>50</v>
      </c>
      <c r="U122" s="98" t="s">
        <v>50</v>
      </c>
      <c r="V122" s="98" t="s">
        <v>50</v>
      </c>
      <c r="W122" s="98" t="s">
        <v>50</v>
      </c>
      <c r="X122" s="98" t="s">
        <v>50</v>
      </c>
      <c r="Y122" s="638"/>
    </row>
    <row r="123" spans="1:25" s="98" customFormat="1" x14ac:dyDescent="0.25">
      <c r="A123" s="194">
        <v>43822</v>
      </c>
      <c r="B123" s="97" t="s">
        <v>43</v>
      </c>
      <c r="C123" s="98" t="s">
        <v>44</v>
      </c>
      <c r="D123" s="98">
        <v>38.021830000000001</v>
      </c>
      <c r="E123" s="98">
        <v>-121.5989</v>
      </c>
      <c r="F123" s="98" t="s">
        <v>2611</v>
      </c>
      <c r="G123" s="98" t="s">
        <v>46</v>
      </c>
      <c r="H123" s="98" t="s">
        <v>47</v>
      </c>
      <c r="I123" s="621">
        <v>0.35347222222222219</v>
      </c>
      <c r="J123" s="100">
        <v>501.5</v>
      </c>
      <c r="K123" s="100">
        <v>10.050000000000001</v>
      </c>
      <c r="L123" s="100">
        <v>3.125</v>
      </c>
      <c r="M123" s="100" t="s">
        <v>2547</v>
      </c>
      <c r="N123" s="100">
        <v>5.125</v>
      </c>
      <c r="O123" s="98" t="s">
        <v>48</v>
      </c>
      <c r="P123" s="98">
        <v>4</v>
      </c>
      <c r="Q123" s="98">
        <v>10</v>
      </c>
      <c r="R123" s="98" t="s">
        <v>49</v>
      </c>
      <c r="S123" s="98" t="s">
        <v>50</v>
      </c>
      <c r="T123" s="98" t="s">
        <v>50</v>
      </c>
      <c r="U123" s="98" t="s">
        <v>50</v>
      </c>
      <c r="V123" s="98" t="s">
        <v>50</v>
      </c>
      <c r="W123" s="98" t="s">
        <v>50</v>
      </c>
      <c r="X123" s="98" t="s">
        <v>50</v>
      </c>
      <c r="Y123" s="638"/>
    </row>
    <row r="124" spans="1:25" s="98" customFormat="1" x14ac:dyDescent="0.25">
      <c r="A124" s="194">
        <v>43822</v>
      </c>
      <c r="B124" s="97" t="s">
        <v>43</v>
      </c>
      <c r="C124" s="98" t="s">
        <v>44</v>
      </c>
      <c r="D124" s="98">
        <v>37.91939</v>
      </c>
      <c r="E124" s="98">
        <v>-121.60665</v>
      </c>
      <c r="F124" s="98" t="s">
        <v>2612</v>
      </c>
      <c r="G124" s="98" t="s">
        <v>46</v>
      </c>
      <c r="H124" s="98" t="s">
        <v>423</v>
      </c>
      <c r="I124" s="621">
        <v>0.43124999999999997</v>
      </c>
      <c r="J124" s="100">
        <v>416.25</v>
      </c>
      <c r="K124" s="100">
        <v>10.025</v>
      </c>
      <c r="L124" s="100">
        <v>2.1574999999999998</v>
      </c>
      <c r="M124" s="100" t="s">
        <v>2547</v>
      </c>
      <c r="N124" s="100">
        <v>2.625</v>
      </c>
      <c r="O124" s="98" t="s">
        <v>48</v>
      </c>
      <c r="P124" s="98">
        <v>4</v>
      </c>
      <c r="Q124" s="98">
        <v>10</v>
      </c>
      <c r="R124" s="98" t="s">
        <v>64</v>
      </c>
      <c r="S124" s="98" t="s">
        <v>50</v>
      </c>
      <c r="T124" s="98" t="s">
        <v>50</v>
      </c>
      <c r="U124" s="98" t="s">
        <v>50</v>
      </c>
      <c r="V124" s="98" t="s">
        <v>50</v>
      </c>
      <c r="W124" s="98" t="s">
        <v>50</v>
      </c>
      <c r="X124" s="98" t="s">
        <v>50</v>
      </c>
      <c r="Y124" s="638" t="s">
        <v>2613</v>
      </c>
    </row>
    <row r="125" spans="1:25" s="98" customFormat="1" x14ac:dyDescent="0.25">
      <c r="A125" s="194">
        <v>43823</v>
      </c>
      <c r="B125" s="97" t="s">
        <v>70</v>
      </c>
      <c r="C125" s="98" t="s">
        <v>88</v>
      </c>
      <c r="D125" s="98">
        <v>38.119459999999997</v>
      </c>
      <c r="E125" s="98">
        <v>-121.70025</v>
      </c>
      <c r="F125" s="98" t="s">
        <v>2614</v>
      </c>
      <c r="G125" s="98" t="s">
        <v>90</v>
      </c>
      <c r="H125" s="98" t="s">
        <v>91</v>
      </c>
      <c r="I125" s="621">
        <v>0.31111111111111112</v>
      </c>
      <c r="J125" s="100">
        <v>199.89999999999998</v>
      </c>
      <c r="K125" s="100">
        <v>9.85</v>
      </c>
      <c r="L125" s="100">
        <v>11.145</v>
      </c>
      <c r="M125" s="100">
        <v>1.085</v>
      </c>
      <c r="N125" s="100">
        <v>8.6999999999999993</v>
      </c>
      <c r="O125" s="98" t="s">
        <v>48</v>
      </c>
      <c r="P125" s="98">
        <v>4</v>
      </c>
      <c r="Q125" s="98">
        <v>10</v>
      </c>
      <c r="R125" s="98" t="s">
        <v>49</v>
      </c>
      <c r="S125" s="98" t="s">
        <v>50</v>
      </c>
      <c r="T125" s="98" t="s">
        <v>50</v>
      </c>
      <c r="U125" s="98" t="s">
        <v>50</v>
      </c>
      <c r="V125" s="98" t="s">
        <v>50</v>
      </c>
      <c r="W125" s="98" t="s">
        <v>50</v>
      </c>
      <c r="X125" s="98" t="s">
        <v>50</v>
      </c>
      <c r="Y125" s="638" t="s">
        <v>2615</v>
      </c>
    </row>
    <row r="126" spans="1:25" s="98" customFormat="1" x14ac:dyDescent="0.25">
      <c r="A126" s="194">
        <v>43823</v>
      </c>
      <c r="B126" s="97" t="s">
        <v>70</v>
      </c>
      <c r="C126" s="98" t="s">
        <v>88</v>
      </c>
      <c r="D126" s="98">
        <v>38.094790000000003</v>
      </c>
      <c r="E126" s="98">
        <v>-121.73491</v>
      </c>
      <c r="F126" s="98" t="s">
        <v>2616</v>
      </c>
      <c r="G126" s="98" t="s">
        <v>90</v>
      </c>
      <c r="H126" s="98" t="s">
        <v>91</v>
      </c>
      <c r="I126" s="621">
        <v>0.3659722222222222</v>
      </c>
      <c r="J126" s="100">
        <v>197.1</v>
      </c>
      <c r="K126" s="100">
        <v>9.9250000000000007</v>
      </c>
      <c r="L126" s="100">
        <v>11.389999999999999</v>
      </c>
      <c r="M126" s="100">
        <v>1.1424999999999998</v>
      </c>
      <c r="N126" s="100">
        <v>10</v>
      </c>
      <c r="O126" s="97" t="s">
        <v>48</v>
      </c>
      <c r="P126" s="97">
        <v>4</v>
      </c>
      <c r="Q126" s="97">
        <v>10</v>
      </c>
      <c r="R126" s="97" t="s">
        <v>49</v>
      </c>
      <c r="S126" s="98" t="s">
        <v>50</v>
      </c>
      <c r="T126" s="98" t="s">
        <v>50</v>
      </c>
      <c r="U126" s="98" t="s">
        <v>50</v>
      </c>
      <c r="V126" s="98" t="s">
        <v>50</v>
      </c>
      <c r="W126" s="98" t="s">
        <v>50</v>
      </c>
      <c r="X126" s="98" t="s">
        <v>50</v>
      </c>
      <c r="Y126" s="102"/>
    </row>
    <row r="127" spans="1:25" s="98" customFormat="1" x14ac:dyDescent="0.25">
      <c r="A127" s="194">
        <v>43823</v>
      </c>
      <c r="B127" s="97" t="s">
        <v>70</v>
      </c>
      <c r="C127" s="98" t="s">
        <v>88</v>
      </c>
      <c r="D127" s="98">
        <v>38.082569999999997</v>
      </c>
      <c r="E127" s="98">
        <v>-121.74898</v>
      </c>
      <c r="F127" s="98" t="s">
        <v>2617</v>
      </c>
      <c r="G127" s="98" t="s">
        <v>27</v>
      </c>
      <c r="H127" s="98" t="s">
        <v>25</v>
      </c>
      <c r="I127" s="621">
        <v>0.41805555555555557</v>
      </c>
      <c r="J127" s="100">
        <v>209.17500000000001</v>
      </c>
      <c r="K127" s="100">
        <v>10.125</v>
      </c>
      <c r="L127" s="100">
        <v>9.5299999999999994</v>
      </c>
      <c r="M127" s="100">
        <v>1.1500000000000001</v>
      </c>
      <c r="N127" s="100">
        <v>11.3</v>
      </c>
      <c r="O127" s="98" t="s">
        <v>48</v>
      </c>
      <c r="P127" s="98">
        <v>4</v>
      </c>
      <c r="Q127" s="98">
        <v>10</v>
      </c>
      <c r="R127" s="98" t="s">
        <v>64</v>
      </c>
      <c r="S127" s="98" t="s">
        <v>50</v>
      </c>
      <c r="T127" s="98" t="s">
        <v>50</v>
      </c>
      <c r="U127" s="98" t="s">
        <v>50</v>
      </c>
      <c r="V127" s="98" t="s">
        <v>50</v>
      </c>
      <c r="W127" s="98" t="s">
        <v>50</v>
      </c>
      <c r="X127" s="98" t="s">
        <v>50</v>
      </c>
    </row>
    <row r="128" spans="1:25" s="98" customFormat="1" x14ac:dyDescent="0.25">
      <c r="A128" s="194">
        <v>43823</v>
      </c>
      <c r="B128" s="97" t="s">
        <v>70</v>
      </c>
      <c r="C128" s="98" t="s">
        <v>78</v>
      </c>
      <c r="D128" s="98">
        <v>38.082920000000001</v>
      </c>
      <c r="E128" s="98">
        <v>-121.7979</v>
      </c>
      <c r="F128" s="98" t="s">
        <v>2618</v>
      </c>
      <c r="G128" s="98" t="s">
        <v>27</v>
      </c>
      <c r="H128" s="98" t="s">
        <v>86</v>
      </c>
      <c r="I128" s="621">
        <v>0.3430555555555555</v>
      </c>
      <c r="J128" s="100">
        <v>8261.25</v>
      </c>
      <c r="K128" s="100">
        <v>10.5</v>
      </c>
      <c r="L128" s="100">
        <v>22.25</v>
      </c>
      <c r="M128" s="100">
        <v>0.46</v>
      </c>
      <c r="N128" s="100">
        <v>18.375</v>
      </c>
      <c r="O128" s="98" t="s">
        <v>48</v>
      </c>
      <c r="P128" s="98">
        <v>4</v>
      </c>
      <c r="Q128" s="98">
        <v>10</v>
      </c>
      <c r="R128" s="98" t="s">
        <v>49</v>
      </c>
      <c r="S128" s="98" t="s">
        <v>50</v>
      </c>
      <c r="T128" s="98" t="s">
        <v>50</v>
      </c>
      <c r="U128" s="98" t="s">
        <v>50</v>
      </c>
      <c r="V128" s="98" t="s">
        <v>50</v>
      </c>
      <c r="W128" s="98" t="s">
        <v>50</v>
      </c>
      <c r="X128" s="98" t="s">
        <v>50</v>
      </c>
      <c r="Y128" s="638"/>
    </row>
    <row r="129" spans="1:25" s="98" customFormat="1" x14ac:dyDescent="0.25">
      <c r="A129" s="194">
        <v>43823</v>
      </c>
      <c r="B129" s="97" t="s">
        <v>70</v>
      </c>
      <c r="C129" s="98" t="s">
        <v>78</v>
      </c>
      <c r="D129" s="98">
        <v>38.046300000000002</v>
      </c>
      <c r="E129" s="98">
        <v>-121.90736</v>
      </c>
      <c r="F129" s="98" t="s">
        <v>2619</v>
      </c>
      <c r="G129" s="98" t="s">
        <v>27</v>
      </c>
      <c r="H129" s="98" t="s">
        <v>101</v>
      </c>
      <c r="I129" s="621">
        <v>0.40138888888888885</v>
      </c>
      <c r="J129" s="100">
        <v>3876.75</v>
      </c>
      <c r="K129" s="100">
        <v>10.649999999999999</v>
      </c>
      <c r="L129" s="100">
        <v>17.5</v>
      </c>
      <c r="M129" s="100">
        <v>0.56999999999999995</v>
      </c>
      <c r="N129" s="100">
        <v>15.4</v>
      </c>
      <c r="O129" s="98" t="s">
        <v>48</v>
      </c>
      <c r="P129" s="98">
        <v>4</v>
      </c>
      <c r="Q129" s="98">
        <v>10</v>
      </c>
      <c r="R129" s="98" t="s">
        <v>64</v>
      </c>
      <c r="S129" s="98" t="s">
        <v>50</v>
      </c>
      <c r="T129" s="98" t="s">
        <v>50</v>
      </c>
      <c r="U129" s="98" t="s">
        <v>50</v>
      </c>
      <c r="V129" s="98" t="s">
        <v>50</v>
      </c>
      <c r="W129" s="98" t="s">
        <v>50</v>
      </c>
      <c r="X129" s="98" t="s">
        <v>50</v>
      </c>
      <c r="Y129" s="622"/>
    </row>
    <row r="130" spans="1:25" s="154" customFormat="1" x14ac:dyDescent="0.25">
      <c r="A130" s="195">
        <v>43823</v>
      </c>
      <c r="B130" s="153" t="s">
        <v>70</v>
      </c>
      <c r="C130" s="154" t="s">
        <v>44</v>
      </c>
      <c r="D130" s="154">
        <v>37.972639999999998</v>
      </c>
      <c r="E130" s="154">
        <v>-121.52422</v>
      </c>
      <c r="F130" s="154" t="s">
        <v>2620</v>
      </c>
      <c r="G130" s="154" t="s">
        <v>46</v>
      </c>
      <c r="H130" s="154" t="s">
        <v>59</v>
      </c>
      <c r="I130" s="636">
        <v>0.3347222222222222</v>
      </c>
      <c r="J130" s="156">
        <v>322.60000000000002</v>
      </c>
      <c r="K130" s="156">
        <v>10.55</v>
      </c>
      <c r="L130" s="156">
        <v>3.88</v>
      </c>
      <c r="M130" s="156" t="s">
        <v>2547</v>
      </c>
      <c r="N130" s="156">
        <v>3.5999999999999996</v>
      </c>
      <c r="O130" s="154" t="s">
        <v>48</v>
      </c>
      <c r="P130" s="154">
        <v>2</v>
      </c>
      <c r="Q130" s="154">
        <v>10</v>
      </c>
      <c r="R130" s="154" t="s">
        <v>49</v>
      </c>
      <c r="S130" s="154" t="s">
        <v>50</v>
      </c>
      <c r="T130" s="154" t="s">
        <v>50</v>
      </c>
      <c r="U130" s="154" t="s">
        <v>50</v>
      </c>
      <c r="V130" s="154" t="s">
        <v>50</v>
      </c>
      <c r="W130" s="154" t="s">
        <v>50</v>
      </c>
      <c r="X130" s="154" t="s">
        <v>50</v>
      </c>
      <c r="Y130" s="627" t="s">
        <v>2621</v>
      </c>
    </row>
    <row r="131" spans="1:25" s="98" customFormat="1" x14ac:dyDescent="0.25">
      <c r="A131" s="194">
        <v>43823</v>
      </c>
      <c r="B131" s="97" t="s">
        <v>70</v>
      </c>
      <c r="C131" s="98" t="s">
        <v>44</v>
      </c>
      <c r="D131" s="98">
        <v>37.998269999999998</v>
      </c>
      <c r="E131" s="98">
        <v>-121.5196</v>
      </c>
      <c r="F131" s="98" t="s">
        <v>2622</v>
      </c>
      <c r="G131" s="98" t="s">
        <v>46</v>
      </c>
      <c r="H131" s="98" t="s">
        <v>59</v>
      </c>
      <c r="I131" s="621">
        <v>0.3756944444444445</v>
      </c>
      <c r="J131" s="100">
        <v>302.45000000000005</v>
      </c>
      <c r="K131" s="100">
        <v>10.574999999999999</v>
      </c>
      <c r="L131" s="100">
        <v>4.8675000000000006</v>
      </c>
      <c r="M131" s="100">
        <v>1.7649999999999999</v>
      </c>
      <c r="N131" s="100">
        <v>5.25</v>
      </c>
      <c r="O131" s="98" t="s">
        <v>48</v>
      </c>
      <c r="P131" s="98">
        <v>4</v>
      </c>
      <c r="Q131" s="98">
        <v>10</v>
      </c>
      <c r="R131" s="98" t="s">
        <v>49</v>
      </c>
      <c r="S131" s="98" t="s">
        <v>50</v>
      </c>
      <c r="T131" s="98" t="s">
        <v>50</v>
      </c>
      <c r="U131" s="98" t="s">
        <v>50</v>
      </c>
      <c r="V131" s="98" t="s">
        <v>50</v>
      </c>
      <c r="W131" s="98" t="s">
        <v>50</v>
      </c>
      <c r="X131" s="98" t="s">
        <v>50</v>
      </c>
      <c r="Y131" s="622" t="s">
        <v>2623</v>
      </c>
    </row>
    <row r="132" spans="1:25" s="98" customFormat="1" x14ac:dyDescent="0.25">
      <c r="A132" s="194">
        <v>43823</v>
      </c>
      <c r="B132" s="97" t="s">
        <v>70</v>
      </c>
      <c r="C132" s="98" t="s">
        <v>44</v>
      </c>
      <c r="D132" s="98">
        <v>38.024120000000003</v>
      </c>
      <c r="E132" s="98">
        <v>-121.52459</v>
      </c>
      <c r="F132" s="98" t="s">
        <v>2624</v>
      </c>
      <c r="G132" s="98" t="s">
        <v>46</v>
      </c>
      <c r="H132" s="98" t="s">
        <v>59</v>
      </c>
      <c r="I132" s="99">
        <v>0.43333333333333335</v>
      </c>
      <c r="J132" s="100">
        <v>304.92499999999995</v>
      </c>
      <c r="K132" s="100">
        <v>10.75</v>
      </c>
      <c r="L132" s="100">
        <v>5.8849999999999998</v>
      </c>
      <c r="M132" s="100">
        <v>1.635</v>
      </c>
      <c r="N132" s="100">
        <v>9.875</v>
      </c>
      <c r="O132" s="98" t="s">
        <v>48</v>
      </c>
      <c r="P132" s="98">
        <v>4</v>
      </c>
      <c r="Q132" s="98">
        <v>10</v>
      </c>
      <c r="R132" s="98" t="s">
        <v>64</v>
      </c>
      <c r="S132" s="98" t="s">
        <v>50</v>
      </c>
      <c r="T132" s="98" t="s">
        <v>50</v>
      </c>
      <c r="U132" s="98" t="s">
        <v>50</v>
      </c>
      <c r="V132" s="98" t="s">
        <v>50</v>
      </c>
      <c r="W132" s="98" t="s">
        <v>50</v>
      </c>
      <c r="X132" s="98" t="s">
        <v>50</v>
      </c>
      <c r="Y132" s="622"/>
    </row>
    <row r="133" spans="1:25" s="98" customFormat="1" x14ac:dyDescent="0.25">
      <c r="A133" s="194">
        <v>43823</v>
      </c>
      <c r="B133" s="97" t="s">
        <v>70</v>
      </c>
      <c r="C133" s="98" t="s">
        <v>95</v>
      </c>
      <c r="D133" s="98">
        <v>38.102589999999999</v>
      </c>
      <c r="E133" s="98">
        <v>-121.59769</v>
      </c>
      <c r="F133" s="98" t="s">
        <v>2625</v>
      </c>
      <c r="G133" s="98" t="s">
        <v>46</v>
      </c>
      <c r="H133" s="98" t="s">
        <v>115</v>
      </c>
      <c r="I133" s="621">
        <v>0.50138888888888888</v>
      </c>
      <c r="J133" s="100">
        <v>450.57500000000005</v>
      </c>
      <c r="K133" s="100">
        <v>10.825000000000001</v>
      </c>
      <c r="L133" s="100">
        <v>8.6149999999999984</v>
      </c>
      <c r="M133" s="100">
        <v>1.2150000000000001</v>
      </c>
      <c r="N133" s="100">
        <v>7.3000000000000007</v>
      </c>
      <c r="O133" s="98" t="s">
        <v>48</v>
      </c>
      <c r="P133" s="98">
        <v>4</v>
      </c>
      <c r="Q133" s="98">
        <v>10</v>
      </c>
      <c r="R133" s="98" t="s">
        <v>64</v>
      </c>
      <c r="S133" s="98" t="s">
        <v>50</v>
      </c>
      <c r="T133" s="98" t="s">
        <v>50</v>
      </c>
      <c r="U133" s="98" t="s">
        <v>50</v>
      </c>
      <c r="V133" s="98" t="s">
        <v>50</v>
      </c>
      <c r="W133" s="98" t="s">
        <v>50</v>
      </c>
      <c r="X133" s="98" t="s">
        <v>50</v>
      </c>
      <c r="Y133" s="622"/>
    </row>
    <row r="134" spans="1:25" s="98" customFormat="1" x14ac:dyDescent="0.25">
      <c r="A134" s="194">
        <v>43825</v>
      </c>
      <c r="B134" s="98" t="s">
        <v>876</v>
      </c>
      <c r="C134" s="98" t="s">
        <v>95</v>
      </c>
      <c r="D134" s="98">
        <v>38.060499999999998</v>
      </c>
      <c r="E134" s="98">
        <v>-121.53269</v>
      </c>
      <c r="F134" s="98" t="s">
        <v>2626</v>
      </c>
      <c r="G134" s="98" t="s">
        <v>46</v>
      </c>
      <c r="H134" s="98" t="s">
        <v>115</v>
      </c>
      <c r="I134" s="621">
        <v>0.31319444444444444</v>
      </c>
      <c r="J134" s="100">
        <v>322.92500000000001</v>
      </c>
      <c r="K134" s="100">
        <v>10.149999999999999</v>
      </c>
      <c r="L134" s="100">
        <v>8.1974999999999998</v>
      </c>
      <c r="M134" s="100">
        <v>1.4874999999999998</v>
      </c>
      <c r="N134" s="100">
        <v>9.9</v>
      </c>
      <c r="O134" s="98" t="s">
        <v>48</v>
      </c>
      <c r="P134" s="98">
        <v>4</v>
      </c>
      <c r="Q134" s="98">
        <v>10</v>
      </c>
      <c r="R134" s="98" t="s">
        <v>64</v>
      </c>
      <c r="S134" s="98" t="s">
        <v>50</v>
      </c>
      <c r="T134" s="98" t="s">
        <v>50</v>
      </c>
      <c r="U134" s="98" t="s">
        <v>50</v>
      </c>
      <c r="V134" s="98" t="s">
        <v>50</v>
      </c>
      <c r="W134" s="98" t="s">
        <v>50</v>
      </c>
      <c r="X134" s="98" t="s">
        <v>50</v>
      </c>
      <c r="Y134" s="622"/>
    </row>
    <row r="135" spans="1:25" s="98" customFormat="1" x14ac:dyDescent="0.25">
      <c r="A135" s="194">
        <v>43825</v>
      </c>
      <c r="B135" s="98" t="s">
        <v>876</v>
      </c>
      <c r="C135" s="98" t="s">
        <v>95</v>
      </c>
      <c r="D135" s="98">
        <v>38.075600000000001</v>
      </c>
      <c r="E135" s="98">
        <v>-121.57128</v>
      </c>
      <c r="F135" s="98" t="s">
        <v>2627</v>
      </c>
      <c r="G135" s="98" t="s">
        <v>46</v>
      </c>
      <c r="H135" s="98" t="s">
        <v>115</v>
      </c>
      <c r="I135" s="621">
        <v>0.3756944444444445</v>
      </c>
      <c r="J135" s="100">
        <v>365.7</v>
      </c>
      <c r="K135" s="100">
        <v>10.199999999999999</v>
      </c>
      <c r="L135" s="100">
        <v>8.0350000000000001</v>
      </c>
      <c r="M135" s="100">
        <v>1.4000000000000001</v>
      </c>
      <c r="N135" s="100">
        <v>4.5999999999999996</v>
      </c>
      <c r="O135" s="98" t="s">
        <v>48</v>
      </c>
      <c r="P135" s="98">
        <v>4</v>
      </c>
      <c r="Q135" s="98">
        <v>10</v>
      </c>
      <c r="R135" s="98" t="s">
        <v>49</v>
      </c>
      <c r="S135" s="98" t="s">
        <v>50</v>
      </c>
      <c r="T135" s="98" t="s">
        <v>50</v>
      </c>
      <c r="U135" s="98" t="s">
        <v>50</v>
      </c>
      <c r="V135" s="98" t="s">
        <v>50</v>
      </c>
      <c r="W135" s="98" t="s">
        <v>50</v>
      </c>
      <c r="X135" s="98" t="s">
        <v>50</v>
      </c>
      <c r="Y135" s="622" t="s">
        <v>2628</v>
      </c>
    </row>
    <row r="136" spans="1:25" s="98" customFormat="1" x14ac:dyDescent="0.25">
      <c r="A136" s="194">
        <v>43825</v>
      </c>
      <c r="B136" s="98" t="s">
        <v>876</v>
      </c>
      <c r="C136" s="98" t="s">
        <v>44</v>
      </c>
      <c r="D136" s="98">
        <v>38.036720000000003</v>
      </c>
      <c r="E136" s="98">
        <v>-121.62409</v>
      </c>
      <c r="F136" s="98" t="s">
        <v>2629</v>
      </c>
      <c r="G136" s="98" t="s">
        <v>46</v>
      </c>
      <c r="H136" s="98" t="s">
        <v>47</v>
      </c>
      <c r="I136" s="621">
        <v>0.43541666666666662</v>
      </c>
      <c r="J136" s="100">
        <v>547.75</v>
      </c>
      <c r="K136" s="100">
        <v>9.8000000000000007</v>
      </c>
      <c r="L136" s="100">
        <v>13.475000000000001</v>
      </c>
      <c r="M136" s="100">
        <v>0.59000000000000008</v>
      </c>
      <c r="N136" s="100">
        <v>4.75</v>
      </c>
      <c r="O136" s="98" t="s">
        <v>48</v>
      </c>
      <c r="P136" s="98">
        <v>4</v>
      </c>
      <c r="Q136" s="98">
        <v>10</v>
      </c>
      <c r="R136" s="98" t="s">
        <v>64</v>
      </c>
      <c r="S136" s="98" t="s">
        <v>50</v>
      </c>
      <c r="T136" s="98" t="s">
        <v>50</v>
      </c>
      <c r="U136" s="98" t="s">
        <v>50</v>
      </c>
      <c r="V136" s="98" t="s">
        <v>50</v>
      </c>
      <c r="W136" s="98" t="s">
        <v>50</v>
      </c>
      <c r="X136" s="98" t="s">
        <v>50</v>
      </c>
      <c r="Y136" s="622"/>
    </row>
    <row r="137" spans="1:25" s="154" customFormat="1" x14ac:dyDescent="0.25">
      <c r="A137" s="195">
        <v>43825</v>
      </c>
      <c r="B137" s="154" t="s">
        <v>876</v>
      </c>
      <c r="C137" s="154" t="s">
        <v>44</v>
      </c>
      <c r="D137" s="154">
        <v>38.037100000000002</v>
      </c>
      <c r="E137" s="154">
        <v>-121.60812</v>
      </c>
      <c r="F137" s="154" t="s">
        <v>2630</v>
      </c>
      <c r="G137" s="154" t="s">
        <v>46</v>
      </c>
      <c r="H137" s="154" t="s">
        <v>47</v>
      </c>
      <c r="I137" s="636">
        <v>0.42152777777777778</v>
      </c>
      <c r="J137" s="197" t="s">
        <v>50</v>
      </c>
      <c r="K137" s="197" t="s">
        <v>50</v>
      </c>
      <c r="L137" s="197" t="s">
        <v>50</v>
      </c>
      <c r="M137" s="197" t="s">
        <v>50</v>
      </c>
      <c r="N137" s="197" t="s">
        <v>50</v>
      </c>
      <c r="O137" s="149" t="s">
        <v>48</v>
      </c>
      <c r="P137" s="149">
        <v>0</v>
      </c>
      <c r="Q137" s="149" t="s">
        <v>50</v>
      </c>
      <c r="R137" s="149" t="s">
        <v>50</v>
      </c>
      <c r="S137" s="149" t="s">
        <v>50</v>
      </c>
      <c r="T137" s="149" t="s">
        <v>50</v>
      </c>
      <c r="U137" s="149" t="s">
        <v>50</v>
      </c>
      <c r="V137" s="149" t="s">
        <v>50</v>
      </c>
      <c r="W137" s="149" t="s">
        <v>50</v>
      </c>
      <c r="X137" s="149" t="s">
        <v>50</v>
      </c>
      <c r="Y137" s="152" t="s">
        <v>2554</v>
      </c>
    </row>
    <row r="138" spans="1:25" s="98" customFormat="1" x14ac:dyDescent="0.25">
      <c r="A138" s="194">
        <v>43825</v>
      </c>
      <c r="B138" s="98" t="s">
        <v>876</v>
      </c>
      <c r="C138" s="98" t="s">
        <v>126</v>
      </c>
      <c r="D138" s="98">
        <v>38.231569999999998</v>
      </c>
      <c r="E138" s="98">
        <v>-121.67591</v>
      </c>
      <c r="F138" s="98" t="s">
        <v>2631</v>
      </c>
      <c r="G138" s="98" t="s">
        <v>90</v>
      </c>
      <c r="H138" s="98" t="s">
        <v>845</v>
      </c>
      <c r="I138" s="621">
        <v>0.31527777777777777</v>
      </c>
      <c r="J138" s="100">
        <v>215.72500000000002</v>
      </c>
      <c r="K138" s="100">
        <v>9.5</v>
      </c>
      <c r="L138" s="100">
        <v>18.024999999999999</v>
      </c>
      <c r="M138" s="100">
        <v>0.8849999999999999</v>
      </c>
      <c r="N138" s="100">
        <v>16.775000000000002</v>
      </c>
      <c r="O138" s="98" t="s">
        <v>48</v>
      </c>
      <c r="P138" s="98">
        <v>4</v>
      </c>
      <c r="Q138" s="98">
        <v>10</v>
      </c>
      <c r="R138" s="98" t="s">
        <v>49</v>
      </c>
      <c r="S138" s="98" t="s">
        <v>50</v>
      </c>
      <c r="T138" s="98" t="s">
        <v>50</v>
      </c>
      <c r="U138" s="98" t="s">
        <v>50</v>
      </c>
      <c r="V138" s="98" t="s">
        <v>50</v>
      </c>
      <c r="W138" s="98" t="s">
        <v>50</v>
      </c>
      <c r="X138" s="98" t="s">
        <v>50</v>
      </c>
      <c r="Y138" s="622" t="s">
        <v>2632</v>
      </c>
    </row>
    <row r="139" spans="1:25" s="98" customFormat="1" x14ac:dyDescent="0.25">
      <c r="A139" s="194">
        <v>43825</v>
      </c>
      <c r="B139" s="98" t="s">
        <v>876</v>
      </c>
      <c r="C139" s="98" t="s">
        <v>126</v>
      </c>
      <c r="D139" s="98">
        <v>38.27364</v>
      </c>
      <c r="E139" s="98">
        <v>-121.69437000000001</v>
      </c>
      <c r="F139" s="98" t="s">
        <v>2633</v>
      </c>
      <c r="G139" s="98" t="s">
        <v>90</v>
      </c>
      <c r="H139" s="98" t="s">
        <v>845</v>
      </c>
      <c r="I139" s="621">
        <v>0.38125000000000003</v>
      </c>
      <c r="J139" s="100">
        <v>271.57499999999999</v>
      </c>
      <c r="K139" s="100">
        <v>9.0500000000000007</v>
      </c>
      <c r="L139" s="100">
        <v>17.574999999999999</v>
      </c>
      <c r="M139" s="100">
        <v>0.8</v>
      </c>
      <c r="N139" s="100">
        <v>6.5750000000000002</v>
      </c>
      <c r="O139" s="98" t="s">
        <v>48</v>
      </c>
      <c r="P139" s="98">
        <v>4</v>
      </c>
      <c r="Q139" s="98">
        <v>10</v>
      </c>
      <c r="R139" s="98" t="s">
        <v>49</v>
      </c>
      <c r="S139" s="98" t="s">
        <v>50</v>
      </c>
      <c r="T139" s="98" t="s">
        <v>50</v>
      </c>
      <c r="U139" s="98" t="s">
        <v>50</v>
      </c>
      <c r="V139" s="98" t="s">
        <v>50</v>
      </c>
      <c r="W139" s="98" t="s">
        <v>50</v>
      </c>
      <c r="X139" s="98" t="s">
        <v>50</v>
      </c>
      <c r="Y139" s="622" t="s">
        <v>2634</v>
      </c>
    </row>
    <row r="140" spans="1:25" s="98" customFormat="1" x14ac:dyDescent="0.25">
      <c r="A140" s="194">
        <v>43825</v>
      </c>
      <c r="B140" s="98" t="s">
        <v>876</v>
      </c>
      <c r="C140" s="98" t="s">
        <v>126</v>
      </c>
      <c r="D140" s="98">
        <v>38.24803</v>
      </c>
      <c r="E140" s="98">
        <v>-121.67492</v>
      </c>
      <c r="F140" s="98" t="s">
        <v>2635</v>
      </c>
      <c r="G140" s="98" t="s">
        <v>90</v>
      </c>
      <c r="H140" s="98" t="s">
        <v>845</v>
      </c>
      <c r="I140" s="621">
        <v>0.43194444444444446</v>
      </c>
      <c r="J140" s="100">
        <v>255.70000000000002</v>
      </c>
      <c r="K140" s="100">
        <v>9.375</v>
      </c>
      <c r="L140" s="100">
        <v>16.275000000000002</v>
      </c>
      <c r="M140" s="100">
        <v>0.76500000000000001</v>
      </c>
      <c r="N140" s="100">
        <v>9.8500000000000014</v>
      </c>
      <c r="O140" s="98" t="s">
        <v>48</v>
      </c>
      <c r="P140" s="98">
        <v>4</v>
      </c>
      <c r="Q140" s="98">
        <v>10</v>
      </c>
      <c r="R140" s="98" t="s">
        <v>49</v>
      </c>
      <c r="S140" s="98" t="s">
        <v>50</v>
      </c>
      <c r="T140" s="98" t="s">
        <v>50</v>
      </c>
      <c r="U140" s="98" t="s">
        <v>50</v>
      </c>
      <c r="V140" s="98" t="s">
        <v>50</v>
      </c>
      <c r="W140" s="98" t="s">
        <v>50</v>
      </c>
      <c r="X140" s="98" t="s">
        <v>50</v>
      </c>
      <c r="Y140" s="622" t="s">
        <v>2636</v>
      </c>
    </row>
    <row r="141" spans="1:25" s="98" customFormat="1" x14ac:dyDescent="0.25">
      <c r="A141" s="194">
        <v>43825</v>
      </c>
      <c r="B141" s="98" t="s">
        <v>876</v>
      </c>
      <c r="C141" s="98" t="s">
        <v>78</v>
      </c>
      <c r="D141" s="98">
        <v>38.08493</v>
      </c>
      <c r="E141" s="98">
        <v>-122.05139</v>
      </c>
      <c r="F141" s="98" t="s">
        <v>2637</v>
      </c>
      <c r="G141" s="98" t="s">
        <v>27</v>
      </c>
      <c r="H141" s="98" t="s">
        <v>86</v>
      </c>
      <c r="I141" s="621">
        <v>0.33888888888888885</v>
      </c>
      <c r="J141" s="100">
        <v>12627.25</v>
      </c>
      <c r="K141" s="100">
        <v>10.3</v>
      </c>
      <c r="L141" s="100">
        <v>19.474999999999998</v>
      </c>
      <c r="M141" s="100">
        <v>0.48749999999999999</v>
      </c>
      <c r="N141" s="100">
        <v>4.4249999999999998</v>
      </c>
      <c r="O141" s="98" t="s">
        <v>48</v>
      </c>
      <c r="P141" s="98">
        <v>4</v>
      </c>
      <c r="Q141" s="98">
        <v>10</v>
      </c>
      <c r="R141" s="98" t="s">
        <v>49</v>
      </c>
      <c r="S141" s="98" t="s">
        <v>50</v>
      </c>
      <c r="T141" s="98" t="s">
        <v>50</v>
      </c>
      <c r="U141" s="98" t="s">
        <v>50</v>
      </c>
      <c r="V141" s="98" t="s">
        <v>50</v>
      </c>
      <c r="W141" s="98" t="s">
        <v>50</v>
      </c>
      <c r="X141" s="98" t="s">
        <v>50</v>
      </c>
      <c r="Y141" s="622" t="s">
        <v>2638</v>
      </c>
    </row>
    <row r="142" spans="1:25" s="98" customFormat="1" x14ac:dyDescent="0.25">
      <c r="A142" s="194">
        <v>43825</v>
      </c>
      <c r="B142" s="98" t="s">
        <v>876</v>
      </c>
      <c r="C142" s="98" t="s">
        <v>78</v>
      </c>
      <c r="D142" s="98">
        <v>38.075650000000003</v>
      </c>
      <c r="E142" s="98">
        <v>-122.0248</v>
      </c>
      <c r="F142" s="98" t="s">
        <v>2639</v>
      </c>
      <c r="G142" s="98" t="s">
        <v>27</v>
      </c>
      <c r="H142" s="98" t="s">
        <v>86</v>
      </c>
      <c r="I142" s="621">
        <v>0.3840277777777778</v>
      </c>
      <c r="J142" s="100">
        <v>10290.25</v>
      </c>
      <c r="K142" s="100">
        <v>10.275</v>
      </c>
      <c r="L142" s="100">
        <v>21.25</v>
      </c>
      <c r="M142" s="100">
        <v>0.47749999999999998</v>
      </c>
      <c r="N142" s="100">
        <v>6.1999999999999993</v>
      </c>
      <c r="O142" s="98" t="s">
        <v>48</v>
      </c>
      <c r="P142" s="98">
        <v>4</v>
      </c>
      <c r="Q142" s="98">
        <v>10</v>
      </c>
      <c r="R142" s="98" t="s">
        <v>49</v>
      </c>
      <c r="S142" s="98" t="s">
        <v>50</v>
      </c>
      <c r="T142" s="98" t="s">
        <v>50</v>
      </c>
      <c r="U142" s="98" t="s">
        <v>50</v>
      </c>
      <c r="V142" s="98" t="s">
        <v>50</v>
      </c>
      <c r="W142" s="98" t="s">
        <v>50</v>
      </c>
      <c r="X142" s="98" t="s">
        <v>50</v>
      </c>
      <c r="Y142" s="622"/>
    </row>
    <row r="143" spans="1:25" s="98" customFormat="1" x14ac:dyDescent="0.25">
      <c r="A143" s="194">
        <v>43825</v>
      </c>
      <c r="B143" s="98" t="s">
        <v>876</v>
      </c>
      <c r="C143" s="98" t="s">
        <v>78</v>
      </c>
      <c r="D143" s="98">
        <v>38.058619999999998</v>
      </c>
      <c r="E143" s="98">
        <v>-122.00102</v>
      </c>
      <c r="F143" s="98" t="s">
        <v>2640</v>
      </c>
      <c r="G143" s="98" t="s">
        <v>27</v>
      </c>
      <c r="H143" s="98" t="s">
        <v>86</v>
      </c>
      <c r="I143" s="621">
        <v>0.4368055555555555</v>
      </c>
      <c r="J143" s="100">
        <v>9553.5</v>
      </c>
      <c r="K143" s="100">
        <v>10.45</v>
      </c>
      <c r="L143" s="100">
        <v>17.050000000000004</v>
      </c>
      <c r="M143" s="100">
        <v>0.58250000000000002</v>
      </c>
      <c r="N143" s="100">
        <v>13.375</v>
      </c>
      <c r="O143" s="98" t="s">
        <v>48</v>
      </c>
      <c r="P143" s="98">
        <v>4</v>
      </c>
      <c r="Q143" s="98">
        <v>10</v>
      </c>
      <c r="R143" s="98" t="s">
        <v>64</v>
      </c>
      <c r="S143" s="98" t="s">
        <v>50</v>
      </c>
      <c r="T143" s="98" t="s">
        <v>50</v>
      </c>
      <c r="U143" s="98" t="s">
        <v>50</v>
      </c>
      <c r="V143" s="98" t="s">
        <v>50</v>
      </c>
      <c r="W143" s="98" t="s">
        <v>50</v>
      </c>
      <c r="X143" s="98" t="s">
        <v>50</v>
      </c>
      <c r="Y143" s="622" t="s">
        <v>2641</v>
      </c>
    </row>
    <row r="144" spans="1:25" s="98" customFormat="1" x14ac:dyDescent="0.25">
      <c r="A144" s="194">
        <v>43825</v>
      </c>
      <c r="B144" s="98" t="s">
        <v>876</v>
      </c>
      <c r="C144" s="98" t="s">
        <v>78</v>
      </c>
      <c r="D144" s="98">
        <v>38.036700000000003</v>
      </c>
      <c r="E144" s="98">
        <v>-122.12768</v>
      </c>
      <c r="F144" s="98" t="s">
        <v>2642</v>
      </c>
      <c r="G144" s="98" t="s">
        <v>80</v>
      </c>
      <c r="H144" s="98" t="s">
        <v>81</v>
      </c>
      <c r="I144" s="621">
        <v>0.5180555555555556</v>
      </c>
      <c r="J144" s="100">
        <v>25778.5</v>
      </c>
      <c r="K144" s="100">
        <v>11.125</v>
      </c>
      <c r="L144" s="100">
        <v>17.224999999999998</v>
      </c>
      <c r="M144" s="100">
        <v>0.56499999999999995</v>
      </c>
      <c r="N144" s="100">
        <v>17.450000000000003</v>
      </c>
      <c r="O144" s="98" t="s">
        <v>48</v>
      </c>
      <c r="P144" s="98">
        <v>4</v>
      </c>
      <c r="Q144" s="98">
        <v>10</v>
      </c>
      <c r="R144" s="98" t="s">
        <v>64</v>
      </c>
      <c r="S144" s="98" t="s">
        <v>50</v>
      </c>
      <c r="T144" s="98" t="s">
        <v>50</v>
      </c>
      <c r="U144" s="98" t="s">
        <v>50</v>
      </c>
      <c r="V144" s="98" t="s">
        <v>50</v>
      </c>
      <c r="W144" s="98" t="s">
        <v>50</v>
      </c>
      <c r="X144" s="98" t="s">
        <v>50</v>
      </c>
      <c r="Y144" s="622"/>
    </row>
    <row r="145" spans="1:25" s="98" customFormat="1" x14ac:dyDescent="0.25">
      <c r="A145" s="194">
        <v>43826</v>
      </c>
      <c r="B145" s="98" t="s">
        <v>125</v>
      </c>
      <c r="C145" s="98" t="s">
        <v>106</v>
      </c>
      <c r="D145" s="98">
        <v>38.560969999999998</v>
      </c>
      <c r="E145" s="98">
        <v>-121.54661</v>
      </c>
      <c r="F145" s="98" t="s">
        <v>2643</v>
      </c>
      <c r="G145" s="98" t="s">
        <v>90</v>
      </c>
      <c r="H145" s="98" t="s">
        <v>1787</v>
      </c>
      <c r="I145" s="621">
        <v>0.35694444444444445</v>
      </c>
      <c r="J145" s="100">
        <v>1152.5</v>
      </c>
      <c r="K145" s="100">
        <v>11.1</v>
      </c>
      <c r="L145" s="100">
        <v>3.5574999999999997</v>
      </c>
      <c r="M145" s="100" t="s">
        <v>2547</v>
      </c>
      <c r="N145" s="100">
        <v>9.6999999999999993</v>
      </c>
      <c r="O145" s="98" t="s">
        <v>48</v>
      </c>
      <c r="P145" s="98">
        <v>4</v>
      </c>
      <c r="Q145" s="98">
        <v>10</v>
      </c>
      <c r="R145" s="98" t="s">
        <v>49</v>
      </c>
      <c r="S145" s="98" t="s">
        <v>50</v>
      </c>
      <c r="T145" s="98" t="s">
        <v>50</v>
      </c>
      <c r="U145" s="98" t="s">
        <v>50</v>
      </c>
      <c r="V145" s="98" t="s">
        <v>50</v>
      </c>
      <c r="W145" s="98" t="s">
        <v>50</v>
      </c>
      <c r="X145" s="98" t="s">
        <v>50</v>
      </c>
      <c r="Y145" s="622"/>
    </row>
    <row r="146" spans="1:25" s="646" customFormat="1" x14ac:dyDescent="0.25">
      <c r="A146" s="645">
        <v>43826</v>
      </c>
      <c r="B146" s="646" t="s">
        <v>125</v>
      </c>
      <c r="C146" s="646" t="s">
        <v>106</v>
      </c>
      <c r="D146" s="646">
        <v>38.525970000000001</v>
      </c>
      <c r="E146" s="646">
        <v>-121.58472</v>
      </c>
      <c r="F146" s="646" t="s">
        <v>2644</v>
      </c>
      <c r="G146" s="646" t="s">
        <v>90</v>
      </c>
      <c r="H146" s="646" t="s">
        <v>1787</v>
      </c>
      <c r="I146" s="647">
        <v>0.41319444444444442</v>
      </c>
      <c r="J146" s="648">
        <v>776.05</v>
      </c>
      <c r="K146" s="648">
        <v>10.525</v>
      </c>
      <c r="L146" s="648">
        <v>7.9450000000000003</v>
      </c>
      <c r="M146" s="648">
        <v>0.96000000000000008</v>
      </c>
      <c r="N146" s="648">
        <v>11.25</v>
      </c>
      <c r="O146" s="646" t="s">
        <v>48</v>
      </c>
      <c r="P146" s="646">
        <v>4</v>
      </c>
      <c r="Q146" s="646">
        <v>10</v>
      </c>
      <c r="R146" s="646" t="s">
        <v>49</v>
      </c>
      <c r="S146" s="667" t="s">
        <v>758</v>
      </c>
      <c r="T146" s="646">
        <v>1</v>
      </c>
      <c r="U146" s="646">
        <v>70</v>
      </c>
      <c r="V146" s="646" t="s">
        <v>50</v>
      </c>
      <c r="W146" s="646">
        <v>4</v>
      </c>
      <c r="X146" s="646" t="s">
        <v>50</v>
      </c>
      <c r="Y146" s="668" t="s">
        <v>2645</v>
      </c>
    </row>
    <row r="147" spans="1:25" s="98" customFormat="1" x14ac:dyDescent="0.25">
      <c r="A147" s="194">
        <v>43826</v>
      </c>
      <c r="B147" s="98" t="s">
        <v>125</v>
      </c>
      <c r="C147" s="98" t="s">
        <v>106</v>
      </c>
      <c r="D147" s="98">
        <v>38.231639999999999</v>
      </c>
      <c r="E147" s="98">
        <v>-121.67426</v>
      </c>
      <c r="F147" s="98" t="s">
        <v>2646</v>
      </c>
      <c r="G147" s="98" t="s">
        <v>90</v>
      </c>
      <c r="H147" s="98" t="s">
        <v>362</v>
      </c>
      <c r="I147" s="621">
        <v>0.48680555555555555</v>
      </c>
      <c r="J147" s="100">
        <v>214.97499999999999</v>
      </c>
      <c r="K147" s="100">
        <v>9.3000000000000007</v>
      </c>
      <c r="L147" s="100">
        <v>14.725000000000001</v>
      </c>
      <c r="M147" s="100">
        <v>0.755</v>
      </c>
      <c r="N147" s="100">
        <v>11.5</v>
      </c>
      <c r="O147" s="98" t="s">
        <v>48</v>
      </c>
      <c r="P147" s="98">
        <v>4</v>
      </c>
      <c r="Q147" s="98">
        <v>10</v>
      </c>
      <c r="R147" s="98" t="s">
        <v>64</v>
      </c>
      <c r="S147" s="98" t="s">
        <v>50</v>
      </c>
      <c r="T147" s="98" t="s">
        <v>50</v>
      </c>
      <c r="U147" s="98" t="s">
        <v>50</v>
      </c>
      <c r="V147" s="98" t="s">
        <v>50</v>
      </c>
      <c r="W147" s="98" t="s">
        <v>50</v>
      </c>
      <c r="X147" s="98" t="s">
        <v>50</v>
      </c>
      <c r="Y147" s="622"/>
    </row>
    <row r="148" spans="1:25" s="98" customFormat="1" x14ac:dyDescent="0.25">
      <c r="A148" s="194">
        <v>43826</v>
      </c>
      <c r="B148" s="98" t="s">
        <v>125</v>
      </c>
      <c r="C148" s="98" t="s">
        <v>95</v>
      </c>
      <c r="D148" s="98">
        <v>38.095500000000001</v>
      </c>
      <c r="E148" s="98">
        <v>-121.66829</v>
      </c>
      <c r="F148" s="98" t="s">
        <v>2647</v>
      </c>
      <c r="G148" s="98" t="s">
        <v>46</v>
      </c>
      <c r="H148" s="98" t="s">
        <v>908</v>
      </c>
      <c r="I148" s="621">
        <v>0.40138888888888885</v>
      </c>
      <c r="J148" s="100">
        <v>517.25</v>
      </c>
      <c r="K148" s="100">
        <v>9.9499999999999993</v>
      </c>
      <c r="L148" s="100">
        <v>8.5500000000000007</v>
      </c>
      <c r="M148" s="100">
        <v>1.0925000000000002</v>
      </c>
      <c r="N148" s="100">
        <v>10.675000000000001</v>
      </c>
      <c r="O148" s="98" t="s">
        <v>48</v>
      </c>
      <c r="P148" s="98">
        <v>4</v>
      </c>
      <c r="Q148" s="98">
        <v>10</v>
      </c>
      <c r="R148" s="98" t="s">
        <v>49</v>
      </c>
      <c r="S148" s="98" t="s">
        <v>50</v>
      </c>
      <c r="T148" s="98" t="s">
        <v>50</v>
      </c>
      <c r="U148" s="98" t="s">
        <v>50</v>
      </c>
      <c r="V148" s="98" t="s">
        <v>50</v>
      </c>
      <c r="W148" s="98" t="s">
        <v>50</v>
      </c>
      <c r="X148" s="98" t="s">
        <v>50</v>
      </c>
      <c r="Y148" s="622"/>
    </row>
    <row r="149" spans="1:25" s="98" customFormat="1" x14ac:dyDescent="0.25">
      <c r="A149" s="194">
        <v>43826</v>
      </c>
      <c r="B149" s="98" t="s">
        <v>125</v>
      </c>
      <c r="C149" s="98" t="s">
        <v>95</v>
      </c>
      <c r="D149" s="98">
        <v>38.04513</v>
      </c>
      <c r="E149" s="98">
        <v>-121.69607000000001</v>
      </c>
      <c r="F149" s="98" t="s">
        <v>2648</v>
      </c>
      <c r="G149" s="98" t="s">
        <v>27</v>
      </c>
      <c r="H149" s="98" t="s">
        <v>863</v>
      </c>
      <c r="I149" s="621">
        <v>0.45208333333333334</v>
      </c>
      <c r="J149" s="100">
        <v>600.75</v>
      </c>
      <c r="K149" s="100">
        <v>9.9</v>
      </c>
      <c r="L149" s="100">
        <v>10.4725</v>
      </c>
      <c r="M149" s="100">
        <v>1.1400000000000001</v>
      </c>
      <c r="N149" s="100">
        <v>12.125</v>
      </c>
      <c r="O149" s="98" t="s">
        <v>48</v>
      </c>
      <c r="P149" s="98">
        <v>4</v>
      </c>
      <c r="Q149" s="98">
        <v>10</v>
      </c>
      <c r="R149" s="98" t="s">
        <v>49</v>
      </c>
      <c r="S149" s="98" t="s">
        <v>50</v>
      </c>
      <c r="T149" s="98" t="s">
        <v>50</v>
      </c>
      <c r="U149" s="98" t="s">
        <v>50</v>
      </c>
      <c r="V149" s="98" t="s">
        <v>50</v>
      </c>
      <c r="W149" s="98" t="s">
        <v>50</v>
      </c>
      <c r="X149" s="98" t="s">
        <v>50</v>
      </c>
      <c r="Y149" s="622" t="s">
        <v>2645</v>
      </c>
    </row>
    <row r="150" spans="1:25" s="98" customFormat="1" x14ac:dyDescent="0.25">
      <c r="A150" s="194">
        <v>43826</v>
      </c>
      <c r="B150" s="98" t="s">
        <v>125</v>
      </c>
      <c r="C150" s="98" t="s">
        <v>95</v>
      </c>
      <c r="D150" s="98">
        <v>38.019129999999997</v>
      </c>
      <c r="E150" s="98">
        <v>-121.7692</v>
      </c>
      <c r="F150" s="98" t="s">
        <v>2649</v>
      </c>
      <c r="G150" s="98" t="s">
        <v>27</v>
      </c>
      <c r="H150" s="98" t="s">
        <v>863</v>
      </c>
      <c r="I150" s="621">
        <v>0.50555555555555554</v>
      </c>
      <c r="J150" s="100">
        <v>995</v>
      </c>
      <c r="K150" s="100">
        <v>10.100000000000001</v>
      </c>
      <c r="L150" s="100">
        <v>12.599999999999998</v>
      </c>
      <c r="M150" s="100">
        <v>0.82499999999999996</v>
      </c>
      <c r="N150" s="100">
        <v>10.125</v>
      </c>
      <c r="O150" s="98" t="s">
        <v>48</v>
      </c>
      <c r="P150" s="98">
        <v>4</v>
      </c>
      <c r="Q150" s="98">
        <v>10</v>
      </c>
      <c r="R150" s="98" t="s">
        <v>64</v>
      </c>
      <c r="S150" s="98" t="s">
        <v>50</v>
      </c>
      <c r="T150" s="98" t="s">
        <v>50</v>
      </c>
      <c r="U150" s="98" t="s">
        <v>50</v>
      </c>
      <c r="V150" s="98" t="s">
        <v>50</v>
      </c>
      <c r="W150" s="98" t="s">
        <v>50</v>
      </c>
      <c r="X150" s="98" t="s">
        <v>50</v>
      </c>
      <c r="Y150" s="622"/>
    </row>
    <row r="151" spans="1:25" s="98" customFormat="1" x14ac:dyDescent="0.25">
      <c r="A151" s="194">
        <v>43826</v>
      </c>
      <c r="B151" s="98" t="s">
        <v>125</v>
      </c>
      <c r="C151" s="98" t="s">
        <v>118</v>
      </c>
      <c r="D151" s="98">
        <v>38.059040000000003</v>
      </c>
      <c r="E151" s="98">
        <v>-122.31270000000001</v>
      </c>
      <c r="F151" s="98" t="s">
        <v>2650</v>
      </c>
      <c r="G151" s="98" t="s">
        <v>80</v>
      </c>
      <c r="H151" s="98" t="s">
        <v>123</v>
      </c>
      <c r="I151" s="621">
        <v>0.32847222222222222</v>
      </c>
      <c r="J151" s="100">
        <v>28531.5</v>
      </c>
      <c r="K151" s="100">
        <v>10.9</v>
      </c>
      <c r="L151" s="100">
        <v>20.675000000000001</v>
      </c>
      <c r="M151" s="100">
        <v>0.55499999999999994</v>
      </c>
      <c r="N151" s="100">
        <v>6</v>
      </c>
      <c r="O151" s="98" t="s">
        <v>48</v>
      </c>
      <c r="P151" s="98">
        <v>4</v>
      </c>
      <c r="Q151" s="98">
        <v>10</v>
      </c>
      <c r="R151" s="98" t="s">
        <v>49</v>
      </c>
      <c r="S151" s="98" t="s">
        <v>50</v>
      </c>
      <c r="T151" s="98" t="s">
        <v>50</v>
      </c>
      <c r="U151" s="98" t="s">
        <v>50</v>
      </c>
      <c r="V151" s="98" t="s">
        <v>50</v>
      </c>
      <c r="W151" s="98" t="s">
        <v>50</v>
      </c>
      <c r="X151" s="98" t="s">
        <v>50</v>
      </c>
      <c r="Y151" s="622"/>
    </row>
    <row r="152" spans="1:25" s="98" customFormat="1" x14ac:dyDescent="0.25">
      <c r="A152" s="194">
        <v>43826</v>
      </c>
      <c r="B152" s="98" t="s">
        <v>125</v>
      </c>
      <c r="C152" s="98" t="s">
        <v>118</v>
      </c>
      <c r="D152" s="98">
        <v>38.06297</v>
      </c>
      <c r="E152" s="98">
        <v>-122.23871</v>
      </c>
      <c r="F152" s="98" t="s">
        <v>2651</v>
      </c>
      <c r="G152" s="98" t="s">
        <v>80</v>
      </c>
      <c r="H152" s="98" t="s">
        <v>120</v>
      </c>
      <c r="I152" s="621">
        <v>0.37986111111111115</v>
      </c>
      <c r="J152" s="100">
        <v>24698.25</v>
      </c>
      <c r="K152" s="100">
        <v>10.850000000000001</v>
      </c>
      <c r="L152" s="100">
        <v>18.850000000000001</v>
      </c>
      <c r="M152" s="100">
        <v>0.66</v>
      </c>
      <c r="N152" s="100">
        <v>20.424999999999997</v>
      </c>
      <c r="O152" s="98" t="s">
        <v>48</v>
      </c>
      <c r="P152" s="98">
        <v>4</v>
      </c>
      <c r="Q152" s="98">
        <v>10</v>
      </c>
      <c r="R152" s="98" t="s">
        <v>49</v>
      </c>
      <c r="S152" s="98" t="s">
        <v>50</v>
      </c>
      <c r="T152" s="98" t="s">
        <v>50</v>
      </c>
      <c r="U152" s="98" t="s">
        <v>50</v>
      </c>
      <c r="V152" s="98" t="s">
        <v>50</v>
      </c>
      <c r="W152" s="98" t="s">
        <v>50</v>
      </c>
      <c r="X152" s="98" t="s">
        <v>50</v>
      </c>
      <c r="Y152" s="622"/>
    </row>
    <row r="153" spans="1:25" s="362" customFormat="1" x14ac:dyDescent="0.25">
      <c r="A153" s="360">
        <v>43826</v>
      </c>
      <c r="B153" s="362" t="s">
        <v>125</v>
      </c>
      <c r="C153" s="362" t="s">
        <v>118</v>
      </c>
      <c r="D153" s="362">
        <v>38.041930000000001</v>
      </c>
      <c r="E153" s="362">
        <v>-122.16807</v>
      </c>
      <c r="F153" s="362" t="s">
        <v>2652</v>
      </c>
      <c r="G153" s="362" t="s">
        <v>80</v>
      </c>
      <c r="H153" s="362" t="s">
        <v>120</v>
      </c>
      <c r="I153" s="618">
        <v>0.4291666666666667</v>
      </c>
      <c r="J153" s="364">
        <v>19493.5</v>
      </c>
      <c r="K153" s="364">
        <v>10.55</v>
      </c>
      <c r="L153" s="364">
        <v>16.774999999999999</v>
      </c>
      <c r="M153" s="364">
        <v>0.67500000000000004</v>
      </c>
      <c r="N153" s="364">
        <v>25.124999999999996</v>
      </c>
      <c r="O153" s="362" t="s">
        <v>48</v>
      </c>
      <c r="P153" s="362">
        <v>4</v>
      </c>
      <c r="Q153" s="362">
        <v>10</v>
      </c>
      <c r="R153" s="362" t="s">
        <v>64</v>
      </c>
      <c r="S153" s="362" t="s">
        <v>50</v>
      </c>
      <c r="T153" s="362" t="s">
        <v>50</v>
      </c>
      <c r="U153" s="362" t="s">
        <v>50</v>
      </c>
      <c r="V153" s="362" t="s">
        <v>50</v>
      </c>
      <c r="W153" s="362" t="s">
        <v>50</v>
      </c>
      <c r="X153" s="362" t="s">
        <v>50</v>
      </c>
      <c r="Y153" s="603"/>
    </row>
    <row r="154" spans="1:25" s="98" customFormat="1" x14ac:dyDescent="0.25">
      <c r="A154" s="194">
        <v>43829</v>
      </c>
      <c r="B154" s="98" t="s">
        <v>43</v>
      </c>
      <c r="C154" s="98" t="s">
        <v>88</v>
      </c>
      <c r="D154" s="98">
        <v>38.172809999999998</v>
      </c>
      <c r="E154" s="98">
        <v>-121.67337999999999</v>
      </c>
      <c r="F154" s="98" t="s">
        <v>2653</v>
      </c>
      <c r="G154" s="98" t="s">
        <v>90</v>
      </c>
      <c r="H154" s="98" t="s">
        <v>91</v>
      </c>
      <c r="I154" s="621">
        <v>0.32083333333333336</v>
      </c>
      <c r="J154" s="100">
        <v>197.125</v>
      </c>
      <c r="K154" s="100">
        <v>9</v>
      </c>
      <c r="L154" s="100">
        <v>8.2625000000000011</v>
      </c>
      <c r="M154" s="100">
        <v>1.1175000000000002</v>
      </c>
      <c r="N154" s="100">
        <v>16.350000000000001</v>
      </c>
      <c r="O154" s="98" t="s">
        <v>48</v>
      </c>
      <c r="P154" s="98">
        <v>4</v>
      </c>
      <c r="Q154" s="98">
        <v>10</v>
      </c>
      <c r="R154" s="98" t="s">
        <v>64</v>
      </c>
      <c r="S154" s="98" t="s">
        <v>50</v>
      </c>
      <c r="T154" s="98" t="s">
        <v>50</v>
      </c>
      <c r="U154" s="98" t="s">
        <v>50</v>
      </c>
      <c r="V154" s="98" t="s">
        <v>50</v>
      </c>
      <c r="W154" s="98" t="s">
        <v>50</v>
      </c>
      <c r="X154" s="98" t="s">
        <v>50</v>
      </c>
      <c r="Y154" s="622"/>
    </row>
    <row r="155" spans="1:25" s="98" customFormat="1" x14ac:dyDescent="0.25">
      <c r="A155" s="194">
        <v>43829</v>
      </c>
      <c r="B155" s="98" t="s">
        <v>43</v>
      </c>
      <c r="C155" s="98" t="s">
        <v>88</v>
      </c>
      <c r="D155" s="98">
        <v>38.153419999999997</v>
      </c>
      <c r="E155" s="98">
        <v>-121.68882000000001</v>
      </c>
      <c r="F155" s="98" t="s">
        <v>2654</v>
      </c>
      <c r="G155" s="98" t="s">
        <v>90</v>
      </c>
      <c r="H155" s="98" t="s">
        <v>91</v>
      </c>
      <c r="I155" s="621">
        <v>0.37013888888888885</v>
      </c>
      <c r="J155" s="100">
        <v>196.45</v>
      </c>
      <c r="K155" s="100">
        <v>9.1</v>
      </c>
      <c r="L155" s="100">
        <v>9.7375000000000007</v>
      </c>
      <c r="M155" s="100">
        <v>1.17</v>
      </c>
      <c r="N155" s="100">
        <v>9.625</v>
      </c>
      <c r="O155" s="98" t="s">
        <v>48</v>
      </c>
      <c r="P155" s="98">
        <v>4</v>
      </c>
      <c r="Q155" s="98">
        <v>10</v>
      </c>
      <c r="R155" s="98" t="s">
        <v>49</v>
      </c>
      <c r="S155" s="98" t="s">
        <v>50</v>
      </c>
      <c r="T155" s="98" t="s">
        <v>50</v>
      </c>
      <c r="U155" s="98" t="s">
        <v>50</v>
      </c>
      <c r="V155" s="98" t="s">
        <v>50</v>
      </c>
      <c r="W155" s="98" t="s">
        <v>50</v>
      </c>
      <c r="X155" s="98" t="s">
        <v>50</v>
      </c>
      <c r="Y155" s="622"/>
    </row>
    <row r="156" spans="1:25" s="98" customFormat="1" x14ac:dyDescent="0.25">
      <c r="A156" s="194">
        <v>43829</v>
      </c>
      <c r="B156" s="98" t="s">
        <v>43</v>
      </c>
      <c r="C156" s="98" t="s">
        <v>88</v>
      </c>
      <c r="D156" s="98">
        <v>38.119410000000002</v>
      </c>
      <c r="E156" s="98">
        <v>-121.69741999999999</v>
      </c>
      <c r="F156" s="98" t="s">
        <v>2655</v>
      </c>
      <c r="G156" s="98" t="s">
        <v>90</v>
      </c>
      <c r="H156" s="98" t="s">
        <v>91</v>
      </c>
      <c r="I156" s="621">
        <v>0.44305555555555554</v>
      </c>
      <c r="J156" s="100">
        <v>281.05</v>
      </c>
      <c r="K156" s="100">
        <v>9.2750000000000004</v>
      </c>
      <c r="L156" s="100">
        <v>10.2225</v>
      </c>
      <c r="M156" s="100">
        <v>1.23</v>
      </c>
      <c r="N156" s="100">
        <v>5.15</v>
      </c>
      <c r="O156" s="98" t="s">
        <v>48</v>
      </c>
      <c r="P156" s="98">
        <v>4</v>
      </c>
      <c r="Q156" s="98">
        <v>10</v>
      </c>
      <c r="R156" s="98" t="s">
        <v>49</v>
      </c>
      <c r="S156" s="98" t="s">
        <v>50</v>
      </c>
      <c r="T156" s="98" t="s">
        <v>50</v>
      </c>
      <c r="U156" s="98" t="s">
        <v>50</v>
      </c>
      <c r="V156" s="98" t="s">
        <v>50</v>
      </c>
      <c r="W156" s="98" t="s">
        <v>50</v>
      </c>
      <c r="X156" s="98" t="s">
        <v>50</v>
      </c>
      <c r="Y156" s="622" t="s">
        <v>1497</v>
      </c>
    </row>
    <row r="157" spans="1:25" s="98" customFormat="1" x14ac:dyDescent="0.25">
      <c r="A157" s="194">
        <v>43829</v>
      </c>
      <c r="B157" s="98" t="s">
        <v>43</v>
      </c>
      <c r="C157" s="98" t="s">
        <v>88</v>
      </c>
      <c r="D157" s="98">
        <v>38.100099999999998</v>
      </c>
      <c r="E157" s="98">
        <v>-121.7076</v>
      </c>
      <c r="F157" s="98" t="s">
        <v>2656</v>
      </c>
      <c r="G157" s="98" t="s">
        <v>90</v>
      </c>
      <c r="H157" s="98" t="s">
        <v>91</v>
      </c>
      <c r="I157" s="621">
        <v>0.49236111111111108</v>
      </c>
      <c r="J157" s="100">
        <v>257.35000000000002</v>
      </c>
      <c r="K157" s="100">
        <v>9.4</v>
      </c>
      <c r="L157" s="100">
        <v>8.9400000000000013</v>
      </c>
      <c r="M157" s="100">
        <v>1.2574999999999998</v>
      </c>
      <c r="N157" s="100">
        <v>3.4</v>
      </c>
      <c r="O157" s="98" t="s">
        <v>48</v>
      </c>
      <c r="P157" s="98">
        <v>4</v>
      </c>
      <c r="Q157" s="98">
        <v>10</v>
      </c>
      <c r="R157" s="98" t="s">
        <v>49</v>
      </c>
      <c r="S157" s="98" t="s">
        <v>50</v>
      </c>
      <c r="T157" s="98" t="s">
        <v>50</v>
      </c>
      <c r="U157" s="98" t="s">
        <v>50</v>
      </c>
      <c r="V157" s="98" t="s">
        <v>50</v>
      </c>
      <c r="W157" s="98" t="s">
        <v>50</v>
      </c>
      <c r="X157" s="98" t="s">
        <v>50</v>
      </c>
      <c r="Y157" s="622"/>
    </row>
    <row r="158" spans="1:25" s="98" customFormat="1" x14ac:dyDescent="0.25">
      <c r="A158" s="194">
        <v>43829</v>
      </c>
      <c r="B158" s="98" t="s">
        <v>43</v>
      </c>
      <c r="C158" s="98" t="s">
        <v>95</v>
      </c>
      <c r="D158" s="98">
        <v>38.018030000000003</v>
      </c>
      <c r="E158" s="98">
        <v>-121.80806</v>
      </c>
      <c r="F158" s="98" t="s">
        <v>2657</v>
      </c>
      <c r="G158" s="98" t="s">
        <v>27</v>
      </c>
      <c r="H158" s="98" t="s">
        <v>863</v>
      </c>
      <c r="I158" s="621">
        <v>0.34097222222222223</v>
      </c>
      <c r="J158" s="100">
        <v>1281.25</v>
      </c>
      <c r="K158" s="100">
        <v>9.6</v>
      </c>
      <c r="L158" s="100">
        <v>15.324999999999999</v>
      </c>
      <c r="M158" s="100">
        <v>0.65500000000000003</v>
      </c>
      <c r="N158" s="100">
        <v>13.5</v>
      </c>
      <c r="O158" s="98" t="s">
        <v>48</v>
      </c>
      <c r="P158" s="98">
        <v>4</v>
      </c>
      <c r="Q158" s="98">
        <v>10</v>
      </c>
      <c r="R158" s="98" t="s">
        <v>64</v>
      </c>
      <c r="S158" s="98" t="s">
        <v>50</v>
      </c>
      <c r="T158" s="98" t="s">
        <v>50</v>
      </c>
      <c r="U158" s="98" t="s">
        <v>50</v>
      </c>
      <c r="V158" s="98" t="s">
        <v>50</v>
      </c>
      <c r="W158" s="98" t="s">
        <v>50</v>
      </c>
      <c r="X158" s="98" t="s">
        <v>50</v>
      </c>
      <c r="Y158" s="622"/>
    </row>
    <row r="159" spans="1:25" s="98" customFormat="1" x14ac:dyDescent="0.25">
      <c r="A159" s="194">
        <v>43829</v>
      </c>
      <c r="B159" s="98" t="s">
        <v>43</v>
      </c>
      <c r="C159" s="98" t="s">
        <v>95</v>
      </c>
      <c r="D159" s="98">
        <v>38.015990000000002</v>
      </c>
      <c r="E159" s="98">
        <v>-121.7865</v>
      </c>
      <c r="F159" s="98" t="s">
        <v>2658</v>
      </c>
      <c r="G159" s="98" t="s">
        <v>27</v>
      </c>
      <c r="H159" s="98" t="s">
        <v>863</v>
      </c>
      <c r="I159" s="621">
        <v>0.3923611111111111</v>
      </c>
      <c r="J159" s="100">
        <v>1215.25</v>
      </c>
      <c r="K159" s="100">
        <v>9.6999999999999993</v>
      </c>
      <c r="L159" s="100">
        <v>14.35</v>
      </c>
      <c r="M159" s="100">
        <v>0.68</v>
      </c>
      <c r="N159" s="100">
        <v>12.125</v>
      </c>
      <c r="O159" s="98" t="s">
        <v>48</v>
      </c>
      <c r="P159" s="98">
        <v>4</v>
      </c>
      <c r="Q159" s="98">
        <v>10</v>
      </c>
      <c r="R159" s="98" t="s">
        <v>49</v>
      </c>
      <c r="S159" s="98" t="s">
        <v>50</v>
      </c>
      <c r="T159" s="98" t="s">
        <v>50</v>
      </c>
      <c r="U159" s="98" t="s">
        <v>50</v>
      </c>
      <c r="V159" s="98" t="s">
        <v>50</v>
      </c>
      <c r="W159" s="98" t="s">
        <v>50</v>
      </c>
      <c r="X159" s="98" t="s">
        <v>50</v>
      </c>
      <c r="Y159" s="622"/>
    </row>
    <row r="160" spans="1:25" s="98" customFormat="1" x14ac:dyDescent="0.25">
      <c r="A160" s="194">
        <v>43829</v>
      </c>
      <c r="B160" s="98" t="s">
        <v>43</v>
      </c>
      <c r="C160" s="98" t="s">
        <v>95</v>
      </c>
      <c r="D160" s="98">
        <v>38.046959999999999</v>
      </c>
      <c r="E160" s="98">
        <v>-121.69274</v>
      </c>
      <c r="F160" s="98" t="s">
        <v>2659</v>
      </c>
      <c r="G160" s="98" t="s">
        <v>27</v>
      </c>
      <c r="H160" s="98" t="s">
        <v>863</v>
      </c>
      <c r="I160" s="621">
        <v>0.45069444444444445</v>
      </c>
      <c r="J160" s="100">
        <v>671</v>
      </c>
      <c r="K160" s="100">
        <v>9.6999999999999993</v>
      </c>
      <c r="L160" s="100">
        <v>10.442499999999999</v>
      </c>
      <c r="M160" s="100">
        <v>1.0325000000000002</v>
      </c>
      <c r="N160" s="100">
        <v>12.149999999999999</v>
      </c>
      <c r="O160" s="98" t="s">
        <v>48</v>
      </c>
      <c r="P160" s="98">
        <v>4</v>
      </c>
      <c r="Q160" s="98">
        <v>10</v>
      </c>
      <c r="R160" s="98" t="s">
        <v>49</v>
      </c>
      <c r="S160" s="98" t="s">
        <v>50</v>
      </c>
      <c r="T160" s="98" t="s">
        <v>50</v>
      </c>
      <c r="U160" s="98" t="s">
        <v>50</v>
      </c>
      <c r="V160" s="98" t="s">
        <v>50</v>
      </c>
      <c r="W160" s="98" t="s">
        <v>50</v>
      </c>
      <c r="X160" s="98" t="s">
        <v>50</v>
      </c>
      <c r="Y160" s="622"/>
    </row>
    <row r="161" spans="1:25" s="98" customFormat="1" x14ac:dyDescent="0.25">
      <c r="A161" s="194">
        <v>43829</v>
      </c>
      <c r="B161" s="98" t="s">
        <v>43</v>
      </c>
      <c r="C161" s="98" t="s">
        <v>95</v>
      </c>
      <c r="D161" s="98">
        <v>38.096690000000002</v>
      </c>
      <c r="E161" s="98">
        <v>-121.65906</v>
      </c>
      <c r="F161" s="98" t="s">
        <v>2660</v>
      </c>
      <c r="G161" s="98" t="s">
        <v>46</v>
      </c>
      <c r="H161" s="98" t="s">
        <v>908</v>
      </c>
      <c r="I161" s="621">
        <v>0.50555555555555554</v>
      </c>
      <c r="J161" s="100">
        <v>509.5</v>
      </c>
      <c r="K161" s="100">
        <v>9.7750000000000004</v>
      </c>
      <c r="L161" s="100">
        <v>8.4599999999999991</v>
      </c>
      <c r="M161" s="100">
        <v>1.0750000000000002</v>
      </c>
      <c r="N161" s="100">
        <v>10.425000000000001</v>
      </c>
      <c r="O161" s="98" t="s">
        <v>48</v>
      </c>
      <c r="P161" s="98">
        <v>4</v>
      </c>
      <c r="Q161" s="98">
        <v>10</v>
      </c>
      <c r="R161" s="98" t="s">
        <v>49</v>
      </c>
      <c r="S161" s="98" t="s">
        <v>50</v>
      </c>
      <c r="T161" s="98" t="s">
        <v>50</v>
      </c>
      <c r="U161" s="98" t="s">
        <v>50</v>
      </c>
      <c r="V161" s="98" t="s">
        <v>50</v>
      </c>
      <c r="W161" s="98" t="s">
        <v>50</v>
      </c>
      <c r="X161" s="98" t="s">
        <v>50</v>
      </c>
    </row>
    <row r="162" spans="1:25" s="646" customFormat="1" x14ac:dyDescent="0.25">
      <c r="A162" s="645">
        <v>43829</v>
      </c>
      <c r="B162" s="646" t="s">
        <v>43</v>
      </c>
      <c r="C162" s="646" t="s">
        <v>118</v>
      </c>
      <c r="D162" s="646">
        <v>38.037599999999998</v>
      </c>
      <c r="E162" s="646">
        <v>-122.31255</v>
      </c>
      <c r="F162" s="646" t="s">
        <v>2661</v>
      </c>
      <c r="G162" s="646" t="s">
        <v>80</v>
      </c>
      <c r="H162" s="646" t="s">
        <v>123</v>
      </c>
      <c r="I162" s="647">
        <v>0.37291666666666662</v>
      </c>
      <c r="J162" s="648">
        <v>29313</v>
      </c>
      <c r="K162" s="648">
        <v>10.45</v>
      </c>
      <c r="L162" s="648">
        <v>15.7</v>
      </c>
      <c r="M162" s="648">
        <v>0.70250000000000001</v>
      </c>
      <c r="N162" s="648">
        <v>3.5250000000000004</v>
      </c>
      <c r="O162" s="646" t="s">
        <v>48</v>
      </c>
      <c r="P162" s="646">
        <v>4</v>
      </c>
      <c r="Q162" s="646">
        <v>10</v>
      </c>
      <c r="R162" s="646" t="s">
        <v>49</v>
      </c>
      <c r="S162" s="667" t="s">
        <v>348</v>
      </c>
      <c r="T162" s="646">
        <v>1</v>
      </c>
      <c r="U162" s="646">
        <v>127</v>
      </c>
      <c r="V162" s="646" t="s">
        <v>50</v>
      </c>
      <c r="W162" s="646">
        <v>5</v>
      </c>
      <c r="X162" s="646" t="s">
        <v>2525</v>
      </c>
      <c r="Y162" s="668" t="s">
        <v>2471</v>
      </c>
    </row>
    <row r="163" spans="1:25" s="98" customFormat="1" x14ac:dyDescent="0.25">
      <c r="A163" s="194">
        <v>43829</v>
      </c>
      <c r="B163" s="98" t="s">
        <v>43</v>
      </c>
      <c r="C163" s="98" t="s">
        <v>118</v>
      </c>
      <c r="D163" s="98">
        <v>38.086219999999997</v>
      </c>
      <c r="E163" s="98">
        <v>-122.24978</v>
      </c>
      <c r="F163" s="98" t="s">
        <v>2662</v>
      </c>
      <c r="G163" s="98" t="s">
        <v>80</v>
      </c>
      <c r="H163" s="98" t="s">
        <v>191</v>
      </c>
      <c r="I163" s="621">
        <v>0.43055555555555558</v>
      </c>
      <c r="J163" s="100">
        <v>21791.25</v>
      </c>
      <c r="K163" s="100">
        <v>10.375</v>
      </c>
      <c r="L163" s="100">
        <v>42.6</v>
      </c>
      <c r="M163" s="100">
        <v>0.375</v>
      </c>
      <c r="N163" s="100">
        <v>4.4499999999999993</v>
      </c>
      <c r="O163" s="98" t="s">
        <v>48</v>
      </c>
      <c r="P163" s="98">
        <v>4</v>
      </c>
      <c r="Q163" s="98">
        <v>10</v>
      </c>
      <c r="R163" s="98" t="s">
        <v>49</v>
      </c>
      <c r="S163" s="98" t="s">
        <v>50</v>
      </c>
      <c r="T163" s="98" t="s">
        <v>50</v>
      </c>
      <c r="U163" s="98" t="s">
        <v>50</v>
      </c>
      <c r="V163" s="98" t="s">
        <v>50</v>
      </c>
      <c r="W163" s="98" t="s">
        <v>50</v>
      </c>
      <c r="X163" s="98" t="s">
        <v>50</v>
      </c>
      <c r="Y163" s="622"/>
    </row>
    <row r="164" spans="1:25" s="98" customFormat="1" x14ac:dyDescent="0.25">
      <c r="A164" s="194">
        <v>43829</v>
      </c>
      <c r="B164" s="98" t="s">
        <v>43</v>
      </c>
      <c r="C164" s="98" t="s">
        <v>118</v>
      </c>
      <c r="D164" s="98">
        <v>38.03931</v>
      </c>
      <c r="E164" s="98">
        <v>-122.17018</v>
      </c>
      <c r="F164" s="98" t="s">
        <v>2663</v>
      </c>
      <c r="G164" s="98" t="s">
        <v>80</v>
      </c>
      <c r="H164" s="98" t="s">
        <v>120</v>
      </c>
      <c r="I164" s="621">
        <v>0.48819444444444443</v>
      </c>
      <c r="J164" s="100">
        <v>18052.5</v>
      </c>
      <c r="K164" s="100">
        <v>10.425000000000001</v>
      </c>
      <c r="L164" s="100">
        <v>22.875</v>
      </c>
      <c r="M164" s="100">
        <v>0.60250000000000004</v>
      </c>
      <c r="N164" s="100">
        <v>21.099999999999998</v>
      </c>
      <c r="O164" s="98" t="s">
        <v>48</v>
      </c>
      <c r="P164" s="98">
        <v>4</v>
      </c>
      <c r="Q164" s="98">
        <v>10</v>
      </c>
      <c r="R164" s="98" t="s">
        <v>49</v>
      </c>
      <c r="S164" s="98" t="s">
        <v>50</v>
      </c>
      <c r="T164" s="98" t="s">
        <v>50</v>
      </c>
      <c r="U164" s="98" t="s">
        <v>50</v>
      </c>
      <c r="V164" s="98" t="s">
        <v>50</v>
      </c>
      <c r="W164" s="98" t="s">
        <v>50</v>
      </c>
      <c r="X164" s="98" t="s">
        <v>50</v>
      </c>
      <c r="Y164" s="622"/>
    </row>
    <row r="165" spans="1:25" s="98" customFormat="1" x14ac:dyDescent="0.25">
      <c r="A165" s="194">
        <v>43829</v>
      </c>
      <c r="B165" s="98" t="s">
        <v>43</v>
      </c>
      <c r="C165" s="98" t="s">
        <v>78</v>
      </c>
      <c r="D165" s="98">
        <v>38.036830000000002</v>
      </c>
      <c r="E165" s="98">
        <v>-122.12513</v>
      </c>
      <c r="F165" s="98" t="s">
        <v>2664</v>
      </c>
      <c r="G165" s="98" t="s">
        <v>80</v>
      </c>
      <c r="H165" s="98" t="s">
        <v>81</v>
      </c>
      <c r="I165" s="621">
        <v>0.54097222222222219</v>
      </c>
      <c r="J165" s="100">
        <v>16114</v>
      </c>
      <c r="K165" s="100">
        <v>10.450000000000001</v>
      </c>
      <c r="L165" s="100">
        <v>20.524999999999999</v>
      </c>
      <c r="M165" s="100">
        <v>0.59499999999999997</v>
      </c>
      <c r="N165" s="100">
        <v>18.350000000000001</v>
      </c>
      <c r="O165" s="98" t="s">
        <v>48</v>
      </c>
      <c r="P165" s="98">
        <v>4</v>
      </c>
      <c r="Q165" s="98">
        <v>10</v>
      </c>
      <c r="R165" s="98" t="s">
        <v>64</v>
      </c>
      <c r="S165" s="98" t="s">
        <v>50</v>
      </c>
      <c r="T165" s="98" t="s">
        <v>50</v>
      </c>
      <c r="U165" s="98" t="s">
        <v>50</v>
      </c>
      <c r="V165" s="98" t="s">
        <v>50</v>
      </c>
      <c r="W165" s="98" t="s">
        <v>50</v>
      </c>
      <c r="X165" s="98" t="s">
        <v>50</v>
      </c>
      <c r="Y165" s="622"/>
    </row>
    <row r="166" spans="1:25" s="98" customFormat="1" x14ac:dyDescent="0.25">
      <c r="A166" s="194">
        <v>43830</v>
      </c>
      <c r="B166" s="98" t="s">
        <v>70</v>
      </c>
      <c r="C166" s="98" t="s">
        <v>88</v>
      </c>
      <c r="D166" s="98">
        <v>38.061869999999999</v>
      </c>
      <c r="E166" s="98">
        <v>-121.81388</v>
      </c>
      <c r="F166" s="98" t="s">
        <v>2665</v>
      </c>
      <c r="G166" s="98" t="s">
        <v>27</v>
      </c>
      <c r="H166" s="98" t="s">
        <v>25</v>
      </c>
      <c r="I166" s="621">
        <v>0.31527777777777777</v>
      </c>
      <c r="J166" s="100">
        <v>1400.5</v>
      </c>
      <c r="K166" s="100">
        <v>9.5500000000000007</v>
      </c>
      <c r="L166" s="100">
        <v>22.274999999999999</v>
      </c>
      <c r="M166" s="100">
        <v>0.57499999999999996</v>
      </c>
      <c r="N166" s="100">
        <v>12.175000000000001</v>
      </c>
      <c r="O166" s="98" t="s">
        <v>48</v>
      </c>
      <c r="P166" s="98">
        <v>4</v>
      </c>
      <c r="Q166" s="98">
        <v>10</v>
      </c>
      <c r="R166" s="98" t="s">
        <v>64</v>
      </c>
      <c r="S166" s="98" t="s">
        <v>50</v>
      </c>
      <c r="T166" s="98" t="s">
        <v>50</v>
      </c>
      <c r="U166" s="98" t="s">
        <v>50</v>
      </c>
      <c r="V166" s="98" t="s">
        <v>50</v>
      </c>
      <c r="W166" s="98" t="s">
        <v>50</v>
      </c>
      <c r="X166" s="98" t="s">
        <v>50</v>
      </c>
      <c r="Y166" s="622" t="s">
        <v>2471</v>
      </c>
    </row>
    <row r="167" spans="1:25" s="98" customFormat="1" x14ac:dyDescent="0.25">
      <c r="A167" s="194">
        <v>43830</v>
      </c>
      <c r="B167" s="98" t="s">
        <v>70</v>
      </c>
      <c r="C167" s="98" t="s">
        <v>88</v>
      </c>
      <c r="D167" s="98">
        <v>38.086509999999997</v>
      </c>
      <c r="E167" s="98">
        <v>-121.74619</v>
      </c>
      <c r="F167" s="98" t="s">
        <v>2666</v>
      </c>
      <c r="G167" s="98" t="s">
        <v>27</v>
      </c>
      <c r="H167" s="98" t="s">
        <v>25</v>
      </c>
      <c r="I167" s="621">
        <v>0.3659722222222222</v>
      </c>
      <c r="J167" s="100">
        <v>277.27499999999998</v>
      </c>
      <c r="K167" s="100">
        <v>9.1999999999999993</v>
      </c>
      <c r="L167" s="100">
        <v>17.975000000000001</v>
      </c>
      <c r="M167" s="100">
        <v>0.83250000000000002</v>
      </c>
      <c r="N167" s="100">
        <v>9.4774999999999991</v>
      </c>
      <c r="O167" s="98" t="s">
        <v>48</v>
      </c>
      <c r="P167" s="98">
        <v>4</v>
      </c>
      <c r="Q167" s="98">
        <v>10</v>
      </c>
      <c r="R167" s="98" t="s">
        <v>64</v>
      </c>
      <c r="S167" s="98" t="s">
        <v>50</v>
      </c>
      <c r="T167" s="98" t="s">
        <v>50</v>
      </c>
      <c r="U167" s="98" t="s">
        <v>50</v>
      </c>
      <c r="V167" s="98" t="s">
        <v>50</v>
      </c>
      <c r="W167" s="98" t="s">
        <v>50</v>
      </c>
      <c r="X167" s="98" t="s">
        <v>50</v>
      </c>
      <c r="Y167" s="622"/>
    </row>
    <row r="168" spans="1:25" s="98" customFormat="1" x14ac:dyDescent="0.25">
      <c r="A168" s="194">
        <v>43830</v>
      </c>
      <c r="B168" s="98" t="s">
        <v>70</v>
      </c>
      <c r="C168" s="98" t="s">
        <v>95</v>
      </c>
      <c r="D168" s="98">
        <v>38.098460000000003</v>
      </c>
      <c r="E168" s="98">
        <v>-121.58060999999999</v>
      </c>
      <c r="F168" s="98" t="s">
        <v>2667</v>
      </c>
      <c r="G168" s="98" t="s">
        <v>46</v>
      </c>
      <c r="H168" s="98" t="s">
        <v>115</v>
      </c>
      <c r="I168" s="621">
        <v>0.34652777777777777</v>
      </c>
      <c r="J168" s="100">
        <v>378.25</v>
      </c>
      <c r="K168" s="100">
        <v>9.6</v>
      </c>
      <c r="L168" s="100">
        <v>10.399999999999999</v>
      </c>
      <c r="M168" s="100">
        <v>1.1949999999999998</v>
      </c>
      <c r="N168" s="100">
        <v>5.9499999999999993</v>
      </c>
      <c r="O168" s="98" t="s">
        <v>48</v>
      </c>
      <c r="P168" s="98">
        <v>2</v>
      </c>
      <c r="Q168" s="98">
        <v>10</v>
      </c>
      <c r="R168" s="98" t="s">
        <v>64</v>
      </c>
      <c r="S168" s="98" t="s">
        <v>50</v>
      </c>
      <c r="T168" s="98" t="s">
        <v>50</v>
      </c>
      <c r="U168" s="98" t="s">
        <v>50</v>
      </c>
      <c r="V168" s="98" t="s">
        <v>50</v>
      </c>
      <c r="W168" s="98" t="s">
        <v>50</v>
      </c>
      <c r="X168" s="98" t="s">
        <v>50</v>
      </c>
      <c r="Y168" s="622" t="s">
        <v>2668</v>
      </c>
    </row>
    <row r="169" spans="1:25" s="98" customFormat="1" x14ac:dyDescent="0.25">
      <c r="A169" s="194">
        <v>43830</v>
      </c>
      <c r="B169" s="98" t="s">
        <v>70</v>
      </c>
      <c r="C169" s="98" t="s">
        <v>78</v>
      </c>
      <c r="D169" s="98">
        <v>38.046779999999998</v>
      </c>
      <c r="E169" s="98">
        <v>-121.91737000000001</v>
      </c>
      <c r="F169" s="98" t="s">
        <v>2669</v>
      </c>
      <c r="G169" s="98" t="s">
        <v>27</v>
      </c>
      <c r="H169" s="98" t="s">
        <v>101</v>
      </c>
      <c r="I169" s="621">
        <v>0.35902777777777778</v>
      </c>
      <c r="J169" s="100">
        <v>6052</v>
      </c>
      <c r="K169" s="100">
        <v>9.8000000000000007</v>
      </c>
      <c r="L169" s="100">
        <v>28.05</v>
      </c>
      <c r="M169" s="100">
        <v>0.35</v>
      </c>
      <c r="N169" s="100">
        <v>13.649999999999999</v>
      </c>
      <c r="O169" s="98" t="s">
        <v>48</v>
      </c>
      <c r="P169" s="98">
        <v>4</v>
      </c>
      <c r="Q169" s="98">
        <v>10</v>
      </c>
      <c r="R169" s="98" t="s">
        <v>49</v>
      </c>
      <c r="S169" s="98" t="s">
        <v>50</v>
      </c>
      <c r="T169" s="98" t="s">
        <v>50</v>
      </c>
      <c r="U169" s="98" t="s">
        <v>50</v>
      </c>
      <c r="V169" s="98" t="s">
        <v>50</v>
      </c>
      <c r="W169" s="98" t="s">
        <v>50</v>
      </c>
      <c r="X169" s="98" t="s">
        <v>50</v>
      </c>
      <c r="Y169" s="622" t="s">
        <v>2670</v>
      </c>
    </row>
    <row r="170" spans="1:25" s="98" customFormat="1" x14ac:dyDescent="0.25">
      <c r="A170" s="194">
        <v>43830</v>
      </c>
      <c r="B170" s="98" t="s">
        <v>70</v>
      </c>
      <c r="C170" s="98" t="s">
        <v>78</v>
      </c>
      <c r="D170" s="98">
        <v>38.069020000000002</v>
      </c>
      <c r="E170" s="98">
        <v>-121.8439</v>
      </c>
      <c r="F170" s="98" t="s">
        <v>2671</v>
      </c>
      <c r="G170" s="98" t="s">
        <v>27</v>
      </c>
      <c r="H170" s="98" t="s">
        <v>101</v>
      </c>
      <c r="I170" s="621">
        <v>0.41875000000000001</v>
      </c>
      <c r="J170" s="100">
        <v>2007.5</v>
      </c>
      <c r="K170" s="100">
        <v>9.7249999999999996</v>
      </c>
      <c r="L170" s="100">
        <v>23.1</v>
      </c>
      <c r="M170" s="100">
        <v>0.51</v>
      </c>
      <c r="N170" s="100">
        <v>7.5</v>
      </c>
      <c r="O170" s="98" t="s">
        <v>48</v>
      </c>
      <c r="P170" s="98">
        <v>4</v>
      </c>
      <c r="Q170" s="98">
        <v>10</v>
      </c>
      <c r="R170" s="98" t="s">
        <v>49</v>
      </c>
      <c r="S170" s="98" t="s">
        <v>50</v>
      </c>
      <c r="T170" s="98" t="s">
        <v>50</v>
      </c>
      <c r="U170" s="98" t="s">
        <v>50</v>
      </c>
      <c r="V170" s="98" t="s">
        <v>50</v>
      </c>
      <c r="W170" s="98" t="s">
        <v>50</v>
      </c>
      <c r="X170" s="98" t="s">
        <v>50</v>
      </c>
      <c r="Y170" s="622"/>
    </row>
    <row r="171" spans="1:25" s="98" customFormat="1" x14ac:dyDescent="0.25">
      <c r="A171" s="194">
        <v>43832</v>
      </c>
      <c r="B171" s="98" t="s">
        <v>876</v>
      </c>
      <c r="C171" s="98" t="s">
        <v>95</v>
      </c>
      <c r="D171" s="98">
        <v>38.089399999999998</v>
      </c>
      <c r="E171" s="98">
        <v>-121.63633</v>
      </c>
      <c r="F171" s="98" t="s">
        <v>2672</v>
      </c>
      <c r="G171" s="98" t="s">
        <v>46</v>
      </c>
      <c r="H171" s="98" t="s">
        <v>908</v>
      </c>
      <c r="I171" s="621">
        <v>0.37708333333333338</v>
      </c>
      <c r="J171" s="100">
        <v>487.5</v>
      </c>
      <c r="K171" s="100">
        <v>9.6</v>
      </c>
      <c r="L171" s="100">
        <v>9.2724999999999991</v>
      </c>
      <c r="M171" s="100">
        <v>1.26</v>
      </c>
      <c r="N171" s="100">
        <v>16.399999999999999</v>
      </c>
      <c r="O171" s="98" t="s">
        <v>48</v>
      </c>
      <c r="P171" s="98">
        <v>4</v>
      </c>
      <c r="Q171" s="98">
        <v>10</v>
      </c>
      <c r="R171" s="98" t="s">
        <v>64</v>
      </c>
      <c r="S171" s="98" t="s">
        <v>50</v>
      </c>
      <c r="T171" s="98" t="s">
        <v>50</v>
      </c>
      <c r="U171" s="98" t="s">
        <v>50</v>
      </c>
      <c r="V171" s="98" t="s">
        <v>50</v>
      </c>
      <c r="W171" s="98" t="s">
        <v>50</v>
      </c>
      <c r="X171" s="98" t="s">
        <v>50</v>
      </c>
      <c r="Y171" s="622"/>
    </row>
    <row r="172" spans="1:25" s="98" customFormat="1" x14ac:dyDescent="0.25">
      <c r="A172" s="194">
        <v>43832</v>
      </c>
      <c r="B172" s="98" t="s">
        <v>876</v>
      </c>
      <c r="C172" s="98" t="s">
        <v>44</v>
      </c>
      <c r="D172" s="98">
        <v>38.062959999999997</v>
      </c>
      <c r="E172" s="98">
        <v>-121.59801</v>
      </c>
      <c r="F172" s="98" t="s">
        <v>2673</v>
      </c>
      <c r="G172" s="98" t="s">
        <v>46</v>
      </c>
      <c r="H172" s="98" t="s">
        <v>47</v>
      </c>
      <c r="I172" s="621">
        <v>0.42986111111111108</v>
      </c>
      <c r="J172" s="100">
        <v>511.5</v>
      </c>
      <c r="K172" s="100">
        <v>9.07</v>
      </c>
      <c r="L172" s="100">
        <v>8.2374999999999989</v>
      </c>
      <c r="M172" s="100">
        <v>1.3475000000000001</v>
      </c>
      <c r="N172" s="100">
        <v>7.625</v>
      </c>
      <c r="O172" s="98" t="s">
        <v>48</v>
      </c>
      <c r="P172" s="98">
        <v>4</v>
      </c>
      <c r="Q172" s="98">
        <v>10</v>
      </c>
      <c r="R172" s="98" t="s">
        <v>64</v>
      </c>
      <c r="S172" s="98" t="s">
        <v>50</v>
      </c>
      <c r="T172" s="98" t="s">
        <v>50</v>
      </c>
      <c r="U172" s="98" t="s">
        <v>50</v>
      </c>
      <c r="V172" s="98" t="s">
        <v>50</v>
      </c>
      <c r="W172" s="98" t="s">
        <v>50</v>
      </c>
      <c r="X172" s="98" t="s">
        <v>50</v>
      </c>
      <c r="Y172" s="622"/>
    </row>
    <row r="173" spans="1:25" s="98" customFormat="1" x14ac:dyDescent="0.25">
      <c r="A173" s="194">
        <v>43832</v>
      </c>
      <c r="B173" s="98" t="s">
        <v>876</v>
      </c>
      <c r="C173" s="98" t="s">
        <v>44</v>
      </c>
      <c r="D173" s="98">
        <v>38.00179</v>
      </c>
      <c r="E173" s="98">
        <v>-121.62595</v>
      </c>
      <c r="F173" s="98" t="s">
        <v>2674</v>
      </c>
      <c r="G173" s="98" t="s">
        <v>46</v>
      </c>
      <c r="H173" s="98" t="s">
        <v>47</v>
      </c>
      <c r="I173" s="621">
        <v>0.49027777777777781</v>
      </c>
      <c r="J173" s="100">
        <v>577.25</v>
      </c>
      <c r="K173" s="100">
        <v>9.75</v>
      </c>
      <c r="L173" s="100">
        <v>3.8425000000000002</v>
      </c>
      <c r="M173" s="100" t="s">
        <v>1233</v>
      </c>
      <c r="N173" s="100">
        <v>3.8499999999999996</v>
      </c>
      <c r="O173" s="98" t="s">
        <v>48</v>
      </c>
      <c r="P173" s="98">
        <v>4</v>
      </c>
      <c r="Q173" s="98">
        <v>10</v>
      </c>
      <c r="R173" s="98" t="s">
        <v>64</v>
      </c>
      <c r="S173" s="98" t="s">
        <v>50</v>
      </c>
      <c r="T173" s="98" t="s">
        <v>50</v>
      </c>
      <c r="U173" s="98" t="s">
        <v>50</v>
      </c>
      <c r="V173" s="98" t="s">
        <v>50</v>
      </c>
      <c r="W173" s="98" t="s">
        <v>50</v>
      </c>
      <c r="X173" s="98" t="s">
        <v>50</v>
      </c>
      <c r="Y173" s="622"/>
    </row>
    <row r="174" spans="1:25" s="98" customFormat="1" x14ac:dyDescent="0.25">
      <c r="A174" s="194">
        <v>43832</v>
      </c>
      <c r="B174" s="98" t="s">
        <v>876</v>
      </c>
      <c r="C174" s="98" t="s">
        <v>126</v>
      </c>
      <c r="D174" s="98">
        <v>38.255180000000003</v>
      </c>
      <c r="E174" s="98">
        <v>-121.68888</v>
      </c>
      <c r="F174" s="98" t="s">
        <v>2675</v>
      </c>
      <c r="G174" s="98" t="s">
        <v>90</v>
      </c>
      <c r="H174" s="98" t="s">
        <v>845</v>
      </c>
      <c r="I174" s="621">
        <v>0.35138888888888892</v>
      </c>
      <c r="J174" s="100">
        <v>231.85000000000002</v>
      </c>
      <c r="K174" s="100">
        <v>9.1</v>
      </c>
      <c r="L174" s="100">
        <v>6.9950000000000001</v>
      </c>
      <c r="M174" s="100">
        <v>1.335</v>
      </c>
      <c r="N174" s="100">
        <v>7.8</v>
      </c>
      <c r="O174" s="98" t="s">
        <v>48</v>
      </c>
      <c r="P174" s="98">
        <v>4</v>
      </c>
      <c r="Q174" s="98">
        <v>10</v>
      </c>
      <c r="R174" s="98" t="s">
        <v>64</v>
      </c>
      <c r="S174" s="98" t="s">
        <v>50</v>
      </c>
      <c r="T174" s="98" t="s">
        <v>50</v>
      </c>
      <c r="U174" s="98" t="s">
        <v>50</v>
      </c>
      <c r="V174" s="98" t="s">
        <v>50</v>
      </c>
      <c r="W174" s="98" t="s">
        <v>50</v>
      </c>
      <c r="X174" s="98" t="s">
        <v>50</v>
      </c>
      <c r="Y174" s="622" t="s">
        <v>2471</v>
      </c>
    </row>
    <row r="175" spans="1:25" s="154" customFormat="1" x14ac:dyDescent="0.25">
      <c r="A175" s="195">
        <v>43832</v>
      </c>
      <c r="B175" s="154" t="s">
        <v>876</v>
      </c>
      <c r="C175" s="154" t="s">
        <v>126</v>
      </c>
      <c r="D175" s="154">
        <v>38.273269999999997</v>
      </c>
      <c r="E175" s="154">
        <v>-121.70474</v>
      </c>
      <c r="F175" s="154" t="s">
        <v>2676</v>
      </c>
      <c r="G175" s="154" t="s">
        <v>90</v>
      </c>
      <c r="H175" s="154" t="s">
        <v>845</v>
      </c>
      <c r="I175" s="636">
        <v>0.34097222222222223</v>
      </c>
      <c r="J175" s="197" t="s">
        <v>50</v>
      </c>
      <c r="K175" s="197" t="s">
        <v>50</v>
      </c>
      <c r="L175" s="197" t="s">
        <v>50</v>
      </c>
      <c r="M175" s="197" t="s">
        <v>50</v>
      </c>
      <c r="N175" s="197" t="s">
        <v>50</v>
      </c>
      <c r="O175" s="149" t="s">
        <v>48</v>
      </c>
      <c r="P175" s="149">
        <v>0</v>
      </c>
      <c r="Q175" s="149" t="s">
        <v>50</v>
      </c>
      <c r="R175" s="149" t="s">
        <v>50</v>
      </c>
      <c r="S175" s="149" t="s">
        <v>50</v>
      </c>
      <c r="T175" s="149" t="s">
        <v>50</v>
      </c>
      <c r="U175" s="149" t="s">
        <v>50</v>
      </c>
      <c r="V175" s="149" t="s">
        <v>50</v>
      </c>
      <c r="W175" s="149" t="s">
        <v>50</v>
      </c>
      <c r="X175" s="149" t="s">
        <v>50</v>
      </c>
      <c r="Y175" s="152" t="s">
        <v>2677</v>
      </c>
    </row>
    <row r="176" spans="1:25" s="154" customFormat="1" x14ac:dyDescent="0.25">
      <c r="A176" s="195">
        <v>43832</v>
      </c>
      <c r="B176" s="154" t="s">
        <v>876</v>
      </c>
      <c r="C176" s="154" t="s">
        <v>126</v>
      </c>
      <c r="D176" s="154">
        <v>38.272170000000003</v>
      </c>
      <c r="E176" s="154">
        <v>-121.70587999999999</v>
      </c>
      <c r="F176" s="154" t="s">
        <v>2678</v>
      </c>
      <c r="G176" s="154" t="s">
        <v>90</v>
      </c>
      <c r="H176" s="154" t="s">
        <v>845</v>
      </c>
      <c r="I176" s="636">
        <v>0.34166666666666662</v>
      </c>
      <c r="J176" s="197" t="s">
        <v>50</v>
      </c>
      <c r="K176" s="197" t="s">
        <v>50</v>
      </c>
      <c r="L176" s="197" t="s">
        <v>50</v>
      </c>
      <c r="M176" s="197" t="s">
        <v>50</v>
      </c>
      <c r="N176" s="197" t="s">
        <v>50</v>
      </c>
      <c r="O176" s="149" t="s">
        <v>48</v>
      </c>
      <c r="P176" s="149">
        <v>0</v>
      </c>
      <c r="Q176" s="149" t="s">
        <v>50</v>
      </c>
      <c r="R176" s="149" t="s">
        <v>50</v>
      </c>
      <c r="S176" s="149" t="s">
        <v>50</v>
      </c>
      <c r="T176" s="149" t="s">
        <v>50</v>
      </c>
      <c r="U176" s="149" t="s">
        <v>50</v>
      </c>
      <c r="V176" s="149" t="s">
        <v>50</v>
      </c>
      <c r="W176" s="149" t="s">
        <v>50</v>
      </c>
      <c r="X176" s="149" t="s">
        <v>50</v>
      </c>
      <c r="Y176" s="152" t="s">
        <v>2677</v>
      </c>
    </row>
    <row r="177" spans="1:25" s="98" customFormat="1" x14ac:dyDescent="0.25">
      <c r="A177" s="194">
        <v>43832</v>
      </c>
      <c r="B177" s="98" t="s">
        <v>876</v>
      </c>
      <c r="C177" s="98" t="s">
        <v>126</v>
      </c>
      <c r="D177" s="98">
        <v>38.246130000000001</v>
      </c>
      <c r="E177" s="98">
        <v>-121.68838</v>
      </c>
      <c r="F177" s="98" t="s">
        <v>2679</v>
      </c>
      <c r="G177" s="98" t="s">
        <v>90</v>
      </c>
      <c r="H177" s="98" t="s">
        <v>845</v>
      </c>
      <c r="I177" s="621">
        <v>0.3972222222222222</v>
      </c>
      <c r="J177" s="100">
        <v>217.5</v>
      </c>
      <c r="K177" s="100">
        <v>9.1</v>
      </c>
      <c r="L177" s="100">
        <v>7.3424999999999994</v>
      </c>
      <c r="M177" s="100">
        <v>1.2725</v>
      </c>
      <c r="N177" s="100">
        <v>6.35</v>
      </c>
      <c r="O177" s="98" t="s">
        <v>48</v>
      </c>
      <c r="P177" s="98">
        <v>4</v>
      </c>
      <c r="Q177" s="98">
        <v>10</v>
      </c>
      <c r="R177" s="98" t="s">
        <v>64</v>
      </c>
      <c r="S177" s="98" t="s">
        <v>50</v>
      </c>
      <c r="T177" s="98" t="s">
        <v>50</v>
      </c>
      <c r="U177" s="98" t="s">
        <v>50</v>
      </c>
      <c r="V177" s="98" t="s">
        <v>50</v>
      </c>
      <c r="W177" s="98" t="s">
        <v>50</v>
      </c>
      <c r="X177" s="98" t="s">
        <v>50</v>
      </c>
      <c r="Y177" s="102"/>
    </row>
    <row r="178" spans="1:25" s="98" customFormat="1" x14ac:dyDescent="0.25">
      <c r="A178" s="194">
        <v>43832</v>
      </c>
      <c r="B178" s="98" t="s">
        <v>876</v>
      </c>
      <c r="C178" s="98" t="s">
        <v>126</v>
      </c>
      <c r="D178" s="98">
        <v>38.242019999999997</v>
      </c>
      <c r="E178" s="98">
        <v>-121.68455</v>
      </c>
      <c r="F178" s="98" t="s">
        <v>2680</v>
      </c>
      <c r="G178" s="98" t="s">
        <v>90</v>
      </c>
      <c r="H178" s="98" t="s">
        <v>845</v>
      </c>
      <c r="I178" s="621">
        <v>0.44513888888888892</v>
      </c>
      <c r="J178" s="100">
        <v>215.05</v>
      </c>
      <c r="K178" s="100">
        <v>9.1</v>
      </c>
      <c r="L178" s="100">
        <v>6.54</v>
      </c>
      <c r="M178" s="100">
        <v>1.39</v>
      </c>
      <c r="N178" s="100">
        <v>13.375</v>
      </c>
      <c r="O178" s="98" t="s">
        <v>48</v>
      </c>
      <c r="P178" s="98">
        <v>4</v>
      </c>
      <c r="Q178" s="98">
        <v>10</v>
      </c>
      <c r="R178" s="98" t="s">
        <v>64</v>
      </c>
      <c r="S178" s="98" t="s">
        <v>50</v>
      </c>
      <c r="T178" s="98" t="s">
        <v>50</v>
      </c>
      <c r="U178" s="98" t="s">
        <v>50</v>
      </c>
      <c r="V178" s="98" t="s">
        <v>50</v>
      </c>
      <c r="W178" s="98" t="s">
        <v>50</v>
      </c>
      <c r="X178" s="98" t="s">
        <v>50</v>
      </c>
      <c r="Y178" s="622"/>
    </row>
    <row r="179" spans="1:25" s="98" customFormat="1" x14ac:dyDescent="0.25">
      <c r="A179" s="194">
        <v>43832</v>
      </c>
      <c r="B179" s="98" t="s">
        <v>876</v>
      </c>
      <c r="C179" s="98" t="s">
        <v>78</v>
      </c>
      <c r="D179" s="98">
        <v>38.080660000000002</v>
      </c>
      <c r="E179" s="98">
        <v>-122.03728</v>
      </c>
      <c r="F179" s="98" t="s">
        <v>2681</v>
      </c>
      <c r="G179" s="98" t="s">
        <v>27</v>
      </c>
      <c r="H179" s="98" t="s">
        <v>86</v>
      </c>
      <c r="I179" s="621">
        <v>0.3430555555555555</v>
      </c>
      <c r="J179" s="100">
        <v>11866.25</v>
      </c>
      <c r="K179" s="100">
        <v>10.199999999999999</v>
      </c>
      <c r="L179" s="100">
        <v>31.375</v>
      </c>
      <c r="M179" s="100">
        <v>0.49</v>
      </c>
      <c r="N179" s="100">
        <v>5.8000000000000007</v>
      </c>
      <c r="O179" s="98" t="s">
        <v>48</v>
      </c>
      <c r="P179" s="98">
        <v>4</v>
      </c>
      <c r="Q179" s="98">
        <v>10</v>
      </c>
      <c r="R179" s="98" t="s">
        <v>64</v>
      </c>
      <c r="S179" s="98" t="s">
        <v>50</v>
      </c>
      <c r="T179" s="98" t="s">
        <v>50</v>
      </c>
      <c r="U179" s="98" t="s">
        <v>50</v>
      </c>
      <c r="V179" s="98" t="s">
        <v>50</v>
      </c>
      <c r="W179" s="98" t="s">
        <v>50</v>
      </c>
      <c r="X179" s="98" t="s">
        <v>50</v>
      </c>
      <c r="Y179" s="622"/>
    </row>
    <row r="180" spans="1:25" s="98" customFormat="1" x14ac:dyDescent="0.25">
      <c r="A180" s="194">
        <v>43832</v>
      </c>
      <c r="B180" s="98" t="s">
        <v>876</v>
      </c>
      <c r="C180" s="98" t="s">
        <v>78</v>
      </c>
      <c r="D180" s="98">
        <v>38.050550000000001</v>
      </c>
      <c r="E180" s="98">
        <v>-121.95819</v>
      </c>
      <c r="F180" s="98" t="s">
        <v>2682</v>
      </c>
      <c r="G180" s="98" t="s">
        <v>27</v>
      </c>
      <c r="H180" s="98" t="s">
        <v>170</v>
      </c>
      <c r="I180" s="621">
        <v>0.39930555555555558</v>
      </c>
      <c r="J180" s="100">
        <v>7483.25</v>
      </c>
      <c r="K180" s="100">
        <v>9.9749999999999996</v>
      </c>
      <c r="L180" s="100">
        <v>27.700000000000003</v>
      </c>
      <c r="M180" s="100">
        <v>0.55500000000000005</v>
      </c>
      <c r="N180" s="100">
        <v>6.6999999999999993</v>
      </c>
      <c r="O180" s="98" t="s">
        <v>48</v>
      </c>
      <c r="P180" s="98">
        <v>4</v>
      </c>
      <c r="Q180" s="98">
        <v>10</v>
      </c>
      <c r="R180" s="98" t="s">
        <v>64</v>
      </c>
      <c r="S180" s="98" t="s">
        <v>50</v>
      </c>
      <c r="T180" s="98" t="s">
        <v>50</v>
      </c>
      <c r="U180" s="98" t="s">
        <v>50</v>
      </c>
      <c r="V180" s="98" t="s">
        <v>50</v>
      </c>
      <c r="W180" s="98" t="s">
        <v>50</v>
      </c>
      <c r="X180" s="98" t="s">
        <v>50</v>
      </c>
      <c r="Y180" s="622"/>
    </row>
    <row r="181" spans="1:25" s="98" customFormat="1" x14ac:dyDescent="0.25">
      <c r="A181" s="194">
        <v>43832</v>
      </c>
      <c r="B181" s="98" t="s">
        <v>876</v>
      </c>
      <c r="C181" s="98" t="s">
        <v>78</v>
      </c>
      <c r="D181" s="98">
        <v>38.045459999999999</v>
      </c>
      <c r="E181" s="98">
        <v>-121.87878000000001</v>
      </c>
      <c r="F181" s="98" t="s">
        <v>2683</v>
      </c>
      <c r="G181" s="98" t="s">
        <v>27</v>
      </c>
      <c r="H181" s="98" t="s">
        <v>101</v>
      </c>
      <c r="I181" s="621">
        <v>0.45277777777777778</v>
      </c>
      <c r="J181" s="100">
        <v>5443</v>
      </c>
      <c r="K181" s="100">
        <v>10.125</v>
      </c>
      <c r="L181" s="100">
        <v>29.774999999999999</v>
      </c>
      <c r="M181" s="100">
        <v>0.58499999999999996</v>
      </c>
      <c r="N181" s="100">
        <v>4.125</v>
      </c>
      <c r="O181" s="98" t="s">
        <v>48</v>
      </c>
      <c r="P181" s="98">
        <v>4</v>
      </c>
      <c r="Q181" s="98">
        <v>10</v>
      </c>
      <c r="R181" s="98" t="s">
        <v>49</v>
      </c>
      <c r="S181" s="98" t="s">
        <v>50</v>
      </c>
      <c r="T181" s="98" t="s">
        <v>50</v>
      </c>
      <c r="U181" s="98" t="s">
        <v>50</v>
      </c>
      <c r="V181" s="98" t="s">
        <v>50</v>
      </c>
      <c r="W181" s="98" t="s">
        <v>50</v>
      </c>
      <c r="X181" s="98" t="s">
        <v>50</v>
      </c>
      <c r="Y181" s="622" t="s">
        <v>2684</v>
      </c>
    </row>
    <row r="182" spans="1:25" s="98" customFormat="1" x14ac:dyDescent="0.25">
      <c r="A182" s="194">
        <v>43833</v>
      </c>
      <c r="B182" s="98" t="s">
        <v>125</v>
      </c>
      <c r="C182" s="98" t="s">
        <v>106</v>
      </c>
      <c r="D182" s="98">
        <v>38.355629999999998</v>
      </c>
      <c r="E182" s="98">
        <v>-121.63809999999999</v>
      </c>
      <c r="F182" s="98" t="s">
        <v>2685</v>
      </c>
      <c r="G182" s="98" t="s">
        <v>90</v>
      </c>
      <c r="H182" s="98" t="s">
        <v>362</v>
      </c>
      <c r="I182" s="621">
        <v>0.3520833333333333</v>
      </c>
      <c r="J182" s="100">
        <v>374.90000000000003</v>
      </c>
      <c r="K182" s="100">
        <v>9.6999999999999993</v>
      </c>
      <c r="L182" s="100">
        <v>53.5</v>
      </c>
      <c r="M182" s="100">
        <v>0.29749999999999999</v>
      </c>
      <c r="N182" s="100">
        <v>10.95</v>
      </c>
      <c r="O182" s="98" t="s">
        <v>48</v>
      </c>
      <c r="P182" s="98">
        <v>4</v>
      </c>
      <c r="Q182" s="98">
        <v>10</v>
      </c>
      <c r="R182" s="98" t="s">
        <v>64</v>
      </c>
      <c r="S182" s="98" t="s">
        <v>50</v>
      </c>
      <c r="T182" s="98" t="s">
        <v>50</v>
      </c>
      <c r="U182" s="98" t="s">
        <v>50</v>
      </c>
      <c r="V182" s="98" t="s">
        <v>50</v>
      </c>
      <c r="W182" s="98" t="s">
        <v>50</v>
      </c>
      <c r="X182" s="98" t="s">
        <v>50</v>
      </c>
      <c r="Y182" s="622" t="s">
        <v>2686</v>
      </c>
    </row>
    <row r="183" spans="1:25" s="98" customFormat="1" x14ac:dyDescent="0.25">
      <c r="A183" s="194">
        <v>43833</v>
      </c>
      <c r="B183" s="98" t="s">
        <v>125</v>
      </c>
      <c r="C183" s="98" t="s">
        <v>106</v>
      </c>
      <c r="D183" s="98">
        <v>38.2973</v>
      </c>
      <c r="E183" s="98">
        <v>-121.65658999999999</v>
      </c>
      <c r="F183" s="98" t="s">
        <v>2687</v>
      </c>
      <c r="G183" s="98" t="s">
        <v>90</v>
      </c>
      <c r="H183" s="98" t="s">
        <v>362</v>
      </c>
      <c r="I183" s="621">
        <v>0.41250000000000003</v>
      </c>
      <c r="J183" s="100">
        <v>245.67499999999998</v>
      </c>
      <c r="K183" s="100">
        <v>9.3250000000000011</v>
      </c>
      <c r="L183" s="100">
        <v>13.899999999999999</v>
      </c>
      <c r="M183" s="100">
        <v>0.94750000000000001</v>
      </c>
      <c r="N183" s="100">
        <v>10.424999999999999</v>
      </c>
      <c r="O183" s="98" t="s">
        <v>48</v>
      </c>
      <c r="P183" s="98">
        <v>4</v>
      </c>
      <c r="Q183" s="98">
        <v>10</v>
      </c>
      <c r="R183" s="98" t="s">
        <v>64</v>
      </c>
      <c r="S183" s="98" t="s">
        <v>50</v>
      </c>
      <c r="T183" s="98" t="s">
        <v>50</v>
      </c>
      <c r="U183" s="98" t="s">
        <v>50</v>
      </c>
      <c r="V183" s="98" t="s">
        <v>50</v>
      </c>
      <c r="W183" s="98" t="s">
        <v>50</v>
      </c>
      <c r="X183" s="98" t="s">
        <v>50</v>
      </c>
      <c r="Y183" s="622" t="s">
        <v>1363</v>
      </c>
    </row>
    <row r="184" spans="1:25" s="98" customFormat="1" x14ac:dyDescent="0.25">
      <c r="A184" s="194">
        <v>43833</v>
      </c>
      <c r="B184" s="98" t="s">
        <v>125</v>
      </c>
      <c r="C184" s="98" t="s">
        <v>106</v>
      </c>
      <c r="D184" s="98">
        <v>38.108510000000003</v>
      </c>
      <c r="E184" s="98">
        <v>-121.66352000000001</v>
      </c>
      <c r="F184" s="98" t="s">
        <v>2688</v>
      </c>
      <c r="G184" s="98" t="s">
        <v>90</v>
      </c>
      <c r="H184" s="98" t="s">
        <v>362</v>
      </c>
      <c r="I184" s="621">
        <v>0.47222222222222227</v>
      </c>
      <c r="J184" s="100">
        <v>192.52500000000001</v>
      </c>
      <c r="K184" s="100">
        <v>9.3249999999999993</v>
      </c>
      <c r="L184" s="100">
        <v>5.91</v>
      </c>
      <c r="M184" s="100">
        <v>1.6825000000000001</v>
      </c>
      <c r="N184" s="100">
        <v>15.25</v>
      </c>
      <c r="O184" s="98" t="s">
        <v>48</v>
      </c>
      <c r="P184" s="98">
        <v>4</v>
      </c>
      <c r="Q184" s="98">
        <v>10</v>
      </c>
      <c r="R184" s="98" t="s">
        <v>49</v>
      </c>
      <c r="S184" s="98" t="s">
        <v>50</v>
      </c>
      <c r="T184" s="98" t="s">
        <v>50</v>
      </c>
      <c r="U184" s="98" t="s">
        <v>50</v>
      </c>
      <c r="V184" s="98" t="s">
        <v>50</v>
      </c>
      <c r="W184" s="98" t="s">
        <v>50</v>
      </c>
      <c r="X184" s="98" t="s">
        <v>50</v>
      </c>
      <c r="Y184" s="622"/>
    </row>
    <row r="185" spans="1:25" s="98" customFormat="1" x14ac:dyDescent="0.25">
      <c r="A185" s="194">
        <v>43833</v>
      </c>
      <c r="B185" s="98" t="s">
        <v>125</v>
      </c>
      <c r="C185" s="98" t="s">
        <v>44</v>
      </c>
      <c r="D185" s="98">
        <v>38.026739999999997</v>
      </c>
      <c r="E185" s="98">
        <v>-121.50603</v>
      </c>
      <c r="F185" s="98" t="s">
        <v>2689</v>
      </c>
      <c r="G185" s="98" t="s">
        <v>46</v>
      </c>
      <c r="H185" s="98" t="s">
        <v>59</v>
      </c>
      <c r="I185" s="621">
        <v>0.32013888888888892</v>
      </c>
      <c r="J185" s="100">
        <v>319.07500000000005</v>
      </c>
      <c r="K185" s="100">
        <v>8.4499999999999993</v>
      </c>
      <c r="L185" s="100">
        <v>5.0750000000000002</v>
      </c>
      <c r="M185" s="100" t="s">
        <v>1233</v>
      </c>
      <c r="N185" s="100">
        <v>7.1750000000000007</v>
      </c>
      <c r="O185" s="98" t="s">
        <v>48</v>
      </c>
      <c r="P185" s="98">
        <v>4</v>
      </c>
      <c r="Q185" s="98">
        <v>10</v>
      </c>
      <c r="R185" s="98" t="s">
        <v>64</v>
      </c>
      <c r="S185" s="98" t="s">
        <v>50</v>
      </c>
      <c r="T185" s="98" t="s">
        <v>50</v>
      </c>
      <c r="U185" s="98" t="s">
        <v>50</v>
      </c>
      <c r="V185" s="98" t="s">
        <v>50</v>
      </c>
      <c r="W185" s="98" t="s">
        <v>50</v>
      </c>
      <c r="X185" s="98" t="s">
        <v>50</v>
      </c>
      <c r="Y185" s="622"/>
    </row>
    <row r="186" spans="1:25" s="98" customFormat="1" x14ac:dyDescent="0.25">
      <c r="A186" s="194">
        <v>43833</v>
      </c>
      <c r="B186" s="98" t="s">
        <v>125</v>
      </c>
      <c r="C186" s="98" t="s">
        <v>44</v>
      </c>
      <c r="D186" s="98">
        <v>37.798737000000003</v>
      </c>
      <c r="E186" s="98">
        <v>-121.51714</v>
      </c>
      <c r="F186" s="98" t="s">
        <v>2690</v>
      </c>
      <c r="G186" s="98" t="s">
        <v>46</v>
      </c>
      <c r="H186" s="98" t="s">
        <v>59</v>
      </c>
      <c r="I186" s="621">
        <v>0.3756944444444445</v>
      </c>
      <c r="J186" s="100">
        <v>338.7</v>
      </c>
      <c r="K186" s="100">
        <v>9.6999999999999993</v>
      </c>
      <c r="L186" s="100">
        <v>4.55</v>
      </c>
      <c r="M186" s="100" t="s">
        <v>1233</v>
      </c>
      <c r="N186" s="100">
        <v>7.7333333333333334</v>
      </c>
      <c r="O186" s="98" t="s">
        <v>48</v>
      </c>
      <c r="P186" s="98">
        <v>3</v>
      </c>
      <c r="Q186" s="98">
        <v>10</v>
      </c>
      <c r="R186" s="98" t="s">
        <v>64</v>
      </c>
      <c r="S186" s="98" t="s">
        <v>50</v>
      </c>
      <c r="T186" s="98" t="s">
        <v>50</v>
      </c>
      <c r="U186" s="98" t="s">
        <v>50</v>
      </c>
      <c r="V186" s="98" t="s">
        <v>50</v>
      </c>
      <c r="W186" s="98" t="s">
        <v>50</v>
      </c>
      <c r="X186" s="98" t="s">
        <v>50</v>
      </c>
      <c r="Y186" s="622" t="s">
        <v>2691</v>
      </c>
    </row>
    <row r="187" spans="1:25" s="154" customFormat="1" x14ac:dyDescent="0.25">
      <c r="A187" s="195">
        <v>43833</v>
      </c>
      <c r="B187" s="154" t="s">
        <v>125</v>
      </c>
      <c r="C187" s="154" t="s">
        <v>44</v>
      </c>
      <c r="D187" s="154">
        <v>37.973140000000001</v>
      </c>
      <c r="E187" s="154">
        <v>-121.53276</v>
      </c>
      <c r="F187" s="154" t="s">
        <v>2692</v>
      </c>
      <c r="G187" s="154" t="s">
        <v>46</v>
      </c>
      <c r="H187" s="154" t="s">
        <v>59</v>
      </c>
      <c r="I187" s="636">
        <v>0.41250000000000003</v>
      </c>
      <c r="J187" s="197" t="s">
        <v>50</v>
      </c>
      <c r="K187" s="197" t="s">
        <v>50</v>
      </c>
      <c r="L187" s="197" t="s">
        <v>50</v>
      </c>
      <c r="M187" s="197" t="s">
        <v>50</v>
      </c>
      <c r="N187" s="197" t="s">
        <v>50</v>
      </c>
      <c r="O187" s="149" t="s">
        <v>48</v>
      </c>
      <c r="P187" s="149">
        <v>0</v>
      </c>
      <c r="Q187" s="149" t="s">
        <v>50</v>
      </c>
      <c r="R187" s="149" t="s">
        <v>50</v>
      </c>
      <c r="S187" s="149" t="s">
        <v>50</v>
      </c>
      <c r="T187" s="149" t="s">
        <v>50</v>
      </c>
      <c r="U187" s="149" t="s">
        <v>50</v>
      </c>
      <c r="V187" s="149" t="s">
        <v>50</v>
      </c>
      <c r="W187" s="149" t="s">
        <v>50</v>
      </c>
      <c r="X187" s="149" t="s">
        <v>50</v>
      </c>
      <c r="Y187" s="152" t="s">
        <v>2693</v>
      </c>
    </row>
    <row r="188" spans="1:25" s="154" customFormat="1" x14ac:dyDescent="0.25">
      <c r="A188" s="195">
        <v>43833</v>
      </c>
      <c r="B188" s="154" t="s">
        <v>125</v>
      </c>
      <c r="C188" s="154" t="s">
        <v>44</v>
      </c>
      <c r="D188" s="154">
        <v>38.046030000000002</v>
      </c>
      <c r="E188" s="154">
        <v>-121.5909</v>
      </c>
      <c r="F188" s="154" t="s">
        <v>2694</v>
      </c>
      <c r="G188" s="154" t="s">
        <v>46</v>
      </c>
      <c r="H188" s="154" t="s">
        <v>47</v>
      </c>
      <c r="I188" s="636">
        <v>0.42986111111111108</v>
      </c>
      <c r="J188" s="197" t="s">
        <v>50</v>
      </c>
      <c r="K188" s="197" t="s">
        <v>50</v>
      </c>
      <c r="L188" s="197" t="s">
        <v>50</v>
      </c>
      <c r="M188" s="197" t="s">
        <v>50</v>
      </c>
      <c r="N188" s="197" t="s">
        <v>50</v>
      </c>
      <c r="O188" s="149" t="s">
        <v>48</v>
      </c>
      <c r="P188" s="149">
        <v>0</v>
      </c>
      <c r="Q188" s="149" t="s">
        <v>50</v>
      </c>
      <c r="R188" s="149" t="s">
        <v>50</v>
      </c>
      <c r="S188" s="149" t="s">
        <v>50</v>
      </c>
      <c r="T188" s="149" t="s">
        <v>50</v>
      </c>
      <c r="U188" s="149" t="s">
        <v>50</v>
      </c>
      <c r="V188" s="149" t="s">
        <v>50</v>
      </c>
      <c r="W188" s="149" t="s">
        <v>50</v>
      </c>
      <c r="X188" s="149" t="s">
        <v>50</v>
      </c>
      <c r="Y188" s="152" t="s">
        <v>734</v>
      </c>
    </row>
    <row r="189" spans="1:25" s="98" customFormat="1" x14ac:dyDescent="0.25">
      <c r="A189" s="194">
        <v>43833</v>
      </c>
      <c r="B189" s="98" t="s">
        <v>125</v>
      </c>
      <c r="C189" s="98" t="s">
        <v>44</v>
      </c>
      <c r="D189" s="98">
        <v>38.028289999999998</v>
      </c>
      <c r="E189" s="98">
        <v>-121.66618</v>
      </c>
      <c r="F189" s="98" t="s">
        <v>2695</v>
      </c>
      <c r="G189" s="98" t="s">
        <v>46</v>
      </c>
      <c r="H189" s="98" t="s">
        <v>47</v>
      </c>
      <c r="I189" s="621">
        <v>0.47361111111111115</v>
      </c>
      <c r="J189" s="100">
        <v>590</v>
      </c>
      <c r="K189" s="100">
        <v>9.6749999999999989</v>
      </c>
      <c r="L189" s="100">
        <v>2.1850000000000001</v>
      </c>
      <c r="M189" s="100">
        <v>1.8</v>
      </c>
      <c r="N189" s="100">
        <v>4.4249999999999998</v>
      </c>
      <c r="O189" s="98" t="s">
        <v>48</v>
      </c>
      <c r="P189" s="98">
        <v>4</v>
      </c>
      <c r="Q189" s="98">
        <v>10</v>
      </c>
      <c r="R189" s="98" t="s">
        <v>49</v>
      </c>
      <c r="S189" s="98" t="s">
        <v>50</v>
      </c>
      <c r="T189" s="98" t="s">
        <v>50</v>
      </c>
      <c r="U189" s="98" t="s">
        <v>50</v>
      </c>
      <c r="V189" s="98" t="s">
        <v>50</v>
      </c>
      <c r="W189" s="98" t="s">
        <v>50</v>
      </c>
      <c r="X189" s="98" t="s">
        <v>50</v>
      </c>
      <c r="Y189" s="622"/>
    </row>
    <row r="190" spans="1:25" s="646" customFormat="1" x14ac:dyDescent="0.25">
      <c r="A190" s="645">
        <v>43833</v>
      </c>
      <c r="B190" s="646" t="s">
        <v>125</v>
      </c>
      <c r="C190" s="646" t="s">
        <v>62</v>
      </c>
      <c r="D190" s="646">
        <v>38.173549999999999</v>
      </c>
      <c r="E190" s="646">
        <v>-121.95527</v>
      </c>
      <c r="F190" s="646" t="s">
        <v>2696</v>
      </c>
      <c r="G190" s="646" t="s">
        <v>27</v>
      </c>
      <c r="H190" s="646" t="s">
        <v>62</v>
      </c>
      <c r="I190" s="647">
        <v>0.35833333333333334</v>
      </c>
      <c r="J190" s="648">
        <v>8091.75</v>
      </c>
      <c r="K190" s="648">
        <v>9.5</v>
      </c>
      <c r="L190" s="648">
        <v>45.45</v>
      </c>
      <c r="M190" s="648">
        <v>0.32</v>
      </c>
      <c r="N190" s="648">
        <v>7.7249999999999996</v>
      </c>
      <c r="O190" s="646" t="s">
        <v>48</v>
      </c>
      <c r="P190" s="646">
        <v>4</v>
      </c>
      <c r="Q190" s="646">
        <v>10</v>
      </c>
      <c r="R190" s="646" t="s">
        <v>64</v>
      </c>
      <c r="S190" s="667" t="s">
        <v>31</v>
      </c>
      <c r="T190" s="646">
        <v>1</v>
      </c>
      <c r="U190" s="646">
        <v>73</v>
      </c>
      <c r="V190" s="646" t="s">
        <v>66</v>
      </c>
      <c r="W190" s="646" t="s">
        <v>50</v>
      </c>
      <c r="X190" s="646" t="s">
        <v>50</v>
      </c>
      <c r="Y190" s="668"/>
    </row>
    <row r="191" spans="1:25" s="98" customFormat="1" x14ac:dyDescent="0.25">
      <c r="A191" s="194">
        <v>43833</v>
      </c>
      <c r="B191" s="98" t="s">
        <v>125</v>
      </c>
      <c r="C191" s="98" t="s">
        <v>62</v>
      </c>
      <c r="D191" s="98">
        <v>38.169269999999997</v>
      </c>
      <c r="E191" s="98">
        <v>-122.02646</v>
      </c>
      <c r="F191" s="98" t="s">
        <v>2697</v>
      </c>
      <c r="G191" s="98" t="s">
        <v>27</v>
      </c>
      <c r="H191" s="98" t="s">
        <v>62</v>
      </c>
      <c r="I191" s="621">
        <v>0.4152777777777778</v>
      </c>
      <c r="J191" s="100">
        <v>8675</v>
      </c>
      <c r="K191" s="100">
        <v>9.8000000000000007</v>
      </c>
      <c r="L191" s="100">
        <v>32.325000000000003</v>
      </c>
      <c r="M191" s="100">
        <v>0.41</v>
      </c>
      <c r="N191" s="100">
        <v>8.4249999999999989</v>
      </c>
      <c r="O191" s="98" t="s">
        <v>48</v>
      </c>
      <c r="P191" s="98">
        <v>4</v>
      </c>
      <c r="Q191" s="98">
        <v>10</v>
      </c>
      <c r="R191" s="98" t="s">
        <v>49</v>
      </c>
      <c r="S191" s="98" t="s">
        <v>50</v>
      </c>
      <c r="T191" s="98" t="s">
        <v>50</v>
      </c>
      <c r="U191" s="98" t="s">
        <v>50</v>
      </c>
      <c r="V191" s="98" t="s">
        <v>50</v>
      </c>
      <c r="W191" s="98" t="s">
        <v>50</v>
      </c>
      <c r="X191" s="98" t="s">
        <v>50</v>
      </c>
      <c r="Y191" s="102" t="s">
        <v>139</v>
      </c>
    </row>
    <row r="192" spans="1:25" s="362" customFormat="1" x14ac:dyDescent="0.25">
      <c r="A192" s="360">
        <v>43833</v>
      </c>
      <c r="B192" s="362" t="s">
        <v>125</v>
      </c>
      <c r="C192" s="362" t="s">
        <v>62</v>
      </c>
      <c r="D192" s="362">
        <v>38.126350000000002</v>
      </c>
      <c r="E192" s="362">
        <v>-122.08244999999999</v>
      </c>
      <c r="F192" s="362" t="s">
        <v>2698</v>
      </c>
      <c r="G192" s="362" t="s">
        <v>27</v>
      </c>
      <c r="H192" s="362" t="s">
        <v>62</v>
      </c>
      <c r="I192" s="618">
        <v>0.47430555555555554</v>
      </c>
      <c r="J192" s="364">
        <v>8416.25</v>
      </c>
      <c r="K192" s="364">
        <v>9.9249999999999989</v>
      </c>
      <c r="L192" s="364">
        <v>30.799999999999997</v>
      </c>
      <c r="M192" s="364">
        <v>0.39749999999999996</v>
      </c>
      <c r="N192" s="364">
        <v>3.625</v>
      </c>
      <c r="O192" s="362" t="s">
        <v>48</v>
      </c>
      <c r="P192" s="362">
        <v>4</v>
      </c>
      <c r="Q192" s="362">
        <v>10</v>
      </c>
      <c r="R192" s="362" t="s">
        <v>49</v>
      </c>
      <c r="S192" s="362" t="s">
        <v>50</v>
      </c>
      <c r="T192" s="362" t="s">
        <v>50</v>
      </c>
      <c r="U192" s="362" t="s">
        <v>50</v>
      </c>
      <c r="V192" s="362" t="s">
        <v>50</v>
      </c>
      <c r="W192" s="362" t="s">
        <v>50</v>
      </c>
      <c r="X192" s="362" t="s">
        <v>50</v>
      </c>
      <c r="Y192" s="603"/>
    </row>
    <row r="193" spans="1:25" s="154" customFormat="1" x14ac:dyDescent="0.25">
      <c r="A193" s="195">
        <v>43836</v>
      </c>
      <c r="B193" s="154" t="s">
        <v>43</v>
      </c>
      <c r="C193" s="154" t="s">
        <v>95</v>
      </c>
      <c r="D193" s="154">
        <v>38.0901</v>
      </c>
      <c r="E193" s="154">
        <v>-121.62506999999999</v>
      </c>
      <c r="F193" s="154" t="s">
        <v>2699</v>
      </c>
      <c r="G193" s="154" t="s">
        <v>46</v>
      </c>
      <c r="H193" s="154" t="s">
        <v>908</v>
      </c>
      <c r="I193" s="636">
        <v>0.31180555555555556</v>
      </c>
      <c r="J193" s="156">
        <v>332.7</v>
      </c>
      <c r="K193" s="156">
        <v>9.6</v>
      </c>
      <c r="L193" s="156">
        <v>4.67</v>
      </c>
      <c r="M193" s="156" t="s">
        <v>1233</v>
      </c>
      <c r="N193" s="156">
        <v>3.3</v>
      </c>
      <c r="O193" s="154" t="s">
        <v>48</v>
      </c>
      <c r="P193" s="154">
        <v>1</v>
      </c>
      <c r="Q193" s="154">
        <v>2</v>
      </c>
      <c r="R193" s="154" t="s">
        <v>49</v>
      </c>
      <c r="S193" s="154" t="s">
        <v>50</v>
      </c>
      <c r="T193" s="154" t="s">
        <v>50</v>
      </c>
      <c r="U193" s="154" t="s">
        <v>50</v>
      </c>
      <c r="V193" s="154" t="s">
        <v>50</v>
      </c>
      <c r="W193" s="154" t="s">
        <v>50</v>
      </c>
      <c r="X193" s="154" t="s">
        <v>50</v>
      </c>
      <c r="Y193" s="627" t="s">
        <v>2700</v>
      </c>
    </row>
    <row r="194" spans="1:25" s="98" customFormat="1" x14ac:dyDescent="0.25">
      <c r="A194" s="194">
        <v>43836</v>
      </c>
      <c r="B194" s="98" t="s">
        <v>43</v>
      </c>
      <c r="C194" s="98" t="s">
        <v>95</v>
      </c>
      <c r="D194" s="98">
        <v>38.033189999999998</v>
      </c>
      <c r="E194" s="98">
        <v>-121.72418</v>
      </c>
      <c r="F194" s="98" t="s">
        <v>2701</v>
      </c>
      <c r="G194" s="98" t="s">
        <v>27</v>
      </c>
      <c r="H194" s="98" t="s">
        <v>863</v>
      </c>
      <c r="I194" s="621">
        <v>0.33888888888888885</v>
      </c>
      <c r="J194" s="100">
        <v>507</v>
      </c>
      <c r="K194" s="100">
        <v>9.75</v>
      </c>
      <c r="L194" s="100">
        <v>4.9574999999999996</v>
      </c>
      <c r="M194" s="100">
        <v>1.48</v>
      </c>
      <c r="N194" s="100">
        <v>13.249999999999998</v>
      </c>
      <c r="O194" s="98" t="s">
        <v>48</v>
      </c>
      <c r="P194" s="98">
        <v>4</v>
      </c>
      <c r="Q194" s="98">
        <v>10</v>
      </c>
      <c r="R194" s="98" t="s">
        <v>64</v>
      </c>
      <c r="S194" s="98" t="s">
        <v>50</v>
      </c>
      <c r="T194" s="98" t="s">
        <v>50</v>
      </c>
      <c r="U194" s="98" t="s">
        <v>50</v>
      </c>
      <c r="V194" s="98" t="s">
        <v>50</v>
      </c>
      <c r="W194" s="98" t="s">
        <v>50</v>
      </c>
      <c r="X194" s="98" t="s">
        <v>50</v>
      </c>
      <c r="Y194" s="622"/>
    </row>
    <row r="195" spans="1:25" s="98" customFormat="1" x14ac:dyDescent="0.25">
      <c r="A195" s="194">
        <v>43836</v>
      </c>
      <c r="B195" s="98" t="s">
        <v>43</v>
      </c>
      <c r="C195" s="98" t="s">
        <v>95</v>
      </c>
      <c r="D195" s="98">
        <v>38.016289999999998</v>
      </c>
      <c r="E195" s="98">
        <v>-121.79048</v>
      </c>
      <c r="F195" s="98" t="s">
        <v>2702</v>
      </c>
      <c r="G195" s="98" t="s">
        <v>27</v>
      </c>
      <c r="H195" s="98" t="s">
        <v>863</v>
      </c>
      <c r="I195" s="621">
        <v>0.39027777777777778</v>
      </c>
      <c r="J195" s="100">
        <v>832</v>
      </c>
      <c r="K195" s="100">
        <v>9.9</v>
      </c>
      <c r="L195" s="100">
        <v>9.2125000000000004</v>
      </c>
      <c r="M195" s="100">
        <v>0.91749999999999998</v>
      </c>
      <c r="N195" s="100">
        <v>11.125</v>
      </c>
      <c r="O195" s="98" t="s">
        <v>48</v>
      </c>
      <c r="P195" s="98">
        <v>4</v>
      </c>
      <c r="Q195" s="98">
        <v>10</v>
      </c>
      <c r="R195" s="98" t="s">
        <v>64</v>
      </c>
      <c r="S195" s="98" t="s">
        <v>50</v>
      </c>
      <c r="T195" s="98" t="s">
        <v>50</v>
      </c>
      <c r="U195" s="98" t="s">
        <v>50</v>
      </c>
      <c r="V195" s="98" t="s">
        <v>50</v>
      </c>
      <c r="W195" s="98" t="s">
        <v>50</v>
      </c>
      <c r="X195" s="98" t="s">
        <v>50</v>
      </c>
      <c r="Y195" s="622"/>
    </row>
    <row r="196" spans="1:25" s="98" customFormat="1" x14ac:dyDescent="0.25">
      <c r="A196" s="194">
        <v>43836</v>
      </c>
      <c r="B196" s="98" t="s">
        <v>43</v>
      </c>
      <c r="C196" s="98" t="s">
        <v>95</v>
      </c>
      <c r="D196" s="98">
        <v>38.023020000000002</v>
      </c>
      <c r="E196" s="98">
        <v>-121.76087</v>
      </c>
      <c r="F196" s="98" t="s">
        <v>2703</v>
      </c>
      <c r="G196" s="98" t="s">
        <v>27</v>
      </c>
      <c r="H196" s="98" t="s">
        <v>863</v>
      </c>
      <c r="I196" s="621">
        <v>0.43958333333333338</v>
      </c>
      <c r="J196" s="100">
        <v>819.75</v>
      </c>
      <c r="K196" s="100">
        <v>9.9749999999999996</v>
      </c>
      <c r="L196" s="100">
        <v>10.18</v>
      </c>
      <c r="M196" s="100">
        <v>0.84499999999999997</v>
      </c>
      <c r="N196" s="100">
        <v>3.9000000000000004</v>
      </c>
      <c r="O196" s="98" t="s">
        <v>48</v>
      </c>
      <c r="P196" s="98">
        <v>4</v>
      </c>
      <c r="Q196" s="98">
        <v>10</v>
      </c>
      <c r="R196" s="98" t="s">
        <v>64</v>
      </c>
      <c r="S196" s="98" t="s">
        <v>50</v>
      </c>
      <c r="T196" s="98" t="s">
        <v>50</v>
      </c>
      <c r="U196" s="98" t="s">
        <v>50</v>
      </c>
      <c r="V196" s="98" t="s">
        <v>50</v>
      </c>
      <c r="W196" s="98" t="s">
        <v>50</v>
      </c>
      <c r="X196" s="98" t="s">
        <v>50</v>
      </c>
      <c r="Y196" s="622" t="s">
        <v>139</v>
      </c>
    </row>
    <row r="197" spans="1:25" s="98" customFormat="1" x14ac:dyDescent="0.25">
      <c r="A197" s="194">
        <v>43836</v>
      </c>
      <c r="B197" s="98" t="s">
        <v>43</v>
      </c>
      <c r="C197" s="98" t="s">
        <v>126</v>
      </c>
      <c r="D197" s="98">
        <v>38.253959999999999</v>
      </c>
      <c r="E197" s="98">
        <v>-121.72375</v>
      </c>
      <c r="F197" s="98" t="s">
        <v>2704</v>
      </c>
      <c r="G197" s="98" t="s">
        <v>90</v>
      </c>
      <c r="H197" s="98" t="s">
        <v>845</v>
      </c>
      <c r="I197" s="621">
        <v>0.34097222222222223</v>
      </c>
      <c r="J197" s="100">
        <v>263.35000000000002</v>
      </c>
      <c r="K197" s="100">
        <v>9.0749999999999993</v>
      </c>
      <c r="L197" s="100">
        <v>5.1674999999999995</v>
      </c>
      <c r="M197" s="100" t="s">
        <v>1233</v>
      </c>
      <c r="N197" s="100">
        <v>3.75</v>
      </c>
      <c r="O197" s="98" t="s">
        <v>48</v>
      </c>
      <c r="P197" s="98">
        <v>4</v>
      </c>
      <c r="Q197" s="98">
        <v>10</v>
      </c>
      <c r="R197" s="98" t="s">
        <v>64</v>
      </c>
      <c r="S197" s="98" t="s">
        <v>50</v>
      </c>
      <c r="T197" s="98" t="s">
        <v>50</v>
      </c>
      <c r="U197" s="98" t="s">
        <v>50</v>
      </c>
      <c r="V197" s="98" t="s">
        <v>50</v>
      </c>
      <c r="W197" s="98" t="s">
        <v>50</v>
      </c>
      <c r="X197" s="98" t="s">
        <v>50</v>
      </c>
      <c r="Y197" s="622" t="s">
        <v>2705</v>
      </c>
    </row>
    <row r="198" spans="1:25" s="98" customFormat="1" x14ac:dyDescent="0.25">
      <c r="A198" s="194">
        <v>43836</v>
      </c>
      <c r="B198" s="98" t="s">
        <v>43</v>
      </c>
      <c r="C198" s="98" t="s">
        <v>126</v>
      </c>
      <c r="D198" s="98">
        <v>38.276989999999998</v>
      </c>
      <c r="E198" s="98">
        <v>-121.69497</v>
      </c>
      <c r="F198" s="98" t="s">
        <v>2706</v>
      </c>
      <c r="G198" s="98" t="s">
        <v>90</v>
      </c>
      <c r="H198" s="98" t="s">
        <v>845</v>
      </c>
      <c r="I198" s="621">
        <v>0.40763888888888888</v>
      </c>
      <c r="J198" s="100">
        <v>287.35000000000002</v>
      </c>
      <c r="K198" s="100">
        <v>9.625</v>
      </c>
      <c r="L198" s="100">
        <v>7.65</v>
      </c>
      <c r="M198" s="100">
        <v>1.1949999999999998</v>
      </c>
      <c r="N198" s="100">
        <v>6.625</v>
      </c>
      <c r="O198" s="98" t="s">
        <v>48</v>
      </c>
      <c r="P198" s="98">
        <v>4</v>
      </c>
      <c r="Q198" s="98">
        <v>10</v>
      </c>
      <c r="R198" s="98" t="s">
        <v>64</v>
      </c>
      <c r="S198" s="98" t="s">
        <v>50</v>
      </c>
      <c r="T198" s="98" t="s">
        <v>50</v>
      </c>
      <c r="U198" s="98" t="s">
        <v>50</v>
      </c>
      <c r="V198" s="98" t="s">
        <v>50</v>
      </c>
      <c r="W198" s="98" t="s">
        <v>50</v>
      </c>
      <c r="X198" s="98" t="s">
        <v>50</v>
      </c>
      <c r="Y198" s="622"/>
    </row>
    <row r="199" spans="1:25" s="98" customFormat="1" x14ac:dyDescent="0.25">
      <c r="A199" s="194">
        <v>43836</v>
      </c>
      <c r="B199" s="98" t="s">
        <v>43</v>
      </c>
      <c r="C199" s="98" t="s">
        <v>126</v>
      </c>
      <c r="D199" s="98">
        <v>38.335450000000002</v>
      </c>
      <c r="E199" s="98">
        <v>-121.66737999999999</v>
      </c>
      <c r="F199" s="98" t="s">
        <v>2707</v>
      </c>
      <c r="G199" s="98" t="s">
        <v>90</v>
      </c>
      <c r="H199" s="98" t="s">
        <v>845</v>
      </c>
      <c r="I199" s="621">
        <v>0.4604166666666667</v>
      </c>
      <c r="J199" s="100">
        <v>622.75</v>
      </c>
      <c r="K199" s="100">
        <v>9.5</v>
      </c>
      <c r="L199" s="100">
        <v>7.3450000000000006</v>
      </c>
      <c r="M199" s="100">
        <v>1.3849999999999998</v>
      </c>
      <c r="N199" s="100">
        <v>5.85</v>
      </c>
      <c r="O199" s="98" t="s">
        <v>48</v>
      </c>
      <c r="P199" s="98">
        <v>4</v>
      </c>
      <c r="Q199" s="98">
        <v>10</v>
      </c>
      <c r="R199" s="98" t="s">
        <v>64</v>
      </c>
      <c r="S199" s="98" t="s">
        <v>50</v>
      </c>
      <c r="T199" s="98" t="s">
        <v>50</v>
      </c>
      <c r="U199" s="98" t="s">
        <v>50</v>
      </c>
      <c r="V199" s="98" t="s">
        <v>50</v>
      </c>
      <c r="W199" s="98" t="s">
        <v>50</v>
      </c>
      <c r="X199" s="98" t="s">
        <v>50</v>
      </c>
      <c r="Y199" s="622"/>
    </row>
    <row r="200" spans="1:25" s="98" customFormat="1" x14ac:dyDescent="0.25">
      <c r="A200" s="194">
        <v>43836</v>
      </c>
      <c r="B200" s="98" t="s">
        <v>43</v>
      </c>
      <c r="C200" s="98" t="s">
        <v>62</v>
      </c>
      <c r="D200" s="98">
        <v>38.10669</v>
      </c>
      <c r="E200" s="98">
        <v>-122.0429</v>
      </c>
      <c r="F200" s="98" t="s">
        <v>2708</v>
      </c>
      <c r="G200" s="98" t="s">
        <v>27</v>
      </c>
      <c r="H200" s="98" t="s">
        <v>173</v>
      </c>
      <c r="I200" s="621">
        <v>0.3611111111111111</v>
      </c>
      <c r="J200" s="100">
        <v>16339</v>
      </c>
      <c r="K200" s="100">
        <v>10.649999999999999</v>
      </c>
      <c r="L200" s="100">
        <v>21.5</v>
      </c>
      <c r="M200" s="100">
        <v>0.60749999999999993</v>
      </c>
      <c r="N200" s="100">
        <v>2.95</v>
      </c>
      <c r="O200" s="98" t="s">
        <v>48</v>
      </c>
      <c r="P200" s="98">
        <v>4</v>
      </c>
      <c r="Q200" s="98">
        <v>10</v>
      </c>
      <c r="R200" s="98" t="s">
        <v>64</v>
      </c>
      <c r="S200" s="98" t="s">
        <v>50</v>
      </c>
      <c r="T200" s="98" t="s">
        <v>50</v>
      </c>
      <c r="U200" s="98" t="s">
        <v>50</v>
      </c>
      <c r="V200" s="98" t="s">
        <v>50</v>
      </c>
      <c r="W200" s="98" t="s">
        <v>50</v>
      </c>
      <c r="X200" s="98" t="s">
        <v>50</v>
      </c>
      <c r="Y200" s="622"/>
    </row>
    <row r="201" spans="1:25" s="98" customFormat="1" x14ac:dyDescent="0.25">
      <c r="A201" s="194">
        <v>43836</v>
      </c>
      <c r="B201" s="98" t="s">
        <v>43</v>
      </c>
      <c r="C201" s="98" t="s">
        <v>62</v>
      </c>
      <c r="D201" s="98">
        <v>38.118789999999997</v>
      </c>
      <c r="E201" s="98">
        <v>-122.05494</v>
      </c>
      <c r="F201" s="98" t="s">
        <v>2709</v>
      </c>
      <c r="G201" s="98" t="s">
        <v>27</v>
      </c>
      <c r="H201" s="98" t="s">
        <v>173</v>
      </c>
      <c r="I201" s="621">
        <v>0.40972222222222227</v>
      </c>
      <c r="J201" s="100">
        <v>15295.75</v>
      </c>
      <c r="K201" s="100">
        <v>10.525</v>
      </c>
      <c r="L201" s="100">
        <v>27.574999999999999</v>
      </c>
      <c r="M201" s="100">
        <v>0.57500000000000007</v>
      </c>
      <c r="N201" s="100">
        <v>3.6749999999999998</v>
      </c>
      <c r="O201" s="98" t="s">
        <v>48</v>
      </c>
      <c r="P201" s="98">
        <v>4</v>
      </c>
      <c r="Q201" s="98">
        <v>10</v>
      </c>
      <c r="R201" s="98" t="s">
        <v>64</v>
      </c>
      <c r="S201" s="98" t="s">
        <v>50</v>
      </c>
      <c r="T201" s="98" t="s">
        <v>50</v>
      </c>
      <c r="U201" s="98" t="s">
        <v>50</v>
      </c>
      <c r="V201" s="98" t="s">
        <v>50</v>
      </c>
      <c r="W201" s="98" t="s">
        <v>50</v>
      </c>
      <c r="X201" s="98" t="s">
        <v>50</v>
      </c>
      <c r="Y201" s="622"/>
    </row>
    <row r="202" spans="1:25" s="98" customFormat="1" x14ac:dyDescent="0.25">
      <c r="A202" s="194">
        <v>43836</v>
      </c>
      <c r="B202" s="98" t="s">
        <v>43</v>
      </c>
      <c r="C202" s="98" t="s">
        <v>62</v>
      </c>
      <c r="D202" s="98">
        <v>38.171239999999997</v>
      </c>
      <c r="E202" s="98">
        <v>-122.05794</v>
      </c>
      <c r="F202" s="98" t="s">
        <v>2710</v>
      </c>
      <c r="G202" s="98" t="s">
        <v>27</v>
      </c>
      <c r="H202" s="98" t="s">
        <v>62</v>
      </c>
      <c r="I202" s="621">
        <v>0.4694444444444445</v>
      </c>
      <c r="J202" s="100">
        <v>9424.25</v>
      </c>
      <c r="K202" s="100">
        <v>10.125</v>
      </c>
      <c r="L202" s="100">
        <v>34.325000000000003</v>
      </c>
      <c r="M202" s="100">
        <v>0.52</v>
      </c>
      <c r="N202" s="100">
        <v>5.125</v>
      </c>
      <c r="O202" s="98" t="s">
        <v>48</v>
      </c>
      <c r="P202" s="98">
        <v>4</v>
      </c>
      <c r="Q202" s="98">
        <v>10</v>
      </c>
      <c r="R202" s="98" t="s">
        <v>49</v>
      </c>
      <c r="S202" s="98" t="s">
        <v>50</v>
      </c>
      <c r="T202" s="98" t="s">
        <v>50</v>
      </c>
      <c r="U202" s="98" t="s">
        <v>50</v>
      </c>
      <c r="V202" s="98" t="s">
        <v>50</v>
      </c>
      <c r="W202" s="98" t="s">
        <v>50</v>
      </c>
      <c r="X202" s="98" t="s">
        <v>50</v>
      </c>
      <c r="Y202" s="622"/>
    </row>
    <row r="203" spans="1:25" s="98" customFormat="1" x14ac:dyDescent="0.25">
      <c r="A203" s="194">
        <v>43837</v>
      </c>
      <c r="B203" s="98" t="s">
        <v>849</v>
      </c>
      <c r="C203" s="98" t="s">
        <v>88</v>
      </c>
      <c r="D203" s="98">
        <v>38.125869999999999</v>
      </c>
      <c r="E203" s="98">
        <v>-121.69584999999999</v>
      </c>
      <c r="F203" s="98" t="s">
        <v>2711</v>
      </c>
      <c r="G203" s="98" t="s">
        <v>90</v>
      </c>
      <c r="H203" s="98" t="s">
        <v>91</v>
      </c>
      <c r="I203" s="621">
        <v>0.43263888888888885</v>
      </c>
      <c r="J203" s="100">
        <v>243</v>
      </c>
      <c r="K203" s="100">
        <v>9.6499999999999986</v>
      </c>
      <c r="L203" s="100">
        <v>5.58</v>
      </c>
      <c r="M203" s="100" t="s">
        <v>1233</v>
      </c>
      <c r="N203" s="100">
        <v>10.149999999999999</v>
      </c>
      <c r="O203" s="98" t="s">
        <v>48</v>
      </c>
      <c r="P203" s="98">
        <v>2</v>
      </c>
      <c r="Q203" s="98">
        <v>10</v>
      </c>
      <c r="R203" s="98" t="s">
        <v>64</v>
      </c>
      <c r="S203" s="98" t="s">
        <v>50</v>
      </c>
      <c r="T203" s="98" t="s">
        <v>50</v>
      </c>
      <c r="U203" s="98" t="s">
        <v>50</v>
      </c>
      <c r="V203" s="98" t="s">
        <v>50</v>
      </c>
      <c r="W203" s="98" t="s">
        <v>50</v>
      </c>
      <c r="X203" s="98" t="s">
        <v>50</v>
      </c>
      <c r="Y203" s="622" t="s">
        <v>2712</v>
      </c>
    </row>
    <row r="204" spans="1:25" s="98" customFormat="1" x14ac:dyDescent="0.25">
      <c r="A204" s="194">
        <v>43838</v>
      </c>
      <c r="B204" s="98" t="s">
        <v>915</v>
      </c>
      <c r="C204" s="98" t="s">
        <v>88</v>
      </c>
      <c r="D204" s="98">
        <v>38.176130000000001</v>
      </c>
      <c r="E204" s="98">
        <v>-121.66848</v>
      </c>
      <c r="F204" s="98" t="s">
        <v>2713</v>
      </c>
      <c r="G204" s="621" t="s">
        <v>90</v>
      </c>
      <c r="H204" s="98" t="s">
        <v>91</v>
      </c>
      <c r="I204" s="621">
        <v>0.36527777777777781</v>
      </c>
      <c r="J204" s="100">
        <v>196.92499999999998</v>
      </c>
      <c r="K204" s="100">
        <v>9.6999999999999993</v>
      </c>
      <c r="L204" s="100">
        <v>7.7724999999999991</v>
      </c>
      <c r="M204" s="100">
        <v>1.7749999999999999</v>
      </c>
      <c r="N204" s="100">
        <v>15.375</v>
      </c>
      <c r="O204" s="98" t="s">
        <v>48</v>
      </c>
      <c r="P204" s="98">
        <v>4</v>
      </c>
      <c r="Q204" s="98">
        <v>10</v>
      </c>
      <c r="R204" s="98" t="s">
        <v>64</v>
      </c>
      <c r="S204" s="98" t="s">
        <v>50</v>
      </c>
      <c r="T204" s="98" t="s">
        <v>50</v>
      </c>
      <c r="U204" s="98" t="s">
        <v>50</v>
      </c>
      <c r="V204" s="98" t="s">
        <v>50</v>
      </c>
      <c r="W204" s="98" t="s">
        <v>50</v>
      </c>
      <c r="X204" s="98" t="s">
        <v>50</v>
      </c>
    </row>
    <row r="205" spans="1:25" s="98" customFormat="1" x14ac:dyDescent="0.25">
      <c r="A205" s="194">
        <v>43838</v>
      </c>
      <c r="B205" s="98" t="s">
        <v>915</v>
      </c>
      <c r="C205" s="98" t="s">
        <v>88</v>
      </c>
      <c r="D205" s="98">
        <v>38.099319999999999</v>
      </c>
      <c r="E205" s="98">
        <v>-121.72320000000001</v>
      </c>
      <c r="F205" s="98" t="s">
        <v>2714</v>
      </c>
      <c r="G205" s="621" t="s">
        <v>90</v>
      </c>
      <c r="H205" s="98" t="s">
        <v>91</v>
      </c>
      <c r="I205" s="621">
        <v>0.43055555555555558</v>
      </c>
      <c r="J205" s="100">
        <v>227.57500000000002</v>
      </c>
      <c r="K205" s="100">
        <v>9.5749999999999993</v>
      </c>
      <c r="L205" s="100">
        <v>7.7725000000000009</v>
      </c>
      <c r="M205" s="100">
        <v>1.7749999999999999</v>
      </c>
      <c r="N205" s="100">
        <v>7.375</v>
      </c>
      <c r="O205" s="98" t="s">
        <v>48</v>
      </c>
      <c r="P205" s="98">
        <v>4</v>
      </c>
      <c r="Q205" s="98">
        <v>10</v>
      </c>
      <c r="R205" s="98" t="s">
        <v>64</v>
      </c>
      <c r="S205" s="98" t="s">
        <v>50</v>
      </c>
      <c r="T205" s="98" t="s">
        <v>50</v>
      </c>
      <c r="U205" s="98" t="s">
        <v>50</v>
      </c>
      <c r="V205" s="98" t="s">
        <v>50</v>
      </c>
      <c r="W205" s="98" t="s">
        <v>50</v>
      </c>
      <c r="X205" s="98" t="s">
        <v>50</v>
      </c>
    </row>
    <row r="206" spans="1:25" s="98" customFormat="1" x14ac:dyDescent="0.25">
      <c r="A206" s="194">
        <v>43838</v>
      </c>
      <c r="B206" s="98" t="s">
        <v>915</v>
      </c>
      <c r="C206" s="98" t="s">
        <v>88</v>
      </c>
      <c r="D206" s="98">
        <v>38.066780000000001</v>
      </c>
      <c r="E206" s="98">
        <v>-121.78541</v>
      </c>
      <c r="F206" s="98" t="s">
        <v>2715</v>
      </c>
      <c r="G206" s="621" t="s">
        <v>27</v>
      </c>
      <c r="H206" s="100" t="s">
        <v>25</v>
      </c>
      <c r="I206" s="621">
        <v>0.4826388888888889</v>
      </c>
      <c r="J206" s="100">
        <v>1781.5</v>
      </c>
      <c r="K206" s="100">
        <v>9.625</v>
      </c>
      <c r="L206" s="100">
        <v>22.524999999999999</v>
      </c>
      <c r="M206" s="100">
        <v>0.68249999999999988</v>
      </c>
      <c r="N206" s="100">
        <v>11.425000000000001</v>
      </c>
      <c r="O206" s="98" t="s">
        <v>48</v>
      </c>
      <c r="P206" s="98">
        <v>4</v>
      </c>
      <c r="Q206" s="98">
        <v>10</v>
      </c>
      <c r="R206" s="98" t="s">
        <v>64</v>
      </c>
      <c r="S206" s="98" t="s">
        <v>50</v>
      </c>
      <c r="T206" s="98" t="s">
        <v>50</v>
      </c>
      <c r="U206" s="98" t="s">
        <v>50</v>
      </c>
      <c r="V206" s="98" t="s">
        <v>50</v>
      </c>
      <c r="W206" s="98" t="s">
        <v>50</v>
      </c>
      <c r="X206" s="98" t="s">
        <v>50</v>
      </c>
    </row>
    <row r="207" spans="1:25" s="98" customFormat="1" x14ac:dyDescent="0.25">
      <c r="A207" s="194">
        <v>43838</v>
      </c>
      <c r="B207" s="98" t="s">
        <v>915</v>
      </c>
      <c r="C207" s="98" t="s">
        <v>95</v>
      </c>
      <c r="D207" s="98">
        <v>38.103819999999999</v>
      </c>
      <c r="E207" s="98">
        <v>-121.59983</v>
      </c>
      <c r="F207" s="98" t="s">
        <v>2716</v>
      </c>
      <c r="G207" s="621" t="s">
        <v>46</v>
      </c>
      <c r="H207" s="100" t="s">
        <v>115</v>
      </c>
      <c r="I207" s="621">
        <v>0.32569444444444445</v>
      </c>
      <c r="J207" s="100">
        <v>308.375</v>
      </c>
      <c r="K207" s="100">
        <v>9.65</v>
      </c>
      <c r="L207" s="100">
        <v>5.2</v>
      </c>
      <c r="M207" s="100" t="s">
        <v>1233</v>
      </c>
      <c r="N207" s="100">
        <v>8.0749999999999993</v>
      </c>
      <c r="O207" s="98" t="s">
        <v>48</v>
      </c>
      <c r="P207" s="98">
        <v>4</v>
      </c>
      <c r="Q207" s="98">
        <v>10</v>
      </c>
      <c r="R207" s="98" t="s">
        <v>49</v>
      </c>
      <c r="S207" s="98" t="s">
        <v>50</v>
      </c>
      <c r="T207" s="98" t="s">
        <v>50</v>
      </c>
      <c r="U207" s="98" t="s">
        <v>50</v>
      </c>
      <c r="V207" s="98" t="s">
        <v>50</v>
      </c>
      <c r="W207" s="98" t="s">
        <v>50</v>
      </c>
      <c r="X207" s="98" t="s">
        <v>50</v>
      </c>
    </row>
    <row r="208" spans="1:25" s="98" customFormat="1" x14ac:dyDescent="0.25">
      <c r="A208" s="194">
        <v>43838</v>
      </c>
      <c r="B208" s="98" t="s">
        <v>915</v>
      </c>
      <c r="C208" s="98" t="s">
        <v>95</v>
      </c>
      <c r="D208" s="98">
        <v>38.105580000000003</v>
      </c>
      <c r="E208" s="98">
        <v>-121.61321</v>
      </c>
      <c r="F208" s="98" t="s">
        <v>2717</v>
      </c>
      <c r="G208" s="621" t="s">
        <v>46</v>
      </c>
      <c r="H208" s="100" t="s">
        <v>908</v>
      </c>
      <c r="I208" s="621">
        <v>0.3756944444444445</v>
      </c>
      <c r="J208" s="100">
        <v>321.82499999999999</v>
      </c>
      <c r="K208" s="100">
        <v>9.6499999999999986</v>
      </c>
      <c r="L208" s="100">
        <v>5.9225000000000003</v>
      </c>
      <c r="M208" s="100" t="s">
        <v>1233</v>
      </c>
      <c r="N208" s="100">
        <v>15.925000000000001</v>
      </c>
      <c r="O208" s="98" t="s">
        <v>48</v>
      </c>
      <c r="P208" s="98">
        <v>4</v>
      </c>
      <c r="Q208" s="98">
        <v>10</v>
      </c>
      <c r="R208" s="98" t="s">
        <v>64</v>
      </c>
      <c r="S208" s="98" t="s">
        <v>50</v>
      </c>
      <c r="T208" s="98" t="s">
        <v>50</v>
      </c>
      <c r="U208" s="98" t="s">
        <v>50</v>
      </c>
      <c r="V208" s="98" t="s">
        <v>50</v>
      </c>
      <c r="W208" s="98" t="s">
        <v>50</v>
      </c>
      <c r="X208" s="98" t="s">
        <v>50</v>
      </c>
    </row>
    <row r="209" spans="1:25" s="98" customFormat="1" x14ac:dyDescent="0.25">
      <c r="A209" s="194">
        <v>43838</v>
      </c>
      <c r="B209" s="98" t="s">
        <v>915</v>
      </c>
      <c r="C209" s="98" t="s">
        <v>95</v>
      </c>
      <c r="D209" s="98">
        <v>38.079059999999998</v>
      </c>
      <c r="E209" s="98">
        <v>-121.67959</v>
      </c>
      <c r="F209" s="98" t="s">
        <v>2718</v>
      </c>
      <c r="G209" s="621" t="s">
        <v>46</v>
      </c>
      <c r="H209" s="100" t="s">
        <v>908</v>
      </c>
      <c r="I209" s="621">
        <v>0.43958333333333338</v>
      </c>
      <c r="J209" s="100">
        <v>451.3</v>
      </c>
      <c r="K209" s="100">
        <v>9.6</v>
      </c>
      <c r="L209" s="100">
        <v>8.2275000000000009</v>
      </c>
      <c r="M209" s="100">
        <v>1.72</v>
      </c>
      <c r="N209" s="100">
        <v>12.45</v>
      </c>
      <c r="O209" s="98" t="s">
        <v>48</v>
      </c>
      <c r="P209" s="98">
        <v>4</v>
      </c>
      <c r="Q209" s="98">
        <v>10</v>
      </c>
      <c r="R209" s="98" t="s">
        <v>64</v>
      </c>
      <c r="S209" s="98" t="s">
        <v>50</v>
      </c>
      <c r="T209" s="98" t="s">
        <v>50</v>
      </c>
      <c r="U209" s="98" t="s">
        <v>50</v>
      </c>
      <c r="V209" s="98" t="s">
        <v>50</v>
      </c>
      <c r="W209" s="98" t="s">
        <v>50</v>
      </c>
      <c r="X209" s="98" t="s">
        <v>50</v>
      </c>
    </row>
    <row r="210" spans="1:25" s="98" customFormat="1" x14ac:dyDescent="0.25">
      <c r="A210" s="194">
        <v>43838</v>
      </c>
      <c r="B210" s="98" t="s">
        <v>915</v>
      </c>
      <c r="C210" s="98" t="s">
        <v>44</v>
      </c>
      <c r="D210" s="98">
        <v>37.974130000000002</v>
      </c>
      <c r="E210" s="98">
        <v>-121.57756999999999</v>
      </c>
      <c r="F210" s="98" t="s">
        <v>2719</v>
      </c>
      <c r="G210" s="621" t="s">
        <v>46</v>
      </c>
      <c r="H210" s="100" t="s">
        <v>199</v>
      </c>
      <c r="I210" s="621">
        <v>0.50347222222222221</v>
      </c>
      <c r="J210" s="100">
        <v>433.6</v>
      </c>
      <c r="K210" s="100">
        <v>9.4749999999999996</v>
      </c>
      <c r="L210" s="100">
        <v>5.3900000000000006</v>
      </c>
      <c r="M210" s="100">
        <v>1.8</v>
      </c>
      <c r="N210" s="100">
        <v>5.5749999999999993</v>
      </c>
      <c r="O210" s="98" t="s">
        <v>48</v>
      </c>
      <c r="P210" s="98">
        <v>4</v>
      </c>
      <c r="Q210" s="98">
        <v>10</v>
      </c>
      <c r="R210" s="98" t="s">
        <v>64</v>
      </c>
      <c r="S210" s="98" t="s">
        <v>50</v>
      </c>
      <c r="T210" s="98" t="s">
        <v>50</v>
      </c>
      <c r="U210" s="98" t="s">
        <v>50</v>
      </c>
      <c r="V210" s="98" t="s">
        <v>50</v>
      </c>
      <c r="W210" s="98" t="s">
        <v>50</v>
      </c>
      <c r="X210" s="98" t="s">
        <v>50</v>
      </c>
    </row>
    <row r="211" spans="1:25" s="154" customFormat="1" x14ac:dyDescent="0.25">
      <c r="A211" s="195">
        <v>43838</v>
      </c>
      <c r="B211" s="154" t="s">
        <v>915</v>
      </c>
      <c r="C211" s="154" t="s">
        <v>44</v>
      </c>
      <c r="D211" s="154">
        <v>38.037260000000003</v>
      </c>
      <c r="E211" s="154">
        <v>-121.60455</v>
      </c>
      <c r="F211" s="154" t="s">
        <v>2720</v>
      </c>
      <c r="G211" s="636" t="s">
        <v>46</v>
      </c>
      <c r="H211" s="156" t="s">
        <v>47</v>
      </c>
      <c r="I211" s="636">
        <v>0.49236111111111108</v>
      </c>
      <c r="J211" s="197" t="s">
        <v>50</v>
      </c>
      <c r="K211" s="197" t="s">
        <v>50</v>
      </c>
      <c r="L211" s="197" t="s">
        <v>50</v>
      </c>
      <c r="M211" s="197" t="s">
        <v>50</v>
      </c>
      <c r="N211" s="197" t="s">
        <v>50</v>
      </c>
      <c r="O211" s="149" t="s">
        <v>48</v>
      </c>
      <c r="P211" s="149">
        <v>0</v>
      </c>
      <c r="Q211" s="149" t="s">
        <v>50</v>
      </c>
      <c r="R211" s="149" t="s">
        <v>50</v>
      </c>
      <c r="S211" s="149" t="s">
        <v>50</v>
      </c>
      <c r="T211" s="149" t="s">
        <v>50</v>
      </c>
      <c r="U211" s="149" t="s">
        <v>50</v>
      </c>
      <c r="V211" s="149" t="s">
        <v>50</v>
      </c>
      <c r="W211" s="149" t="s">
        <v>50</v>
      </c>
      <c r="X211" s="149" t="s">
        <v>50</v>
      </c>
      <c r="Y211" s="152" t="s">
        <v>734</v>
      </c>
    </row>
    <row r="212" spans="1:25" s="98" customFormat="1" x14ac:dyDescent="0.25">
      <c r="A212" s="194">
        <v>43838</v>
      </c>
      <c r="B212" s="98" t="s">
        <v>915</v>
      </c>
      <c r="C212" s="98" t="s">
        <v>78</v>
      </c>
      <c r="D212" s="98">
        <v>38.089680000000001</v>
      </c>
      <c r="E212" s="98">
        <v>-122.07201000000001</v>
      </c>
      <c r="F212" s="98" t="s">
        <v>2721</v>
      </c>
      <c r="G212" s="98" t="s">
        <v>80</v>
      </c>
      <c r="H212" s="98" t="s">
        <v>81</v>
      </c>
      <c r="I212" s="621">
        <v>0.43541666666666662</v>
      </c>
      <c r="J212" s="100">
        <v>20275.5</v>
      </c>
      <c r="K212" s="100">
        <v>10.574999999999999</v>
      </c>
      <c r="L212" s="100">
        <v>18.274999999999999</v>
      </c>
      <c r="M212" s="100">
        <v>0.66249999999999998</v>
      </c>
      <c r="N212" s="100">
        <v>11.55</v>
      </c>
      <c r="O212" s="98" t="s">
        <v>48</v>
      </c>
      <c r="P212" s="98">
        <v>4</v>
      </c>
      <c r="Q212" s="98">
        <v>10</v>
      </c>
      <c r="R212" s="98" t="s">
        <v>64</v>
      </c>
      <c r="S212" s="98" t="s">
        <v>50</v>
      </c>
      <c r="T212" s="98" t="s">
        <v>50</v>
      </c>
      <c r="U212" s="98" t="s">
        <v>50</v>
      </c>
      <c r="V212" s="98" t="s">
        <v>50</v>
      </c>
      <c r="W212" s="98" t="s">
        <v>50</v>
      </c>
      <c r="X212" s="98" t="s">
        <v>50</v>
      </c>
      <c r="Y212" s="622" t="s">
        <v>139</v>
      </c>
    </row>
    <row r="213" spans="1:25" s="98" customFormat="1" x14ac:dyDescent="0.25">
      <c r="A213" s="194">
        <v>43838</v>
      </c>
      <c r="B213" s="98" t="s">
        <v>915</v>
      </c>
      <c r="C213" s="98" t="s">
        <v>78</v>
      </c>
      <c r="D213" s="98">
        <v>38.052849999999999</v>
      </c>
      <c r="E213" s="98">
        <v>-122.05221</v>
      </c>
      <c r="F213" s="98" t="s">
        <v>2722</v>
      </c>
      <c r="G213" s="98" t="s">
        <v>80</v>
      </c>
      <c r="H213" s="98" t="s">
        <v>81</v>
      </c>
      <c r="I213" s="621">
        <v>0.49722222222222223</v>
      </c>
      <c r="J213" s="100">
        <v>24425.25</v>
      </c>
      <c r="K213" s="100">
        <v>10.9</v>
      </c>
      <c r="L213" s="100">
        <v>24.15</v>
      </c>
      <c r="M213" s="100">
        <v>0.66249999999999998</v>
      </c>
      <c r="N213" s="100">
        <v>6.3</v>
      </c>
      <c r="O213" s="98" t="s">
        <v>48</v>
      </c>
      <c r="P213" s="98">
        <v>4</v>
      </c>
      <c r="Q213" s="98">
        <v>10</v>
      </c>
      <c r="R213" s="98" t="s">
        <v>64</v>
      </c>
      <c r="S213" s="98" t="s">
        <v>50</v>
      </c>
      <c r="T213" s="98" t="s">
        <v>50</v>
      </c>
      <c r="U213" s="98" t="s">
        <v>50</v>
      </c>
      <c r="V213" s="98" t="s">
        <v>50</v>
      </c>
      <c r="W213" s="98" t="s">
        <v>50</v>
      </c>
      <c r="X213" s="98" t="s">
        <v>50</v>
      </c>
      <c r="Y213" s="622"/>
    </row>
    <row r="214" spans="1:25" s="98" customFormat="1" x14ac:dyDescent="0.25">
      <c r="A214" s="194">
        <v>43839</v>
      </c>
      <c r="B214" s="98" t="s">
        <v>876</v>
      </c>
      <c r="C214" s="98" t="s">
        <v>44</v>
      </c>
      <c r="D214" s="98">
        <v>37.885550000000002</v>
      </c>
      <c r="E214" s="98">
        <v>-121.49845000000001</v>
      </c>
      <c r="F214" s="98" t="s">
        <v>2723</v>
      </c>
      <c r="G214" s="98" t="s">
        <v>46</v>
      </c>
      <c r="H214" s="98" t="s">
        <v>202</v>
      </c>
      <c r="I214" s="621">
        <v>0.33819444444444446</v>
      </c>
      <c r="J214" s="100">
        <v>380.37500000000006</v>
      </c>
      <c r="K214" s="100">
        <v>9.6</v>
      </c>
      <c r="L214" s="100">
        <v>3.4624999999999999</v>
      </c>
      <c r="M214" s="100" t="s">
        <v>1233</v>
      </c>
      <c r="N214" s="100">
        <v>5.5249999999999995</v>
      </c>
      <c r="O214" s="98" t="s">
        <v>48</v>
      </c>
      <c r="P214" s="98">
        <v>4</v>
      </c>
      <c r="Q214" s="98">
        <v>10</v>
      </c>
      <c r="R214" s="98" t="s">
        <v>49</v>
      </c>
      <c r="S214" s="98" t="s">
        <v>50</v>
      </c>
      <c r="T214" s="98" t="s">
        <v>50</v>
      </c>
      <c r="U214" s="98" t="s">
        <v>50</v>
      </c>
      <c r="V214" s="98" t="s">
        <v>50</v>
      </c>
      <c r="W214" s="98" t="s">
        <v>50</v>
      </c>
      <c r="X214" s="98" t="s">
        <v>50</v>
      </c>
      <c r="Y214" s="622" t="s">
        <v>2724</v>
      </c>
    </row>
    <row r="215" spans="1:25" s="98" customFormat="1" x14ac:dyDescent="0.25">
      <c r="A215" s="194">
        <v>43839</v>
      </c>
      <c r="B215" s="98" t="s">
        <v>876</v>
      </c>
      <c r="C215" s="98" t="s">
        <v>44</v>
      </c>
      <c r="D215" s="98">
        <v>37.914140000000003</v>
      </c>
      <c r="E215" s="98">
        <v>-121.52444</v>
      </c>
      <c r="F215" s="98" t="s">
        <v>2725</v>
      </c>
      <c r="G215" s="98" t="s">
        <v>46</v>
      </c>
      <c r="H215" s="98" t="s">
        <v>56</v>
      </c>
      <c r="I215" s="621">
        <v>0.40625</v>
      </c>
      <c r="J215" s="100">
        <v>385.85</v>
      </c>
      <c r="K215" s="100">
        <v>9.6</v>
      </c>
      <c r="L215" s="100">
        <v>3.2174999999999998</v>
      </c>
      <c r="M215" s="100">
        <v>1.8</v>
      </c>
      <c r="N215" s="100">
        <v>2.65</v>
      </c>
      <c r="O215" s="98" t="s">
        <v>48</v>
      </c>
      <c r="P215" s="98">
        <v>4</v>
      </c>
      <c r="Q215" s="98">
        <v>10</v>
      </c>
      <c r="R215" s="98" t="s">
        <v>64</v>
      </c>
      <c r="S215" s="98" t="s">
        <v>50</v>
      </c>
      <c r="T215" s="98" t="s">
        <v>50</v>
      </c>
      <c r="U215" s="98" t="s">
        <v>50</v>
      </c>
      <c r="V215" s="98" t="s">
        <v>50</v>
      </c>
      <c r="W215" s="98" t="s">
        <v>50</v>
      </c>
      <c r="X215" s="98" t="s">
        <v>50</v>
      </c>
      <c r="Y215" s="622" t="s">
        <v>2471</v>
      </c>
    </row>
    <row r="216" spans="1:25" s="98" customFormat="1" x14ac:dyDescent="0.25">
      <c r="A216" s="194">
        <v>43839</v>
      </c>
      <c r="B216" s="98" t="s">
        <v>876</v>
      </c>
      <c r="C216" s="98" t="s">
        <v>44</v>
      </c>
      <c r="D216" s="98">
        <v>38.002609999999997</v>
      </c>
      <c r="E216" s="98">
        <v>-121.52382</v>
      </c>
      <c r="F216" s="98" t="s">
        <v>2726</v>
      </c>
      <c r="G216" s="98" t="s">
        <v>46</v>
      </c>
      <c r="H216" s="98" t="s">
        <v>59</v>
      </c>
      <c r="I216" s="621">
        <v>0.46597222222222223</v>
      </c>
      <c r="J216" s="100">
        <v>336.125</v>
      </c>
      <c r="K216" s="100">
        <v>9.6</v>
      </c>
      <c r="L216" s="100">
        <v>4.4850000000000003</v>
      </c>
      <c r="M216" s="100">
        <v>1.8</v>
      </c>
      <c r="N216" s="100">
        <v>11.125</v>
      </c>
      <c r="O216" s="98" t="s">
        <v>48</v>
      </c>
      <c r="P216" s="98">
        <v>4</v>
      </c>
      <c r="Q216" s="98">
        <v>10</v>
      </c>
      <c r="R216" s="98" t="s">
        <v>64</v>
      </c>
      <c r="S216" s="98" t="s">
        <v>50</v>
      </c>
      <c r="T216" s="98" t="s">
        <v>50</v>
      </c>
      <c r="U216" s="98" t="s">
        <v>50</v>
      </c>
      <c r="V216" s="98" t="s">
        <v>50</v>
      </c>
      <c r="W216" s="98" t="s">
        <v>50</v>
      </c>
      <c r="X216" s="98" t="s">
        <v>50</v>
      </c>
      <c r="Y216" s="102"/>
    </row>
    <row r="217" spans="1:25" s="98" customFormat="1" x14ac:dyDescent="0.25">
      <c r="A217" s="194">
        <v>43839</v>
      </c>
      <c r="B217" s="98" t="s">
        <v>876</v>
      </c>
      <c r="C217" s="98" t="s">
        <v>44</v>
      </c>
      <c r="D217" s="98">
        <v>38.059950000000001</v>
      </c>
      <c r="E217" s="98">
        <v>-121.5826</v>
      </c>
      <c r="F217" s="98" t="s">
        <v>2727</v>
      </c>
      <c r="G217" s="98" t="s">
        <v>46</v>
      </c>
      <c r="H217" s="98" t="s">
        <v>47</v>
      </c>
      <c r="I217" s="621">
        <v>0.51666666666666672</v>
      </c>
      <c r="J217" s="100">
        <v>343.85</v>
      </c>
      <c r="K217" s="100">
        <v>9.6499999999999986</v>
      </c>
      <c r="L217" s="100">
        <v>5.4449999999999994</v>
      </c>
      <c r="M217" s="100">
        <v>1.7124999999999999</v>
      </c>
      <c r="N217" s="100">
        <v>6.1000000000000005</v>
      </c>
      <c r="O217" s="98" t="s">
        <v>48</v>
      </c>
      <c r="P217" s="98">
        <v>4</v>
      </c>
      <c r="Q217" s="98">
        <v>10</v>
      </c>
      <c r="R217" s="98" t="s">
        <v>64</v>
      </c>
      <c r="S217" s="98" t="s">
        <v>50</v>
      </c>
      <c r="T217" s="98" t="s">
        <v>50</v>
      </c>
      <c r="U217" s="98" t="s">
        <v>50</v>
      </c>
      <c r="V217" s="98" t="s">
        <v>50</v>
      </c>
      <c r="W217" s="98" t="s">
        <v>50</v>
      </c>
      <c r="X217" s="98" t="s">
        <v>50</v>
      </c>
      <c r="Y217" s="622"/>
    </row>
    <row r="218" spans="1:25" s="98" customFormat="1" x14ac:dyDescent="0.25">
      <c r="A218" s="194">
        <v>43839</v>
      </c>
      <c r="B218" s="98" t="s">
        <v>876</v>
      </c>
      <c r="C218" s="98" t="s">
        <v>106</v>
      </c>
      <c r="D218" s="98">
        <v>38.424239999999998</v>
      </c>
      <c r="E218" s="98">
        <v>-121.60681</v>
      </c>
      <c r="F218" s="98" t="s">
        <v>2728</v>
      </c>
      <c r="G218" s="98" t="s">
        <v>90</v>
      </c>
      <c r="H218" s="98" t="s">
        <v>362</v>
      </c>
      <c r="I218" s="621">
        <v>0.4236111111111111</v>
      </c>
      <c r="J218" s="100">
        <v>584.5</v>
      </c>
      <c r="K218" s="100">
        <v>9.375</v>
      </c>
      <c r="L218" s="100">
        <v>77.25</v>
      </c>
      <c r="M218" s="100">
        <v>0.20250000000000001</v>
      </c>
      <c r="N218" s="100">
        <v>9.35</v>
      </c>
      <c r="O218" s="98" t="s">
        <v>48</v>
      </c>
      <c r="P218" s="98">
        <v>4</v>
      </c>
      <c r="Q218" s="98">
        <v>10</v>
      </c>
      <c r="R218" s="98" t="s">
        <v>64</v>
      </c>
      <c r="S218" s="98" t="s">
        <v>50</v>
      </c>
      <c r="T218" s="98" t="s">
        <v>50</v>
      </c>
      <c r="U218" s="98" t="s">
        <v>50</v>
      </c>
      <c r="V218" s="98" t="s">
        <v>50</v>
      </c>
      <c r="W218" s="98" t="s">
        <v>50</v>
      </c>
      <c r="X218" s="98" t="s">
        <v>50</v>
      </c>
      <c r="Y218" s="622" t="s">
        <v>2729</v>
      </c>
    </row>
    <row r="219" spans="1:25" s="98" customFormat="1" x14ac:dyDescent="0.25">
      <c r="A219" s="194">
        <v>43839</v>
      </c>
      <c r="B219" s="98" t="s">
        <v>876</v>
      </c>
      <c r="C219" s="98" t="s">
        <v>106</v>
      </c>
      <c r="D219" s="98">
        <v>38.461590000000001</v>
      </c>
      <c r="E219" s="98">
        <v>-121.58927</v>
      </c>
      <c r="F219" s="98" t="s">
        <v>2730</v>
      </c>
      <c r="G219" s="98" t="s">
        <v>90</v>
      </c>
      <c r="H219" s="98" t="s">
        <v>362</v>
      </c>
      <c r="I219" s="621">
        <v>0.34930555555555554</v>
      </c>
      <c r="J219" s="100">
        <v>713.5</v>
      </c>
      <c r="K219" s="100">
        <v>9.4749999999999996</v>
      </c>
      <c r="L219" s="100">
        <v>52.824999999999996</v>
      </c>
      <c r="M219" s="100">
        <v>0.2525</v>
      </c>
      <c r="N219" s="100">
        <v>10.074999999999999</v>
      </c>
      <c r="O219" s="98" t="s">
        <v>48</v>
      </c>
      <c r="P219" s="98">
        <v>4</v>
      </c>
      <c r="Q219" s="98">
        <v>10</v>
      </c>
      <c r="R219" s="98" t="s">
        <v>64</v>
      </c>
      <c r="S219" s="98" t="s">
        <v>50</v>
      </c>
      <c r="T219" s="98" t="s">
        <v>50</v>
      </c>
      <c r="U219" s="98" t="s">
        <v>50</v>
      </c>
      <c r="V219" s="98" t="s">
        <v>50</v>
      </c>
      <c r="W219" s="98" t="s">
        <v>50</v>
      </c>
      <c r="X219" s="98" t="s">
        <v>50</v>
      </c>
      <c r="Y219" s="622" t="s">
        <v>2731</v>
      </c>
    </row>
    <row r="220" spans="1:25" s="98" customFormat="1" x14ac:dyDescent="0.25">
      <c r="A220" s="194">
        <v>43839</v>
      </c>
      <c r="B220" s="98" t="s">
        <v>876</v>
      </c>
      <c r="C220" s="98" t="s">
        <v>106</v>
      </c>
      <c r="D220" s="98">
        <v>38.297409999999999</v>
      </c>
      <c r="E220" s="98">
        <v>-121.65593</v>
      </c>
      <c r="F220" s="98" t="s">
        <v>2732</v>
      </c>
      <c r="G220" s="98" t="s">
        <v>90</v>
      </c>
      <c r="H220" s="98" t="s">
        <v>362</v>
      </c>
      <c r="I220" s="621">
        <v>0.4916666666666667</v>
      </c>
      <c r="J220" s="100">
        <v>258.60000000000002</v>
      </c>
      <c r="K220" s="100">
        <v>9.5</v>
      </c>
      <c r="L220" s="100">
        <v>20.25</v>
      </c>
      <c r="M220" s="100">
        <v>0.76500000000000001</v>
      </c>
      <c r="N220" s="100">
        <v>11.925000000000001</v>
      </c>
      <c r="O220" s="98" t="s">
        <v>48</v>
      </c>
      <c r="P220" s="98">
        <v>4</v>
      </c>
      <c r="Q220" s="98">
        <v>10</v>
      </c>
      <c r="R220" s="98" t="s">
        <v>64</v>
      </c>
      <c r="S220" s="98" t="s">
        <v>50</v>
      </c>
      <c r="T220" s="98" t="s">
        <v>50</v>
      </c>
      <c r="U220" s="98" t="s">
        <v>50</v>
      </c>
      <c r="V220" s="98" t="s">
        <v>50</v>
      </c>
      <c r="W220" s="98" t="s">
        <v>50</v>
      </c>
      <c r="X220" s="98" t="s">
        <v>50</v>
      </c>
      <c r="Y220" s="622" t="s">
        <v>2684</v>
      </c>
    </row>
    <row r="221" spans="1:25" s="98" customFormat="1" x14ac:dyDescent="0.25">
      <c r="A221" s="194">
        <v>43839</v>
      </c>
      <c r="B221" s="98" t="s">
        <v>876</v>
      </c>
      <c r="C221" s="98" t="s">
        <v>78</v>
      </c>
      <c r="D221" s="98">
        <v>38.039450000000002</v>
      </c>
      <c r="E221" s="98">
        <v>-121.85124</v>
      </c>
      <c r="F221" s="98" t="s">
        <v>2733</v>
      </c>
      <c r="G221" s="98" t="s">
        <v>27</v>
      </c>
      <c r="H221" s="98" t="s">
        <v>101</v>
      </c>
      <c r="I221" s="621">
        <v>0.34166666666666662</v>
      </c>
      <c r="J221" s="100">
        <v>2783.25</v>
      </c>
      <c r="K221" s="100">
        <v>9.8000000000000007</v>
      </c>
      <c r="L221" s="100">
        <v>13.15</v>
      </c>
      <c r="M221" s="100">
        <v>0.65</v>
      </c>
      <c r="N221" s="100">
        <v>8.25</v>
      </c>
      <c r="O221" s="98" t="s">
        <v>48</v>
      </c>
      <c r="P221" s="98">
        <v>4</v>
      </c>
      <c r="Q221" s="98">
        <v>10</v>
      </c>
      <c r="R221" s="98" t="s">
        <v>49</v>
      </c>
      <c r="S221" s="98" t="s">
        <v>50</v>
      </c>
      <c r="T221" s="98" t="s">
        <v>50</v>
      </c>
      <c r="U221" s="98" t="s">
        <v>50</v>
      </c>
      <c r="V221" s="98" t="s">
        <v>50</v>
      </c>
      <c r="W221" s="98" t="s">
        <v>50</v>
      </c>
      <c r="X221" s="98" t="s">
        <v>50</v>
      </c>
      <c r="Y221" s="622" t="s">
        <v>139</v>
      </c>
    </row>
    <row r="222" spans="1:25" s="98" customFormat="1" x14ac:dyDescent="0.25">
      <c r="A222" s="194">
        <v>43839</v>
      </c>
      <c r="B222" s="98" t="s">
        <v>876</v>
      </c>
      <c r="C222" s="98" t="s">
        <v>78</v>
      </c>
      <c r="D222" s="98">
        <v>38.041939999999997</v>
      </c>
      <c r="E222" s="98">
        <v>-121.89870000000001</v>
      </c>
      <c r="F222" s="98" t="s">
        <v>2734</v>
      </c>
      <c r="G222" s="98" t="s">
        <v>27</v>
      </c>
      <c r="H222" s="98" t="s">
        <v>101</v>
      </c>
      <c r="I222" s="621">
        <v>0.40069444444444446</v>
      </c>
      <c r="J222" s="100">
        <v>5444.5</v>
      </c>
      <c r="K222" s="100">
        <v>9.9250000000000007</v>
      </c>
      <c r="L222" s="100">
        <v>12.05</v>
      </c>
      <c r="M222" s="100">
        <v>0.66500000000000004</v>
      </c>
      <c r="N222" s="100">
        <v>13.45</v>
      </c>
      <c r="O222" s="98" t="s">
        <v>48</v>
      </c>
      <c r="P222" s="98">
        <v>4</v>
      </c>
      <c r="Q222" s="98">
        <v>10</v>
      </c>
      <c r="R222" s="98" t="s">
        <v>64</v>
      </c>
      <c r="S222" s="98" t="s">
        <v>50</v>
      </c>
      <c r="T222" s="98" t="s">
        <v>50</v>
      </c>
      <c r="U222" s="98" t="s">
        <v>50</v>
      </c>
      <c r="V222" s="98" t="s">
        <v>50</v>
      </c>
      <c r="W222" s="98" t="s">
        <v>50</v>
      </c>
      <c r="X222" s="98" t="s">
        <v>50</v>
      </c>
      <c r="Y222" s="622"/>
    </row>
    <row r="223" spans="1:25" s="98" customFormat="1" x14ac:dyDescent="0.25">
      <c r="A223" s="194">
        <v>43839</v>
      </c>
      <c r="B223" s="98" t="s">
        <v>876</v>
      </c>
      <c r="C223" s="98" t="s">
        <v>78</v>
      </c>
      <c r="D223" s="98">
        <v>38.051870000000001</v>
      </c>
      <c r="E223" s="98">
        <v>-121.93957</v>
      </c>
      <c r="F223" s="98" t="s">
        <v>2735</v>
      </c>
      <c r="G223" s="98" t="s">
        <v>27</v>
      </c>
      <c r="H223" s="98" t="s">
        <v>170</v>
      </c>
      <c r="I223" s="621">
        <v>0.45</v>
      </c>
      <c r="J223" s="100">
        <v>7633.25</v>
      </c>
      <c r="K223" s="100">
        <v>10</v>
      </c>
      <c r="L223" s="100">
        <v>15.05</v>
      </c>
      <c r="M223" s="100">
        <v>0.68</v>
      </c>
      <c r="N223" s="100">
        <v>17.850000000000001</v>
      </c>
      <c r="O223" s="98" t="s">
        <v>48</v>
      </c>
      <c r="P223" s="98">
        <v>4</v>
      </c>
      <c r="Q223" s="98">
        <v>10</v>
      </c>
      <c r="R223" s="98" t="s">
        <v>64</v>
      </c>
      <c r="S223" s="98" t="s">
        <v>50</v>
      </c>
      <c r="T223" s="98" t="s">
        <v>50</v>
      </c>
      <c r="U223" s="98" t="s">
        <v>50</v>
      </c>
      <c r="V223" s="98" t="s">
        <v>50</v>
      </c>
      <c r="W223" s="98" t="s">
        <v>50</v>
      </c>
      <c r="X223" s="98" t="s">
        <v>50</v>
      </c>
      <c r="Y223" s="622"/>
    </row>
    <row r="224" spans="1:25" s="98" customFormat="1" x14ac:dyDescent="0.25">
      <c r="A224" s="194">
        <v>43839</v>
      </c>
      <c r="B224" s="98" t="s">
        <v>876</v>
      </c>
      <c r="C224" s="98" t="s">
        <v>78</v>
      </c>
      <c r="D224" s="98">
        <v>38.054780000000001</v>
      </c>
      <c r="E224" s="98">
        <v>-121.94739</v>
      </c>
      <c r="F224" s="98" t="s">
        <v>2736</v>
      </c>
      <c r="G224" s="98" t="s">
        <v>27</v>
      </c>
      <c r="H224" s="98" t="s">
        <v>170</v>
      </c>
      <c r="I224" s="621">
        <v>0.50555555555555554</v>
      </c>
      <c r="J224" s="100">
        <v>12489</v>
      </c>
      <c r="K224" s="100">
        <v>10.199999999999999</v>
      </c>
      <c r="L224" s="100">
        <v>19.05</v>
      </c>
      <c r="M224" s="100">
        <v>0.55750000000000011</v>
      </c>
      <c r="N224" s="100">
        <v>18.375</v>
      </c>
      <c r="O224" s="98" t="s">
        <v>48</v>
      </c>
      <c r="P224" s="98">
        <v>4</v>
      </c>
      <c r="Q224" s="98">
        <v>10</v>
      </c>
      <c r="R224" s="98" t="s">
        <v>64</v>
      </c>
      <c r="S224" s="98" t="s">
        <v>50</v>
      </c>
      <c r="T224" s="98" t="s">
        <v>50</v>
      </c>
      <c r="U224" s="98" t="s">
        <v>50</v>
      </c>
      <c r="V224" s="98" t="s">
        <v>50</v>
      </c>
      <c r="W224" s="98" t="s">
        <v>50</v>
      </c>
      <c r="X224" s="98" t="s">
        <v>50</v>
      </c>
      <c r="Y224" s="622"/>
    </row>
    <row r="225" spans="1:25" s="646" customFormat="1" x14ac:dyDescent="0.25">
      <c r="A225" s="645">
        <v>43840</v>
      </c>
      <c r="B225" s="646" t="s">
        <v>125</v>
      </c>
      <c r="C225" s="646" t="s">
        <v>118</v>
      </c>
      <c r="D225" s="646">
        <v>38.044710000000002</v>
      </c>
      <c r="E225" s="646">
        <v>-122.16918</v>
      </c>
      <c r="F225" s="646" t="s">
        <v>2737</v>
      </c>
      <c r="G225" s="646" t="s">
        <v>80</v>
      </c>
      <c r="H225" s="646" t="s">
        <v>120</v>
      </c>
      <c r="I225" s="647">
        <v>0.2986111111111111</v>
      </c>
      <c r="J225" s="648">
        <v>23523.75</v>
      </c>
      <c r="K225" s="648">
        <v>10.850000000000001</v>
      </c>
      <c r="L225" s="648">
        <v>22.775000000000002</v>
      </c>
      <c r="M225" s="648">
        <v>0.51500000000000001</v>
      </c>
      <c r="N225" s="648">
        <v>22.5</v>
      </c>
      <c r="O225" s="646" t="s">
        <v>48</v>
      </c>
      <c r="P225" s="646">
        <v>4</v>
      </c>
      <c r="Q225" s="646">
        <v>10</v>
      </c>
      <c r="R225" s="646" t="s">
        <v>49</v>
      </c>
      <c r="S225" s="667" t="s">
        <v>31</v>
      </c>
      <c r="T225" s="646">
        <v>1</v>
      </c>
      <c r="U225" s="646">
        <v>74</v>
      </c>
      <c r="V225" s="646" t="s">
        <v>66</v>
      </c>
      <c r="W225" s="646" t="s">
        <v>50</v>
      </c>
      <c r="X225" s="646" t="s">
        <v>50</v>
      </c>
      <c r="Y225" s="668" t="s">
        <v>139</v>
      </c>
    </row>
    <row r="226" spans="1:25" s="98" customFormat="1" x14ac:dyDescent="0.25">
      <c r="A226" s="194">
        <v>43840</v>
      </c>
      <c r="B226" s="98" t="s">
        <v>125</v>
      </c>
      <c r="C226" s="98" t="s">
        <v>118</v>
      </c>
      <c r="D226" s="98">
        <v>38.038910000000001</v>
      </c>
      <c r="E226" s="98">
        <v>-122.27947</v>
      </c>
      <c r="F226" s="98" t="s">
        <v>2738</v>
      </c>
      <c r="G226" s="98" t="s">
        <v>80</v>
      </c>
      <c r="H226" s="98" t="s">
        <v>123</v>
      </c>
      <c r="I226" s="621">
        <v>0.35833333333333334</v>
      </c>
      <c r="J226" s="100">
        <v>32701.25</v>
      </c>
      <c r="K226" s="100">
        <v>10.9</v>
      </c>
      <c r="L226" s="100">
        <v>15.370000000000001</v>
      </c>
      <c r="M226" s="100">
        <v>0.61</v>
      </c>
      <c r="N226" s="100">
        <v>3.7499999999999996</v>
      </c>
      <c r="O226" s="98" t="s">
        <v>48</v>
      </c>
      <c r="P226" s="98">
        <v>4</v>
      </c>
      <c r="Q226" s="98">
        <v>10</v>
      </c>
      <c r="R226" s="98" t="s">
        <v>64</v>
      </c>
      <c r="S226" s="98" t="s">
        <v>50</v>
      </c>
      <c r="T226" s="98" t="s">
        <v>50</v>
      </c>
      <c r="U226" s="98" t="s">
        <v>50</v>
      </c>
      <c r="V226" s="98" t="s">
        <v>50</v>
      </c>
      <c r="W226" s="98" t="s">
        <v>50</v>
      </c>
      <c r="X226" s="98" t="s">
        <v>50</v>
      </c>
      <c r="Y226" s="622"/>
    </row>
    <row r="227" spans="1:25" s="98" customFormat="1" x14ac:dyDescent="0.25">
      <c r="A227" s="194">
        <v>43840</v>
      </c>
      <c r="B227" s="98" t="s">
        <v>125</v>
      </c>
      <c r="C227" s="98" t="s">
        <v>118</v>
      </c>
      <c r="D227" s="98">
        <v>38.068739999999998</v>
      </c>
      <c r="E227" s="98">
        <v>-122.23874000000001</v>
      </c>
      <c r="F227" s="98" t="s">
        <v>2739</v>
      </c>
      <c r="G227" s="98" t="s">
        <v>80</v>
      </c>
      <c r="H227" s="98" t="s">
        <v>120</v>
      </c>
      <c r="I227" s="621">
        <v>0.41041666666666665</v>
      </c>
      <c r="J227" s="100">
        <v>30066.5</v>
      </c>
      <c r="K227" s="100">
        <v>11.125</v>
      </c>
      <c r="L227" s="100">
        <v>17.3</v>
      </c>
      <c r="M227" s="100">
        <v>0.54500000000000004</v>
      </c>
      <c r="N227" s="100">
        <v>8.1999999999999993</v>
      </c>
      <c r="O227" s="98" t="s">
        <v>48</v>
      </c>
      <c r="P227" s="98">
        <v>4</v>
      </c>
      <c r="Q227" s="98">
        <v>10</v>
      </c>
      <c r="R227" s="98" t="s">
        <v>64</v>
      </c>
      <c r="S227" s="98" t="s">
        <v>50</v>
      </c>
      <c r="T227" s="98" t="s">
        <v>50</v>
      </c>
      <c r="U227" s="98" t="s">
        <v>50</v>
      </c>
      <c r="V227" s="98" t="s">
        <v>50</v>
      </c>
      <c r="W227" s="98" t="s">
        <v>50</v>
      </c>
      <c r="X227" s="98" t="s">
        <v>50</v>
      </c>
      <c r="Y227" s="102"/>
    </row>
    <row r="228" spans="1:25" s="98" customFormat="1" x14ac:dyDescent="0.25">
      <c r="A228" s="194">
        <v>43840</v>
      </c>
      <c r="B228" s="98" t="s">
        <v>125</v>
      </c>
      <c r="C228" s="98" t="s">
        <v>88</v>
      </c>
      <c r="D228" s="98">
        <v>38.05997</v>
      </c>
      <c r="E228" s="98">
        <v>-121.81121</v>
      </c>
      <c r="F228" s="98" t="s">
        <v>2740</v>
      </c>
      <c r="G228" s="98" t="s">
        <v>27</v>
      </c>
      <c r="H228" s="98" t="s">
        <v>25</v>
      </c>
      <c r="I228" s="621">
        <v>0.33680555555555558</v>
      </c>
      <c r="J228" s="100">
        <v>1108</v>
      </c>
      <c r="K228" s="100">
        <v>9.4749999999999996</v>
      </c>
      <c r="L228" s="100">
        <v>14.625</v>
      </c>
      <c r="M228" s="100">
        <v>0.89</v>
      </c>
      <c r="N228" s="100">
        <v>10.35</v>
      </c>
      <c r="O228" s="98" t="s">
        <v>48</v>
      </c>
      <c r="P228" s="98">
        <v>4</v>
      </c>
      <c r="Q228" s="98">
        <v>10</v>
      </c>
      <c r="R228" s="98" t="s">
        <v>49</v>
      </c>
      <c r="S228" s="98" t="s">
        <v>50</v>
      </c>
      <c r="T228" s="98" t="s">
        <v>50</v>
      </c>
      <c r="U228" s="98" t="s">
        <v>50</v>
      </c>
      <c r="V228" s="98" t="s">
        <v>50</v>
      </c>
      <c r="W228" s="98" t="s">
        <v>50</v>
      </c>
      <c r="X228" s="98" t="s">
        <v>50</v>
      </c>
      <c r="Y228" s="102"/>
    </row>
    <row r="229" spans="1:25" s="362" customFormat="1" x14ac:dyDescent="0.25">
      <c r="A229" s="360">
        <v>43840</v>
      </c>
      <c r="B229" s="362" t="s">
        <v>125</v>
      </c>
      <c r="C229" s="362" t="s">
        <v>88</v>
      </c>
      <c r="D229" s="362">
        <v>38.054229999999997</v>
      </c>
      <c r="E229" s="362">
        <v>-121.79798</v>
      </c>
      <c r="F229" s="362" t="s">
        <v>2741</v>
      </c>
      <c r="G229" s="362" t="s">
        <v>27</v>
      </c>
      <c r="H229" s="362" t="s">
        <v>25</v>
      </c>
      <c r="I229" s="618">
        <v>0.38541666666666669</v>
      </c>
      <c r="J229" s="364">
        <v>709.4</v>
      </c>
      <c r="K229" s="364">
        <v>9.5000000000000018</v>
      </c>
      <c r="L229" s="364">
        <v>10.875999999999999</v>
      </c>
      <c r="M229" s="364">
        <v>1.228</v>
      </c>
      <c r="N229" s="364">
        <v>7.419999999999999</v>
      </c>
      <c r="O229" s="362" t="s">
        <v>48</v>
      </c>
      <c r="P229" s="362">
        <v>5</v>
      </c>
      <c r="Q229" s="362">
        <v>10</v>
      </c>
      <c r="R229" s="362" t="s">
        <v>49</v>
      </c>
      <c r="S229" s="362" t="s">
        <v>50</v>
      </c>
      <c r="T229" s="362" t="s">
        <v>50</v>
      </c>
      <c r="U229" s="362" t="s">
        <v>50</v>
      </c>
      <c r="V229" s="362" t="s">
        <v>50</v>
      </c>
      <c r="W229" s="362" t="s">
        <v>50</v>
      </c>
      <c r="X229" s="362" t="s">
        <v>50</v>
      </c>
      <c r="Y229" s="603" t="s">
        <v>2742</v>
      </c>
    </row>
    <row r="230" spans="1:25" s="154" customFormat="1" x14ac:dyDescent="0.25">
      <c r="A230" s="195">
        <v>43843</v>
      </c>
      <c r="B230" s="154" t="s">
        <v>43</v>
      </c>
      <c r="C230" s="154" t="s">
        <v>44</v>
      </c>
      <c r="D230" s="154">
        <v>38.011429999999997</v>
      </c>
      <c r="E230" s="154">
        <v>-121.62814</v>
      </c>
      <c r="F230" s="154" t="s">
        <v>2743</v>
      </c>
      <c r="G230" s="154" t="s">
        <v>46</v>
      </c>
      <c r="H230" s="154" t="s">
        <v>47</v>
      </c>
      <c r="I230" s="636">
        <v>0.30486111111111108</v>
      </c>
      <c r="J230" s="197" t="s">
        <v>50</v>
      </c>
      <c r="K230" s="197" t="s">
        <v>50</v>
      </c>
      <c r="L230" s="197" t="s">
        <v>50</v>
      </c>
      <c r="M230" s="197" t="s">
        <v>50</v>
      </c>
      <c r="N230" s="197" t="s">
        <v>50</v>
      </c>
      <c r="O230" s="149" t="s">
        <v>48</v>
      </c>
      <c r="P230" s="149">
        <v>0</v>
      </c>
      <c r="Q230" s="149" t="s">
        <v>50</v>
      </c>
      <c r="R230" s="149" t="s">
        <v>50</v>
      </c>
      <c r="S230" s="149" t="s">
        <v>50</v>
      </c>
      <c r="T230" s="149" t="s">
        <v>50</v>
      </c>
      <c r="U230" s="149" t="s">
        <v>50</v>
      </c>
      <c r="V230" s="149" t="s">
        <v>50</v>
      </c>
      <c r="W230" s="149" t="s">
        <v>50</v>
      </c>
      <c r="X230" s="149" t="s">
        <v>50</v>
      </c>
      <c r="Y230" s="152" t="s">
        <v>2744</v>
      </c>
    </row>
    <row r="231" spans="1:25" s="154" customFormat="1" x14ac:dyDescent="0.25">
      <c r="A231" s="195">
        <v>43843</v>
      </c>
      <c r="B231" s="154" t="s">
        <v>43</v>
      </c>
      <c r="C231" s="154" t="s">
        <v>44</v>
      </c>
      <c r="D231" s="154">
        <v>38.042149999999999</v>
      </c>
      <c r="E231" s="154">
        <v>-121.59072</v>
      </c>
      <c r="F231" s="154" t="s">
        <v>2745</v>
      </c>
      <c r="G231" s="154" t="s">
        <v>46</v>
      </c>
      <c r="H231" s="154" t="s">
        <v>47</v>
      </c>
      <c r="I231" s="636">
        <v>0.31666666666666665</v>
      </c>
      <c r="J231" s="197" t="s">
        <v>50</v>
      </c>
      <c r="K231" s="197" t="s">
        <v>50</v>
      </c>
      <c r="L231" s="197" t="s">
        <v>50</v>
      </c>
      <c r="M231" s="197" t="s">
        <v>50</v>
      </c>
      <c r="N231" s="197" t="s">
        <v>50</v>
      </c>
      <c r="O231" s="149" t="s">
        <v>48</v>
      </c>
      <c r="P231" s="149">
        <v>0</v>
      </c>
      <c r="Q231" s="149" t="s">
        <v>50</v>
      </c>
      <c r="R231" s="149" t="s">
        <v>50</v>
      </c>
      <c r="S231" s="149" t="s">
        <v>50</v>
      </c>
      <c r="T231" s="149" t="s">
        <v>50</v>
      </c>
      <c r="U231" s="149" t="s">
        <v>50</v>
      </c>
      <c r="V231" s="149" t="s">
        <v>50</v>
      </c>
      <c r="W231" s="149" t="s">
        <v>50</v>
      </c>
      <c r="X231" s="149" t="s">
        <v>50</v>
      </c>
      <c r="Y231" s="152" t="s">
        <v>2746</v>
      </c>
    </row>
    <row r="232" spans="1:25" s="98" customFormat="1" x14ac:dyDescent="0.25">
      <c r="A232" s="194">
        <v>43843</v>
      </c>
      <c r="B232" s="98" t="s">
        <v>43</v>
      </c>
      <c r="C232" s="98" t="s">
        <v>44</v>
      </c>
      <c r="D232" s="98">
        <v>38.037529999999997</v>
      </c>
      <c r="E232" s="98">
        <v>-121.58396999999999</v>
      </c>
      <c r="F232" s="98" t="s">
        <v>2747</v>
      </c>
      <c r="G232" s="98" t="s">
        <v>46</v>
      </c>
      <c r="H232" s="98" t="s">
        <v>74</v>
      </c>
      <c r="I232" s="621">
        <v>0.32361111111111113</v>
      </c>
      <c r="J232" s="100">
        <v>391.75</v>
      </c>
      <c r="K232" s="100">
        <v>9.1</v>
      </c>
      <c r="L232" s="100">
        <v>6.21</v>
      </c>
      <c r="M232" s="100">
        <v>1.405</v>
      </c>
      <c r="N232" s="100">
        <v>4.4249999999999998</v>
      </c>
      <c r="O232" s="98" t="s">
        <v>48</v>
      </c>
      <c r="P232" s="98">
        <v>4</v>
      </c>
      <c r="Q232" s="98">
        <v>10</v>
      </c>
      <c r="R232" s="98" t="s">
        <v>64</v>
      </c>
      <c r="S232" s="98" t="s">
        <v>50</v>
      </c>
      <c r="T232" s="98" t="s">
        <v>50</v>
      </c>
      <c r="U232" s="98" t="s">
        <v>50</v>
      </c>
      <c r="V232" s="98" t="s">
        <v>50</v>
      </c>
      <c r="W232" s="98" t="s">
        <v>50</v>
      </c>
      <c r="X232" s="98" t="s">
        <v>50</v>
      </c>
      <c r="Y232" s="102"/>
    </row>
    <row r="233" spans="1:25" s="98" customFormat="1" x14ac:dyDescent="0.25">
      <c r="A233" s="194">
        <v>43843</v>
      </c>
      <c r="B233" s="98" t="s">
        <v>43</v>
      </c>
      <c r="C233" s="98" t="s">
        <v>44</v>
      </c>
      <c r="D233" s="98">
        <v>38.009839999999997</v>
      </c>
      <c r="E233" s="98">
        <v>-121.54889</v>
      </c>
      <c r="F233" s="98" t="s">
        <v>2748</v>
      </c>
      <c r="G233" s="98" t="s">
        <v>46</v>
      </c>
      <c r="H233" s="98" t="s">
        <v>59</v>
      </c>
      <c r="I233" s="621">
        <v>0.38472222222222219</v>
      </c>
      <c r="J233" s="100">
        <v>355.27499999999998</v>
      </c>
      <c r="K233" s="100">
        <v>9.3000000000000007</v>
      </c>
      <c r="L233" s="100">
        <v>4.3450000000000006</v>
      </c>
      <c r="M233" s="100" t="s">
        <v>1233</v>
      </c>
      <c r="N233" s="100">
        <v>8.8249999999999993</v>
      </c>
      <c r="O233" s="98" t="s">
        <v>48</v>
      </c>
      <c r="P233" s="98">
        <v>4</v>
      </c>
      <c r="Q233" s="98">
        <v>10</v>
      </c>
      <c r="R233" s="98" t="s">
        <v>49</v>
      </c>
      <c r="S233" s="98" t="s">
        <v>50</v>
      </c>
      <c r="T233" s="98" t="s">
        <v>50</v>
      </c>
      <c r="U233" s="98" t="s">
        <v>50</v>
      </c>
      <c r="V233" s="98" t="s">
        <v>50</v>
      </c>
      <c r="W233" s="98" t="s">
        <v>50</v>
      </c>
      <c r="X233" s="98" t="s">
        <v>50</v>
      </c>
      <c r="Y233" s="102"/>
    </row>
    <row r="234" spans="1:25" s="98" customFormat="1" x14ac:dyDescent="0.25">
      <c r="A234" s="194">
        <v>43843</v>
      </c>
      <c r="B234" s="98" t="s">
        <v>43</v>
      </c>
      <c r="C234" s="98" t="s">
        <v>44</v>
      </c>
      <c r="D234" s="98">
        <v>38.068719999999999</v>
      </c>
      <c r="E234" s="98">
        <v>-121.57749</v>
      </c>
      <c r="F234" s="98" t="s">
        <v>2749</v>
      </c>
      <c r="G234" s="98" t="s">
        <v>46</v>
      </c>
      <c r="H234" s="98" t="s">
        <v>74</v>
      </c>
      <c r="I234" s="621">
        <v>0.43888888888888888</v>
      </c>
      <c r="J234" s="100">
        <v>314.27499999999998</v>
      </c>
      <c r="K234" s="100">
        <v>9.4749999999999996</v>
      </c>
      <c r="L234" s="100">
        <v>5.5950000000000006</v>
      </c>
      <c r="M234" s="100">
        <v>1.7649999999999999</v>
      </c>
      <c r="N234" s="100">
        <v>5.45</v>
      </c>
      <c r="O234" s="98" t="s">
        <v>48</v>
      </c>
      <c r="P234" s="98">
        <v>4</v>
      </c>
      <c r="Q234" s="98">
        <v>10</v>
      </c>
      <c r="R234" s="98" t="s">
        <v>49</v>
      </c>
      <c r="S234" s="98" t="s">
        <v>50</v>
      </c>
      <c r="T234" s="98" t="s">
        <v>50</v>
      </c>
      <c r="U234" s="98" t="s">
        <v>50</v>
      </c>
      <c r="V234" s="98" t="s">
        <v>50</v>
      </c>
      <c r="W234" s="98" t="s">
        <v>50</v>
      </c>
      <c r="X234" s="98" t="s">
        <v>50</v>
      </c>
      <c r="Y234" s="102"/>
    </row>
    <row r="235" spans="1:25" s="98" customFormat="1" x14ac:dyDescent="0.25">
      <c r="A235" s="194">
        <v>43843</v>
      </c>
      <c r="B235" s="98" t="s">
        <v>43</v>
      </c>
      <c r="C235" s="98" t="s">
        <v>106</v>
      </c>
      <c r="D235" s="98">
        <v>38.283749999999998</v>
      </c>
      <c r="E235" s="98">
        <v>-121.65973</v>
      </c>
      <c r="F235" s="98" t="s">
        <v>2750</v>
      </c>
      <c r="G235" s="98" t="s">
        <v>90</v>
      </c>
      <c r="H235" s="98" t="s">
        <v>362</v>
      </c>
      <c r="I235" s="621">
        <v>0.34236111111111112</v>
      </c>
      <c r="J235" s="100">
        <v>268.125</v>
      </c>
      <c r="K235" s="100">
        <v>9.3000000000000007</v>
      </c>
      <c r="L235" s="100">
        <v>8.59</v>
      </c>
      <c r="M235" s="100">
        <v>1.2949999999999999</v>
      </c>
      <c r="N235" s="100">
        <v>10.175000000000001</v>
      </c>
      <c r="O235" s="98" t="s">
        <v>48</v>
      </c>
      <c r="P235" s="98">
        <v>4</v>
      </c>
      <c r="Q235" s="98">
        <v>10</v>
      </c>
      <c r="R235" s="98" t="s">
        <v>49</v>
      </c>
      <c r="S235" s="98" t="s">
        <v>50</v>
      </c>
      <c r="T235" s="98" t="s">
        <v>50</v>
      </c>
      <c r="U235" s="98" t="s">
        <v>50</v>
      </c>
      <c r="V235" s="98" t="s">
        <v>50</v>
      </c>
      <c r="W235" s="98" t="s">
        <v>50</v>
      </c>
      <c r="X235" s="98" t="s">
        <v>50</v>
      </c>
      <c r="Y235" s="622"/>
    </row>
    <row r="236" spans="1:25" s="98" customFormat="1" x14ac:dyDescent="0.25">
      <c r="A236" s="194">
        <v>43843</v>
      </c>
      <c r="B236" s="98" t="s">
        <v>43</v>
      </c>
      <c r="C236" s="98" t="s">
        <v>106</v>
      </c>
      <c r="D236" s="98">
        <v>38.44829</v>
      </c>
      <c r="E236" s="98">
        <v>-121.59499</v>
      </c>
      <c r="F236" s="98" t="s">
        <v>2751</v>
      </c>
      <c r="G236" s="98" t="s">
        <v>90</v>
      </c>
      <c r="H236" s="98" t="s">
        <v>362</v>
      </c>
      <c r="I236" s="621">
        <v>0.39930555555555558</v>
      </c>
      <c r="J236" s="100">
        <v>709</v>
      </c>
      <c r="K236" s="100">
        <v>9.25</v>
      </c>
      <c r="L236" s="100">
        <v>60.2</v>
      </c>
      <c r="M236" s="100">
        <v>0.33</v>
      </c>
      <c r="N236" s="100">
        <v>9.8000000000000007</v>
      </c>
      <c r="O236" s="98" t="s">
        <v>48</v>
      </c>
      <c r="P236" s="98">
        <v>4</v>
      </c>
      <c r="Q236" s="98">
        <v>10</v>
      </c>
      <c r="R236" s="98" t="s">
        <v>49</v>
      </c>
      <c r="S236" s="98" t="s">
        <v>50</v>
      </c>
      <c r="T236" s="98" t="s">
        <v>50</v>
      </c>
      <c r="U236" s="98" t="s">
        <v>50</v>
      </c>
      <c r="V236" s="98" t="s">
        <v>50</v>
      </c>
      <c r="W236" s="98" t="s">
        <v>50</v>
      </c>
      <c r="X236" s="98" t="s">
        <v>50</v>
      </c>
      <c r="Y236" s="622" t="s">
        <v>2752</v>
      </c>
    </row>
    <row r="237" spans="1:25" s="98" customFormat="1" x14ac:dyDescent="0.25">
      <c r="A237" s="194">
        <v>43843</v>
      </c>
      <c r="B237" s="98" t="s">
        <v>43</v>
      </c>
      <c r="C237" s="98" t="s">
        <v>106</v>
      </c>
      <c r="D237" s="98">
        <v>38.560540000000003</v>
      </c>
      <c r="E237" s="98">
        <v>-121.56475</v>
      </c>
      <c r="F237" s="98" t="s">
        <v>2753</v>
      </c>
      <c r="G237" s="98" t="s">
        <v>90</v>
      </c>
      <c r="H237" s="98" t="s">
        <v>1787</v>
      </c>
      <c r="I237" s="621">
        <v>0.46597222222222223</v>
      </c>
      <c r="J237" s="100">
        <v>1267</v>
      </c>
      <c r="K237" s="100">
        <v>10.350000000000001</v>
      </c>
      <c r="L237" s="100">
        <v>4.26</v>
      </c>
      <c r="M237" s="100" t="s">
        <v>1233</v>
      </c>
      <c r="N237" s="100">
        <v>9.15</v>
      </c>
      <c r="O237" s="98" t="s">
        <v>48</v>
      </c>
      <c r="P237" s="98">
        <v>4</v>
      </c>
      <c r="Q237" s="98">
        <v>10</v>
      </c>
      <c r="R237" s="98" t="s">
        <v>49</v>
      </c>
      <c r="S237" s="98" t="s">
        <v>50</v>
      </c>
      <c r="T237" s="98" t="s">
        <v>50</v>
      </c>
      <c r="U237" s="98" t="s">
        <v>50</v>
      </c>
      <c r="V237" s="98" t="s">
        <v>50</v>
      </c>
      <c r="W237" s="98" t="s">
        <v>50</v>
      </c>
      <c r="X237" s="98" t="s">
        <v>50</v>
      </c>
      <c r="Y237" s="622" t="s">
        <v>2754</v>
      </c>
    </row>
    <row r="238" spans="1:25" s="98" customFormat="1" x14ac:dyDescent="0.25">
      <c r="A238" s="194">
        <v>43843</v>
      </c>
      <c r="B238" s="98" t="s">
        <v>43</v>
      </c>
      <c r="C238" s="98" t="s">
        <v>78</v>
      </c>
      <c r="D238" s="98">
        <v>38.037390000000002</v>
      </c>
      <c r="E238" s="98">
        <v>-122.12237</v>
      </c>
      <c r="F238" s="98" t="s">
        <v>2755</v>
      </c>
      <c r="G238" s="98" t="s">
        <v>80</v>
      </c>
      <c r="H238" s="98" t="s">
        <v>81</v>
      </c>
      <c r="I238" s="621">
        <v>0.37708333333333338</v>
      </c>
      <c r="J238" s="100">
        <v>16947.5</v>
      </c>
      <c r="K238" s="100">
        <v>10</v>
      </c>
      <c r="L238" s="100">
        <v>18.75</v>
      </c>
      <c r="M238" s="100">
        <v>0.56499999999999995</v>
      </c>
      <c r="N238" s="100">
        <v>17.375</v>
      </c>
      <c r="O238" s="98" t="s">
        <v>48</v>
      </c>
      <c r="P238" s="98">
        <v>4</v>
      </c>
      <c r="Q238" s="98">
        <v>10</v>
      </c>
      <c r="R238" s="98" t="s">
        <v>49</v>
      </c>
      <c r="S238" s="98" t="s">
        <v>50</v>
      </c>
      <c r="T238" s="98" t="s">
        <v>50</v>
      </c>
      <c r="U238" s="98" t="s">
        <v>50</v>
      </c>
      <c r="V238" s="98" t="s">
        <v>50</v>
      </c>
      <c r="W238" s="98" t="s">
        <v>50</v>
      </c>
      <c r="X238" s="98" t="s">
        <v>50</v>
      </c>
      <c r="Y238" s="622"/>
    </row>
    <row r="239" spans="1:25" s="98" customFormat="1" x14ac:dyDescent="0.25">
      <c r="A239" s="194">
        <v>43843</v>
      </c>
      <c r="B239" s="98" t="s">
        <v>43</v>
      </c>
      <c r="C239" s="98" t="s">
        <v>118</v>
      </c>
      <c r="D239" s="98">
        <v>38.042850000000001</v>
      </c>
      <c r="E239" s="98">
        <v>-122.3001</v>
      </c>
      <c r="F239" s="98" t="s">
        <v>2756</v>
      </c>
      <c r="G239" s="98" t="s">
        <v>80</v>
      </c>
      <c r="H239" s="98" t="s">
        <v>123</v>
      </c>
      <c r="I239" s="621">
        <v>0.4381944444444445</v>
      </c>
      <c r="J239" s="100">
        <v>29727.25</v>
      </c>
      <c r="K239" s="100">
        <v>10.975</v>
      </c>
      <c r="L239" s="100">
        <v>18.775000000000002</v>
      </c>
      <c r="M239" s="100">
        <v>0.66</v>
      </c>
      <c r="N239" s="100">
        <v>6.5749999999999993</v>
      </c>
      <c r="O239" s="98" t="s">
        <v>48</v>
      </c>
      <c r="P239" s="98">
        <v>4</v>
      </c>
      <c r="Q239" s="98">
        <v>10</v>
      </c>
      <c r="R239" s="98" t="s">
        <v>64</v>
      </c>
      <c r="S239" s="98" t="s">
        <v>50</v>
      </c>
      <c r="T239" s="98" t="s">
        <v>50</v>
      </c>
      <c r="U239" s="98" t="s">
        <v>50</v>
      </c>
      <c r="V239" s="98" t="s">
        <v>50</v>
      </c>
      <c r="W239" s="98" t="s">
        <v>50</v>
      </c>
      <c r="X239" s="98" t="s">
        <v>50</v>
      </c>
      <c r="Y239" s="102" t="s">
        <v>2757</v>
      </c>
    </row>
    <row r="240" spans="1:25" s="98" customFormat="1" x14ac:dyDescent="0.25">
      <c r="A240" s="194">
        <v>43843</v>
      </c>
      <c r="B240" s="98" t="s">
        <v>43</v>
      </c>
      <c r="C240" s="98" t="s">
        <v>118</v>
      </c>
      <c r="D240" s="98">
        <v>38.059550000000002</v>
      </c>
      <c r="E240" s="98">
        <v>-122.32777</v>
      </c>
      <c r="F240" s="98" t="s">
        <v>2758</v>
      </c>
      <c r="G240" s="98" t="s">
        <v>80</v>
      </c>
      <c r="H240" s="98" t="s">
        <v>123</v>
      </c>
      <c r="I240" s="621">
        <v>0.49374999999999997</v>
      </c>
      <c r="J240" s="100">
        <v>27654</v>
      </c>
      <c r="K240" s="100">
        <v>11.074999999999999</v>
      </c>
      <c r="L240" s="100">
        <v>15.975000000000001</v>
      </c>
      <c r="M240" s="100">
        <v>0.72249999999999992</v>
      </c>
      <c r="N240" s="100">
        <v>5.35</v>
      </c>
      <c r="O240" s="98" t="s">
        <v>48</v>
      </c>
      <c r="P240" s="98">
        <v>4</v>
      </c>
      <c r="Q240" s="98">
        <v>10</v>
      </c>
      <c r="R240" s="98" t="s">
        <v>64</v>
      </c>
      <c r="S240" s="98" t="s">
        <v>50</v>
      </c>
      <c r="T240" s="98" t="s">
        <v>50</v>
      </c>
      <c r="U240" s="98" t="s">
        <v>50</v>
      </c>
      <c r="V240" s="98" t="s">
        <v>50</v>
      </c>
      <c r="W240" s="98" t="s">
        <v>50</v>
      </c>
      <c r="X240" s="98" t="s">
        <v>50</v>
      </c>
      <c r="Y240" s="622" t="s">
        <v>2759</v>
      </c>
    </row>
    <row r="241" spans="1:25" s="98" customFormat="1" x14ac:dyDescent="0.25">
      <c r="A241" s="194">
        <v>43843</v>
      </c>
      <c r="B241" s="98" t="s">
        <v>43</v>
      </c>
      <c r="C241" s="98" t="s">
        <v>118</v>
      </c>
      <c r="D241" s="98">
        <v>38.152889999999999</v>
      </c>
      <c r="E241" s="98">
        <v>-122.29149</v>
      </c>
      <c r="F241" s="98" t="s">
        <v>2760</v>
      </c>
      <c r="G241" s="98" t="s">
        <v>80</v>
      </c>
      <c r="H241" s="98" t="s">
        <v>191</v>
      </c>
      <c r="I241" s="621">
        <v>0.55625000000000002</v>
      </c>
      <c r="J241" s="100">
        <v>23132</v>
      </c>
      <c r="K241" s="100">
        <v>10.5</v>
      </c>
      <c r="L241" s="100">
        <v>62.15</v>
      </c>
      <c r="M241" s="100">
        <v>0.28750000000000003</v>
      </c>
      <c r="N241" s="100">
        <v>5.625</v>
      </c>
      <c r="O241" s="98" t="s">
        <v>48</v>
      </c>
      <c r="P241" s="98">
        <v>4</v>
      </c>
      <c r="Q241" s="98">
        <v>10</v>
      </c>
      <c r="R241" s="98" t="s">
        <v>64</v>
      </c>
      <c r="S241" s="98" t="s">
        <v>50</v>
      </c>
      <c r="T241" s="98" t="s">
        <v>50</v>
      </c>
      <c r="U241" s="98" t="s">
        <v>50</v>
      </c>
      <c r="V241" s="98" t="s">
        <v>50</v>
      </c>
      <c r="W241" s="98" t="s">
        <v>50</v>
      </c>
      <c r="X241" s="98" t="s">
        <v>50</v>
      </c>
      <c r="Y241" s="622"/>
    </row>
    <row r="242" spans="1:25" s="98" customFormat="1" x14ac:dyDescent="0.25">
      <c r="A242" s="194">
        <v>43844</v>
      </c>
      <c r="B242" s="98" t="s">
        <v>849</v>
      </c>
      <c r="C242" s="98" t="s">
        <v>88</v>
      </c>
      <c r="D242" s="98">
        <v>38.089500000000001</v>
      </c>
      <c r="E242" s="98">
        <v>-121.73097</v>
      </c>
      <c r="F242" s="98" t="s">
        <v>2761</v>
      </c>
      <c r="G242" s="98" t="s">
        <v>90</v>
      </c>
      <c r="H242" s="98" t="s">
        <v>91</v>
      </c>
      <c r="I242" s="621">
        <v>0.33611111111111108</v>
      </c>
      <c r="J242" s="100">
        <v>392.6</v>
      </c>
      <c r="K242" s="100">
        <v>9.5</v>
      </c>
      <c r="L242" s="100">
        <v>8.9775000000000009</v>
      </c>
      <c r="M242" s="100">
        <v>1.08</v>
      </c>
      <c r="N242" s="100">
        <v>5.3999999999999995</v>
      </c>
      <c r="O242" s="98" t="s">
        <v>48</v>
      </c>
      <c r="P242" s="98">
        <v>4</v>
      </c>
      <c r="Q242" s="98">
        <v>10</v>
      </c>
      <c r="R242" s="98" t="s">
        <v>49</v>
      </c>
      <c r="S242" s="98" t="s">
        <v>50</v>
      </c>
      <c r="T242" s="98" t="s">
        <v>50</v>
      </c>
      <c r="U242" s="98" t="s">
        <v>50</v>
      </c>
      <c r="V242" s="98" t="s">
        <v>50</v>
      </c>
      <c r="W242" s="98" t="s">
        <v>50</v>
      </c>
      <c r="X242" s="98" t="s">
        <v>50</v>
      </c>
      <c r="Y242" s="622" t="s">
        <v>2762</v>
      </c>
    </row>
    <row r="243" spans="1:25" s="98" customFormat="1" x14ac:dyDescent="0.25">
      <c r="A243" s="194">
        <v>43844</v>
      </c>
      <c r="B243" s="98" t="s">
        <v>849</v>
      </c>
      <c r="C243" s="98" t="s">
        <v>88</v>
      </c>
      <c r="D243" s="98">
        <v>38.138249999999999</v>
      </c>
      <c r="E243" s="98">
        <v>-121.69243</v>
      </c>
      <c r="F243" s="98" t="s">
        <v>2763</v>
      </c>
      <c r="G243" s="98" t="s">
        <v>90</v>
      </c>
      <c r="H243" s="98" t="s">
        <v>91</v>
      </c>
      <c r="I243" s="621">
        <v>0.3923611111111111</v>
      </c>
      <c r="J243" s="100">
        <v>232.97499999999999</v>
      </c>
      <c r="K243" s="100">
        <v>9.5</v>
      </c>
      <c r="L243" s="100">
        <v>7.1575000000000006</v>
      </c>
      <c r="M243" s="100">
        <v>1.5974999999999999</v>
      </c>
      <c r="N243" s="100">
        <v>7.15</v>
      </c>
      <c r="O243" s="98" t="s">
        <v>48</v>
      </c>
      <c r="P243" s="98">
        <v>4</v>
      </c>
      <c r="Q243" s="98">
        <v>10</v>
      </c>
      <c r="R243" s="98" t="s">
        <v>49</v>
      </c>
      <c r="S243" s="98" t="s">
        <v>50</v>
      </c>
      <c r="T243" s="98" t="s">
        <v>50</v>
      </c>
      <c r="U243" s="98" t="s">
        <v>50</v>
      </c>
      <c r="V243" s="98" t="s">
        <v>50</v>
      </c>
      <c r="W243" s="98" t="s">
        <v>50</v>
      </c>
      <c r="X243" s="98" t="s">
        <v>50</v>
      </c>
      <c r="Y243" s="622"/>
    </row>
    <row r="244" spans="1:25" s="98" customFormat="1" x14ac:dyDescent="0.25">
      <c r="A244" s="194">
        <v>43844</v>
      </c>
      <c r="B244" s="98" t="s">
        <v>849</v>
      </c>
      <c r="C244" s="98" t="s">
        <v>88</v>
      </c>
      <c r="D244" s="98">
        <v>38.159640000000003</v>
      </c>
      <c r="E244" s="98">
        <v>-121.68046</v>
      </c>
      <c r="F244" s="98" t="s">
        <v>2764</v>
      </c>
      <c r="G244" s="98" t="s">
        <v>90</v>
      </c>
      <c r="H244" s="98" t="s">
        <v>91</v>
      </c>
      <c r="I244" s="621">
        <v>0.44930555555555557</v>
      </c>
      <c r="J244" s="100">
        <v>199.15</v>
      </c>
      <c r="K244" s="100">
        <v>9.5750000000000011</v>
      </c>
      <c r="L244" s="100">
        <v>7.9974999999999996</v>
      </c>
      <c r="M244" s="100">
        <v>1.5325000000000002</v>
      </c>
      <c r="N244" s="100">
        <v>5.625</v>
      </c>
      <c r="O244" s="98" t="s">
        <v>48</v>
      </c>
      <c r="P244" s="98">
        <v>4</v>
      </c>
      <c r="Q244" s="98">
        <v>10</v>
      </c>
      <c r="R244" s="98" t="s">
        <v>49</v>
      </c>
      <c r="S244" s="98" t="s">
        <v>50</v>
      </c>
      <c r="T244" s="98" t="s">
        <v>50</v>
      </c>
      <c r="U244" s="98" t="s">
        <v>50</v>
      </c>
      <c r="V244" s="98" t="s">
        <v>50</v>
      </c>
      <c r="W244" s="98" t="s">
        <v>50</v>
      </c>
      <c r="X244" s="98" t="s">
        <v>50</v>
      </c>
      <c r="Y244" s="622"/>
    </row>
    <row r="245" spans="1:25" s="98" customFormat="1" x14ac:dyDescent="0.25">
      <c r="A245" s="194">
        <v>43844</v>
      </c>
      <c r="B245" s="98" t="s">
        <v>849</v>
      </c>
      <c r="C245" s="98" t="s">
        <v>44</v>
      </c>
      <c r="D245" s="98">
        <v>37.951050000000002</v>
      </c>
      <c r="E245" s="98">
        <v>-121.56644</v>
      </c>
      <c r="F245" s="98" t="s">
        <v>2765</v>
      </c>
      <c r="G245" s="98" t="s">
        <v>46</v>
      </c>
      <c r="H245" s="98" t="s">
        <v>199</v>
      </c>
      <c r="I245" s="621">
        <v>0.33194444444444443</v>
      </c>
      <c r="J245" s="100">
        <v>410.84999999999997</v>
      </c>
      <c r="K245" s="100">
        <v>9.2750000000000004</v>
      </c>
      <c r="L245" s="100">
        <v>4.1825000000000001</v>
      </c>
      <c r="M245" s="100" t="s">
        <v>1233</v>
      </c>
      <c r="N245" s="100">
        <v>5.625</v>
      </c>
      <c r="O245" s="98" t="s">
        <v>48</v>
      </c>
      <c r="P245" s="98">
        <v>4</v>
      </c>
      <c r="Q245" s="98">
        <v>10</v>
      </c>
      <c r="R245" s="98" t="s">
        <v>64</v>
      </c>
      <c r="S245" s="98" t="s">
        <v>50</v>
      </c>
      <c r="T245" s="98" t="s">
        <v>50</v>
      </c>
      <c r="U245" s="98" t="s">
        <v>50</v>
      </c>
      <c r="V245" s="98" t="s">
        <v>50</v>
      </c>
      <c r="W245" s="98" t="s">
        <v>50</v>
      </c>
      <c r="X245" s="98" t="s">
        <v>50</v>
      </c>
      <c r="Y245" s="622"/>
    </row>
    <row r="246" spans="1:25" s="98" customFormat="1" x14ac:dyDescent="0.25">
      <c r="A246" s="194">
        <v>43844</v>
      </c>
      <c r="B246" s="98" t="s">
        <v>849</v>
      </c>
      <c r="C246" s="98" t="s">
        <v>44</v>
      </c>
      <c r="D246" s="98">
        <v>37.91666</v>
      </c>
      <c r="E246" s="98">
        <v>-121.51318000000001</v>
      </c>
      <c r="F246" s="98" t="s">
        <v>2766</v>
      </c>
      <c r="G246" s="98" t="s">
        <v>46</v>
      </c>
      <c r="H246" s="98" t="s">
        <v>56</v>
      </c>
      <c r="I246" s="621">
        <v>0.39513888888888887</v>
      </c>
      <c r="J246" s="100">
        <v>386.04999999999995</v>
      </c>
      <c r="K246" s="100">
        <v>9.5</v>
      </c>
      <c r="L246" s="100">
        <v>3.3</v>
      </c>
      <c r="M246" s="100" t="s">
        <v>1233</v>
      </c>
      <c r="N246" s="100">
        <v>5.85</v>
      </c>
      <c r="O246" s="98" t="s">
        <v>48</v>
      </c>
      <c r="P246" s="98">
        <v>4</v>
      </c>
      <c r="Q246" s="98">
        <v>10</v>
      </c>
      <c r="R246" s="98" t="s">
        <v>64</v>
      </c>
      <c r="S246" s="98" t="s">
        <v>50</v>
      </c>
      <c r="T246" s="98" t="s">
        <v>50</v>
      </c>
      <c r="U246" s="98" t="s">
        <v>50</v>
      </c>
      <c r="V246" s="98" t="s">
        <v>50</v>
      </c>
      <c r="W246" s="98" t="s">
        <v>50</v>
      </c>
      <c r="X246" s="98" t="s">
        <v>50</v>
      </c>
      <c r="Y246" s="622"/>
    </row>
    <row r="247" spans="1:25" s="98" customFormat="1" x14ac:dyDescent="0.25">
      <c r="A247" s="194">
        <v>43844</v>
      </c>
      <c r="B247" s="98" t="s">
        <v>849</v>
      </c>
      <c r="C247" s="98" t="s">
        <v>44</v>
      </c>
      <c r="D247" s="98">
        <v>38.02722</v>
      </c>
      <c r="E247" s="98">
        <v>-121.49985</v>
      </c>
      <c r="F247" s="98" t="s">
        <v>2767</v>
      </c>
      <c r="G247" s="98" t="s">
        <v>46</v>
      </c>
      <c r="H247" s="98" t="s">
        <v>59</v>
      </c>
      <c r="I247" s="621">
        <v>0.46458333333333335</v>
      </c>
      <c r="J247" s="100">
        <v>329.27499999999998</v>
      </c>
      <c r="K247" s="100">
        <v>9.5500000000000007</v>
      </c>
      <c r="L247" s="100">
        <v>4.9249999999999998</v>
      </c>
      <c r="M247" s="100" t="s">
        <v>1233</v>
      </c>
      <c r="N247" s="100">
        <v>5.8250000000000002</v>
      </c>
      <c r="O247" s="98" t="s">
        <v>48</v>
      </c>
      <c r="P247" s="98">
        <v>4</v>
      </c>
      <c r="Q247" s="98">
        <v>10</v>
      </c>
      <c r="R247" s="98" t="s">
        <v>49</v>
      </c>
      <c r="S247" s="98" t="s">
        <v>50</v>
      </c>
      <c r="T247" s="98" t="s">
        <v>50</v>
      </c>
      <c r="U247" s="98" t="s">
        <v>50</v>
      </c>
      <c r="V247" s="98" t="s">
        <v>50</v>
      </c>
      <c r="W247" s="98" t="s">
        <v>50</v>
      </c>
      <c r="X247" s="98" t="s">
        <v>50</v>
      </c>
      <c r="Y247" s="622" t="s">
        <v>873</v>
      </c>
    </row>
    <row r="248" spans="1:25" s="98" customFormat="1" x14ac:dyDescent="0.25">
      <c r="A248" s="194">
        <v>43844</v>
      </c>
      <c r="B248" s="98" t="s">
        <v>849</v>
      </c>
      <c r="C248" s="98" t="s">
        <v>78</v>
      </c>
      <c r="D248" s="98">
        <v>38.059089999999998</v>
      </c>
      <c r="E248" s="98">
        <v>-122.10118</v>
      </c>
      <c r="F248" s="98" t="s">
        <v>2768</v>
      </c>
      <c r="G248" s="98" t="s">
        <v>80</v>
      </c>
      <c r="H248" s="98" t="s">
        <v>81</v>
      </c>
      <c r="I248" s="621">
        <v>0.32013888888888892</v>
      </c>
      <c r="J248" s="100">
        <v>19387.5</v>
      </c>
      <c r="K248" s="100">
        <v>10.199999999999999</v>
      </c>
      <c r="L248" s="100">
        <v>26.85</v>
      </c>
      <c r="M248" s="100">
        <v>0.48499999999999999</v>
      </c>
      <c r="N248" s="100">
        <v>7.5750000000000011</v>
      </c>
      <c r="O248" s="98" t="s">
        <v>48</v>
      </c>
      <c r="P248" s="98">
        <v>4</v>
      </c>
      <c r="Q248" s="98">
        <v>10</v>
      </c>
      <c r="R248" s="98" t="s">
        <v>49</v>
      </c>
      <c r="S248" s="98" t="s">
        <v>50</v>
      </c>
      <c r="T248" s="98" t="s">
        <v>50</v>
      </c>
      <c r="U248" s="98" t="s">
        <v>50</v>
      </c>
      <c r="V248" s="98" t="s">
        <v>50</v>
      </c>
      <c r="W248" s="98" t="s">
        <v>50</v>
      </c>
      <c r="X248" s="98" t="s">
        <v>50</v>
      </c>
      <c r="Y248" s="622"/>
    </row>
    <row r="249" spans="1:25" s="98" customFormat="1" x14ac:dyDescent="0.25">
      <c r="A249" s="194">
        <v>43844</v>
      </c>
      <c r="B249" s="98" t="s">
        <v>849</v>
      </c>
      <c r="C249" s="98" t="s">
        <v>78</v>
      </c>
      <c r="D249" s="98">
        <v>38.077590000000001</v>
      </c>
      <c r="E249" s="98">
        <v>-122.03767000000001</v>
      </c>
      <c r="F249" s="98" t="s">
        <v>2769</v>
      </c>
      <c r="G249" s="98" t="s">
        <v>27</v>
      </c>
      <c r="H249" s="98" t="s">
        <v>86</v>
      </c>
      <c r="I249" s="621">
        <v>0.3756944444444445</v>
      </c>
      <c r="J249" s="100">
        <v>12786.75</v>
      </c>
      <c r="K249" s="100">
        <v>9.8000000000000007</v>
      </c>
      <c r="L249" s="100">
        <v>34.524999999999999</v>
      </c>
      <c r="M249" s="100">
        <v>0.47749999999999998</v>
      </c>
      <c r="N249" s="100">
        <v>6.2</v>
      </c>
      <c r="O249" s="98" t="s">
        <v>48</v>
      </c>
      <c r="P249" s="98">
        <v>4</v>
      </c>
      <c r="Q249" s="98">
        <v>10</v>
      </c>
      <c r="R249" s="98" t="s">
        <v>49</v>
      </c>
      <c r="S249" s="98" t="s">
        <v>50</v>
      </c>
      <c r="T249" s="98" t="s">
        <v>50</v>
      </c>
      <c r="U249" s="98" t="s">
        <v>50</v>
      </c>
      <c r="V249" s="98" t="s">
        <v>50</v>
      </c>
      <c r="W249" s="98" t="s">
        <v>50</v>
      </c>
      <c r="X249" s="98" t="s">
        <v>50</v>
      </c>
      <c r="Y249" s="622"/>
    </row>
    <row r="250" spans="1:25" s="98" customFormat="1" x14ac:dyDescent="0.25">
      <c r="A250" s="194">
        <v>43844</v>
      </c>
      <c r="B250" s="98" t="s">
        <v>849</v>
      </c>
      <c r="C250" s="98" t="s">
        <v>78</v>
      </c>
      <c r="D250" s="98">
        <v>38.05312</v>
      </c>
      <c r="E250" s="98">
        <v>-121.95908</v>
      </c>
      <c r="F250" s="98" t="s">
        <v>2770</v>
      </c>
      <c r="G250" s="98" t="s">
        <v>27</v>
      </c>
      <c r="H250" s="98" t="s">
        <v>170</v>
      </c>
      <c r="I250" s="621">
        <v>0.43333333333333335</v>
      </c>
      <c r="J250" s="100">
        <v>7636.75</v>
      </c>
      <c r="K250" s="100">
        <v>9.6999999999999993</v>
      </c>
      <c r="L250" s="100">
        <v>29.450000000000003</v>
      </c>
      <c r="M250" s="100">
        <v>0.51</v>
      </c>
      <c r="N250" s="100">
        <v>10.25</v>
      </c>
      <c r="O250" s="98" t="s">
        <v>48</v>
      </c>
      <c r="P250" s="98">
        <v>4</v>
      </c>
      <c r="Q250" s="98">
        <v>10</v>
      </c>
      <c r="R250" s="98" t="s">
        <v>49</v>
      </c>
      <c r="S250" s="98" t="s">
        <v>50</v>
      </c>
      <c r="T250" s="98" t="s">
        <v>50</v>
      </c>
      <c r="U250" s="98" t="s">
        <v>50</v>
      </c>
      <c r="V250" s="98" t="s">
        <v>50</v>
      </c>
      <c r="W250" s="98" t="s">
        <v>50</v>
      </c>
      <c r="X250" s="98" t="s">
        <v>50</v>
      </c>
      <c r="Y250" s="622"/>
    </row>
    <row r="251" spans="1:25" s="98" customFormat="1" x14ac:dyDescent="0.25">
      <c r="A251" s="194">
        <v>43845</v>
      </c>
      <c r="B251" s="98" t="s">
        <v>915</v>
      </c>
      <c r="C251" s="98" t="s">
        <v>88</v>
      </c>
      <c r="D251" s="98">
        <v>38.058660000000003</v>
      </c>
      <c r="E251" s="98">
        <v>-121.79508</v>
      </c>
      <c r="F251" s="98" t="s">
        <v>2771</v>
      </c>
      <c r="G251" s="98" t="s">
        <v>27</v>
      </c>
      <c r="H251" s="98" t="s">
        <v>25</v>
      </c>
      <c r="I251" s="621">
        <v>0.33611111111111108</v>
      </c>
      <c r="J251" s="100">
        <v>1831.5</v>
      </c>
      <c r="K251" s="100">
        <v>9.5</v>
      </c>
      <c r="L251" s="100">
        <v>18.525000000000002</v>
      </c>
      <c r="M251" s="100">
        <v>0.61</v>
      </c>
      <c r="N251" s="100">
        <v>9.6000000000000014</v>
      </c>
      <c r="O251" s="98" t="s">
        <v>48</v>
      </c>
      <c r="P251" s="98">
        <v>4</v>
      </c>
      <c r="Q251" s="98">
        <v>10</v>
      </c>
      <c r="R251" s="98" t="s">
        <v>64</v>
      </c>
      <c r="S251" s="98" t="s">
        <v>50</v>
      </c>
      <c r="T251" s="98" t="s">
        <v>50</v>
      </c>
      <c r="U251" s="98" t="s">
        <v>50</v>
      </c>
      <c r="V251" s="98" t="s">
        <v>50</v>
      </c>
      <c r="W251" s="98" t="s">
        <v>50</v>
      </c>
      <c r="X251" s="98" t="s">
        <v>50</v>
      </c>
      <c r="Y251" s="622"/>
    </row>
    <row r="252" spans="1:25" s="98" customFormat="1" x14ac:dyDescent="0.25">
      <c r="A252" s="194">
        <v>43845</v>
      </c>
      <c r="B252" s="98" t="s">
        <v>915</v>
      </c>
      <c r="C252" s="98" t="s">
        <v>88</v>
      </c>
      <c r="D252" s="98">
        <v>38.063549999999999</v>
      </c>
      <c r="E252" s="98">
        <v>-121.82228000000001</v>
      </c>
      <c r="F252" s="98" t="s">
        <v>2772</v>
      </c>
      <c r="G252" s="98" t="s">
        <v>27</v>
      </c>
      <c r="H252" s="98" t="s">
        <v>25</v>
      </c>
      <c r="I252" s="621">
        <v>0.39305555555555555</v>
      </c>
      <c r="J252" s="100">
        <v>2221</v>
      </c>
      <c r="K252" s="100">
        <v>9.5500000000000007</v>
      </c>
      <c r="L252" s="100">
        <v>20.475000000000001</v>
      </c>
      <c r="M252" s="100">
        <v>0.59750000000000003</v>
      </c>
      <c r="N252" s="100">
        <v>9.8250000000000011</v>
      </c>
      <c r="O252" s="98" t="s">
        <v>48</v>
      </c>
      <c r="P252" s="98">
        <v>4</v>
      </c>
      <c r="Q252" s="98">
        <v>10</v>
      </c>
      <c r="R252" s="98" t="s">
        <v>49</v>
      </c>
      <c r="S252" s="98" t="s">
        <v>50</v>
      </c>
      <c r="T252" s="98" t="s">
        <v>50</v>
      </c>
      <c r="U252" s="98" t="s">
        <v>50</v>
      </c>
      <c r="V252" s="98" t="s">
        <v>50</v>
      </c>
      <c r="W252" s="98" t="s">
        <v>50</v>
      </c>
      <c r="X252" s="98" t="s">
        <v>50</v>
      </c>
      <c r="Y252" s="622" t="s">
        <v>842</v>
      </c>
    </row>
    <row r="253" spans="1:25" s="592" customFormat="1" x14ac:dyDescent="0.25">
      <c r="A253" s="590">
        <v>43845</v>
      </c>
      <c r="B253" s="592" t="s">
        <v>915</v>
      </c>
      <c r="C253" s="592" t="s">
        <v>88</v>
      </c>
      <c r="D253" s="592">
        <v>38.067250000000001</v>
      </c>
      <c r="E253" s="592">
        <v>-121.82707000000001</v>
      </c>
      <c r="F253" s="592" t="s">
        <v>2773</v>
      </c>
      <c r="G253" s="592" t="s">
        <v>27</v>
      </c>
      <c r="H253" s="592" t="s">
        <v>25</v>
      </c>
      <c r="I253" s="619">
        <v>0.44513888888888892</v>
      </c>
      <c r="J253" s="593">
        <v>2245.5</v>
      </c>
      <c r="K253" s="593">
        <v>9.6</v>
      </c>
      <c r="L253" s="593">
        <v>19.600000000000001</v>
      </c>
      <c r="M253" s="593">
        <v>0.63500000000000001</v>
      </c>
      <c r="N253" s="593">
        <v>7.75</v>
      </c>
      <c r="O253" s="592" t="s">
        <v>48</v>
      </c>
      <c r="P253" s="592">
        <v>2</v>
      </c>
      <c r="Q253" s="592">
        <v>10</v>
      </c>
      <c r="R253" s="592" t="s">
        <v>49</v>
      </c>
      <c r="S253" s="592" t="s">
        <v>323</v>
      </c>
      <c r="T253" s="592">
        <v>1</v>
      </c>
      <c r="U253" s="592">
        <v>63</v>
      </c>
      <c r="V253" s="592" t="s">
        <v>66</v>
      </c>
      <c r="W253" s="592" t="s">
        <v>50</v>
      </c>
      <c r="X253" s="592" t="s">
        <v>50</v>
      </c>
      <c r="Y253" s="669"/>
    </row>
    <row r="254" spans="1:25" s="98" customFormat="1" x14ac:dyDescent="0.25">
      <c r="A254" s="194">
        <v>43845</v>
      </c>
      <c r="B254" s="98" t="s">
        <v>915</v>
      </c>
      <c r="C254" s="98" t="s">
        <v>95</v>
      </c>
      <c r="D254" s="98">
        <v>38.053730000000002</v>
      </c>
      <c r="E254" s="98">
        <v>-121.51692</v>
      </c>
      <c r="F254" s="98" t="s">
        <v>2774</v>
      </c>
      <c r="G254" s="98" t="s">
        <v>46</v>
      </c>
      <c r="H254" s="98" t="s">
        <v>115</v>
      </c>
      <c r="I254" s="621">
        <v>0.32083333333333336</v>
      </c>
      <c r="J254" s="100">
        <v>312.05</v>
      </c>
      <c r="K254" s="100">
        <v>9.6</v>
      </c>
      <c r="L254" s="100">
        <v>5.27</v>
      </c>
      <c r="M254" s="100">
        <v>1.4350000000000001</v>
      </c>
      <c r="N254" s="100">
        <v>13.675000000000001</v>
      </c>
      <c r="O254" s="98" t="s">
        <v>48</v>
      </c>
      <c r="P254" s="98">
        <v>4</v>
      </c>
      <c r="Q254" s="98">
        <v>10</v>
      </c>
      <c r="R254" s="98" t="s">
        <v>64</v>
      </c>
      <c r="S254" s="98" t="s">
        <v>50</v>
      </c>
      <c r="T254" s="98" t="s">
        <v>50</v>
      </c>
      <c r="U254" s="98" t="s">
        <v>50</v>
      </c>
      <c r="V254" s="98" t="s">
        <v>50</v>
      </c>
      <c r="W254" s="98" t="s">
        <v>50</v>
      </c>
      <c r="X254" s="98" t="s">
        <v>50</v>
      </c>
      <c r="Y254" s="622" t="s">
        <v>139</v>
      </c>
    </row>
    <row r="255" spans="1:25" s="98" customFormat="1" x14ac:dyDescent="0.25">
      <c r="A255" s="194">
        <v>43845</v>
      </c>
      <c r="B255" s="98" t="s">
        <v>915</v>
      </c>
      <c r="C255" s="98" t="s">
        <v>95</v>
      </c>
      <c r="D255" s="98">
        <v>38.054560000000002</v>
      </c>
      <c r="E255" s="98">
        <v>-121.52136</v>
      </c>
      <c r="F255" s="98" t="s">
        <v>2775</v>
      </c>
      <c r="G255" s="98" t="s">
        <v>46</v>
      </c>
      <c r="H255" s="98" t="s">
        <v>115</v>
      </c>
      <c r="I255" s="621">
        <v>0.37152777777777773</v>
      </c>
      <c r="J255" s="100">
        <v>309.85000000000002</v>
      </c>
      <c r="K255" s="100">
        <v>9.6</v>
      </c>
      <c r="L255" s="100">
        <v>6.87</v>
      </c>
      <c r="M255" s="100">
        <v>1.3874999999999997</v>
      </c>
      <c r="N255" s="100">
        <v>11.925000000000001</v>
      </c>
      <c r="O255" s="98" t="s">
        <v>48</v>
      </c>
      <c r="P255" s="98">
        <v>4</v>
      </c>
      <c r="Q255" s="98">
        <v>10</v>
      </c>
      <c r="R255" s="98" t="s">
        <v>64</v>
      </c>
      <c r="S255" s="98" t="s">
        <v>50</v>
      </c>
      <c r="T255" s="98" t="s">
        <v>50</v>
      </c>
      <c r="U255" s="98" t="s">
        <v>50</v>
      </c>
      <c r="V255" s="98" t="s">
        <v>50</v>
      </c>
      <c r="W255" s="98" t="s">
        <v>50</v>
      </c>
      <c r="X255" s="98" t="s">
        <v>50</v>
      </c>
      <c r="Y255" s="622"/>
    </row>
    <row r="256" spans="1:25" s="98" customFormat="1" x14ac:dyDescent="0.25">
      <c r="A256" s="194">
        <v>43845</v>
      </c>
      <c r="B256" s="98" t="s">
        <v>915</v>
      </c>
      <c r="C256" s="98" t="s">
        <v>95</v>
      </c>
      <c r="D256" s="98">
        <v>38.090949999999999</v>
      </c>
      <c r="E256" s="98">
        <v>-121.62752999999999</v>
      </c>
      <c r="F256" s="98" t="s">
        <v>2776</v>
      </c>
      <c r="G256" s="98" t="s">
        <v>46</v>
      </c>
      <c r="H256" s="98" t="s">
        <v>908</v>
      </c>
      <c r="I256" s="621">
        <v>0.43611111111111112</v>
      </c>
      <c r="J256" s="100">
        <v>386.82500000000005</v>
      </c>
      <c r="K256" s="100">
        <v>9.6999999999999993</v>
      </c>
      <c r="L256" s="100">
        <v>6.6624999999999996</v>
      </c>
      <c r="M256" s="100">
        <v>1.355</v>
      </c>
      <c r="N256" s="100">
        <v>6.0249999999999995</v>
      </c>
      <c r="O256" s="98" t="s">
        <v>48</v>
      </c>
      <c r="P256" s="98">
        <v>4</v>
      </c>
      <c r="Q256" s="98">
        <v>10</v>
      </c>
      <c r="R256" s="98" t="s">
        <v>49</v>
      </c>
      <c r="S256" s="98" t="s">
        <v>50</v>
      </c>
      <c r="T256" s="98" t="s">
        <v>50</v>
      </c>
      <c r="U256" s="98" t="s">
        <v>50</v>
      </c>
      <c r="V256" s="98" t="s">
        <v>50</v>
      </c>
      <c r="W256" s="98" t="s">
        <v>50</v>
      </c>
      <c r="X256" s="98" t="s">
        <v>50</v>
      </c>
      <c r="Y256" s="622"/>
    </row>
    <row r="257" spans="1:25" s="646" customFormat="1" x14ac:dyDescent="0.25">
      <c r="A257" s="645">
        <v>43845</v>
      </c>
      <c r="B257" s="646" t="s">
        <v>915</v>
      </c>
      <c r="C257" s="646" t="s">
        <v>62</v>
      </c>
      <c r="D257" s="646">
        <v>38.108910000000002</v>
      </c>
      <c r="E257" s="646">
        <v>-122.05616000000001</v>
      </c>
      <c r="F257" s="646" t="s">
        <v>2777</v>
      </c>
      <c r="G257" s="646" t="s">
        <v>27</v>
      </c>
      <c r="H257" s="646" t="s">
        <v>173</v>
      </c>
      <c r="I257" s="647">
        <v>0.36458333333333331</v>
      </c>
      <c r="J257" s="648">
        <v>11210.5</v>
      </c>
      <c r="K257" s="648">
        <v>9.5</v>
      </c>
      <c r="L257" s="648">
        <v>34.9</v>
      </c>
      <c r="M257" s="648">
        <v>0.30500000000000005</v>
      </c>
      <c r="N257" s="648">
        <v>3.5749999999999997</v>
      </c>
      <c r="O257" s="646" t="s">
        <v>48</v>
      </c>
      <c r="P257" s="646">
        <v>4</v>
      </c>
      <c r="Q257" s="646">
        <v>10</v>
      </c>
      <c r="R257" s="646" t="s">
        <v>49</v>
      </c>
      <c r="S257" s="667" t="s">
        <v>31</v>
      </c>
      <c r="T257" s="646">
        <v>4</v>
      </c>
      <c r="U257" s="646" t="s">
        <v>2778</v>
      </c>
      <c r="V257" s="646" t="s">
        <v>66</v>
      </c>
      <c r="W257" s="646" t="s">
        <v>50</v>
      </c>
      <c r="X257" s="646" t="s">
        <v>50</v>
      </c>
      <c r="Y257" s="668"/>
    </row>
    <row r="258" spans="1:25" s="98" customFormat="1" x14ac:dyDescent="0.25">
      <c r="A258" s="194">
        <v>43845</v>
      </c>
      <c r="B258" s="98" t="s">
        <v>915</v>
      </c>
      <c r="C258" s="98" t="s">
        <v>62</v>
      </c>
      <c r="D258" s="98">
        <v>38.173990000000003</v>
      </c>
      <c r="E258" s="98">
        <v>-122.01488000000001</v>
      </c>
      <c r="F258" s="98" t="s">
        <v>2779</v>
      </c>
      <c r="G258" s="98" t="s">
        <v>27</v>
      </c>
      <c r="H258" s="98" t="s">
        <v>62</v>
      </c>
      <c r="I258" s="621">
        <v>0.42083333333333334</v>
      </c>
      <c r="J258" s="100">
        <v>4213.75</v>
      </c>
      <c r="K258" s="100">
        <v>9.4</v>
      </c>
      <c r="L258" s="100">
        <v>67.824999999999989</v>
      </c>
      <c r="M258" s="100">
        <v>0.2225</v>
      </c>
      <c r="N258" s="100">
        <v>4.6749999999999998</v>
      </c>
      <c r="O258" s="98" t="s">
        <v>48</v>
      </c>
      <c r="P258" s="98">
        <v>4</v>
      </c>
      <c r="Q258" s="98">
        <v>10</v>
      </c>
      <c r="R258" s="98" t="s">
        <v>49</v>
      </c>
      <c r="S258" s="98" t="s">
        <v>50</v>
      </c>
      <c r="T258" s="98" t="s">
        <v>50</v>
      </c>
      <c r="U258" s="98" t="s">
        <v>50</v>
      </c>
      <c r="V258" s="98" t="s">
        <v>50</v>
      </c>
      <c r="W258" s="98" t="s">
        <v>50</v>
      </c>
      <c r="X258" s="98" t="s">
        <v>50</v>
      </c>
      <c r="Y258" s="622"/>
    </row>
    <row r="259" spans="1:25" s="592" customFormat="1" x14ac:dyDescent="0.25">
      <c r="A259" s="590">
        <v>43845</v>
      </c>
      <c r="B259" s="592" t="s">
        <v>915</v>
      </c>
      <c r="C259" s="592" t="s">
        <v>62</v>
      </c>
      <c r="D259" s="592">
        <v>38.102069999999998</v>
      </c>
      <c r="E259" s="592">
        <v>-121.89234</v>
      </c>
      <c r="F259" s="592" t="s">
        <v>2780</v>
      </c>
      <c r="G259" s="592" t="s">
        <v>27</v>
      </c>
      <c r="H259" s="592" t="s">
        <v>62</v>
      </c>
      <c r="I259" s="619">
        <v>0.4909722222222222</v>
      </c>
      <c r="J259" s="593">
        <v>1094.75</v>
      </c>
      <c r="K259" s="593">
        <v>9.4499999999999993</v>
      </c>
      <c r="L259" s="593">
        <v>31.5</v>
      </c>
      <c r="M259" s="593">
        <v>0.42500000000000004</v>
      </c>
      <c r="N259" s="593">
        <v>5</v>
      </c>
      <c r="O259" s="592" t="s">
        <v>48</v>
      </c>
      <c r="P259" s="592">
        <v>4</v>
      </c>
      <c r="Q259" s="592">
        <v>10</v>
      </c>
      <c r="R259" s="592" t="s">
        <v>49</v>
      </c>
      <c r="S259" s="592" t="s">
        <v>323</v>
      </c>
      <c r="T259" s="592">
        <v>1</v>
      </c>
      <c r="U259" s="592">
        <v>65</v>
      </c>
      <c r="V259" s="592" t="s">
        <v>66</v>
      </c>
      <c r="W259" s="592" t="s">
        <v>50</v>
      </c>
      <c r="X259" s="592" t="s">
        <v>50</v>
      </c>
      <c r="Y259" s="669"/>
    </row>
    <row r="260" spans="1:25" s="98" customFormat="1" x14ac:dyDescent="0.25">
      <c r="A260" s="194">
        <v>43846</v>
      </c>
      <c r="B260" s="98" t="s">
        <v>876</v>
      </c>
      <c r="C260" s="98" t="s">
        <v>126</v>
      </c>
      <c r="D260" s="98">
        <v>38.256549999999997</v>
      </c>
      <c r="E260" s="98">
        <v>-121.72575999999999</v>
      </c>
      <c r="F260" s="98" t="s">
        <v>2781</v>
      </c>
      <c r="G260" s="98" t="s">
        <v>90</v>
      </c>
      <c r="H260" s="98" t="s">
        <v>845</v>
      </c>
      <c r="I260" s="621">
        <v>0.33194444444444443</v>
      </c>
      <c r="J260" s="100">
        <v>274.32499999999999</v>
      </c>
      <c r="K260" s="100">
        <v>9.1</v>
      </c>
      <c r="L260" s="100">
        <v>5.2774999999999999</v>
      </c>
      <c r="M260" s="100">
        <v>1.5175000000000001</v>
      </c>
      <c r="N260" s="100">
        <v>5.8</v>
      </c>
      <c r="O260" s="98" t="s">
        <v>48</v>
      </c>
      <c r="P260" s="98">
        <v>4</v>
      </c>
      <c r="Q260" s="98">
        <v>10</v>
      </c>
      <c r="R260" s="98" t="s">
        <v>64</v>
      </c>
      <c r="S260" s="98" t="s">
        <v>50</v>
      </c>
      <c r="T260" s="98" t="s">
        <v>50</v>
      </c>
      <c r="U260" s="98" t="s">
        <v>50</v>
      </c>
      <c r="V260" s="98" t="s">
        <v>50</v>
      </c>
      <c r="W260" s="98" t="s">
        <v>50</v>
      </c>
      <c r="X260" s="98" t="s">
        <v>50</v>
      </c>
      <c r="Y260" s="622" t="s">
        <v>2501</v>
      </c>
    </row>
    <row r="261" spans="1:25" s="98" customFormat="1" x14ac:dyDescent="0.25">
      <c r="A261" s="194">
        <v>43846</v>
      </c>
      <c r="B261" s="98" t="s">
        <v>876</v>
      </c>
      <c r="C261" s="98" t="s">
        <v>126</v>
      </c>
      <c r="D261" s="98">
        <v>38.306750000000001</v>
      </c>
      <c r="E261" s="98">
        <v>-121.6572</v>
      </c>
      <c r="F261" s="98" t="s">
        <v>2782</v>
      </c>
      <c r="G261" s="98" t="s">
        <v>90</v>
      </c>
      <c r="H261" s="98" t="s">
        <v>845</v>
      </c>
      <c r="I261" s="621">
        <v>0.45069444444444445</v>
      </c>
      <c r="J261" s="100">
        <v>321.10000000000002</v>
      </c>
      <c r="K261" s="100">
        <v>9.1999999999999993</v>
      </c>
      <c r="L261" s="100">
        <v>7.2725</v>
      </c>
      <c r="M261" s="100">
        <v>1.385</v>
      </c>
      <c r="N261" s="100">
        <v>5.5250000000000004</v>
      </c>
      <c r="O261" s="98" t="s">
        <v>48</v>
      </c>
      <c r="P261" s="98">
        <v>4</v>
      </c>
      <c r="Q261" s="98">
        <v>10</v>
      </c>
      <c r="R261" s="98" t="s">
        <v>64</v>
      </c>
      <c r="S261" s="98" t="s">
        <v>50</v>
      </c>
      <c r="T261" s="98" t="s">
        <v>50</v>
      </c>
      <c r="U261" s="98" t="s">
        <v>50</v>
      </c>
      <c r="V261" s="98" t="s">
        <v>50</v>
      </c>
      <c r="W261" s="98" t="s">
        <v>50</v>
      </c>
      <c r="X261" s="98" t="s">
        <v>50</v>
      </c>
      <c r="Y261" s="622" t="s">
        <v>2501</v>
      </c>
    </row>
    <row r="262" spans="1:25" s="98" customFormat="1" x14ac:dyDescent="0.25">
      <c r="A262" s="194">
        <v>43846</v>
      </c>
      <c r="B262" s="98" t="s">
        <v>876</v>
      </c>
      <c r="C262" s="98" t="s">
        <v>126</v>
      </c>
      <c r="D262" s="98">
        <v>38.250520000000002</v>
      </c>
      <c r="E262" s="98">
        <v>-121.67413999999999</v>
      </c>
      <c r="F262" s="98" t="s">
        <v>2783</v>
      </c>
      <c r="G262" s="98" t="s">
        <v>90</v>
      </c>
      <c r="H262" s="98" t="s">
        <v>845</v>
      </c>
      <c r="I262" s="621">
        <v>0.39652777777777781</v>
      </c>
      <c r="J262" s="100">
        <v>209.125</v>
      </c>
      <c r="K262" s="100">
        <v>9.4</v>
      </c>
      <c r="L262" s="100">
        <v>8.8275000000000006</v>
      </c>
      <c r="M262" s="100">
        <v>1.24</v>
      </c>
      <c r="N262" s="100">
        <v>11.3</v>
      </c>
      <c r="O262" s="98" t="s">
        <v>48</v>
      </c>
      <c r="P262" s="98">
        <v>4</v>
      </c>
      <c r="Q262" s="98">
        <v>10</v>
      </c>
      <c r="R262" s="98" t="s">
        <v>64</v>
      </c>
      <c r="S262" s="98" t="s">
        <v>50</v>
      </c>
      <c r="T262" s="98" t="s">
        <v>50</v>
      </c>
      <c r="U262" s="98" t="s">
        <v>50</v>
      </c>
      <c r="V262" s="98" t="s">
        <v>50</v>
      </c>
      <c r="W262" s="98" t="s">
        <v>50</v>
      </c>
      <c r="X262" s="98" t="s">
        <v>50</v>
      </c>
      <c r="Y262" s="622" t="s">
        <v>139</v>
      </c>
    </row>
    <row r="263" spans="1:25" s="98" customFormat="1" x14ac:dyDescent="0.25">
      <c r="A263" s="194">
        <v>43846</v>
      </c>
      <c r="B263" s="98" t="s">
        <v>876</v>
      </c>
      <c r="C263" s="98" t="s">
        <v>95</v>
      </c>
      <c r="D263" s="98">
        <v>38.019579999999998</v>
      </c>
      <c r="E263" s="98">
        <v>-121.80793</v>
      </c>
      <c r="F263" s="98" t="s">
        <v>2784</v>
      </c>
      <c r="G263" s="98" t="s">
        <v>27</v>
      </c>
      <c r="H263" s="98" t="s">
        <v>25</v>
      </c>
      <c r="I263" s="621">
        <v>0.39444444444444443</v>
      </c>
      <c r="J263" s="100">
        <v>2270.75</v>
      </c>
      <c r="K263" s="100">
        <v>9.5749999999999993</v>
      </c>
      <c r="L263" s="100">
        <v>22.675000000000001</v>
      </c>
      <c r="M263" s="100">
        <v>0.55499999999999994</v>
      </c>
      <c r="N263" s="100">
        <v>15.55</v>
      </c>
      <c r="O263" s="98" t="s">
        <v>48</v>
      </c>
      <c r="P263" s="98">
        <v>4</v>
      </c>
      <c r="Q263" s="98">
        <v>10</v>
      </c>
      <c r="R263" s="98" t="s">
        <v>64</v>
      </c>
      <c r="S263" s="98" t="s">
        <v>50</v>
      </c>
      <c r="T263" s="98" t="s">
        <v>50</v>
      </c>
      <c r="U263" s="98" t="s">
        <v>50</v>
      </c>
      <c r="V263" s="98" t="s">
        <v>50</v>
      </c>
      <c r="W263" s="98" t="s">
        <v>50</v>
      </c>
      <c r="X263" s="98" t="s">
        <v>50</v>
      </c>
      <c r="Y263" s="622"/>
    </row>
    <row r="264" spans="1:25" s="98" customFormat="1" x14ac:dyDescent="0.25">
      <c r="A264" s="194">
        <v>43846</v>
      </c>
      <c r="B264" s="98" t="s">
        <v>876</v>
      </c>
      <c r="C264" s="98" t="s">
        <v>95</v>
      </c>
      <c r="D264" s="98">
        <v>38.016359999999999</v>
      </c>
      <c r="E264" s="98">
        <v>-121.78346999999999</v>
      </c>
      <c r="F264" s="98" t="s">
        <v>2785</v>
      </c>
      <c r="G264" s="98" t="s">
        <v>27</v>
      </c>
      <c r="H264" s="98" t="s">
        <v>25</v>
      </c>
      <c r="I264" s="621">
        <v>0.34027777777777773</v>
      </c>
      <c r="J264" s="100">
        <v>1478.25</v>
      </c>
      <c r="K264" s="100">
        <v>9.5250000000000004</v>
      </c>
      <c r="L264" s="100">
        <v>14.425000000000001</v>
      </c>
      <c r="M264" s="100">
        <v>0.72500000000000009</v>
      </c>
      <c r="N264" s="100">
        <v>11.549999999999999</v>
      </c>
      <c r="O264" s="98" t="s">
        <v>48</v>
      </c>
      <c r="P264" s="98">
        <v>4</v>
      </c>
      <c r="Q264" s="98">
        <v>10</v>
      </c>
      <c r="R264" s="98" t="s">
        <v>64</v>
      </c>
      <c r="S264" s="98" t="s">
        <v>50</v>
      </c>
      <c r="T264" s="98" t="s">
        <v>50</v>
      </c>
      <c r="U264" s="98" t="s">
        <v>50</v>
      </c>
      <c r="V264" s="98" t="s">
        <v>50</v>
      </c>
      <c r="W264" s="98" t="s">
        <v>50</v>
      </c>
      <c r="X264" s="98" t="s">
        <v>50</v>
      </c>
      <c r="Y264" s="622" t="s">
        <v>139</v>
      </c>
    </row>
    <row r="265" spans="1:25" s="98" customFormat="1" x14ac:dyDescent="0.25">
      <c r="A265" s="194">
        <v>43846</v>
      </c>
      <c r="B265" s="98" t="s">
        <v>876</v>
      </c>
      <c r="C265" s="98" t="s">
        <v>95</v>
      </c>
      <c r="D265" s="98">
        <v>38.057690000000001</v>
      </c>
      <c r="E265" s="98">
        <v>-121.67910999999999</v>
      </c>
      <c r="F265" s="98" t="s">
        <v>2786</v>
      </c>
      <c r="G265" s="98" t="s">
        <v>46</v>
      </c>
      <c r="H265" s="98" t="s">
        <v>908</v>
      </c>
      <c r="I265" s="621">
        <v>0.45694444444444443</v>
      </c>
      <c r="J265" s="100">
        <v>733.75</v>
      </c>
      <c r="K265" s="100">
        <v>9.5</v>
      </c>
      <c r="L265" s="100">
        <v>10.217499999999999</v>
      </c>
      <c r="M265" s="100">
        <v>1.125</v>
      </c>
      <c r="N265" s="100">
        <v>11.85</v>
      </c>
      <c r="O265" s="98" t="s">
        <v>48</v>
      </c>
      <c r="P265" s="98">
        <v>4</v>
      </c>
      <c r="Q265" s="98">
        <v>10</v>
      </c>
      <c r="R265" s="98" t="s">
        <v>64</v>
      </c>
      <c r="S265" s="98" t="s">
        <v>50</v>
      </c>
      <c r="T265" s="98" t="s">
        <v>50</v>
      </c>
      <c r="U265" s="98" t="s">
        <v>50</v>
      </c>
      <c r="V265" s="98" t="s">
        <v>50</v>
      </c>
      <c r="W265" s="98" t="s">
        <v>50</v>
      </c>
      <c r="X265" s="98" t="s">
        <v>50</v>
      </c>
      <c r="Y265" s="622" t="s">
        <v>2787</v>
      </c>
    </row>
    <row r="266" spans="1:25" s="646" customFormat="1" x14ac:dyDescent="0.25">
      <c r="A266" s="645">
        <v>43846</v>
      </c>
      <c r="B266" s="646" t="s">
        <v>876</v>
      </c>
      <c r="C266" s="646" t="s">
        <v>78</v>
      </c>
      <c r="D266" s="646">
        <v>38.072360000000003</v>
      </c>
      <c r="E266" s="646">
        <v>-121.8409</v>
      </c>
      <c r="F266" s="646" t="s">
        <v>2788</v>
      </c>
      <c r="G266" s="646" t="s">
        <v>27</v>
      </c>
      <c r="H266" s="646" t="s">
        <v>101</v>
      </c>
      <c r="I266" s="647">
        <v>0.3298611111111111</v>
      </c>
      <c r="J266" s="648">
        <v>2487.75</v>
      </c>
      <c r="K266" s="648">
        <v>9.3500000000000014</v>
      </c>
      <c r="L266" s="648">
        <v>36</v>
      </c>
      <c r="M266" s="648">
        <v>0.39500000000000002</v>
      </c>
      <c r="N266" s="648">
        <v>7.1</v>
      </c>
      <c r="O266" s="646" t="s">
        <v>48</v>
      </c>
      <c r="P266" s="646">
        <v>4</v>
      </c>
      <c r="Q266" s="646">
        <v>10</v>
      </c>
      <c r="R266" s="646" t="s">
        <v>64</v>
      </c>
      <c r="S266" s="667" t="s">
        <v>31</v>
      </c>
      <c r="T266" s="646">
        <v>1</v>
      </c>
      <c r="U266" s="646">
        <v>96</v>
      </c>
      <c r="V266" s="646" t="s">
        <v>2789</v>
      </c>
      <c r="W266" s="646" t="s">
        <v>50</v>
      </c>
      <c r="X266" s="646" t="s">
        <v>50</v>
      </c>
      <c r="Y266" s="668"/>
    </row>
    <row r="267" spans="1:25" s="98" customFormat="1" x14ac:dyDescent="0.25">
      <c r="A267" s="194">
        <v>43846</v>
      </c>
      <c r="B267" s="98" t="s">
        <v>876</v>
      </c>
      <c r="C267" s="98" t="s">
        <v>78</v>
      </c>
      <c r="D267" s="98">
        <v>38.04186</v>
      </c>
      <c r="E267" s="98">
        <v>-121.84395000000001</v>
      </c>
      <c r="F267" s="98" t="s">
        <v>2790</v>
      </c>
      <c r="G267" s="98" t="s">
        <v>27</v>
      </c>
      <c r="H267" s="98" t="s">
        <v>101</v>
      </c>
      <c r="I267" s="621">
        <v>0.37777777777777777</v>
      </c>
      <c r="J267" s="100">
        <v>3514.25</v>
      </c>
      <c r="K267" s="100">
        <v>9.4250000000000007</v>
      </c>
      <c r="L267" s="100">
        <v>32.875</v>
      </c>
      <c r="M267" s="100">
        <v>0.51</v>
      </c>
      <c r="N267" s="100">
        <v>7.2750000000000004</v>
      </c>
      <c r="O267" s="98" t="s">
        <v>48</v>
      </c>
      <c r="P267" s="98">
        <v>4</v>
      </c>
      <c r="Q267" s="98">
        <v>10</v>
      </c>
      <c r="R267" s="98" t="s">
        <v>64</v>
      </c>
      <c r="S267" s="98" t="s">
        <v>50</v>
      </c>
      <c r="T267" s="98" t="s">
        <v>50</v>
      </c>
      <c r="U267" s="98" t="s">
        <v>50</v>
      </c>
      <c r="V267" s="98" t="s">
        <v>50</v>
      </c>
      <c r="W267" s="98" t="s">
        <v>50</v>
      </c>
      <c r="X267" s="98" t="s">
        <v>50</v>
      </c>
      <c r="Y267" s="622"/>
    </row>
    <row r="268" spans="1:25" s="362" customFormat="1" x14ac:dyDescent="0.25">
      <c r="A268" s="360">
        <v>43846</v>
      </c>
      <c r="B268" s="362" t="s">
        <v>876</v>
      </c>
      <c r="C268" s="362" t="s">
        <v>78</v>
      </c>
      <c r="D268" s="362">
        <v>38.042720000000003</v>
      </c>
      <c r="E268" s="362">
        <v>-121.90354000000001</v>
      </c>
      <c r="F268" s="362" t="s">
        <v>2791</v>
      </c>
      <c r="G268" s="362" t="s">
        <v>27</v>
      </c>
      <c r="H268" s="362" t="s">
        <v>101</v>
      </c>
      <c r="I268" s="618">
        <v>0.43402777777777773</v>
      </c>
      <c r="J268" s="364">
        <v>8001.75</v>
      </c>
      <c r="K268" s="364">
        <v>9.5</v>
      </c>
      <c r="L268" s="364">
        <v>34.625</v>
      </c>
      <c r="M268" s="364">
        <v>0.44499999999999995</v>
      </c>
      <c r="N268" s="364">
        <v>19.375</v>
      </c>
      <c r="O268" s="362" t="s">
        <v>48</v>
      </c>
      <c r="P268" s="362">
        <v>4</v>
      </c>
      <c r="Q268" s="362">
        <v>10</v>
      </c>
      <c r="R268" s="362" t="s">
        <v>49</v>
      </c>
      <c r="S268" s="362" t="s">
        <v>50</v>
      </c>
      <c r="T268" s="362" t="s">
        <v>50</v>
      </c>
      <c r="U268" s="362" t="s">
        <v>50</v>
      </c>
      <c r="V268" s="362" t="s">
        <v>50</v>
      </c>
      <c r="W268" s="362" t="s">
        <v>50</v>
      </c>
      <c r="X268" s="362" t="s">
        <v>50</v>
      </c>
      <c r="Y268" s="603"/>
    </row>
    <row r="269" spans="1:25" s="98" customFormat="1" x14ac:dyDescent="0.25">
      <c r="A269" s="194">
        <v>43851</v>
      </c>
      <c r="B269" s="98" t="s">
        <v>849</v>
      </c>
      <c r="C269" s="98" t="s">
        <v>106</v>
      </c>
      <c r="D269" s="98">
        <v>38.44258</v>
      </c>
      <c r="E269" s="98">
        <v>-121.59768</v>
      </c>
      <c r="F269" s="98" t="s">
        <v>2792</v>
      </c>
      <c r="G269" s="98" t="s">
        <v>90</v>
      </c>
      <c r="H269" s="98" t="s">
        <v>362</v>
      </c>
      <c r="I269" s="621">
        <v>0.34861111111111115</v>
      </c>
      <c r="J269" s="100">
        <v>681.75</v>
      </c>
      <c r="K269" s="100">
        <v>8.9</v>
      </c>
      <c r="L269" s="100">
        <v>60.55</v>
      </c>
      <c r="M269" s="100">
        <v>0.3</v>
      </c>
      <c r="N269" s="100">
        <v>9.1999999999999993</v>
      </c>
      <c r="O269" s="98" t="s">
        <v>48</v>
      </c>
      <c r="P269" s="98">
        <v>4</v>
      </c>
      <c r="Q269" s="98">
        <v>10</v>
      </c>
      <c r="R269" s="98" t="s">
        <v>49</v>
      </c>
      <c r="S269" s="98" t="s">
        <v>50</v>
      </c>
      <c r="T269" s="98" t="s">
        <v>50</v>
      </c>
      <c r="U269" s="98" t="s">
        <v>50</v>
      </c>
      <c r="V269" s="98" t="s">
        <v>50</v>
      </c>
      <c r="W269" s="98" t="s">
        <v>50</v>
      </c>
      <c r="X269" s="98" t="s">
        <v>50</v>
      </c>
      <c r="Y269" s="622" t="s">
        <v>2793</v>
      </c>
    </row>
    <row r="270" spans="1:25" s="98" customFormat="1" x14ac:dyDescent="0.25">
      <c r="A270" s="194">
        <v>43851</v>
      </c>
      <c r="B270" s="98" t="s">
        <v>849</v>
      </c>
      <c r="C270" s="98" t="s">
        <v>106</v>
      </c>
      <c r="D270" s="98">
        <v>38.32347</v>
      </c>
      <c r="E270" s="98">
        <v>-121.64984</v>
      </c>
      <c r="F270" s="98" t="s">
        <v>2794</v>
      </c>
      <c r="G270" s="98" t="s">
        <v>90</v>
      </c>
      <c r="H270" s="98" t="s">
        <v>362</v>
      </c>
      <c r="I270" s="621">
        <v>0.42986111111111108</v>
      </c>
      <c r="J270" s="100">
        <v>326.2</v>
      </c>
      <c r="K270" s="100">
        <v>9</v>
      </c>
      <c r="L270" s="100">
        <v>34.075000000000003</v>
      </c>
      <c r="M270" s="100">
        <v>0.40250000000000002</v>
      </c>
      <c r="N270" s="100">
        <v>11.2</v>
      </c>
      <c r="O270" s="98" t="s">
        <v>48</v>
      </c>
      <c r="P270" s="98">
        <v>4</v>
      </c>
      <c r="Q270" s="98">
        <v>10</v>
      </c>
      <c r="R270" s="98" t="s">
        <v>64</v>
      </c>
      <c r="S270" s="98" t="s">
        <v>50</v>
      </c>
      <c r="T270" s="98" t="s">
        <v>50</v>
      </c>
      <c r="U270" s="98" t="s">
        <v>50</v>
      </c>
      <c r="V270" s="98" t="s">
        <v>50</v>
      </c>
      <c r="W270" s="98" t="s">
        <v>50</v>
      </c>
      <c r="X270" s="98" t="s">
        <v>50</v>
      </c>
      <c r="Y270" s="622" t="s">
        <v>2795</v>
      </c>
    </row>
    <row r="271" spans="1:25" s="98" customFormat="1" x14ac:dyDescent="0.25">
      <c r="A271" s="194">
        <v>43851</v>
      </c>
      <c r="B271" s="98" t="s">
        <v>849</v>
      </c>
      <c r="C271" s="98" t="s">
        <v>106</v>
      </c>
      <c r="D271" s="98">
        <v>38.279350000000001</v>
      </c>
      <c r="E271" s="98">
        <v>-121.66070999999999</v>
      </c>
      <c r="F271" s="98" t="s">
        <v>2796</v>
      </c>
      <c r="G271" s="98" t="s">
        <v>90</v>
      </c>
      <c r="H271" s="98" t="s">
        <v>362</v>
      </c>
      <c r="I271" s="621">
        <v>0.49305555555555558</v>
      </c>
      <c r="J271" s="100">
        <v>212.7</v>
      </c>
      <c r="K271" s="100">
        <v>8.7249999999999996</v>
      </c>
      <c r="L271" s="100">
        <v>9.1325000000000003</v>
      </c>
      <c r="M271" s="100">
        <v>1.26</v>
      </c>
      <c r="N271" s="100">
        <v>13.7</v>
      </c>
      <c r="O271" s="98" t="s">
        <v>48</v>
      </c>
      <c r="P271" s="98">
        <v>4</v>
      </c>
      <c r="Q271" s="98">
        <v>10</v>
      </c>
      <c r="R271" s="98" t="s">
        <v>64</v>
      </c>
      <c r="S271" s="98" t="s">
        <v>50</v>
      </c>
      <c r="T271" s="98" t="s">
        <v>50</v>
      </c>
      <c r="U271" s="98" t="s">
        <v>50</v>
      </c>
      <c r="V271" s="98" t="s">
        <v>50</v>
      </c>
      <c r="W271" s="98" t="s">
        <v>50</v>
      </c>
      <c r="X271" s="98" t="s">
        <v>50</v>
      </c>
      <c r="Y271" s="622" t="s">
        <v>2795</v>
      </c>
    </row>
    <row r="272" spans="1:25" s="154" customFormat="1" x14ac:dyDescent="0.25">
      <c r="A272" s="195">
        <v>43851</v>
      </c>
      <c r="B272" s="98" t="s">
        <v>849</v>
      </c>
      <c r="C272" s="154" t="s">
        <v>44</v>
      </c>
      <c r="D272" s="154">
        <v>38.04524</v>
      </c>
      <c r="E272" s="154">
        <v>-121.59889</v>
      </c>
      <c r="F272" s="154" t="s">
        <v>2797</v>
      </c>
      <c r="G272" s="154" t="s">
        <v>46</v>
      </c>
      <c r="H272" s="154" t="s">
        <v>47</v>
      </c>
      <c r="I272" s="636">
        <v>0.32291666666666669</v>
      </c>
      <c r="J272" s="197" t="s">
        <v>50</v>
      </c>
      <c r="K272" s="197" t="s">
        <v>50</v>
      </c>
      <c r="L272" s="197" t="s">
        <v>50</v>
      </c>
      <c r="M272" s="197" t="s">
        <v>50</v>
      </c>
      <c r="N272" s="197" t="s">
        <v>50</v>
      </c>
      <c r="O272" s="149" t="s">
        <v>48</v>
      </c>
      <c r="P272" s="149">
        <v>0</v>
      </c>
      <c r="Q272" s="149" t="s">
        <v>50</v>
      </c>
      <c r="R272" s="149" t="s">
        <v>50</v>
      </c>
      <c r="S272" s="149" t="s">
        <v>50</v>
      </c>
      <c r="T272" s="149" t="s">
        <v>50</v>
      </c>
      <c r="U272" s="149" t="s">
        <v>50</v>
      </c>
      <c r="V272" s="149" t="s">
        <v>50</v>
      </c>
      <c r="W272" s="149" t="s">
        <v>50</v>
      </c>
      <c r="X272" s="149" t="s">
        <v>50</v>
      </c>
      <c r="Y272" s="152" t="s">
        <v>2798</v>
      </c>
    </row>
    <row r="273" spans="1:25" s="98" customFormat="1" x14ac:dyDescent="0.25">
      <c r="A273" s="194">
        <v>43851</v>
      </c>
      <c r="B273" s="98" t="s">
        <v>849</v>
      </c>
      <c r="C273" s="98" t="s">
        <v>44</v>
      </c>
      <c r="D273" s="98">
        <v>38.03989</v>
      </c>
      <c r="E273" s="98">
        <v>-121.52619</v>
      </c>
      <c r="F273" s="98" t="s">
        <v>2799</v>
      </c>
      <c r="G273" s="98" t="s">
        <v>46</v>
      </c>
      <c r="H273" s="98" t="s">
        <v>59</v>
      </c>
      <c r="I273" s="621">
        <v>0.33749999999999997</v>
      </c>
      <c r="J273" s="100">
        <v>283.47500000000002</v>
      </c>
      <c r="K273" s="100">
        <v>8.875</v>
      </c>
      <c r="L273" s="100">
        <v>4.5525000000000002</v>
      </c>
      <c r="M273" s="100">
        <v>1.8</v>
      </c>
      <c r="N273" s="100">
        <v>7.85</v>
      </c>
      <c r="O273" s="98" t="s">
        <v>48</v>
      </c>
      <c r="P273" s="98">
        <v>4</v>
      </c>
      <c r="Q273" s="98">
        <v>10</v>
      </c>
      <c r="R273" s="98" t="s">
        <v>49</v>
      </c>
      <c r="S273" s="98" t="s">
        <v>50</v>
      </c>
      <c r="T273" s="98" t="s">
        <v>50</v>
      </c>
      <c r="U273" s="98" t="s">
        <v>50</v>
      </c>
      <c r="V273" s="98" t="s">
        <v>50</v>
      </c>
      <c r="W273" s="98" t="s">
        <v>50</v>
      </c>
      <c r="X273" s="98" t="s">
        <v>50</v>
      </c>
      <c r="Y273" s="622" t="s">
        <v>2800</v>
      </c>
    </row>
    <row r="274" spans="1:25" s="98" customFormat="1" x14ac:dyDescent="0.25">
      <c r="A274" s="194">
        <v>43851</v>
      </c>
      <c r="B274" s="98" t="s">
        <v>849</v>
      </c>
      <c r="C274" s="98" t="s">
        <v>44</v>
      </c>
      <c r="D274" s="98">
        <v>38.002600000000001</v>
      </c>
      <c r="E274" s="98">
        <v>-121.52348000000001</v>
      </c>
      <c r="F274" s="98" t="s">
        <v>2801</v>
      </c>
      <c r="G274" s="98" t="s">
        <v>46</v>
      </c>
      <c r="H274" s="98" t="s">
        <v>59</v>
      </c>
      <c r="I274" s="621">
        <v>0.39305555555555555</v>
      </c>
      <c r="J274" s="100">
        <v>323.47500000000002</v>
      </c>
      <c r="K274" s="100">
        <v>8.8000000000000007</v>
      </c>
      <c r="L274" s="100">
        <v>4.07</v>
      </c>
      <c r="M274" s="100">
        <v>1.8</v>
      </c>
      <c r="N274" s="100">
        <v>10.5</v>
      </c>
      <c r="O274" s="98" t="s">
        <v>48</v>
      </c>
      <c r="P274" s="98">
        <v>4</v>
      </c>
      <c r="Q274" s="98">
        <v>10</v>
      </c>
      <c r="R274" s="98" t="s">
        <v>64</v>
      </c>
      <c r="S274" s="98" t="s">
        <v>50</v>
      </c>
      <c r="T274" s="98" t="s">
        <v>50</v>
      </c>
      <c r="U274" s="98" t="s">
        <v>50</v>
      </c>
      <c r="V274" s="98" t="s">
        <v>50</v>
      </c>
      <c r="W274" s="98" t="s">
        <v>50</v>
      </c>
      <c r="X274" s="98" t="s">
        <v>50</v>
      </c>
      <c r="Y274" s="622"/>
    </row>
    <row r="275" spans="1:25" s="98" customFormat="1" x14ac:dyDescent="0.25">
      <c r="A275" s="194">
        <v>43851</v>
      </c>
      <c r="B275" s="98" t="s">
        <v>849</v>
      </c>
      <c r="C275" s="98" t="s">
        <v>44</v>
      </c>
      <c r="D275" s="98">
        <v>37.982239999999997</v>
      </c>
      <c r="E275" s="98">
        <v>-121.52956</v>
      </c>
      <c r="F275" s="98" t="s">
        <v>2802</v>
      </c>
      <c r="G275" s="98" t="s">
        <v>46</v>
      </c>
      <c r="H275" s="98" t="s">
        <v>59</v>
      </c>
      <c r="I275" s="621">
        <v>0.44097222222222227</v>
      </c>
      <c r="J275" s="100">
        <v>345.57499999999999</v>
      </c>
      <c r="K275" s="100">
        <v>8.8000000000000007</v>
      </c>
      <c r="L275" s="100">
        <v>5.7149999999999999</v>
      </c>
      <c r="M275" s="100">
        <v>1.8</v>
      </c>
      <c r="N275" s="100">
        <v>6.125</v>
      </c>
      <c r="O275" s="97" t="s">
        <v>48</v>
      </c>
      <c r="P275" s="97">
        <v>4</v>
      </c>
      <c r="Q275" s="97">
        <v>10</v>
      </c>
      <c r="R275" s="97" t="s">
        <v>64</v>
      </c>
      <c r="S275" s="97" t="s">
        <v>50</v>
      </c>
      <c r="T275" s="97" t="s">
        <v>50</v>
      </c>
      <c r="U275" s="97" t="s">
        <v>50</v>
      </c>
      <c r="V275" s="97" t="s">
        <v>50</v>
      </c>
      <c r="W275" s="97" t="s">
        <v>50</v>
      </c>
      <c r="X275" s="97" t="s">
        <v>50</v>
      </c>
      <c r="Y275" s="622" t="s">
        <v>2803</v>
      </c>
    </row>
    <row r="276" spans="1:25" s="98" customFormat="1" x14ac:dyDescent="0.25">
      <c r="A276" s="194">
        <v>43851</v>
      </c>
      <c r="B276" s="98" t="s">
        <v>849</v>
      </c>
      <c r="C276" s="98" t="s">
        <v>62</v>
      </c>
      <c r="D276" s="98">
        <v>38.136209999999998</v>
      </c>
      <c r="E276" s="98">
        <v>-122.06062</v>
      </c>
      <c r="F276" s="98" t="s">
        <v>2804</v>
      </c>
      <c r="G276" s="98" t="s">
        <v>27</v>
      </c>
      <c r="H276" s="98" t="s">
        <v>62</v>
      </c>
      <c r="I276" s="621">
        <v>0.40763888888888888</v>
      </c>
      <c r="J276" s="100">
        <v>10295.75</v>
      </c>
      <c r="K276" s="100">
        <v>9.0749999999999993</v>
      </c>
      <c r="L276" s="100">
        <v>28.75</v>
      </c>
      <c r="M276" s="100">
        <v>0.39750000000000002</v>
      </c>
      <c r="N276" s="100">
        <v>10.925000000000001</v>
      </c>
      <c r="O276" s="98" t="s">
        <v>48</v>
      </c>
      <c r="P276" s="98">
        <v>4</v>
      </c>
      <c r="Q276" s="98">
        <v>10</v>
      </c>
      <c r="R276" s="98" t="s">
        <v>64</v>
      </c>
      <c r="S276" s="98" t="s">
        <v>50</v>
      </c>
      <c r="T276" s="98" t="s">
        <v>50</v>
      </c>
      <c r="U276" s="98" t="s">
        <v>50</v>
      </c>
      <c r="V276" s="98" t="s">
        <v>50</v>
      </c>
      <c r="W276" s="98" t="s">
        <v>50</v>
      </c>
      <c r="X276" s="98" t="s">
        <v>50</v>
      </c>
      <c r="Y276" s="622" t="s">
        <v>2805</v>
      </c>
    </row>
    <row r="277" spans="1:25" s="98" customFormat="1" x14ac:dyDescent="0.25">
      <c r="A277" s="194">
        <v>43851</v>
      </c>
      <c r="B277" s="98" t="s">
        <v>849</v>
      </c>
      <c r="C277" s="98" t="s">
        <v>62</v>
      </c>
      <c r="D277" s="98">
        <v>38.209850000000003</v>
      </c>
      <c r="E277" s="98">
        <v>-122.03467000000001</v>
      </c>
      <c r="F277" s="98" t="s">
        <v>2806</v>
      </c>
      <c r="G277" s="98" t="s">
        <v>27</v>
      </c>
      <c r="H277" s="98" t="s">
        <v>62</v>
      </c>
      <c r="I277" s="621">
        <v>0.46458333333333335</v>
      </c>
      <c r="J277" s="100">
        <v>8389.5</v>
      </c>
      <c r="K277" s="100">
        <v>8.65</v>
      </c>
      <c r="L277" s="100">
        <v>72.7</v>
      </c>
      <c r="M277" s="100">
        <v>0.27</v>
      </c>
      <c r="N277" s="100">
        <v>6.4749999999999996</v>
      </c>
      <c r="O277" s="98" t="s">
        <v>48</v>
      </c>
      <c r="P277" s="98">
        <v>4</v>
      </c>
      <c r="Q277" s="98">
        <v>10</v>
      </c>
      <c r="R277" s="98" t="s">
        <v>64</v>
      </c>
      <c r="S277" s="98" t="s">
        <v>50</v>
      </c>
      <c r="T277" s="98" t="s">
        <v>50</v>
      </c>
      <c r="U277" s="98" t="s">
        <v>50</v>
      </c>
      <c r="V277" s="98" t="s">
        <v>50</v>
      </c>
      <c r="W277" s="98" t="s">
        <v>50</v>
      </c>
      <c r="X277" s="98" t="s">
        <v>50</v>
      </c>
    </row>
    <row r="278" spans="1:25" s="98" customFormat="1" x14ac:dyDescent="0.25">
      <c r="A278" s="194">
        <v>43851</v>
      </c>
      <c r="B278" s="98" t="s">
        <v>849</v>
      </c>
      <c r="C278" s="98" t="s">
        <v>62</v>
      </c>
      <c r="D278" s="98">
        <v>38.170580000000001</v>
      </c>
      <c r="E278" s="98">
        <v>-122.06871</v>
      </c>
      <c r="F278" s="98" t="s">
        <v>2807</v>
      </c>
      <c r="G278" s="98" t="s">
        <v>27</v>
      </c>
      <c r="H278" s="98" t="s">
        <v>62</v>
      </c>
      <c r="I278" s="621">
        <v>0.51736111111111105</v>
      </c>
      <c r="J278" s="100">
        <v>7745.75</v>
      </c>
      <c r="K278" s="100">
        <v>9.125</v>
      </c>
      <c r="L278" s="100">
        <v>47.625</v>
      </c>
      <c r="M278" s="100">
        <v>0.29499999999999998</v>
      </c>
      <c r="N278" s="100">
        <v>10.975</v>
      </c>
      <c r="O278" s="98" t="s">
        <v>48</v>
      </c>
      <c r="P278" s="98">
        <v>4</v>
      </c>
      <c r="Q278" s="98">
        <v>10</v>
      </c>
      <c r="R278" s="98" t="s">
        <v>49</v>
      </c>
      <c r="S278" s="98" t="s">
        <v>50</v>
      </c>
      <c r="T278" s="98" t="s">
        <v>50</v>
      </c>
      <c r="U278" s="98" t="s">
        <v>50</v>
      </c>
      <c r="V278" s="98" t="s">
        <v>50</v>
      </c>
      <c r="W278" s="98" t="s">
        <v>50</v>
      </c>
      <c r="X278" s="98" t="s">
        <v>50</v>
      </c>
      <c r="Y278" s="622" t="s">
        <v>2805</v>
      </c>
    </row>
    <row r="279" spans="1:25" s="98" customFormat="1" x14ac:dyDescent="0.25">
      <c r="A279" s="194">
        <v>43852</v>
      </c>
      <c r="B279" s="98" t="s">
        <v>915</v>
      </c>
      <c r="C279" s="98" t="s">
        <v>44</v>
      </c>
      <c r="D279" s="98">
        <v>38.011450000000004</v>
      </c>
      <c r="E279" s="98">
        <v>-121.56945</v>
      </c>
      <c r="F279" s="98" t="s">
        <v>2808</v>
      </c>
      <c r="G279" s="98" t="s">
        <v>46</v>
      </c>
      <c r="H279" s="98" t="s">
        <v>74</v>
      </c>
      <c r="I279" s="621">
        <v>0.41805555555555557</v>
      </c>
      <c r="J279" s="100">
        <v>353.1</v>
      </c>
      <c r="K279" s="100">
        <v>14.1</v>
      </c>
      <c r="L279" s="100">
        <v>4.1399999999999997</v>
      </c>
      <c r="M279" s="100" t="s">
        <v>1233</v>
      </c>
      <c r="N279" s="100">
        <v>3.2</v>
      </c>
      <c r="O279" s="98" t="s">
        <v>48</v>
      </c>
      <c r="P279" s="98">
        <v>1</v>
      </c>
      <c r="Q279" s="98">
        <v>6.5</v>
      </c>
      <c r="R279" s="98" t="s">
        <v>49</v>
      </c>
      <c r="S279" s="98" t="s">
        <v>50</v>
      </c>
      <c r="T279" s="98" t="s">
        <v>50</v>
      </c>
      <c r="U279" s="98" t="s">
        <v>50</v>
      </c>
      <c r="V279" s="98" t="s">
        <v>50</v>
      </c>
      <c r="W279" s="98" t="s">
        <v>50</v>
      </c>
      <c r="X279" s="98" t="s">
        <v>50</v>
      </c>
      <c r="Y279" s="622" t="s">
        <v>2809</v>
      </c>
    </row>
    <row r="280" spans="1:25" s="154" customFormat="1" x14ac:dyDescent="0.25">
      <c r="A280" s="195">
        <v>43852</v>
      </c>
      <c r="B280" s="154" t="s">
        <v>915</v>
      </c>
      <c r="C280" s="154" t="s">
        <v>44</v>
      </c>
      <c r="D280" s="154">
        <v>38.060279999999999</v>
      </c>
      <c r="E280" s="154">
        <v>-121.59627</v>
      </c>
      <c r="F280" s="154" t="s">
        <v>2810</v>
      </c>
      <c r="G280" s="154" t="s">
        <v>46</v>
      </c>
      <c r="H280" s="154" t="s">
        <v>47</v>
      </c>
      <c r="I280" s="636">
        <v>0.40625</v>
      </c>
      <c r="J280" s="197" t="s">
        <v>50</v>
      </c>
      <c r="K280" s="197" t="s">
        <v>50</v>
      </c>
      <c r="L280" s="197" t="s">
        <v>50</v>
      </c>
      <c r="M280" s="197" t="s">
        <v>50</v>
      </c>
      <c r="N280" s="197" t="s">
        <v>50</v>
      </c>
      <c r="O280" s="149" t="s">
        <v>48</v>
      </c>
      <c r="P280" s="149">
        <v>0</v>
      </c>
      <c r="Q280" s="149" t="s">
        <v>50</v>
      </c>
      <c r="R280" s="149" t="s">
        <v>50</v>
      </c>
      <c r="S280" s="149" t="s">
        <v>50</v>
      </c>
      <c r="T280" s="149" t="s">
        <v>50</v>
      </c>
      <c r="U280" s="149" t="s">
        <v>50</v>
      </c>
      <c r="V280" s="149" t="s">
        <v>50</v>
      </c>
      <c r="W280" s="149" t="s">
        <v>50</v>
      </c>
      <c r="X280" s="149" t="s">
        <v>50</v>
      </c>
      <c r="Y280" s="152" t="s">
        <v>2798</v>
      </c>
    </row>
    <row r="281" spans="1:25" s="98" customFormat="1" x14ac:dyDescent="0.25">
      <c r="A281" s="194">
        <v>43852</v>
      </c>
      <c r="B281" s="98" t="s">
        <v>876</v>
      </c>
      <c r="C281" s="98" t="s">
        <v>95</v>
      </c>
      <c r="D281" s="98">
        <v>38.08934</v>
      </c>
      <c r="E281" s="98">
        <v>-121.6382</v>
      </c>
      <c r="F281" s="98" t="s">
        <v>2811</v>
      </c>
      <c r="G281" s="98" t="s">
        <v>46</v>
      </c>
      <c r="H281" s="98" t="s">
        <v>908</v>
      </c>
      <c r="I281" s="621">
        <v>0.44791666666666669</v>
      </c>
      <c r="J281" s="100">
        <v>357.95</v>
      </c>
      <c r="K281" s="100">
        <v>9.2750000000000004</v>
      </c>
      <c r="L281" s="100">
        <v>6.5724999999999998</v>
      </c>
      <c r="M281" s="100">
        <v>1.6875</v>
      </c>
      <c r="N281" s="100">
        <v>10.424999999999999</v>
      </c>
      <c r="O281" s="98" t="s">
        <v>48</v>
      </c>
      <c r="P281" s="98">
        <v>4</v>
      </c>
      <c r="Q281" s="98">
        <v>10</v>
      </c>
      <c r="R281" s="98" t="s">
        <v>64</v>
      </c>
      <c r="S281" s="98" t="s">
        <v>50</v>
      </c>
      <c r="T281" s="98" t="s">
        <v>50</v>
      </c>
      <c r="U281" s="98" t="s">
        <v>50</v>
      </c>
      <c r="V281" s="98" t="s">
        <v>50</v>
      </c>
      <c r="W281" s="98" t="s">
        <v>50</v>
      </c>
      <c r="X281" s="98" t="s">
        <v>50</v>
      </c>
      <c r="Y281" s="622"/>
    </row>
    <row r="282" spans="1:25" s="98" customFormat="1" x14ac:dyDescent="0.25">
      <c r="A282" s="194">
        <v>43852</v>
      </c>
      <c r="B282" s="98" t="s">
        <v>876</v>
      </c>
      <c r="C282" s="98" t="s">
        <v>95</v>
      </c>
      <c r="D282" s="98">
        <v>38.099020000000003</v>
      </c>
      <c r="E282" s="98">
        <v>-121.58056000000001</v>
      </c>
      <c r="F282" s="98" t="s">
        <v>2812</v>
      </c>
      <c r="G282" s="98" t="s">
        <v>46</v>
      </c>
      <c r="H282" s="98" t="s">
        <v>115</v>
      </c>
      <c r="I282" s="621">
        <v>0.49861111111111112</v>
      </c>
      <c r="J282" s="100">
        <v>287.22500000000002</v>
      </c>
      <c r="K282" s="100">
        <v>9.3249999999999993</v>
      </c>
      <c r="L282" s="100">
        <v>6.3250000000000002</v>
      </c>
      <c r="M282" s="100">
        <v>1.7575000000000001</v>
      </c>
      <c r="N282" s="100">
        <v>5.7250000000000005</v>
      </c>
      <c r="O282" s="98" t="s">
        <v>48</v>
      </c>
      <c r="P282" s="98">
        <v>4</v>
      </c>
      <c r="Q282" s="98">
        <v>10</v>
      </c>
      <c r="R282" s="98" t="s">
        <v>64</v>
      </c>
      <c r="S282" s="98" t="s">
        <v>50</v>
      </c>
      <c r="T282" s="98" t="s">
        <v>50</v>
      </c>
      <c r="U282" s="98" t="s">
        <v>50</v>
      </c>
      <c r="V282" s="98" t="s">
        <v>50</v>
      </c>
      <c r="W282" s="98" t="s">
        <v>50</v>
      </c>
      <c r="X282" s="98" t="s">
        <v>50</v>
      </c>
      <c r="Y282" s="622"/>
    </row>
    <row r="283" spans="1:25" s="98" customFormat="1" x14ac:dyDescent="0.25">
      <c r="A283" s="194">
        <v>43852</v>
      </c>
      <c r="B283" s="98" t="s">
        <v>876</v>
      </c>
      <c r="C283" s="98" t="s">
        <v>88</v>
      </c>
      <c r="D283" s="98">
        <v>38.069299999999998</v>
      </c>
      <c r="E283" s="98">
        <v>-121.76954000000001</v>
      </c>
      <c r="F283" s="98" t="s">
        <v>2813</v>
      </c>
      <c r="G283" s="98" t="s">
        <v>27</v>
      </c>
      <c r="H283" s="98" t="s">
        <v>863</v>
      </c>
      <c r="I283" s="621">
        <v>0.42083333333333334</v>
      </c>
      <c r="J283" s="100">
        <v>345.375</v>
      </c>
      <c r="K283" s="100">
        <v>9.4</v>
      </c>
      <c r="L283" s="100">
        <v>6.7225000000000001</v>
      </c>
      <c r="M283" s="100">
        <v>1.3075000000000001</v>
      </c>
      <c r="N283" s="100">
        <v>9.3500000000000014</v>
      </c>
      <c r="O283" s="98" t="s">
        <v>48</v>
      </c>
      <c r="P283" s="98">
        <v>4</v>
      </c>
      <c r="Q283" s="98">
        <v>10</v>
      </c>
      <c r="R283" s="98" t="s">
        <v>64</v>
      </c>
      <c r="S283" s="98" t="s">
        <v>50</v>
      </c>
      <c r="T283" s="98" t="s">
        <v>50</v>
      </c>
      <c r="U283" s="98" t="s">
        <v>50</v>
      </c>
      <c r="V283" s="98" t="s">
        <v>50</v>
      </c>
      <c r="W283" s="98" t="s">
        <v>50</v>
      </c>
      <c r="X283" s="98" t="s">
        <v>50</v>
      </c>
      <c r="Y283" s="622"/>
    </row>
    <row r="284" spans="1:25" s="98" customFormat="1" x14ac:dyDescent="0.25">
      <c r="A284" s="194">
        <v>43852</v>
      </c>
      <c r="B284" s="98" t="s">
        <v>876</v>
      </c>
      <c r="C284" s="98" t="s">
        <v>88</v>
      </c>
      <c r="D284" s="98">
        <v>38.086379999999998</v>
      </c>
      <c r="E284" s="98">
        <v>-121.70907</v>
      </c>
      <c r="F284" s="98" t="s">
        <v>2814</v>
      </c>
      <c r="G284" s="98" t="s">
        <v>90</v>
      </c>
      <c r="H284" s="98" t="s">
        <v>91</v>
      </c>
      <c r="I284" s="621">
        <v>0.4694444444444445</v>
      </c>
      <c r="J284" s="100">
        <v>278.55</v>
      </c>
      <c r="K284" s="100">
        <v>9.3000000000000007</v>
      </c>
      <c r="L284" s="100">
        <v>7.18</v>
      </c>
      <c r="M284" s="100">
        <v>1.635</v>
      </c>
      <c r="N284" s="100">
        <v>6.5250000000000004</v>
      </c>
      <c r="O284" s="98" t="s">
        <v>48</v>
      </c>
      <c r="P284" s="98">
        <v>4</v>
      </c>
      <c r="Q284" s="98">
        <v>10</v>
      </c>
      <c r="R284" s="98" t="s">
        <v>64</v>
      </c>
      <c r="S284" s="98" t="s">
        <v>50</v>
      </c>
      <c r="T284" s="98" t="s">
        <v>50</v>
      </c>
      <c r="U284" s="98" t="s">
        <v>50</v>
      </c>
      <c r="V284" s="98" t="s">
        <v>50</v>
      </c>
      <c r="W284" s="98" t="s">
        <v>50</v>
      </c>
      <c r="X284" s="98" t="s">
        <v>50</v>
      </c>
      <c r="Y284" s="622" t="s">
        <v>2815</v>
      </c>
    </row>
    <row r="285" spans="1:25" s="592" customFormat="1" x14ac:dyDescent="0.25">
      <c r="A285" s="590">
        <v>43853</v>
      </c>
      <c r="B285" s="592" t="s">
        <v>876</v>
      </c>
      <c r="C285" s="592" t="s">
        <v>88</v>
      </c>
      <c r="D285" s="592">
        <v>38.069809999999997</v>
      </c>
      <c r="E285" s="592">
        <v>-121.83705</v>
      </c>
      <c r="F285" s="592" t="s">
        <v>2816</v>
      </c>
      <c r="G285" s="592" t="s">
        <v>27</v>
      </c>
      <c r="H285" s="592" t="s">
        <v>863</v>
      </c>
      <c r="I285" s="619">
        <v>0.32430555555555557</v>
      </c>
      <c r="J285" s="593">
        <v>1785.5</v>
      </c>
      <c r="K285" s="593">
        <v>9.3500000000000014</v>
      </c>
      <c r="L285" s="593">
        <v>17.8</v>
      </c>
      <c r="M285" s="593">
        <v>0.69</v>
      </c>
      <c r="N285" s="593">
        <v>6.35</v>
      </c>
      <c r="O285" s="592" t="s">
        <v>48</v>
      </c>
      <c r="P285" s="592">
        <v>2</v>
      </c>
      <c r="Q285" s="592">
        <v>10</v>
      </c>
      <c r="R285" s="592" t="s">
        <v>49</v>
      </c>
      <c r="S285" s="592" t="s">
        <v>323</v>
      </c>
      <c r="T285" s="592">
        <v>1</v>
      </c>
      <c r="U285" s="592">
        <v>69</v>
      </c>
      <c r="V285" s="592" t="s">
        <v>66</v>
      </c>
      <c r="W285" s="592" t="s">
        <v>50</v>
      </c>
      <c r="X285" s="592" t="s">
        <v>50</v>
      </c>
      <c r="Y285" s="669"/>
    </row>
    <row r="286" spans="1:25" s="98" customFormat="1" x14ac:dyDescent="0.25">
      <c r="A286" s="194">
        <v>43853</v>
      </c>
      <c r="B286" s="98" t="s">
        <v>876</v>
      </c>
      <c r="C286" s="98" t="s">
        <v>88</v>
      </c>
      <c r="D286" s="98">
        <v>38.067320000000002</v>
      </c>
      <c r="E286" s="98">
        <v>-121.82876</v>
      </c>
      <c r="F286" s="98" t="s">
        <v>2817</v>
      </c>
      <c r="G286" s="98" t="s">
        <v>27</v>
      </c>
      <c r="H286" s="98" t="s">
        <v>863</v>
      </c>
      <c r="I286" s="621">
        <v>0.34861111111111115</v>
      </c>
      <c r="J286" s="100">
        <v>779.875</v>
      </c>
      <c r="K286" s="100">
        <v>9.3250000000000011</v>
      </c>
      <c r="L286" s="100">
        <v>18.625</v>
      </c>
      <c r="M286" s="100">
        <v>0.83499999999999996</v>
      </c>
      <c r="N286" s="100">
        <v>7.9</v>
      </c>
      <c r="O286" s="98" t="s">
        <v>48</v>
      </c>
      <c r="P286" s="98">
        <v>4</v>
      </c>
      <c r="Q286" s="98">
        <v>10</v>
      </c>
      <c r="R286" s="98" t="s">
        <v>49</v>
      </c>
      <c r="S286" s="98" t="s">
        <v>50</v>
      </c>
      <c r="T286" s="98" t="s">
        <v>50</v>
      </c>
      <c r="U286" s="98" t="s">
        <v>50</v>
      </c>
      <c r="V286" s="98" t="s">
        <v>50</v>
      </c>
      <c r="W286" s="98" t="s">
        <v>50</v>
      </c>
      <c r="X286" s="98" t="s">
        <v>50</v>
      </c>
      <c r="Y286" s="622" t="s">
        <v>2818</v>
      </c>
    </row>
    <row r="287" spans="1:25" s="98" customFormat="1" x14ac:dyDescent="0.25">
      <c r="A287" s="194">
        <v>43853</v>
      </c>
      <c r="B287" s="98" t="s">
        <v>876</v>
      </c>
      <c r="C287" s="98" t="s">
        <v>88</v>
      </c>
      <c r="D287" s="98">
        <v>38.059750000000001</v>
      </c>
      <c r="E287" s="98">
        <v>-121.81859</v>
      </c>
      <c r="F287" s="98" t="s">
        <v>2819</v>
      </c>
      <c r="G287" s="98" t="s">
        <v>27</v>
      </c>
      <c r="H287" s="98" t="s">
        <v>863</v>
      </c>
      <c r="I287" s="621">
        <v>0.39513888888888887</v>
      </c>
      <c r="J287" s="100">
        <v>770</v>
      </c>
      <c r="K287" s="100">
        <v>9.25</v>
      </c>
      <c r="L287" s="100">
        <v>14.375</v>
      </c>
      <c r="M287" s="100">
        <v>1.1174999999999999</v>
      </c>
      <c r="N287" s="100">
        <v>9.6999999999999993</v>
      </c>
      <c r="O287" s="98" t="s">
        <v>48</v>
      </c>
      <c r="P287" s="98">
        <v>4</v>
      </c>
      <c r="Q287" s="98">
        <v>10</v>
      </c>
      <c r="R287" s="98" t="s">
        <v>49</v>
      </c>
      <c r="S287" s="98" t="s">
        <v>50</v>
      </c>
      <c r="T287" s="98" t="s">
        <v>50</v>
      </c>
      <c r="U287" s="98" t="s">
        <v>50</v>
      </c>
      <c r="V287" s="98" t="s">
        <v>50</v>
      </c>
      <c r="W287" s="98" t="s">
        <v>50</v>
      </c>
      <c r="X287" s="98" t="s">
        <v>50</v>
      </c>
      <c r="Y287" s="622" t="s">
        <v>2820</v>
      </c>
    </row>
    <row r="288" spans="1:25" s="98" customFormat="1" x14ac:dyDescent="0.25">
      <c r="A288" s="194">
        <v>43853</v>
      </c>
      <c r="B288" s="98" t="s">
        <v>876</v>
      </c>
      <c r="C288" s="98" t="s">
        <v>88</v>
      </c>
      <c r="D288" s="98">
        <v>38.116810000000001</v>
      </c>
      <c r="E288" s="98">
        <v>-121.70654</v>
      </c>
      <c r="F288" s="98" t="s">
        <v>2821</v>
      </c>
      <c r="G288" s="98" t="s">
        <v>90</v>
      </c>
      <c r="H288" s="98" t="s">
        <v>91</v>
      </c>
      <c r="I288" s="621">
        <v>0.45416666666666666</v>
      </c>
      <c r="J288" s="100">
        <v>223.4</v>
      </c>
      <c r="K288" s="100">
        <v>9</v>
      </c>
      <c r="L288" s="100">
        <v>9.3425000000000011</v>
      </c>
      <c r="M288" s="100">
        <v>1.4775</v>
      </c>
      <c r="N288" s="100">
        <v>5.85</v>
      </c>
      <c r="O288" s="98" t="s">
        <v>48</v>
      </c>
      <c r="P288" s="98">
        <v>4</v>
      </c>
      <c r="Q288" s="98">
        <v>10</v>
      </c>
      <c r="R288" s="98" t="s">
        <v>64</v>
      </c>
      <c r="S288" s="98" t="s">
        <v>50</v>
      </c>
      <c r="T288" s="98" t="s">
        <v>50</v>
      </c>
      <c r="U288" s="98" t="s">
        <v>50</v>
      </c>
      <c r="V288" s="98" t="s">
        <v>50</v>
      </c>
      <c r="W288" s="98" t="s">
        <v>50</v>
      </c>
      <c r="X288" s="98" t="s">
        <v>50</v>
      </c>
      <c r="Y288" s="622" t="s">
        <v>2822</v>
      </c>
    </row>
    <row r="289" spans="1:25" s="98" customFormat="1" x14ac:dyDescent="0.25">
      <c r="A289" s="194">
        <v>43853</v>
      </c>
      <c r="B289" s="98" t="s">
        <v>876</v>
      </c>
      <c r="C289" s="98" t="s">
        <v>44</v>
      </c>
      <c r="D289" s="98">
        <v>38.05115</v>
      </c>
      <c r="E289" s="98">
        <v>-121.58289000000001</v>
      </c>
      <c r="F289" s="98" t="s">
        <v>2808</v>
      </c>
      <c r="G289" s="98" t="s">
        <v>46</v>
      </c>
      <c r="H289" s="98" t="s">
        <v>74</v>
      </c>
      <c r="I289" s="621">
        <v>0.30833333333333335</v>
      </c>
      <c r="J289" s="100">
        <v>320.32499999999999</v>
      </c>
      <c r="K289" s="100">
        <v>9.2249999999999996</v>
      </c>
      <c r="L289" s="100">
        <v>5.1475</v>
      </c>
      <c r="M289" s="100">
        <v>1.5975000000000001</v>
      </c>
      <c r="N289" s="100">
        <v>4.375</v>
      </c>
      <c r="O289" s="98" t="s">
        <v>48</v>
      </c>
      <c r="P289" s="98">
        <v>4</v>
      </c>
      <c r="Q289" s="98">
        <v>10</v>
      </c>
      <c r="R289" s="98" t="s">
        <v>49</v>
      </c>
      <c r="S289" s="98" t="s">
        <v>50</v>
      </c>
      <c r="T289" s="98" t="s">
        <v>50</v>
      </c>
      <c r="U289" s="98" t="s">
        <v>50</v>
      </c>
      <c r="V289" s="98" t="s">
        <v>50</v>
      </c>
      <c r="W289" s="98" t="s">
        <v>50</v>
      </c>
      <c r="X289" s="98" t="s">
        <v>50</v>
      </c>
      <c r="Y289" s="622"/>
    </row>
    <row r="290" spans="1:25" s="98" customFormat="1" x14ac:dyDescent="0.25">
      <c r="A290" s="194">
        <v>43853</v>
      </c>
      <c r="B290" s="98" t="s">
        <v>876</v>
      </c>
      <c r="C290" s="98" t="s">
        <v>95</v>
      </c>
      <c r="D290" s="98">
        <v>38.024540000000002</v>
      </c>
      <c r="E290" s="98">
        <v>-121.7872</v>
      </c>
      <c r="F290" s="98" t="s">
        <v>2823</v>
      </c>
      <c r="G290" s="98" t="s">
        <v>27</v>
      </c>
      <c r="H290" s="98" t="s">
        <v>863</v>
      </c>
      <c r="I290" s="621">
        <v>0.3972222222222222</v>
      </c>
      <c r="J290" s="100">
        <v>734</v>
      </c>
      <c r="K290" s="100">
        <v>9.375</v>
      </c>
      <c r="L290" s="100">
        <v>7.5925000000000002</v>
      </c>
      <c r="M290" s="100">
        <v>1.4725000000000001</v>
      </c>
      <c r="N290" s="100">
        <v>12.400000000000002</v>
      </c>
      <c r="O290" s="98" t="s">
        <v>48</v>
      </c>
      <c r="P290" s="98">
        <v>4</v>
      </c>
      <c r="Q290" s="98">
        <v>10</v>
      </c>
      <c r="R290" s="98" t="s">
        <v>49</v>
      </c>
      <c r="S290" s="98" t="s">
        <v>50</v>
      </c>
      <c r="T290" s="98" t="s">
        <v>50</v>
      </c>
      <c r="U290" s="98" t="s">
        <v>50</v>
      </c>
      <c r="V290" s="98" t="s">
        <v>50</v>
      </c>
      <c r="W290" s="98" t="s">
        <v>50</v>
      </c>
      <c r="X290" s="98" t="s">
        <v>50</v>
      </c>
      <c r="Y290" s="622"/>
    </row>
    <row r="291" spans="1:25" s="98" customFormat="1" x14ac:dyDescent="0.25">
      <c r="A291" s="194">
        <v>43853</v>
      </c>
      <c r="B291" s="98" t="s">
        <v>876</v>
      </c>
      <c r="C291" s="98" t="s">
        <v>44</v>
      </c>
      <c r="D291" s="98">
        <v>38.013260000000002</v>
      </c>
      <c r="E291" s="98">
        <v>-121.66658</v>
      </c>
      <c r="F291" s="98" t="s">
        <v>2824</v>
      </c>
      <c r="G291" s="98" t="s">
        <v>46</v>
      </c>
      <c r="H291" s="98" t="s">
        <v>47</v>
      </c>
      <c r="I291" s="621">
        <v>0.4597222222222222</v>
      </c>
      <c r="J291" s="100">
        <v>481.5</v>
      </c>
      <c r="K291" s="100">
        <v>9.3249999999999993</v>
      </c>
      <c r="L291" s="100">
        <v>4.13</v>
      </c>
      <c r="M291" s="100" t="s">
        <v>1233</v>
      </c>
      <c r="N291" s="100">
        <v>4.7249999999999996</v>
      </c>
      <c r="O291" s="98" t="s">
        <v>48</v>
      </c>
      <c r="P291" s="98">
        <v>4</v>
      </c>
      <c r="Q291" s="98">
        <v>10</v>
      </c>
      <c r="R291" s="98" t="s">
        <v>64</v>
      </c>
      <c r="S291" s="98" t="s">
        <v>50</v>
      </c>
      <c r="T291" s="98" t="s">
        <v>50</v>
      </c>
      <c r="U291" s="98" t="s">
        <v>50</v>
      </c>
      <c r="V291" s="98" t="s">
        <v>50</v>
      </c>
      <c r="W291" s="98" t="s">
        <v>50</v>
      </c>
      <c r="X291" s="98" t="s">
        <v>50</v>
      </c>
      <c r="Y291" s="622" t="s">
        <v>2825</v>
      </c>
    </row>
    <row r="292" spans="1:25" s="98" customFormat="1" x14ac:dyDescent="0.25">
      <c r="A292" s="194">
        <v>43853</v>
      </c>
      <c r="B292" s="98" t="s">
        <v>876</v>
      </c>
      <c r="C292" s="98" t="s">
        <v>78</v>
      </c>
      <c r="D292" s="98">
        <v>38.051969999999997</v>
      </c>
      <c r="E292" s="98">
        <v>-121.8437</v>
      </c>
      <c r="F292" s="98" t="s">
        <v>2826</v>
      </c>
      <c r="G292" s="98" t="s">
        <v>27</v>
      </c>
      <c r="H292" s="98" t="s">
        <v>101</v>
      </c>
      <c r="I292" s="621">
        <v>0.34166666666666662</v>
      </c>
      <c r="J292" s="100">
        <v>1621.75</v>
      </c>
      <c r="K292" s="100">
        <v>9.4</v>
      </c>
      <c r="L292" s="100">
        <v>14.5</v>
      </c>
      <c r="M292" s="100">
        <v>3.0474999999999999</v>
      </c>
      <c r="N292" s="100">
        <v>5.2250000000000005</v>
      </c>
      <c r="O292" s="98" t="s">
        <v>48</v>
      </c>
      <c r="P292" s="98">
        <v>4</v>
      </c>
      <c r="Q292" s="98">
        <v>10</v>
      </c>
      <c r="R292" s="98" t="s">
        <v>49</v>
      </c>
      <c r="S292" s="98" t="s">
        <v>50</v>
      </c>
      <c r="T292" s="98" t="s">
        <v>50</v>
      </c>
      <c r="U292" s="98" t="s">
        <v>50</v>
      </c>
      <c r="V292" s="98" t="s">
        <v>50</v>
      </c>
      <c r="W292" s="98" t="s">
        <v>50</v>
      </c>
      <c r="X292" s="98" t="s">
        <v>50</v>
      </c>
      <c r="Y292" s="622"/>
    </row>
    <row r="293" spans="1:25" s="98" customFormat="1" x14ac:dyDescent="0.25">
      <c r="A293" s="194">
        <v>43853</v>
      </c>
      <c r="B293" s="98" t="s">
        <v>876</v>
      </c>
      <c r="C293" s="98" t="s">
        <v>78</v>
      </c>
      <c r="D293" s="98">
        <v>38.055019999999999</v>
      </c>
      <c r="E293" s="98">
        <v>-121.87087</v>
      </c>
      <c r="F293" s="98" t="s">
        <v>2827</v>
      </c>
      <c r="G293" s="98" t="s">
        <v>27</v>
      </c>
      <c r="H293" s="98" t="s">
        <v>101</v>
      </c>
      <c r="I293" s="621">
        <v>0.39097222222222222</v>
      </c>
      <c r="J293" s="100">
        <v>2065.75</v>
      </c>
      <c r="K293" s="100">
        <v>9.4</v>
      </c>
      <c r="L293" s="100">
        <v>15.674999999999999</v>
      </c>
      <c r="M293" s="100">
        <v>0.93500000000000005</v>
      </c>
      <c r="N293" s="100">
        <v>12.125</v>
      </c>
      <c r="O293" s="98" t="s">
        <v>48</v>
      </c>
      <c r="P293" s="98">
        <v>4</v>
      </c>
      <c r="Q293" s="98">
        <v>10</v>
      </c>
      <c r="R293" s="98" t="s">
        <v>64</v>
      </c>
      <c r="S293" s="98" t="s">
        <v>50</v>
      </c>
      <c r="T293" s="98" t="s">
        <v>50</v>
      </c>
      <c r="U293" s="98" t="s">
        <v>50</v>
      </c>
      <c r="V293" s="98" t="s">
        <v>50</v>
      </c>
      <c r="W293" s="98" t="s">
        <v>50</v>
      </c>
      <c r="X293" s="98" t="s">
        <v>50</v>
      </c>
      <c r="Y293" s="622"/>
    </row>
    <row r="294" spans="1:25" s="98" customFormat="1" x14ac:dyDescent="0.25">
      <c r="A294" s="194">
        <v>43853</v>
      </c>
      <c r="B294" s="98" t="s">
        <v>876</v>
      </c>
      <c r="C294" s="98" t="s">
        <v>78</v>
      </c>
      <c r="D294" s="98">
        <v>38.043289999999999</v>
      </c>
      <c r="E294" s="98">
        <v>-121.90748000000001</v>
      </c>
      <c r="F294" s="98" t="s">
        <v>2828</v>
      </c>
      <c r="G294" s="98" t="s">
        <v>27</v>
      </c>
      <c r="H294" s="98" t="s">
        <v>101</v>
      </c>
      <c r="I294" s="621">
        <v>0.43958333333333338</v>
      </c>
      <c r="J294" s="100">
        <v>4466.25</v>
      </c>
      <c r="K294" s="100">
        <v>9.5</v>
      </c>
      <c r="L294" s="100">
        <v>14.574999999999999</v>
      </c>
      <c r="M294" s="100">
        <v>0.95500000000000007</v>
      </c>
      <c r="N294" s="100">
        <v>16.75</v>
      </c>
      <c r="O294" s="98" t="s">
        <v>48</v>
      </c>
      <c r="P294" s="98">
        <v>4</v>
      </c>
      <c r="Q294" s="98">
        <v>10</v>
      </c>
      <c r="R294" s="98" t="s">
        <v>64</v>
      </c>
      <c r="S294" s="98" t="s">
        <v>50</v>
      </c>
      <c r="T294" s="98" t="s">
        <v>50</v>
      </c>
      <c r="U294" s="98" t="s">
        <v>50</v>
      </c>
      <c r="V294" s="98" t="s">
        <v>50</v>
      </c>
      <c r="W294" s="98" t="s">
        <v>50</v>
      </c>
      <c r="X294" s="98" t="s">
        <v>50</v>
      </c>
      <c r="Y294" s="622"/>
    </row>
    <row r="295" spans="1:25" s="98" customFormat="1" x14ac:dyDescent="0.25">
      <c r="A295" s="194">
        <v>43853</v>
      </c>
      <c r="B295" s="98" t="s">
        <v>876</v>
      </c>
      <c r="C295" s="98" t="s">
        <v>78</v>
      </c>
      <c r="D295" s="98">
        <v>38.078069999999997</v>
      </c>
      <c r="E295" s="98">
        <v>-122.06935</v>
      </c>
      <c r="F295" s="98" t="s">
        <v>2829</v>
      </c>
      <c r="G295" s="98" t="s">
        <v>80</v>
      </c>
      <c r="H295" s="98" t="s">
        <v>81</v>
      </c>
      <c r="I295" s="621">
        <v>0.53194444444444444</v>
      </c>
      <c r="J295" s="100">
        <v>19766</v>
      </c>
      <c r="K295" s="100">
        <v>10.199999999999999</v>
      </c>
      <c r="L295" s="100">
        <v>34.049999999999997</v>
      </c>
      <c r="M295" s="100">
        <v>0.53250000000000008</v>
      </c>
      <c r="N295" s="100">
        <v>6.165</v>
      </c>
      <c r="O295" s="98" t="s">
        <v>48</v>
      </c>
      <c r="P295" s="98">
        <v>4</v>
      </c>
      <c r="Q295" s="98">
        <v>10</v>
      </c>
      <c r="R295" s="98" t="s">
        <v>64</v>
      </c>
      <c r="S295" s="98" t="s">
        <v>50</v>
      </c>
      <c r="T295" s="98" t="s">
        <v>50</v>
      </c>
      <c r="U295" s="98" t="s">
        <v>50</v>
      </c>
      <c r="V295" s="98" t="s">
        <v>50</v>
      </c>
      <c r="W295" s="98" t="s">
        <v>50</v>
      </c>
      <c r="X295" s="98" t="s">
        <v>50</v>
      </c>
      <c r="Y295" s="622"/>
    </row>
    <row r="296" spans="1:25" s="98" customFormat="1" x14ac:dyDescent="0.25">
      <c r="A296" s="194">
        <v>43853</v>
      </c>
      <c r="B296" s="98" t="s">
        <v>876</v>
      </c>
      <c r="C296" s="98" t="s">
        <v>78</v>
      </c>
      <c r="D296" s="98">
        <v>38.05001</v>
      </c>
      <c r="E296" s="98">
        <v>-122.11031</v>
      </c>
      <c r="F296" s="98" t="s">
        <v>2830</v>
      </c>
      <c r="G296" s="98" t="s">
        <v>80</v>
      </c>
      <c r="H296" s="98" t="s">
        <v>81</v>
      </c>
      <c r="I296" s="621">
        <v>0.58263888888888882</v>
      </c>
      <c r="J296" s="100">
        <v>24766</v>
      </c>
      <c r="K296" s="100">
        <v>10.375</v>
      </c>
      <c r="L296" s="100">
        <v>22.9</v>
      </c>
      <c r="M296" s="100">
        <v>0.73249999999999993</v>
      </c>
      <c r="N296" s="100">
        <v>8.65</v>
      </c>
      <c r="O296" s="98" t="s">
        <v>48</v>
      </c>
      <c r="P296" s="98">
        <v>4</v>
      </c>
      <c r="Q296" s="98">
        <v>10</v>
      </c>
      <c r="R296" s="98" t="s">
        <v>49</v>
      </c>
      <c r="S296" s="98" t="s">
        <v>50</v>
      </c>
      <c r="T296" s="98" t="s">
        <v>50</v>
      </c>
      <c r="U296" s="98" t="s">
        <v>50</v>
      </c>
      <c r="V296" s="98" t="s">
        <v>50</v>
      </c>
      <c r="W296" s="98" t="s">
        <v>50</v>
      </c>
      <c r="X296" s="98" t="s">
        <v>50</v>
      </c>
      <c r="Y296" s="622"/>
    </row>
    <row r="297" spans="1:25" s="98" customFormat="1" x14ac:dyDescent="0.25">
      <c r="A297" s="194">
        <v>43854</v>
      </c>
      <c r="B297" s="98" t="s">
        <v>125</v>
      </c>
      <c r="C297" s="98" t="s">
        <v>118</v>
      </c>
      <c r="D297" s="98">
        <v>38.03848</v>
      </c>
      <c r="E297" s="98">
        <v>-122.14565</v>
      </c>
      <c r="F297" s="98" t="s">
        <v>2831</v>
      </c>
      <c r="G297" s="98" t="s">
        <v>80</v>
      </c>
      <c r="H297" s="98" t="s">
        <v>120</v>
      </c>
      <c r="I297" s="621">
        <v>0.30972222222222223</v>
      </c>
      <c r="J297" s="100">
        <v>18607.75</v>
      </c>
      <c r="K297" s="100">
        <v>10.050000000000001</v>
      </c>
      <c r="L297" s="100">
        <v>28.274999999999999</v>
      </c>
      <c r="M297" s="100">
        <v>0.63250000000000006</v>
      </c>
      <c r="N297" s="100">
        <v>7.8999999999999995</v>
      </c>
      <c r="O297" s="98" t="s">
        <v>48</v>
      </c>
      <c r="P297" s="98">
        <v>4</v>
      </c>
      <c r="Q297" s="98">
        <v>10</v>
      </c>
      <c r="R297" s="98" t="s">
        <v>49</v>
      </c>
      <c r="S297" s="98" t="s">
        <v>50</v>
      </c>
      <c r="T297" s="98" t="s">
        <v>50</v>
      </c>
      <c r="U297" s="98" t="s">
        <v>50</v>
      </c>
      <c r="V297" s="98" t="s">
        <v>50</v>
      </c>
      <c r="W297" s="98" t="s">
        <v>50</v>
      </c>
      <c r="X297" s="98" t="s">
        <v>50</v>
      </c>
      <c r="Y297" s="622"/>
    </row>
    <row r="298" spans="1:25" s="98" customFormat="1" x14ac:dyDescent="0.25">
      <c r="A298" s="194">
        <v>43854</v>
      </c>
      <c r="B298" s="98" t="s">
        <v>125</v>
      </c>
      <c r="C298" s="98" t="s">
        <v>118</v>
      </c>
      <c r="D298" s="98">
        <v>38.064979999999998</v>
      </c>
      <c r="E298" s="98">
        <v>-122.23529000000001</v>
      </c>
      <c r="F298" s="98" t="s">
        <v>2832</v>
      </c>
      <c r="G298" s="98" t="s">
        <v>80</v>
      </c>
      <c r="H298" s="98" t="s">
        <v>120</v>
      </c>
      <c r="I298" s="621">
        <v>0.3666666666666667</v>
      </c>
      <c r="J298" s="100">
        <v>25067</v>
      </c>
      <c r="K298" s="100">
        <v>10.25</v>
      </c>
      <c r="L298" s="100">
        <v>29.15</v>
      </c>
      <c r="M298" s="100">
        <v>0.73499999999999999</v>
      </c>
      <c r="N298" s="100">
        <v>18.5</v>
      </c>
      <c r="O298" s="98" t="s">
        <v>48</v>
      </c>
      <c r="P298" s="98">
        <v>2</v>
      </c>
      <c r="Q298" s="98">
        <v>10</v>
      </c>
      <c r="R298" s="98" t="s">
        <v>49</v>
      </c>
      <c r="S298" s="98" t="s">
        <v>50</v>
      </c>
      <c r="T298" s="98" t="s">
        <v>50</v>
      </c>
      <c r="U298" s="98" t="s">
        <v>50</v>
      </c>
      <c r="V298" s="98" t="s">
        <v>50</v>
      </c>
      <c r="W298" s="98" t="s">
        <v>50</v>
      </c>
      <c r="X298" s="98" t="s">
        <v>50</v>
      </c>
      <c r="Y298" s="622" t="s">
        <v>2833</v>
      </c>
    </row>
    <row r="299" spans="1:25" s="98" customFormat="1" x14ac:dyDescent="0.25">
      <c r="A299" s="194">
        <v>43854</v>
      </c>
      <c r="B299" s="98" t="s">
        <v>125</v>
      </c>
      <c r="C299" s="98" t="s">
        <v>126</v>
      </c>
      <c r="D299" s="98">
        <v>38.332439999999998</v>
      </c>
      <c r="E299" s="98">
        <v>-121.65103000000001</v>
      </c>
      <c r="F299" s="98" t="s">
        <v>2834</v>
      </c>
      <c r="G299" s="98" t="s">
        <v>90</v>
      </c>
      <c r="H299" s="98" t="s">
        <v>845</v>
      </c>
      <c r="I299" s="621">
        <v>0.36458333333333331</v>
      </c>
      <c r="J299" s="100">
        <v>721</v>
      </c>
      <c r="K299" s="100">
        <v>9.5</v>
      </c>
      <c r="L299" s="100">
        <v>19.100000000000001</v>
      </c>
      <c r="M299" s="100">
        <v>0.62250000000000005</v>
      </c>
      <c r="N299" s="100">
        <v>4.8999999999999995</v>
      </c>
      <c r="O299" s="98" t="s">
        <v>48</v>
      </c>
      <c r="P299" s="98">
        <v>4</v>
      </c>
      <c r="Q299" s="98">
        <v>10</v>
      </c>
      <c r="R299" s="98" t="s">
        <v>49</v>
      </c>
      <c r="S299" s="98" t="s">
        <v>50</v>
      </c>
      <c r="T299" s="98" t="s">
        <v>50</v>
      </c>
      <c r="U299" s="98" t="s">
        <v>50</v>
      </c>
      <c r="V299" s="98" t="s">
        <v>50</v>
      </c>
      <c r="W299" s="98" t="s">
        <v>50</v>
      </c>
      <c r="X299" s="98" t="s">
        <v>50</v>
      </c>
      <c r="Y299" s="622" t="s">
        <v>2634</v>
      </c>
    </row>
    <row r="300" spans="1:25" s="154" customFormat="1" x14ac:dyDescent="0.25">
      <c r="A300" s="195">
        <v>43854</v>
      </c>
      <c r="B300" s="154" t="s">
        <v>125</v>
      </c>
      <c r="C300" s="154" t="s">
        <v>126</v>
      </c>
      <c r="D300" s="154">
        <v>38.282879999999999</v>
      </c>
      <c r="E300" s="154">
        <v>-121.71550000000001</v>
      </c>
      <c r="F300" s="154" t="s">
        <v>2835</v>
      </c>
      <c r="G300" s="154" t="s">
        <v>90</v>
      </c>
      <c r="H300" s="154" t="s">
        <v>845</v>
      </c>
      <c r="I300" s="636">
        <v>0.4201388888888889</v>
      </c>
      <c r="J300" s="197" t="s">
        <v>50</v>
      </c>
      <c r="K300" s="197" t="s">
        <v>50</v>
      </c>
      <c r="L300" s="197" t="s">
        <v>50</v>
      </c>
      <c r="M300" s="197" t="s">
        <v>50</v>
      </c>
      <c r="N300" s="197" t="s">
        <v>50</v>
      </c>
      <c r="O300" s="149" t="s">
        <v>48</v>
      </c>
      <c r="P300" s="149">
        <v>0</v>
      </c>
      <c r="Q300" s="149" t="s">
        <v>50</v>
      </c>
      <c r="R300" s="149" t="s">
        <v>50</v>
      </c>
      <c r="S300" s="149" t="s">
        <v>50</v>
      </c>
      <c r="T300" s="149" t="s">
        <v>50</v>
      </c>
      <c r="U300" s="149" t="s">
        <v>50</v>
      </c>
      <c r="V300" s="149" t="s">
        <v>50</v>
      </c>
      <c r="W300" s="149" t="s">
        <v>50</v>
      </c>
      <c r="X300" s="149" t="s">
        <v>50</v>
      </c>
      <c r="Y300" s="152" t="s">
        <v>2677</v>
      </c>
    </row>
    <row r="301" spans="1:25" s="98" customFormat="1" x14ac:dyDescent="0.25">
      <c r="A301" s="194">
        <v>43854</v>
      </c>
      <c r="B301" s="98" t="s">
        <v>125</v>
      </c>
      <c r="C301" s="98" t="s">
        <v>126</v>
      </c>
      <c r="D301" s="98">
        <v>38.242060000000002</v>
      </c>
      <c r="E301" s="98">
        <v>-121.68501000000001</v>
      </c>
      <c r="F301" s="98" t="s">
        <v>2836</v>
      </c>
      <c r="G301" s="98" t="s">
        <v>90</v>
      </c>
      <c r="H301" s="98" t="s">
        <v>845</v>
      </c>
      <c r="I301" s="621">
        <v>0.42986111111111108</v>
      </c>
      <c r="J301" s="100">
        <v>271.7</v>
      </c>
      <c r="K301" s="100">
        <v>9.375</v>
      </c>
      <c r="L301" s="100">
        <v>10.3</v>
      </c>
      <c r="M301" s="100">
        <v>1.5275000000000001</v>
      </c>
      <c r="N301" s="100">
        <v>9.6750000000000007</v>
      </c>
      <c r="O301" s="98" t="s">
        <v>48</v>
      </c>
      <c r="P301" s="98">
        <v>4</v>
      </c>
      <c r="Q301" s="98">
        <v>10</v>
      </c>
      <c r="R301" s="98" t="s">
        <v>64</v>
      </c>
      <c r="S301" s="98" t="s">
        <v>50</v>
      </c>
      <c r="T301" s="98" t="s">
        <v>50</v>
      </c>
      <c r="U301" s="98" t="s">
        <v>50</v>
      </c>
      <c r="V301" s="98" t="s">
        <v>50</v>
      </c>
      <c r="W301" s="98" t="s">
        <v>50</v>
      </c>
      <c r="X301" s="98" t="s">
        <v>50</v>
      </c>
      <c r="Y301" s="622"/>
    </row>
    <row r="302" spans="1:25" s="98" customFormat="1" x14ac:dyDescent="0.25">
      <c r="A302" s="194">
        <v>43854</v>
      </c>
      <c r="B302" s="98" t="s">
        <v>125</v>
      </c>
      <c r="C302" s="98" t="s">
        <v>126</v>
      </c>
      <c r="D302" s="98">
        <v>38.255839999999999</v>
      </c>
      <c r="E302" s="98">
        <v>-121.73152</v>
      </c>
      <c r="F302" s="98" t="s">
        <v>2837</v>
      </c>
      <c r="G302" s="98" t="s">
        <v>90</v>
      </c>
      <c r="H302" s="98" t="s">
        <v>845</v>
      </c>
      <c r="I302" s="621">
        <v>0.48819444444444443</v>
      </c>
      <c r="J302" s="100">
        <v>306.35000000000002</v>
      </c>
      <c r="K302" s="100">
        <v>9.4250000000000007</v>
      </c>
      <c r="L302" s="100">
        <v>5.0824999999999996</v>
      </c>
      <c r="M302" s="100" t="s">
        <v>1233</v>
      </c>
      <c r="N302" s="100">
        <v>6.0750000000000002</v>
      </c>
      <c r="O302" s="98" t="s">
        <v>48</v>
      </c>
      <c r="P302" s="98">
        <v>4</v>
      </c>
      <c r="Q302" s="98">
        <v>10</v>
      </c>
      <c r="R302" s="98" t="s">
        <v>64</v>
      </c>
      <c r="S302" s="98" t="s">
        <v>50</v>
      </c>
      <c r="T302" s="98" t="s">
        <v>50</v>
      </c>
      <c r="U302" s="98" t="s">
        <v>50</v>
      </c>
      <c r="V302" s="98" t="s">
        <v>50</v>
      </c>
      <c r="W302" s="98" t="s">
        <v>50</v>
      </c>
      <c r="X302" s="98" t="s">
        <v>50</v>
      </c>
      <c r="Y302" s="622"/>
    </row>
    <row r="303" spans="1:25" s="98" customFormat="1" x14ac:dyDescent="0.25">
      <c r="A303" s="194">
        <v>43854</v>
      </c>
      <c r="B303" s="98" t="s">
        <v>125</v>
      </c>
      <c r="C303" s="98" t="s">
        <v>95</v>
      </c>
      <c r="D303" s="98">
        <v>38.096629999999998</v>
      </c>
      <c r="E303" s="98">
        <v>-121.6708</v>
      </c>
      <c r="F303" s="98" t="s">
        <v>2838</v>
      </c>
      <c r="G303" s="98" t="s">
        <v>46</v>
      </c>
      <c r="H303" s="98" t="s">
        <v>908</v>
      </c>
      <c r="I303" s="621">
        <v>0.35069444444444442</v>
      </c>
      <c r="J303" s="100">
        <v>386.07500000000005</v>
      </c>
      <c r="K303" s="100">
        <v>9.4250000000000007</v>
      </c>
      <c r="L303" s="100">
        <v>5.4649999999999999</v>
      </c>
      <c r="M303" s="100">
        <v>1.7949999999999999</v>
      </c>
      <c r="N303" s="100">
        <v>16.127499999999998</v>
      </c>
      <c r="O303" s="98" t="s">
        <v>48</v>
      </c>
      <c r="P303" s="98">
        <v>4</v>
      </c>
      <c r="Q303" s="98">
        <v>10</v>
      </c>
      <c r="R303" s="98" t="s">
        <v>49</v>
      </c>
      <c r="S303" s="98" t="s">
        <v>50</v>
      </c>
      <c r="T303" s="98" t="s">
        <v>50</v>
      </c>
      <c r="U303" s="98" t="s">
        <v>50</v>
      </c>
      <c r="V303" s="98" t="s">
        <v>50</v>
      </c>
      <c r="W303" s="98" t="s">
        <v>50</v>
      </c>
      <c r="X303" s="98" t="s">
        <v>50</v>
      </c>
      <c r="Y303" s="622" t="s">
        <v>139</v>
      </c>
    </row>
    <row r="304" spans="1:25" s="98" customFormat="1" x14ac:dyDescent="0.25">
      <c r="A304" s="194">
        <v>43854</v>
      </c>
      <c r="B304" s="98" t="s">
        <v>125</v>
      </c>
      <c r="C304" s="98" t="s">
        <v>95</v>
      </c>
      <c r="D304" s="98">
        <v>38.07582</v>
      </c>
      <c r="E304" s="98">
        <v>-121.68035</v>
      </c>
      <c r="F304" s="98" t="s">
        <v>2839</v>
      </c>
      <c r="G304" s="98" t="s">
        <v>46</v>
      </c>
      <c r="H304" s="98" t="s">
        <v>908</v>
      </c>
      <c r="I304" s="621">
        <v>0.40416666666666662</v>
      </c>
      <c r="J304" s="100">
        <v>411.125</v>
      </c>
      <c r="K304" s="100">
        <v>9.5500000000000007</v>
      </c>
      <c r="L304" s="100">
        <v>5.9799999999999995</v>
      </c>
      <c r="M304" s="100">
        <v>1.605</v>
      </c>
      <c r="N304" s="100">
        <v>9.067499999999999</v>
      </c>
      <c r="O304" s="98" t="s">
        <v>48</v>
      </c>
      <c r="P304" s="98">
        <v>4</v>
      </c>
      <c r="Q304" s="98">
        <v>10</v>
      </c>
      <c r="R304" s="98" t="s">
        <v>49</v>
      </c>
      <c r="S304" s="98" t="s">
        <v>50</v>
      </c>
      <c r="T304" s="98" t="s">
        <v>50</v>
      </c>
      <c r="U304" s="98" t="s">
        <v>50</v>
      </c>
      <c r="V304" s="98" t="s">
        <v>50</v>
      </c>
      <c r="W304" s="98" t="s">
        <v>50</v>
      </c>
      <c r="X304" s="98" t="s">
        <v>50</v>
      </c>
      <c r="Y304" s="622" t="s">
        <v>139</v>
      </c>
    </row>
    <row r="305" spans="1:25" s="362" customFormat="1" x14ac:dyDescent="0.25">
      <c r="A305" s="360">
        <v>43854</v>
      </c>
      <c r="B305" s="362" t="s">
        <v>125</v>
      </c>
      <c r="C305" s="362" t="s">
        <v>95</v>
      </c>
      <c r="D305" s="362">
        <v>38.02505</v>
      </c>
      <c r="E305" s="362">
        <v>-121.74267999999999</v>
      </c>
      <c r="F305" s="362" t="s">
        <v>2840</v>
      </c>
      <c r="G305" s="362" t="s">
        <v>27</v>
      </c>
      <c r="H305" s="362" t="s">
        <v>863</v>
      </c>
      <c r="I305" s="618">
        <v>0.45833333333333331</v>
      </c>
      <c r="J305" s="364">
        <v>605.5</v>
      </c>
      <c r="K305" s="364">
        <v>9.75</v>
      </c>
      <c r="L305" s="364">
        <v>5.6950000000000003</v>
      </c>
      <c r="M305" s="364">
        <v>1.5375000000000001</v>
      </c>
      <c r="N305" s="364">
        <v>9.8574999999999999</v>
      </c>
      <c r="O305" s="362" t="s">
        <v>48</v>
      </c>
      <c r="P305" s="362">
        <v>4</v>
      </c>
      <c r="Q305" s="362">
        <v>10</v>
      </c>
      <c r="R305" s="362" t="s">
        <v>64</v>
      </c>
      <c r="S305" s="362" t="s">
        <v>50</v>
      </c>
      <c r="T305" s="362" t="s">
        <v>50</v>
      </c>
      <c r="U305" s="362" t="s">
        <v>50</v>
      </c>
      <c r="V305" s="362" t="s">
        <v>50</v>
      </c>
      <c r="W305" s="362" t="s">
        <v>50</v>
      </c>
      <c r="X305" s="362" t="s">
        <v>50</v>
      </c>
      <c r="Y305" s="603"/>
    </row>
    <row r="306" spans="1:25" s="98" customFormat="1" x14ac:dyDescent="0.25">
      <c r="A306" s="194">
        <v>43857</v>
      </c>
      <c r="B306" s="98" t="s">
        <v>43</v>
      </c>
      <c r="C306" s="98" t="s">
        <v>126</v>
      </c>
      <c r="D306" s="98">
        <v>38.259500000000003</v>
      </c>
      <c r="E306" s="98">
        <v>-121.75662</v>
      </c>
      <c r="F306" s="98" t="s">
        <v>2841</v>
      </c>
      <c r="G306" s="98" t="s">
        <v>90</v>
      </c>
      <c r="H306" s="98" t="s">
        <v>845</v>
      </c>
      <c r="I306" s="621">
        <v>0.33819444444444446</v>
      </c>
      <c r="J306" s="100">
        <v>317.16666666666669</v>
      </c>
      <c r="K306" s="100">
        <v>10.433333333333334</v>
      </c>
      <c r="L306" s="100">
        <v>6.5333333333333341</v>
      </c>
      <c r="M306" s="100">
        <v>1.18</v>
      </c>
      <c r="N306" s="100">
        <v>5.0666666666666673</v>
      </c>
      <c r="O306" s="98" t="s">
        <v>48</v>
      </c>
      <c r="P306" s="98">
        <v>3</v>
      </c>
      <c r="Q306" s="98">
        <v>10</v>
      </c>
      <c r="R306" s="98" t="s">
        <v>49</v>
      </c>
      <c r="S306" s="98" t="s">
        <v>50</v>
      </c>
      <c r="T306" s="98" t="s">
        <v>50</v>
      </c>
      <c r="U306" s="98" t="s">
        <v>50</v>
      </c>
      <c r="V306" s="98" t="s">
        <v>50</v>
      </c>
      <c r="W306" s="98" t="s">
        <v>50</v>
      </c>
      <c r="X306" s="98" t="s">
        <v>50</v>
      </c>
      <c r="Y306" s="622" t="s">
        <v>2842</v>
      </c>
    </row>
    <row r="307" spans="1:25" s="98" customFormat="1" x14ac:dyDescent="0.25">
      <c r="A307" s="194">
        <v>43857</v>
      </c>
      <c r="B307" s="98" t="s">
        <v>43</v>
      </c>
      <c r="C307" s="98" t="s">
        <v>126</v>
      </c>
      <c r="D307" s="98">
        <v>38.257779999999997</v>
      </c>
      <c r="E307" s="98">
        <v>-121.69123</v>
      </c>
      <c r="F307" s="98" t="s">
        <v>2843</v>
      </c>
      <c r="G307" s="98" t="s">
        <v>90</v>
      </c>
      <c r="H307" s="98" t="s">
        <v>845</v>
      </c>
      <c r="I307" s="621">
        <v>0.39027777777777778</v>
      </c>
      <c r="J307" s="100">
        <v>288.60000000000002</v>
      </c>
      <c r="K307" s="100">
        <v>10.649999999999999</v>
      </c>
      <c r="L307" s="100">
        <v>6.6150000000000002</v>
      </c>
      <c r="M307" s="100">
        <v>1.2725</v>
      </c>
      <c r="N307" s="100">
        <v>6.7999999999999989</v>
      </c>
      <c r="O307" s="98" t="s">
        <v>48</v>
      </c>
      <c r="P307" s="98">
        <v>4</v>
      </c>
      <c r="Q307" s="98">
        <v>10</v>
      </c>
      <c r="R307" s="98" t="s">
        <v>49</v>
      </c>
      <c r="S307" s="98" t="s">
        <v>50</v>
      </c>
      <c r="T307" s="98" t="s">
        <v>50</v>
      </c>
      <c r="U307" s="98" t="s">
        <v>50</v>
      </c>
      <c r="V307" s="98" t="s">
        <v>50</v>
      </c>
      <c r="W307" s="98" t="s">
        <v>50</v>
      </c>
      <c r="X307" s="98" t="s">
        <v>50</v>
      </c>
      <c r="Y307" s="622" t="s">
        <v>2844</v>
      </c>
    </row>
    <row r="308" spans="1:25" s="98" customFormat="1" x14ac:dyDescent="0.25">
      <c r="A308" s="194">
        <v>43857</v>
      </c>
      <c r="B308" s="98" t="s">
        <v>43</v>
      </c>
      <c r="C308" s="98" t="s">
        <v>126</v>
      </c>
      <c r="D308" s="98">
        <v>38.293340000000001</v>
      </c>
      <c r="E308" s="98">
        <v>-121.66710999999999</v>
      </c>
      <c r="F308" s="98" t="s">
        <v>2845</v>
      </c>
      <c r="G308" s="98" t="s">
        <v>90</v>
      </c>
      <c r="H308" s="98" t="s">
        <v>845</v>
      </c>
      <c r="I308" s="621">
        <v>0.45069444444444445</v>
      </c>
      <c r="J308" s="100">
        <v>561.5</v>
      </c>
      <c r="K308" s="100">
        <v>11.799999999999999</v>
      </c>
      <c r="L308" s="100">
        <v>6.74</v>
      </c>
      <c r="M308" s="100">
        <v>1.2733333333333334</v>
      </c>
      <c r="N308" s="100">
        <v>6.1</v>
      </c>
      <c r="O308" s="98" t="s">
        <v>48</v>
      </c>
      <c r="P308" s="98">
        <v>4</v>
      </c>
      <c r="Q308" s="98">
        <v>10</v>
      </c>
      <c r="R308" s="98" t="s">
        <v>49</v>
      </c>
      <c r="S308" s="98" t="s">
        <v>50</v>
      </c>
      <c r="T308" s="98" t="s">
        <v>50</v>
      </c>
      <c r="U308" s="98" t="s">
        <v>50</v>
      </c>
      <c r="V308" s="98" t="s">
        <v>50</v>
      </c>
      <c r="W308" s="98" t="s">
        <v>50</v>
      </c>
      <c r="X308" s="98" t="s">
        <v>50</v>
      </c>
      <c r="Y308" s="622" t="s">
        <v>2844</v>
      </c>
    </row>
    <row r="309" spans="1:25" s="98" customFormat="1" x14ac:dyDescent="0.25">
      <c r="A309" s="194">
        <v>43857</v>
      </c>
      <c r="B309" s="98" t="s">
        <v>43</v>
      </c>
      <c r="C309" s="98" t="s">
        <v>95</v>
      </c>
      <c r="D309" s="98">
        <v>38.04128</v>
      </c>
      <c r="E309" s="98">
        <v>-121.72067</v>
      </c>
      <c r="F309" s="98" t="s">
        <v>2846</v>
      </c>
      <c r="G309" s="98" t="s">
        <v>27</v>
      </c>
      <c r="H309" s="98" t="s">
        <v>863</v>
      </c>
      <c r="I309" s="621">
        <v>0.31875000000000003</v>
      </c>
      <c r="J309" s="100">
        <v>665.05000000000007</v>
      </c>
      <c r="K309" s="100">
        <v>10.125</v>
      </c>
      <c r="L309" s="100">
        <v>7.9500000000000011</v>
      </c>
      <c r="M309" s="100">
        <v>1.1850000000000001</v>
      </c>
      <c r="N309" s="100">
        <v>5.6749999999999998</v>
      </c>
      <c r="O309" s="98" t="s">
        <v>48</v>
      </c>
      <c r="P309" s="98">
        <v>4</v>
      </c>
      <c r="Q309" s="98">
        <v>10</v>
      </c>
      <c r="R309" s="98" t="s">
        <v>49</v>
      </c>
      <c r="S309" s="98" t="s">
        <v>50</v>
      </c>
      <c r="T309" s="98" t="s">
        <v>50</v>
      </c>
      <c r="U309" s="98" t="s">
        <v>50</v>
      </c>
      <c r="V309" s="98" t="s">
        <v>50</v>
      </c>
      <c r="W309" s="98" t="s">
        <v>50</v>
      </c>
      <c r="X309" s="98" t="s">
        <v>50</v>
      </c>
      <c r="Y309" s="622"/>
    </row>
    <row r="310" spans="1:25" s="98" customFormat="1" x14ac:dyDescent="0.25">
      <c r="A310" s="194">
        <v>43857</v>
      </c>
      <c r="B310" s="98" t="s">
        <v>43</v>
      </c>
      <c r="C310" s="98" t="s">
        <v>95</v>
      </c>
      <c r="D310" s="98">
        <v>38.09637</v>
      </c>
      <c r="E310" s="98">
        <v>-121.66512</v>
      </c>
      <c r="F310" s="98" t="s">
        <v>2847</v>
      </c>
      <c r="G310" s="98" t="s">
        <v>27</v>
      </c>
      <c r="H310" s="98" t="s">
        <v>908</v>
      </c>
      <c r="I310" s="621">
        <v>0.37986111111111115</v>
      </c>
      <c r="J310" s="100">
        <v>381.70000000000005</v>
      </c>
      <c r="K310" s="100">
        <v>10.125</v>
      </c>
      <c r="L310" s="100">
        <v>6.1875</v>
      </c>
      <c r="M310" s="100">
        <v>1.4875</v>
      </c>
      <c r="N310" s="100">
        <v>13.725</v>
      </c>
      <c r="O310" s="98" t="s">
        <v>48</v>
      </c>
      <c r="P310" s="98">
        <v>4</v>
      </c>
      <c r="Q310" s="98">
        <v>10</v>
      </c>
      <c r="R310" s="98" t="s">
        <v>49</v>
      </c>
      <c r="S310" s="98" t="s">
        <v>50</v>
      </c>
      <c r="T310" s="98" t="s">
        <v>50</v>
      </c>
      <c r="U310" s="98" t="s">
        <v>50</v>
      </c>
      <c r="V310" s="98" t="s">
        <v>50</v>
      </c>
      <c r="W310" s="98" t="s">
        <v>50</v>
      </c>
      <c r="X310" s="98" t="s">
        <v>50</v>
      </c>
      <c r="Y310" s="622"/>
    </row>
    <row r="311" spans="1:25" s="98" customFormat="1" x14ac:dyDescent="0.25">
      <c r="A311" s="194">
        <v>43857</v>
      </c>
      <c r="B311" s="98" t="s">
        <v>43</v>
      </c>
      <c r="C311" s="98" t="s">
        <v>95</v>
      </c>
      <c r="D311" s="98">
        <v>38.086799999999997</v>
      </c>
      <c r="E311" s="98">
        <v>-121.67711</v>
      </c>
      <c r="F311" s="98" t="s">
        <v>2848</v>
      </c>
      <c r="G311" s="98" t="s">
        <v>27</v>
      </c>
      <c r="H311" s="98" t="s">
        <v>908</v>
      </c>
      <c r="I311" s="621">
        <v>0.42777777777777781</v>
      </c>
      <c r="J311" s="100">
        <v>381.17500000000001</v>
      </c>
      <c r="K311" s="100">
        <v>10.125</v>
      </c>
      <c r="L311" s="100">
        <v>7.4774999999999991</v>
      </c>
      <c r="M311" s="100">
        <v>1.2675000000000001</v>
      </c>
      <c r="N311" s="100">
        <v>9.7750000000000004</v>
      </c>
      <c r="O311" s="98" t="s">
        <v>48</v>
      </c>
      <c r="P311" s="98">
        <v>4</v>
      </c>
      <c r="Q311" s="98">
        <v>10</v>
      </c>
      <c r="R311" s="98" t="s">
        <v>49</v>
      </c>
      <c r="S311" s="98" t="s">
        <v>50</v>
      </c>
      <c r="T311" s="98" t="s">
        <v>50</v>
      </c>
      <c r="U311" s="98" t="s">
        <v>50</v>
      </c>
      <c r="V311" s="98" t="s">
        <v>50</v>
      </c>
      <c r="W311" s="98" t="s">
        <v>50</v>
      </c>
      <c r="X311" s="98" t="s">
        <v>50</v>
      </c>
      <c r="Y311" s="622"/>
    </row>
    <row r="312" spans="1:25" s="98" customFormat="1" x14ac:dyDescent="0.25">
      <c r="A312" s="194">
        <v>43857</v>
      </c>
      <c r="B312" s="98" t="s">
        <v>43</v>
      </c>
      <c r="C312" s="98" t="s">
        <v>78</v>
      </c>
      <c r="D312" s="98">
        <v>38.037179999999999</v>
      </c>
      <c r="E312" s="98">
        <v>-122.1195</v>
      </c>
      <c r="F312" s="98" t="s">
        <v>2849</v>
      </c>
      <c r="G312" s="98" t="s">
        <v>80</v>
      </c>
      <c r="H312" s="98" t="s">
        <v>81</v>
      </c>
      <c r="I312" s="621">
        <v>0.37152777777777773</v>
      </c>
      <c r="J312" s="100">
        <v>13743.5</v>
      </c>
      <c r="K312" s="100">
        <v>10.625</v>
      </c>
      <c r="L312" s="100">
        <v>23.75</v>
      </c>
      <c r="M312" s="100">
        <v>0.51249999999999996</v>
      </c>
      <c r="N312" s="100">
        <v>12.074999999999999</v>
      </c>
      <c r="O312" s="98" t="s">
        <v>48</v>
      </c>
      <c r="P312" s="98">
        <v>4</v>
      </c>
      <c r="Q312" s="98">
        <v>10</v>
      </c>
      <c r="R312" s="98" t="s">
        <v>49</v>
      </c>
      <c r="S312" s="98" t="s">
        <v>50</v>
      </c>
      <c r="T312" s="98" t="s">
        <v>50</v>
      </c>
      <c r="U312" s="98" t="s">
        <v>50</v>
      </c>
      <c r="V312" s="98" t="s">
        <v>50</v>
      </c>
      <c r="W312" s="98" t="s">
        <v>50</v>
      </c>
      <c r="X312" s="98" t="s">
        <v>50</v>
      </c>
      <c r="Y312" s="622"/>
    </row>
    <row r="313" spans="1:25" s="98" customFormat="1" x14ac:dyDescent="0.25">
      <c r="A313" s="194">
        <v>43857</v>
      </c>
      <c r="B313" s="98" t="s">
        <v>43</v>
      </c>
      <c r="C313" s="98" t="s">
        <v>118</v>
      </c>
      <c r="D313" s="98">
        <v>38.064410000000002</v>
      </c>
      <c r="E313" s="98">
        <v>-122.2777</v>
      </c>
      <c r="F313" s="98" t="s">
        <v>2850</v>
      </c>
      <c r="G313" s="98" t="s">
        <v>80</v>
      </c>
      <c r="H313" s="98" t="s">
        <v>123</v>
      </c>
      <c r="I313" s="621">
        <v>0.44236111111111115</v>
      </c>
      <c r="J313" s="100">
        <v>20949</v>
      </c>
      <c r="K313" s="100">
        <v>11.05</v>
      </c>
      <c r="L313" s="100">
        <v>22.875</v>
      </c>
      <c r="M313" s="100">
        <v>0.62749999999999995</v>
      </c>
      <c r="N313" s="100">
        <v>9.2249999999999996</v>
      </c>
      <c r="O313" s="98" t="s">
        <v>48</v>
      </c>
      <c r="P313" s="98">
        <v>4</v>
      </c>
      <c r="Q313" s="98">
        <v>10</v>
      </c>
      <c r="R313" s="98" t="s">
        <v>64</v>
      </c>
      <c r="S313" s="98" t="s">
        <v>50</v>
      </c>
      <c r="T313" s="98" t="s">
        <v>50</v>
      </c>
      <c r="U313" s="98" t="s">
        <v>50</v>
      </c>
      <c r="V313" s="98" t="s">
        <v>50</v>
      </c>
      <c r="W313" s="98" t="s">
        <v>50</v>
      </c>
      <c r="X313" s="98" t="s">
        <v>50</v>
      </c>
      <c r="Y313" s="622"/>
    </row>
    <row r="314" spans="1:25" s="98" customFormat="1" x14ac:dyDescent="0.25">
      <c r="A314" s="194">
        <v>43857</v>
      </c>
      <c r="B314" s="98" t="s">
        <v>43</v>
      </c>
      <c r="C314" s="98" t="s">
        <v>118</v>
      </c>
      <c r="D314" s="98">
        <v>38.044449999999998</v>
      </c>
      <c r="E314" s="98">
        <v>-122.31016</v>
      </c>
      <c r="F314" s="98" t="s">
        <v>2851</v>
      </c>
      <c r="G314" s="98" t="s">
        <v>80</v>
      </c>
      <c r="H314" s="98" t="s">
        <v>123</v>
      </c>
      <c r="I314" s="621">
        <v>0.50069444444444444</v>
      </c>
      <c r="J314" s="100">
        <v>25981.25</v>
      </c>
      <c r="K314" s="100">
        <v>11.175000000000001</v>
      </c>
      <c r="L314" s="100">
        <v>15.024999999999999</v>
      </c>
      <c r="M314" s="100">
        <v>0.82499999999999996</v>
      </c>
      <c r="N314" s="100">
        <v>10.824999999999999</v>
      </c>
      <c r="O314" s="98" t="s">
        <v>48</v>
      </c>
      <c r="P314" s="98">
        <v>4</v>
      </c>
      <c r="Q314" s="98">
        <v>10</v>
      </c>
      <c r="R314" s="98" t="s">
        <v>64</v>
      </c>
      <c r="S314" s="98" t="s">
        <v>50</v>
      </c>
      <c r="T314" s="98" t="s">
        <v>50</v>
      </c>
      <c r="U314" s="98" t="s">
        <v>50</v>
      </c>
      <c r="V314" s="98" t="s">
        <v>50</v>
      </c>
      <c r="W314" s="98" t="s">
        <v>50</v>
      </c>
      <c r="X314" s="98" t="s">
        <v>50</v>
      </c>
      <c r="Y314" s="622" t="s">
        <v>2852</v>
      </c>
    </row>
    <row r="315" spans="1:25" s="98" customFormat="1" x14ac:dyDescent="0.25">
      <c r="A315" s="194">
        <v>43857</v>
      </c>
      <c r="B315" s="98" t="s">
        <v>43</v>
      </c>
      <c r="C315" s="98" t="s">
        <v>118</v>
      </c>
      <c r="D315" s="98">
        <v>38.02825</v>
      </c>
      <c r="E315" s="98">
        <v>-122.301</v>
      </c>
      <c r="F315" s="98" t="s">
        <v>2853</v>
      </c>
      <c r="G315" s="98" t="s">
        <v>80</v>
      </c>
      <c r="H315" s="98" t="s">
        <v>123</v>
      </c>
      <c r="I315" s="621">
        <v>0.55138888888888882</v>
      </c>
      <c r="J315" s="100">
        <v>32737</v>
      </c>
      <c r="K315" s="100">
        <v>11.875</v>
      </c>
      <c r="L315" s="100">
        <v>35.375</v>
      </c>
      <c r="M315" s="100">
        <v>0.42499999999999999</v>
      </c>
      <c r="N315" s="100">
        <v>3.4249999999999998</v>
      </c>
      <c r="O315" s="98" t="s">
        <v>48</v>
      </c>
      <c r="P315" s="98">
        <v>4</v>
      </c>
      <c r="Q315" s="98">
        <v>10</v>
      </c>
      <c r="R315" s="98" t="s">
        <v>64</v>
      </c>
      <c r="S315" s="98" t="s">
        <v>50</v>
      </c>
      <c r="T315" s="98" t="s">
        <v>50</v>
      </c>
      <c r="U315" s="98" t="s">
        <v>50</v>
      </c>
      <c r="V315" s="98" t="s">
        <v>50</v>
      </c>
      <c r="W315" s="98" t="s">
        <v>50</v>
      </c>
      <c r="X315" s="98" t="s">
        <v>50</v>
      </c>
      <c r="Y315" s="622"/>
    </row>
    <row r="316" spans="1:25" s="98" customFormat="1" x14ac:dyDescent="0.25">
      <c r="A316" s="194">
        <v>43858</v>
      </c>
      <c r="B316" s="98" t="s">
        <v>849</v>
      </c>
      <c r="C316" s="98" t="s">
        <v>88</v>
      </c>
      <c r="D316" s="98">
        <v>38.072969999999998</v>
      </c>
      <c r="E316" s="98">
        <v>-121.76888</v>
      </c>
      <c r="F316" s="98" t="s">
        <v>2854</v>
      </c>
      <c r="G316" s="98" t="s">
        <v>27</v>
      </c>
      <c r="H316" s="98" t="s">
        <v>25</v>
      </c>
      <c r="I316" s="621">
        <v>0.32430555555555557</v>
      </c>
      <c r="J316" s="100">
        <v>456.47500000000002</v>
      </c>
      <c r="K316" s="100">
        <v>10.125</v>
      </c>
      <c r="L316" s="100">
        <v>10.280000000000001</v>
      </c>
      <c r="M316" s="100">
        <v>1.1125</v>
      </c>
      <c r="N316" s="100">
        <v>9.6999999999999993</v>
      </c>
      <c r="O316" s="98" t="s">
        <v>48</v>
      </c>
      <c r="P316" s="98">
        <v>4</v>
      </c>
      <c r="Q316" s="98">
        <v>10</v>
      </c>
      <c r="R316" s="98" t="s">
        <v>49</v>
      </c>
      <c r="S316" s="98" t="s">
        <v>50</v>
      </c>
      <c r="T316" s="98" t="s">
        <v>50</v>
      </c>
      <c r="U316" s="98" t="s">
        <v>50</v>
      </c>
      <c r="V316" s="98" t="s">
        <v>50</v>
      </c>
      <c r="W316" s="98" t="s">
        <v>50</v>
      </c>
      <c r="X316" s="98" t="s">
        <v>50</v>
      </c>
      <c r="Y316" s="622"/>
    </row>
    <row r="317" spans="1:25" s="98" customFormat="1" x14ac:dyDescent="0.25">
      <c r="A317" s="194">
        <v>43858</v>
      </c>
      <c r="B317" s="98" t="s">
        <v>849</v>
      </c>
      <c r="C317" s="98" t="s">
        <v>88</v>
      </c>
      <c r="D317" s="98">
        <v>38.161999999999999</v>
      </c>
      <c r="E317" s="98">
        <v>-121.68347</v>
      </c>
      <c r="F317" s="98" t="s">
        <v>2855</v>
      </c>
      <c r="G317" s="98" t="s">
        <v>90</v>
      </c>
      <c r="H317" s="98" t="s">
        <v>91</v>
      </c>
      <c r="I317" s="621">
        <v>0.37708333333333338</v>
      </c>
      <c r="J317" s="100">
        <v>220.625</v>
      </c>
      <c r="K317" s="100">
        <v>10.9</v>
      </c>
      <c r="L317" s="100">
        <v>7.9024999999999999</v>
      </c>
      <c r="M317" s="100">
        <v>1.6425000000000001</v>
      </c>
      <c r="N317" s="100">
        <v>10.025</v>
      </c>
      <c r="O317" s="98" t="s">
        <v>48</v>
      </c>
      <c r="P317" s="98">
        <v>4</v>
      </c>
      <c r="Q317" s="98">
        <v>10</v>
      </c>
      <c r="R317" s="98" t="s">
        <v>49</v>
      </c>
      <c r="S317" s="98" t="s">
        <v>50</v>
      </c>
      <c r="T317" s="98" t="s">
        <v>50</v>
      </c>
      <c r="U317" s="98" t="s">
        <v>50</v>
      </c>
      <c r="V317" s="98" t="s">
        <v>50</v>
      </c>
      <c r="W317" s="98" t="s">
        <v>50</v>
      </c>
      <c r="X317" s="98" t="s">
        <v>50</v>
      </c>
      <c r="Y317" s="622"/>
    </row>
    <row r="318" spans="1:25" s="98" customFormat="1" x14ac:dyDescent="0.25">
      <c r="A318" s="194">
        <v>43858</v>
      </c>
      <c r="B318" s="98" t="s">
        <v>849</v>
      </c>
      <c r="C318" s="98" t="s">
        <v>88</v>
      </c>
      <c r="D318" s="98">
        <v>38.151560000000003</v>
      </c>
      <c r="E318" s="98">
        <v>-121.68803</v>
      </c>
      <c r="F318" s="98" t="s">
        <v>2856</v>
      </c>
      <c r="G318" s="98" t="s">
        <v>90</v>
      </c>
      <c r="H318" s="98" t="s">
        <v>91</v>
      </c>
      <c r="I318" s="621">
        <v>0.42152777777777778</v>
      </c>
      <c r="J318" s="100">
        <v>218.55</v>
      </c>
      <c r="K318" s="100">
        <v>36</v>
      </c>
      <c r="L318" s="100">
        <v>8.5675000000000008</v>
      </c>
      <c r="M318" s="100">
        <v>1.5350000000000001</v>
      </c>
      <c r="N318" s="100">
        <v>7.875</v>
      </c>
      <c r="O318" s="98" t="s">
        <v>48</v>
      </c>
      <c r="P318" s="98">
        <v>4</v>
      </c>
      <c r="Q318" s="98">
        <v>10</v>
      </c>
      <c r="R318" s="98" t="s">
        <v>49</v>
      </c>
      <c r="S318" s="98" t="s">
        <v>50</v>
      </c>
      <c r="T318" s="98" t="s">
        <v>50</v>
      </c>
      <c r="U318" s="98" t="s">
        <v>50</v>
      </c>
      <c r="V318" s="98" t="s">
        <v>50</v>
      </c>
      <c r="W318" s="98" t="s">
        <v>50</v>
      </c>
      <c r="X318" s="98" t="s">
        <v>50</v>
      </c>
      <c r="Y318" s="622"/>
    </row>
    <row r="319" spans="1:25" s="98" customFormat="1" x14ac:dyDescent="0.25">
      <c r="A319" s="194">
        <v>43858</v>
      </c>
      <c r="B319" s="98" t="s">
        <v>849</v>
      </c>
      <c r="C319" s="98" t="s">
        <v>95</v>
      </c>
      <c r="D319" s="98">
        <v>38.106160000000003</v>
      </c>
      <c r="E319" s="98">
        <v>-121.60663</v>
      </c>
      <c r="F319" s="98" t="s">
        <v>2857</v>
      </c>
      <c r="G319" s="98" t="s">
        <v>46</v>
      </c>
      <c r="H319" s="98" t="s">
        <v>908</v>
      </c>
      <c r="I319" s="621">
        <v>0.32916666666666666</v>
      </c>
      <c r="J319" s="100">
        <v>290.05</v>
      </c>
      <c r="K319" s="100">
        <v>10.325000000000001</v>
      </c>
      <c r="L319" s="100">
        <v>4.8624999999999998</v>
      </c>
      <c r="M319" s="100">
        <v>1.7475000000000001</v>
      </c>
      <c r="N319" s="100">
        <v>8.25</v>
      </c>
      <c r="O319" s="98" t="s">
        <v>48</v>
      </c>
      <c r="P319" s="98">
        <v>4</v>
      </c>
      <c r="Q319" s="98">
        <v>10</v>
      </c>
      <c r="R319" s="98" t="s">
        <v>64</v>
      </c>
      <c r="S319" s="98" t="s">
        <v>50</v>
      </c>
      <c r="T319" s="98" t="s">
        <v>50</v>
      </c>
      <c r="U319" s="98" t="s">
        <v>50</v>
      </c>
      <c r="V319" s="98" t="s">
        <v>50</v>
      </c>
      <c r="W319" s="98" t="s">
        <v>50</v>
      </c>
      <c r="X319" s="98" t="s">
        <v>50</v>
      </c>
      <c r="Y319" s="622"/>
    </row>
    <row r="320" spans="1:25" s="98" customFormat="1" x14ac:dyDescent="0.25">
      <c r="A320" s="194">
        <v>43858</v>
      </c>
      <c r="B320" s="98" t="s">
        <v>849</v>
      </c>
      <c r="C320" s="98" t="s">
        <v>95</v>
      </c>
      <c r="D320" s="98">
        <v>38.067279999999997</v>
      </c>
      <c r="E320" s="98">
        <v>-121.53883</v>
      </c>
      <c r="F320" s="98" t="s">
        <v>2858</v>
      </c>
      <c r="G320" s="98" t="s">
        <v>46</v>
      </c>
      <c r="H320" s="98" t="s">
        <v>115</v>
      </c>
      <c r="I320" s="621">
        <v>0.38263888888888892</v>
      </c>
      <c r="J320" s="100">
        <v>281.05</v>
      </c>
      <c r="K320" s="100">
        <v>10.6</v>
      </c>
      <c r="L320" s="100">
        <v>3.5674999999999999</v>
      </c>
      <c r="M320" s="100" t="s">
        <v>1233</v>
      </c>
      <c r="N320" s="100">
        <v>11.424999999999999</v>
      </c>
      <c r="O320" s="98" t="s">
        <v>48</v>
      </c>
      <c r="P320" s="98">
        <v>4</v>
      </c>
      <c r="Q320" s="98">
        <v>10</v>
      </c>
      <c r="R320" s="98" t="s">
        <v>49</v>
      </c>
      <c r="S320" s="98" t="s">
        <v>50</v>
      </c>
      <c r="T320" s="98" t="s">
        <v>50</v>
      </c>
      <c r="U320" s="98" t="s">
        <v>50</v>
      </c>
      <c r="V320" s="98" t="s">
        <v>50</v>
      </c>
      <c r="W320" s="98" t="s">
        <v>50</v>
      </c>
      <c r="X320" s="98" t="s">
        <v>50</v>
      </c>
      <c r="Y320" s="622"/>
    </row>
    <row r="321" spans="1:25" s="98" customFormat="1" x14ac:dyDescent="0.25">
      <c r="A321" s="194">
        <v>43858</v>
      </c>
      <c r="B321" s="98" t="s">
        <v>849</v>
      </c>
      <c r="C321" s="98" t="s">
        <v>95</v>
      </c>
      <c r="D321" s="98">
        <v>38.052909999999997</v>
      </c>
      <c r="E321" s="98">
        <v>-121.53349</v>
      </c>
      <c r="F321" s="98" t="s">
        <v>2859</v>
      </c>
      <c r="G321" s="98" t="s">
        <v>46</v>
      </c>
      <c r="H321" s="98" t="s">
        <v>115</v>
      </c>
      <c r="I321" s="621">
        <v>0.43194444444444446</v>
      </c>
      <c r="J321" s="100">
        <v>287.64999999999998</v>
      </c>
      <c r="K321" s="100">
        <v>10.625</v>
      </c>
      <c r="L321" s="100">
        <v>3.4550000000000005</v>
      </c>
      <c r="M321" s="100">
        <v>1.78</v>
      </c>
      <c r="N321" s="100">
        <v>12.2</v>
      </c>
      <c r="O321" s="98" t="s">
        <v>48</v>
      </c>
      <c r="P321" s="98">
        <v>4</v>
      </c>
      <c r="Q321" s="98">
        <v>10</v>
      </c>
      <c r="R321" s="98" t="s">
        <v>49</v>
      </c>
      <c r="S321" s="98" t="s">
        <v>50</v>
      </c>
      <c r="T321" s="98" t="s">
        <v>50</v>
      </c>
      <c r="U321" s="98" t="s">
        <v>50</v>
      </c>
      <c r="V321" s="98" t="s">
        <v>50</v>
      </c>
      <c r="W321" s="98" t="s">
        <v>50</v>
      </c>
      <c r="X321" s="98" t="s">
        <v>50</v>
      </c>
      <c r="Y321" s="622"/>
    </row>
    <row r="322" spans="1:25" s="98" customFormat="1" x14ac:dyDescent="0.25">
      <c r="A322" s="194">
        <v>43858</v>
      </c>
      <c r="B322" s="98" t="s">
        <v>849</v>
      </c>
      <c r="C322" s="98" t="s">
        <v>78</v>
      </c>
      <c r="D322" s="98">
        <v>38.065539999999999</v>
      </c>
      <c r="E322" s="98">
        <v>-122.05134</v>
      </c>
      <c r="F322" s="98" t="s">
        <v>2860</v>
      </c>
      <c r="G322" s="98" t="s">
        <v>27</v>
      </c>
      <c r="H322" s="98" t="s">
        <v>86</v>
      </c>
      <c r="I322" s="621">
        <v>0.34652777777777777</v>
      </c>
      <c r="J322" s="100">
        <v>9599.25</v>
      </c>
      <c r="K322" s="100">
        <v>10.575000000000001</v>
      </c>
      <c r="L322" s="100" t="s">
        <v>50</v>
      </c>
      <c r="M322" s="100">
        <v>0.58249999999999991</v>
      </c>
      <c r="N322" s="100">
        <v>8.9499999999999993</v>
      </c>
      <c r="O322" s="98" t="s">
        <v>48</v>
      </c>
      <c r="P322" s="98">
        <v>4</v>
      </c>
      <c r="Q322" s="98">
        <v>10</v>
      </c>
      <c r="R322" s="98" t="s">
        <v>49</v>
      </c>
      <c r="S322" s="98" t="s">
        <v>50</v>
      </c>
      <c r="T322" s="98" t="s">
        <v>50</v>
      </c>
      <c r="U322" s="98" t="s">
        <v>50</v>
      </c>
      <c r="V322" s="98" t="s">
        <v>50</v>
      </c>
      <c r="W322" s="98" t="s">
        <v>50</v>
      </c>
      <c r="X322" s="98" t="s">
        <v>50</v>
      </c>
      <c r="Y322" s="622"/>
    </row>
    <row r="323" spans="1:25" s="154" customFormat="1" x14ac:dyDescent="0.25">
      <c r="A323" s="195">
        <v>43858</v>
      </c>
      <c r="B323" s="154" t="s">
        <v>849</v>
      </c>
      <c r="C323" s="154" t="s">
        <v>78</v>
      </c>
      <c r="D323" s="154">
        <v>38.05986</v>
      </c>
      <c r="E323" s="154">
        <v>-122.03043</v>
      </c>
      <c r="F323" s="154" t="s">
        <v>2861</v>
      </c>
      <c r="G323" s="154" t="s">
        <v>27</v>
      </c>
      <c r="H323" s="154" t="s">
        <v>86</v>
      </c>
      <c r="I323" s="636">
        <v>0.39583333333333331</v>
      </c>
      <c r="J323" s="197" t="s">
        <v>50</v>
      </c>
      <c r="K323" s="197" t="s">
        <v>50</v>
      </c>
      <c r="L323" s="197" t="s">
        <v>50</v>
      </c>
      <c r="M323" s="197" t="s">
        <v>50</v>
      </c>
      <c r="N323" s="197" t="s">
        <v>50</v>
      </c>
      <c r="O323" s="149" t="s">
        <v>48</v>
      </c>
      <c r="P323" s="149">
        <v>0</v>
      </c>
      <c r="Q323" s="149" t="s">
        <v>50</v>
      </c>
      <c r="R323" s="149" t="s">
        <v>50</v>
      </c>
      <c r="S323" s="149" t="s">
        <v>50</v>
      </c>
      <c r="T323" s="149" t="s">
        <v>50</v>
      </c>
      <c r="U323" s="149" t="s">
        <v>50</v>
      </c>
      <c r="V323" s="149" t="s">
        <v>50</v>
      </c>
      <c r="W323" s="149" t="s">
        <v>50</v>
      </c>
      <c r="X323" s="149" t="s">
        <v>50</v>
      </c>
      <c r="Y323" s="152" t="s">
        <v>2862</v>
      </c>
    </row>
    <row r="324" spans="1:25" s="98" customFormat="1" x14ac:dyDescent="0.25">
      <c r="A324" s="194">
        <v>43858</v>
      </c>
      <c r="B324" s="98" t="s">
        <v>849</v>
      </c>
      <c r="C324" s="98" t="s">
        <v>78</v>
      </c>
      <c r="D324" s="98">
        <v>38.042909999999999</v>
      </c>
      <c r="E324" s="98">
        <v>-122.11022</v>
      </c>
      <c r="F324" s="98" t="s">
        <v>2863</v>
      </c>
      <c r="G324" s="98" t="s">
        <v>80</v>
      </c>
      <c r="H324" s="98" t="s">
        <v>81</v>
      </c>
      <c r="I324" s="621">
        <v>0.40208333333333335</v>
      </c>
      <c r="J324" s="100">
        <v>12820.75</v>
      </c>
      <c r="K324" s="100">
        <v>10.85</v>
      </c>
      <c r="L324" s="100">
        <v>26</v>
      </c>
      <c r="M324" s="100">
        <v>0.58499999999999996</v>
      </c>
      <c r="N324" s="100">
        <v>9.5749999999999993</v>
      </c>
      <c r="O324" s="98" t="s">
        <v>48</v>
      </c>
      <c r="P324" s="98">
        <v>4</v>
      </c>
      <c r="Q324" s="98">
        <v>10</v>
      </c>
      <c r="R324" s="98" t="s">
        <v>49</v>
      </c>
      <c r="S324" s="98" t="s">
        <v>50</v>
      </c>
      <c r="T324" s="98" t="s">
        <v>50</v>
      </c>
      <c r="U324" s="98" t="s">
        <v>50</v>
      </c>
      <c r="V324" s="98" t="s">
        <v>50</v>
      </c>
      <c r="W324" s="98" t="s">
        <v>50</v>
      </c>
      <c r="X324" s="98" t="s">
        <v>50</v>
      </c>
      <c r="Y324" s="622"/>
    </row>
    <row r="325" spans="1:25" s="98" customFormat="1" x14ac:dyDescent="0.25">
      <c r="A325" s="194">
        <v>43858</v>
      </c>
      <c r="B325" s="98" t="s">
        <v>849</v>
      </c>
      <c r="C325" s="98" t="s">
        <v>78</v>
      </c>
      <c r="D325" s="98">
        <v>38.048960000000001</v>
      </c>
      <c r="E325" s="98">
        <v>-121.93371999999999</v>
      </c>
      <c r="F325" s="98" t="s">
        <v>2864</v>
      </c>
      <c r="G325" s="98" t="s">
        <v>27</v>
      </c>
      <c r="H325" s="98" t="s">
        <v>101</v>
      </c>
      <c r="I325" s="621">
        <v>0.46666666666666662</v>
      </c>
      <c r="J325" s="100">
        <v>2435.75</v>
      </c>
      <c r="K325" s="100">
        <v>10.375</v>
      </c>
      <c r="L325" s="100">
        <v>21.475000000000001</v>
      </c>
      <c r="M325" s="100">
        <v>0.70750000000000002</v>
      </c>
      <c r="N325" s="100">
        <v>15.450000000000001</v>
      </c>
      <c r="O325" s="98" t="s">
        <v>48</v>
      </c>
      <c r="P325" s="98">
        <v>4</v>
      </c>
      <c r="Q325" s="98">
        <v>10</v>
      </c>
      <c r="R325" s="98" t="s">
        <v>49</v>
      </c>
      <c r="S325" s="98" t="s">
        <v>50</v>
      </c>
      <c r="T325" s="98" t="s">
        <v>50</v>
      </c>
      <c r="U325" s="98" t="s">
        <v>50</v>
      </c>
      <c r="V325" s="98" t="s">
        <v>50</v>
      </c>
      <c r="W325" s="98" t="s">
        <v>50</v>
      </c>
      <c r="X325" s="98" t="s">
        <v>50</v>
      </c>
      <c r="Y325" s="622"/>
    </row>
    <row r="326" spans="1:25" s="98" customFormat="1" x14ac:dyDescent="0.25">
      <c r="A326" s="194">
        <v>43859</v>
      </c>
      <c r="B326" s="671" t="s">
        <v>915</v>
      </c>
      <c r="C326" s="98" t="s">
        <v>88</v>
      </c>
      <c r="D326" s="98">
        <v>38.04992</v>
      </c>
      <c r="E326" s="98">
        <v>-121.79841999999999</v>
      </c>
      <c r="F326" s="98" t="s">
        <v>2865</v>
      </c>
      <c r="G326" s="98" t="s">
        <v>27</v>
      </c>
      <c r="H326" s="98" t="s">
        <v>25</v>
      </c>
      <c r="I326" s="621">
        <v>0.33749999999999997</v>
      </c>
      <c r="J326" s="100">
        <v>671</v>
      </c>
      <c r="K326" s="100">
        <v>10.3</v>
      </c>
      <c r="L326" s="100">
        <v>10.577500000000001</v>
      </c>
      <c r="M326" s="100">
        <v>1.1099999999999999</v>
      </c>
      <c r="N326" s="100">
        <v>4.55</v>
      </c>
      <c r="O326" s="98" t="s">
        <v>48</v>
      </c>
      <c r="P326" s="98">
        <v>4</v>
      </c>
      <c r="Q326" s="98">
        <v>10</v>
      </c>
      <c r="R326" s="98" t="s">
        <v>49</v>
      </c>
      <c r="S326" s="98" t="s">
        <v>50</v>
      </c>
      <c r="T326" s="98" t="s">
        <v>50</v>
      </c>
      <c r="U326" s="98" t="s">
        <v>50</v>
      </c>
      <c r="V326" s="98" t="s">
        <v>50</v>
      </c>
      <c r="W326" s="98" t="s">
        <v>50</v>
      </c>
      <c r="X326" s="98" t="s">
        <v>50</v>
      </c>
      <c r="Y326" s="622" t="s">
        <v>2866</v>
      </c>
    </row>
    <row r="327" spans="1:25" s="98" customFormat="1" x14ac:dyDescent="0.25">
      <c r="A327" s="194">
        <v>43859</v>
      </c>
      <c r="B327" s="671" t="s">
        <v>915</v>
      </c>
      <c r="C327" s="98" t="s">
        <v>88</v>
      </c>
      <c r="D327" s="98">
        <v>38.064889999999998</v>
      </c>
      <c r="E327" s="98">
        <v>-121.79379</v>
      </c>
      <c r="F327" s="98" t="s">
        <v>2867</v>
      </c>
      <c r="G327" s="98" t="s">
        <v>27</v>
      </c>
      <c r="H327" s="98" t="s">
        <v>25</v>
      </c>
      <c r="I327" s="621">
        <v>0.38472222222222219</v>
      </c>
      <c r="J327" s="100">
        <v>490.75</v>
      </c>
      <c r="K327" s="100">
        <v>10.4</v>
      </c>
      <c r="L327" s="100">
        <v>11.65</v>
      </c>
      <c r="M327" s="100">
        <v>0.96750000000000003</v>
      </c>
      <c r="N327" s="100">
        <v>8.625</v>
      </c>
      <c r="O327" s="98" t="s">
        <v>48</v>
      </c>
      <c r="P327" s="98">
        <v>4</v>
      </c>
      <c r="Q327" s="98">
        <v>10</v>
      </c>
      <c r="R327" s="98" t="s">
        <v>49</v>
      </c>
      <c r="S327" s="98" t="s">
        <v>50</v>
      </c>
      <c r="T327" s="98" t="s">
        <v>50</v>
      </c>
      <c r="U327" s="98" t="s">
        <v>50</v>
      </c>
      <c r="V327" s="98" t="s">
        <v>50</v>
      </c>
      <c r="W327" s="98" t="s">
        <v>50</v>
      </c>
      <c r="X327" s="98" t="s">
        <v>50</v>
      </c>
      <c r="Y327" s="622" t="s">
        <v>2868</v>
      </c>
    </row>
    <row r="328" spans="1:25" s="98" customFormat="1" x14ac:dyDescent="0.25">
      <c r="A328" s="194">
        <v>43859</v>
      </c>
      <c r="B328" s="671" t="s">
        <v>915</v>
      </c>
      <c r="C328" s="98" t="s">
        <v>88</v>
      </c>
      <c r="D328" s="98">
        <v>38.069879999999998</v>
      </c>
      <c r="E328" s="98">
        <v>-121.7732</v>
      </c>
      <c r="F328" s="98" t="s">
        <v>2869</v>
      </c>
      <c r="G328" s="98" t="s">
        <v>27</v>
      </c>
      <c r="H328" s="98" t="s">
        <v>25</v>
      </c>
      <c r="I328" s="621">
        <v>0.43055555555555558</v>
      </c>
      <c r="J328" s="100">
        <v>277.10000000000002</v>
      </c>
      <c r="K328" s="100">
        <v>10.525</v>
      </c>
      <c r="L328" s="98">
        <v>9.73</v>
      </c>
      <c r="M328" s="100">
        <v>1.395</v>
      </c>
      <c r="N328" s="100">
        <v>9.125</v>
      </c>
      <c r="O328" s="98" t="s">
        <v>48</v>
      </c>
      <c r="P328" s="98">
        <v>4</v>
      </c>
      <c r="Q328" s="98">
        <v>10</v>
      </c>
      <c r="R328" s="98" t="s">
        <v>49</v>
      </c>
      <c r="S328" s="98" t="s">
        <v>50</v>
      </c>
      <c r="T328" s="98" t="s">
        <v>50</v>
      </c>
      <c r="U328" s="98" t="s">
        <v>50</v>
      </c>
      <c r="V328" s="98" t="s">
        <v>50</v>
      </c>
      <c r="W328" s="98" t="s">
        <v>50</v>
      </c>
      <c r="X328" s="98" t="s">
        <v>50</v>
      </c>
      <c r="Y328" s="622"/>
    </row>
    <row r="329" spans="1:25" s="98" customFormat="1" x14ac:dyDescent="0.25">
      <c r="A329" s="194">
        <v>43859</v>
      </c>
      <c r="B329" s="671" t="s">
        <v>915</v>
      </c>
      <c r="C329" s="98" t="s">
        <v>44</v>
      </c>
      <c r="D329" s="98">
        <v>37.828780000000002</v>
      </c>
      <c r="E329" s="98">
        <v>-121.55229</v>
      </c>
      <c r="F329" s="98" t="s">
        <v>2870</v>
      </c>
      <c r="G329" s="98" t="s">
        <v>46</v>
      </c>
      <c r="H329" s="98" t="s">
        <v>202</v>
      </c>
      <c r="I329" s="621">
        <v>0.3444444444444445</v>
      </c>
      <c r="J329" s="100">
        <v>385.04999999999995</v>
      </c>
      <c r="K329" s="100">
        <v>10.75</v>
      </c>
      <c r="L329" s="100">
        <v>4.1500000000000004</v>
      </c>
      <c r="M329" s="100" t="s">
        <v>1233</v>
      </c>
      <c r="N329" s="100">
        <v>5.5500000000000007</v>
      </c>
      <c r="O329" s="98" t="s">
        <v>48</v>
      </c>
      <c r="P329" s="98">
        <v>4</v>
      </c>
      <c r="Q329" s="98">
        <v>10</v>
      </c>
      <c r="R329" s="98" t="s">
        <v>64</v>
      </c>
      <c r="S329" s="98" t="s">
        <v>50</v>
      </c>
      <c r="T329" s="98" t="s">
        <v>50</v>
      </c>
      <c r="U329" s="98" t="s">
        <v>50</v>
      </c>
      <c r="V329" s="98" t="s">
        <v>50</v>
      </c>
      <c r="W329" s="98" t="s">
        <v>50</v>
      </c>
      <c r="X329" s="98" t="s">
        <v>50</v>
      </c>
      <c r="Y329" s="622"/>
    </row>
    <row r="330" spans="1:25" s="98" customFormat="1" x14ac:dyDescent="0.25">
      <c r="A330" s="194">
        <v>43859</v>
      </c>
      <c r="B330" s="671" t="s">
        <v>915</v>
      </c>
      <c r="C330" s="98" t="s">
        <v>44</v>
      </c>
      <c r="D330" s="98">
        <v>37.856960000000001</v>
      </c>
      <c r="E330" s="98">
        <v>-121.56408</v>
      </c>
      <c r="F330" s="98" t="s">
        <v>2871</v>
      </c>
      <c r="G330" s="98" t="s">
        <v>46</v>
      </c>
      <c r="H330" s="98" t="s">
        <v>202</v>
      </c>
      <c r="I330" s="621">
        <v>0.40763888888888888</v>
      </c>
      <c r="J330" s="100">
        <v>394.92499999999995</v>
      </c>
      <c r="K330" s="100">
        <v>10.875</v>
      </c>
      <c r="L330" s="100">
        <v>4.9175000000000004</v>
      </c>
      <c r="M330" s="100" t="s">
        <v>1233</v>
      </c>
      <c r="N330" s="100">
        <v>6.1749999999999989</v>
      </c>
      <c r="O330" s="98" t="s">
        <v>48</v>
      </c>
      <c r="P330" s="98">
        <v>4</v>
      </c>
      <c r="Q330" s="98">
        <v>10</v>
      </c>
      <c r="R330" s="98" t="s">
        <v>64</v>
      </c>
      <c r="S330" s="98" t="s">
        <v>50</v>
      </c>
      <c r="T330" s="98" t="s">
        <v>50</v>
      </c>
      <c r="U330" s="98" t="s">
        <v>50</v>
      </c>
      <c r="V330" s="98" t="s">
        <v>50</v>
      </c>
      <c r="W330" s="98" t="s">
        <v>50</v>
      </c>
      <c r="X330" s="98" t="s">
        <v>50</v>
      </c>
      <c r="Y330" s="622"/>
    </row>
    <row r="331" spans="1:25" s="98" customFormat="1" x14ac:dyDescent="0.25">
      <c r="A331" s="194">
        <v>43859</v>
      </c>
      <c r="B331" s="671" t="s">
        <v>915</v>
      </c>
      <c r="C331" s="98" t="s">
        <v>78</v>
      </c>
      <c r="D331" s="98">
        <v>38.093429999999998</v>
      </c>
      <c r="E331" s="98">
        <v>-122.01573</v>
      </c>
      <c r="F331" s="98" t="s">
        <v>2872</v>
      </c>
      <c r="G331" s="98" t="s">
        <v>27</v>
      </c>
      <c r="H331" s="98" t="s">
        <v>86</v>
      </c>
      <c r="I331" s="621">
        <v>0.34375</v>
      </c>
      <c r="J331" s="100">
        <v>8255.25</v>
      </c>
      <c r="K331" s="100">
        <v>10.649999999999999</v>
      </c>
      <c r="L331" s="100">
        <v>25.875</v>
      </c>
      <c r="M331" s="100">
        <v>0.42749999999999999</v>
      </c>
      <c r="N331" s="100">
        <v>9.6</v>
      </c>
      <c r="O331" s="97" t="s">
        <v>48</v>
      </c>
      <c r="P331" s="97">
        <v>4</v>
      </c>
      <c r="Q331" s="97">
        <v>10</v>
      </c>
      <c r="R331" s="97" t="s">
        <v>64</v>
      </c>
      <c r="S331" s="98" t="s">
        <v>50</v>
      </c>
      <c r="T331" s="98" t="s">
        <v>50</v>
      </c>
      <c r="U331" s="98" t="s">
        <v>50</v>
      </c>
      <c r="V331" s="98" t="s">
        <v>50</v>
      </c>
      <c r="W331" s="98" t="s">
        <v>50</v>
      </c>
      <c r="X331" s="98" t="s">
        <v>50</v>
      </c>
      <c r="Y331" s="622" t="s">
        <v>2873</v>
      </c>
    </row>
    <row r="332" spans="1:25" s="646" customFormat="1" x14ac:dyDescent="0.25">
      <c r="A332" s="645">
        <v>43859</v>
      </c>
      <c r="B332" s="672" t="s">
        <v>915</v>
      </c>
      <c r="C332" s="646" t="s">
        <v>62</v>
      </c>
      <c r="D332" s="646">
        <v>38.104669999999999</v>
      </c>
      <c r="E332" s="646">
        <v>-122.04804</v>
      </c>
      <c r="F332" s="646" t="s">
        <v>2874</v>
      </c>
      <c r="G332" s="646" t="s">
        <v>27</v>
      </c>
      <c r="H332" s="646" t="s">
        <v>173</v>
      </c>
      <c r="I332" s="647">
        <v>0.40486111111111112</v>
      </c>
      <c r="J332" s="648">
        <v>8107</v>
      </c>
      <c r="K332" s="648">
        <v>10.799999999999999</v>
      </c>
      <c r="L332" s="648">
        <v>31.85</v>
      </c>
      <c r="M332" s="648">
        <v>0.36749999999999999</v>
      </c>
      <c r="N332" s="648">
        <v>2.9750000000000001</v>
      </c>
      <c r="O332" s="646" t="s">
        <v>48</v>
      </c>
      <c r="P332" s="646">
        <v>4</v>
      </c>
      <c r="Q332" s="646">
        <v>10</v>
      </c>
      <c r="R332" s="646" t="s">
        <v>49</v>
      </c>
      <c r="S332" s="667" t="s">
        <v>31</v>
      </c>
      <c r="T332" s="646">
        <v>1</v>
      </c>
      <c r="U332" s="646">
        <v>66</v>
      </c>
      <c r="V332" s="646" t="s">
        <v>66</v>
      </c>
      <c r="W332" s="646" t="s">
        <v>50</v>
      </c>
      <c r="X332" s="646" t="s">
        <v>50</v>
      </c>
      <c r="Y332" s="668"/>
    </row>
    <row r="333" spans="1:25" s="98" customFormat="1" x14ac:dyDescent="0.25">
      <c r="A333" s="194">
        <v>43859</v>
      </c>
      <c r="B333" s="671" t="s">
        <v>915</v>
      </c>
      <c r="C333" s="98" t="s">
        <v>78</v>
      </c>
      <c r="D333" s="98">
        <v>38.09552</v>
      </c>
      <c r="E333" s="98">
        <v>-122.05833</v>
      </c>
      <c r="F333" s="98" t="s">
        <v>2875</v>
      </c>
      <c r="G333" s="98" t="s">
        <v>27</v>
      </c>
      <c r="H333" s="98" t="s">
        <v>86</v>
      </c>
      <c r="I333" s="621">
        <v>0.45277777777777778</v>
      </c>
      <c r="J333" s="100">
        <v>8387.75</v>
      </c>
      <c r="K333" s="100">
        <v>10.824999999999999</v>
      </c>
      <c r="L333" s="100">
        <v>28.3</v>
      </c>
      <c r="M333" s="100">
        <v>0.34250000000000003</v>
      </c>
      <c r="N333" s="100">
        <v>6.4249999999999998</v>
      </c>
      <c r="O333" s="98" t="s">
        <v>48</v>
      </c>
      <c r="P333" s="98">
        <v>4</v>
      </c>
      <c r="Q333" s="98">
        <v>10</v>
      </c>
      <c r="R333" s="98" t="s">
        <v>49</v>
      </c>
      <c r="S333" s="98" t="s">
        <v>50</v>
      </c>
      <c r="T333" s="98" t="s">
        <v>50</v>
      </c>
      <c r="U333" s="98" t="s">
        <v>50</v>
      </c>
      <c r="V333" s="98" t="s">
        <v>50</v>
      </c>
      <c r="W333" s="98" t="s">
        <v>50</v>
      </c>
      <c r="X333" s="98" t="s">
        <v>50</v>
      </c>
      <c r="Y333" s="622"/>
    </row>
    <row r="334" spans="1:25" s="98" customFormat="1" x14ac:dyDescent="0.25">
      <c r="A334" s="194">
        <v>43860</v>
      </c>
      <c r="B334" s="98" t="s">
        <v>876</v>
      </c>
      <c r="C334" s="98" t="s">
        <v>106</v>
      </c>
      <c r="D334" s="98">
        <v>38.550600000000003</v>
      </c>
      <c r="E334" s="98">
        <v>-121.58087</v>
      </c>
      <c r="F334" s="98" t="s">
        <v>2876</v>
      </c>
      <c r="G334" s="98" t="s">
        <v>90</v>
      </c>
      <c r="H334" s="98" t="s">
        <v>1787</v>
      </c>
      <c r="I334" s="621">
        <v>0.34513888888888888</v>
      </c>
      <c r="J334" s="100">
        <v>1170</v>
      </c>
      <c r="K334" s="100">
        <v>10.625</v>
      </c>
      <c r="L334" s="100">
        <v>6.6175000000000006</v>
      </c>
      <c r="M334" s="100">
        <v>1.3774999999999999</v>
      </c>
      <c r="N334" s="100">
        <v>10.225</v>
      </c>
      <c r="O334" s="98" t="s">
        <v>48</v>
      </c>
      <c r="P334" s="98">
        <v>4</v>
      </c>
      <c r="Q334" s="98">
        <v>10</v>
      </c>
      <c r="R334" s="98" t="s">
        <v>49</v>
      </c>
      <c r="S334" s="98" t="s">
        <v>50</v>
      </c>
      <c r="T334" s="98" t="s">
        <v>50</v>
      </c>
      <c r="U334" s="98" t="s">
        <v>50</v>
      </c>
      <c r="V334" s="98" t="s">
        <v>50</v>
      </c>
      <c r="W334" s="98" t="s">
        <v>50</v>
      </c>
      <c r="X334" s="98" t="s">
        <v>50</v>
      </c>
      <c r="Y334" s="622" t="s">
        <v>2877</v>
      </c>
    </row>
    <row r="335" spans="1:25" s="98" customFormat="1" x14ac:dyDescent="0.25">
      <c r="A335" s="194">
        <v>43860</v>
      </c>
      <c r="B335" s="98" t="s">
        <v>876</v>
      </c>
      <c r="C335" s="98" t="s">
        <v>106</v>
      </c>
      <c r="D335" s="98">
        <v>38.528089999999999</v>
      </c>
      <c r="E335" s="98">
        <v>-121.584</v>
      </c>
      <c r="F335" s="98" t="s">
        <v>2878</v>
      </c>
      <c r="G335" s="98" t="s">
        <v>90</v>
      </c>
      <c r="H335" s="98" t="s">
        <v>1787</v>
      </c>
      <c r="I335" s="621">
        <v>0.39374999999999999</v>
      </c>
      <c r="J335" s="100">
        <v>1104</v>
      </c>
      <c r="K335" s="100">
        <v>10.625</v>
      </c>
      <c r="L335" s="100">
        <v>15.225</v>
      </c>
      <c r="M335" s="100">
        <v>0.59</v>
      </c>
      <c r="N335" s="100">
        <v>6.9249999999999998</v>
      </c>
      <c r="O335" s="98" t="s">
        <v>48</v>
      </c>
      <c r="P335" s="98">
        <v>4</v>
      </c>
      <c r="Q335" s="98">
        <v>10</v>
      </c>
      <c r="R335" s="98" t="s">
        <v>49</v>
      </c>
      <c r="S335" s="98" t="s">
        <v>50</v>
      </c>
      <c r="T335" s="98" t="s">
        <v>50</v>
      </c>
      <c r="U335" s="98" t="s">
        <v>50</v>
      </c>
      <c r="V335" s="98" t="s">
        <v>50</v>
      </c>
      <c r="W335" s="98" t="s">
        <v>50</v>
      </c>
      <c r="X335" s="98" t="s">
        <v>50</v>
      </c>
    </row>
    <row r="336" spans="1:25" s="98" customFormat="1" x14ac:dyDescent="0.25">
      <c r="A336" s="194">
        <v>43860</v>
      </c>
      <c r="B336" s="98" t="s">
        <v>876</v>
      </c>
      <c r="C336" s="98" t="s">
        <v>106</v>
      </c>
      <c r="D336" s="98">
        <v>38.328429999999997</v>
      </c>
      <c r="E336" s="98">
        <v>-121.64812000000001</v>
      </c>
      <c r="F336" s="98" t="s">
        <v>2879</v>
      </c>
      <c r="G336" s="98" t="s">
        <v>90</v>
      </c>
      <c r="H336" s="98" t="s">
        <v>362</v>
      </c>
      <c r="I336" s="621">
        <v>0.46527777777777773</v>
      </c>
      <c r="J336" s="100">
        <v>368.35</v>
      </c>
      <c r="K336" s="100">
        <v>10.55</v>
      </c>
      <c r="L336" s="100">
        <v>33</v>
      </c>
      <c r="M336" s="100">
        <v>0.34750000000000003</v>
      </c>
      <c r="N336" s="100">
        <v>5.9249999999999998</v>
      </c>
      <c r="O336" s="98" t="s">
        <v>48</v>
      </c>
      <c r="P336" s="98">
        <v>4</v>
      </c>
      <c r="Q336" s="98">
        <v>10</v>
      </c>
      <c r="R336" s="98" t="s">
        <v>49</v>
      </c>
      <c r="S336" s="98" t="s">
        <v>50</v>
      </c>
      <c r="T336" s="98" t="s">
        <v>50</v>
      </c>
      <c r="U336" s="98" t="s">
        <v>50</v>
      </c>
      <c r="V336" s="98" t="s">
        <v>50</v>
      </c>
      <c r="W336" s="98" t="s">
        <v>50</v>
      </c>
      <c r="X336" s="98" t="s">
        <v>50</v>
      </c>
      <c r="Y336" s="622" t="s">
        <v>2880</v>
      </c>
    </row>
    <row r="337" spans="1:25" s="98" customFormat="1" x14ac:dyDescent="0.25">
      <c r="A337" s="194">
        <v>43860</v>
      </c>
      <c r="B337" s="98" t="s">
        <v>876</v>
      </c>
      <c r="C337" s="98" t="s">
        <v>44</v>
      </c>
      <c r="D337" s="98">
        <v>37.931829999999998</v>
      </c>
      <c r="E337" s="98">
        <v>-121.52848</v>
      </c>
      <c r="F337" s="98" t="s">
        <v>2881</v>
      </c>
      <c r="G337" s="98" t="s">
        <v>46</v>
      </c>
      <c r="H337" s="98" t="s">
        <v>56</v>
      </c>
      <c r="I337" s="621">
        <v>0.35694444444444445</v>
      </c>
      <c r="J337" s="100">
        <v>392.79999999999995</v>
      </c>
      <c r="K337" s="100">
        <v>10.9</v>
      </c>
      <c r="L337" s="100">
        <v>3.5950000000000002</v>
      </c>
      <c r="M337" s="100" t="s">
        <v>2882</v>
      </c>
      <c r="N337" s="100">
        <v>5.55</v>
      </c>
      <c r="O337" s="98" t="s">
        <v>48</v>
      </c>
      <c r="P337" s="98">
        <v>4</v>
      </c>
      <c r="Q337" s="98">
        <v>10</v>
      </c>
      <c r="R337" s="98" t="s">
        <v>64</v>
      </c>
      <c r="S337" s="98" t="s">
        <v>50</v>
      </c>
      <c r="T337" s="98" t="s">
        <v>50</v>
      </c>
      <c r="U337" s="98" t="s">
        <v>50</v>
      </c>
      <c r="V337" s="98" t="s">
        <v>50</v>
      </c>
      <c r="W337" s="98" t="s">
        <v>50</v>
      </c>
      <c r="X337" s="98" t="s">
        <v>50</v>
      </c>
      <c r="Y337" s="622"/>
    </row>
    <row r="338" spans="1:25" s="98" customFormat="1" x14ac:dyDescent="0.25">
      <c r="A338" s="194">
        <v>43860</v>
      </c>
      <c r="B338" s="98" t="s">
        <v>876</v>
      </c>
      <c r="C338" s="98" t="s">
        <v>44</v>
      </c>
      <c r="D338" s="98">
        <v>38.022570000000002</v>
      </c>
      <c r="E338" s="98">
        <v>-121.52207</v>
      </c>
      <c r="F338" s="98" t="s">
        <v>2883</v>
      </c>
      <c r="G338" s="98" t="s">
        <v>46</v>
      </c>
      <c r="H338" s="98" t="s">
        <v>59</v>
      </c>
      <c r="I338" s="621">
        <v>0.43055555555555558</v>
      </c>
      <c r="J338" s="100">
        <v>285.2</v>
      </c>
      <c r="K338" s="100">
        <v>10.85</v>
      </c>
      <c r="L338" s="100">
        <v>3.8699999999999997</v>
      </c>
      <c r="M338" s="100" t="s">
        <v>2882</v>
      </c>
      <c r="N338" s="100">
        <v>8.1750000000000007</v>
      </c>
      <c r="O338" s="98" t="s">
        <v>48</v>
      </c>
      <c r="P338" s="98">
        <v>4</v>
      </c>
      <c r="Q338" s="98">
        <v>10</v>
      </c>
      <c r="R338" s="98" t="s">
        <v>64</v>
      </c>
      <c r="S338" s="98" t="s">
        <v>50</v>
      </c>
      <c r="T338" s="98" t="s">
        <v>50</v>
      </c>
      <c r="U338" s="98" t="s">
        <v>50</v>
      </c>
      <c r="V338" s="98" t="s">
        <v>50</v>
      </c>
      <c r="W338" s="98" t="s">
        <v>50</v>
      </c>
      <c r="X338" s="98" t="s">
        <v>50</v>
      </c>
      <c r="Y338" s="622" t="s">
        <v>2884</v>
      </c>
    </row>
    <row r="339" spans="1:25" s="98" customFormat="1" x14ac:dyDescent="0.25">
      <c r="A339" s="194">
        <v>43860</v>
      </c>
      <c r="B339" s="98" t="s">
        <v>876</v>
      </c>
      <c r="C339" s="98" t="s">
        <v>44</v>
      </c>
      <c r="D339" s="98">
        <v>37.971809999999998</v>
      </c>
      <c r="E339" s="98">
        <v>-121.52319</v>
      </c>
      <c r="F339" s="98" t="s">
        <v>2885</v>
      </c>
      <c r="G339" s="98" t="s">
        <v>46</v>
      </c>
      <c r="H339" s="98" t="s">
        <v>59</v>
      </c>
      <c r="I339" s="621">
        <v>0.38958333333333334</v>
      </c>
      <c r="J339" s="100">
        <v>438.17500000000001</v>
      </c>
      <c r="K339" s="100">
        <v>10.925000000000001</v>
      </c>
      <c r="L339" s="100">
        <v>3.5025000000000004</v>
      </c>
      <c r="M339" s="100" t="s">
        <v>2882</v>
      </c>
      <c r="N339" s="100">
        <v>7.2750000000000004</v>
      </c>
      <c r="O339" s="98" t="s">
        <v>48</v>
      </c>
      <c r="P339" s="98">
        <v>4</v>
      </c>
      <c r="Q339" s="98">
        <v>10</v>
      </c>
      <c r="R339" s="98" t="s">
        <v>64</v>
      </c>
      <c r="S339" s="98" t="s">
        <v>50</v>
      </c>
      <c r="T339" s="98" t="s">
        <v>50</v>
      </c>
      <c r="U339" s="98" t="s">
        <v>50</v>
      </c>
      <c r="V339" s="98" t="s">
        <v>50</v>
      </c>
      <c r="W339" s="98" t="s">
        <v>50</v>
      </c>
      <c r="X339" s="98" t="s">
        <v>50</v>
      </c>
      <c r="Y339" s="622"/>
    </row>
    <row r="340" spans="1:25" s="98" customFormat="1" x14ac:dyDescent="0.25">
      <c r="A340" s="194">
        <v>43860</v>
      </c>
      <c r="B340" s="98" t="s">
        <v>876</v>
      </c>
      <c r="C340" s="98" t="s">
        <v>62</v>
      </c>
      <c r="D340" s="98">
        <v>38.185270000000003</v>
      </c>
      <c r="E340" s="98">
        <v>-121.92910999999999</v>
      </c>
      <c r="F340" s="98" t="s">
        <v>2886</v>
      </c>
      <c r="G340" s="98" t="s">
        <v>27</v>
      </c>
      <c r="H340" s="98" t="s">
        <v>62</v>
      </c>
      <c r="I340" s="621">
        <v>0.36874999999999997</v>
      </c>
      <c r="J340" s="100">
        <v>2889.75</v>
      </c>
      <c r="K340" s="100">
        <v>11.5</v>
      </c>
      <c r="L340" s="100">
        <v>25.824999999999999</v>
      </c>
      <c r="M340" s="100">
        <v>0.40500000000000003</v>
      </c>
      <c r="N340" s="100">
        <v>2.625</v>
      </c>
      <c r="O340" s="98" t="s">
        <v>48</v>
      </c>
      <c r="P340" s="98">
        <v>4</v>
      </c>
      <c r="Q340" s="98">
        <v>10</v>
      </c>
      <c r="R340" s="98" t="s">
        <v>49</v>
      </c>
      <c r="S340" s="98" t="s">
        <v>50</v>
      </c>
      <c r="T340" s="98" t="s">
        <v>50</v>
      </c>
      <c r="U340" s="98" t="s">
        <v>50</v>
      </c>
      <c r="V340" s="98" t="s">
        <v>50</v>
      </c>
      <c r="W340" s="98" t="s">
        <v>50</v>
      </c>
      <c r="X340" s="98" t="s">
        <v>50</v>
      </c>
      <c r="Y340" s="622" t="s">
        <v>2887</v>
      </c>
    </row>
    <row r="341" spans="1:25" s="98" customFormat="1" x14ac:dyDescent="0.25">
      <c r="A341" s="194">
        <v>43860</v>
      </c>
      <c r="B341" s="98" t="s">
        <v>876</v>
      </c>
      <c r="C341" s="98" t="s">
        <v>62</v>
      </c>
      <c r="D341" s="98">
        <v>38.150440000000003</v>
      </c>
      <c r="E341" s="98">
        <v>-122.05575</v>
      </c>
      <c r="F341" s="98" t="s">
        <v>2888</v>
      </c>
      <c r="G341" s="98" t="s">
        <v>27</v>
      </c>
      <c r="H341" s="98" t="s">
        <v>62</v>
      </c>
      <c r="I341" s="621">
        <v>0.43958333333333338</v>
      </c>
      <c r="J341" s="100">
        <v>4280.75</v>
      </c>
      <c r="K341" s="100">
        <v>11.4</v>
      </c>
      <c r="L341" s="100">
        <v>55.849999999999994</v>
      </c>
      <c r="M341" s="100">
        <v>0.28749999999999998</v>
      </c>
      <c r="N341" s="100">
        <v>7.125</v>
      </c>
      <c r="O341" s="98" t="s">
        <v>48</v>
      </c>
      <c r="P341" s="98">
        <v>4</v>
      </c>
      <c r="Q341" s="98">
        <v>10</v>
      </c>
      <c r="R341" s="98" t="s">
        <v>49</v>
      </c>
      <c r="S341" s="98" t="s">
        <v>50</v>
      </c>
      <c r="T341" s="98" t="s">
        <v>50</v>
      </c>
      <c r="U341" s="98" t="s">
        <v>50</v>
      </c>
      <c r="V341" s="98" t="s">
        <v>50</v>
      </c>
      <c r="W341" s="98" t="s">
        <v>50</v>
      </c>
      <c r="X341" s="98" t="s">
        <v>50</v>
      </c>
      <c r="Y341" s="622" t="s">
        <v>2889</v>
      </c>
    </row>
    <row r="342" spans="1:25" s="362" customFormat="1" x14ac:dyDescent="0.25">
      <c r="A342" s="360">
        <v>43860</v>
      </c>
      <c r="B342" s="362" t="s">
        <v>876</v>
      </c>
      <c r="C342" s="362" t="s">
        <v>62</v>
      </c>
      <c r="D342" s="362">
        <v>38.101219999999998</v>
      </c>
      <c r="E342" s="362">
        <v>-122.06043</v>
      </c>
      <c r="F342" s="362" t="s">
        <v>2890</v>
      </c>
      <c r="G342" s="362" t="s">
        <v>27</v>
      </c>
      <c r="H342" s="362" t="s">
        <v>173</v>
      </c>
      <c r="I342" s="618">
        <v>0.49444444444444446</v>
      </c>
      <c r="J342" s="364">
        <v>7192.25</v>
      </c>
      <c r="K342" s="364">
        <v>11.375</v>
      </c>
      <c r="L342" s="364">
        <v>51.325000000000003</v>
      </c>
      <c r="M342" s="364">
        <v>0.255</v>
      </c>
      <c r="N342" s="364">
        <v>4.2750000000000004</v>
      </c>
      <c r="O342" s="362" t="s">
        <v>48</v>
      </c>
      <c r="P342" s="362">
        <v>4</v>
      </c>
      <c r="Q342" s="362">
        <v>10</v>
      </c>
      <c r="R342" s="362" t="s">
        <v>49</v>
      </c>
      <c r="S342" s="362" t="s">
        <v>50</v>
      </c>
      <c r="T342" s="362" t="s">
        <v>50</v>
      </c>
      <c r="U342" s="362" t="s">
        <v>50</v>
      </c>
      <c r="V342" s="362" t="s">
        <v>50</v>
      </c>
      <c r="W342" s="362" t="s">
        <v>50</v>
      </c>
      <c r="X342" s="362" t="s">
        <v>50</v>
      </c>
      <c r="Y342" s="603"/>
    </row>
    <row r="343" spans="1:25" s="98" customFormat="1" x14ac:dyDescent="0.25">
      <c r="A343" s="194">
        <v>43864</v>
      </c>
      <c r="B343" s="98" t="s">
        <v>43</v>
      </c>
      <c r="C343" s="98" t="s">
        <v>62</v>
      </c>
      <c r="D343" s="98">
        <v>38.105150000000002</v>
      </c>
      <c r="E343" s="98">
        <v>-121.88905</v>
      </c>
      <c r="F343" s="98" t="s">
        <v>2891</v>
      </c>
      <c r="G343" s="98" t="s">
        <v>27</v>
      </c>
      <c r="H343" s="98" t="s">
        <v>62</v>
      </c>
      <c r="I343" s="621">
        <v>0.38541666666666669</v>
      </c>
      <c r="J343" s="100">
        <v>438.9</v>
      </c>
      <c r="K343" s="100">
        <v>11</v>
      </c>
      <c r="L343" s="100">
        <v>16.125</v>
      </c>
      <c r="M343" s="100">
        <v>0.65500000000000003</v>
      </c>
      <c r="N343" s="100">
        <v>6.9749999999999996</v>
      </c>
      <c r="O343" s="98" t="s">
        <v>48</v>
      </c>
      <c r="P343" s="98">
        <v>4</v>
      </c>
      <c r="Q343" s="98">
        <v>10</v>
      </c>
      <c r="R343" s="98" t="s">
        <v>64</v>
      </c>
      <c r="S343" s="98" t="s">
        <v>50</v>
      </c>
      <c r="T343" s="98" t="s">
        <v>50</v>
      </c>
      <c r="U343" s="98" t="s">
        <v>50</v>
      </c>
      <c r="V343" s="98" t="s">
        <v>50</v>
      </c>
      <c r="W343" s="98" t="s">
        <v>50</v>
      </c>
      <c r="X343" s="98" t="s">
        <v>50</v>
      </c>
      <c r="Y343" s="622" t="s">
        <v>2645</v>
      </c>
    </row>
    <row r="344" spans="1:25" s="98" customFormat="1" x14ac:dyDescent="0.25">
      <c r="A344" s="194">
        <v>43864</v>
      </c>
      <c r="B344" s="98" t="s">
        <v>43</v>
      </c>
      <c r="C344" s="98" t="s">
        <v>62</v>
      </c>
      <c r="D344" s="98">
        <v>38.176830000000002</v>
      </c>
      <c r="E344" s="98">
        <v>-121.91965</v>
      </c>
      <c r="F344" s="98" t="s">
        <v>2892</v>
      </c>
      <c r="G344" s="98" t="s">
        <v>27</v>
      </c>
      <c r="H344" s="98" t="s">
        <v>62</v>
      </c>
      <c r="I344" s="621">
        <v>0.44236111111111115</v>
      </c>
      <c r="J344" s="100">
        <v>842.5</v>
      </c>
      <c r="K344" s="100">
        <v>10.95</v>
      </c>
      <c r="L344" s="100">
        <v>22.75</v>
      </c>
      <c r="M344" s="100">
        <v>0.47</v>
      </c>
      <c r="N344" s="100">
        <v>5.2</v>
      </c>
      <c r="O344" s="98" t="s">
        <v>48</v>
      </c>
      <c r="P344" s="98">
        <v>2</v>
      </c>
      <c r="Q344" s="98">
        <v>10</v>
      </c>
      <c r="R344" s="98" t="s">
        <v>49</v>
      </c>
      <c r="S344" s="98" t="s">
        <v>50</v>
      </c>
      <c r="T344" s="98" t="s">
        <v>50</v>
      </c>
      <c r="U344" s="98" t="s">
        <v>50</v>
      </c>
      <c r="V344" s="98" t="s">
        <v>50</v>
      </c>
      <c r="W344" s="98" t="s">
        <v>50</v>
      </c>
      <c r="X344" s="98" t="s">
        <v>50</v>
      </c>
      <c r="Y344" s="622" t="s">
        <v>2893</v>
      </c>
    </row>
    <row r="345" spans="1:25" s="646" customFormat="1" x14ac:dyDescent="0.25">
      <c r="A345" s="645">
        <v>43864</v>
      </c>
      <c r="B345" s="646" t="s">
        <v>43</v>
      </c>
      <c r="C345" s="646" t="s">
        <v>62</v>
      </c>
      <c r="D345" s="646">
        <v>38.139690000000002</v>
      </c>
      <c r="E345" s="646">
        <v>-122.07876</v>
      </c>
      <c r="F345" s="646" t="s">
        <v>2894</v>
      </c>
      <c r="G345" s="646" t="s">
        <v>27</v>
      </c>
      <c r="H345" s="646" t="s">
        <v>62</v>
      </c>
      <c r="I345" s="647">
        <v>0.48958333333333331</v>
      </c>
      <c r="J345" s="648">
        <v>7044.5</v>
      </c>
      <c r="K345" s="648">
        <v>11.2</v>
      </c>
      <c r="L345" s="648">
        <v>77.375</v>
      </c>
      <c r="M345" s="648">
        <v>0.35749999999999998</v>
      </c>
      <c r="N345" s="648">
        <v>2.9750000000000001</v>
      </c>
      <c r="O345" s="646" t="s">
        <v>48</v>
      </c>
      <c r="P345" s="646">
        <v>4</v>
      </c>
      <c r="Q345" s="646">
        <v>10</v>
      </c>
      <c r="R345" s="646" t="s">
        <v>49</v>
      </c>
      <c r="S345" s="667" t="s">
        <v>31</v>
      </c>
      <c r="T345" s="646">
        <v>5</v>
      </c>
      <c r="U345" s="646" t="s">
        <v>2895</v>
      </c>
      <c r="V345" s="646" t="s">
        <v>66</v>
      </c>
      <c r="W345" s="646" t="s">
        <v>50</v>
      </c>
      <c r="X345" s="646" t="s">
        <v>50</v>
      </c>
      <c r="Y345" s="668" t="s">
        <v>2896</v>
      </c>
    </row>
    <row r="346" spans="1:25" s="98" customFormat="1" x14ac:dyDescent="0.25">
      <c r="A346" s="194">
        <v>43864</v>
      </c>
      <c r="B346" s="98" t="s">
        <v>43</v>
      </c>
      <c r="C346" s="98" t="s">
        <v>106</v>
      </c>
      <c r="D346" s="98">
        <v>38.560600000000001</v>
      </c>
      <c r="E346" s="98">
        <v>-121.56066</v>
      </c>
      <c r="F346" s="98" t="s">
        <v>2897</v>
      </c>
      <c r="G346" s="98" t="s">
        <v>90</v>
      </c>
      <c r="H346" s="98" t="s">
        <v>1787</v>
      </c>
      <c r="I346" s="621">
        <v>0.36944444444444446</v>
      </c>
      <c r="J346" s="100">
        <v>849.375</v>
      </c>
      <c r="K346" s="100">
        <v>10.95</v>
      </c>
      <c r="L346" s="100">
        <v>6.9550000000000001</v>
      </c>
      <c r="M346" s="100">
        <v>1.7749999999999999</v>
      </c>
      <c r="N346" s="100">
        <v>9.9250000000000007</v>
      </c>
      <c r="O346" s="98" t="s">
        <v>48</v>
      </c>
      <c r="P346" s="98">
        <v>4</v>
      </c>
      <c r="Q346" s="98">
        <v>10</v>
      </c>
      <c r="R346" s="98" t="s">
        <v>64</v>
      </c>
      <c r="S346" s="98" t="s">
        <v>50</v>
      </c>
      <c r="T346" s="98" t="s">
        <v>50</v>
      </c>
      <c r="U346" s="98" t="s">
        <v>50</v>
      </c>
      <c r="V346" s="98" t="s">
        <v>50</v>
      </c>
      <c r="W346" s="98" t="s">
        <v>50</v>
      </c>
      <c r="X346" s="98" t="s">
        <v>50</v>
      </c>
      <c r="Y346" s="622" t="s">
        <v>2898</v>
      </c>
    </row>
    <row r="347" spans="1:25" s="98" customFormat="1" x14ac:dyDescent="0.25">
      <c r="A347" s="194">
        <v>43864</v>
      </c>
      <c r="B347" s="98" t="s">
        <v>43</v>
      </c>
      <c r="C347" s="98" t="s">
        <v>106</v>
      </c>
      <c r="D347" s="98">
        <v>38.474080000000001</v>
      </c>
      <c r="E347" s="98">
        <v>-121.58407</v>
      </c>
      <c r="F347" s="98" t="s">
        <v>2899</v>
      </c>
      <c r="G347" s="98" t="s">
        <v>90</v>
      </c>
      <c r="H347" s="98" t="s">
        <v>362</v>
      </c>
      <c r="I347" s="621">
        <v>0.4284722222222222</v>
      </c>
      <c r="J347" s="100">
        <v>697</v>
      </c>
      <c r="K347" s="100">
        <v>10.4</v>
      </c>
      <c r="L347" s="100">
        <v>37.674999999999997</v>
      </c>
      <c r="M347" s="100">
        <v>0.25</v>
      </c>
      <c r="N347" s="100">
        <v>9</v>
      </c>
      <c r="O347" s="98" t="s">
        <v>48</v>
      </c>
      <c r="P347" s="98">
        <v>4</v>
      </c>
      <c r="Q347" s="98">
        <v>10</v>
      </c>
      <c r="R347" s="98" t="s">
        <v>49</v>
      </c>
      <c r="S347" s="98" t="s">
        <v>50</v>
      </c>
      <c r="T347" s="98" t="s">
        <v>50</v>
      </c>
      <c r="U347" s="98" t="s">
        <v>50</v>
      </c>
      <c r="V347" s="98" t="s">
        <v>50</v>
      </c>
      <c r="W347" s="98" t="s">
        <v>50</v>
      </c>
      <c r="X347" s="98" t="s">
        <v>50</v>
      </c>
      <c r="Y347" s="622" t="s">
        <v>2900</v>
      </c>
    </row>
    <row r="348" spans="1:25" s="98" customFormat="1" x14ac:dyDescent="0.25">
      <c r="A348" s="194">
        <v>43864</v>
      </c>
      <c r="B348" s="98" t="s">
        <v>43</v>
      </c>
      <c r="C348" s="98" t="s">
        <v>106</v>
      </c>
      <c r="D348" s="98">
        <v>38.209400000000002</v>
      </c>
      <c r="E348" s="98">
        <v>-121.66405</v>
      </c>
      <c r="F348" s="98" t="s">
        <v>2901</v>
      </c>
      <c r="G348" s="98" t="s">
        <v>90</v>
      </c>
      <c r="H348" s="98" t="s">
        <v>362</v>
      </c>
      <c r="I348" s="621">
        <v>0.51597222222222217</v>
      </c>
      <c r="J348" s="100">
        <v>178.39999999999998</v>
      </c>
      <c r="K348" s="100">
        <v>11.5</v>
      </c>
      <c r="L348" s="100">
        <v>22.2</v>
      </c>
      <c r="M348" s="100">
        <v>0.74499999999999988</v>
      </c>
      <c r="N348" s="100">
        <v>10.025</v>
      </c>
      <c r="O348" s="98" t="s">
        <v>48</v>
      </c>
      <c r="P348" s="98">
        <v>4</v>
      </c>
      <c r="Q348" s="98">
        <v>10</v>
      </c>
      <c r="R348" s="98" t="s">
        <v>49</v>
      </c>
      <c r="S348" s="98" t="s">
        <v>50</v>
      </c>
      <c r="T348" s="98" t="s">
        <v>50</v>
      </c>
      <c r="U348" s="98" t="s">
        <v>50</v>
      </c>
      <c r="V348" s="98" t="s">
        <v>50</v>
      </c>
      <c r="W348" s="98" t="s">
        <v>50</v>
      </c>
      <c r="X348" s="98" t="s">
        <v>50</v>
      </c>
      <c r="Y348" s="622"/>
    </row>
    <row r="349" spans="1:25" s="98" customFormat="1" x14ac:dyDescent="0.25">
      <c r="A349" s="194">
        <v>43864</v>
      </c>
      <c r="B349" s="98" t="s">
        <v>43</v>
      </c>
      <c r="C349" s="98" t="s">
        <v>95</v>
      </c>
      <c r="D349" s="98">
        <v>38.103259999999999</v>
      </c>
      <c r="E349" s="98">
        <v>-121.62266</v>
      </c>
      <c r="F349" s="98" t="s">
        <v>2902</v>
      </c>
      <c r="G349" s="98" t="s">
        <v>46</v>
      </c>
      <c r="H349" s="98" t="s">
        <v>908</v>
      </c>
      <c r="I349" s="621">
        <v>0.3444444444444445</v>
      </c>
      <c r="J349" s="100">
        <v>256.625</v>
      </c>
      <c r="K349" s="100">
        <v>10.899999999999999</v>
      </c>
      <c r="L349" s="100">
        <v>4.6974999999999998</v>
      </c>
      <c r="M349" s="100">
        <v>1.7874999999999999</v>
      </c>
      <c r="N349" s="100">
        <v>16.924999999999997</v>
      </c>
      <c r="O349" s="98" t="s">
        <v>48</v>
      </c>
      <c r="P349" s="98">
        <v>4</v>
      </c>
      <c r="Q349" s="98">
        <v>10</v>
      </c>
      <c r="R349" s="98" t="s">
        <v>64</v>
      </c>
      <c r="S349" s="98" t="s">
        <v>50</v>
      </c>
      <c r="T349" s="98" t="s">
        <v>50</v>
      </c>
      <c r="U349" s="98" t="s">
        <v>50</v>
      </c>
      <c r="V349" s="98" t="s">
        <v>50</v>
      </c>
      <c r="W349" s="98" t="s">
        <v>50</v>
      </c>
      <c r="X349" s="98" t="s">
        <v>50</v>
      </c>
      <c r="Y349" s="622"/>
    </row>
    <row r="350" spans="1:25" s="98" customFormat="1" x14ac:dyDescent="0.25">
      <c r="A350" s="194">
        <v>43864</v>
      </c>
      <c r="B350" s="98" t="s">
        <v>43</v>
      </c>
      <c r="C350" s="98" t="s">
        <v>95</v>
      </c>
      <c r="D350" s="98">
        <v>38.089860000000002</v>
      </c>
      <c r="E350" s="98">
        <v>-121.64937999999999</v>
      </c>
      <c r="F350" s="98" t="s">
        <v>2903</v>
      </c>
      <c r="G350" s="98" t="s">
        <v>46</v>
      </c>
      <c r="H350" s="98" t="s">
        <v>908</v>
      </c>
      <c r="I350" s="621">
        <v>0.38541666666666669</v>
      </c>
      <c r="J350" s="100">
        <v>309.125</v>
      </c>
      <c r="K350" s="100">
        <v>10.725000000000001</v>
      </c>
      <c r="L350" s="100">
        <v>6.9075000000000006</v>
      </c>
      <c r="M350" s="100">
        <v>1.5350000000000001</v>
      </c>
      <c r="N350" s="100">
        <v>3.8250000000000002</v>
      </c>
      <c r="O350" s="98" t="s">
        <v>48</v>
      </c>
      <c r="P350" s="98">
        <v>4</v>
      </c>
      <c r="Q350" s="98">
        <v>10</v>
      </c>
      <c r="R350" s="98" t="s">
        <v>64</v>
      </c>
      <c r="S350" s="98" t="s">
        <v>50</v>
      </c>
      <c r="T350" s="98" t="s">
        <v>50</v>
      </c>
      <c r="U350" s="98" t="s">
        <v>50</v>
      </c>
      <c r="V350" s="98" t="s">
        <v>50</v>
      </c>
      <c r="W350" s="98" t="s">
        <v>50</v>
      </c>
      <c r="X350" s="98" t="s">
        <v>50</v>
      </c>
      <c r="Y350" s="622"/>
    </row>
    <row r="351" spans="1:25" s="98" customFormat="1" x14ac:dyDescent="0.25">
      <c r="A351" s="194">
        <v>43864</v>
      </c>
      <c r="B351" s="98" t="s">
        <v>43</v>
      </c>
      <c r="C351" s="98" t="s">
        <v>95</v>
      </c>
      <c r="D351" s="98">
        <v>38.072319999999998</v>
      </c>
      <c r="E351" s="623">
        <v>-121.56708999999999</v>
      </c>
      <c r="F351" s="98" t="s">
        <v>2904</v>
      </c>
      <c r="G351" s="98" t="s">
        <v>46</v>
      </c>
      <c r="H351" s="98" t="s">
        <v>115</v>
      </c>
      <c r="I351" s="621">
        <v>0.44375000000000003</v>
      </c>
      <c r="J351" s="100">
        <v>242.82499999999999</v>
      </c>
      <c r="K351" s="100">
        <v>11.074999999999999</v>
      </c>
      <c r="L351" s="100">
        <v>6.1350000000000007</v>
      </c>
      <c r="M351" s="100">
        <v>1.3000000000000003</v>
      </c>
      <c r="N351" s="100">
        <v>3.7</v>
      </c>
      <c r="O351" s="98" t="s">
        <v>48</v>
      </c>
      <c r="P351" s="98">
        <v>4</v>
      </c>
      <c r="Q351" s="98">
        <v>10</v>
      </c>
      <c r="R351" s="98" t="s">
        <v>64</v>
      </c>
      <c r="S351" s="98" t="s">
        <v>50</v>
      </c>
      <c r="T351" s="98" t="s">
        <v>50</v>
      </c>
      <c r="U351" s="98" t="s">
        <v>50</v>
      </c>
      <c r="V351" s="98" t="s">
        <v>50</v>
      </c>
      <c r="W351" s="98" t="s">
        <v>50</v>
      </c>
      <c r="X351" s="98" t="s">
        <v>50</v>
      </c>
      <c r="Y351" s="622" t="s">
        <v>2905</v>
      </c>
    </row>
    <row r="352" spans="1:25" s="98" customFormat="1" x14ac:dyDescent="0.25">
      <c r="A352" s="194">
        <v>43865</v>
      </c>
      <c r="B352" s="98" t="s">
        <v>70</v>
      </c>
      <c r="C352" s="98" t="s">
        <v>95</v>
      </c>
      <c r="D352" s="98">
        <v>38.052219999999998</v>
      </c>
      <c r="E352" s="623">
        <v>-121.6904</v>
      </c>
      <c r="F352" s="98" t="s">
        <v>2906</v>
      </c>
      <c r="G352" s="98" t="s">
        <v>46</v>
      </c>
      <c r="H352" s="98" t="s">
        <v>908</v>
      </c>
      <c r="I352" s="621">
        <v>0.31527777777777777</v>
      </c>
      <c r="J352" s="100">
        <v>337.72500000000002</v>
      </c>
      <c r="K352" s="100">
        <v>10.125</v>
      </c>
      <c r="L352" s="100">
        <v>7.1424999999999992</v>
      </c>
      <c r="M352" s="100">
        <v>1.2250000000000001</v>
      </c>
      <c r="N352" s="100">
        <v>15.274999999999999</v>
      </c>
      <c r="O352" s="98" t="s">
        <v>48</v>
      </c>
      <c r="P352" s="98">
        <v>4</v>
      </c>
      <c r="Q352" s="98">
        <v>10</v>
      </c>
      <c r="R352" s="98" t="s">
        <v>64</v>
      </c>
      <c r="S352" s="98" t="s">
        <v>50</v>
      </c>
      <c r="T352" s="98" t="s">
        <v>50</v>
      </c>
      <c r="U352" s="98" t="s">
        <v>50</v>
      </c>
      <c r="V352" s="98" t="s">
        <v>50</v>
      </c>
      <c r="W352" s="98" t="s">
        <v>50</v>
      </c>
      <c r="X352" s="98" t="s">
        <v>50</v>
      </c>
      <c r="Y352" s="622"/>
    </row>
    <row r="353" spans="1:25" s="98" customFormat="1" x14ac:dyDescent="0.25">
      <c r="A353" s="194">
        <v>43865</v>
      </c>
      <c r="B353" s="98" t="s">
        <v>70</v>
      </c>
      <c r="C353" s="98" t="s">
        <v>95</v>
      </c>
      <c r="D353" s="98">
        <v>38.024900000000002</v>
      </c>
      <c r="E353" s="623">
        <v>-121.78505</v>
      </c>
      <c r="F353" s="98" t="s">
        <v>2907</v>
      </c>
      <c r="G353" s="98" t="s">
        <v>27</v>
      </c>
      <c r="H353" s="98" t="s">
        <v>863</v>
      </c>
      <c r="I353" s="621">
        <v>0.37222222222222223</v>
      </c>
      <c r="J353" s="100">
        <v>496.25</v>
      </c>
      <c r="K353" s="100">
        <v>10.225</v>
      </c>
      <c r="L353" s="100">
        <v>17.05</v>
      </c>
      <c r="M353" s="100">
        <v>0.66999999999999993</v>
      </c>
      <c r="N353" s="100">
        <v>13.25</v>
      </c>
      <c r="O353" s="98" t="s">
        <v>48</v>
      </c>
      <c r="P353" s="98">
        <v>4</v>
      </c>
      <c r="Q353" s="98">
        <v>10</v>
      </c>
      <c r="R353" s="98" t="s">
        <v>64</v>
      </c>
      <c r="S353" s="98" t="s">
        <v>50</v>
      </c>
      <c r="T353" s="98" t="s">
        <v>50</v>
      </c>
      <c r="U353" s="98" t="s">
        <v>50</v>
      </c>
      <c r="V353" s="98" t="s">
        <v>50</v>
      </c>
      <c r="W353" s="98" t="s">
        <v>50</v>
      </c>
      <c r="X353" s="98" t="s">
        <v>50</v>
      </c>
      <c r="Y353" s="622" t="s">
        <v>124</v>
      </c>
    </row>
    <row r="354" spans="1:25" s="98" customFormat="1" x14ac:dyDescent="0.25">
      <c r="A354" s="194">
        <v>43865</v>
      </c>
      <c r="B354" s="98" t="s">
        <v>70</v>
      </c>
      <c r="C354" s="98" t="s">
        <v>95</v>
      </c>
      <c r="D354" s="98">
        <v>38.029000000000003</v>
      </c>
      <c r="E354" s="623">
        <v>-121.75063</v>
      </c>
      <c r="F354" s="98" t="s">
        <v>2908</v>
      </c>
      <c r="G354" s="98" t="s">
        <v>27</v>
      </c>
      <c r="H354" s="98" t="s">
        <v>863</v>
      </c>
      <c r="I354" s="621">
        <v>0.42083333333333334</v>
      </c>
      <c r="J354" s="100">
        <v>341.625</v>
      </c>
      <c r="K354" s="100">
        <v>9.85</v>
      </c>
      <c r="L354" s="100">
        <v>35.5</v>
      </c>
      <c r="M354" s="100">
        <v>0.39</v>
      </c>
      <c r="N354" s="100">
        <v>10.525</v>
      </c>
      <c r="O354" s="98" t="s">
        <v>48</v>
      </c>
      <c r="P354" s="98">
        <v>4</v>
      </c>
      <c r="Q354" s="98">
        <v>10</v>
      </c>
      <c r="R354" s="98" t="s">
        <v>64</v>
      </c>
      <c r="S354" s="98" t="s">
        <v>50</v>
      </c>
      <c r="T354" s="98" t="s">
        <v>50</v>
      </c>
      <c r="U354" s="98" t="s">
        <v>50</v>
      </c>
      <c r="V354" s="98" t="s">
        <v>50</v>
      </c>
      <c r="W354" s="98" t="s">
        <v>50</v>
      </c>
      <c r="X354" s="98" t="s">
        <v>50</v>
      </c>
      <c r="Y354" s="622"/>
    </row>
    <row r="355" spans="1:25" s="98" customFormat="1" x14ac:dyDescent="0.25">
      <c r="A355" s="194">
        <v>43865</v>
      </c>
      <c r="B355" s="98" t="s">
        <v>70</v>
      </c>
      <c r="C355" s="98" t="s">
        <v>95</v>
      </c>
      <c r="D355" s="98">
        <v>38.058039999999998</v>
      </c>
      <c r="E355" s="623">
        <v>-121.68673</v>
      </c>
      <c r="F355" s="98" t="s">
        <v>2909</v>
      </c>
      <c r="G355" s="98" t="s">
        <v>46</v>
      </c>
      <c r="H355" s="98" t="s">
        <v>908</v>
      </c>
      <c r="I355" s="621">
        <v>0.47638888888888892</v>
      </c>
      <c r="J355" s="100">
        <v>410.3</v>
      </c>
      <c r="K355" s="100">
        <v>10.125</v>
      </c>
      <c r="L355" s="100">
        <v>15.85</v>
      </c>
      <c r="M355" s="100">
        <v>0.76249999999999996</v>
      </c>
      <c r="N355" s="100">
        <v>10.45</v>
      </c>
      <c r="O355" s="98" t="s">
        <v>48</v>
      </c>
      <c r="P355" s="98">
        <v>4</v>
      </c>
      <c r="Q355" s="98">
        <v>10</v>
      </c>
      <c r="R355" s="98" t="s">
        <v>64</v>
      </c>
      <c r="S355" s="98" t="s">
        <v>50</v>
      </c>
      <c r="T355" s="98" t="s">
        <v>50</v>
      </c>
      <c r="U355" s="98" t="s">
        <v>50</v>
      </c>
      <c r="V355" s="98" t="s">
        <v>50</v>
      </c>
      <c r="W355" s="98" t="s">
        <v>50</v>
      </c>
      <c r="X355" s="98" t="s">
        <v>50</v>
      </c>
      <c r="Y355" s="622" t="s">
        <v>2910</v>
      </c>
    </row>
    <row r="356" spans="1:25" s="98" customFormat="1" x14ac:dyDescent="0.25">
      <c r="A356" s="194">
        <v>43865</v>
      </c>
      <c r="B356" s="98" t="s">
        <v>70</v>
      </c>
      <c r="C356" s="98" t="s">
        <v>78</v>
      </c>
      <c r="D356" s="98">
        <v>38.09881</v>
      </c>
      <c r="E356" s="623">
        <v>-122.03819</v>
      </c>
      <c r="F356" s="98" t="s">
        <v>2911</v>
      </c>
      <c r="G356" s="98" t="s">
        <v>27</v>
      </c>
      <c r="H356" s="98" t="s">
        <v>86</v>
      </c>
      <c r="I356" s="621">
        <v>0.34791666666666665</v>
      </c>
      <c r="J356" s="100">
        <v>11121.75</v>
      </c>
      <c r="K356" s="100">
        <v>10</v>
      </c>
      <c r="L356" s="100">
        <v>21.55</v>
      </c>
      <c r="M356" s="100">
        <v>0.53249999999999997</v>
      </c>
      <c r="N356" s="100">
        <v>7.05</v>
      </c>
      <c r="O356" s="98" t="s">
        <v>48</v>
      </c>
      <c r="P356" s="98">
        <v>4</v>
      </c>
      <c r="Q356" s="98">
        <v>10</v>
      </c>
      <c r="R356" s="98" t="s">
        <v>64</v>
      </c>
      <c r="S356" s="98" t="s">
        <v>50</v>
      </c>
      <c r="T356" s="98" t="s">
        <v>50</v>
      </c>
      <c r="U356" s="98" t="s">
        <v>50</v>
      </c>
      <c r="V356" s="98" t="s">
        <v>50</v>
      </c>
      <c r="W356" s="98" t="s">
        <v>50</v>
      </c>
      <c r="X356" s="98" t="s">
        <v>50</v>
      </c>
      <c r="Y356" s="622"/>
    </row>
    <row r="357" spans="1:25" s="98" customFormat="1" x14ac:dyDescent="0.25">
      <c r="A357" s="194">
        <v>43865</v>
      </c>
      <c r="B357" s="98" t="s">
        <v>70</v>
      </c>
      <c r="C357" s="98" t="s">
        <v>78</v>
      </c>
      <c r="D357" s="98">
        <v>38.081299999999999</v>
      </c>
      <c r="E357" s="623">
        <v>-121.98405</v>
      </c>
      <c r="F357" s="98" t="s">
        <v>2912</v>
      </c>
      <c r="G357" s="98" t="s">
        <v>27</v>
      </c>
      <c r="H357" s="98" t="s">
        <v>86</v>
      </c>
      <c r="I357" s="621">
        <v>0.3979166666666667</v>
      </c>
      <c r="J357" s="100">
        <v>9691.5</v>
      </c>
      <c r="K357" s="100">
        <v>10.375</v>
      </c>
      <c r="L357" s="100">
        <v>37.400000000000006</v>
      </c>
      <c r="M357" s="100">
        <v>0.39249999999999996</v>
      </c>
      <c r="N357" s="100">
        <v>16.25</v>
      </c>
      <c r="O357" s="98" t="s">
        <v>48</v>
      </c>
      <c r="P357" s="98">
        <v>4</v>
      </c>
      <c r="Q357" s="98">
        <v>10</v>
      </c>
      <c r="R357" s="98" t="s">
        <v>64</v>
      </c>
      <c r="S357" s="98" t="s">
        <v>50</v>
      </c>
      <c r="T357" s="98" t="s">
        <v>50</v>
      </c>
      <c r="U357" s="98" t="s">
        <v>50</v>
      </c>
      <c r="V357" s="98" t="s">
        <v>50</v>
      </c>
      <c r="W357" s="98" t="s">
        <v>50</v>
      </c>
      <c r="X357" s="98" t="s">
        <v>50</v>
      </c>
      <c r="Y357" s="622"/>
    </row>
    <row r="358" spans="1:25" s="98" customFormat="1" x14ac:dyDescent="0.25">
      <c r="A358" s="194">
        <v>43865</v>
      </c>
      <c r="B358" s="98" t="s">
        <v>70</v>
      </c>
      <c r="C358" s="98" t="s">
        <v>78</v>
      </c>
      <c r="D358" s="98">
        <v>38.061369999999997</v>
      </c>
      <c r="E358" s="623">
        <v>-121.9768</v>
      </c>
      <c r="F358" s="98" t="s">
        <v>2913</v>
      </c>
      <c r="G358" s="98" t="s">
        <v>27</v>
      </c>
      <c r="H358" s="98" t="s">
        <v>86</v>
      </c>
      <c r="I358" s="621">
        <v>0.4465277777777778</v>
      </c>
      <c r="J358" s="100">
        <v>7841.75</v>
      </c>
      <c r="K358" s="100">
        <v>10.174999999999999</v>
      </c>
      <c r="L358" s="100">
        <v>27.024999999999999</v>
      </c>
      <c r="M358" s="100">
        <v>0.495</v>
      </c>
      <c r="N358" s="100">
        <v>9.3250000000000011</v>
      </c>
      <c r="O358" s="98" t="s">
        <v>48</v>
      </c>
      <c r="P358" s="98">
        <v>4</v>
      </c>
      <c r="Q358" s="98">
        <v>10</v>
      </c>
      <c r="R358" s="98" t="s">
        <v>64</v>
      </c>
      <c r="S358" s="98" t="s">
        <v>50</v>
      </c>
      <c r="T358" s="98" t="s">
        <v>50</v>
      </c>
      <c r="U358" s="98" t="s">
        <v>50</v>
      </c>
      <c r="V358" s="98" t="s">
        <v>50</v>
      </c>
      <c r="W358" s="98" t="s">
        <v>50</v>
      </c>
      <c r="X358" s="98" t="s">
        <v>50</v>
      </c>
      <c r="Y358" s="622" t="s">
        <v>2914</v>
      </c>
    </row>
    <row r="359" spans="1:25" s="646" customFormat="1" x14ac:dyDescent="0.25">
      <c r="A359" s="645">
        <v>43865</v>
      </c>
      <c r="B359" s="646" t="s">
        <v>70</v>
      </c>
      <c r="C359" s="646" t="s">
        <v>126</v>
      </c>
      <c r="D359" s="646">
        <v>38.236579999999996</v>
      </c>
      <c r="E359" s="673">
        <v>-121.68329</v>
      </c>
      <c r="F359" s="646" t="s">
        <v>2915</v>
      </c>
      <c r="G359" s="646" t="s">
        <v>90</v>
      </c>
      <c r="H359" s="646" t="s">
        <v>845</v>
      </c>
      <c r="I359" s="647">
        <v>0.32916666666666666</v>
      </c>
      <c r="J359" s="648">
        <v>239.87500000000003</v>
      </c>
      <c r="K359" s="648">
        <v>10.7</v>
      </c>
      <c r="L359" s="648">
        <v>21.824999999999999</v>
      </c>
      <c r="M359" s="648">
        <v>0.52</v>
      </c>
      <c r="N359" s="648">
        <v>16.950000000000003</v>
      </c>
      <c r="O359" s="646" t="s">
        <v>48</v>
      </c>
      <c r="P359" s="646">
        <v>4</v>
      </c>
      <c r="Q359" s="646">
        <v>10</v>
      </c>
      <c r="R359" s="646" t="s">
        <v>64</v>
      </c>
      <c r="S359" s="667" t="s">
        <v>449</v>
      </c>
      <c r="T359" s="646">
        <v>2</v>
      </c>
      <c r="U359" s="646" t="s">
        <v>2916</v>
      </c>
      <c r="V359" s="646" t="s">
        <v>50</v>
      </c>
      <c r="W359" s="646">
        <v>5</v>
      </c>
      <c r="X359" s="646" t="s">
        <v>2525</v>
      </c>
      <c r="Y359" s="668" t="s">
        <v>2917</v>
      </c>
    </row>
    <row r="360" spans="1:25" s="646" customFormat="1" x14ac:dyDescent="0.25">
      <c r="A360" s="645">
        <v>43865</v>
      </c>
      <c r="B360" s="646" t="s">
        <v>70</v>
      </c>
      <c r="C360" s="646" t="s">
        <v>126</v>
      </c>
      <c r="D360" s="646">
        <v>38.265700000000002</v>
      </c>
      <c r="E360" s="673">
        <v>-121.67064000000001</v>
      </c>
      <c r="F360" s="646" t="s">
        <v>2918</v>
      </c>
      <c r="G360" s="646" t="s">
        <v>90</v>
      </c>
      <c r="H360" s="646" t="s">
        <v>845</v>
      </c>
      <c r="I360" s="647">
        <v>0.40138888888888885</v>
      </c>
      <c r="J360" s="648">
        <v>302.42499999999995</v>
      </c>
      <c r="K360" s="648">
        <v>10.1</v>
      </c>
      <c r="L360" s="648">
        <v>28.55</v>
      </c>
      <c r="M360" s="648">
        <v>0.4325</v>
      </c>
      <c r="N360" s="648">
        <v>6.9250000000000007</v>
      </c>
      <c r="O360" s="646" t="s">
        <v>48</v>
      </c>
      <c r="P360" s="646">
        <v>4</v>
      </c>
      <c r="Q360" s="646">
        <v>10</v>
      </c>
      <c r="R360" s="646" t="s">
        <v>64</v>
      </c>
      <c r="S360" s="667" t="s">
        <v>467</v>
      </c>
      <c r="T360" s="646">
        <v>1</v>
      </c>
      <c r="U360" s="646">
        <v>161</v>
      </c>
      <c r="V360" s="646" t="s">
        <v>50</v>
      </c>
      <c r="W360" s="646">
        <v>5</v>
      </c>
      <c r="X360" s="646" t="s">
        <v>50</v>
      </c>
      <c r="Y360" s="668" t="s">
        <v>2919</v>
      </c>
    </row>
    <row r="361" spans="1:25" s="98" customFormat="1" x14ac:dyDescent="0.25">
      <c r="A361" s="194">
        <v>43865</v>
      </c>
      <c r="B361" s="98" t="s">
        <v>70</v>
      </c>
      <c r="C361" s="98" t="s">
        <v>126</v>
      </c>
      <c r="D361" s="98">
        <v>38.293239999999997</v>
      </c>
      <c r="E361" s="623">
        <v>-121.69265</v>
      </c>
      <c r="F361" s="98" t="s">
        <v>2920</v>
      </c>
      <c r="G361" s="98" t="s">
        <v>90</v>
      </c>
      <c r="H361" s="98" t="s">
        <v>845</v>
      </c>
      <c r="I361" s="621">
        <v>0.44930555555555557</v>
      </c>
      <c r="J361" s="100">
        <v>344.45000000000005</v>
      </c>
      <c r="K361" s="100">
        <v>10.5</v>
      </c>
      <c r="L361" s="100">
        <v>7.0475000000000003</v>
      </c>
      <c r="M361" s="100">
        <v>1.3325</v>
      </c>
      <c r="N361" s="100">
        <v>6.9499999999999993</v>
      </c>
      <c r="O361" s="98" t="s">
        <v>48</v>
      </c>
      <c r="P361" s="98">
        <v>4</v>
      </c>
      <c r="Q361" s="98">
        <v>10</v>
      </c>
      <c r="R361" s="98" t="s">
        <v>64</v>
      </c>
      <c r="S361" s="98" t="s">
        <v>50</v>
      </c>
      <c r="T361" s="98" t="s">
        <v>50</v>
      </c>
      <c r="U361" s="98" t="s">
        <v>50</v>
      </c>
      <c r="V361" s="98" t="s">
        <v>50</v>
      </c>
      <c r="W361" s="98" t="s">
        <v>50</v>
      </c>
      <c r="X361" s="98" t="s">
        <v>50</v>
      </c>
      <c r="Y361" s="622"/>
    </row>
    <row r="362" spans="1:25" s="98" customFormat="1" x14ac:dyDescent="0.25">
      <c r="A362" s="194">
        <v>43866</v>
      </c>
      <c r="B362" s="98" t="s">
        <v>87</v>
      </c>
      <c r="C362" s="98" t="s">
        <v>78</v>
      </c>
      <c r="D362" s="98">
        <v>38.049039999999998</v>
      </c>
      <c r="E362" s="623">
        <v>-122.0872</v>
      </c>
      <c r="F362" s="98" t="s">
        <v>2921</v>
      </c>
      <c r="G362" s="98" t="s">
        <v>80</v>
      </c>
      <c r="H362" s="98" t="s">
        <v>81</v>
      </c>
      <c r="I362" s="621">
        <v>0.3888888888888889</v>
      </c>
      <c r="J362" s="100">
        <v>22330</v>
      </c>
      <c r="K362" s="100">
        <v>10.975</v>
      </c>
      <c r="L362" s="100">
        <v>24.274999999999999</v>
      </c>
      <c r="M362" s="100">
        <v>0.40249999999999997</v>
      </c>
      <c r="N362" s="100">
        <v>12.05</v>
      </c>
      <c r="O362" s="98" t="s">
        <v>48</v>
      </c>
      <c r="P362" s="98">
        <v>4</v>
      </c>
      <c r="Q362" s="98">
        <v>10</v>
      </c>
      <c r="R362" s="98" t="s">
        <v>64</v>
      </c>
      <c r="S362" s="98" t="s">
        <v>50</v>
      </c>
      <c r="T362" s="98" t="s">
        <v>50</v>
      </c>
      <c r="U362" s="98" t="s">
        <v>50</v>
      </c>
      <c r="V362" s="98" t="s">
        <v>50</v>
      </c>
      <c r="W362" s="98" t="s">
        <v>50</v>
      </c>
      <c r="X362" s="98" t="s">
        <v>50</v>
      </c>
      <c r="Y362" s="622"/>
    </row>
    <row r="363" spans="1:25" s="98" customFormat="1" x14ac:dyDescent="0.25">
      <c r="A363" s="194">
        <v>43866</v>
      </c>
      <c r="B363" s="98" t="s">
        <v>87</v>
      </c>
      <c r="C363" s="98" t="s">
        <v>78</v>
      </c>
      <c r="D363" s="98">
        <v>38.067219999999999</v>
      </c>
      <c r="E363" s="623">
        <v>-122.10505000000001</v>
      </c>
      <c r="F363" s="98" t="s">
        <v>2922</v>
      </c>
      <c r="G363" s="98" t="s">
        <v>80</v>
      </c>
      <c r="H363" s="98" t="s">
        <v>81</v>
      </c>
      <c r="I363" s="621">
        <v>0.43611111111111112</v>
      </c>
      <c r="J363" s="100">
        <v>23579.75</v>
      </c>
      <c r="K363" s="100">
        <v>11.100000000000001</v>
      </c>
      <c r="L363" s="100">
        <v>20.925000000000001</v>
      </c>
      <c r="M363" s="100">
        <v>0.57750000000000001</v>
      </c>
      <c r="N363" s="100">
        <v>8.6750000000000007</v>
      </c>
      <c r="O363" s="98" t="s">
        <v>48</v>
      </c>
      <c r="P363" s="98">
        <v>4</v>
      </c>
      <c r="Q363" s="98">
        <v>10</v>
      </c>
      <c r="R363" s="98" t="s">
        <v>64</v>
      </c>
      <c r="S363" s="98" t="s">
        <v>50</v>
      </c>
      <c r="T363" s="98" t="s">
        <v>50</v>
      </c>
      <c r="U363" s="98" t="s">
        <v>50</v>
      </c>
      <c r="V363" s="98" t="s">
        <v>50</v>
      </c>
      <c r="W363" s="98" t="s">
        <v>50</v>
      </c>
      <c r="X363" s="98" t="s">
        <v>50</v>
      </c>
      <c r="Y363" s="622"/>
    </row>
    <row r="364" spans="1:25" s="98" customFormat="1" x14ac:dyDescent="0.25">
      <c r="A364" s="194">
        <v>43866</v>
      </c>
      <c r="B364" s="98" t="s">
        <v>87</v>
      </c>
      <c r="C364" s="98" t="s">
        <v>78</v>
      </c>
      <c r="D364" s="98">
        <v>38.07911</v>
      </c>
      <c r="E364" s="623">
        <v>-122.07378</v>
      </c>
      <c r="F364" s="98" t="s">
        <v>2923</v>
      </c>
      <c r="G364" s="98" t="s">
        <v>80</v>
      </c>
      <c r="H364" s="98" t="s">
        <v>81</v>
      </c>
      <c r="I364" s="621">
        <v>0.48125000000000001</v>
      </c>
      <c r="J364" s="100">
        <v>21293.25</v>
      </c>
      <c r="K364" s="100">
        <v>11.400000000000002</v>
      </c>
      <c r="L364" s="100">
        <v>14.8</v>
      </c>
      <c r="M364" s="100">
        <v>0.68500000000000005</v>
      </c>
      <c r="N364" s="100">
        <v>5.0750000000000002</v>
      </c>
      <c r="O364" s="98" t="s">
        <v>48</v>
      </c>
      <c r="P364" s="98">
        <v>4</v>
      </c>
      <c r="Q364" s="98">
        <v>10</v>
      </c>
      <c r="R364" s="98" t="s">
        <v>64</v>
      </c>
      <c r="S364" s="98" t="s">
        <v>50</v>
      </c>
      <c r="T364" s="98" t="s">
        <v>50</v>
      </c>
      <c r="U364" s="98" t="s">
        <v>50</v>
      </c>
      <c r="V364" s="98" t="s">
        <v>50</v>
      </c>
      <c r="W364" s="98" t="s">
        <v>50</v>
      </c>
      <c r="X364" s="98" t="s">
        <v>50</v>
      </c>
      <c r="Y364" s="622" t="s">
        <v>2645</v>
      </c>
    </row>
    <row r="365" spans="1:25" s="98" customFormat="1" x14ac:dyDescent="0.25">
      <c r="A365" s="194">
        <v>43866</v>
      </c>
      <c r="B365" s="98" t="s">
        <v>87</v>
      </c>
      <c r="C365" s="98" t="s">
        <v>62</v>
      </c>
      <c r="D365" s="98">
        <v>38.106560000000002</v>
      </c>
      <c r="E365" s="623">
        <v>-122.05343999999999</v>
      </c>
      <c r="F365" s="98" t="s">
        <v>2924</v>
      </c>
      <c r="G365" s="98" t="s">
        <v>27</v>
      </c>
      <c r="H365" s="98" t="s">
        <v>173</v>
      </c>
      <c r="I365" s="621">
        <v>0.52847222222222223</v>
      </c>
      <c r="J365" s="100">
        <v>11927</v>
      </c>
      <c r="K365" s="100">
        <v>10.85</v>
      </c>
      <c r="L365" s="100">
        <v>21.825000000000003</v>
      </c>
      <c r="M365" s="100">
        <v>0.53</v>
      </c>
      <c r="N365" s="100">
        <v>3.5999999999999996</v>
      </c>
      <c r="O365" s="98" t="s">
        <v>48</v>
      </c>
      <c r="P365" s="98">
        <v>4</v>
      </c>
      <c r="Q365" s="98">
        <v>10</v>
      </c>
      <c r="R365" s="98" t="s">
        <v>49</v>
      </c>
      <c r="S365" s="98" t="s">
        <v>50</v>
      </c>
      <c r="T365" s="98" t="s">
        <v>50</v>
      </c>
      <c r="U365" s="98" t="s">
        <v>50</v>
      </c>
      <c r="V365" s="98" t="s">
        <v>50</v>
      </c>
      <c r="W365" s="98" t="s">
        <v>50</v>
      </c>
      <c r="X365" s="98" t="s">
        <v>50</v>
      </c>
      <c r="Y365" s="622"/>
    </row>
    <row r="366" spans="1:25" s="98" customFormat="1" x14ac:dyDescent="0.25">
      <c r="A366" s="194">
        <v>43866</v>
      </c>
      <c r="B366" s="98" t="s">
        <v>87</v>
      </c>
      <c r="C366" s="98" t="s">
        <v>88</v>
      </c>
      <c r="D366" s="98">
        <v>38.100659999999998</v>
      </c>
      <c r="E366" s="623">
        <v>-121.68550999999999</v>
      </c>
      <c r="F366" s="98" t="s">
        <v>2925</v>
      </c>
      <c r="G366" s="98" t="s">
        <v>90</v>
      </c>
      <c r="H366" s="98" t="s">
        <v>91</v>
      </c>
      <c r="I366" s="621">
        <v>0.33333333333333331</v>
      </c>
      <c r="J366" s="100">
        <v>291.60000000000002</v>
      </c>
      <c r="K366" s="100">
        <v>10.125</v>
      </c>
      <c r="L366" s="100">
        <v>6.1849999999999996</v>
      </c>
      <c r="M366" s="100">
        <v>1.79</v>
      </c>
      <c r="N366" s="100">
        <v>8</v>
      </c>
      <c r="O366" s="98" t="s">
        <v>48</v>
      </c>
      <c r="P366" s="98">
        <v>4</v>
      </c>
      <c r="Q366" s="98">
        <v>10</v>
      </c>
      <c r="R366" s="98" t="s">
        <v>49</v>
      </c>
      <c r="S366" s="98" t="s">
        <v>50</v>
      </c>
      <c r="T366" s="98" t="s">
        <v>50</v>
      </c>
      <c r="U366" s="98" t="s">
        <v>50</v>
      </c>
      <c r="V366" s="98" t="s">
        <v>50</v>
      </c>
      <c r="W366" s="98" t="s">
        <v>50</v>
      </c>
      <c r="X366" s="98" t="s">
        <v>50</v>
      </c>
      <c r="Y366" s="622"/>
    </row>
    <row r="367" spans="1:25" s="98" customFormat="1" x14ac:dyDescent="0.25">
      <c r="A367" s="194">
        <v>43866</v>
      </c>
      <c r="B367" s="98" t="s">
        <v>87</v>
      </c>
      <c r="C367" s="98" t="s">
        <v>88</v>
      </c>
      <c r="D367" s="98">
        <v>38.082050000000002</v>
      </c>
      <c r="E367" s="623">
        <v>-121.73182</v>
      </c>
      <c r="F367" s="98" t="s">
        <v>2926</v>
      </c>
      <c r="G367" s="98" t="s">
        <v>90</v>
      </c>
      <c r="H367" s="98" t="s">
        <v>91</v>
      </c>
      <c r="I367" s="621">
        <v>0.3972222222222222</v>
      </c>
      <c r="J367" s="100">
        <v>238.27499999999998</v>
      </c>
      <c r="K367" s="100">
        <v>10.35</v>
      </c>
      <c r="L367" s="100">
        <v>9.4849999999999994</v>
      </c>
      <c r="M367" s="100">
        <v>1.2625</v>
      </c>
      <c r="N367" s="100">
        <v>6.7999999999999989</v>
      </c>
      <c r="O367" s="98" t="s">
        <v>48</v>
      </c>
      <c r="P367" s="98">
        <v>4</v>
      </c>
      <c r="Q367" s="98">
        <v>10</v>
      </c>
      <c r="R367" s="98" t="s">
        <v>64</v>
      </c>
      <c r="S367" s="98" t="s">
        <v>50</v>
      </c>
      <c r="T367" s="98" t="s">
        <v>50</v>
      </c>
      <c r="U367" s="98" t="s">
        <v>50</v>
      </c>
      <c r="V367" s="98" t="s">
        <v>50</v>
      </c>
      <c r="W367" s="98" t="s">
        <v>50</v>
      </c>
      <c r="X367" s="98" t="s">
        <v>50</v>
      </c>
      <c r="Y367" s="622"/>
    </row>
    <row r="368" spans="1:25" s="98" customFormat="1" x14ac:dyDescent="0.25">
      <c r="A368" s="194">
        <v>43866</v>
      </c>
      <c r="B368" s="98" t="s">
        <v>87</v>
      </c>
      <c r="C368" s="98" t="s">
        <v>88</v>
      </c>
      <c r="D368" s="98">
        <v>38.081299999999999</v>
      </c>
      <c r="E368" s="623">
        <v>-121.75362</v>
      </c>
      <c r="F368" s="98" t="s">
        <v>2927</v>
      </c>
      <c r="G368" s="98" t="s">
        <v>27</v>
      </c>
      <c r="H368" s="98" t="s">
        <v>25</v>
      </c>
      <c r="I368" s="621">
        <v>0.43402777777777773</v>
      </c>
      <c r="J368" s="100">
        <v>312.72500000000002</v>
      </c>
      <c r="K368" s="100">
        <v>10.525</v>
      </c>
      <c r="L368" s="100">
        <v>17.225000000000001</v>
      </c>
      <c r="M368" s="100">
        <v>0.8175</v>
      </c>
      <c r="N368" s="100">
        <v>10.074999999999999</v>
      </c>
      <c r="O368" s="98" t="s">
        <v>48</v>
      </c>
      <c r="P368" s="98">
        <v>4</v>
      </c>
      <c r="Q368" s="98">
        <v>10</v>
      </c>
      <c r="R368" s="98" t="s">
        <v>64</v>
      </c>
      <c r="S368" s="98" t="s">
        <v>50</v>
      </c>
      <c r="T368" s="98" t="s">
        <v>50</v>
      </c>
      <c r="U368" s="98" t="s">
        <v>50</v>
      </c>
      <c r="V368" s="98" t="s">
        <v>50</v>
      </c>
      <c r="W368" s="98" t="s">
        <v>50</v>
      </c>
      <c r="X368" s="98" t="s">
        <v>50</v>
      </c>
      <c r="Y368" s="622"/>
    </row>
    <row r="369" spans="1:25" s="98" customFormat="1" x14ac:dyDescent="0.25">
      <c r="A369" s="194">
        <v>43866</v>
      </c>
      <c r="B369" s="98" t="s">
        <v>87</v>
      </c>
      <c r="C369" s="98" t="s">
        <v>88</v>
      </c>
      <c r="D369" s="98">
        <v>38.06962</v>
      </c>
      <c r="E369" s="623">
        <v>-121.77168</v>
      </c>
      <c r="F369" s="98" t="s">
        <v>2928</v>
      </c>
      <c r="G369" s="98" t="s">
        <v>27</v>
      </c>
      <c r="H369" s="98" t="s">
        <v>25</v>
      </c>
      <c r="I369" s="621">
        <v>0.4770833333333333</v>
      </c>
      <c r="J369" s="100">
        <v>716</v>
      </c>
      <c r="K369" s="100">
        <v>10.55</v>
      </c>
      <c r="L369" s="100">
        <v>17.5</v>
      </c>
      <c r="M369" s="100">
        <v>0.755</v>
      </c>
      <c r="N369" s="100">
        <v>9.4750000000000014</v>
      </c>
      <c r="O369" s="98" t="s">
        <v>48</v>
      </c>
      <c r="P369" s="98">
        <v>4</v>
      </c>
      <c r="Q369" s="98">
        <v>10</v>
      </c>
      <c r="R369" s="98" t="s">
        <v>64</v>
      </c>
      <c r="S369" s="98" t="s">
        <v>50</v>
      </c>
      <c r="T369" s="98" t="s">
        <v>50</v>
      </c>
      <c r="U369" s="98" t="s">
        <v>50</v>
      </c>
      <c r="V369" s="98" t="s">
        <v>50</v>
      </c>
      <c r="W369" s="98" t="s">
        <v>50</v>
      </c>
      <c r="X369" s="98" t="s">
        <v>50</v>
      </c>
      <c r="Y369" s="622"/>
    </row>
    <row r="370" spans="1:25" s="98" customFormat="1" x14ac:dyDescent="0.25">
      <c r="A370" s="194">
        <v>43866</v>
      </c>
      <c r="B370" s="98" t="s">
        <v>87</v>
      </c>
      <c r="C370" s="98" t="s">
        <v>95</v>
      </c>
      <c r="D370" s="98">
        <v>38.055329999999998</v>
      </c>
      <c r="E370" s="623">
        <v>-121.52742000000001</v>
      </c>
      <c r="F370" s="98" t="s">
        <v>2929</v>
      </c>
      <c r="G370" s="98" t="s">
        <v>46</v>
      </c>
      <c r="H370" s="98" t="s">
        <v>115</v>
      </c>
      <c r="I370" s="621">
        <v>0.31666666666666665</v>
      </c>
      <c r="J370" s="100">
        <v>305.83333333333331</v>
      </c>
      <c r="K370" s="100">
        <v>10.050000000000001</v>
      </c>
      <c r="L370" s="100">
        <v>3.63</v>
      </c>
      <c r="M370" s="100" t="s">
        <v>2882</v>
      </c>
      <c r="N370" s="100">
        <v>12.424999999999999</v>
      </c>
      <c r="O370" s="98" t="s">
        <v>48</v>
      </c>
      <c r="P370" s="98">
        <v>4</v>
      </c>
      <c r="Q370" s="98">
        <v>10</v>
      </c>
      <c r="R370" s="98" t="s">
        <v>49</v>
      </c>
      <c r="S370" s="98" t="s">
        <v>50</v>
      </c>
      <c r="T370" s="98" t="s">
        <v>50</v>
      </c>
      <c r="U370" s="98" t="s">
        <v>50</v>
      </c>
      <c r="V370" s="98" t="s">
        <v>50</v>
      </c>
      <c r="W370" s="98" t="s">
        <v>50</v>
      </c>
      <c r="X370" s="98" t="s">
        <v>50</v>
      </c>
      <c r="Y370" s="622"/>
    </row>
    <row r="371" spans="1:25" s="98" customFormat="1" x14ac:dyDescent="0.25">
      <c r="A371" s="194">
        <v>43866</v>
      </c>
      <c r="B371" s="98" t="s">
        <v>87</v>
      </c>
      <c r="C371" s="98" t="s">
        <v>44</v>
      </c>
      <c r="D371" s="98">
        <v>37.90663</v>
      </c>
      <c r="E371" s="623">
        <v>-121.50601</v>
      </c>
      <c r="F371" s="98" t="s">
        <v>2930</v>
      </c>
      <c r="G371" s="98" t="s">
        <v>46</v>
      </c>
      <c r="H371" s="98" t="s">
        <v>56</v>
      </c>
      <c r="I371" s="621">
        <v>0.38958333333333334</v>
      </c>
      <c r="J371" s="100">
        <v>378.37500000000006</v>
      </c>
      <c r="K371" s="100">
        <v>9.6</v>
      </c>
      <c r="L371" s="100">
        <v>3.5725000000000002</v>
      </c>
      <c r="M371" s="100" t="s">
        <v>2882</v>
      </c>
      <c r="N371" s="100">
        <v>5.125</v>
      </c>
      <c r="O371" s="98" t="s">
        <v>48</v>
      </c>
      <c r="P371" s="98">
        <v>4</v>
      </c>
      <c r="Q371" s="98">
        <v>10</v>
      </c>
      <c r="R371" s="98" t="s">
        <v>64</v>
      </c>
      <c r="S371" s="98" t="s">
        <v>50</v>
      </c>
      <c r="T371" s="98" t="s">
        <v>50</v>
      </c>
      <c r="U371" s="98" t="s">
        <v>50</v>
      </c>
      <c r="V371" s="98" t="s">
        <v>50</v>
      </c>
      <c r="W371" s="98" t="s">
        <v>50</v>
      </c>
      <c r="X371" s="98" t="s">
        <v>50</v>
      </c>
      <c r="Y371" s="622"/>
    </row>
    <row r="372" spans="1:25" s="98" customFormat="1" x14ac:dyDescent="0.25">
      <c r="A372" s="194">
        <v>43866</v>
      </c>
      <c r="B372" s="98" t="s">
        <v>87</v>
      </c>
      <c r="C372" s="98" t="s">
        <v>44</v>
      </c>
      <c r="D372" s="98">
        <v>37.99324</v>
      </c>
      <c r="E372" s="623">
        <v>-121.51512</v>
      </c>
      <c r="F372" s="98" t="s">
        <v>2931</v>
      </c>
      <c r="G372" s="98" t="s">
        <v>46</v>
      </c>
      <c r="H372" s="98" t="s">
        <v>59</v>
      </c>
      <c r="I372" s="621">
        <v>0.47222222222222227</v>
      </c>
      <c r="J372" s="100">
        <v>311.7</v>
      </c>
      <c r="K372" s="100">
        <v>10.050000000000001</v>
      </c>
      <c r="L372" s="100">
        <v>2.62</v>
      </c>
      <c r="M372" s="100" t="s">
        <v>2882</v>
      </c>
      <c r="N372" s="100">
        <v>4.8499999999999996</v>
      </c>
      <c r="O372" s="98" t="s">
        <v>48</v>
      </c>
      <c r="P372" s="98">
        <v>4</v>
      </c>
      <c r="Q372" s="98">
        <v>10</v>
      </c>
      <c r="R372" s="98" t="s">
        <v>49</v>
      </c>
      <c r="S372" s="98" t="s">
        <v>50</v>
      </c>
      <c r="T372" s="98" t="s">
        <v>50</v>
      </c>
      <c r="U372" s="98" t="s">
        <v>50</v>
      </c>
      <c r="V372" s="98" t="s">
        <v>50</v>
      </c>
      <c r="W372" s="98" t="s">
        <v>50</v>
      </c>
      <c r="X372" s="98" t="s">
        <v>50</v>
      </c>
      <c r="Y372" s="622" t="s">
        <v>2645</v>
      </c>
    </row>
    <row r="373" spans="1:25" s="154" customFormat="1" x14ac:dyDescent="0.25">
      <c r="A373" s="195">
        <v>43866</v>
      </c>
      <c r="B373" s="154" t="s">
        <v>87</v>
      </c>
      <c r="C373" s="154" t="s">
        <v>44</v>
      </c>
      <c r="D373" s="154">
        <v>37.97343</v>
      </c>
      <c r="E373" s="674">
        <v>-121.51390000000001</v>
      </c>
      <c r="F373" s="154" t="s">
        <v>2932</v>
      </c>
      <c r="G373" s="154" t="s">
        <v>46</v>
      </c>
      <c r="H373" s="154" t="s">
        <v>59</v>
      </c>
      <c r="I373" s="636">
        <v>0.45</v>
      </c>
      <c r="J373" s="156">
        <v>358.2</v>
      </c>
      <c r="K373" s="156">
        <v>9.5</v>
      </c>
      <c r="L373" s="156">
        <v>2.99</v>
      </c>
      <c r="M373" s="156" t="s">
        <v>2882</v>
      </c>
      <c r="N373" s="156">
        <v>3.4</v>
      </c>
      <c r="O373" s="154" t="s">
        <v>48</v>
      </c>
      <c r="P373" s="154">
        <v>1</v>
      </c>
      <c r="Q373" s="154">
        <v>10</v>
      </c>
      <c r="R373" s="154" t="s">
        <v>64</v>
      </c>
      <c r="S373" s="154" t="s">
        <v>50</v>
      </c>
      <c r="T373" s="154" t="s">
        <v>50</v>
      </c>
      <c r="U373" s="154" t="s">
        <v>50</v>
      </c>
      <c r="V373" s="154" t="s">
        <v>50</v>
      </c>
      <c r="W373" s="154" t="s">
        <v>50</v>
      </c>
      <c r="X373" s="154" t="s">
        <v>50</v>
      </c>
      <c r="Y373" s="627" t="s">
        <v>2933</v>
      </c>
    </row>
    <row r="374" spans="1:25" s="646" customFormat="1" x14ac:dyDescent="0.25">
      <c r="A374" s="645">
        <v>43867</v>
      </c>
      <c r="B374" s="646" t="s">
        <v>876</v>
      </c>
      <c r="C374" s="646" t="s">
        <v>118</v>
      </c>
      <c r="D374" s="646">
        <v>38.038739999999997</v>
      </c>
      <c r="E374" s="646">
        <v>-122.28502</v>
      </c>
      <c r="F374" s="646" t="s">
        <v>2934</v>
      </c>
      <c r="G374" s="646" t="s">
        <v>80</v>
      </c>
      <c r="H374" s="646" t="s">
        <v>123</v>
      </c>
      <c r="I374" s="647">
        <v>0.30763888888888891</v>
      </c>
      <c r="J374" s="648">
        <v>32870</v>
      </c>
      <c r="K374" s="648">
        <v>10.925000000000001</v>
      </c>
      <c r="L374" s="648">
        <v>19.7775</v>
      </c>
      <c r="M374" s="648">
        <v>0.66749999999999998</v>
      </c>
      <c r="N374" s="648">
        <v>3.4000000000000004</v>
      </c>
      <c r="O374" s="646" t="s">
        <v>48</v>
      </c>
      <c r="P374" s="646">
        <v>4</v>
      </c>
      <c r="Q374" s="646">
        <v>10</v>
      </c>
      <c r="R374" s="646" t="s">
        <v>64</v>
      </c>
      <c r="S374" s="667" t="s">
        <v>31</v>
      </c>
      <c r="T374" s="646">
        <v>1</v>
      </c>
      <c r="U374" s="646">
        <v>66</v>
      </c>
      <c r="V374" s="646" t="s">
        <v>66</v>
      </c>
      <c r="W374" s="646" t="s">
        <v>50</v>
      </c>
      <c r="X374" s="646" t="s">
        <v>50</v>
      </c>
      <c r="Y374" s="668"/>
    </row>
    <row r="375" spans="1:25" s="98" customFormat="1" x14ac:dyDescent="0.25">
      <c r="A375" s="194">
        <v>43867</v>
      </c>
      <c r="B375" s="98" t="s">
        <v>876</v>
      </c>
      <c r="C375" s="98" t="s">
        <v>118</v>
      </c>
      <c r="D375" s="98">
        <v>38.048900000000003</v>
      </c>
      <c r="E375" s="98">
        <v>-122.27359</v>
      </c>
      <c r="F375" s="98" t="s">
        <v>2935</v>
      </c>
      <c r="G375" s="98" t="s">
        <v>80</v>
      </c>
      <c r="H375" s="98" t="s">
        <v>123</v>
      </c>
      <c r="I375" s="621">
        <v>0.35069444444444442</v>
      </c>
      <c r="J375" s="100">
        <v>30829.5</v>
      </c>
      <c r="K375" s="100">
        <v>11.025</v>
      </c>
      <c r="L375" s="100">
        <v>50.774999999999999</v>
      </c>
      <c r="M375" s="100">
        <v>0.39</v>
      </c>
      <c r="N375" s="100">
        <v>4.6750000000000007</v>
      </c>
      <c r="O375" s="98" t="s">
        <v>48</v>
      </c>
      <c r="P375" s="98">
        <v>4</v>
      </c>
      <c r="Q375" s="98">
        <v>10</v>
      </c>
      <c r="R375" s="98" t="s">
        <v>64</v>
      </c>
      <c r="S375" s="98" t="s">
        <v>50</v>
      </c>
      <c r="T375" s="98" t="s">
        <v>50</v>
      </c>
      <c r="U375" s="98" t="s">
        <v>50</v>
      </c>
      <c r="V375" s="98" t="s">
        <v>50</v>
      </c>
      <c r="W375" s="98" t="s">
        <v>50</v>
      </c>
      <c r="X375" s="98" t="s">
        <v>50</v>
      </c>
      <c r="Y375" s="622"/>
    </row>
    <row r="376" spans="1:25" s="98" customFormat="1" x14ac:dyDescent="0.25">
      <c r="A376" s="194">
        <v>43867</v>
      </c>
      <c r="B376" s="98" t="s">
        <v>876</v>
      </c>
      <c r="C376" s="98" t="s">
        <v>118</v>
      </c>
      <c r="D376" s="98">
        <v>38.116509999999998</v>
      </c>
      <c r="E376" s="98">
        <v>-122.28122999999999</v>
      </c>
      <c r="F376" s="98" t="s">
        <v>2936</v>
      </c>
      <c r="G376" s="98" t="s">
        <v>80</v>
      </c>
      <c r="H376" s="98" t="s">
        <v>191</v>
      </c>
      <c r="I376" s="621">
        <v>0.40138888888888885</v>
      </c>
      <c r="J376" s="100">
        <v>29912.25</v>
      </c>
      <c r="K376" s="100">
        <v>11.2</v>
      </c>
      <c r="L376" s="100">
        <v>75.599999999999994</v>
      </c>
      <c r="M376" s="100">
        <v>0.2525</v>
      </c>
      <c r="N376" s="100">
        <v>8.5500000000000007</v>
      </c>
      <c r="O376" s="98" t="s">
        <v>48</v>
      </c>
      <c r="P376" s="98">
        <v>4</v>
      </c>
      <c r="Q376" s="98">
        <v>10</v>
      </c>
      <c r="R376" s="98" t="s">
        <v>64</v>
      </c>
      <c r="S376" s="98" t="s">
        <v>50</v>
      </c>
      <c r="T376" s="98" t="s">
        <v>50</v>
      </c>
      <c r="U376" s="98" t="s">
        <v>50</v>
      </c>
      <c r="V376" s="98" t="s">
        <v>50</v>
      </c>
      <c r="W376" s="98" t="s">
        <v>50</v>
      </c>
      <c r="X376" s="98" t="s">
        <v>50</v>
      </c>
      <c r="Y376" s="622"/>
    </row>
    <row r="377" spans="1:25" s="98" customFormat="1" x14ac:dyDescent="0.25">
      <c r="A377" s="194">
        <v>43867</v>
      </c>
      <c r="B377" s="98" t="s">
        <v>876</v>
      </c>
      <c r="C377" s="98" t="s">
        <v>88</v>
      </c>
      <c r="D377" s="98">
        <v>38.11309</v>
      </c>
      <c r="E377" s="98">
        <v>-121.69864</v>
      </c>
      <c r="F377" s="98" t="s">
        <v>2937</v>
      </c>
      <c r="G377" s="98" t="s">
        <v>90</v>
      </c>
      <c r="H377" s="98" t="s">
        <v>91</v>
      </c>
      <c r="I377" s="621">
        <v>0.32708333333333334</v>
      </c>
      <c r="J377" s="100">
        <v>248.85000000000002</v>
      </c>
      <c r="K377" s="100">
        <v>10.375</v>
      </c>
      <c r="L377" s="100">
        <v>6.5175000000000001</v>
      </c>
      <c r="M377" s="100">
        <v>1.7625</v>
      </c>
      <c r="N377" s="100">
        <v>4.6000000000000005</v>
      </c>
      <c r="O377" s="98" t="s">
        <v>48</v>
      </c>
      <c r="P377" s="98">
        <v>4</v>
      </c>
      <c r="Q377" s="98">
        <v>10</v>
      </c>
      <c r="R377" s="98" t="s">
        <v>64</v>
      </c>
      <c r="S377" s="98" t="s">
        <v>50</v>
      </c>
      <c r="T377" s="98" t="s">
        <v>50</v>
      </c>
      <c r="U377" s="98" t="s">
        <v>50</v>
      </c>
      <c r="V377" s="98" t="s">
        <v>50</v>
      </c>
      <c r="W377" s="98" t="s">
        <v>50</v>
      </c>
      <c r="X377" s="98" t="s">
        <v>50</v>
      </c>
      <c r="Y377" s="622"/>
    </row>
    <row r="378" spans="1:25" s="98" customFormat="1" x14ac:dyDescent="0.25">
      <c r="A378" s="194">
        <v>43867</v>
      </c>
      <c r="B378" s="98" t="s">
        <v>876</v>
      </c>
      <c r="C378" s="98" t="s">
        <v>88</v>
      </c>
      <c r="D378" s="98">
        <v>38.164969999999997</v>
      </c>
      <c r="E378" s="98">
        <v>-121.67547</v>
      </c>
      <c r="F378" s="98" t="s">
        <v>2938</v>
      </c>
      <c r="G378" s="98" t="s">
        <v>90</v>
      </c>
      <c r="H378" s="98" t="s">
        <v>91</v>
      </c>
      <c r="I378" s="621">
        <v>0.3743055555555555</v>
      </c>
      <c r="J378" s="100">
        <v>213.82499999999999</v>
      </c>
      <c r="K378" s="100">
        <v>10.675000000000001</v>
      </c>
      <c r="L378" s="100">
        <v>8.004999999999999</v>
      </c>
      <c r="M378" s="100">
        <v>1.4075</v>
      </c>
      <c r="N378" s="100">
        <v>7.125</v>
      </c>
      <c r="O378" s="98" t="s">
        <v>48</v>
      </c>
      <c r="P378" s="98">
        <v>4</v>
      </c>
      <c r="Q378" s="98">
        <v>10</v>
      </c>
      <c r="R378" s="98" t="s">
        <v>64</v>
      </c>
      <c r="S378" s="98" t="s">
        <v>50</v>
      </c>
      <c r="T378" s="98" t="s">
        <v>50</v>
      </c>
      <c r="U378" s="98" t="s">
        <v>50</v>
      </c>
      <c r="V378" s="98" t="s">
        <v>50</v>
      </c>
      <c r="W378" s="98" t="s">
        <v>50</v>
      </c>
      <c r="X378" s="98" t="s">
        <v>50</v>
      </c>
      <c r="Y378" s="622"/>
    </row>
    <row r="379" spans="1:25" s="98" customFormat="1" x14ac:dyDescent="0.25">
      <c r="A379" s="194">
        <v>43867</v>
      </c>
      <c r="B379" s="98" t="s">
        <v>876</v>
      </c>
      <c r="C379" s="98" t="s">
        <v>88</v>
      </c>
      <c r="D379" s="98">
        <v>38.168230000000001</v>
      </c>
      <c r="E379" s="98">
        <v>-121.67740999999999</v>
      </c>
      <c r="F379" s="98" t="s">
        <v>2939</v>
      </c>
      <c r="G379" s="98" t="s">
        <v>90</v>
      </c>
      <c r="H379" s="98" t="s">
        <v>91</v>
      </c>
      <c r="I379" s="621">
        <v>0.42152777777777778</v>
      </c>
      <c r="J379" s="100">
        <v>219.7</v>
      </c>
      <c r="K379" s="100">
        <v>10.875</v>
      </c>
      <c r="L379" s="100">
        <v>11.975</v>
      </c>
      <c r="M379" s="100">
        <v>1.1774999999999998</v>
      </c>
      <c r="N379" s="100">
        <v>13.95</v>
      </c>
      <c r="O379" s="98" t="s">
        <v>48</v>
      </c>
      <c r="P379" s="98">
        <v>4</v>
      </c>
      <c r="Q379" s="98">
        <v>10</v>
      </c>
      <c r="R379" s="98" t="s">
        <v>64</v>
      </c>
      <c r="S379" s="98" t="s">
        <v>50</v>
      </c>
      <c r="T379" s="98" t="s">
        <v>50</v>
      </c>
      <c r="U379" s="98" t="s">
        <v>50</v>
      </c>
      <c r="V379" s="98" t="s">
        <v>50</v>
      </c>
      <c r="W379" s="98" t="s">
        <v>50</v>
      </c>
      <c r="X379" s="98" t="s">
        <v>50</v>
      </c>
      <c r="Y379" s="622"/>
    </row>
    <row r="380" spans="1:25" s="98" customFormat="1" x14ac:dyDescent="0.25">
      <c r="A380" s="194">
        <v>43867</v>
      </c>
      <c r="B380" s="98" t="s">
        <v>876</v>
      </c>
      <c r="C380" s="98" t="s">
        <v>44</v>
      </c>
      <c r="D380" s="98">
        <v>38.052840000000003</v>
      </c>
      <c r="E380" s="98">
        <v>-121.63766</v>
      </c>
      <c r="F380" s="98" t="s">
        <v>2940</v>
      </c>
      <c r="G380" s="98" t="s">
        <v>46</v>
      </c>
      <c r="H380" s="98" t="s">
        <v>47</v>
      </c>
      <c r="I380" s="621">
        <v>0.32083333333333336</v>
      </c>
      <c r="J380" s="100">
        <v>296.79999999999995</v>
      </c>
      <c r="K380" s="100">
        <v>9.9</v>
      </c>
      <c r="L380" s="100">
        <v>5.7575000000000003</v>
      </c>
      <c r="M380" s="100">
        <v>1.4400000000000002</v>
      </c>
      <c r="N380" s="100">
        <v>6.875</v>
      </c>
      <c r="O380" s="98" t="s">
        <v>48</v>
      </c>
      <c r="P380" s="98">
        <v>4</v>
      </c>
      <c r="Q380" s="98">
        <v>10</v>
      </c>
      <c r="R380" s="98" t="s">
        <v>49</v>
      </c>
      <c r="S380" s="98" t="s">
        <v>50</v>
      </c>
      <c r="T380" s="98" t="s">
        <v>50</v>
      </c>
      <c r="U380" s="98" t="s">
        <v>50</v>
      </c>
      <c r="V380" s="98" t="s">
        <v>50</v>
      </c>
      <c r="W380" s="98" t="s">
        <v>50</v>
      </c>
      <c r="X380" s="98" t="s">
        <v>50</v>
      </c>
      <c r="Y380" s="622" t="s">
        <v>2941</v>
      </c>
    </row>
    <row r="381" spans="1:25" s="98" customFormat="1" x14ac:dyDescent="0.25">
      <c r="A381" s="194">
        <v>43867</v>
      </c>
      <c r="B381" s="98" t="s">
        <v>876</v>
      </c>
      <c r="C381" s="98" t="s">
        <v>44</v>
      </c>
      <c r="D381" s="98">
        <v>38.022849999999998</v>
      </c>
      <c r="E381" s="98">
        <v>-121.56265999999999</v>
      </c>
      <c r="F381" s="98" t="s">
        <v>2942</v>
      </c>
      <c r="G381" s="98" t="s">
        <v>46</v>
      </c>
      <c r="H381" s="98" t="s">
        <v>74</v>
      </c>
      <c r="I381" s="621">
        <v>0.37083333333333335</v>
      </c>
      <c r="J381" s="100">
        <v>309.82499999999999</v>
      </c>
      <c r="K381" s="100">
        <v>9.5749999999999993</v>
      </c>
      <c r="L381" s="100">
        <v>7.3275000000000006</v>
      </c>
      <c r="M381" s="100">
        <v>1.07</v>
      </c>
      <c r="N381" s="100">
        <v>5.5749999999999993</v>
      </c>
      <c r="O381" s="98" t="s">
        <v>48</v>
      </c>
      <c r="P381" s="98">
        <v>4</v>
      </c>
      <c r="Q381" s="98">
        <v>10</v>
      </c>
      <c r="R381" s="98" t="s">
        <v>64</v>
      </c>
      <c r="S381" s="98" t="s">
        <v>50</v>
      </c>
      <c r="T381" s="98" t="s">
        <v>50</v>
      </c>
      <c r="U381" s="98" t="s">
        <v>50</v>
      </c>
      <c r="V381" s="98" t="s">
        <v>50</v>
      </c>
      <c r="W381" s="98" t="s">
        <v>50</v>
      </c>
      <c r="X381" s="98" t="s">
        <v>50</v>
      </c>
      <c r="Y381" s="622"/>
    </row>
    <row r="382" spans="1:25" s="362" customFormat="1" x14ac:dyDescent="0.25">
      <c r="A382" s="360">
        <v>43867</v>
      </c>
      <c r="B382" s="362" t="s">
        <v>876</v>
      </c>
      <c r="C382" s="362" t="s">
        <v>44</v>
      </c>
      <c r="D382" s="362">
        <v>37.979550000000003</v>
      </c>
      <c r="E382" s="362">
        <v>-121.57261</v>
      </c>
      <c r="F382" s="362" t="s">
        <v>2943</v>
      </c>
      <c r="G382" s="362" t="s">
        <v>46</v>
      </c>
      <c r="H382" s="362" t="s">
        <v>74</v>
      </c>
      <c r="I382" s="618">
        <v>0.42222222222222222</v>
      </c>
      <c r="J382" s="364">
        <v>334.05</v>
      </c>
      <c r="K382" s="364">
        <v>9.25</v>
      </c>
      <c r="L382" s="364">
        <v>13</v>
      </c>
      <c r="M382" s="364">
        <v>0.77750000000000008</v>
      </c>
      <c r="N382" s="364">
        <v>7.3000000000000007</v>
      </c>
      <c r="O382" s="362" t="s">
        <v>48</v>
      </c>
      <c r="P382" s="362">
        <v>4</v>
      </c>
      <c r="Q382" s="362">
        <v>10</v>
      </c>
      <c r="R382" s="362" t="s">
        <v>64</v>
      </c>
      <c r="S382" s="362" t="s">
        <v>50</v>
      </c>
      <c r="T382" s="362" t="s">
        <v>50</v>
      </c>
      <c r="U382" s="362" t="s">
        <v>50</v>
      </c>
      <c r="V382" s="362" t="s">
        <v>50</v>
      </c>
      <c r="W382" s="362" t="s">
        <v>50</v>
      </c>
      <c r="X382" s="362" t="s">
        <v>50</v>
      </c>
      <c r="Y382" s="603"/>
    </row>
    <row r="383" spans="1:25" s="98" customFormat="1" x14ac:dyDescent="0.25">
      <c r="A383" s="194">
        <v>43871</v>
      </c>
      <c r="B383" s="98" t="s">
        <v>43</v>
      </c>
      <c r="C383" s="98" t="s">
        <v>88</v>
      </c>
      <c r="D383" s="98">
        <v>38.122169999999997</v>
      </c>
      <c r="E383" s="98">
        <v>-121.69553999999999</v>
      </c>
      <c r="F383" s="98" t="s">
        <v>2944</v>
      </c>
      <c r="G383" s="98" t="s">
        <v>90</v>
      </c>
      <c r="H383" s="98" t="s">
        <v>91</v>
      </c>
      <c r="I383" s="621">
        <v>0.32708333333333334</v>
      </c>
      <c r="J383" s="100">
        <v>254.05</v>
      </c>
      <c r="K383" s="100">
        <v>9.5</v>
      </c>
      <c r="L383" s="100">
        <v>14.3325</v>
      </c>
      <c r="M383" s="100">
        <v>0.77749999999999997</v>
      </c>
      <c r="N383" s="100">
        <v>2.85</v>
      </c>
      <c r="O383" s="98" t="s">
        <v>48</v>
      </c>
      <c r="P383" s="98">
        <v>4</v>
      </c>
      <c r="Q383" s="98">
        <v>10</v>
      </c>
      <c r="R383" s="98" t="s">
        <v>49</v>
      </c>
      <c r="S383" s="98" t="s">
        <v>50</v>
      </c>
      <c r="T383" s="98" t="s">
        <v>50</v>
      </c>
      <c r="U383" s="98" t="s">
        <v>50</v>
      </c>
      <c r="V383" s="98" t="s">
        <v>50</v>
      </c>
      <c r="W383" s="98" t="s">
        <v>50</v>
      </c>
      <c r="X383" s="98" t="s">
        <v>50</v>
      </c>
      <c r="Y383" s="622" t="s">
        <v>1078</v>
      </c>
    </row>
    <row r="384" spans="1:25" s="98" customFormat="1" x14ac:dyDescent="0.25">
      <c r="A384" s="194">
        <v>43871</v>
      </c>
      <c r="B384" s="98" t="s">
        <v>43</v>
      </c>
      <c r="C384" s="98" t="s">
        <v>88</v>
      </c>
      <c r="D384" s="98">
        <v>38.10763</v>
      </c>
      <c r="E384" s="98">
        <v>-121.69356999999999</v>
      </c>
      <c r="F384" s="98" t="s">
        <v>2945</v>
      </c>
      <c r="G384" s="98" t="s">
        <v>90</v>
      </c>
      <c r="H384" s="98" t="s">
        <v>91</v>
      </c>
      <c r="I384" s="621">
        <v>0.44305555555555554</v>
      </c>
      <c r="J384" s="100">
        <v>288.27499999999998</v>
      </c>
      <c r="K384" s="100">
        <v>9.9</v>
      </c>
      <c r="L384" s="100">
        <v>11.7</v>
      </c>
      <c r="M384" s="100">
        <v>0.97250000000000003</v>
      </c>
      <c r="N384" s="100">
        <v>5.6999999999999993</v>
      </c>
      <c r="O384" s="98" t="s">
        <v>48</v>
      </c>
      <c r="P384" s="98">
        <v>4</v>
      </c>
      <c r="Q384" s="98">
        <v>10</v>
      </c>
      <c r="R384" s="98" t="s">
        <v>49</v>
      </c>
      <c r="S384" s="98" t="s">
        <v>50</v>
      </c>
      <c r="T384" s="98" t="s">
        <v>50</v>
      </c>
      <c r="U384" s="98" t="s">
        <v>50</v>
      </c>
      <c r="V384" s="98" t="s">
        <v>50</v>
      </c>
      <c r="W384" s="98" t="s">
        <v>50</v>
      </c>
      <c r="X384" s="98" t="s">
        <v>50</v>
      </c>
      <c r="Y384" s="622" t="s">
        <v>1078</v>
      </c>
    </row>
    <row r="385" spans="1:25" s="98" customFormat="1" x14ac:dyDescent="0.25">
      <c r="A385" s="194">
        <v>43871</v>
      </c>
      <c r="B385" s="98" t="s">
        <v>43</v>
      </c>
      <c r="C385" s="98" t="s">
        <v>88</v>
      </c>
      <c r="D385" s="98">
        <v>38.099510000000002</v>
      </c>
      <c r="E385" s="98">
        <v>-121.72696000000001</v>
      </c>
      <c r="F385" s="98" t="s">
        <v>2946</v>
      </c>
      <c r="G385" s="98" t="s">
        <v>90</v>
      </c>
      <c r="H385" s="98" t="s">
        <v>91</v>
      </c>
      <c r="I385" s="621">
        <v>0.3840277777777778</v>
      </c>
      <c r="J385" s="100">
        <v>227.7</v>
      </c>
      <c r="K385" s="100">
        <v>9.7249999999999996</v>
      </c>
      <c r="L385" s="100">
        <v>18.675000000000001</v>
      </c>
      <c r="M385" s="100">
        <v>0.75</v>
      </c>
      <c r="N385" s="100">
        <v>7.9750000000000005</v>
      </c>
      <c r="O385" s="98" t="s">
        <v>48</v>
      </c>
      <c r="P385" s="98">
        <v>4</v>
      </c>
      <c r="Q385" s="98">
        <v>10</v>
      </c>
      <c r="R385" s="98" t="s">
        <v>49</v>
      </c>
      <c r="S385" s="98" t="s">
        <v>50</v>
      </c>
      <c r="T385" s="98" t="s">
        <v>50</v>
      </c>
      <c r="U385" s="98" t="s">
        <v>50</v>
      </c>
      <c r="V385" s="98" t="s">
        <v>50</v>
      </c>
      <c r="W385" s="98" t="s">
        <v>50</v>
      </c>
      <c r="X385" s="98" t="s">
        <v>50</v>
      </c>
      <c r="Y385" s="622"/>
    </row>
    <row r="386" spans="1:25" s="98" customFormat="1" x14ac:dyDescent="0.25">
      <c r="A386" s="194">
        <v>43871</v>
      </c>
      <c r="B386" s="98" t="s">
        <v>43</v>
      </c>
      <c r="C386" s="98" t="s">
        <v>118</v>
      </c>
      <c r="D386" s="98">
        <v>38.058570000000003</v>
      </c>
      <c r="E386" s="98">
        <v>-122.28776000000001</v>
      </c>
      <c r="F386" s="98" t="s">
        <v>2947</v>
      </c>
      <c r="G386" s="98" t="s">
        <v>80</v>
      </c>
      <c r="H386" s="98" t="s">
        <v>123</v>
      </c>
      <c r="I386" s="621">
        <v>0.3833333333333333</v>
      </c>
      <c r="J386" s="100">
        <v>22009.5</v>
      </c>
      <c r="K386" s="100">
        <v>11.075000000000001</v>
      </c>
      <c r="L386" s="100">
        <v>51.475000000000001</v>
      </c>
      <c r="M386" s="100">
        <v>0.39750000000000002</v>
      </c>
      <c r="N386" s="100">
        <v>12.799999999999999</v>
      </c>
      <c r="O386" s="98" t="s">
        <v>48</v>
      </c>
      <c r="P386" s="98">
        <v>4</v>
      </c>
      <c r="Q386" s="98">
        <v>10</v>
      </c>
      <c r="R386" s="98" t="s">
        <v>49</v>
      </c>
      <c r="S386" s="98" t="s">
        <v>50</v>
      </c>
      <c r="T386" s="98" t="s">
        <v>50</v>
      </c>
      <c r="U386" s="98" t="s">
        <v>50</v>
      </c>
      <c r="V386" s="98" t="s">
        <v>50</v>
      </c>
      <c r="W386" s="98" t="s">
        <v>50</v>
      </c>
      <c r="X386" s="98" t="s">
        <v>50</v>
      </c>
      <c r="Y386" s="622"/>
    </row>
    <row r="387" spans="1:25" s="646" customFormat="1" x14ac:dyDescent="0.25">
      <c r="A387" s="645">
        <v>43871</v>
      </c>
      <c r="B387" s="646" t="s">
        <v>43</v>
      </c>
      <c r="C387" s="646" t="s">
        <v>118</v>
      </c>
      <c r="D387" s="646">
        <v>38.044440000000002</v>
      </c>
      <c r="E387" s="646">
        <v>-122.11819</v>
      </c>
      <c r="F387" s="646" t="s">
        <v>2948</v>
      </c>
      <c r="G387" s="646" t="s">
        <v>80</v>
      </c>
      <c r="H387" s="646" t="s">
        <v>81</v>
      </c>
      <c r="I387" s="647">
        <v>0.5083333333333333</v>
      </c>
      <c r="J387" s="648">
        <v>18004</v>
      </c>
      <c r="K387" s="648">
        <v>11.075000000000001</v>
      </c>
      <c r="L387" s="648">
        <v>55.15</v>
      </c>
      <c r="M387" s="648">
        <v>0.3</v>
      </c>
      <c r="N387" s="648">
        <v>10.25</v>
      </c>
      <c r="O387" s="646" t="s">
        <v>48</v>
      </c>
      <c r="P387" s="646">
        <v>4</v>
      </c>
      <c r="Q387" s="646">
        <v>10</v>
      </c>
      <c r="R387" s="646" t="s">
        <v>64</v>
      </c>
      <c r="S387" s="667" t="s">
        <v>31</v>
      </c>
      <c r="T387" s="646">
        <v>1</v>
      </c>
      <c r="U387" s="646">
        <v>94</v>
      </c>
      <c r="V387" s="646" t="s">
        <v>66</v>
      </c>
      <c r="W387" s="646" t="s">
        <v>50</v>
      </c>
      <c r="X387" s="646" t="s">
        <v>50</v>
      </c>
      <c r="Y387" s="668"/>
    </row>
    <row r="388" spans="1:25" s="98" customFormat="1" x14ac:dyDescent="0.25">
      <c r="A388" s="194">
        <v>43871</v>
      </c>
      <c r="B388" s="98" t="s">
        <v>43</v>
      </c>
      <c r="C388" s="98" t="s">
        <v>118</v>
      </c>
      <c r="D388" s="98">
        <v>38.039810000000003</v>
      </c>
      <c r="E388" s="98">
        <v>-122.15893</v>
      </c>
      <c r="F388" s="98" t="s">
        <v>2949</v>
      </c>
      <c r="G388" s="98" t="s">
        <v>80</v>
      </c>
      <c r="H388" s="98" t="s">
        <v>120</v>
      </c>
      <c r="I388" s="621">
        <v>0.45902777777777781</v>
      </c>
      <c r="J388" s="100">
        <v>16874.75</v>
      </c>
      <c r="K388" s="100">
        <v>11.024999999999999</v>
      </c>
      <c r="L388" s="100">
        <v>58.024999999999999</v>
      </c>
      <c r="M388" s="100">
        <v>0.29499999999999998</v>
      </c>
      <c r="N388" s="100">
        <v>4.875</v>
      </c>
      <c r="O388" s="98" t="s">
        <v>48</v>
      </c>
      <c r="P388" s="98">
        <v>4</v>
      </c>
      <c r="Q388" s="98">
        <v>10</v>
      </c>
      <c r="R388" s="98" t="s">
        <v>64</v>
      </c>
      <c r="S388" s="98" t="s">
        <v>50</v>
      </c>
      <c r="T388" s="98" t="s">
        <v>50</v>
      </c>
      <c r="U388" s="98" t="s">
        <v>50</v>
      </c>
      <c r="V388" s="98" t="s">
        <v>50</v>
      </c>
      <c r="W388" s="98" t="s">
        <v>50</v>
      </c>
      <c r="X388" s="98" t="s">
        <v>50</v>
      </c>
      <c r="Y388" s="622" t="s">
        <v>139</v>
      </c>
    </row>
    <row r="389" spans="1:25" s="98" customFormat="1" x14ac:dyDescent="0.25">
      <c r="A389" s="194">
        <v>43871</v>
      </c>
      <c r="B389" s="98" t="s">
        <v>43</v>
      </c>
      <c r="C389" s="98" t="s">
        <v>118</v>
      </c>
      <c r="D389" s="98">
        <v>38.045490000000001</v>
      </c>
      <c r="E389" s="98">
        <v>-122.1103</v>
      </c>
      <c r="F389" s="98" t="s">
        <v>2950</v>
      </c>
      <c r="G389" s="98" t="s">
        <v>80</v>
      </c>
      <c r="H389" s="98" t="s">
        <v>81</v>
      </c>
      <c r="I389" s="621">
        <v>0.5541666666666667</v>
      </c>
      <c r="J389" s="100">
        <v>21664.25</v>
      </c>
      <c r="K389" s="100">
        <v>11.274999999999999</v>
      </c>
      <c r="L389" s="100">
        <v>50.425000000000004</v>
      </c>
      <c r="M389" s="100">
        <v>0.33750000000000002</v>
      </c>
      <c r="N389" s="100">
        <v>11.975000000000001</v>
      </c>
      <c r="O389" s="98" t="s">
        <v>48</v>
      </c>
      <c r="P389" s="98">
        <v>4</v>
      </c>
      <c r="Q389" s="98">
        <v>10</v>
      </c>
      <c r="R389" s="98" t="s">
        <v>64</v>
      </c>
      <c r="S389" s="98" t="s">
        <v>50</v>
      </c>
      <c r="T389" s="98" t="s">
        <v>50</v>
      </c>
      <c r="U389" s="98" t="s">
        <v>50</v>
      </c>
      <c r="V389" s="98" t="s">
        <v>50</v>
      </c>
      <c r="W389" s="98" t="s">
        <v>50</v>
      </c>
      <c r="X389" s="98" t="s">
        <v>50</v>
      </c>
      <c r="Y389" s="622"/>
    </row>
    <row r="390" spans="1:25" s="154" customFormat="1" x14ac:dyDescent="0.25">
      <c r="A390" s="195">
        <v>43871</v>
      </c>
      <c r="B390" s="154" t="s">
        <v>43</v>
      </c>
      <c r="C390" s="154" t="s">
        <v>44</v>
      </c>
      <c r="D390" s="154">
        <v>38.017600000000002</v>
      </c>
      <c r="E390" s="154">
        <v>-121.63254999999999</v>
      </c>
      <c r="F390" s="154" t="s">
        <v>2951</v>
      </c>
      <c r="G390" s="154" t="s">
        <v>46</v>
      </c>
      <c r="H390" s="154" t="s">
        <v>47</v>
      </c>
      <c r="I390" s="636">
        <v>0.32083333333333336</v>
      </c>
      <c r="J390" s="197" t="s">
        <v>50</v>
      </c>
      <c r="K390" s="197" t="s">
        <v>50</v>
      </c>
      <c r="L390" s="197" t="s">
        <v>50</v>
      </c>
      <c r="M390" s="197" t="s">
        <v>50</v>
      </c>
      <c r="N390" s="197" t="s">
        <v>50</v>
      </c>
      <c r="O390" s="149" t="s">
        <v>48</v>
      </c>
      <c r="P390" s="149">
        <v>0</v>
      </c>
      <c r="Q390" s="149" t="s">
        <v>50</v>
      </c>
      <c r="R390" s="149" t="s">
        <v>50</v>
      </c>
      <c r="S390" s="149" t="s">
        <v>50</v>
      </c>
      <c r="T390" s="149" t="s">
        <v>50</v>
      </c>
      <c r="U390" s="149" t="s">
        <v>50</v>
      </c>
      <c r="V390" s="149" t="s">
        <v>50</v>
      </c>
      <c r="W390" s="149" t="s">
        <v>50</v>
      </c>
      <c r="X390" s="149" t="s">
        <v>50</v>
      </c>
      <c r="Y390" s="152" t="s">
        <v>2952</v>
      </c>
    </row>
    <row r="391" spans="1:25" s="98" customFormat="1" x14ac:dyDescent="0.25">
      <c r="A391" s="194">
        <v>43871</v>
      </c>
      <c r="B391" s="98" t="s">
        <v>43</v>
      </c>
      <c r="C391" s="98" t="s">
        <v>44</v>
      </c>
      <c r="D391" s="98">
        <v>37.921109999999999</v>
      </c>
      <c r="E391" s="98">
        <v>-121.59090999999999</v>
      </c>
      <c r="F391" s="98" t="s">
        <v>2953</v>
      </c>
      <c r="G391" s="98" t="s">
        <v>46</v>
      </c>
      <c r="H391" s="98" t="s">
        <v>423</v>
      </c>
      <c r="I391" s="621">
        <v>0.41736111111111113</v>
      </c>
      <c r="J391" s="100">
        <v>401.67499999999995</v>
      </c>
      <c r="K391" s="100">
        <v>9.5</v>
      </c>
      <c r="L391" s="100">
        <v>6.2725</v>
      </c>
      <c r="M391" s="100">
        <v>1.78</v>
      </c>
      <c r="N391" s="100">
        <v>2.5249999999999999</v>
      </c>
      <c r="O391" s="98" t="s">
        <v>48</v>
      </c>
      <c r="P391" s="98">
        <v>4</v>
      </c>
      <c r="Q391" s="98">
        <v>10</v>
      </c>
      <c r="R391" s="98" t="s">
        <v>64</v>
      </c>
      <c r="S391" s="98" t="s">
        <v>50</v>
      </c>
      <c r="T391" s="98" t="s">
        <v>50</v>
      </c>
      <c r="U391" s="98" t="s">
        <v>50</v>
      </c>
      <c r="V391" s="98" t="s">
        <v>50</v>
      </c>
      <c r="W391" s="98" t="s">
        <v>50</v>
      </c>
      <c r="X391" s="98" t="s">
        <v>50</v>
      </c>
      <c r="Y391" s="622" t="s">
        <v>1078</v>
      </c>
    </row>
    <row r="392" spans="1:25" s="98" customFormat="1" x14ac:dyDescent="0.25">
      <c r="A392" s="194">
        <v>43871</v>
      </c>
      <c r="B392" s="98" t="s">
        <v>43</v>
      </c>
      <c r="C392" s="98" t="s">
        <v>44</v>
      </c>
      <c r="D392" s="98">
        <v>38.00394</v>
      </c>
      <c r="E392" s="98">
        <v>-121.62649999999999</v>
      </c>
      <c r="F392" s="98" t="s">
        <v>2954</v>
      </c>
      <c r="G392" s="98" t="s">
        <v>46</v>
      </c>
      <c r="H392" s="98" t="s">
        <v>47</v>
      </c>
      <c r="I392" s="621">
        <v>0.33194444444444443</v>
      </c>
      <c r="J392" s="100">
        <v>367.70000000000005</v>
      </c>
      <c r="K392" s="100">
        <v>9.4</v>
      </c>
      <c r="L392" s="100">
        <v>30.15</v>
      </c>
      <c r="M392" s="100">
        <v>0.47749999999999998</v>
      </c>
      <c r="N392" s="100">
        <v>3.55</v>
      </c>
      <c r="O392" s="98" t="s">
        <v>48</v>
      </c>
      <c r="P392" s="98">
        <v>4</v>
      </c>
      <c r="Q392" s="98">
        <v>10</v>
      </c>
      <c r="R392" s="98" t="s">
        <v>64</v>
      </c>
      <c r="S392" s="98" t="s">
        <v>50</v>
      </c>
      <c r="T392" s="98" t="s">
        <v>50</v>
      </c>
      <c r="U392" s="98" t="s">
        <v>50</v>
      </c>
      <c r="V392" s="98" t="s">
        <v>50</v>
      </c>
      <c r="W392" s="98" t="s">
        <v>50</v>
      </c>
      <c r="X392" s="98" t="s">
        <v>50</v>
      </c>
      <c r="Y392" s="622"/>
    </row>
    <row r="393" spans="1:25" s="98" customFormat="1" x14ac:dyDescent="0.25">
      <c r="A393" s="194">
        <v>43871</v>
      </c>
      <c r="B393" s="98" t="s">
        <v>43</v>
      </c>
      <c r="C393" s="98" t="s">
        <v>44</v>
      </c>
      <c r="D393" s="98">
        <v>38.023429999999998</v>
      </c>
      <c r="E393" s="98">
        <v>-121.56365</v>
      </c>
      <c r="F393" s="98" t="s">
        <v>2955</v>
      </c>
      <c r="G393" s="98" t="s">
        <v>46</v>
      </c>
      <c r="H393" s="98" t="s">
        <v>74</v>
      </c>
      <c r="I393" s="621">
        <v>0.4909722222222222</v>
      </c>
      <c r="J393" s="100">
        <v>308.15000000000003</v>
      </c>
      <c r="K393" s="100">
        <v>9.9499999999999993</v>
      </c>
      <c r="L393" s="100">
        <v>27.375</v>
      </c>
      <c r="M393" s="100">
        <v>0.48</v>
      </c>
      <c r="N393" s="100">
        <v>7.3250000000000002</v>
      </c>
      <c r="O393" s="98" t="s">
        <v>48</v>
      </c>
      <c r="P393" s="98">
        <v>4</v>
      </c>
      <c r="Q393" s="98">
        <v>10</v>
      </c>
      <c r="R393" s="98" t="s">
        <v>49</v>
      </c>
      <c r="S393" s="98" t="s">
        <v>50</v>
      </c>
      <c r="T393" s="98" t="s">
        <v>50</v>
      </c>
      <c r="U393" s="98" t="s">
        <v>50</v>
      </c>
      <c r="V393" s="98" t="s">
        <v>50</v>
      </c>
      <c r="W393" s="98" t="s">
        <v>50</v>
      </c>
      <c r="X393" s="98" t="s">
        <v>50</v>
      </c>
      <c r="Y393" s="622"/>
    </row>
    <row r="394" spans="1:25" s="98" customFormat="1" x14ac:dyDescent="0.25">
      <c r="A394" s="194">
        <v>43872</v>
      </c>
      <c r="B394" s="98" t="s">
        <v>849</v>
      </c>
      <c r="C394" s="98" t="s">
        <v>88</v>
      </c>
      <c r="D394" s="98">
        <v>38.063389999999998</v>
      </c>
      <c r="E394" s="98">
        <v>-121.81201</v>
      </c>
      <c r="F394" s="98" t="s">
        <v>2956</v>
      </c>
      <c r="G394" s="98" t="s">
        <v>27</v>
      </c>
      <c r="H394" s="98" t="s">
        <v>25</v>
      </c>
      <c r="I394" s="621">
        <v>0.33124999999999999</v>
      </c>
      <c r="J394" s="100">
        <v>1533.75</v>
      </c>
      <c r="K394" s="100">
        <v>10.3</v>
      </c>
      <c r="L394" s="100">
        <v>45.475000000000001</v>
      </c>
      <c r="M394" s="100">
        <v>0.35000000000000003</v>
      </c>
      <c r="N394" s="100">
        <v>7.1</v>
      </c>
      <c r="O394" s="98" t="s">
        <v>48</v>
      </c>
      <c r="P394" s="98">
        <v>4</v>
      </c>
      <c r="Q394" s="98">
        <v>10</v>
      </c>
      <c r="R394" s="98" t="s">
        <v>49</v>
      </c>
      <c r="S394" s="98" t="s">
        <v>50</v>
      </c>
      <c r="T394" s="98" t="s">
        <v>50</v>
      </c>
      <c r="U394" s="98" t="s">
        <v>50</v>
      </c>
      <c r="V394" s="98" t="s">
        <v>50</v>
      </c>
      <c r="W394" s="98" t="s">
        <v>50</v>
      </c>
      <c r="X394" s="98" t="s">
        <v>50</v>
      </c>
      <c r="Y394" s="622"/>
    </row>
    <row r="395" spans="1:25" s="646" customFormat="1" x14ac:dyDescent="0.25">
      <c r="A395" s="645">
        <v>43872</v>
      </c>
      <c r="B395" s="646" t="s">
        <v>849</v>
      </c>
      <c r="C395" s="646" t="s">
        <v>88</v>
      </c>
      <c r="D395" s="646">
        <v>38.074919999999999</v>
      </c>
      <c r="E395" s="646">
        <v>-121.76563</v>
      </c>
      <c r="F395" s="646" t="s">
        <v>2957</v>
      </c>
      <c r="G395" s="646" t="s">
        <v>27</v>
      </c>
      <c r="H395" s="646" t="s">
        <v>25</v>
      </c>
      <c r="I395" s="647">
        <v>0.38263888888888892</v>
      </c>
      <c r="J395" s="648">
        <v>324.10000000000002</v>
      </c>
      <c r="K395" s="648">
        <v>10.050000000000001</v>
      </c>
      <c r="L395" s="648">
        <v>42.824999999999996</v>
      </c>
      <c r="M395" s="648">
        <v>0.50249999999999995</v>
      </c>
      <c r="N395" s="648">
        <v>9.875</v>
      </c>
      <c r="O395" s="646" t="s">
        <v>48</v>
      </c>
      <c r="P395" s="646">
        <v>4</v>
      </c>
      <c r="Q395" s="646">
        <v>10</v>
      </c>
      <c r="R395" s="646" t="s">
        <v>49</v>
      </c>
      <c r="S395" s="667" t="s">
        <v>31</v>
      </c>
      <c r="T395" s="646">
        <v>1</v>
      </c>
      <c r="U395" s="646">
        <v>90</v>
      </c>
      <c r="V395" s="646" t="s">
        <v>66</v>
      </c>
      <c r="W395" s="646" t="s">
        <v>50</v>
      </c>
      <c r="X395" s="646" t="s">
        <v>50</v>
      </c>
      <c r="Y395" s="668"/>
    </row>
    <row r="396" spans="1:25" s="646" customFormat="1" x14ac:dyDescent="0.25">
      <c r="A396" s="645">
        <v>43872</v>
      </c>
      <c r="B396" s="646" t="s">
        <v>849</v>
      </c>
      <c r="C396" s="646" t="s">
        <v>88</v>
      </c>
      <c r="D396" s="646">
        <v>38.074919999999999</v>
      </c>
      <c r="E396" s="646">
        <v>-121.76563</v>
      </c>
      <c r="F396" s="646" t="s">
        <v>2957</v>
      </c>
      <c r="G396" s="646" t="s">
        <v>27</v>
      </c>
      <c r="H396" s="646" t="s">
        <v>25</v>
      </c>
      <c r="I396" s="647">
        <v>0.38263888888888892</v>
      </c>
      <c r="J396" s="648">
        <v>324.10000000000002</v>
      </c>
      <c r="K396" s="648">
        <v>10.050000000000001</v>
      </c>
      <c r="L396" s="648">
        <v>42.824999999999996</v>
      </c>
      <c r="M396" s="648">
        <v>0.50249999999999995</v>
      </c>
      <c r="N396" s="648">
        <v>9.875</v>
      </c>
      <c r="O396" s="646" t="s">
        <v>48</v>
      </c>
      <c r="P396" s="646">
        <v>4</v>
      </c>
      <c r="Q396" s="646">
        <v>10</v>
      </c>
      <c r="R396" s="646" t="s">
        <v>49</v>
      </c>
      <c r="S396" s="667" t="s">
        <v>348</v>
      </c>
      <c r="T396" s="646">
        <v>1</v>
      </c>
      <c r="U396" s="646">
        <v>108</v>
      </c>
      <c r="V396" s="646" t="s">
        <v>50</v>
      </c>
      <c r="W396" s="646">
        <v>4</v>
      </c>
      <c r="X396" s="646" t="s">
        <v>2525</v>
      </c>
      <c r="Y396" s="668" t="s">
        <v>575</v>
      </c>
    </row>
    <row r="397" spans="1:25" s="98" customFormat="1" x14ac:dyDescent="0.25">
      <c r="A397" s="194">
        <v>43872</v>
      </c>
      <c r="B397" s="98" t="s">
        <v>849</v>
      </c>
      <c r="C397" s="98" t="s">
        <v>88</v>
      </c>
      <c r="D397" s="98">
        <v>38.097549999999998</v>
      </c>
      <c r="E397" s="98">
        <v>-121.73016</v>
      </c>
      <c r="F397" s="98" t="s">
        <v>2958</v>
      </c>
      <c r="G397" s="98" t="s">
        <v>90</v>
      </c>
      <c r="H397" s="98" t="s">
        <v>91</v>
      </c>
      <c r="I397" s="621">
        <v>0.45</v>
      </c>
      <c r="J397" s="100">
        <v>231.92499999999998</v>
      </c>
      <c r="K397" s="100">
        <v>9.8000000000000007</v>
      </c>
      <c r="L397" s="100">
        <v>30.849999999999998</v>
      </c>
      <c r="M397" s="100">
        <v>0.61499999999999999</v>
      </c>
      <c r="N397" s="100">
        <v>9.5500000000000007</v>
      </c>
      <c r="O397" s="98" t="s">
        <v>48</v>
      </c>
      <c r="P397" s="98">
        <v>4</v>
      </c>
      <c r="Q397" s="98">
        <v>10</v>
      </c>
      <c r="R397" s="98" t="s">
        <v>49</v>
      </c>
      <c r="S397" s="98" t="s">
        <v>50</v>
      </c>
      <c r="T397" s="98" t="s">
        <v>50</v>
      </c>
      <c r="U397" s="98" t="s">
        <v>50</v>
      </c>
      <c r="V397" s="98" t="s">
        <v>50</v>
      </c>
      <c r="W397" s="98" t="s">
        <v>50</v>
      </c>
      <c r="X397" s="98" t="s">
        <v>50</v>
      </c>
      <c r="Y397" s="622"/>
    </row>
    <row r="398" spans="1:25" s="98" customFormat="1" x14ac:dyDescent="0.25">
      <c r="A398" s="194">
        <v>43872</v>
      </c>
      <c r="B398" s="98" t="s">
        <v>849</v>
      </c>
      <c r="C398" s="98" t="s">
        <v>88</v>
      </c>
      <c r="D398" s="98">
        <v>38.116779999999999</v>
      </c>
      <c r="E398" s="98">
        <v>-121.70491</v>
      </c>
      <c r="F398" s="98" t="s">
        <v>2959</v>
      </c>
      <c r="G398" s="98" t="s">
        <v>90</v>
      </c>
      <c r="H398" s="98" t="s">
        <v>91</v>
      </c>
      <c r="I398" s="621">
        <v>0.49027777777777781</v>
      </c>
      <c r="J398" s="100">
        <v>241.07499999999999</v>
      </c>
      <c r="K398" s="100">
        <v>9.9</v>
      </c>
      <c r="L398" s="100">
        <v>43.275000000000006</v>
      </c>
      <c r="M398" s="100">
        <v>0.4425</v>
      </c>
      <c r="N398" s="100">
        <v>9.8249999999999993</v>
      </c>
      <c r="O398" s="98" t="s">
        <v>48</v>
      </c>
      <c r="P398" s="98">
        <v>4</v>
      </c>
      <c r="Q398" s="98">
        <v>10</v>
      </c>
      <c r="R398" s="98" t="s">
        <v>49</v>
      </c>
      <c r="S398" s="98" t="s">
        <v>50</v>
      </c>
      <c r="T398" s="98" t="s">
        <v>50</v>
      </c>
      <c r="U398" s="98" t="s">
        <v>50</v>
      </c>
      <c r="V398" s="98" t="s">
        <v>50</v>
      </c>
      <c r="W398" s="98" t="s">
        <v>50</v>
      </c>
      <c r="X398" s="98" t="s">
        <v>50</v>
      </c>
      <c r="Y398" s="622"/>
    </row>
    <row r="399" spans="1:25" s="98" customFormat="1" x14ac:dyDescent="0.25">
      <c r="A399" s="194">
        <v>43872</v>
      </c>
      <c r="B399" s="98" t="s">
        <v>849</v>
      </c>
      <c r="C399" s="98" t="s">
        <v>44</v>
      </c>
      <c r="D399" s="98">
        <v>37.977609999999999</v>
      </c>
      <c r="E399" s="98">
        <v>-121.52840999999999</v>
      </c>
      <c r="F399" s="98" t="s">
        <v>2960</v>
      </c>
      <c r="G399" s="98" t="s">
        <v>46</v>
      </c>
      <c r="H399" s="98" t="s">
        <v>59</v>
      </c>
      <c r="I399" s="621">
        <v>0.3215277777777778</v>
      </c>
      <c r="J399" s="100">
        <v>341.125</v>
      </c>
      <c r="K399" s="100">
        <v>9.875</v>
      </c>
      <c r="L399" s="100">
        <v>3.1149999999999998</v>
      </c>
      <c r="M399" s="100" t="s">
        <v>1233</v>
      </c>
      <c r="N399" s="100">
        <v>4.3999999999999995</v>
      </c>
      <c r="O399" s="98" t="s">
        <v>48</v>
      </c>
      <c r="P399" s="98">
        <v>4</v>
      </c>
      <c r="Q399" s="98">
        <v>10</v>
      </c>
      <c r="R399" s="98" t="s">
        <v>49</v>
      </c>
      <c r="S399" s="98" t="s">
        <v>50</v>
      </c>
      <c r="T399" s="98" t="s">
        <v>50</v>
      </c>
      <c r="U399" s="98" t="s">
        <v>50</v>
      </c>
      <c r="V399" s="98" t="s">
        <v>50</v>
      </c>
      <c r="W399" s="98" t="s">
        <v>50</v>
      </c>
      <c r="X399" s="98" t="s">
        <v>50</v>
      </c>
      <c r="Y399" s="622"/>
    </row>
    <row r="400" spans="1:25" s="98" customFormat="1" x14ac:dyDescent="0.25">
      <c r="A400" s="194">
        <v>43872</v>
      </c>
      <c r="B400" s="98" t="s">
        <v>849</v>
      </c>
      <c r="C400" s="98" t="s">
        <v>44</v>
      </c>
      <c r="D400" s="98">
        <v>37.993499999999997</v>
      </c>
      <c r="E400" s="98">
        <v>-121.52246</v>
      </c>
      <c r="F400" s="98" t="s">
        <v>2961</v>
      </c>
      <c r="G400" s="98" t="s">
        <v>46</v>
      </c>
      <c r="H400" s="98" t="s">
        <v>59</v>
      </c>
      <c r="I400" s="621">
        <v>0.37013888888888885</v>
      </c>
      <c r="J400" s="100">
        <v>323.95</v>
      </c>
      <c r="K400" s="100">
        <v>10.1</v>
      </c>
      <c r="L400" s="100">
        <v>4.1349999999999998</v>
      </c>
      <c r="M400" s="100">
        <v>1.6924999999999999</v>
      </c>
      <c r="N400" s="100">
        <v>4.2249999999999996</v>
      </c>
      <c r="O400" s="98" t="s">
        <v>48</v>
      </c>
      <c r="P400" s="98">
        <v>4</v>
      </c>
      <c r="Q400" s="98">
        <v>10</v>
      </c>
      <c r="R400" s="98" t="s">
        <v>64</v>
      </c>
      <c r="S400" s="98" t="s">
        <v>50</v>
      </c>
      <c r="T400" s="98" t="s">
        <v>50</v>
      </c>
      <c r="U400" s="98" t="s">
        <v>50</v>
      </c>
      <c r="V400" s="98" t="s">
        <v>50</v>
      </c>
      <c r="W400" s="98" t="s">
        <v>50</v>
      </c>
      <c r="X400" s="98" t="s">
        <v>50</v>
      </c>
      <c r="Y400" s="622"/>
    </row>
    <row r="401" spans="1:25" s="98" customFormat="1" x14ac:dyDescent="0.25">
      <c r="A401" s="194">
        <v>43872</v>
      </c>
      <c r="B401" s="98" t="s">
        <v>849</v>
      </c>
      <c r="C401" s="98" t="s">
        <v>44</v>
      </c>
      <c r="D401" s="98">
        <v>38.026179999999997</v>
      </c>
      <c r="E401" s="98">
        <v>-121.59435000000001</v>
      </c>
      <c r="F401" s="98" t="s">
        <v>2962</v>
      </c>
      <c r="G401" s="98" t="s">
        <v>46</v>
      </c>
      <c r="H401" s="98" t="s">
        <v>47</v>
      </c>
      <c r="I401" s="621">
        <v>0.4291666666666667</v>
      </c>
      <c r="J401" s="100">
        <v>309.07500000000005</v>
      </c>
      <c r="K401" s="100">
        <v>9.75</v>
      </c>
      <c r="L401" s="100">
        <v>65.025000000000006</v>
      </c>
      <c r="M401" s="100">
        <v>0.245</v>
      </c>
      <c r="N401" s="100">
        <v>7.7750000000000004</v>
      </c>
      <c r="O401" s="98" t="s">
        <v>48</v>
      </c>
      <c r="P401" s="98">
        <v>4</v>
      </c>
      <c r="Q401" s="98">
        <v>10</v>
      </c>
      <c r="R401" s="98" t="s">
        <v>49</v>
      </c>
      <c r="S401" s="98" t="s">
        <v>50</v>
      </c>
      <c r="T401" s="98" t="s">
        <v>50</v>
      </c>
      <c r="U401" s="98" t="s">
        <v>50</v>
      </c>
      <c r="V401" s="98" t="s">
        <v>50</v>
      </c>
      <c r="W401" s="98" t="s">
        <v>50</v>
      </c>
      <c r="X401" s="98" t="s">
        <v>50</v>
      </c>
      <c r="Y401" s="622"/>
    </row>
    <row r="402" spans="1:25" s="98" customFormat="1" x14ac:dyDescent="0.25">
      <c r="A402" s="194">
        <v>43872</v>
      </c>
      <c r="B402" s="98" t="s">
        <v>849</v>
      </c>
      <c r="C402" s="98" t="s">
        <v>118</v>
      </c>
      <c r="D402" s="98">
        <v>38.057980000000001</v>
      </c>
      <c r="E402" s="98">
        <v>-122.19913</v>
      </c>
      <c r="F402" s="98" t="s">
        <v>2963</v>
      </c>
      <c r="G402" s="98" t="s">
        <v>80</v>
      </c>
      <c r="H402" s="98" t="s">
        <v>120</v>
      </c>
      <c r="I402" s="621">
        <v>0.3215277777777778</v>
      </c>
      <c r="J402" s="100">
        <v>22040</v>
      </c>
      <c r="K402" s="100">
        <v>11.074999999999999</v>
      </c>
      <c r="L402" s="100">
        <v>39.725000000000001</v>
      </c>
      <c r="M402" s="100">
        <v>0.46500000000000002</v>
      </c>
      <c r="N402" s="100">
        <v>31.4</v>
      </c>
      <c r="O402" s="98" t="s">
        <v>48</v>
      </c>
      <c r="P402" s="98">
        <v>4</v>
      </c>
      <c r="Q402" s="98">
        <v>10</v>
      </c>
      <c r="R402" s="98" t="s">
        <v>49</v>
      </c>
      <c r="S402" s="98" t="s">
        <v>50</v>
      </c>
      <c r="T402" s="98" t="s">
        <v>50</v>
      </c>
      <c r="U402" s="98" t="s">
        <v>50</v>
      </c>
      <c r="V402" s="98" t="s">
        <v>50</v>
      </c>
      <c r="W402" s="98" t="s">
        <v>50</v>
      </c>
      <c r="X402" s="98" t="s">
        <v>50</v>
      </c>
      <c r="Y402" s="622"/>
    </row>
    <row r="403" spans="1:25" s="98" customFormat="1" x14ac:dyDescent="0.25">
      <c r="A403" s="194">
        <v>43872</v>
      </c>
      <c r="B403" s="98" t="s">
        <v>849</v>
      </c>
      <c r="C403" s="98" t="s">
        <v>78</v>
      </c>
      <c r="D403" s="98">
        <v>38.033810000000003</v>
      </c>
      <c r="E403" s="98">
        <v>-121.83026</v>
      </c>
      <c r="F403" s="98" t="s">
        <v>2964</v>
      </c>
      <c r="G403" s="98" t="s">
        <v>27</v>
      </c>
      <c r="H403" s="98" t="s">
        <v>101</v>
      </c>
      <c r="I403" s="621">
        <v>0.43888888888888888</v>
      </c>
      <c r="J403" s="100">
        <v>557.5</v>
      </c>
      <c r="K403" s="100">
        <v>10.199999999999999</v>
      </c>
      <c r="L403" s="100">
        <v>73.2</v>
      </c>
      <c r="M403" s="100">
        <v>0.31</v>
      </c>
      <c r="N403" s="100">
        <v>6.1999999999999993</v>
      </c>
      <c r="O403" s="98" t="s">
        <v>48</v>
      </c>
      <c r="P403" s="98">
        <v>4</v>
      </c>
      <c r="Q403" s="98">
        <v>10</v>
      </c>
      <c r="R403" s="98" t="s">
        <v>49</v>
      </c>
      <c r="S403" s="98" t="s">
        <v>50</v>
      </c>
      <c r="T403" s="98" t="s">
        <v>50</v>
      </c>
      <c r="U403" s="98" t="s">
        <v>50</v>
      </c>
      <c r="V403" s="98" t="s">
        <v>50</v>
      </c>
      <c r="W403" s="98" t="s">
        <v>50</v>
      </c>
      <c r="X403" s="98" t="s">
        <v>50</v>
      </c>
      <c r="Y403" s="622"/>
    </row>
    <row r="404" spans="1:25" s="98" customFormat="1" x14ac:dyDescent="0.25">
      <c r="A404" s="194">
        <v>43872</v>
      </c>
      <c r="B404" s="98" t="s">
        <v>849</v>
      </c>
      <c r="C404" s="98" t="s">
        <v>78</v>
      </c>
      <c r="D404" s="98">
        <v>38.037149999999997</v>
      </c>
      <c r="E404" s="98">
        <v>-121.84041000000001</v>
      </c>
      <c r="F404" s="98" t="s">
        <v>2965</v>
      </c>
      <c r="G404" s="98" t="s">
        <v>27</v>
      </c>
      <c r="H404" s="98" t="s">
        <v>101</v>
      </c>
      <c r="I404" s="621">
        <v>0.4993055555555555</v>
      </c>
      <c r="J404" s="100">
        <v>592</v>
      </c>
      <c r="K404" s="100">
        <v>10.25</v>
      </c>
      <c r="L404" s="100">
        <v>46.925000000000004</v>
      </c>
      <c r="M404" s="100">
        <v>0.375</v>
      </c>
      <c r="N404" s="100">
        <v>8.3000000000000007</v>
      </c>
      <c r="O404" s="98" t="s">
        <v>48</v>
      </c>
      <c r="P404" s="98">
        <v>4</v>
      </c>
      <c r="Q404" s="98">
        <v>10</v>
      </c>
      <c r="R404" s="98" t="s">
        <v>49</v>
      </c>
      <c r="S404" s="98" t="s">
        <v>50</v>
      </c>
      <c r="T404" s="98" t="s">
        <v>50</v>
      </c>
      <c r="U404" s="98" t="s">
        <v>50</v>
      </c>
      <c r="V404" s="98" t="s">
        <v>50</v>
      </c>
      <c r="W404" s="98" t="s">
        <v>50</v>
      </c>
      <c r="X404" s="98" t="s">
        <v>50</v>
      </c>
      <c r="Y404" s="622"/>
    </row>
    <row r="405" spans="1:25" s="592" customFormat="1" x14ac:dyDescent="0.25">
      <c r="A405" s="590">
        <v>43873</v>
      </c>
      <c r="B405" s="592" t="s">
        <v>915</v>
      </c>
      <c r="C405" s="592" t="s">
        <v>78</v>
      </c>
      <c r="D405" s="592">
        <v>38.060070000000003</v>
      </c>
      <c r="E405" s="592">
        <v>-122.03264</v>
      </c>
      <c r="F405" s="592" t="s">
        <v>2966</v>
      </c>
      <c r="G405" s="592" t="s">
        <v>27</v>
      </c>
      <c r="H405" s="592" t="s">
        <v>86</v>
      </c>
      <c r="I405" s="619">
        <v>0.3520833333333333</v>
      </c>
      <c r="J405" s="593">
        <v>12870.5</v>
      </c>
      <c r="K405" s="593">
        <v>10.8</v>
      </c>
      <c r="L405" s="593">
        <v>27.75</v>
      </c>
      <c r="M405" s="593">
        <v>0.52500000000000002</v>
      </c>
      <c r="N405" s="593">
        <v>11.45</v>
      </c>
      <c r="O405" s="592" t="s">
        <v>48</v>
      </c>
      <c r="P405" s="592">
        <v>2</v>
      </c>
      <c r="Q405" s="592">
        <v>10</v>
      </c>
      <c r="R405" s="592" t="s">
        <v>2967</v>
      </c>
      <c r="S405" s="675" t="s">
        <v>2968</v>
      </c>
      <c r="T405" s="592">
        <v>1</v>
      </c>
      <c r="U405" s="592">
        <v>68</v>
      </c>
      <c r="V405" s="592" t="s">
        <v>66</v>
      </c>
      <c r="W405" s="592" t="s">
        <v>50</v>
      </c>
      <c r="X405" s="592" t="s">
        <v>50</v>
      </c>
      <c r="Y405" s="669" t="s">
        <v>2969</v>
      </c>
    </row>
    <row r="406" spans="1:25" s="98" customFormat="1" x14ac:dyDescent="0.25">
      <c r="A406" s="194">
        <v>43873</v>
      </c>
      <c r="B406" s="98" t="s">
        <v>915</v>
      </c>
      <c r="C406" s="98" t="s">
        <v>78</v>
      </c>
      <c r="D406" s="98">
        <v>38.060940000000002</v>
      </c>
      <c r="E406" s="98">
        <v>-122.02696</v>
      </c>
      <c r="F406" s="98" t="s">
        <v>2970</v>
      </c>
      <c r="G406" s="98" t="s">
        <v>27</v>
      </c>
      <c r="H406" s="98" t="s">
        <v>86</v>
      </c>
      <c r="I406" s="621">
        <v>0.38472222222222219</v>
      </c>
      <c r="J406" s="100">
        <v>10893.75</v>
      </c>
      <c r="K406" s="100">
        <v>10.8</v>
      </c>
      <c r="L406" s="100">
        <v>50.424999999999997</v>
      </c>
      <c r="M406" s="100">
        <v>0.39</v>
      </c>
      <c r="N406" s="100">
        <v>11.3</v>
      </c>
      <c r="O406" s="98" t="s">
        <v>48</v>
      </c>
      <c r="P406" s="98">
        <v>4</v>
      </c>
      <c r="Q406" s="98">
        <v>10</v>
      </c>
      <c r="R406" s="98" t="s">
        <v>49</v>
      </c>
      <c r="S406" s="98" t="s">
        <v>50</v>
      </c>
      <c r="T406" s="98" t="s">
        <v>50</v>
      </c>
      <c r="U406" s="98" t="s">
        <v>50</v>
      </c>
      <c r="V406" s="98" t="s">
        <v>50</v>
      </c>
      <c r="W406" s="98" t="s">
        <v>50</v>
      </c>
      <c r="X406" s="98" t="s">
        <v>50</v>
      </c>
      <c r="Y406" s="622"/>
    </row>
    <row r="407" spans="1:25" s="98" customFormat="1" x14ac:dyDescent="0.25">
      <c r="A407" s="194">
        <v>43873</v>
      </c>
      <c r="B407" s="98" t="s">
        <v>915</v>
      </c>
      <c r="C407" s="98" t="s">
        <v>78</v>
      </c>
      <c r="D407" s="98">
        <v>38.062669999999997</v>
      </c>
      <c r="E407" s="98">
        <v>-121.85505000000001</v>
      </c>
      <c r="F407" s="98" t="s">
        <v>2971</v>
      </c>
      <c r="G407" s="98" t="s">
        <v>27</v>
      </c>
      <c r="H407" s="98" t="s">
        <v>101</v>
      </c>
      <c r="I407" s="621">
        <v>0.44930555555555557</v>
      </c>
      <c r="J407" s="100">
        <v>2037</v>
      </c>
      <c r="K407" s="100">
        <v>10.55</v>
      </c>
      <c r="L407" s="100">
        <v>60.5</v>
      </c>
      <c r="M407" s="100">
        <v>0.34</v>
      </c>
      <c r="N407" s="100">
        <v>20.399999999999999</v>
      </c>
      <c r="O407" s="98" t="s">
        <v>48</v>
      </c>
      <c r="P407" s="98">
        <v>4</v>
      </c>
      <c r="Q407" s="98">
        <v>10</v>
      </c>
      <c r="R407" s="98" t="s">
        <v>49</v>
      </c>
      <c r="S407" s="98" t="s">
        <v>50</v>
      </c>
      <c r="T407" s="98" t="s">
        <v>50</v>
      </c>
      <c r="U407" s="98" t="s">
        <v>50</v>
      </c>
      <c r="V407" s="98" t="s">
        <v>50</v>
      </c>
      <c r="W407" s="98" t="s">
        <v>50</v>
      </c>
      <c r="X407" s="98" t="s">
        <v>50</v>
      </c>
      <c r="Y407" s="622"/>
    </row>
    <row r="408" spans="1:25" s="646" customFormat="1" x14ac:dyDescent="0.25">
      <c r="A408" s="645">
        <v>43873</v>
      </c>
      <c r="B408" s="646" t="s">
        <v>915</v>
      </c>
      <c r="C408" s="646" t="s">
        <v>126</v>
      </c>
      <c r="D408" s="646">
        <v>38.288800000000002</v>
      </c>
      <c r="E408" s="646">
        <v>-121.66630000000001</v>
      </c>
      <c r="F408" s="646" t="s">
        <v>2972</v>
      </c>
      <c r="G408" s="646" t="s">
        <v>90</v>
      </c>
      <c r="H408" s="646" t="s">
        <v>845</v>
      </c>
      <c r="I408" s="647">
        <v>0.3347222222222222</v>
      </c>
      <c r="J408" s="648">
        <v>357.42499999999995</v>
      </c>
      <c r="K408" s="648">
        <v>9.9499999999999993</v>
      </c>
      <c r="L408" s="648">
        <v>21.625</v>
      </c>
      <c r="M408" s="648">
        <v>0.56499999999999995</v>
      </c>
      <c r="N408" s="648">
        <v>7.6750000000000007</v>
      </c>
      <c r="O408" s="646" t="s">
        <v>48</v>
      </c>
      <c r="P408" s="646">
        <v>4</v>
      </c>
      <c r="Q408" s="646">
        <v>10</v>
      </c>
      <c r="R408" s="646" t="s">
        <v>49</v>
      </c>
      <c r="S408" s="667" t="s">
        <v>758</v>
      </c>
      <c r="T408" s="646">
        <v>1</v>
      </c>
      <c r="U408" s="646">
        <v>124</v>
      </c>
      <c r="V408" s="646" t="s">
        <v>50</v>
      </c>
      <c r="W408" s="646">
        <v>4</v>
      </c>
      <c r="X408" s="646" t="s">
        <v>50</v>
      </c>
      <c r="Y408" s="668" t="s">
        <v>2973</v>
      </c>
    </row>
    <row r="409" spans="1:25" s="98" customFormat="1" x14ac:dyDescent="0.25">
      <c r="A409" s="194">
        <v>43873</v>
      </c>
      <c r="B409" s="98" t="s">
        <v>915</v>
      </c>
      <c r="C409" s="98" t="s">
        <v>126</v>
      </c>
      <c r="D409" s="98">
        <v>38.266550000000002</v>
      </c>
      <c r="E409" s="98">
        <v>-121.69293999999999</v>
      </c>
      <c r="F409" s="98" t="s">
        <v>2974</v>
      </c>
      <c r="G409" s="98" t="s">
        <v>90</v>
      </c>
      <c r="H409" s="98" t="s">
        <v>845</v>
      </c>
      <c r="I409" s="621">
        <v>0.39652777777777781</v>
      </c>
      <c r="J409" s="100">
        <v>284.95</v>
      </c>
      <c r="K409" s="100">
        <v>10.175000000000001</v>
      </c>
      <c r="L409" s="100">
        <v>23.025000000000002</v>
      </c>
      <c r="M409" s="100">
        <v>0.58250000000000002</v>
      </c>
      <c r="N409" s="100">
        <v>5.5749999999999993</v>
      </c>
      <c r="O409" s="98" t="s">
        <v>48</v>
      </c>
      <c r="P409" s="98">
        <v>4</v>
      </c>
      <c r="Q409" s="98">
        <v>10</v>
      </c>
      <c r="R409" s="98" t="s">
        <v>49</v>
      </c>
      <c r="S409" s="98" t="s">
        <v>50</v>
      </c>
      <c r="T409" s="98" t="s">
        <v>50</v>
      </c>
      <c r="U409" s="98" t="s">
        <v>50</v>
      </c>
      <c r="V409" s="98" t="s">
        <v>50</v>
      </c>
      <c r="W409" s="98" t="s">
        <v>50</v>
      </c>
      <c r="X409" s="98" t="s">
        <v>50</v>
      </c>
      <c r="Y409" s="622"/>
    </row>
    <row r="410" spans="1:25" s="98" customFormat="1" x14ac:dyDescent="0.25">
      <c r="A410" s="194">
        <v>43873</v>
      </c>
      <c r="B410" s="98" t="s">
        <v>915</v>
      </c>
      <c r="C410" s="98" t="s">
        <v>126</v>
      </c>
      <c r="D410" s="98">
        <v>38.244430000000001</v>
      </c>
      <c r="E410" s="98">
        <v>-121.69395</v>
      </c>
      <c r="F410" s="98" t="s">
        <v>2975</v>
      </c>
      <c r="G410" s="98" t="s">
        <v>90</v>
      </c>
      <c r="H410" s="98" t="s">
        <v>845</v>
      </c>
      <c r="I410" s="621">
        <v>0.44861111111111113</v>
      </c>
      <c r="J410" s="100">
        <v>280.3</v>
      </c>
      <c r="K410" s="100">
        <v>10.233333333333333</v>
      </c>
      <c r="L410" s="100">
        <v>19.466666666666665</v>
      </c>
      <c r="M410" s="100">
        <v>0.67333333333333334</v>
      </c>
      <c r="N410" s="100">
        <v>4.5</v>
      </c>
      <c r="O410" s="98" t="s">
        <v>48</v>
      </c>
      <c r="P410" s="98">
        <v>3</v>
      </c>
      <c r="Q410" s="98">
        <v>10</v>
      </c>
      <c r="R410" s="98" t="s">
        <v>49</v>
      </c>
      <c r="S410" s="98" t="s">
        <v>50</v>
      </c>
      <c r="T410" s="98" t="s">
        <v>50</v>
      </c>
      <c r="U410" s="98" t="s">
        <v>50</v>
      </c>
      <c r="V410" s="98" t="s">
        <v>50</v>
      </c>
      <c r="W410" s="98" t="s">
        <v>50</v>
      </c>
      <c r="X410" s="98" t="s">
        <v>50</v>
      </c>
      <c r="Y410" s="622" t="s">
        <v>2976</v>
      </c>
    </row>
    <row r="411" spans="1:25" s="98" customFormat="1" x14ac:dyDescent="0.25">
      <c r="A411" s="194">
        <v>43873</v>
      </c>
      <c r="B411" s="98" t="s">
        <v>915</v>
      </c>
      <c r="C411" s="98" t="s">
        <v>95</v>
      </c>
      <c r="D411" s="98">
        <v>38.048520000000003</v>
      </c>
      <c r="E411" s="98">
        <v>-121.52708</v>
      </c>
      <c r="F411" s="98" t="s">
        <v>2977</v>
      </c>
      <c r="G411" s="98" t="s">
        <v>46</v>
      </c>
      <c r="H411" s="98" t="s">
        <v>115</v>
      </c>
      <c r="I411" s="621">
        <v>0.31805555555555554</v>
      </c>
      <c r="J411" s="100">
        <v>300.52499999999998</v>
      </c>
      <c r="K411" s="100">
        <v>10.324999999999999</v>
      </c>
      <c r="L411" s="100">
        <v>8.23</v>
      </c>
      <c r="M411" s="100">
        <v>1.2275</v>
      </c>
      <c r="N411" s="100">
        <v>3.875</v>
      </c>
      <c r="O411" s="98" t="s">
        <v>48</v>
      </c>
      <c r="P411" s="98">
        <v>4</v>
      </c>
      <c r="Q411" s="98">
        <v>10</v>
      </c>
      <c r="R411" s="98" t="s">
        <v>49</v>
      </c>
      <c r="S411" s="98" t="s">
        <v>50</v>
      </c>
      <c r="T411" s="98" t="s">
        <v>50</v>
      </c>
      <c r="U411" s="98" t="s">
        <v>50</v>
      </c>
      <c r="V411" s="98" t="s">
        <v>50</v>
      </c>
      <c r="W411" s="98" t="s">
        <v>50</v>
      </c>
      <c r="X411" s="98" t="s">
        <v>50</v>
      </c>
      <c r="Y411" s="622" t="s">
        <v>2978</v>
      </c>
    </row>
    <row r="412" spans="1:25" s="98" customFormat="1" x14ac:dyDescent="0.25">
      <c r="A412" s="194">
        <v>43873</v>
      </c>
      <c r="B412" s="98" t="s">
        <v>915</v>
      </c>
      <c r="C412" s="98" t="s">
        <v>95</v>
      </c>
      <c r="D412" s="98">
        <v>38.07488</v>
      </c>
      <c r="E412" s="98">
        <v>-121.56373000000001</v>
      </c>
      <c r="F412" s="98" t="s">
        <v>2979</v>
      </c>
      <c r="G412" s="98" t="s">
        <v>46</v>
      </c>
      <c r="H412" s="98" t="s">
        <v>115</v>
      </c>
      <c r="I412" s="621">
        <v>0.37083333333333335</v>
      </c>
      <c r="J412" s="100">
        <v>259.75</v>
      </c>
      <c r="K412" s="100">
        <v>10.225</v>
      </c>
      <c r="L412" s="100">
        <v>10.02</v>
      </c>
      <c r="M412" s="100">
        <v>1.1124999999999998</v>
      </c>
      <c r="N412" s="100">
        <v>12.4</v>
      </c>
      <c r="O412" s="98" t="s">
        <v>48</v>
      </c>
      <c r="P412" s="98">
        <v>4</v>
      </c>
      <c r="Q412" s="98">
        <v>10</v>
      </c>
      <c r="R412" s="98" t="s">
        <v>49</v>
      </c>
      <c r="S412" s="98" t="s">
        <v>50</v>
      </c>
      <c r="T412" s="98" t="s">
        <v>50</v>
      </c>
      <c r="U412" s="98" t="s">
        <v>50</v>
      </c>
      <c r="V412" s="98" t="s">
        <v>50</v>
      </c>
      <c r="W412" s="98" t="s">
        <v>50</v>
      </c>
      <c r="X412" s="98" t="s">
        <v>50</v>
      </c>
      <c r="Y412" s="622"/>
    </row>
    <row r="413" spans="1:25" s="98" customFormat="1" x14ac:dyDescent="0.25">
      <c r="A413" s="194">
        <v>43873</v>
      </c>
      <c r="B413" s="98" t="s">
        <v>915</v>
      </c>
      <c r="C413" s="98" t="s">
        <v>95</v>
      </c>
      <c r="D413" s="98">
        <v>38.096330000000002</v>
      </c>
      <c r="E413" s="98">
        <v>-121.58699</v>
      </c>
      <c r="F413" s="98" t="s">
        <v>2980</v>
      </c>
      <c r="G413" s="98" t="s">
        <v>46</v>
      </c>
      <c r="H413" s="98" t="s">
        <v>115</v>
      </c>
      <c r="I413" s="621">
        <v>0.41805555555555557</v>
      </c>
      <c r="J413" s="100">
        <v>261.8</v>
      </c>
      <c r="K413" s="100">
        <v>10.3</v>
      </c>
      <c r="L413" s="100">
        <v>13.149999999999999</v>
      </c>
      <c r="M413" s="100">
        <v>0.95500000000000007</v>
      </c>
      <c r="N413" s="100">
        <v>9.75</v>
      </c>
      <c r="O413" s="98" t="s">
        <v>48</v>
      </c>
      <c r="P413" s="98">
        <v>4</v>
      </c>
      <c r="Q413" s="98">
        <v>10</v>
      </c>
      <c r="R413" s="98" t="s">
        <v>49</v>
      </c>
      <c r="S413" s="98" t="s">
        <v>50</v>
      </c>
      <c r="T413" s="98" t="s">
        <v>50</v>
      </c>
      <c r="U413" s="98" t="s">
        <v>50</v>
      </c>
      <c r="V413" s="98" t="s">
        <v>50</v>
      </c>
      <c r="W413" s="98" t="s">
        <v>50</v>
      </c>
      <c r="X413" s="98" t="s">
        <v>50</v>
      </c>
      <c r="Y413" s="622"/>
    </row>
    <row r="414" spans="1:25" s="98" customFormat="1" x14ac:dyDescent="0.25">
      <c r="A414" s="194">
        <v>43873</v>
      </c>
      <c r="B414" s="98" t="s">
        <v>915</v>
      </c>
      <c r="C414" s="98" t="s">
        <v>95</v>
      </c>
      <c r="D414" s="98">
        <v>38.095599999999997</v>
      </c>
      <c r="E414" s="98">
        <v>-121.65184000000001</v>
      </c>
      <c r="F414" s="98" t="s">
        <v>2981</v>
      </c>
      <c r="G414" s="98" t="s">
        <v>46</v>
      </c>
      <c r="H414" s="98" t="s">
        <v>908</v>
      </c>
      <c r="I414" s="621">
        <v>0.46736111111111112</v>
      </c>
      <c r="J414" s="100">
        <v>285.35000000000002</v>
      </c>
      <c r="K414" s="100">
        <v>10.325000000000001</v>
      </c>
      <c r="L414" s="100">
        <v>15.05</v>
      </c>
      <c r="M414" s="100">
        <v>0.86499999999999999</v>
      </c>
      <c r="N414" s="100">
        <v>9.875</v>
      </c>
      <c r="O414" s="98" t="s">
        <v>48</v>
      </c>
      <c r="P414" s="98">
        <v>4</v>
      </c>
      <c r="Q414" s="98">
        <v>10</v>
      </c>
      <c r="R414" s="98" t="s">
        <v>49</v>
      </c>
      <c r="S414" s="98" t="s">
        <v>50</v>
      </c>
      <c r="T414" s="98" t="s">
        <v>50</v>
      </c>
      <c r="U414" s="98" t="s">
        <v>50</v>
      </c>
      <c r="V414" s="98" t="s">
        <v>50</v>
      </c>
      <c r="W414" s="98" t="s">
        <v>50</v>
      </c>
      <c r="X414" s="98" t="s">
        <v>50</v>
      </c>
      <c r="Y414" s="622"/>
    </row>
    <row r="415" spans="1:25" s="98" customFormat="1" x14ac:dyDescent="0.25">
      <c r="A415" s="194">
        <v>43874</v>
      </c>
      <c r="B415" s="98" t="s">
        <v>876</v>
      </c>
      <c r="C415" s="98" t="s">
        <v>95</v>
      </c>
      <c r="D415" s="98">
        <v>38.041029999999999</v>
      </c>
      <c r="E415" s="98">
        <v>-121.7094</v>
      </c>
      <c r="F415" s="98" t="s">
        <v>2982</v>
      </c>
      <c r="G415" s="98" t="s">
        <v>27</v>
      </c>
      <c r="H415" s="98" t="s">
        <v>863</v>
      </c>
      <c r="I415" s="621">
        <v>0.38263888888888892</v>
      </c>
      <c r="J415" s="100">
        <v>479.20000000000005</v>
      </c>
      <c r="K415" s="100">
        <v>10.55</v>
      </c>
      <c r="L415" s="100">
        <v>22.700000000000003</v>
      </c>
      <c r="M415" s="100">
        <v>0.59</v>
      </c>
      <c r="N415" s="100">
        <v>5.7</v>
      </c>
      <c r="O415" s="98" t="s">
        <v>48</v>
      </c>
      <c r="P415" s="98">
        <v>4</v>
      </c>
      <c r="Q415" s="98">
        <v>10</v>
      </c>
      <c r="R415" s="98" t="s">
        <v>49</v>
      </c>
      <c r="S415" s="98" t="s">
        <v>50</v>
      </c>
      <c r="T415" s="98" t="s">
        <v>50</v>
      </c>
      <c r="U415" s="98" t="s">
        <v>50</v>
      </c>
      <c r="V415" s="98" t="s">
        <v>50</v>
      </c>
      <c r="W415" s="98" t="s">
        <v>50</v>
      </c>
      <c r="X415" s="98" t="s">
        <v>50</v>
      </c>
      <c r="Y415" s="622"/>
    </row>
    <row r="416" spans="1:25" s="98" customFormat="1" x14ac:dyDescent="0.25">
      <c r="A416" s="194">
        <v>43874</v>
      </c>
      <c r="B416" s="98" t="s">
        <v>876</v>
      </c>
      <c r="C416" s="98" t="s">
        <v>95</v>
      </c>
      <c r="D416" s="98">
        <v>38.016219999999997</v>
      </c>
      <c r="E416" s="98">
        <v>-121.78425</v>
      </c>
      <c r="F416" s="98" t="s">
        <v>2983</v>
      </c>
      <c r="G416" s="98" t="s">
        <v>27</v>
      </c>
      <c r="H416" s="98" t="s">
        <v>863</v>
      </c>
      <c r="I416" s="621">
        <v>0.32916666666666666</v>
      </c>
      <c r="J416" s="100">
        <v>1242</v>
      </c>
      <c r="K416" s="100">
        <v>10.6</v>
      </c>
      <c r="L416" s="100">
        <v>29.324999999999999</v>
      </c>
      <c r="M416" s="100">
        <v>0.47499999999999998</v>
      </c>
      <c r="N416" s="100">
        <v>10.9</v>
      </c>
      <c r="O416" s="98" t="s">
        <v>48</v>
      </c>
      <c r="P416" s="98">
        <v>4</v>
      </c>
      <c r="Q416" s="98">
        <v>10</v>
      </c>
      <c r="R416" s="98" t="s">
        <v>64</v>
      </c>
      <c r="S416" s="98" t="s">
        <v>50</v>
      </c>
      <c r="T416" s="98" t="s">
        <v>50</v>
      </c>
      <c r="U416" s="98" t="s">
        <v>50</v>
      </c>
      <c r="V416" s="98" t="s">
        <v>50</v>
      </c>
      <c r="W416" s="98" t="s">
        <v>50</v>
      </c>
      <c r="X416" s="98" t="s">
        <v>50</v>
      </c>
      <c r="Y416" s="622"/>
    </row>
    <row r="417" spans="1:25" s="98" customFormat="1" x14ac:dyDescent="0.25">
      <c r="A417" s="194">
        <v>43874</v>
      </c>
      <c r="B417" s="98" t="s">
        <v>876</v>
      </c>
      <c r="C417" s="98" t="s">
        <v>95</v>
      </c>
      <c r="D417" s="98">
        <v>38.093310000000002</v>
      </c>
      <c r="E417" s="98">
        <v>-121.67316</v>
      </c>
      <c r="F417" s="98" t="s">
        <v>2984</v>
      </c>
      <c r="G417" s="98" t="s">
        <v>46</v>
      </c>
      <c r="H417" s="98" t="s">
        <v>908</v>
      </c>
      <c r="I417" s="621">
        <v>0.43333333333333335</v>
      </c>
      <c r="J417" s="100">
        <v>315.17499999999995</v>
      </c>
      <c r="K417" s="100">
        <v>10.574999999999999</v>
      </c>
      <c r="L417" s="100">
        <v>15.350000000000001</v>
      </c>
      <c r="M417" s="100">
        <v>0.78250000000000008</v>
      </c>
      <c r="N417" s="100">
        <v>7.7249999999999996</v>
      </c>
      <c r="O417" s="98" t="s">
        <v>48</v>
      </c>
      <c r="P417" s="98">
        <v>4</v>
      </c>
      <c r="Q417" s="98">
        <v>10</v>
      </c>
      <c r="R417" s="98" t="s">
        <v>49</v>
      </c>
      <c r="S417" s="98" t="s">
        <v>50</v>
      </c>
      <c r="T417" s="98" t="s">
        <v>50</v>
      </c>
      <c r="U417" s="98" t="s">
        <v>50</v>
      </c>
      <c r="V417" s="98" t="s">
        <v>50</v>
      </c>
      <c r="W417" s="98" t="s">
        <v>50</v>
      </c>
      <c r="X417" s="98" t="s">
        <v>50</v>
      </c>
      <c r="Y417" s="622"/>
    </row>
    <row r="418" spans="1:25" s="646" customFormat="1" x14ac:dyDescent="0.25">
      <c r="A418" s="645">
        <v>43874</v>
      </c>
      <c r="B418" s="646" t="s">
        <v>876</v>
      </c>
      <c r="C418" s="646" t="s">
        <v>106</v>
      </c>
      <c r="D418" s="646">
        <v>38.450580000000002</v>
      </c>
      <c r="E418" s="646">
        <v>-121.59389</v>
      </c>
      <c r="F418" s="646" t="s">
        <v>2985</v>
      </c>
      <c r="G418" s="646" t="s">
        <v>90</v>
      </c>
      <c r="H418" s="646" t="s">
        <v>362</v>
      </c>
      <c r="I418" s="647">
        <v>0.39999999999999997</v>
      </c>
      <c r="J418" s="648">
        <v>645</v>
      </c>
      <c r="K418" s="648">
        <v>10.125</v>
      </c>
      <c r="L418" s="648">
        <v>101.95</v>
      </c>
      <c r="M418" s="648">
        <v>0.1925</v>
      </c>
      <c r="N418" s="648">
        <v>10.675000000000001</v>
      </c>
      <c r="O418" s="646" t="s">
        <v>48</v>
      </c>
      <c r="P418" s="646">
        <v>4</v>
      </c>
      <c r="Q418" s="646">
        <v>10</v>
      </c>
      <c r="R418" s="646" t="s">
        <v>49</v>
      </c>
      <c r="S418" s="667" t="s">
        <v>348</v>
      </c>
      <c r="T418" s="646">
        <v>1</v>
      </c>
      <c r="U418" s="646">
        <v>104</v>
      </c>
      <c r="V418" s="646" t="s">
        <v>50</v>
      </c>
      <c r="W418" s="646">
        <v>4</v>
      </c>
      <c r="X418" s="646" t="s">
        <v>2525</v>
      </c>
      <c r="Y418" s="668" t="s">
        <v>2986</v>
      </c>
    </row>
    <row r="419" spans="1:25" s="98" customFormat="1" x14ac:dyDescent="0.25">
      <c r="A419" s="194">
        <v>43874</v>
      </c>
      <c r="B419" s="98" t="s">
        <v>876</v>
      </c>
      <c r="C419" s="98" t="s">
        <v>106</v>
      </c>
      <c r="D419" s="98">
        <v>38.314810000000001</v>
      </c>
      <c r="E419" s="98">
        <v>-121.65183</v>
      </c>
      <c r="F419" s="98" t="s">
        <v>2987</v>
      </c>
      <c r="G419" s="98" t="s">
        <v>90</v>
      </c>
      <c r="H419" s="98" t="s">
        <v>362</v>
      </c>
      <c r="I419" s="621">
        <v>0.33333333333333331</v>
      </c>
      <c r="J419" s="100">
        <v>291.25</v>
      </c>
      <c r="K419" s="100">
        <v>10.149999999999999</v>
      </c>
      <c r="L419" s="100">
        <v>32.6</v>
      </c>
      <c r="M419" s="100">
        <v>0.36750000000000005</v>
      </c>
      <c r="N419" s="100">
        <v>10.574999999999999</v>
      </c>
      <c r="O419" s="98" t="s">
        <v>48</v>
      </c>
      <c r="P419" s="98">
        <v>4</v>
      </c>
      <c r="Q419" s="98">
        <v>10</v>
      </c>
      <c r="R419" s="98" t="s">
        <v>49</v>
      </c>
      <c r="S419" s="98" t="s">
        <v>50</v>
      </c>
      <c r="T419" s="98" t="s">
        <v>50</v>
      </c>
      <c r="U419" s="98" t="s">
        <v>50</v>
      </c>
      <c r="V419" s="98" t="s">
        <v>50</v>
      </c>
      <c r="W419" s="98" t="s">
        <v>50</v>
      </c>
      <c r="X419" s="98" t="s">
        <v>50</v>
      </c>
      <c r="Y419" s="622"/>
    </row>
    <row r="420" spans="1:25" s="98" customFormat="1" x14ac:dyDescent="0.25">
      <c r="A420" s="194">
        <v>43874</v>
      </c>
      <c r="B420" s="98" t="s">
        <v>876</v>
      </c>
      <c r="C420" s="98" t="s">
        <v>106</v>
      </c>
      <c r="D420" s="98">
        <v>38.564480000000003</v>
      </c>
      <c r="E420" s="98">
        <v>-121.55364</v>
      </c>
      <c r="F420" s="98" t="s">
        <v>2988</v>
      </c>
      <c r="G420" s="98" t="s">
        <v>90</v>
      </c>
      <c r="H420" s="98" t="s">
        <v>1787</v>
      </c>
      <c r="I420" s="621">
        <v>0.47430555555555554</v>
      </c>
      <c r="J420" s="651">
        <v>1216</v>
      </c>
      <c r="K420" s="651">
        <v>11.499999999999998</v>
      </c>
      <c r="L420" s="651">
        <v>8.8350000000000009</v>
      </c>
      <c r="M420" s="651">
        <v>1.8</v>
      </c>
      <c r="N420" s="651">
        <v>8.7249999999999996</v>
      </c>
      <c r="O420" s="98" t="s">
        <v>48</v>
      </c>
      <c r="P420" s="98">
        <v>4</v>
      </c>
      <c r="Q420" s="98">
        <v>10</v>
      </c>
      <c r="R420" s="98" t="s">
        <v>49</v>
      </c>
      <c r="S420" s="98" t="s">
        <v>50</v>
      </c>
      <c r="T420" s="98" t="s">
        <v>50</v>
      </c>
      <c r="U420" s="98" t="s">
        <v>50</v>
      </c>
      <c r="V420" s="98" t="s">
        <v>50</v>
      </c>
      <c r="W420" s="98" t="s">
        <v>50</v>
      </c>
      <c r="X420" s="98" t="s">
        <v>50</v>
      </c>
      <c r="Y420" s="622"/>
    </row>
    <row r="421" spans="1:25" s="646" customFormat="1" x14ac:dyDescent="0.25">
      <c r="A421" s="645">
        <v>43874</v>
      </c>
      <c r="B421" s="646" t="s">
        <v>876</v>
      </c>
      <c r="C421" s="646" t="s">
        <v>62</v>
      </c>
      <c r="D421" s="646">
        <v>38.127560000000003</v>
      </c>
      <c r="E421" s="646">
        <v>-122.08196</v>
      </c>
      <c r="F421" s="646" t="s">
        <v>2989</v>
      </c>
      <c r="G421" s="646" t="s">
        <v>27</v>
      </c>
      <c r="H421" s="646" t="s">
        <v>62</v>
      </c>
      <c r="I421" s="647">
        <v>0.35555555555555557</v>
      </c>
      <c r="J421" s="648">
        <v>7380.75</v>
      </c>
      <c r="K421" s="648">
        <v>10.8</v>
      </c>
      <c r="L421" s="648">
        <v>119.825</v>
      </c>
      <c r="M421" s="648">
        <v>0.17500000000000002</v>
      </c>
      <c r="N421" s="648">
        <v>2.2249999999999996</v>
      </c>
      <c r="O421" s="646" t="s">
        <v>48</v>
      </c>
      <c r="P421" s="646">
        <v>4</v>
      </c>
      <c r="Q421" s="646">
        <v>10</v>
      </c>
      <c r="R421" s="646" t="s">
        <v>49</v>
      </c>
      <c r="S421" s="667" t="s">
        <v>31</v>
      </c>
      <c r="T421" s="646">
        <v>3</v>
      </c>
      <c r="U421" s="646" t="s">
        <v>2990</v>
      </c>
      <c r="V421" s="646" t="s">
        <v>66</v>
      </c>
      <c r="W421" s="646" t="s">
        <v>50</v>
      </c>
      <c r="X421" s="646" t="s">
        <v>50</v>
      </c>
      <c r="Y421" s="668"/>
    </row>
    <row r="422" spans="1:25" s="646" customFormat="1" x14ac:dyDescent="0.25">
      <c r="A422" s="645">
        <v>43874</v>
      </c>
      <c r="B422" s="646" t="s">
        <v>876</v>
      </c>
      <c r="C422" s="646" t="s">
        <v>62</v>
      </c>
      <c r="D422" s="646">
        <v>38.151969999999999</v>
      </c>
      <c r="E422" s="646">
        <v>-122.05526999999999</v>
      </c>
      <c r="F422" s="646" t="s">
        <v>2991</v>
      </c>
      <c r="G422" s="646" t="s">
        <v>27</v>
      </c>
      <c r="H422" s="646" t="s">
        <v>62</v>
      </c>
      <c r="I422" s="647">
        <v>0.41666666666666669</v>
      </c>
      <c r="J422" s="648">
        <v>4364</v>
      </c>
      <c r="K422" s="648">
        <v>10.725000000000001</v>
      </c>
      <c r="L422" s="648">
        <v>167</v>
      </c>
      <c r="M422" s="648">
        <v>0.16</v>
      </c>
      <c r="N422" s="648">
        <v>10.725</v>
      </c>
      <c r="O422" s="646" t="s">
        <v>48</v>
      </c>
      <c r="P422" s="646">
        <v>4</v>
      </c>
      <c r="Q422" s="646">
        <v>10</v>
      </c>
      <c r="R422" s="646" t="s">
        <v>49</v>
      </c>
      <c r="S422" s="667" t="s">
        <v>31</v>
      </c>
      <c r="T422" s="646">
        <v>2</v>
      </c>
      <c r="U422" s="646" t="s">
        <v>2992</v>
      </c>
      <c r="V422" s="646" t="s">
        <v>66</v>
      </c>
      <c r="W422" s="646" t="s">
        <v>50</v>
      </c>
      <c r="X422" s="646" t="s">
        <v>50</v>
      </c>
      <c r="Y422" s="668" t="s">
        <v>2993</v>
      </c>
    </row>
    <row r="423" spans="1:25" s="414" customFormat="1" x14ac:dyDescent="0.25">
      <c r="A423" s="412">
        <v>43874</v>
      </c>
      <c r="B423" s="414" t="s">
        <v>876</v>
      </c>
      <c r="C423" s="414" t="s">
        <v>62</v>
      </c>
      <c r="D423" s="414">
        <v>38.131050000000002</v>
      </c>
      <c r="E423" s="414">
        <v>-121.91537</v>
      </c>
      <c r="F423" s="414" t="s">
        <v>2994</v>
      </c>
      <c r="G423" s="414" t="s">
        <v>27</v>
      </c>
      <c r="H423" s="414" t="s">
        <v>62</v>
      </c>
      <c r="I423" s="629">
        <v>0.48402777777777778</v>
      </c>
      <c r="J423" s="416">
        <v>1641.25</v>
      </c>
      <c r="K423" s="416">
        <v>11</v>
      </c>
      <c r="L423" s="416">
        <v>55.699999999999989</v>
      </c>
      <c r="M423" s="416">
        <v>0.36249999999999999</v>
      </c>
      <c r="N423" s="416">
        <v>6.625</v>
      </c>
      <c r="O423" s="414" t="s">
        <v>48</v>
      </c>
      <c r="P423" s="414">
        <v>4</v>
      </c>
      <c r="Q423" s="414">
        <v>10</v>
      </c>
      <c r="R423" s="414" t="s">
        <v>49</v>
      </c>
      <c r="S423" s="676" t="s">
        <v>31</v>
      </c>
      <c r="T423" s="414">
        <v>1</v>
      </c>
      <c r="U423" s="414">
        <v>74</v>
      </c>
      <c r="V423" s="414" t="s">
        <v>66</v>
      </c>
      <c r="W423" s="414" t="s">
        <v>50</v>
      </c>
      <c r="X423" s="414" t="s">
        <v>50</v>
      </c>
      <c r="Y423" s="630" t="s">
        <v>2995</v>
      </c>
    </row>
    <row r="424" spans="1:25" s="98" customFormat="1" x14ac:dyDescent="0.25">
      <c r="A424" s="194">
        <v>43879</v>
      </c>
      <c r="B424" s="98" t="s">
        <v>849</v>
      </c>
      <c r="C424" s="98" t="s">
        <v>106</v>
      </c>
      <c r="D424" s="98">
        <v>38.532330000000002</v>
      </c>
      <c r="E424" s="223">
        <v>-121.58461</v>
      </c>
      <c r="F424" s="98" t="s">
        <v>2996</v>
      </c>
      <c r="G424" s="98" t="s">
        <v>90</v>
      </c>
      <c r="H424" s="98" t="s">
        <v>1787</v>
      </c>
      <c r="I424" s="621">
        <v>0.36041666666666666</v>
      </c>
      <c r="J424" s="100">
        <v>1074.75</v>
      </c>
      <c r="K424" s="100">
        <v>10.8</v>
      </c>
      <c r="L424" s="100">
        <v>16.524999999999999</v>
      </c>
      <c r="M424" s="100">
        <v>0.58000000000000007</v>
      </c>
      <c r="N424" s="100">
        <v>11.424999999999999</v>
      </c>
      <c r="O424" s="98" t="s">
        <v>48</v>
      </c>
      <c r="P424" s="98">
        <v>4</v>
      </c>
      <c r="Q424" s="98">
        <v>10</v>
      </c>
      <c r="R424" s="98" t="s">
        <v>49</v>
      </c>
      <c r="S424" s="98" t="s">
        <v>50</v>
      </c>
      <c r="T424" s="98" t="s">
        <v>50</v>
      </c>
      <c r="U424" s="98" t="s">
        <v>50</v>
      </c>
      <c r="V424" s="98" t="s">
        <v>50</v>
      </c>
      <c r="W424" s="98" t="s">
        <v>50</v>
      </c>
      <c r="X424" s="98" t="s">
        <v>50</v>
      </c>
      <c r="Y424" s="622" t="s">
        <v>2997</v>
      </c>
    </row>
    <row r="425" spans="1:25" s="592" customFormat="1" x14ac:dyDescent="0.25">
      <c r="A425" s="590">
        <v>43879</v>
      </c>
      <c r="B425" s="592" t="s">
        <v>849</v>
      </c>
      <c r="C425" s="592" t="s">
        <v>106</v>
      </c>
      <c r="D425" s="592">
        <v>38.390970000000003</v>
      </c>
      <c r="E425" s="592">
        <v>-121.62196</v>
      </c>
      <c r="F425" s="592" t="s">
        <v>2998</v>
      </c>
      <c r="G425" s="592" t="s">
        <v>90</v>
      </c>
      <c r="H425" s="592" t="s">
        <v>362</v>
      </c>
      <c r="I425" s="619">
        <v>0.42499999999999999</v>
      </c>
      <c r="J425" s="593">
        <v>458.85</v>
      </c>
      <c r="K425" s="593">
        <v>10.774999999999999</v>
      </c>
      <c r="L425" s="593">
        <v>88.15</v>
      </c>
      <c r="M425" s="593">
        <v>0.20749999999999999</v>
      </c>
      <c r="N425" s="593">
        <v>10.625</v>
      </c>
      <c r="O425" s="592" t="s">
        <v>48</v>
      </c>
      <c r="P425" s="592">
        <v>4</v>
      </c>
      <c r="Q425" s="592">
        <v>10</v>
      </c>
      <c r="R425" s="592" t="s">
        <v>64</v>
      </c>
      <c r="S425" s="592" t="s">
        <v>323</v>
      </c>
      <c r="T425" s="592">
        <v>1</v>
      </c>
      <c r="U425" s="592">
        <v>70</v>
      </c>
      <c r="V425" s="592" t="s">
        <v>66</v>
      </c>
      <c r="W425" s="592" t="s">
        <v>50</v>
      </c>
      <c r="X425" s="592" t="s">
        <v>50</v>
      </c>
      <c r="Y425" s="669" t="s">
        <v>2999</v>
      </c>
    </row>
    <row r="426" spans="1:25" s="646" customFormat="1" x14ac:dyDescent="0.25">
      <c r="A426" s="645">
        <v>43879</v>
      </c>
      <c r="B426" s="646" t="s">
        <v>849</v>
      </c>
      <c r="C426" s="646" t="s">
        <v>106</v>
      </c>
      <c r="D426" s="646">
        <v>38.390970000000003</v>
      </c>
      <c r="E426" s="646">
        <v>-121.62196</v>
      </c>
      <c r="F426" s="646" t="s">
        <v>2998</v>
      </c>
      <c r="G426" s="646" t="s">
        <v>90</v>
      </c>
      <c r="H426" s="646" t="s">
        <v>362</v>
      </c>
      <c r="I426" s="647">
        <v>0.42499999999999999</v>
      </c>
      <c r="J426" s="648">
        <v>458.85</v>
      </c>
      <c r="K426" s="648">
        <v>10.774999999999999</v>
      </c>
      <c r="L426" s="648">
        <v>88.15</v>
      </c>
      <c r="M426" s="648">
        <v>0.20749999999999999</v>
      </c>
      <c r="N426" s="648">
        <v>10.625</v>
      </c>
      <c r="O426" s="646" t="s">
        <v>48</v>
      </c>
      <c r="P426" s="646">
        <v>4</v>
      </c>
      <c r="Q426" s="646">
        <v>10</v>
      </c>
      <c r="R426" s="646" t="s">
        <v>64</v>
      </c>
      <c r="S426" s="667" t="s">
        <v>449</v>
      </c>
      <c r="T426" s="646">
        <v>1</v>
      </c>
      <c r="U426" s="646">
        <v>199</v>
      </c>
      <c r="V426" s="646" t="s">
        <v>50</v>
      </c>
      <c r="W426" s="646">
        <v>5</v>
      </c>
      <c r="X426" s="646" t="s">
        <v>2525</v>
      </c>
      <c r="Y426" s="668" t="s">
        <v>2999</v>
      </c>
    </row>
    <row r="427" spans="1:25" s="98" customFormat="1" x14ac:dyDescent="0.25">
      <c r="A427" s="194">
        <v>43879</v>
      </c>
      <c r="B427" s="98" t="s">
        <v>849</v>
      </c>
      <c r="C427" s="98" t="s">
        <v>106</v>
      </c>
      <c r="D427" s="98">
        <v>38.307899999999997</v>
      </c>
      <c r="E427" s="98">
        <v>-121.65415</v>
      </c>
      <c r="F427" s="98" t="s">
        <v>3000</v>
      </c>
      <c r="G427" s="98" t="s">
        <v>90</v>
      </c>
      <c r="H427" s="98" t="s">
        <v>362</v>
      </c>
      <c r="I427" s="621">
        <v>0.48749999999999999</v>
      </c>
      <c r="J427" s="100">
        <v>279.55</v>
      </c>
      <c r="K427" s="100">
        <v>11.475000000000001</v>
      </c>
      <c r="L427" s="100">
        <v>25.049999999999997</v>
      </c>
      <c r="M427" s="100">
        <v>0.52499999999999991</v>
      </c>
      <c r="N427" s="100">
        <v>8.9250000000000007</v>
      </c>
      <c r="O427" s="98" t="s">
        <v>48</v>
      </c>
      <c r="P427" s="98">
        <v>4</v>
      </c>
      <c r="Q427" s="98">
        <v>10</v>
      </c>
      <c r="R427" s="98" t="s">
        <v>64</v>
      </c>
      <c r="S427" s="98" t="s">
        <v>50</v>
      </c>
      <c r="T427" s="98" t="s">
        <v>50</v>
      </c>
      <c r="U427" s="98" t="s">
        <v>50</v>
      </c>
      <c r="V427" s="98" t="s">
        <v>50</v>
      </c>
      <c r="W427" s="98" t="s">
        <v>50</v>
      </c>
      <c r="X427" s="98" t="s">
        <v>50</v>
      </c>
      <c r="Y427" s="622" t="s">
        <v>3001</v>
      </c>
    </row>
    <row r="428" spans="1:25" s="98" customFormat="1" x14ac:dyDescent="0.25">
      <c r="A428" s="194">
        <v>43879</v>
      </c>
      <c r="B428" s="98" t="s">
        <v>849</v>
      </c>
      <c r="C428" s="98" t="s">
        <v>62</v>
      </c>
      <c r="D428" s="98">
        <v>38.149050000000003</v>
      </c>
      <c r="E428" s="223">
        <v>-121.91549999999999</v>
      </c>
      <c r="F428" s="98" t="s">
        <v>3002</v>
      </c>
      <c r="G428" s="98" t="s">
        <v>27</v>
      </c>
      <c r="H428" s="98" t="s">
        <v>62</v>
      </c>
      <c r="I428" s="621">
        <v>0.46875</v>
      </c>
      <c r="J428" s="100">
        <v>1366.5</v>
      </c>
      <c r="K428" s="100">
        <v>11.35</v>
      </c>
      <c r="L428" s="100">
        <v>33.625</v>
      </c>
      <c r="M428" s="100">
        <v>0.39500000000000002</v>
      </c>
      <c r="N428" s="100">
        <v>5.2</v>
      </c>
      <c r="O428" s="98" t="s">
        <v>48</v>
      </c>
      <c r="P428" s="98">
        <v>4</v>
      </c>
      <c r="Q428" s="98">
        <v>10</v>
      </c>
      <c r="R428" s="98" t="s">
        <v>64</v>
      </c>
      <c r="S428" s="98" t="s">
        <v>50</v>
      </c>
      <c r="T428" s="98" t="s">
        <v>50</v>
      </c>
      <c r="U428" s="98" t="s">
        <v>50</v>
      </c>
      <c r="V428" s="98" t="s">
        <v>50</v>
      </c>
      <c r="W428" s="98" t="s">
        <v>50</v>
      </c>
      <c r="X428" s="98" t="s">
        <v>50</v>
      </c>
      <c r="Y428" s="622"/>
    </row>
    <row r="429" spans="1:25" s="646" customFormat="1" x14ac:dyDescent="0.25">
      <c r="A429" s="645">
        <v>43879</v>
      </c>
      <c r="B429" s="646" t="s">
        <v>849</v>
      </c>
      <c r="C429" s="646" t="s">
        <v>62</v>
      </c>
      <c r="D429" s="646">
        <v>38.157029999999999</v>
      </c>
      <c r="E429" s="646">
        <v>-122.04931000000001</v>
      </c>
      <c r="F429" s="646" t="s">
        <v>3003</v>
      </c>
      <c r="G429" s="646" t="s">
        <v>27</v>
      </c>
      <c r="H429" s="646" t="s">
        <v>62</v>
      </c>
      <c r="I429" s="647">
        <v>0.4055555555555555</v>
      </c>
      <c r="J429" s="648">
        <v>8407.5</v>
      </c>
      <c r="K429" s="648">
        <v>11.6</v>
      </c>
      <c r="L429" s="648">
        <v>42.474999999999994</v>
      </c>
      <c r="M429" s="648">
        <v>0.32500000000000001</v>
      </c>
      <c r="N429" s="648">
        <v>7.65</v>
      </c>
      <c r="O429" s="646" t="s">
        <v>48</v>
      </c>
      <c r="P429" s="646">
        <v>4</v>
      </c>
      <c r="Q429" s="646">
        <v>10</v>
      </c>
      <c r="R429" s="646" t="s">
        <v>64</v>
      </c>
      <c r="S429" s="667" t="s">
        <v>31</v>
      </c>
      <c r="T429" s="646">
        <v>1</v>
      </c>
      <c r="U429" s="646">
        <v>85</v>
      </c>
      <c r="V429" s="646" t="s">
        <v>66</v>
      </c>
      <c r="W429" s="646" t="s">
        <v>50</v>
      </c>
      <c r="X429" s="646" t="s">
        <v>50</v>
      </c>
      <c r="Y429" s="668"/>
    </row>
    <row r="430" spans="1:25" s="98" customFormat="1" x14ac:dyDescent="0.25">
      <c r="A430" s="194">
        <v>43879</v>
      </c>
      <c r="B430" s="98" t="s">
        <v>849</v>
      </c>
      <c r="C430" s="98" t="s">
        <v>62</v>
      </c>
      <c r="D430" s="98">
        <v>38.109139999999996</v>
      </c>
      <c r="E430" s="98">
        <v>-122.05501</v>
      </c>
      <c r="F430" s="98" t="s">
        <v>3004</v>
      </c>
      <c r="G430" s="98" t="s">
        <v>27</v>
      </c>
      <c r="H430" s="98" t="s">
        <v>173</v>
      </c>
      <c r="I430" s="621">
        <v>0.35416666666666669</v>
      </c>
      <c r="J430" s="100">
        <v>13173.5</v>
      </c>
      <c r="K430" s="100">
        <v>11.9</v>
      </c>
      <c r="L430" s="100">
        <v>25.074999999999999</v>
      </c>
      <c r="M430" s="100">
        <v>0.495</v>
      </c>
      <c r="N430" s="100">
        <v>4.2750000000000004</v>
      </c>
      <c r="O430" s="98" t="s">
        <v>48</v>
      </c>
      <c r="P430" s="98">
        <v>4</v>
      </c>
      <c r="Q430" s="98">
        <v>10</v>
      </c>
      <c r="R430" s="98" t="s">
        <v>64</v>
      </c>
      <c r="S430" s="98" t="s">
        <v>50</v>
      </c>
      <c r="T430" s="98" t="s">
        <v>50</v>
      </c>
      <c r="U430" s="98" t="s">
        <v>50</v>
      </c>
      <c r="V430" s="98" t="s">
        <v>50</v>
      </c>
      <c r="W430" s="98" t="s">
        <v>50</v>
      </c>
      <c r="X430" s="98" t="s">
        <v>50</v>
      </c>
      <c r="Y430" s="622" t="s">
        <v>3005</v>
      </c>
    </row>
    <row r="431" spans="1:25" s="98" customFormat="1" x14ac:dyDescent="0.25">
      <c r="A431" s="194">
        <v>43879</v>
      </c>
      <c r="B431" s="98" t="s">
        <v>849</v>
      </c>
      <c r="C431" s="98" t="s">
        <v>44</v>
      </c>
      <c r="D431" s="98">
        <v>37.876820000000002</v>
      </c>
      <c r="E431" s="98">
        <v>-121.51701</v>
      </c>
      <c r="F431" s="98" t="s">
        <v>3006</v>
      </c>
      <c r="G431" s="98" t="s">
        <v>46</v>
      </c>
      <c r="H431" s="98" t="s">
        <v>202</v>
      </c>
      <c r="I431" s="621">
        <v>0.32847222222222222</v>
      </c>
      <c r="J431" s="100">
        <v>393.67499999999995</v>
      </c>
      <c r="K431" s="100">
        <v>11.8</v>
      </c>
      <c r="L431" s="100">
        <v>3.66</v>
      </c>
      <c r="M431" s="100">
        <v>1.7974999999999999</v>
      </c>
      <c r="N431" s="100">
        <v>4.5999999999999996</v>
      </c>
      <c r="O431" s="98" t="s">
        <v>48</v>
      </c>
      <c r="P431" s="98">
        <v>4</v>
      </c>
      <c r="Q431" s="98">
        <v>10</v>
      </c>
      <c r="R431" s="98" t="s">
        <v>64</v>
      </c>
      <c r="S431" s="98" t="s">
        <v>50</v>
      </c>
      <c r="T431" s="98" t="s">
        <v>50</v>
      </c>
      <c r="U431" s="98" t="s">
        <v>50</v>
      </c>
      <c r="V431" s="98" t="s">
        <v>50</v>
      </c>
      <c r="W431" s="98" t="s">
        <v>50</v>
      </c>
      <c r="X431" s="98" t="s">
        <v>50</v>
      </c>
      <c r="Y431" s="622"/>
    </row>
    <row r="432" spans="1:25" s="98" customFormat="1" x14ac:dyDescent="0.25">
      <c r="A432" s="194">
        <v>43879</v>
      </c>
      <c r="B432" s="98" t="s">
        <v>849</v>
      </c>
      <c r="C432" s="98" t="s">
        <v>44</v>
      </c>
      <c r="D432" s="98">
        <v>37.988750000000003</v>
      </c>
      <c r="E432" s="98">
        <v>-121.51831</v>
      </c>
      <c r="F432" s="98" t="s">
        <v>3007</v>
      </c>
      <c r="G432" s="98" t="s">
        <v>46</v>
      </c>
      <c r="H432" s="98" t="s">
        <v>59</v>
      </c>
      <c r="I432" s="621">
        <v>0.3972222222222222</v>
      </c>
      <c r="J432" s="100">
        <v>339.82500000000005</v>
      </c>
      <c r="K432" s="100">
        <v>11.7</v>
      </c>
      <c r="L432" s="100">
        <v>3.7549999999999999</v>
      </c>
      <c r="M432" s="100" t="s">
        <v>1233</v>
      </c>
      <c r="N432" s="100">
        <v>4.3499999999999996</v>
      </c>
      <c r="O432" s="98" t="s">
        <v>48</v>
      </c>
      <c r="P432" s="98">
        <v>4</v>
      </c>
      <c r="Q432" s="98">
        <v>10</v>
      </c>
      <c r="R432" s="98" t="s">
        <v>64</v>
      </c>
      <c r="S432" s="98" t="s">
        <v>50</v>
      </c>
      <c r="T432" s="98" t="s">
        <v>50</v>
      </c>
      <c r="U432" s="98" t="s">
        <v>50</v>
      </c>
      <c r="V432" s="98" t="s">
        <v>50</v>
      </c>
      <c r="W432" s="98" t="s">
        <v>50</v>
      </c>
      <c r="X432" s="98" t="s">
        <v>50</v>
      </c>
      <c r="Y432" s="622"/>
    </row>
    <row r="433" spans="1:25" s="98" customFormat="1" x14ac:dyDescent="0.25">
      <c r="A433" s="194">
        <v>43879</v>
      </c>
      <c r="B433" s="98" t="s">
        <v>849</v>
      </c>
      <c r="C433" s="98" t="s">
        <v>44</v>
      </c>
      <c r="D433" s="98">
        <v>38.032989999999998</v>
      </c>
      <c r="E433" s="98">
        <v>-121.52339000000001</v>
      </c>
      <c r="F433" s="98" t="s">
        <v>3008</v>
      </c>
      <c r="G433" s="98" t="s">
        <v>46</v>
      </c>
      <c r="H433" s="98" t="s">
        <v>59</v>
      </c>
      <c r="I433" s="621">
        <v>0.4458333333333333</v>
      </c>
      <c r="J433" s="100">
        <v>299.47500000000002</v>
      </c>
      <c r="K433" s="100">
        <v>11.7</v>
      </c>
      <c r="L433" s="100">
        <v>6.9700000000000006</v>
      </c>
      <c r="M433" s="100">
        <v>1.6950000000000001</v>
      </c>
      <c r="N433" s="100">
        <v>4.4749999999999996</v>
      </c>
      <c r="O433" s="98" t="s">
        <v>48</v>
      </c>
      <c r="P433" s="98">
        <v>4</v>
      </c>
      <c r="Q433" s="98">
        <v>10</v>
      </c>
      <c r="R433" s="98" t="s">
        <v>64</v>
      </c>
      <c r="S433" s="98" t="s">
        <v>50</v>
      </c>
      <c r="T433" s="98" t="s">
        <v>50</v>
      </c>
      <c r="U433" s="98" t="s">
        <v>50</v>
      </c>
      <c r="V433" s="98" t="s">
        <v>50</v>
      </c>
      <c r="W433" s="98" t="s">
        <v>50</v>
      </c>
      <c r="X433" s="98" t="s">
        <v>50</v>
      </c>
      <c r="Y433" s="622"/>
    </row>
    <row r="434" spans="1:25" s="98" customFormat="1" x14ac:dyDescent="0.25">
      <c r="A434" s="194">
        <v>43880</v>
      </c>
      <c r="B434" s="98" t="s">
        <v>915</v>
      </c>
      <c r="C434" s="98" t="s">
        <v>44</v>
      </c>
      <c r="D434" s="98">
        <v>38.03828</v>
      </c>
      <c r="E434" s="98">
        <v>-121.60854</v>
      </c>
      <c r="F434" s="98" t="s">
        <v>3009</v>
      </c>
      <c r="G434" s="98" t="s">
        <v>46</v>
      </c>
      <c r="H434" s="98" t="s">
        <v>47</v>
      </c>
      <c r="I434" s="621">
        <v>0.4375</v>
      </c>
      <c r="J434" s="100">
        <v>290.2</v>
      </c>
      <c r="K434" s="100">
        <v>11.7</v>
      </c>
      <c r="L434" s="100">
        <v>9.2524999999999995</v>
      </c>
      <c r="M434" s="100">
        <v>1.095</v>
      </c>
      <c r="N434" s="100">
        <v>2.6750000000000003</v>
      </c>
      <c r="O434" s="98" t="s">
        <v>48</v>
      </c>
      <c r="P434" s="98">
        <v>4</v>
      </c>
      <c r="Q434" s="98">
        <v>10</v>
      </c>
      <c r="R434" s="98" t="s">
        <v>64</v>
      </c>
      <c r="S434" s="98" t="s">
        <v>50</v>
      </c>
      <c r="T434" s="98" t="s">
        <v>50</v>
      </c>
      <c r="U434" s="98" t="s">
        <v>50</v>
      </c>
      <c r="V434" s="98" t="s">
        <v>50</v>
      </c>
      <c r="W434" s="98" t="s">
        <v>50</v>
      </c>
      <c r="X434" s="98" t="s">
        <v>50</v>
      </c>
      <c r="Y434" s="622"/>
    </row>
    <row r="435" spans="1:25" s="98" customFormat="1" x14ac:dyDescent="0.25">
      <c r="A435" s="194">
        <v>43880</v>
      </c>
      <c r="B435" s="98" t="s">
        <v>915</v>
      </c>
      <c r="C435" s="98" t="s">
        <v>44</v>
      </c>
      <c r="D435" s="98">
        <v>38.004350000000002</v>
      </c>
      <c r="E435" s="98">
        <v>-121.57850999999999</v>
      </c>
      <c r="F435" s="98" t="s">
        <v>3010</v>
      </c>
      <c r="G435" s="98" t="s">
        <v>46</v>
      </c>
      <c r="H435" s="98" t="s">
        <v>74</v>
      </c>
      <c r="I435" s="621">
        <v>0.38194444444444442</v>
      </c>
      <c r="J435" s="100">
        <v>319.5</v>
      </c>
      <c r="K435" s="100">
        <v>11.75</v>
      </c>
      <c r="L435" s="100">
        <v>6.67</v>
      </c>
      <c r="M435" s="100">
        <v>1.3924999999999998</v>
      </c>
      <c r="N435" s="100">
        <v>7.9499999999999993</v>
      </c>
      <c r="O435" s="98" t="s">
        <v>48</v>
      </c>
      <c r="P435" s="98">
        <v>4</v>
      </c>
      <c r="Q435" s="98">
        <v>10</v>
      </c>
      <c r="R435" s="98" t="s">
        <v>64</v>
      </c>
      <c r="S435" s="98" t="s">
        <v>50</v>
      </c>
      <c r="T435" s="98" t="s">
        <v>50</v>
      </c>
      <c r="U435" s="98" t="s">
        <v>50</v>
      </c>
      <c r="V435" s="98" t="s">
        <v>50</v>
      </c>
      <c r="W435" s="98" t="s">
        <v>50</v>
      </c>
      <c r="X435" s="98" t="s">
        <v>50</v>
      </c>
      <c r="Y435" s="622"/>
    </row>
    <row r="436" spans="1:25" s="98" customFormat="1" x14ac:dyDescent="0.25">
      <c r="A436" s="194">
        <v>43880</v>
      </c>
      <c r="B436" s="98" t="s">
        <v>915</v>
      </c>
      <c r="C436" s="98" t="s">
        <v>44</v>
      </c>
      <c r="D436" s="98">
        <v>38.070860000000003</v>
      </c>
      <c r="E436" s="98">
        <v>-121.58104</v>
      </c>
      <c r="F436" s="98" t="s">
        <v>3011</v>
      </c>
      <c r="G436" s="98" t="s">
        <v>46</v>
      </c>
      <c r="H436" s="98" t="s">
        <v>74</v>
      </c>
      <c r="I436" s="621">
        <v>0.31458333333333333</v>
      </c>
      <c r="J436" s="100">
        <v>280.2</v>
      </c>
      <c r="K436" s="100">
        <v>11.575000000000001</v>
      </c>
      <c r="L436" s="100">
        <v>5.3550000000000004</v>
      </c>
      <c r="M436" s="100">
        <v>1.5150000000000001</v>
      </c>
      <c r="N436" s="100">
        <v>3.3249999999999997</v>
      </c>
      <c r="O436" s="98" t="s">
        <v>48</v>
      </c>
      <c r="P436" s="98">
        <v>4</v>
      </c>
      <c r="Q436" s="98">
        <v>10</v>
      </c>
      <c r="R436" s="98" t="s">
        <v>49</v>
      </c>
      <c r="S436" s="98" t="s">
        <v>50</v>
      </c>
      <c r="T436" s="98" t="s">
        <v>50</v>
      </c>
      <c r="U436" s="98" t="s">
        <v>50</v>
      </c>
      <c r="V436" s="98" t="s">
        <v>50</v>
      </c>
      <c r="W436" s="98" t="s">
        <v>50</v>
      </c>
      <c r="X436" s="98" t="s">
        <v>50</v>
      </c>
      <c r="Y436" s="622"/>
    </row>
    <row r="437" spans="1:25" s="98" customFormat="1" x14ac:dyDescent="0.25">
      <c r="A437" s="194">
        <v>43880</v>
      </c>
      <c r="B437" s="98" t="s">
        <v>915</v>
      </c>
      <c r="C437" s="98" t="s">
        <v>78</v>
      </c>
      <c r="D437" s="98">
        <v>38.050409999999999</v>
      </c>
      <c r="E437" s="98">
        <v>-121.92489</v>
      </c>
      <c r="F437" s="98" t="s">
        <v>3012</v>
      </c>
      <c r="G437" s="98" t="s">
        <v>27</v>
      </c>
      <c r="H437" s="98" t="s">
        <v>101</v>
      </c>
      <c r="I437" s="621">
        <v>0.43958333333333338</v>
      </c>
      <c r="J437" s="100">
        <v>5010.25</v>
      </c>
      <c r="K437" s="100">
        <v>11.4</v>
      </c>
      <c r="L437" s="100">
        <v>66.8</v>
      </c>
      <c r="M437" s="100">
        <v>0.36000000000000004</v>
      </c>
      <c r="N437" s="100">
        <v>10.75</v>
      </c>
      <c r="O437" s="98" t="s">
        <v>48</v>
      </c>
      <c r="P437" s="98">
        <v>4</v>
      </c>
      <c r="Q437" s="98">
        <v>10</v>
      </c>
      <c r="R437" s="98" t="s">
        <v>64</v>
      </c>
      <c r="S437" s="98" t="s">
        <v>50</v>
      </c>
      <c r="T437" s="98" t="s">
        <v>50</v>
      </c>
      <c r="U437" s="98" t="s">
        <v>50</v>
      </c>
      <c r="V437" s="98" t="s">
        <v>50</v>
      </c>
      <c r="W437" s="98" t="s">
        <v>50</v>
      </c>
      <c r="X437" s="98" t="s">
        <v>50</v>
      </c>
      <c r="Y437" s="622"/>
    </row>
    <row r="438" spans="1:25" s="98" customFormat="1" x14ac:dyDescent="0.25">
      <c r="A438" s="194">
        <v>43880</v>
      </c>
      <c r="B438" s="98" t="s">
        <v>915</v>
      </c>
      <c r="C438" s="98" t="s">
        <v>78</v>
      </c>
      <c r="D438" s="98">
        <v>38.064770000000003</v>
      </c>
      <c r="E438" s="98">
        <v>-121.96754</v>
      </c>
      <c r="F438" s="98" t="s">
        <v>3013</v>
      </c>
      <c r="G438" s="98" t="s">
        <v>27</v>
      </c>
      <c r="H438" s="98" t="s">
        <v>170</v>
      </c>
      <c r="I438" s="621">
        <v>0.39374999999999999</v>
      </c>
      <c r="J438" s="100">
        <v>5502.25</v>
      </c>
      <c r="K438" s="100">
        <v>11.4</v>
      </c>
      <c r="L438" s="100">
        <v>31.475000000000001</v>
      </c>
      <c r="M438" s="100">
        <v>0.56500000000000006</v>
      </c>
      <c r="N438" s="100">
        <v>8.1750000000000007</v>
      </c>
      <c r="O438" s="98" t="s">
        <v>48</v>
      </c>
      <c r="P438" s="98">
        <v>4</v>
      </c>
      <c r="Q438" s="98">
        <v>10</v>
      </c>
      <c r="R438" s="98" t="s">
        <v>64</v>
      </c>
      <c r="S438" s="98" t="s">
        <v>50</v>
      </c>
      <c r="T438" s="98" t="s">
        <v>50</v>
      </c>
      <c r="U438" s="98" t="s">
        <v>50</v>
      </c>
      <c r="V438" s="98" t="s">
        <v>50</v>
      </c>
      <c r="W438" s="98" t="s">
        <v>50</v>
      </c>
      <c r="X438" s="98" t="s">
        <v>50</v>
      </c>
      <c r="Y438" s="622"/>
    </row>
    <row r="439" spans="1:25" s="98" customFormat="1" x14ac:dyDescent="0.25">
      <c r="A439" s="194">
        <v>43880</v>
      </c>
      <c r="B439" s="98" t="s">
        <v>915</v>
      </c>
      <c r="C439" s="98" t="s">
        <v>78</v>
      </c>
      <c r="D439" s="98">
        <v>38.060209999999998</v>
      </c>
      <c r="E439" s="98">
        <v>-122.00339</v>
      </c>
      <c r="F439" s="98" t="s">
        <v>3014</v>
      </c>
      <c r="G439" s="98" t="s">
        <v>27</v>
      </c>
      <c r="H439" s="98" t="s">
        <v>86</v>
      </c>
      <c r="I439" s="621">
        <v>0.34583333333333338</v>
      </c>
      <c r="J439" s="100">
        <v>7332.5</v>
      </c>
      <c r="K439" s="100">
        <v>11.5</v>
      </c>
      <c r="L439" s="100">
        <v>23.074999999999999</v>
      </c>
      <c r="M439" s="100">
        <v>0.67749999999999999</v>
      </c>
      <c r="N439" s="100">
        <v>12.725000000000001</v>
      </c>
      <c r="O439" s="98" t="s">
        <v>48</v>
      </c>
      <c r="P439" s="98">
        <v>4</v>
      </c>
      <c r="Q439" s="98">
        <v>10</v>
      </c>
      <c r="R439" s="98" t="s">
        <v>64</v>
      </c>
      <c r="S439" s="98" t="s">
        <v>50</v>
      </c>
      <c r="T439" s="98" t="s">
        <v>50</v>
      </c>
      <c r="U439" s="98" t="s">
        <v>50</v>
      </c>
      <c r="V439" s="98" t="s">
        <v>50</v>
      </c>
      <c r="W439" s="98" t="s">
        <v>50</v>
      </c>
      <c r="X439" s="98" t="s">
        <v>50</v>
      </c>
      <c r="Y439" s="622"/>
    </row>
    <row r="440" spans="1:25" s="98" customFormat="1" x14ac:dyDescent="0.25">
      <c r="A440" s="195">
        <v>43880</v>
      </c>
      <c r="B440" s="154" t="s">
        <v>915</v>
      </c>
      <c r="C440" s="154" t="s">
        <v>126</v>
      </c>
      <c r="D440" s="154">
        <v>38.28604</v>
      </c>
      <c r="E440" s="154">
        <v>-121.72122</v>
      </c>
      <c r="F440" s="154" t="s">
        <v>3015</v>
      </c>
      <c r="G440" s="154" t="s">
        <v>90</v>
      </c>
      <c r="H440" s="154" t="s">
        <v>845</v>
      </c>
      <c r="I440" s="636">
        <v>0.32083333333333336</v>
      </c>
      <c r="J440" s="156" t="s">
        <v>50</v>
      </c>
      <c r="K440" s="154" t="s">
        <v>50</v>
      </c>
      <c r="L440" s="154" t="s">
        <v>50</v>
      </c>
      <c r="M440" s="154" t="s">
        <v>50</v>
      </c>
      <c r="N440" s="154" t="s">
        <v>50</v>
      </c>
      <c r="O440" s="154" t="s">
        <v>48</v>
      </c>
      <c r="P440" s="154">
        <v>0</v>
      </c>
      <c r="Q440" s="154" t="s">
        <v>50</v>
      </c>
      <c r="R440" s="154" t="s">
        <v>50</v>
      </c>
      <c r="S440" s="154" t="s">
        <v>50</v>
      </c>
      <c r="T440" s="154" t="s">
        <v>50</v>
      </c>
      <c r="U440" s="154" t="s">
        <v>50</v>
      </c>
      <c r="V440" s="154" t="s">
        <v>50</v>
      </c>
      <c r="W440" s="154" t="s">
        <v>50</v>
      </c>
      <c r="X440" s="154" t="s">
        <v>50</v>
      </c>
      <c r="Y440" s="627" t="s">
        <v>858</v>
      </c>
    </row>
    <row r="441" spans="1:25" s="98" customFormat="1" x14ac:dyDescent="0.25">
      <c r="A441" s="194">
        <v>43880</v>
      </c>
      <c r="B441" s="98" t="s">
        <v>915</v>
      </c>
      <c r="C441" s="98" t="s">
        <v>126</v>
      </c>
      <c r="D441" s="98">
        <v>38.248860000000001</v>
      </c>
      <c r="E441" s="98">
        <v>-121.70993</v>
      </c>
      <c r="F441" s="98" t="s">
        <v>3016</v>
      </c>
      <c r="G441" s="98" t="s">
        <v>90</v>
      </c>
      <c r="H441" s="98" t="s">
        <v>845</v>
      </c>
      <c r="I441" s="621">
        <v>0.39444444444444443</v>
      </c>
      <c r="J441" s="100">
        <v>294.39999999999998</v>
      </c>
      <c r="K441" s="100">
        <v>11.600000000000001</v>
      </c>
      <c r="L441" s="100">
        <v>6.3950000000000005</v>
      </c>
      <c r="M441" s="100">
        <v>1.1174999999999999</v>
      </c>
      <c r="N441" s="100">
        <v>4.05</v>
      </c>
      <c r="O441" s="98" t="s">
        <v>48</v>
      </c>
      <c r="P441" s="98">
        <v>4</v>
      </c>
      <c r="Q441" s="98">
        <v>10</v>
      </c>
      <c r="R441" s="98" t="s">
        <v>64</v>
      </c>
      <c r="S441" s="98" t="s">
        <v>50</v>
      </c>
      <c r="T441" s="98" t="s">
        <v>50</v>
      </c>
      <c r="U441" s="98" t="s">
        <v>50</v>
      </c>
      <c r="V441" s="98" t="s">
        <v>50</v>
      </c>
      <c r="W441" s="98" t="s">
        <v>50</v>
      </c>
      <c r="X441" s="98" t="s">
        <v>50</v>
      </c>
      <c r="Y441" s="622"/>
    </row>
    <row r="442" spans="1:25" s="98" customFormat="1" x14ac:dyDescent="0.25">
      <c r="A442" s="194">
        <v>43880</v>
      </c>
      <c r="B442" s="98" t="s">
        <v>915</v>
      </c>
      <c r="C442" s="98" t="s">
        <v>126</v>
      </c>
      <c r="D442" s="98">
        <v>38.2333</v>
      </c>
      <c r="E442" s="98">
        <v>-121.67834000000001</v>
      </c>
      <c r="F442" s="98" t="s">
        <v>3017</v>
      </c>
      <c r="G442" s="98" t="s">
        <v>90</v>
      </c>
      <c r="H442" s="98" t="s">
        <v>845</v>
      </c>
      <c r="I442" s="621">
        <v>0.44513888888888892</v>
      </c>
      <c r="J442" s="100">
        <v>247.52499999999998</v>
      </c>
      <c r="K442" s="100">
        <v>11.925000000000001</v>
      </c>
      <c r="L442" s="100">
        <v>15.7</v>
      </c>
      <c r="M442" s="100">
        <v>0.88250000000000006</v>
      </c>
      <c r="N442" s="100">
        <v>12.799999999999999</v>
      </c>
      <c r="O442" s="98" t="s">
        <v>48</v>
      </c>
      <c r="P442" s="98">
        <v>4</v>
      </c>
      <c r="Q442" s="98">
        <v>10</v>
      </c>
      <c r="R442" s="98" t="s">
        <v>64</v>
      </c>
      <c r="S442" s="98" t="s">
        <v>50</v>
      </c>
      <c r="T442" s="98" t="s">
        <v>50</v>
      </c>
      <c r="U442" s="98" t="s">
        <v>50</v>
      </c>
      <c r="V442" s="98" t="s">
        <v>50</v>
      </c>
      <c r="W442" s="98" t="s">
        <v>50</v>
      </c>
      <c r="X442" s="98" t="s">
        <v>50</v>
      </c>
      <c r="Y442" s="622"/>
    </row>
    <row r="443" spans="1:25" s="98" customFormat="1" x14ac:dyDescent="0.25">
      <c r="A443" s="194">
        <v>43880</v>
      </c>
      <c r="B443" s="98" t="s">
        <v>915</v>
      </c>
      <c r="C443" s="98" t="s">
        <v>126</v>
      </c>
      <c r="D443" s="98">
        <v>38.260179999999998</v>
      </c>
      <c r="E443" s="98">
        <v>-121.67031</v>
      </c>
      <c r="F443" s="98" t="s">
        <v>3018</v>
      </c>
      <c r="G443" s="98" t="s">
        <v>90</v>
      </c>
      <c r="H443" s="98" t="s">
        <v>845</v>
      </c>
      <c r="I443" s="621">
        <v>0.3354166666666667</v>
      </c>
      <c r="J443" s="100">
        <v>341.9</v>
      </c>
      <c r="K443" s="100">
        <v>11.725000000000001</v>
      </c>
      <c r="L443" s="100">
        <v>10.925000000000001</v>
      </c>
      <c r="M443" s="100">
        <v>0.8075</v>
      </c>
      <c r="N443" s="100">
        <v>8.7249999999999996</v>
      </c>
      <c r="O443" s="98" t="s">
        <v>48</v>
      </c>
      <c r="P443" s="98">
        <v>4</v>
      </c>
      <c r="Q443" s="98">
        <v>10</v>
      </c>
      <c r="R443" s="98" t="s">
        <v>64</v>
      </c>
      <c r="S443" s="98" t="s">
        <v>50</v>
      </c>
      <c r="T443" s="98" t="s">
        <v>50</v>
      </c>
      <c r="U443" s="98" t="s">
        <v>50</v>
      </c>
      <c r="V443" s="98" t="s">
        <v>50</v>
      </c>
      <c r="W443" s="98" t="s">
        <v>50</v>
      </c>
      <c r="X443" s="98" t="s">
        <v>50</v>
      </c>
      <c r="Y443" s="622" t="s">
        <v>2898</v>
      </c>
    </row>
    <row r="444" spans="1:25" s="98" customFormat="1" x14ac:dyDescent="0.25">
      <c r="A444" s="194">
        <v>43881</v>
      </c>
      <c r="B444" s="98" t="s">
        <v>876</v>
      </c>
      <c r="C444" s="98" t="s">
        <v>95</v>
      </c>
      <c r="D444" s="98">
        <v>38.03125</v>
      </c>
      <c r="E444" s="98">
        <v>-121.76356</v>
      </c>
      <c r="F444" s="98" t="s">
        <v>3019</v>
      </c>
      <c r="G444" s="98" t="s">
        <v>27</v>
      </c>
      <c r="H444" s="98" t="s">
        <v>863</v>
      </c>
      <c r="I444" s="621">
        <v>0.33333333333333331</v>
      </c>
      <c r="J444" s="100">
        <v>395.125</v>
      </c>
      <c r="K444" s="100">
        <v>11.575000000000001</v>
      </c>
      <c r="L444" s="100">
        <v>16.2</v>
      </c>
      <c r="M444" s="100">
        <v>0.91500000000000004</v>
      </c>
      <c r="N444" s="100">
        <v>9.8500000000000014</v>
      </c>
      <c r="O444" s="98" t="s">
        <v>48</v>
      </c>
      <c r="P444" s="98">
        <v>4</v>
      </c>
      <c r="Q444" s="98">
        <v>10</v>
      </c>
      <c r="R444" s="98" t="s">
        <v>49</v>
      </c>
      <c r="S444" s="98" t="s">
        <v>50</v>
      </c>
      <c r="T444" s="98" t="s">
        <v>50</v>
      </c>
      <c r="U444" s="98" t="s">
        <v>50</v>
      </c>
      <c r="V444" s="98" t="s">
        <v>50</v>
      </c>
      <c r="W444" s="98" t="s">
        <v>50</v>
      </c>
      <c r="X444" s="98" t="s">
        <v>50</v>
      </c>
      <c r="Y444" s="622"/>
    </row>
    <row r="445" spans="1:25" s="98" customFormat="1" x14ac:dyDescent="0.25">
      <c r="A445" s="194">
        <v>43881</v>
      </c>
      <c r="B445" s="98" t="s">
        <v>876</v>
      </c>
      <c r="C445" s="98" t="s">
        <v>95</v>
      </c>
      <c r="D445" s="98">
        <v>38.018999999999998</v>
      </c>
      <c r="E445" s="98">
        <v>-121.77498</v>
      </c>
      <c r="F445" s="98" t="s">
        <v>3020</v>
      </c>
      <c r="G445" s="98" t="s">
        <v>27</v>
      </c>
      <c r="H445" s="98" t="s">
        <v>863</v>
      </c>
      <c r="I445" s="621">
        <v>0.38611111111111113</v>
      </c>
      <c r="J445" s="100">
        <v>460.92500000000001</v>
      </c>
      <c r="K445" s="100">
        <v>11.925000000000001</v>
      </c>
      <c r="L445" s="100">
        <v>11.924999999999999</v>
      </c>
      <c r="M445" s="100">
        <v>1.0475000000000001</v>
      </c>
      <c r="N445" s="100">
        <v>6.2</v>
      </c>
      <c r="O445" s="98" t="s">
        <v>48</v>
      </c>
      <c r="P445" s="98">
        <v>4</v>
      </c>
      <c r="Q445" s="98">
        <v>10</v>
      </c>
      <c r="R445" s="98" t="s">
        <v>64</v>
      </c>
      <c r="S445" s="98" t="s">
        <v>50</v>
      </c>
      <c r="T445" s="98" t="s">
        <v>50</v>
      </c>
      <c r="U445" s="98" t="s">
        <v>50</v>
      </c>
      <c r="V445" s="98" t="s">
        <v>50</v>
      </c>
      <c r="W445" s="98" t="s">
        <v>50</v>
      </c>
      <c r="X445" s="98" t="s">
        <v>50</v>
      </c>
      <c r="Y445" s="622"/>
    </row>
    <row r="446" spans="1:25" s="98" customFormat="1" x14ac:dyDescent="0.25">
      <c r="A446" s="194">
        <v>43881</v>
      </c>
      <c r="B446" s="98" t="s">
        <v>876</v>
      </c>
      <c r="C446" s="98" t="s">
        <v>95</v>
      </c>
      <c r="D446" s="98">
        <v>38.017769999999999</v>
      </c>
      <c r="E446" s="98">
        <v>-121.79447999999999</v>
      </c>
      <c r="F446" s="98" t="s">
        <v>3021</v>
      </c>
      <c r="G446" s="98" t="s">
        <v>27</v>
      </c>
      <c r="H446" s="98" t="s">
        <v>863</v>
      </c>
      <c r="I446" s="621">
        <v>0.45694444444444443</v>
      </c>
      <c r="J446" s="100">
        <v>575.5</v>
      </c>
      <c r="K446" s="100">
        <v>11.875</v>
      </c>
      <c r="L446" s="100">
        <v>14.4</v>
      </c>
      <c r="M446" s="100">
        <v>0.81</v>
      </c>
      <c r="N446" s="100">
        <v>11.95</v>
      </c>
      <c r="O446" s="98" t="s">
        <v>48</v>
      </c>
      <c r="P446" s="98">
        <v>4</v>
      </c>
      <c r="Q446" s="98">
        <v>10</v>
      </c>
      <c r="R446" s="98" t="s">
        <v>64</v>
      </c>
      <c r="S446" s="98" t="s">
        <v>50</v>
      </c>
      <c r="T446" s="98" t="s">
        <v>50</v>
      </c>
      <c r="U446" s="98" t="s">
        <v>50</v>
      </c>
      <c r="V446" s="98" t="s">
        <v>50</v>
      </c>
      <c r="W446" s="98" t="s">
        <v>50</v>
      </c>
      <c r="X446" s="98" t="s">
        <v>50</v>
      </c>
      <c r="Y446" s="622"/>
    </row>
    <row r="447" spans="1:25" s="98" customFormat="1" x14ac:dyDescent="0.25">
      <c r="A447" s="194">
        <v>43881</v>
      </c>
      <c r="B447" s="98" t="s">
        <v>876</v>
      </c>
      <c r="C447" s="98" t="s">
        <v>88</v>
      </c>
      <c r="D447" s="98">
        <v>38.068280000000001</v>
      </c>
      <c r="E447" s="98">
        <v>-121.82588</v>
      </c>
      <c r="F447" s="98" t="s">
        <v>3022</v>
      </c>
      <c r="G447" s="98" t="s">
        <v>27</v>
      </c>
      <c r="H447" s="98" t="s">
        <v>25</v>
      </c>
      <c r="I447" s="621">
        <v>0.32013888888888892</v>
      </c>
      <c r="J447" s="100">
        <v>554.9</v>
      </c>
      <c r="K447" s="100">
        <v>11.475</v>
      </c>
      <c r="L447" s="100">
        <v>26.725000000000001</v>
      </c>
      <c r="M447" s="100">
        <v>0.46250000000000002</v>
      </c>
      <c r="N447" s="100">
        <v>7.35</v>
      </c>
      <c r="O447" s="98" t="s">
        <v>48</v>
      </c>
      <c r="P447" s="98">
        <v>4</v>
      </c>
      <c r="Q447" s="98">
        <v>10</v>
      </c>
      <c r="R447" s="98" t="s">
        <v>49</v>
      </c>
      <c r="S447" s="98" t="s">
        <v>50</v>
      </c>
      <c r="T447" s="98" t="s">
        <v>50</v>
      </c>
      <c r="U447" s="98" t="s">
        <v>50</v>
      </c>
      <c r="V447" s="98" t="s">
        <v>50</v>
      </c>
      <c r="W447" s="98" t="s">
        <v>50</v>
      </c>
      <c r="X447" s="98" t="s">
        <v>50</v>
      </c>
      <c r="Y447" s="622"/>
    </row>
    <row r="448" spans="1:25" s="98" customFormat="1" x14ac:dyDescent="0.25">
      <c r="A448" s="194">
        <v>43881</v>
      </c>
      <c r="B448" s="98" t="s">
        <v>876</v>
      </c>
      <c r="C448" s="98" t="s">
        <v>88</v>
      </c>
      <c r="D448" s="98">
        <v>38.06044</v>
      </c>
      <c r="E448" s="98">
        <v>-121.80304</v>
      </c>
      <c r="F448" s="98" t="s">
        <v>3023</v>
      </c>
      <c r="G448" s="98" t="s">
        <v>27</v>
      </c>
      <c r="H448" s="98" t="s">
        <v>25</v>
      </c>
      <c r="I448" s="621">
        <v>0.37083333333333335</v>
      </c>
      <c r="J448" s="100">
        <v>371.52499999999998</v>
      </c>
      <c r="K448" s="100">
        <v>11.425000000000001</v>
      </c>
      <c r="L448" s="100">
        <v>21.625</v>
      </c>
      <c r="M448" s="100">
        <v>0.60250000000000004</v>
      </c>
      <c r="N448" s="100">
        <v>12.125</v>
      </c>
      <c r="O448" s="98" t="s">
        <v>48</v>
      </c>
      <c r="P448" s="98">
        <v>4</v>
      </c>
      <c r="Q448" s="98">
        <v>10</v>
      </c>
      <c r="R448" s="98" t="s">
        <v>64</v>
      </c>
      <c r="S448" s="98" t="s">
        <v>50</v>
      </c>
      <c r="T448" s="98" t="s">
        <v>50</v>
      </c>
      <c r="U448" s="98" t="s">
        <v>50</v>
      </c>
      <c r="V448" s="98" t="s">
        <v>50</v>
      </c>
      <c r="W448" s="98" t="s">
        <v>50</v>
      </c>
      <c r="X448" s="98" t="s">
        <v>50</v>
      </c>
      <c r="Y448" s="622" t="s">
        <v>67</v>
      </c>
    </row>
    <row r="449" spans="1:25" s="98" customFormat="1" x14ac:dyDescent="0.25">
      <c r="A449" s="194">
        <v>43881</v>
      </c>
      <c r="B449" s="98" t="s">
        <v>876</v>
      </c>
      <c r="C449" s="98" t="s">
        <v>88</v>
      </c>
      <c r="D449" s="98">
        <v>38.074159999999999</v>
      </c>
      <c r="E449" s="98">
        <v>-121.76348</v>
      </c>
      <c r="F449" s="98" t="s">
        <v>3024</v>
      </c>
      <c r="G449" s="98" t="s">
        <v>27</v>
      </c>
      <c r="H449" s="98" t="s">
        <v>25</v>
      </c>
      <c r="I449" s="621">
        <v>0.41805555555555557</v>
      </c>
      <c r="J449" s="100">
        <v>287.5</v>
      </c>
      <c r="K449" s="100">
        <v>11.575000000000001</v>
      </c>
      <c r="L449" s="100">
        <v>14.75</v>
      </c>
      <c r="M449" s="100">
        <v>0.98000000000000009</v>
      </c>
      <c r="N449" s="100">
        <v>9.7000000000000011</v>
      </c>
      <c r="O449" s="98" t="s">
        <v>48</v>
      </c>
      <c r="P449" s="98">
        <v>4</v>
      </c>
      <c r="Q449" s="98">
        <v>10</v>
      </c>
      <c r="R449" s="98" t="s">
        <v>64</v>
      </c>
      <c r="S449" s="98" t="s">
        <v>50</v>
      </c>
      <c r="T449" s="98" t="s">
        <v>50</v>
      </c>
      <c r="U449" s="98" t="s">
        <v>50</v>
      </c>
      <c r="V449" s="98" t="s">
        <v>50</v>
      </c>
      <c r="W449" s="98" t="s">
        <v>50</v>
      </c>
      <c r="X449" s="98" t="s">
        <v>50</v>
      </c>
      <c r="Y449" s="622"/>
    </row>
    <row r="450" spans="1:25" s="98" customFormat="1" x14ac:dyDescent="0.25">
      <c r="A450" s="194">
        <v>43881</v>
      </c>
      <c r="B450" s="98" t="s">
        <v>876</v>
      </c>
      <c r="C450" s="98" t="s">
        <v>88</v>
      </c>
      <c r="D450" s="98">
        <v>38.122889999999998</v>
      </c>
      <c r="E450" s="98">
        <v>-121.70175</v>
      </c>
      <c r="F450" s="98" t="s">
        <v>3025</v>
      </c>
      <c r="G450" s="98" t="s">
        <v>90</v>
      </c>
      <c r="H450" s="98" t="s">
        <v>91</v>
      </c>
      <c r="I450" s="621">
        <v>0.47569444444444442</v>
      </c>
      <c r="J450" s="100">
        <v>231.77499999999998</v>
      </c>
      <c r="K450" s="100">
        <v>11.925000000000001</v>
      </c>
      <c r="L450" s="100">
        <v>17.399999999999999</v>
      </c>
      <c r="M450" s="100">
        <v>0.86749999999999994</v>
      </c>
      <c r="N450" s="100">
        <v>6.9749999999999996</v>
      </c>
      <c r="O450" s="98" t="s">
        <v>48</v>
      </c>
      <c r="P450" s="98">
        <v>4</v>
      </c>
      <c r="Q450" s="98">
        <v>10</v>
      </c>
      <c r="R450" s="98" t="s">
        <v>64</v>
      </c>
      <c r="S450" s="98" t="s">
        <v>50</v>
      </c>
      <c r="T450" s="98" t="s">
        <v>50</v>
      </c>
      <c r="U450" s="98" t="s">
        <v>50</v>
      </c>
      <c r="V450" s="98" t="s">
        <v>50</v>
      </c>
      <c r="W450" s="98" t="s">
        <v>50</v>
      </c>
      <c r="X450" s="98" t="s">
        <v>50</v>
      </c>
      <c r="Y450" s="622"/>
    </row>
    <row r="451" spans="1:25" s="98" customFormat="1" x14ac:dyDescent="0.25">
      <c r="A451" s="194">
        <v>43881</v>
      </c>
      <c r="B451" s="98" t="s">
        <v>876</v>
      </c>
      <c r="C451" s="98" t="s">
        <v>78</v>
      </c>
      <c r="D451" s="98">
        <v>38.065370000000001</v>
      </c>
      <c r="E451" s="98">
        <v>-122.01872</v>
      </c>
      <c r="F451" s="98" t="s">
        <v>3026</v>
      </c>
      <c r="G451" s="98" t="s">
        <v>27</v>
      </c>
      <c r="H451" s="98" t="s">
        <v>86</v>
      </c>
      <c r="I451" s="621">
        <v>0.35069444444444442</v>
      </c>
      <c r="J451" s="100">
        <v>6789.75</v>
      </c>
      <c r="K451" s="100">
        <v>11.649999999999999</v>
      </c>
      <c r="L451" s="100">
        <v>22.824999999999999</v>
      </c>
      <c r="M451" s="100">
        <v>0.63500000000000001</v>
      </c>
      <c r="N451" s="100">
        <v>9.35</v>
      </c>
      <c r="O451" s="98" t="s">
        <v>48</v>
      </c>
      <c r="P451" s="98">
        <v>4</v>
      </c>
      <c r="Q451" s="98">
        <v>10</v>
      </c>
      <c r="R451" s="98" t="s">
        <v>64</v>
      </c>
      <c r="S451" s="98" t="s">
        <v>50</v>
      </c>
      <c r="T451" s="98" t="s">
        <v>50</v>
      </c>
      <c r="U451" s="98" t="s">
        <v>50</v>
      </c>
      <c r="V451" s="98" t="s">
        <v>50</v>
      </c>
      <c r="W451" s="98" t="s">
        <v>50</v>
      </c>
      <c r="X451" s="98" t="s">
        <v>50</v>
      </c>
      <c r="Y451" s="622"/>
    </row>
    <row r="452" spans="1:25" s="646" customFormat="1" x14ac:dyDescent="0.25">
      <c r="A452" s="645">
        <v>43881</v>
      </c>
      <c r="B452" s="646" t="s">
        <v>876</v>
      </c>
      <c r="C452" s="646" t="s">
        <v>78</v>
      </c>
      <c r="D452" s="646">
        <v>38.098320000000001</v>
      </c>
      <c r="E452" s="646">
        <v>-122.07147000000001</v>
      </c>
      <c r="F452" s="646" t="s">
        <v>3027</v>
      </c>
      <c r="G452" s="646" t="s">
        <v>80</v>
      </c>
      <c r="H452" s="646" t="s">
        <v>81</v>
      </c>
      <c r="I452" s="647">
        <v>0.40486111111111112</v>
      </c>
      <c r="J452" s="648">
        <v>11459</v>
      </c>
      <c r="K452" s="648">
        <v>12.249999999999998</v>
      </c>
      <c r="L452" s="648">
        <v>66.575000000000003</v>
      </c>
      <c r="M452" s="648">
        <v>0.38749999999999996</v>
      </c>
      <c r="N452" s="648">
        <v>3.65</v>
      </c>
      <c r="O452" s="646" t="s">
        <v>48</v>
      </c>
      <c r="P452" s="646">
        <v>4</v>
      </c>
      <c r="Q452" s="646">
        <v>10</v>
      </c>
      <c r="R452" s="646" t="s">
        <v>64</v>
      </c>
      <c r="S452" s="667" t="s">
        <v>31</v>
      </c>
      <c r="T452" s="646">
        <v>2</v>
      </c>
      <c r="U452" s="646" t="s">
        <v>3028</v>
      </c>
      <c r="V452" s="646" t="s">
        <v>2789</v>
      </c>
      <c r="W452" s="646" t="s">
        <v>50</v>
      </c>
      <c r="X452" s="646" t="s">
        <v>50</v>
      </c>
      <c r="Y452" s="668" t="s">
        <v>3029</v>
      </c>
    </row>
    <row r="453" spans="1:25" s="98" customFormat="1" x14ac:dyDescent="0.25">
      <c r="A453" s="194">
        <v>43881</v>
      </c>
      <c r="B453" s="98" t="s">
        <v>876</v>
      </c>
      <c r="C453" s="98" t="s">
        <v>78</v>
      </c>
      <c r="D453" s="98">
        <v>38.046939999999999</v>
      </c>
      <c r="E453" s="98">
        <v>-122.12005000000001</v>
      </c>
      <c r="F453" s="98" t="s">
        <v>3030</v>
      </c>
      <c r="G453" s="98" t="s">
        <v>80</v>
      </c>
      <c r="H453" s="98" t="s">
        <v>81</v>
      </c>
      <c r="I453" s="621">
        <v>0.49791666666666662</v>
      </c>
      <c r="J453" s="100">
        <v>23158.25</v>
      </c>
      <c r="K453" s="100">
        <v>12.7</v>
      </c>
      <c r="L453" s="100">
        <v>26.549999999999997</v>
      </c>
      <c r="M453" s="100">
        <v>0.58499999999999996</v>
      </c>
      <c r="N453" s="100">
        <v>16.574999999999999</v>
      </c>
      <c r="O453" s="98" t="s">
        <v>48</v>
      </c>
      <c r="P453" s="98">
        <v>4</v>
      </c>
      <c r="Q453" s="98">
        <v>10</v>
      </c>
      <c r="R453" s="98" t="s">
        <v>64</v>
      </c>
      <c r="S453" s="98" t="s">
        <v>50</v>
      </c>
      <c r="T453" s="98" t="s">
        <v>50</v>
      </c>
      <c r="U453" s="98" t="s">
        <v>50</v>
      </c>
      <c r="V453" s="98" t="s">
        <v>50</v>
      </c>
      <c r="W453" s="98" t="s">
        <v>50</v>
      </c>
      <c r="X453" s="98" t="s">
        <v>50</v>
      </c>
      <c r="Y453" s="622" t="s">
        <v>2822</v>
      </c>
    </row>
    <row r="454" spans="1:25" s="98" customFormat="1" x14ac:dyDescent="0.25">
      <c r="A454" s="194">
        <v>43881</v>
      </c>
      <c r="B454" s="98" t="s">
        <v>876</v>
      </c>
      <c r="C454" s="98" t="s">
        <v>78</v>
      </c>
      <c r="D454" s="98">
        <v>38.064079999999997</v>
      </c>
      <c r="E454" s="98">
        <v>-122.10408</v>
      </c>
      <c r="F454" s="98" t="s">
        <v>3031</v>
      </c>
      <c r="G454" s="98" t="s">
        <v>80</v>
      </c>
      <c r="H454" s="98" t="s">
        <v>81</v>
      </c>
      <c r="I454" s="621">
        <v>0.54583333333333328</v>
      </c>
      <c r="J454" s="100">
        <v>19198.25</v>
      </c>
      <c r="K454" s="100">
        <v>13.074999999999999</v>
      </c>
      <c r="L454" s="100">
        <v>25.525000000000002</v>
      </c>
      <c r="M454" s="100">
        <v>0.59499999999999997</v>
      </c>
      <c r="N454" s="100">
        <v>12.45</v>
      </c>
      <c r="O454" s="98" t="s">
        <v>48</v>
      </c>
      <c r="P454" s="98">
        <v>4</v>
      </c>
      <c r="Q454" s="98">
        <v>10</v>
      </c>
      <c r="R454" s="98" t="s">
        <v>64</v>
      </c>
      <c r="S454" s="98" t="s">
        <v>50</v>
      </c>
      <c r="T454" s="98" t="s">
        <v>50</v>
      </c>
      <c r="U454" s="98" t="s">
        <v>50</v>
      </c>
      <c r="V454" s="98" t="s">
        <v>50</v>
      </c>
      <c r="W454" s="98" t="s">
        <v>50</v>
      </c>
      <c r="X454" s="98" t="s">
        <v>50</v>
      </c>
      <c r="Y454" s="622"/>
    </row>
    <row r="455" spans="1:25" s="646" customFormat="1" x14ac:dyDescent="0.25">
      <c r="A455" s="645">
        <v>43882</v>
      </c>
      <c r="B455" s="646" t="s">
        <v>125</v>
      </c>
      <c r="C455" s="646" t="s">
        <v>88</v>
      </c>
      <c r="D455" s="646">
        <v>38.097099999999998</v>
      </c>
      <c r="E455" s="646">
        <v>-121.73199</v>
      </c>
      <c r="F455" s="646" t="s">
        <v>3032</v>
      </c>
      <c r="G455" s="646" t="s">
        <v>90</v>
      </c>
      <c r="H455" s="646" t="s">
        <v>91</v>
      </c>
      <c r="I455" s="647">
        <v>0.32083333333333336</v>
      </c>
      <c r="J455" s="648">
        <v>233.92500000000001</v>
      </c>
      <c r="K455" s="648">
        <v>11.925000000000001</v>
      </c>
      <c r="L455" s="648">
        <v>13.525</v>
      </c>
      <c r="M455" s="648">
        <v>0.87749999999999995</v>
      </c>
      <c r="N455" s="648">
        <v>9.85</v>
      </c>
      <c r="O455" s="646" t="s">
        <v>48</v>
      </c>
      <c r="P455" s="646">
        <v>4</v>
      </c>
      <c r="Q455" s="646">
        <v>10</v>
      </c>
      <c r="R455" s="646" t="s">
        <v>49</v>
      </c>
      <c r="S455" s="667" t="s">
        <v>449</v>
      </c>
      <c r="T455" s="646">
        <v>1</v>
      </c>
      <c r="U455" s="646">
        <v>207</v>
      </c>
      <c r="V455" s="646" t="s">
        <v>50</v>
      </c>
      <c r="W455" s="646">
        <v>5</v>
      </c>
      <c r="X455" s="646" t="s">
        <v>2525</v>
      </c>
      <c r="Y455" s="668" t="s">
        <v>564</v>
      </c>
    </row>
    <row r="456" spans="1:25" s="98" customFormat="1" x14ac:dyDescent="0.25">
      <c r="A456" s="194">
        <v>43882</v>
      </c>
      <c r="B456" s="98" t="s">
        <v>125</v>
      </c>
      <c r="C456" s="98" t="s">
        <v>88</v>
      </c>
      <c r="D456" s="98">
        <v>38.150779999999997</v>
      </c>
      <c r="E456" s="98">
        <v>-121.68949000000001</v>
      </c>
      <c r="F456" s="98" t="s">
        <v>3033</v>
      </c>
      <c r="G456" s="98" t="s">
        <v>90</v>
      </c>
      <c r="H456" s="98" t="s">
        <v>91</v>
      </c>
      <c r="I456" s="621">
        <v>0.375</v>
      </c>
      <c r="J456" s="100">
        <v>232.22499999999997</v>
      </c>
      <c r="K456" s="100">
        <v>12.3</v>
      </c>
      <c r="L456" s="100">
        <v>10.2475</v>
      </c>
      <c r="M456" s="100">
        <v>1.1324999999999998</v>
      </c>
      <c r="N456" s="100">
        <v>8.4250000000000007</v>
      </c>
      <c r="O456" s="98" t="s">
        <v>48</v>
      </c>
      <c r="P456" s="98">
        <v>4</v>
      </c>
      <c r="Q456" s="98">
        <v>10</v>
      </c>
      <c r="R456" s="98" t="s">
        <v>49</v>
      </c>
      <c r="S456" s="98" t="s">
        <v>50</v>
      </c>
      <c r="T456" s="98" t="s">
        <v>50</v>
      </c>
      <c r="U456" s="98" t="s">
        <v>50</v>
      </c>
      <c r="V456" s="98" t="s">
        <v>50</v>
      </c>
      <c r="W456" s="98" t="s">
        <v>50</v>
      </c>
      <c r="X456" s="98" t="s">
        <v>50</v>
      </c>
      <c r="Y456" s="622" t="s">
        <v>3034</v>
      </c>
    </row>
    <row r="457" spans="1:25" s="98" customFormat="1" x14ac:dyDescent="0.25">
      <c r="A457" s="194">
        <v>43882</v>
      </c>
      <c r="B457" s="98" t="s">
        <v>125</v>
      </c>
      <c r="C457" s="98" t="s">
        <v>88</v>
      </c>
      <c r="D457" s="98">
        <v>38.165700000000001</v>
      </c>
      <c r="E457" s="98">
        <v>-121.67802</v>
      </c>
      <c r="F457" s="98" t="s">
        <v>3035</v>
      </c>
      <c r="G457" s="98" t="s">
        <v>90</v>
      </c>
      <c r="H457" s="98" t="s">
        <v>91</v>
      </c>
      <c r="I457" s="621">
        <v>0.42430555555555555</v>
      </c>
      <c r="J457" s="100">
        <v>229.85</v>
      </c>
      <c r="K457" s="100">
        <v>12.375</v>
      </c>
      <c r="L457" s="100">
        <v>10.145</v>
      </c>
      <c r="M457" s="100">
        <v>1.2250000000000001</v>
      </c>
      <c r="N457" s="100">
        <v>9.3000000000000007</v>
      </c>
      <c r="O457" s="98" t="s">
        <v>48</v>
      </c>
      <c r="P457" s="98">
        <v>4</v>
      </c>
      <c r="Q457" s="98">
        <v>10</v>
      </c>
      <c r="R457" s="98" t="s">
        <v>64</v>
      </c>
      <c r="S457" s="98" t="s">
        <v>50</v>
      </c>
      <c r="T457" s="98" t="s">
        <v>50</v>
      </c>
      <c r="U457" s="98" t="s">
        <v>50</v>
      </c>
      <c r="V457" s="98" t="s">
        <v>50</v>
      </c>
      <c r="W457" s="98" t="s">
        <v>50</v>
      </c>
      <c r="X457" s="98" t="s">
        <v>50</v>
      </c>
      <c r="Y457" s="622" t="s">
        <v>3036</v>
      </c>
    </row>
    <row r="458" spans="1:25" s="98" customFormat="1" x14ac:dyDescent="0.25">
      <c r="A458" s="194">
        <v>43882</v>
      </c>
      <c r="B458" s="98" t="s">
        <v>125</v>
      </c>
      <c r="C458" s="98" t="s">
        <v>118</v>
      </c>
      <c r="D458" s="98">
        <v>38.058839999999996</v>
      </c>
      <c r="E458" s="98">
        <v>-122.21729999999999</v>
      </c>
      <c r="F458" s="98" t="s">
        <v>3037</v>
      </c>
      <c r="G458" s="98" t="s">
        <v>80</v>
      </c>
      <c r="H458" s="98" t="s">
        <v>120</v>
      </c>
      <c r="I458" s="621">
        <v>0.3034722222222222</v>
      </c>
      <c r="J458" s="100">
        <v>21842.75</v>
      </c>
      <c r="K458" s="100">
        <v>12.55</v>
      </c>
      <c r="L458" s="100">
        <v>19.45</v>
      </c>
      <c r="M458" s="100">
        <v>0.7350000000000001</v>
      </c>
      <c r="N458" s="100">
        <v>22.6</v>
      </c>
      <c r="O458" s="98" t="s">
        <v>48</v>
      </c>
      <c r="P458" s="98">
        <v>4</v>
      </c>
      <c r="Q458" s="98">
        <v>10</v>
      </c>
      <c r="R458" s="98" t="s">
        <v>49</v>
      </c>
      <c r="S458" s="98" t="s">
        <v>50</v>
      </c>
      <c r="T458" s="98" t="s">
        <v>50</v>
      </c>
      <c r="U458" s="98" t="s">
        <v>50</v>
      </c>
      <c r="V458" s="98" t="s">
        <v>50</v>
      </c>
      <c r="W458" s="98" t="s">
        <v>50</v>
      </c>
      <c r="X458" s="98" t="s">
        <v>50</v>
      </c>
      <c r="Y458" s="622"/>
    </row>
    <row r="459" spans="1:25" s="98" customFormat="1" x14ac:dyDescent="0.25">
      <c r="A459" s="194">
        <v>43882</v>
      </c>
      <c r="B459" s="98" t="s">
        <v>125</v>
      </c>
      <c r="C459" s="98" t="s">
        <v>118</v>
      </c>
      <c r="D459" s="98">
        <v>38.037190000000002</v>
      </c>
      <c r="E459" s="98">
        <v>-121.554</v>
      </c>
      <c r="F459" s="98" t="s">
        <v>3038</v>
      </c>
      <c r="G459" s="98" t="s">
        <v>80</v>
      </c>
      <c r="H459" s="98" t="s">
        <v>120</v>
      </c>
      <c r="I459" s="621">
        <v>0.35347222222222219</v>
      </c>
      <c r="J459" s="100">
        <v>15655.25</v>
      </c>
      <c r="K459" s="100">
        <v>12.375</v>
      </c>
      <c r="L459" s="100">
        <v>24.375</v>
      </c>
      <c r="M459" s="100">
        <v>0.61</v>
      </c>
      <c r="N459" s="100">
        <v>8.6999999999999993</v>
      </c>
      <c r="O459" s="98" t="s">
        <v>48</v>
      </c>
      <c r="P459" s="98">
        <v>4</v>
      </c>
      <c r="Q459" s="98">
        <v>10</v>
      </c>
      <c r="R459" s="98" t="s">
        <v>64</v>
      </c>
      <c r="S459" s="98" t="s">
        <v>50</v>
      </c>
      <c r="T459" s="98" t="s">
        <v>50</v>
      </c>
      <c r="U459" s="98" t="s">
        <v>50</v>
      </c>
      <c r="V459" s="98" t="s">
        <v>50</v>
      </c>
      <c r="W459" s="98" t="s">
        <v>50</v>
      </c>
      <c r="X459" s="98" t="s">
        <v>50</v>
      </c>
      <c r="Y459" s="622" t="s">
        <v>139</v>
      </c>
    </row>
    <row r="460" spans="1:25" s="98" customFormat="1" x14ac:dyDescent="0.25">
      <c r="A460" s="194">
        <v>43882</v>
      </c>
      <c r="B460" s="98" t="s">
        <v>125</v>
      </c>
      <c r="C460" s="98" t="s">
        <v>118</v>
      </c>
      <c r="D460" s="98">
        <v>38.059229999999999</v>
      </c>
      <c r="E460" s="98">
        <v>-122.26549</v>
      </c>
      <c r="F460" s="98" t="s">
        <v>3039</v>
      </c>
      <c r="G460" s="98" t="s">
        <v>80</v>
      </c>
      <c r="H460" s="98" t="s">
        <v>123</v>
      </c>
      <c r="I460" s="621">
        <v>0.41875000000000001</v>
      </c>
      <c r="J460" s="100">
        <v>29922</v>
      </c>
      <c r="K460" s="100">
        <v>12.5</v>
      </c>
      <c r="L460" s="100">
        <v>12.1</v>
      </c>
      <c r="M460" s="100">
        <v>0.82</v>
      </c>
      <c r="N460" s="100">
        <v>24.3</v>
      </c>
      <c r="O460" s="98" t="s">
        <v>48</v>
      </c>
      <c r="P460" s="98">
        <v>1</v>
      </c>
      <c r="Q460" s="98">
        <v>4</v>
      </c>
      <c r="R460" s="98" t="s">
        <v>64</v>
      </c>
      <c r="S460" s="98" t="s">
        <v>50</v>
      </c>
      <c r="T460" s="98" t="s">
        <v>50</v>
      </c>
      <c r="U460" s="98" t="s">
        <v>50</v>
      </c>
      <c r="V460" s="98" t="s">
        <v>50</v>
      </c>
      <c r="W460" s="98" t="s">
        <v>50</v>
      </c>
      <c r="X460" s="98" t="s">
        <v>50</v>
      </c>
      <c r="Y460" s="622" t="s">
        <v>3040</v>
      </c>
    </row>
    <row r="461" spans="1:25" s="98" customFormat="1" x14ac:dyDescent="0.25">
      <c r="A461" s="194">
        <v>43882</v>
      </c>
      <c r="B461" s="98" t="s">
        <v>125</v>
      </c>
      <c r="C461" s="98" t="s">
        <v>118</v>
      </c>
      <c r="D461" s="98">
        <v>38.121139999999997</v>
      </c>
      <c r="E461" s="98">
        <v>-122.27968</v>
      </c>
      <c r="F461" s="98" t="s">
        <v>3041</v>
      </c>
      <c r="G461" s="98" t="s">
        <v>80</v>
      </c>
      <c r="H461" s="98" t="s">
        <v>191</v>
      </c>
      <c r="I461" s="621">
        <v>0.45069444444444445</v>
      </c>
      <c r="J461" s="100">
        <v>29094.25</v>
      </c>
      <c r="K461" s="100">
        <v>12.724999999999998</v>
      </c>
      <c r="L461" s="100">
        <v>49.800000000000004</v>
      </c>
      <c r="M461" s="100">
        <v>0.34</v>
      </c>
      <c r="N461" s="100">
        <v>9.3000000000000007</v>
      </c>
      <c r="O461" s="98" t="s">
        <v>48</v>
      </c>
      <c r="P461" s="98">
        <v>4</v>
      </c>
      <c r="Q461" s="98">
        <v>10</v>
      </c>
      <c r="R461" s="98" t="s">
        <v>64</v>
      </c>
      <c r="S461" s="98" t="s">
        <v>50</v>
      </c>
      <c r="T461" s="98" t="s">
        <v>50</v>
      </c>
      <c r="U461" s="98" t="s">
        <v>50</v>
      </c>
      <c r="V461" s="98" t="s">
        <v>50</v>
      </c>
      <c r="W461" s="98" t="s">
        <v>50</v>
      </c>
      <c r="X461" s="98" t="s">
        <v>50</v>
      </c>
      <c r="Y461" s="622"/>
    </row>
    <row r="462" spans="1:25" s="98" customFormat="1" x14ac:dyDescent="0.25">
      <c r="A462" s="194">
        <v>43882</v>
      </c>
      <c r="B462" s="98" t="s">
        <v>125</v>
      </c>
      <c r="C462" s="98" t="s">
        <v>95</v>
      </c>
      <c r="D462" s="98">
        <v>38.100659999999998</v>
      </c>
      <c r="E462" s="98">
        <v>-121.59338</v>
      </c>
      <c r="F462" s="98" t="s">
        <v>3042</v>
      </c>
      <c r="G462" s="98" t="s">
        <v>46</v>
      </c>
      <c r="H462" s="98" t="s">
        <v>115</v>
      </c>
      <c r="I462" s="621">
        <v>0.31944444444444448</v>
      </c>
      <c r="J462" s="100">
        <v>266.92500000000001</v>
      </c>
      <c r="K462" s="100">
        <v>12</v>
      </c>
      <c r="L462" s="100">
        <v>6.0475000000000003</v>
      </c>
      <c r="M462" s="100">
        <v>1.345</v>
      </c>
      <c r="N462" s="100">
        <v>8.5</v>
      </c>
      <c r="O462" s="98" t="s">
        <v>48</v>
      </c>
      <c r="P462" s="98">
        <v>4</v>
      </c>
      <c r="Q462" s="98">
        <v>10</v>
      </c>
      <c r="R462" s="98" t="s">
        <v>49</v>
      </c>
      <c r="S462" s="98" t="s">
        <v>50</v>
      </c>
      <c r="T462" s="98" t="s">
        <v>50</v>
      </c>
      <c r="U462" s="98" t="s">
        <v>50</v>
      </c>
      <c r="V462" s="98" t="s">
        <v>50</v>
      </c>
      <c r="W462" s="98" t="s">
        <v>50</v>
      </c>
      <c r="X462" s="98" t="s">
        <v>50</v>
      </c>
      <c r="Y462" s="622"/>
    </row>
    <row r="463" spans="1:25" s="98" customFormat="1" x14ac:dyDescent="0.25">
      <c r="A463" s="194">
        <v>43882</v>
      </c>
      <c r="B463" s="98" t="s">
        <v>125</v>
      </c>
      <c r="C463" s="98" t="s">
        <v>95</v>
      </c>
      <c r="D463" s="98">
        <v>38.093339999999998</v>
      </c>
      <c r="E463" s="98">
        <v>-121.62940999999999</v>
      </c>
      <c r="F463" s="98" t="s">
        <v>3043</v>
      </c>
      <c r="G463" s="98" t="s">
        <v>46</v>
      </c>
      <c r="H463" s="98" t="s">
        <v>908</v>
      </c>
      <c r="I463" s="621">
        <v>0.37152777777777773</v>
      </c>
      <c r="J463" s="100">
        <v>268.52499999999998</v>
      </c>
      <c r="K463" s="100">
        <v>11.95</v>
      </c>
      <c r="L463" s="100">
        <v>7.8949999999999996</v>
      </c>
      <c r="M463" s="100">
        <v>1.2974999999999999</v>
      </c>
      <c r="N463" s="100">
        <v>4.4250000000000007</v>
      </c>
      <c r="O463" s="98" t="s">
        <v>48</v>
      </c>
      <c r="P463" s="98">
        <v>4</v>
      </c>
      <c r="Q463" s="98">
        <v>10</v>
      </c>
      <c r="R463" s="98" t="s">
        <v>49</v>
      </c>
      <c r="S463" s="98" t="s">
        <v>50</v>
      </c>
      <c r="T463" s="98" t="s">
        <v>50</v>
      </c>
      <c r="U463" s="98" t="s">
        <v>50</v>
      </c>
      <c r="V463" s="98" t="s">
        <v>50</v>
      </c>
      <c r="W463" s="98" t="s">
        <v>50</v>
      </c>
      <c r="X463" s="98" t="s">
        <v>50</v>
      </c>
      <c r="Y463" s="622" t="s">
        <v>3044</v>
      </c>
    </row>
    <row r="464" spans="1:25" s="362" customFormat="1" x14ac:dyDescent="0.25">
      <c r="A464" s="360">
        <v>43882</v>
      </c>
      <c r="B464" s="362" t="s">
        <v>125</v>
      </c>
      <c r="C464" s="362" t="s">
        <v>95</v>
      </c>
      <c r="D464" s="362">
        <v>38.01332</v>
      </c>
      <c r="E464" s="362">
        <v>-121.68241999999999</v>
      </c>
      <c r="F464" s="362" t="s">
        <v>3045</v>
      </c>
      <c r="G464" s="362" t="s">
        <v>27</v>
      </c>
      <c r="H464" s="362" t="s">
        <v>863</v>
      </c>
      <c r="I464" s="618">
        <v>0.4694444444444445</v>
      </c>
      <c r="J464" s="364">
        <v>331.97500000000002</v>
      </c>
      <c r="K464" s="364">
        <v>12.125</v>
      </c>
      <c r="L464" s="364">
        <v>5.0650000000000004</v>
      </c>
      <c r="M464" s="364">
        <v>1.8</v>
      </c>
      <c r="N464" s="364">
        <v>2.95</v>
      </c>
      <c r="O464" s="362" t="s">
        <v>48</v>
      </c>
      <c r="P464" s="362">
        <v>4</v>
      </c>
      <c r="Q464" s="362">
        <v>10</v>
      </c>
      <c r="R464" s="362" t="s">
        <v>64</v>
      </c>
      <c r="S464" s="362" t="s">
        <v>50</v>
      </c>
      <c r="T464" s="362" t="s">
        <v>50</v>
      </c>
      <c r="U464" s="362" t="s">
        <v>50</v>
      </c>
      <c r="V464" s="362" t="s">
        <v>50</v>
      </c>
      <c r="W464" s="362" t="s">
        <v>50</v>
      </c>
      <c r="X464" s="362" t="s">
        <v>50</v>
      </c>
      <c r="Y464" s="603"/>
    </row>
    <row r="465" spans="1:25" s="98" customFormat="1" x14ac:dyDescent="0.25">
      <c r="A465" s="194">
        <v>43885</v>
      </c>
      <c r="B465" s="98" t="s">
        <v>43</v>
      </c>
      <c r="C465" s="98" t="s">
        <v>95</v>
      </c>
      <c r="D465" s="98">
        <v>38.046469999999999</v>
      </c>
      <c r="E465" s="98">
        <v>-121.50353</v>
      </c>
      <c r="F465" s="98" t="s">
        <v>3046</v>
      </c>
      <c r="G465" s="98" t="s">
        <v>46</v>
      </c>
      <c r="H465" s="98" t="s">
        <v>115</v>
      </c>
      <c r="I465" s="621">
        <v>0.3430555555555555</v>
      </c>
      <c r="J465" s="100">
        <v>355.875</v>
      </c>
      <c r="K465" s="100">
        <v>12.774999999999999</v>
      </c>
      <c r="L465" s="100">
        <v>4.4725000000000001</v>
      </c>
      <c r="M465" s="100">
        <v>1.8</v>
      </c>
      <c r="N465" s="100">
        <v>11.150000000000002</v>
      </c>
      <c r="O465" s="98" t="s">
        <v>48</v>
      </c>
      <c r="P465" s="98">
        <v>4</v>
      </c>
      <c r="Q465" s="98">
        <v>10</v>
      </c>
      <c r="R465" s="98" t="s">
        <v>49</v>
      </c>
      <c r="S465" s="98" t="s">
        <v>50</v>
      </c>
      <c r="T465" s="98" t="s">
        <v>50</v>
      </c>
      <c r="U465" s="98" t="s">
        <v>50</v>
      </c>
      <c r="V465" s="98" t="s">
        <v>50</v>
      </c>
      <c r="W465" s="98" t="s">
        <v>50</v>
      </c>
      <c r="X465" s="98" t="s">
        <v>50</v>
      </c>
      <c r="Y465" s="622" t="s">
        <v>139</v>
      </c>
    </row>
    <row r="466" spans="1:25" s="646" customFormat="1" x14ac:dyDescent="0.25">
      <c r="A466" s="645">
        <v>43885</v>
      </c>
      <c r="B466" s="646" t="s">
        <v>43</v>
      </c>
      <c r="C466" s="646" t="s">
        <v>95</v>
      </c>
      <c r="D466" s="646">
        <v>38.086039999999997</v>
      </c>
      <c r="E466" s="646">
        <v>-121.64691999999999</v>
      </c>
      <c r="F466" s="646" t="s">
        <v>3047</v>
      </c>
      <c r="G466" s="646" t="s">
        <v>46</v>
      </c>
      <c r="H466" s="646" t="s">
        <v>908</v>
      </c>
      <c r="I466" s="647">
        <v>0.42986111111111108</v>
      </c>
      <c r="J466" s="648">
        <v>271.82500000000005</v>
      </c>
      <c r="K466" s="648">
        <v>12.55</v>
      </c>
      <c r="L466" s="648">
        <v>6.9749999999999996</v>
      </c>
      <c r="M466" s="648">
        <v>1.4</v>
      </c>
      <c r="N466" s="648">
        <v>10.475</v>
      </c>
      <c r="O466" s="646" t="s">
        <v>48</v>
      </c>
      <c r="P466" s="646">
        <v>4</v>
      </c>
      <c r="Q466" s="646">
        <v>10</v>
      </c>
      <c r="R466" s="646" t="s">
        <v>49</v>
      </c>
      <c r="S466" s="667" t="s">
        <v>758</v>
      </c>
      <c r="T466" s="646">
        <v>1</v>
      </c>
      <c r="U466" s="646">
        <v>102</v>
      </c>
      <c r="V466" s="646" t="s">
        <v>50</v>
      </c>
      <c r="W466" s="646">
        <v>4</v>
      </c>
      <c r="X466" s="646" t="s">
        <v>50</v>
      </c>
      <c r="Y466" s="668"/>
    </row>
    <row r="467" spans="1:25" s="646" customFormat="1" x14ac:dyDescent="0.25">
      <c r="A467" s="645">
        <v>43885</v>
      </c>
      <c r="B467" s="646" t="s">
        <v>43</v>
      </c>
      <c r="C467" s="646" t="s">
        <v>95</v>
      </c>
      <c r="D467" s="646">
        <v>38.086039999999997</v>
      </c>
      <c r="E467" s="646">
        <v>-121.64691999999999</v>
      </c>
      <c r="F467" s="646" t="s">
        <v>3047</v>
      </c>
      <c r="G467" s="646" t="s">
        <v>46</v>
      </c>
      <c r="H467" s="646" t="s">
        <v>908</v>
      </c>
      <c r="I467" s="647">
        <v>0.42986111111111108</v>
      </c>
      <c r="J467" s="648">
        <v>271.82500000000005</v>
      </c>
      <c r="K467" s="648">
        <v>12.55</v>
      </c>
      <c r="L467" s="648">
        <v>6.9749999999999996</v>
      </c>
      <c r="M467" s="648">
        <v>1.4</v>
      </c>
      <c r="N467" s="648">
        <v>10.475</v>
      </c>
      <c r="O467" s="646" t="s">
        <v>48</v>
      </c>
      <c r="P467" s="646">
        <v>4</v>
      </c>
      <c r="Q467" s="646">
        <v>10</v>
      </c>
      <c r="R467" s="646" t="s">
        <v>49</v>
      </c>
      <c r="S467" s="667" t="s">
        <v>348</v>
      </c>
      <c r="T467" s="646">
        <v>1</v>
      </c>
      <c r="U467" s="646">
        <v>163</v>
      </c>
      <c r="V467" s="646" t="s">
        <v>50</v>
      </c>
      <c r="W467" s="646">
        <v>5</v>
      </c>
      <c r="X467" s="646" t="s">
        <v>2525</v>
      </c>
      <c r="Y467" s="668" t="s">
        <v>575</v>
      </c>
    </row>
    <row r="468" spans="1:25" s="98" customFormat="1" x14ac:dyDescent="0.25">
      <c r="A468" s="194">
        <v>43885</v>
      </c>
      <c r="B468" s="98" t="s">
        <v>43</v>
      </c>
      <c r="C468" s="98" t="s">
        <v>95</v>
      </c>
      <c r="D468" s="98">
        <v>38.087029999999999</v>
      </c>
      <c r="E468" s="98">
        <v>-121.68241999999999</v>
      </c>
      <c r="F468" s="98" t="s">
        <v>3048</v>
      </c>
      <c r="G468" s="98" t="s">
        <v>46</v>
      </c>
      <c r="H468" s="98" t="s">
        <v>908</v>
      </c>
      <c r="I468" s="621">
        <v>0.47986111111111113</v>
      </c>
      <c r="J468" s="100">
        <v>274.2</v>
      </c>
      <c r="K468" s="100">
        <v>12.524999999999999</v>
      </c>
      <c r="L468" s="100">
        <v>6.9625000000000004</v>
      </c>
      <c r="M468" s="100">
        <v>1.5249999999999999</v>
      </c>
      <c r="N468" s="100">
        <v>12.399999999999999</v>
      </c>
      <c r="O468" s="98" t="s">
        <v>48</v>
      </c>
      <c r="P468" s="98">
        <v>4</v>
      </c>
      <c r="Q468" s="98">
        <v>10</v>
      </c>
      <c r="R468" s="98" t="s">
        <v>49</v>
      </c>
      <c r="S468" s="98" t="s">
        <v>50</v>
      </c>
      <c r="T468" s="98" t="s">
        <v>50</v>
      </c>
      <c r="U468" s="98" t="s">
        <v>50</v>
      </c>
      <c r="V468" s="98" t="s">
        <v>50</v>
      </c>
      <c r="W468" s="98" t="s">
        <v>50</v>
      </c>
      <c r="X468" s="98" t="s">
        <v>50</v>
      </c>
      <c r="Y468" s="622"/>
    </row>
    <row r="469" spans="1:25" s="98" customFormat="1" x14ac:dyDescent="0.25">
      <c r="A469" s="194">
        <v>43885</v>
      </c>
      <c r="B469" s="98" t="s">
        <v>43</v>
      </c>
      <c r="C469" s="98" t="s">
        <v>106</v>
      </c>
      <c r="D469" s="98">
        <v>38.553669999999997</v>
      </c>
      <c r="E469" s="98">
        <v>-121.57738000000001</v>
      </c>
      <c r="F469" s="98" t="s">
        <v>3049</v>
      </c>
      <c r="G469" s="98" t="s">
        <v>90</v>
      </c>
      <c r="H469" s="98" t="s">
        <v>1787</v>
      </c>
      <c r="I469" s="621">
        <v>0.3444444444444445</v>
      </c>
      <c r="J469" s="100">
        <v>1135.25</v>
      </c>
      <c r="K469" s="100">
        <v>11.725000000000001</v>
      </c>
      <c r="L469" s="100">
        <v>5.6775000000000002</v>
      </c>
      <c r="M469" s="100">
        <v>1.4574999999999998</v>
      </c>
      <c r="N469" s="100">
        <v>11.2</v>
      </c>
      <c r="O469" s="98" t="s">
        <v>48</v>
      </c>
      <c r="P469" s="98">
        <v>4</v>
      </c>
      <c r="Q469" s="98">
        <v>10</v>
      </c>
      <c r="R469" s="98" t="s">
        <v>49</v>
      </c>
      <c r="S469" s="98" t="s">
        <v>50</v>
      </c>
      <c r="T469" s="98" t="s">
        <v>50</v>
      </c>
      <c r="U469" s="98" t="s">
        <v>50</v>
      </c>
      <c r="V469" s="98" t="s">
        <v>50</v>
      </c>
      <c r="W469" s="98" t="s">
        <v>50</v>
      </c>
      <c r="X469" s="98" t="s">
        <v>50</v>
      </c>
      <c r="Y469" s="622" t="s">
        <v>139</v>
      </c>
    </row>
    <row r="470" spans="1:25" s="98" customFormat="1" x14ac:dyDescent="0.25">
      <c r="A470" s="194">
        <v>43885</v>
      </c>
      <c r="B470" s="98" t="s">
        <v>43</v>
      </c>
      <c r="C470" s="98" t="s">
        <v>106</v>
      </c>
      <c r="D470" s="98">
        <v>38.509099999999997</v>
      </c>
      <c r="E470" s="98">
        <v>-121.58457</v>
      </c>
      <c r="F470" s="98" t="s">
        <v>3050</v>
      </c>
      <c r="G470" s="98" t="s">
        <v>90</v>
      </c>
      <c r="H470" s="98" t="s">
        <v>1787</v>
      </c>
      <c r="I470" s="621">
        <v>0.3979166666666667</v>
      </c>
      <c r="J470" s="100">
        <v>1012.25</v>
      </c>
      <c r="K470" s="100">
        <v>11.7</v>
      </c>
      <c r="L470" s="100">
        <v>10.857499999999998</v>
      </c>
      <c r="M470" s="100">
        <v>0.71249999999999991</v>
      </c>
      <c r="N470" s="100">
        <v>11.175000000000001</v>
      </c>
      <c r="O470" s="98" t="s">
        <v>48</v>
      </c>
      <c r="P470" s="98">
        <v>4</v>
      </c>
      <c r="Q470" s="98">
        <v>10</v>
      </c>
      <c r="R470" s="98" t="s">
        <v>49</v>
      </c>
      <c r="S470" s="98" t="s">
        <v>50</v>
      </c>
      <c r="T470" s="98" t="s">
        <v>50</v>
      </c>
      <c r="U470" s="98" t="s">
        <v>50</v>
      </c>
      <c r="V470" s="98" t="s">
        <v>50</v>
      </c>
      <c r="W470" s="98" t="s">
        <v>50</v>
      </c>
      <c r="X470" s="98" t="s">
        <v>50</v>
      </c>
      <c r="Y470" s="622"/>
    </row>
    <row r="471" spans="1:25" s="98" customFormat="1" x14ac:dyDescent="0.25">
      <c r="A471" s="194">
        <v>43885</v>
      </c>
      <c r="B471" s="98" t="s">
        <v>43</v>
      </c>
      <c r="C471" s="98" t="s">
        <v>106</v>
      </c>
      <c r="D471" s="98">
        <v>38.365859999999998</v>
      </c>
      <c r="E471" s="98">
        <v>-121.63321000000001</v>
      </c>
      <c r="F471" s="98" t="s">
        <v>3051</v>
      </c>
      <c r="G471" s="98" t="s">
        <v>90</v>
      </c>
      <c r="H471" s="98" t="s">
        <v>362</v>
      </c>
      <c r="I471" s="621">
        <v>0.46527777777777773</v>
      </c>
      <c r="J471" s="100">
        <v>512</v>
      </c>
      <c r="K471" s="100">
        <v>11.825000000000001</v>
      </c>
      <c r="L471" s="100">
        <v>64.074999999999989</v>
      </c>
      <c r="M471" s="100">
        <v>0.20500000000000002</v>
      </c>
      <c r="N471" s="100">
        <v>9.7650000000000006</v>
      </c>
      <c r="O471" s="98" t="s">
        <v>48</v>
      </c>
      <c r="P471" s="98">
        <v>4</v>
      </c>
      <c r="Q471" s="98">
        <v>10</v>
      </c>
      <c r="R471" s="98" t="s">
        <v>49</v>
      </c>
      <c r="S471" s="98" t="s">
        <v>50</v>
      </c>
      <c r="T471" s="98" t="s">
        <v>50</v>
      </c>
      <c r="U471" s="98" t="s">
        <v>50</v>
      </c>
      <c r="V471" s="98" t="s">
        <v>50</v>
      </c>
      <c r="W471" s="98" t="s">
        <v>50</v>
      </c>
      <c r="X471" s="98" t="s">
        <v>50</v>
      </c>
      <c r="Y471" s="622"/>
    </row>
    <row r="472" spans="1:25" s="154" customFormat="1" x14ac:dyDescent="0.25">
      <c r="A472" s="195">
        <v>43885</v>
      </c>
      <c r="B472" s="154" t="s">
        <v>43</v>
      </c>
      <c r="C472" s="154" t="s">
        <v>118</v>
      </c>
      <c r="D472" s="154">
        <v>38.071379999999998</v>
      </c>
      <c r="E472" s="154">
        <v>-122.32393999999999</v>
      </c>
      <c r="F472" s="154" t="s">
        <v>3052</v>
      </c>
      <c r="G472" s="154" t="s">
        <v>80</v>
      </c>
      <c r="H472" s="154" t="s">
        <v>123</v>
      </c>
      <c r="I472" s="636">
        <v>0.37013888888888885</v>
      </c>
      <c r="J472" s="156" t="s">
        <v>50</v>
      </c>
      <c r="K472" s="154" t="s">
        <v>50</v>
      </c>
      <c r="L472" s="154" t="s">
        <v>50</v>
      </c>
      <c r="M472" s="154" t="s">
        <v>50</v>
      </c>
      <c r="N472" s="154" t="s">
        <v>50</v>
      </c>
      <c r="O472" s="154" t="s">
        <v>48</v>
      </c>
      <c r="P472" s="154">
        <v>0</v>
      </c>
      <c r="Q472" s="154" t="s">
        <v>50</v>
      </c>
      <c r="R472" s="154" t="s">
        <v>50</v>
      </c>
      <c r="S472" s="154" t="s">
        <v>50</v>
      </c>
      <c r="T472" s="154" t="s">
        <v>50</v>
      </c>
      <c r="U472" s="154" t="s">
        <v>50</v>
      </c>
      <c r="V472" s="154" t="s">
        <v>50</v>
      </c>
      <c r="W472" s="154" t="s">
        <v>50</v>
      </c>
      <c r="X472" s="154" t="s">
        <v>50</v>
      </c>
      <c r="Y472" s="627" t="s">
        <v>858</v>
      </c>
    </row>
    <row r="473" spans="1:25" s="98" customFormat="1" x14ac:dyDescent="0.25">
      <c r="A473" s="194">
        <v>43885</v>
      </c>
      <c r="B473" s="98" t="s">
        <v>43</v>
      </c>
      <c r="C473" s="98" t="s">
        <v>118</v>
      </c>
      <c r="D473" s="98">
        <v>38.042110000000001</v>
      </c>
      <c r="E473" s="98">
        <v>-122.29237999999999</v>
      </c>
      <c r="F473" s="98" t="s">
        <v>3053</v>
      </c>
      <c r="G473" s="98" t="s">
        <v>80</v>
      </c>
      <c r="H473" s="98" t="s">
        <v>123</v>
      </c>
      <c r="I473" s="621">
        <v>0.38125000000000003</v>
      </c>
      <c r="J473" s="100">
        <v>29409</v>
      </c>
      <c r="K473" s="100">
        <v>12.85</v>
      </c>
      <c r="L473" s="100">
        <v>14.350000000000001</v>
      </c>
      <c r="M473" s="100">
        <v>0.79999999999999993</v>
      </c>
      <c r="N473" s="100">
        <v>3.4750000000000001</v>
      </c>
      <c r="O473" s="98" t="s">
        <v>48</v>
      </c>
      <c r="P473" s="98">
        <v>4</v>
      </c>
      <c r="Q473" s="98">
        <v>10</v>
      </c>
      <c r="R473" s="98" t="s">
        <v>49</v>
      </c>
      <c r="S473" s="98" t="s">
        <v>50</v>
      </c>
      <c r="T473" s="98" t="s">
        <v>50</v>
      </c>
      <c r="U473" s="98" t="s">
        <v>50</v>
      </c>
      <c r="V473" s="98" t="s">
        <v>50</v>
      </c>
      <c r="W473" s="98" t="s">
        <v>50</v>
      </c>
      <c r="X473" s="98" t="s">
        <v>50</v>
      </c>
      <c r="Y473" s="622"/>
    </row>
    <row r="474" spans="1:25" s="98" customFormat="1" x14ac:dyDescent="0.25">
      <c r="A474" s="194">
        <v>43885</v>
      </c>
      <c r="B474" s="98" t="s">
        <v>43</v>
      </c>
      <c r="C474" s="98" t="s">
        <v>118</v>
      </c>
      <c r="D474" s="98">
        <v>38.0441</v>
      </c>
      <c r="E474" s="98">
        <v>-122.27030000000001</v>
      </c>
      <c r="F474" s="98" t="s">
        <v>3054</v>
      </c>
      <c r="G474" s="98" t="s">
        <v>80</v>
      </c>
      <c r="H474" s="98" t="s">
        <v>123</v>
      </c>
      <c r="I474" s="621">
        <v>0.44375000000000003</v>
      </c>
      <c r="J474" s="100">
        <v>30962.75</v>
      </c>
      <c r="K474" s="100">
        <v>12.950000000000001</v>
      </c>
      <c r="L474" s="100">
        <v>23.774999999999999</v>
      </c>
      <c r="M474" s="100">
        <v>0.67</v>
      </c>
      <c r="N474" s="100">
        <v>3.4250000000000003</v>
      </c>
      <c r="O474" s="98" t="s">
        <v>48</v>
      </c>
      <c r="P474" s="98">
        <v>4</v>
      </c>
      <c r="Q474" s="98">
        <v>10</v>
      </c>
      <c r="R474" s="98" t="s">
        <v>64</v>
      </c>
      <c r="S474" s="98" t="s">
        <v>50</v>
      </c>
      <c r="T474" s="98" t="s">
        <v>50</v>
      </c>
      <c r="U474" s="98" t="s">
        <v>50</v>
      </c>
      <c r="V474" s="98" t="s">
        <v>50</v>
      </c>
      <c r="W474" s="98" t="s">
        <v>50</v>
      </c>
      <c r="X474" s="98" t="s">
        <v>50</v>
      </c>
      <c r="Y474" s="622" t="s">
        <v>139</v>
      </c>
    </row>
    <row r="475" spans="1:25" s="98" customFormat="1" x14ac:dyDescent="0.25">
      <c r="A475" s="194">
        <v>43885</v>
      </c>
      <c r="B475" s="98" t="s">
        <v>43</v>
      </c>
      <c r="C475" s="98" t="s">
        <v>118</v>
      </c>
      <c r="D475" s="98">
        <v>38.056539999999998</v>
      </c>
      <c r="E475" s="98">
        <v>-122.18980999999999</v>
      </c>
      <c r="F475" s="98" t="s">
        <v>3055</v>
      </c>
      <c r="G475" s="98" t="s">
        <v>80</v>
      </c>
      <c r="H475" s="98" t="s">
        <v>120</v>
      </c>
      <c r="I475" s="621">
        <v>0.4993055555555555</v>
      </c>
      <c r="J475" s="100">
        <v>19701.75</v>
      </c>
      <c r="K475" s="100">
        <v>12.975</v>
      </c>
      <c r="L475" s="100">
        <v>21.975000000000001</v>
      </c>
      <c r="M475" s="100">
        <v>0.63</v>
      </c>
      <c r="N475" s="100">
        <v>21.6</v>
      </c>
      <c r="O475" s="98" t="s">
        <v>48</v>
      </c>
      <c r="P475" s="98">
        <v>4</v>
      </c>
      <c r="Q475" s="98">
        <v>10</v>
      </c>
      <c r="R475" s="98" t="s">
        <v>64</v>
      </c>
      <c r="S475" s="98" t="s">
        <v>50</v>
      </c>
      <c r="T475" s="98" t="s">
        <v>50</v>
      </c>
      <c r="U475" s="98" t="s">
        <v>50</v>
      </c>
      <c r="V475" s="98" t="s">
        <v>50</v>
      </c>
      <c r="W475" s="98" t="s">
        <v>50</v>
      </c>
      <c r="X475" s="98" t="s">
        <v>50</v>
      </c>
      <c r="Y475" s="622"/>
    </row>
    <row r="476" spans="1:25" s="98" customFormat="1" x14ac:dyDescent="0.25">
      <c r="A476" s="194">
        <v>43885</v>
      </c>
      <c r="B476" s="98" t="s">
        <v>43</v>
      </c>
      <c r="C476" s="98" t="s">
        <v>78</v>
      </c>
      <c r="D476" s="98">
        <v>38.061259999999997</v>
      </c>
      <c r="E476" s="98">
        <v>-122.10637</v>
      </c>
      <c r="F476" s="98" t="s">
        <v>3056</v>
      </c>
      <c r="G476" s="98" t="s">
        <v>80</v>
      </c>
      <c r="H476" s="98" t="s">
        <v>81</v>
      </c>
      <c r="I476" s="621">
        <v>0.55486111111111114</v>
      </c>
      <c r="J476" s="100">
        <v>15871.75</v>
      </c>
      <c r="K476" s="100">
        <v>13.274999999999999</v>
      </c>
      <c r="L476" s="100">
        <v>29.300000000000004</v>
      </c>
      <c r="M476" s="100">
        <v>0.51500000000000001</v>
      </c>
      <c r="N476" s="100">
        <v>11.9</v>
      </c>
      <c r="O476" s="98" t="s">
        <v>48</v>
      </c>
      <c r="P476" s="98">
        <v>4</v>
      </c>
      <c r="Q476" s="98">
        <v>10</v>
      </c>
      <c r="R476" s="98" t="s">
        <v>64</v>
      </c>
      <c r="S476" s="98" t="s">
        <v>50</v>
      </c>
      <c r="T476" s="98" t="s">
        <v>50</v>
      </c>
      <c r="U476" s="98" t="s">
        <v>50</v>
      </c>
      <c r="V476" s="98" t="s">
        <v>50</v>
      </c>
      <c r="W476" s="98" t="s">
        <v>50</v>
      </c>
      <c r="X476" s="98" t="s">
        <v>50</v>
      </c>
      <c r="Y476" s="622"/>
    </row>
    <row r="477" spans="1:25" s="98" customFormat="1" x14ac:dyDescent="0.25">
      <c r="A477" s="194">
        <v>43886</v>
      </c>
      <c r="B477" s="98" t="s">
        <v>849</v>
      </c>
      <c r="C477" s="98" t="s">
        <v>95</v>
      </c>
      <c r="D477" s="98">
        <v>38.020020000000002</v>
      </c>
      <c r="E477" s="98">
        <v>-121.79698999999999</v>
      </c>
      <c r="F477" s="98" t="s">
        <v>3057</v>
      </c>
      <c r="G477" s="98" t="s">
        <v>27</v>
      </c>
      <c r="H477" s="98" t="s">
        <v>863</v>
      </c>
      <c r="I477" s="621">
        <v>0.33194444444444443</v>
      </c>
      <c r="J477" s="100">
        <v>583.5</v>
      </c>
      <c r="K477" s="100">
        <v>12.7</v>
      </c>
      <c r="L477" s="100">
        <v>12.25</v>
      </c>
      <c r="M477" s="100">
        <v>0.96500000000000008</v>
      </c>
      <c r="N477" s="100">
        <v>11.2</v>
      </c>
      <c r="O477" s="98" t="s">
        <v>48</v>
      </c>
      <c r="P477" s="98">
        <v>4</v>
      </c>
      <c r="Q477" s="98">
        <v>10</v>
      </c>
      <c r="R477" s="98" t="s">
        <v>49</v>
      </c>
      <c r="S477" s="98" t="s">
        <v>50</v>
      </c>
      <c r="T477" s="98" t="s">
        <v>50</v>
      </c>
      <c r="U477" s="98" t="s">
        <v>50</v>
      </c>
      <c r="V477" s="98" t="s">
        <v>50</v>
      </c>
      <c r="W477" s="98" t="s">
        <v>50</v>
      </c>
      <c r="X477" s="98" t="s">
        <v>50</v>
      </c>
      <c r="Y477" s="622"/>
    </row>
    <row r="478" spans="1:25" s="98" customFormat="1" x14ac:dyDescent="0.25">
      <c r="A478" s="194">
        <v>43886</v>
      </c>
      <c r="B478" s="98" t="s">
        <v>849</v>
      </c>
      <c r="C478" s="98" t="s">
        <v>95</v>
      </c>
      <c r="D478" s="98">
        <v>38.01643</v>
      </c>
      <c r="E478" s="98">
        <v>-121.78261999999999</v>
      </c>
      <c r="F478" s="98" t="s">
        <v>3058</v>
      </c>
      <c r="G478" s="98" t="s">
        <v>27</v>
      </c>
      <c r="H478" s="98" t="s">
        <v>863</v>
      </c>
      <c r="I478" s="621">
        <v>0.37777777777777777</v>
      </c>
      <c r="J478" s="100">
        <v>414.9</v>
      </c>
      <c r="K478" s="100">
        <v>12.8</v>
      </c>
      <c r="L478" s="100">
        <v>12.499999999999998</v>
      </c>
      <c r="M478" s="100">
        <v>1.0249999999999999</v>
      </c>
      <c r="N478" s="100">
        <v>8.9499999999999993</v>
      </c>
      <c r="O478" s="98" t="s">
        <v>48</v>
      </c>
      <c r="P478" s="98">
        <v>4</v>
      </c>
      <c r="Q478" s="98">
        <v>10</v>
      </c>
      <c r="R478" s="98" t="s">
        <v>49</v>
      </c>
      <c r="S478" s="98" t="s">
        <v>50</v>
      </c>
      <c r="T478" s="98" t="s">
        <v>50</v>
      </c>
      <c r="U478" s="98" t="s">
        <v>50</v>
      </c>
      <c r="V478" s="98" t="s">
        <v>50</v>
      </c>
      <c r="W478" s="98" t="s">
        <v>50</v>
      </c>
      <c r="X478" s="98" t="s">
        <v>50</v>
      </c>
      <c r="Y478" s="622"/>
    </row>
    <row r="479" spans="1:25" s="646" customFormat="1" x14ac:dyDescent="0.25">
      <c r="A479" s="645">
        <v>43886</v>
      </c>
      <c r="B479" s="646" t="s">
        <v>849</v>
      </c>
      <c r="C479" s="646" t="s">
        <v>95</v>
      </c>
      <c r="D479" s="646">
        <v>38.079650000000001</v>
      </c>
      <c r="E479" s="646">
        <v>-121.76257</v>
      </c>
      <c r="F479" s="646" t="s">
        <v>3059</v>
      </c>
      <c r="G479" s="646" t="s">
        <v>27</v>
      </c>
      <c r="H479" s="646" t="s">
        <v>863</v>
      </c>
      <c r="I479" s="647">
        <v>0.42638888888888887</v>
      </c>
      <c r="J479" s="648">
        <v>297.97500000000002</v>
      </c>
      <c r="K479" s="648">
        <v>12.649999999999999</v>
      </c>
      <c r="L479" s="648">
        <v>11.337500000000002</v>
      </c>
      <c r="M479" s="648">
        <v>0.97</v>
      </c>
      <c r="N479" s="648">
        <v>10.574999999999999</v>
      </c>
      <c r="O479" s="646" t="s">
        <v>48</v>
      </c>
      <c r="P479" s="646">
        <v>4</v>
      </c>
      <c r="Q479" s="646">
        <v>10</v>
      </c>
      <c r="R479" s="646" t="s">
        <v>49</v>
      </c>
      <c r="S479" s="667" t="s">
        <v>449</v>
      </c>
      <c r="T479" s="646">
        <v>2</v>
      </c>
      <c r="U479" s="646" t="s">
        <v>3060</v>
      </c>
      <c r="V479" s="646" t="s">
        <v>50</v>
      </c>
      <c r="W479" s="646">
        <v>5</v>
      </c>
      <c r="X479" s="646" t="s">
        <v>2525</v>
      </c>
      <c r="Y479" s="668" t="s">
        <v>580</v>
      </c>
    </row>
    <row r="480" spans="1:25" s="98" customFormat="1" x14ac:dyDescent="0.25">
      <c r="A480" s="194">
        <v>43886</v>
      </c>
      <c r="B480" s="98" t="s">
        <v>849</v>
      </c>
      <c r="C480" s="98" t="s">
        <v>95</v>
      </c>
      <c r="D480" s="98">
        <v>38.025239999999997</v>
      </c>
      <c r="E480" s="98">
        <v>-121.75738</v>
      </c>
      <c r="F480" s="98" t="s">
        <v>3061</v>
      </c>
      <c r="G480" s="98" t="s">
        <v>27</v>
      </c>
      <c r="H480" s="98" t="s">
        <v>863</v>
      </c>
      <c r="I480" s="621">
        <v>0.47222222222222227</v>
      </c>
      <c r="J480" s="100">
        <v>297.375</v>
      </c>
      <c r="K480" s="100">
        <v>12.825000000000001</v>
      </c>
      <c r="L480" s="100">
        <v>7.4350000000000005</v>
      </c>
      <c r="M480" s="100">
        <v>1.22</v>
      </c>
      <c r="N480" s="100">
        <v>7.125</v>
      </c>
      <c r="O480" s="98" t="s">
        <v>48</v>
      </c>
      <c r="P480" s="98">
        <v>4</v>
      </c>
      <c r="Q480" s="98">
        <v>10</v>
      </c>
      <c r="R480" s="98" t="s">
        <v>49</v>
      </c>
      <c r="S480" s="98" t="s">
        <v>50</v>
      </c>
      <c r="T480" s="98" t="s">
        <v>50</v>
      </c>
      <c r="U480" s="98" t="s">
        <v>50</v>
      </c>
      <c r="V480" s="98" t="s">
        <v>50</v>
      </c>
      <c r="W480" s="98" t="s">
        <v>50</v>
      </c>
      <c r="X480" s="98" t="s">
        <v>50</v>
      </c>
      <c r="Y480" s="622"/>
    </row>
    <row r="481" spans="1:25" s="646" customFormat="1" x14ac:dyDescent="0.25">
      <c r="A481" s="645">
        <v>43886</v>
      </c>
      <c r="B481" s="646" t="s">
        <v>849</v>
      </c>
      <c r="C481" s="646" t="s">
        <v>78</v>
      </c>
      <c r="D481" s="646">
        <v>38.047870000000003</v>
      </c>
      <c r="E481" s="646">
        <v>-121.9333</v>
      </c>
      <c r="F481" s="646" t="s">
        <v>3062</v>
      </c>
      <c r="G481" s="646" t="s">
        <v>27</v>
      </c>
      <c r="H481" s="646" t="s">
        <v>101</v>
      </c>
      <c r="I481" s="647">
        <v>0.3527777777777778</v>
      </c>
      <c r="J481" s="648">
        <v>2605.25</v>
      </c>
      <c r="K481" s="648">
        <v>12.475</v>
      </c>
      <c r="L481" s="648">
        <v>25.674999999999997</v>
      </c>
      <c r="M481" s="648">
        <v>0.435</v>
      </c>
      <c r="N481" s="648">
        <v>17.75</v>
      </c>
      <c r="O481" s="646" t="s">
        <v>48</v>
      </c>
      <c r="P481" s="646">
        <v>4</v>
      </c>
      <c r="Q481" s="646">
        <v>10</v>
      </c>
      <c r="R481" s="646" t="s">
        <v>49</v>
      </c>
      <c r="S481" s="667" t="s">
        <v>449</v>
      </c>
      <c r="T481" s="646">
        <v>5</v>
      </c>
      <c r="U481" s="646" t="s">
        <v>3063</v>
      </c>
      <c r="V481" s="646" t="s">
        <v>50</v>
      </c>
      <c r="W481" s="646">
        <v>5</v>
      </c>
      <c r="X481" s="646" t="s">
        <v>2525</v>
      </c>
      <c r="Y481" s="668" t="s">
        <v>3064</v>
      </c>
    </row>
    <row r="482" spans="1:25" s="98" customFormat="1" x14ac:dyDescent="0.25">
      <c r="A482" s="194">
        <v>43886</v>
      </c>
      <c r="B482" s="98" t="s">
        <v>849</v>
      </c>
      <c r="C482" s="98" t="s">
        <v>78</v>
      </c>
      <c r="D482" s="98">
        <v>38.093910000000001</v>
      </c>
      <c r="E482" s="98">
        <v>-122.05903000000001</v>
      </c>
      <c r="F482" s="98" t="s">
        <v>3065</v>
      </c>
      <c r="G482" s="98" t="s">
        <v>27</v>
      </c>
      <c r="H482" s="98" t="s">
        <v>86</v>
      </c>
      <c r="I482" s="621">
        <v>0.41875000000000001</v>
      </c>
      <c r="J482" s="100">
        <v>9400.5</v>
      </c>
      <c r="K482" s="100">
        <v>12.774999999999999</v>
      </c>
      <c r="L482" s="100">
        <v>46.474999999999994</v>
      </c>
      <c r="M482" s="100">
        <v>0.31000000000000005</v>
      </c>
      <c r="N482" s="100">
        <v>6.0000000000000009</v>
      </c>
      <c r="O482" s="98" t="s">
        <v>48</v>
      </c>
      <c r="P482" s="98">
        <v>4</v>
      </c>
      <c r="Q482" s="98">
        <v>10</v>
      </c>
      <c r="R482" s="98" t="s">
        <v>49</v>
      </c>
      <c r="S482" s="98" t="s">
        <v>50</v>
      </c>
      <c r="T482" s="98" t="s">
        <v>50</v>
      </c>
      <c r="U482" s="98" t="s">
        <v>50</v>
      </c>
      <c r="V482" s="98" t="s">
        <v>50</v>
      </c>
      <c r="W482" s="98" t="s">
        <v>50</v>
      </c>
      <c r="X482" s="98" t="s">
        <v>50</v>
      </c>
      <c r="Y482" s="622"/>
    </row>
    <row r="483" spans="1:25" s="646" customFormat="1" x14ac:dyDescent="0.25">
      <c r="A483" s="645">
        <v>43886</v>
      </c>
      <c r="B483" s="646" t="s">
        <v>849</v>
      </c>
      <c r="C483" s="646" t="s">
        <v>78</v>
      </c>
      <c r="D483" s="646">
        <v>38.10219</v>
      </c>
      <c r="E483" s="646">
        <v>-122.03197</v>
      </c>
      <c r="F483" s="646" t="s">
        <v>3066</v>
      </c>
      <c r="G483" s="646" t="s">
        <v>27</v>
      </c>
      <c r="H483" s="646" t="s">
        <v>86</v>
      </c>
      <c r="I483" s="647">
        <v>0.47013888888888888</v>
      </c>
      <c r="J483" s="648">
        <v>7700</v>
      </c>
      <c r="K483" s="648">
        <v>12.875</v>
      </c>
      <c r="L483" s="648">
        <v>44.05</v>
      </c>
      <c r="M483" s="648">
        <v>0.31</v>
      </c>
      <c r="N483" s="648">
        <v>5.75</v>
      </c>
      <c r="O483" s="646" t="s">
        <v>48</v>
      </c>
      <c r="P483" s="646">
        <v>4</v>
      </c>
      <c r="Q483" s="646">
        <v>10</v>
      </c>
      <c r="R483" s="646" t="s">
        <v>64</v>
      </c>
      <c r="S483" s="667" t="s">
        <v>31</v>
      </c>
      <c r="T483" s="646">
        <v>1</v>
      </c>
      <c r="U483" s="646">
        <v>75</v>
      </c>
      <c r="V483" s="646" t="s">
        <v>66</v>
      </c>
      <c r="W483" s="646" t="s">
        <v>50</v>
      </c>
      <c r="X483" s="646" t="s">
        <v>50</v>
      </c>
      <c r="Y483" s="668"/>
    </row>
    <row r="484" spans="1:25" s="98" customFormat="1" x14ac:dyDescent="0.25">
      <c r="A484" s="194">
        <v>43886</v>
      </c>
      <c r="B484" s="98" t="s">
        <v>849</v>
      </c>
      <c r="C484" s="98" t="s">
        <v>126</v>
      </c>
      <c r="D484" s="98">
        <v>38.413690000000003</v>
      </c>
      <c r="E484" s="98">
        <v>-121.61525</v>
      </c>
      <c r="F484" s="98" t="s">
        <v>3067</v>
      </c>
      <c r="G484" s="98" t="s">
        <v>90</v>
      </c>
      <c r="H484" s="98" t="s">
        <v>845</v>
      </c>
      <c r="I484" s="621">
        <v>0.33888888888888885</v>
      </c>
      <c r="J484" s="100">
        <v>832.75</v>
      </c>
      <c r="K484" s="100">
        <v>13.15</v>
      </c>
      <c r="L484" s="100">
        <v>32.625</v>
      </c>
      <c r="M484" s="100">
        <v>0.38</v>
      </c>
      <c r="N484" s="100">
        <v>3.5750000000000002</v>
      </c>
      <c r="O484" s="98" t="s">
        <v>48</v>
      </c>
      <c r="P484" s="98">
        <v>4</v>
      </c>
      <c r="Q484" s="98">
        <v>10</v>
      </c>
      <c r="R484" s="98" t="s">
        <v>49</v>
      </c>
      <c r="S484" s="98" t="s">
        <v>50</v>
      </c>
      <c r="T484" s="98" t="s">
        <v>50</v>
      </c>
      <c r="U484" s="98" t="s">
        <v>50</v>
      </c>
      <c r="V484" s="98" t="s">
        <v>50</v>
      </c>
      <c r="W484" s="98" t="s">
        <v>50</v>
      </c>
      <c r="X484" s="98" t="s">
        <v>50</v>
      </c>
      <c r="Y484" s="622"/>
    </row>
    <row r="485" spans="1:25" s="98" customFormat="1" x14ac:dyDescent="0.25">
      <c r="A485" s="194">
        <v>43886</v>
      </c>
      <c r="B485" s="98" t="s">
        <v>849</v>
      </c>
      <c r="C485" s="98" t="s">
        <v>126</v>
      </c>
      <c r="D485" s="98">
        <v>38.277050000000003</v>
      </c>
      <c r="E485" s="98">
        <v>-121.71001</v>
      </c>
      <c r="F485" s="98" t="s">
        <v>3068</v>
      </c>
      <c r="G485" s="98" t="s">
        <v>90</v>
      </c>
      <c r="H485" s="98" t="s">
        <v>845</v>
      </c>
      <c r="I485" s="621">
        <v>0.40972222222222227</v>
      </c>
      <c r="J485" s="100">
        <v>399.3</v>
      </c>
      <c r="K485" s="100">
        <v>12.8</v>
      </c>
      <c r="L485" s="100">
        <v>11.6</v>
      </c>
      <c r="M485" s="100">
        <v>1.8</v>
      </c>
      <c r="N485" s="100">
        <v>4.3</v>
      </c>
      <c r="O485" s="98" t="s">
        <v>48</v>
      </c>
      <c r="P485" s="98">
        <v>1</v>
      </c>
      <c r="Q485" s="98">
        <v>10</v>
      </c>
      <c r="R485" s="98" t="s">
        <v>49</v>
      </c>
      <c r="S485" s="98" t="s">
        <v>50</v>
      </c>
      <c r="T485" s="98" t="s">
        <v>50</v>
      </c>
      <c r="U485" s="98" t="s">
        <v>50</v>
      </c>
      <c r="V485" s="98" t="s">
        <v>50</v>
      </c>
      <c r="W485" s="98" t="s">
        <v>50</v>
      </c>
      <c r="X485" s="98" t="s">
        <v>50</v>
      </c>
      <c r="Y485" s="622" t="s">
        <v>3069</v>
      </c>
    </row>
    <row r="486" spans="1:25" s="98" customFormat="1" x14ac:dyDescent="0.25">
      <c r="A486" s="194">
        <v>43886</v>
      </c>
      <c r="B486" s="98" t="s">
        <v>849</v>
      </c>
      <c r="C486" s="98" t="s">
        <v>126</v>
      </c>
      <c r="D486" s="98">
        <v>38.26699</v>
      </c>
      <c r="E486" s="98">
        <v>-121.70001000000001</v>
      </c>
      <c r="F486" s="98" t="s">
        <v>3070</v>
      </c>
      <c r="G486" s="98" t="s">
        <v>90</v>
      </c>
      <c r="H486" s="98" t="s">
        <v>845</v>
      </c>
      <c r="I486" s="621">
        <v>0.44027777777777777</v>
      </c>
      <c r="J486" s="100">
        <v>386.79999999999995</v>
      </c>
      <c r="K486" s="100">
        <v>12.45</v>
      </c>
      <c r="L486" s="100">
        <v>4.34</v>
      </c>
      <c r="M486" s="100">
        <v>1.8</v>
      </c>
      <c r="N486" s="100">
        <v>3</v>
      </c>
      <c r="O486" s="98" t="s">
        <v>48</v>
      </c>
      <c r="P486" s="98">
        <v>2</v>
      </c>
      <c r="Q486" s="98">
        <v>10</v>
      </c>
      <c r="R486" s="98" t="s">
        <v>49</v>
      </c>
      <c r="S486" s="98" t="s">
        <v>50</v>
      </c>
      <c r="T486" s="98" t="s">
        <v>50</v>
      </c>
      <c r="U486" s="98" t="s">
        <v>50</v>
      </c>
      <c r="V486" s="98" t="s">
        <v>50</v>
      </c>
      <c r="W486" s="98" t="s">
        <v>50</v>
      </c>
      <c r="X486" s="98" t="s">
        <v>50</v>
      </c>
      <c r="Y486" s="622" t="s">
        <v>3071</v>
      </c>
    </row>
    <row r="487" spans="1:25" s="98" customFormat="1" x14ac:dyDescent="0.25">
      <c r="A487" s="194">
        <v>43886</v>
      </c>
      <c r="B487" s="98" t="s">
        <v>849</v>
      </c>
      <c r="C487" s="98" t="s">
        <v>126</v>
      </c>
      <c r="D487" s="98">
        <v>38.236240000000002</v>
      </c>
      <c r="E487" s="98">
        <v>-121.68205</v>
      </c>
      <c r="F487" s="98" t="s">
        <v>3072</v>
      </c>
      <c r="G487" s="98" t="s">
        <v>90</v>
      </c>
      <c r="H487" s="98" t="s">
        <v>845</v>
      </c>
      <c r="I487" s="621">
        <v>0.47569444444444442</v>
      </c>
      <c r="J487" s="100">
        <v>299.60000000000002</v>
      </c>
      <c r="K487" s="100">
        <v>13.125</v>
      </c>
      <c r="L487" s="100">
        <v>11.21</v>
      </c>
      <c r="M487" s="100">
        <v>0.95750000000000002</v>
      </c>
      <c r="N487" s="100">
        <v>12.2</v>
      </c>
      <c r="O487" s="98" t="s">
        <v>48</v>
      </c>
      <c r="P487" s="98">
        <v>4</v>
      </c>
      <c r="Q487" s="98">
        <v>10</v>
      </c>
      <c r="R487" s="98" t="s">
        <v>49</v>
      </c>
      <c r="S487" s="98" t="s">
        <v>50</v>
      </c>
      <c r="T487" s="98" t="s">
        <v>50</v>
      </c>
      <c r="U487" s="98" t="s">
        <v>50</v>
      </c>
      <c r="V487" s="98" t="s">
        <v>50</v>
      </c>
      <c r="W487" s="98" t="s">
        <v>50</v>
      </c>
      <c r="X487" s="98" t="s">
        <v>50</v>
      </c>
      <c r="Y487" s="622"/>
    </row>
    <row r="488" spans="1:25" s="98" customFormat="1" x14ac:dyDescent="0.25">
      <c r="A488" s="194">
        <v>43887</v>
      </c>
      <c r="B488" s="98" t="s">
        <v>915</v>
      </c>
      <c r="C488" s="98" t="s">
        <v>44</v>
      </c>
      <c r="D488" s="98">
        <v>37.853900000000003</v>
      </c>
      <c r="E488" s="98">
        <v>-121.56283999999999</v>
      </c>
      <c r="F488" s="98" t="s">
        <v>3073</v>
      </c>
      <c r="G488" s="98" t="s">
        <v>46</v>
      </c>
      <c r="H488" s="98" t="s">
        <v>202</v>
      </c>
      <c r="I488" s="621">
        <v>0.33819444444444446</v>
      </c>
      <c r="J488" s="100">
        <v>437.02499999999998</v>
      </c>
      <c r="K488" s="100">
        <v>13.4</v>
      </c>
      <c r="L488" s="100">
        <v>6.3374999999999995</v>
      </c>
      <c r="M488" s="100">
        <v>1.8</v>
      </c>
      <c r="N488" s="100">
        <v>7.8999999999999995</v>
      </c>
      <c r="O488" s="98" t="s">
        <v>48</v>
      </c>
      <c r="P488" s="98">
        <v>4</v>
      </c>
      <c r="Q488" s="98">
        <v>10</v>
      </c>
      <c r="R488" s="98" t="s">
        <v>64</v>
      </c>
      <c r="S488" s="98" t="s">
        <v>50</v>
      </c>
      <c r="T488" s="98" t="s">
        <v>50</v>
      </c>
      <c r="U488" s="98" t="s">
        <v>50</v>
      </c>
      <c r="V488" s="98" t="s">
        <v>50</v>
      </c>
      <c r="W488" s="98" t="s">
        <v>50</v>
      </c>
      <c r="X488" s="98" t="s">
        <v>50</v>
      </c>
      <c r="Y488" s="622"/>
    </row>
    <row r="489" spans="1:25" s="98" customFormat="1" x14ac:dyDescent="0.25">
      <c r="A489" s="194">
        <v>43887</v>
      </c>
      <c r="B489" s="98" t="s">
        <v>915</v>
      </c>
      <c r="C489" s="98" t="s">
        <v>44</v>
      </c>
      <c r="D489" s="98">
        <v>37.994840000000003</v>
      </c>
      <c r="E489" s="98">
        <v>-121.52661000000001</v>
      </c>
      <c r="F489" s="98" t="s">
        <v>3074</v>
      </c>
      <c r="G489" s="98" t="s">
        <v>46</v>
      </c>
      <c r="H489" s="98" t="s">
        <v>59</v>
      </c>
      <c r="I489" s="621">
        <v>0.41666666666666669</v>
      </c>
      <c r="J489" s="100">
        <v>369.57499999999999</v>
      </c>
      <c r="K489" s="100">
        <v>13.55</v>
      </c>
      <c r="L489" s="100">
        <v>3.3924999999999996</v>
      </c>
      <c r="M489" s="100">
        <v>1.8</v>
      </c>
      <c r="N489" s="100">
        <v>3.1500000000000004</v>
      </c>
      <c r="O489" s="98" t="s">
        <v>48</v>
      </c>
      <c r="P489" s="98">
        <v>4</v>
      </c>
      <c r="Q489" s="98">
        <v>10</v>
      </c>
      <c r="R489" s="98" t="s">
        <v>64</v>
      </c>
      <c r="S489" s="98" t="s">
        <v>50</v>
      </c>
      <c r="T489" s="98" t="s">
        <v>50</v>
      </c>
      <c r="U489" s="98" t="s">
        <v>50</v>
      </c>
      <c r="V489" s="98" t="s">
        <v>50</v>
      </c>
      <c r="W489" s="98" t="s">
        <v>50</v>
      </c>
      <c r="X489" s="98" t="s">
        <v>50</v>
      </c>
      <c r="Y489" s="622"/>
    </row>
    <row r="490" spans="1:25" s="154" customFormat="1" x14ac:dyDescent="0.25">
      <c r="A490" s="195">
        <v>43887</v>
      </c>
      <c r="B490" s="154" t="s">
        <v>915</v>
      </c>
      <c r="C490" s="154" t="s">
        <v>44</v>
      </c>
      <c r="D490" s="154">
        <v>37.905290000000001</v>
      </c>
      <c r="E490" s="154">
        <v>-121.51311</v>
      </c>
      <c r="F490" s="154" t="s">
        <v>3075</v>
      </c>
      <c r="G490" s="154" t="s">
        <v>46</v>
      </c>
      <c r="H490" s="154" t="s">
        <v>56</v>
      </c>
      <c r="I490" s="636">
        <v>0.39097222222222222</v>
      </c>
      <c r="J490" s="156" t="s">
        <v>50</v>
      </c>
      <c r="K490" s="154" t="s">
        <v>50</v>
      </c>
      <c r="L490" s="154" t="s">
        <v>50</v>
      </c>
      <c r="M490" s="154" t="s">
        <v>50</v>
      </c>
      <c r="N490" s="154" t="s">
        <v>50</v>
      </c>
      <c r="O490" s="154" t="s">
        <v>48</v>
      </c>
      <c r="P490" s="154">
        <v>0</v>
      </c>
      <c r="Q490" s="154" t="s">
        <v>50</v>
      </c>
      <c r="R490" s="154" t="s">
        <v>50</v>
      </c>
      <c r="S490" s="154" t="s">
        <v>50</v>
      </c>
      <c r="T490" s="154" t="s">
        <v>50</v>
      </c>
      <c r="U490" s="154" t="s">
        <v>50</v>
      </c>
      <c r="V490" s="154" t="s">
        <v>50</v>
      </c>
      <c r="W490" s="154" t="s">
        <v>50</v>
      </c>
      <c r="X490" s="154" t="s">
        <v>50</v>
      </c>
      <c r="Y490" s="627" t="s">
        <v>3076</v>
      </c>
    </row>
    <row r="491" spans="1:25" s="646" customFormat="1" x14ac:dyDescent="0.25">
      <c r="A491" s="645">
        <v>43887</v>
      </c>
      <c r="B491" s="646" t="s">
        <v>915</v>
      </c>
      <c r="C491" s="646" t="s">
        <v>88</v>
      </c>
      <c r="D491" s="646">
        <v>38.062109999999997</v>
      </c>
      <c r="E491" s="646">
        <v>-121.8109</v>
      </c>
      <c r="F491" s="646" t="s">
        <v>3077</v>
      </c>
      <c r="G491" s="646" t="s">
        <v>27</v>
      </c>
      <c r="H491" s="646" t="s">
        <v>25</v>
      </c>
      <c r="I491" s="647">
        <v>0.32569444444444445</v>
      </c>
      <c r="J491" s="648">
        <v>786.75</v>
      </c>
      <c r="K491" s="648">
        <v>12.75</v>
      </c>
      <c r="L491" s="648">
        <v>22.375</v>
      </c>
      <c r="M491" s="648">
        <v>0.61</v>
      </c>
      <c r="N491" s="648">
        <v>10.050000000000001</v>
      </c>
      <c r="O491" s="646" t="s">
        <v>48</v>
      </c>
      <c r="P491" s="646">
        <v>4</v>
      </c>
      <c r="Q491" s="646">
        <v>10</v>
      </c>
      <c r="R491" s="646" t="s">
        <v>49</v>
      </c>
      <c r="S491" s="667" t="s">
        <v>449</v>
      </c>
      <c r="T491" s="646">
        <v>1</v>
      </c>
      <c r="U491" s="646">
        <v>255</v>
      </c>
      <c r="V491" s="646" t="s">
        <v>50</v>
      </c>
      <c r="W491" s="646">
        <v>5</v>
      </c>
      <c r="X491" s="646" t="s">
        <v>2525</v>
      </c>
      <c r="Y491" s="668" t="s">
        <v>564</v>
      </c>
    </row>
    <row r="492" spans="1:25" s="98" customFormat="1" x14ac:dyDescent="0.25">
      <c r="A492" s="194">
        <v>43887</v>
      </c>
      <c r="B492" s="98" t="s">
        <v>915</v>
      </c>
      <c r="C492" s="98" t="s">
        <v>88</v>
      </c>
      <c r="D492" s="98">
        <v>38.074489999999997</v>
      </c>
      <c r="E492" s="98">
        <v>-121.76432</v>
      </c>
      <c r="F492" s="98" t="s">
        <v>3078</v>
      </c>
      <c r="G492" s="98" t="s">
        <v>27</v>
      </c>
      <c r="H492" s="98" t="s">
        <v>25</v>
      </c>
      <c r="I492" s="621">
        <v>0.375</v>
      </c>
      <c r="J492" s="100">
        <v>274.64999999999998</v>
      </c>
      <c r="K492" s="100">
        <v>12.9</v>
      </c>
      <c r="L492" s="100">
        <v>14.625</v>
      </c>
      <c r="M492" s="100">
        <v>1.0349999999999999</v>
      </c>
      <c r="N492" s="100">
        <v>9.15</v>
      </c>
      <c r="O492" s="98" t="s">
        <v>48</v>
      </c>
      <c r="P492" s="98">
        <v>4</v>
      </c>
      <c r="Q492" s="98">
        <v>10</v>
      </c>
      <c r="R492" s="98" t="s">
        <v>49</v>
      </c>
      <c r="S492" s="98" t="s">
        <v>50</v>
      </c>
      <c r="T492" s="98" t="s">
        <v>50</v>
      </c>
      <c r="U492" s="98" t="s">
        <v>50</v>
      </c>
      <c r="V492" s="98" t="s">
        <v>50</v>
      </c>
      <c r="W492" s="98" t="s">
        <v>50</v>
      </c>
      <c r="X492" s="98" t="s">
        <v>50</v>
      </c>
      <c r="Y492" s="622"/>
    </row>
    <row r="493" spans="1:25" s="98" customFormat="1" x14ac:dyDescent="0.25">
      <c r="A493" s="194">
        <v>43887</v>
      </c>
      <c r="B493" s="98" t="s">
        <v>915</v>
      </c>
      <c r="C493" s="98" t="s">
        <v>88</v>
      </c>
      <c r="D493" s="98">
        <v>38.1068</v>
      </c>
      <c r="E493" s="98">
        <v>-121.705</v>
      </c>
      <c r="F493" s="98" t="s">
        <v>3079</v>
      </c>
      <c r="G493" s="98" t="s">
        <v>90</v>
      </c>
      <c r="H493" s="98" t="s">
        <v>91</v>
      </c>
      <c r="I493" s="621">
        <v>0.42222222222222222</v>
      </c>
      <c r="J493" s="100">
        <v>260.97500000000002</v>
      </c>
      <c r="K493" s="100">
        <v>13</v>
      </c>
      <c r="L493" s="100">
        <v>11.4</v>
      </c>
      <c r="M493" s="100">
        <v>1.625</v>
      </c>
      <c r="N493" s="100">
        <v>5.0749999999999993</v>
      </c>
      <c r="O493" s="98" t="s">
        <v>48</v>
      </c>
      <c r="P493" s="98">
        <v>4</v>
      </c>
      <c r="Q493" s="98">
        <v>10</v>
      </c>
      <c r="R493" s="98" t="s">
        <v>49</v>
      </c>
      <c r="S493" s="98" t="s">
        <v>50</v>
      </c>
      <c r="T493" s="98" t="s">
        <v>50</v>
      </c>
      <c r="U493" s="98" t="s">
        <v>50</v>
      </c>
      <c r="V493" s="98" t="s">
        <v>50</v>
      </c>
      <c r="W493" s="98" t="s">
        <v>50</v>
      </c>
      <c r="X493" s="98" t="s">
        <v>50</v>
      </c>
      <c r="Y493" s="622"/>
    </row>
    <row r="494" spans="1:25" s="646" customFormat="1" x14ac:dyDescent="0.25">
      <c r="A494" s="645">
        <v>43887</v>
      </c>
      <c r="B494" s="646" t="s">
        <v>915</v>
      </c>
      <c r="C494" s="646" t="s">
        <v>78</v>
      </c>
      <c r="D494" s="646">
        <v>38.061970000000002</v>
      </c>
      <c r="E494" s="646">
        <v>-121.97902000000001</v>
      </c>
      <c r="F494" s="646" t="s">
        <v>3080</v>
      </c>
      <c r="G494" s="646" t="s">
        <v>27</v>
      </c>
      <c r="H494" s="646" t="s">
        <v>86</v>
      </c>
      <c r="I494" s="647">
        <v>0.3444444444444445</v>
      </c>
      <c r="J494" s="648">
        <v>5381</v>
      </c>
      <c r="K494" s="648">
        <v>12.724999999999998</v>
      </c>
      <c r="L494" s="648">
        <v>33.724999999999994</v>
      </c>
      <c r="M494" s="648">
        <v>0.36249999999999999</v>
      </c>
      <c r="N494" s="648">
        <v>5.0999999999999996</v>
      </c>
      <c r="O494" s="646" t="s">
        <v>48</v>
      </c>
      <c r="P494" s="646">
        <v>4</v>
      </c>
      <c r="Q494" s="646">
        <v>10</v>
      </c>
      <c r="R494" s="646" t="s">
        <v>49</v>
      </c>
      <c r="S494" s="667" t="s">
        <v>449</v>
      </c>
      <c r="T494" s="646">
        <v>2</v>
      </c>
      <c r="U494" s="646" t="s">
        <v>3081</v>
      </c>
      <c r="V494" s="646" t="s">
        <v>50</v>
      </c>
      <c r="W494" s="646">
        <v>5</v>
      </c>
      <c r="X494" s="646" t="s">
        <v>2525</v>
      </c>
      <c r="Y494" s="668" t="s">
        <v>3082</v>
      </c>
    </row>
    <row r="495" spans="1:25" s="646" customFormat="1" x14ac:dyDescent="0.25">
      <c r="A495" s="645">
        <v>43887</v>
      </c>
      <c r="B495" s="646" t="s">
        <v>915</v>
      </c>
      <c r="C495" s="646" t="s">
        <v>78</v>
      </c>
      <c r="D495" s="646">
        <v>38.059939999999997</v>
      </c>
      <c r="E495" s="646">
        <v>-122.00739</v>
      </c>
      <c r="F495" s="646" t="s">
        <v>3083</v>
      </c>
      <c r="G495" s="646" t="s">
        <v>27</v>
      </c>
      <c r="H495" s="646" t="s">
        <v>86</v>
      </c>
      <c r="I495" s="647">
        <v>0.39374999999999999</v>
      </c>
      <c r="J495" s="648">
        <v>6110</v>
      </c>
      <c r="K495" s="648">
        <v>12.824999999999999</v>
      </c>
      <c r="L495" s="648">
        <v>26.524999999999999</v>
      </c>
      <c r="M495" s="648">
        <v>0.4</v>
      </c>
      <c r="N495" s="648">
        <v>12.450000000000001</v>
      </c>
      <c r="O495" s="646" t="s">
        <v>48</v>
      </c>
      <c r="P495" s="646">
        <v>4</v>
      </c>
      <c r="Q495" s="646">
        <v>10</v>
      </c>
      <c r="R495" s="646" t="s">
        <v>49</v>
      </c>
      <c r="S495" s="667" t="s">
        <v>449</v>
      </c>
      <c r="T495" s="646">
        <v>1</v>
      </c>
      <c r="U495" s="646">
        <v>249</v>
      </c>
      <c r="V495" s="646" t="s">
        <v>50</v>
      </c>
      <c r="W495" s="646">
        <v>5</v>
      </c>
      <c r="X495" s="646" t="s">
        <v>2525</v>
      </c>
      <c r="Y495" s="668"/>
    </row>
    <row r="496" spans="1:25" s="646" customFormat="1" x14ac:dyDescent="0.25">
      <c r="A496" s="645">
        <v>43887</v>
      </c>
      <c r="B496" s="646" t="s">
        <v>915</v>
      </c>
      <c r="C496" s="646" t="s">
        <v>78</v>
      </c>
      <c r="D496" s="646">
        <v>38.059939999999997</v>
      </c>
      <c r="E496" s="646">
        <v>-122.00739</v>
      </c>
      <c r="F496" s="646" t="s">
        <v>3083</v>
      </c>
      <c r="G496" s="646" t="s">
        <v>27</v>
      </c>
      <c r="H496" s="646" t="s">
        <v>86</v>
      </c>
      <c r="I496" s="647">
        <v>0.39374999999999999</v>
      </c>
      <c r="J496" s="648">
        <v>6110</v>
      </c>
      <c r="K496" s="648">
        <v>12.824999999999999</v>
      </c>
      <c r="L496" s="648">
        <v>26.524999999999999</v>
      </c>
      <c r="M496" s="648">
        <v>0.4</v>
      </c>
      <c r="N496" s="648">
        <v>12.450000000000001</v>
      </c>
      <c r="O496" s="646" t="s">
        <v>48</v>
      </c>
      <c r="P496" s="646">
        <v>4</v>
      </c>
      <c r="Q496" s="646">
        <v>10</v>
      </c>
      <c r="R496" s="646" t="s">
        <v>49</v>
      </c>
      <c r="S496" s="667" t="s">
        <v>449</v>
      </c>
      <c r="T496" s="646">
        <v>2</v>
      </c>
      <c r="U496" s="646" t="s">
        <v>3084</v>
      </c>
      <c r="V496" s="646" t="s">
        <v>50</v>
      </c>
      <c r="W496" s="646">
        <v>5</v>
      </c>
      <c r="X496" s="646" t="s">
        <v>2525</v>
      </c>
      <c r="Y496" s="668" t="s">
        <v>580</v>
      </c>
    </row>
    <row r="497" spans="1:25" s="646" customFormat="1" x14ac:dyDescent="0.25">
      <c r="A497" s="645">
        <v>43887</v>
      </c>
      <c r="B497" s="646" t="s">
        <v>915</v>
      </c>
      <c r="C497" s="646" t="s">
        <v>78</v>
      </c>
      <c r="D497" s="646">
        <v>38.059939999999997</v>
      </c>
      <c r="E497" s="646">
        <v>-122.00739</v>
      </c>
      <c r="F497" s="646" t="s">
        <v>3083</v>
      </c>
      <c r="G497" s="646" t="s">
        <v>27</v>
      </c>
      <c r="H497" s="646" t="s">
        <v>86</v>
      </c>
      <c r="I497" s="647">
        <v>0.39374999999999999</v>
      </c>
      <c r="J497" s="648">
        <v>6110</v>
      </c>
      <c r="K497" s="648">
        <v>12.824999999999999</v>
      </c>
      <c r="L497" s="648">
        <v>26.524999999999999</v>
      </c>
      <c r="M497" s="648">
        <v>0.4</v>
      </c>
      <c r="N497" s="648">
        <v>12.450000000000001</v>
      </c>
      <c r="O497" s="646" t="s">
        <v>48</v>
      </c>
      <c r="P497" s="646">
        <v>4</v>
      </c>
      <c r="Q497" s="646">
        <v>10</v>
      </c>
      <c r="R497" s="646" t="s">
        <v>49</v>
      </c>
      <c r="S497" s="667" t="s">
        <v>31</v>
      </c>
      <c r="T497" s="646">
        <v>2</v>
      </c>
      <c r="U497" s="646" t="s">
        <v>3085</v>
      </c>
      <c r="V497" s="646" t="s">
        <v>355</v>
      </c>
      <c r="W497" s="646" t="s">
        <v>50</v>
      </c>
      <c r="X497" s="646" t="s">
        <v>50</v>
      </c>
      <c r="Y497" s="668" t="s">
        <v>3029</v>
      </c>
    </row>
    <row r="498" spans="1:25" s="646" customFormat="1" x14ac:dyDescent="0.25">
      <c r="A498" s="645">
        <v>43887</v>
      </c>
      <c r="B498" s="646" t="s">
        <v>915</v>
      </c>
      <c r="C498" s="646" t="s">
        <v>78</v>
      </c>
      <c r="D498" s="646">
        <v>38.059939999999997</v>
      </c>
      <c r="E498" s="646">
        <v>-122.00739</v>
      </c>
      <c r="F498" s="646" t="s">
        <v>3083</v>
      </c>
      <c r="G498" s="646" t="s">
        <v>27</v>
      </c>
      <c r="H498" s="646" t="s">
        <v>86</v>
      </c>
      <c r="I498" s="647">
        <v>0.39374999999999999</v>
      </c>
      <c r="J498" s="648">
        <v>6110</v>
      </c>
      <c r="K498" s="648">
        <v>12.824999999999999</v>
      </c>
      <c r="L498" s="648">
        <v>26.524999999999999</v>
      </c>
      <c r="M498" s="648">
        <v>0.4</v>
      </c>
      <c r="N498" s="648">
        <v>12.450000000000001</v>
      </c>
      <c r="O498" s="646" t="s">
        <v>48</v>
      </c>
      <c r="P498" s="646">
        <v>4</v>
      </c>
      <c r="Q498" s="646">
        <v>10</v>
      </c>
      <c r="R498" s="646" t="s">
        <v>49</v>
      </c>
      <c r="S498" s="667" t="s">
        <v>758</v>
      </c>
      <c r="T498" s="646">
        <v>1</v>
      </c>
      <c r="U498" s="646">
        <v>112</v>
      </c>
      <c r="V498" s="646" t="s">
        <v>50</v>
      </c>
      <c r="W498" s="646">
        <v>5</v>
      </c>
      <c r="X498" s="646" t="s">
        <v>50</v>
      </c>
      <c r="Y498" s="668"/>
    </row>
    <row r="499" spans="1:25" s="646" customFormat="1" x14ac:dyDescent="0.25">
      <c r="A499" s="645">
        <v>43887</v>
      </c>
      <c r="B499" s="646" t="s">
        <v>915</v>
      </c>
      <c r="C499" s="646" t="s">
        <v>78</v>
      </c>
      <c r="D499" s="646">
        <v>38.065559999999998</v>
      </c>
      <c r="E499" s="646">
        <v>-122.02101999999999</v>
      </c>
      <c r="F499" s="646" t="s">
        <v>3086</v>
      </c>
      <c r="G499" s="646" t="s">
        <v>27</v>
      </c>
      <c r="H499" s="646" t="s">
        <v>86</v>
      </c>
      <c r="I499" s="647">
        <v>0.45069444444444445</v>
      </c>
      <c r="J499" s="648">
        <v>5227.666666666667</v>
      </c>
      <c r="K499" s="648">
        <v>13.066666666666668</v>
      </c>
      <c r="L499" s="648">
        <v>42.633333333333333</v>
      </c>
      <c r="M499" s="648">
        <v>0.3066666666666667</v>
      </c>
      <c r="N499" s="648">
        <v>4.9666666666666668</v>
      </c>
      <c r="O499" s="646" t="s">
        <v>48</v>
      </c>
      <c r="P499" s="646">
        <v>4</v>
      </c>
      <c r="Q499" s="646">
        <v>10</v>
      </c>
      <c r="R499" s="646" t="s">
        <v>49</v>
      </c>
      <c r="S499" s="667" t="s">
        <v>348</v>
      </c>
      <c r="T499" s="646">
        <v>1</v>
      </c>
      <c r="U499" s="646">
        <v>130</v>
      </c>
      <c r="V499" s="646" t="s">
        <v>50</v>
      </c>
      <c r="W499" s="646">
        <v>5</v>
      </c>
      <c r="X499" s="646" t="s">
        <v>2525</v>
      </c>
      <c r="Y499" s="668"/>
    </row>
    <row r="500" spans="1:25" s="98" customFormat="1" x14ac:dyDescent="0.25">
      <c r="A500" s="194">
        <v>43888</v>
      </c>
      <c r="B500" s="98" t="s">
        <v>876</v>
      </c>
      <c r="C500" s="98" t="s">
        <v>44</v>
      </c>
      <c r="D500" s="98">
        <v>38.018630000000002</v>
      </c>
      <c r="E500" s="98">
        <v>-121.60374</v>
      </c>
      <c r="F500" s="98" t="s">
        <v>3087</v>
      </c>
      <c r="G500" s="98" t="s">
        <v>46</v>
      </c>
      <c r="H500" s="98" t="s">
        <v>47</v>
      </c>
      <c r="I500" s="621">
        <v>0.31319444444444444</v>
      </c>
      <c r="J500" s="100">
        <v>340.92499999999995</v>
      </c>
      <c r="K500" s="100">
        <v>13.9</v>
      </c>
      <c r="L500" s="100">
        <v>4.5250000000000004</v>
      </c>
      <c r="M500" s="100">
        <v>1.8</v>
      </c>
      <c r="N500" s="100">
        <v>5.0250000000000004</v>
      </c>
      <c r="O500" s="98" t="s">
        <v>48</v>
      </c>
      <c r="P500" s="98">
        <v>4</v>
      </c>
      <c r="Q500" s="98">
        <v>10</v>
      </c>
      <c r="R500" s="98" t="s">
        <v>49</v>
      </c>
      <c r="S500" s="98" t="s">
        <v>50</v>
      </c>
      <c r="T500" s="98" t="s">
        <v>50</v>
      </c>
      <c r="U500" s="98" t="s">
        <v>50</v>
      </c>
      <c r="V500" s="98" t="s">
        <v>50</v>
      </c>
      <c r="W500" s="98" t="s">
        <v>50</v>
      </c>
      <c r="X500" s="98" t="s">
        <v>50</v>
      </c>
      <c r="Y500" s="622"/>
    </row>
    <row r="501" spans="1:25" s="98" customFormat="1" x14ac:dyDescent="0.25">
      <c r="A501" s="194">
        <v>43888</v>
      </c>
      <c r="B501" s="98" t="s">
        <v>876</v>
      </c>
      <c r="C501" s="98" t="s">
        <v>44</v>
      </c>
      <c r="D501" s="98">
        <v>38.026200000000003</v>
      </c>
      <c r="E501" s="98">
        <v>-121.56350999999999</v>
      </c>
      <c r="F501" s="98" t="s">
        <v>3088</v>
      </c>
      <c r="G501" s="98" t="s">
        <v>46</v>
      </c>
      <c r="H501" s="98" t="s">
        <v>74</v>
      </c>
      <c r="I501" s="621">
        <v>0.3756944444444445</v>
      </c>
      <c r="J501" s="100">
        <v>329.65</v>
      </c>
      <c r="K501" s="100">
        <v>14.05</v>
      </c>
      <c r="L501" s="100">
        <v>5.1924999999999999</v>
      </c>
      <c r="M501" s="100">
        <v>1.8</v>
      </c>
      <c r="N501" s="100">
        <v>5.875</v>
      </c>
      <c r="O501" s="98" t="s">
        <v>48</v>
      </c>
      <c r="P501" s="98">
        <v>4</v>
      </c>
      <c r="Q501" s="98">
        <v>10</v>
      </c>
      <c r="R501" s="98" t="s">
        <v>49</v>
      </c>
      <c r="S501" s="98" t="s">
        <v>50</v>
      </c>
      <c r="T501" s="98" t="s">
        <v>50</v>
      </c>
      <c r="U501" s="98" t="s">
        <v>50</v>
      </c>
      <c r="V501" s="98" t="s">
        <v>50</v>
      </c>
      <c r="W501" s="98" t="s">
        <v>50</v>
      </c>
      <c r="X501" s="98" t="s">
        <v>50</v>
      </c>
      <c r="Y501" s="622"/>
    </row>
    <row r="502" spans="1:25" s="98" customFormat="1" x14ac:dyDescent="0.25">
      <c r="A502" s="194">
        <v>43888</v>
      </c>
      <c r="B502" s="98" t="s">
        <v>876</v>
      </c>
      <c r="C502" s="98" t="s">
        <v>44</v>
      </c>
      <c r="D502" s="98">
        <v>38.027209999999997</v>
      </c>
      <c r="E502" s="98">
        <v>-121.52448</v>
      </c>
      <c r="F502" s="98" t="s">
        <v>3089</v>
      </c>
      <c r="G502" s="98" t="s">
        <v>46</v>
      </c>
      <c r="H502" s="98" t="s">
        <v>59</v>
      </c>
      <c r="I502" s="621">
        <v>0.43124999999999997</v>
      </c>
      <c r="J502" s="100">
        <v>346.82499999999999</v>
      </c>
      <c r="K502" s="100">
        <v>13.775000000000002</v>
      </c>
      <c r="L502" s="100">
        <v>5.1949999999999994</v>
      </c>
      <c r="M502" s="100">
        <v>1.8</v>
      </c>
      <c r="N502" s="100">
        <v>11.7</v>
      </c>
      <c r="O502" s="98" t="s">
        <v>48</v>
      </c>
      <c r="P502" s="98">
        <v>4</v>
      </c>
      <c r="Q502" s="98">
        <v>10</v>
      </c>
      <c r="R502" s="98" t="s">
        <v>49</v>
      </c>
      <c r="S502" s="98" t="s">
        <v>50</v>
      </c>
      <c r="T502" s="98" t="s">
        <v>50</v>
      </c>
      <c r="U502" s="98" t="s">
        <v>50</v>
      </c>
      <c r="V502" s="98" t="s">
        <v>50</v>
      </c>
      <c r="W502" s="98" t="s">
        <v>50</v>
      </c>
      <c r="X502" s="98" t="s">
        <v>50</v>
      </c>
      <c r="Y502" s="622"/>
    </row>
    <row r="503" spans="1:25" s="98" customFormat="1" x14ac:dyDescent="0.25">
      <c r="A503" s="194">
        <v>43888</v>
      </c>
      <c r="B503" s="98" t="s">
        <v>876</v>
      </c>
      <c r="C503" s="98" t="s">
        <v>88</v>
      </c>
      <c r="D503" s="98">
        <v>38.092480000000002</v>
      </c>
      <c r="E503" s="98">
        <v>-121.68501000000001</v>
      </c>
      <c r="F503" s="98" t="s">
        <v>3090</v>
      </c>
      <c r="G503" s="98" t="s">
        <v>90</v>
      </c>
      <c r="H503" s="98" t="s">
        <v>91</v>
      </c>
      <c r="I503" s="621">
        <v>0.31736111111111115</v>
      </c>
      <c r="J503" s="100">
        <v>241.35</v>
      </c>
      <c r="K503" s="100">
        <v>13.2</v>
      </c>
      <c r="L503" s="100">
        <v>7.1825000000000001</v>
      </c>
      <c r="M503" s="100">
        <v>1.8</v>
      </c>
      <c r="N503" s="100">
        <v>7.6750000000000007</v>
      </c>
      <c r="O503" s="98" t="s">
        <v>48</v>
      </c>
      <c r="P503" s="98">
        <v>4</v>
      </c>
      <c r="Q503" s="98">
        <v>10</v>
      </c>
      <c r="R503" s="98" t="s">
        <v>49</v>
      </c>
      <c r="S503" s="98" t="s">
        <v>50</v>
      </c>
      <c r="T503" s="98" t="s">
        <v>50</v>
      </c>
      <c r="U503" s="98" t="s">
        <v>50</v>
      </c>
      <c r="V503" s="98" t="s">
        <v>50</v>
      </c>
      <c r="W503" s="98" t="s">
        <v>50</v>
      </c>
      <c r="X503" s="98" t="s">
        <v>50</v>
      </c>
      <c r="Y503" s="622" t="s">
        <v>2941</v>
      </c>
    </row>
    <row r="504" spans="1:25" s="98" customFormat="1" x14ac:dyDescent="0.25">
      <c r="A504" s="194">
        <v>43888</v>
      </c>
      <c r="B504" s="98" t="s">
        <v>876</v>
      </c>
      <c r="C504" s="98" t="s">
        <v>88</v>
      </c>
      <c r="D504" s="98">
        <v>38.113959999999999</v>
      </c>
      <c r="E504" s="98">
        <v>-121.6996</v>
      </c>
      <c r="F504" s="98" t="s">
        <v>3091</v>
      </c>
      <c r="G504" s="98" t="s">
        <v>90</v>
      </c>
      <c r="H504" s="98" t="s">
        <v>91</v>
      </c>
      <c r="I504" s="621">
        <v>0.37361111111111112</v>
      </c>
      <c r="J504" s="100">
        <v>236.89999999999998</v>
      </c>
      <c r="K504" s="100">
        <v>13.274999999999999</v>
      </c>
      <c r="L504" s="100">
        <v>7.52</v>
      </c>
      <c r="M504" s="100">
        <v>1.7950000000000002</v>
      </c>
      <c r="N504" s="100">
        <v>4.875</v>
      </c>
      <c r="O504" s="98" t="s">
        <v>48</v>
      </c>
      <c r="P504" s="98">
        <v>4</v>
      </c>
      <c r="Q504" s="98">
        <v>10</v>
      </c>
      <c r="R504" s="98" t="s">
        <v>49</v>
      </c>
      <c r="S504" s="98" t="s">
        <v>50</v>
      </c>
      <c r="T504" s="98" t="s">
        <v>50</v>
      </c>
      <c r="U504" s="98" t="s">
        <v>50</v>
      </c>
      <c r="V504" s="98" t="s">
        <v>50</v>
      </c>
      <c r="W504" s="98" t="s">
        <v>50</v>
      </c>
      <c r="X504" s="98" t="s">
        <v>50</v>
      </c>
      <c r="Y504" s="622"/>
    </row>
    <row r="505" spans="1:25" s="646" customFormat="1" x14ac:dyDescent="0.25">
      <c r="A505" s="645">
        <v>43888</v>
      </c>
      <c r="B505" s="646" t="s">
        <v>876</v>
      </c>
      <c r="C505" s="646" t="s">
        <v>88</v>
      </c>
      <c r="D505" s="646">
        <v>38.14067</v>
      </c>
      <c r="E505" s="646">
        <v>-121.69287</v>
      </c>
      <c r="F505" s="646" t="s">
        <v>3092</v>
      </c>
      <c r="G505" s="646" t="s">
        <v>90</v>
      </c>
      <c r="H505" s="646" t="s">
        <v>91</v>
      </c>
      <c r="I505" s="647">
        <v>0.42499999999999999</v>
      </c>
      <c r="J505" s="648">
        <v>222.52500000000001</v>
      </c>
      <c r="K505" s="648">
        <v>13.3</v>
      </c>
      <c r="L505" s="648">
        <v>8.384999999999998</v>
      </c>
      <c r="M505" s="648">
        <v>1.7550000000000001</v>
      </c>
      <c r="N505" s="648">
        <v>10.8</v>
      </c>
      <c r="O505" s="646" t="s">
        <v>48</v>
      </c>
      <c r="P505" s="646">
        <v>4</v>
      </c>
      <c r="Q505" s="646">
        <v>10</v>
      </c>
      <c r="R505" s="646" t="s">
        <v>49</v>
      </c>
      <c r="S505" s="667" t="s">
        <v>449</v>
      </c>
      <c r="T505" s="646">
        <v>1</v>
      </c>
      <c r="U505" s="646">
        <v>245</v>
      </c>
      <c r="V505" s="646" t="s">
        <v>50</v>
      </c>
      <c r="W505" s="646">
        <v>5</v>
      </c>
      <c r="X505" s="646" t="s">
        <v>2525</v>
      </c>
      <c r="Y505" s="668"/>
    </row>
    <row r="506" spans="1:25" s="154" customFormat="1" x14ac:dyDescent="0.25">
      <c r="A506" s="195">
        <v>43888</v>
      </c>
      <c r="B506" s="154" t="s">
        <v>876</v>
      </c>
      <c r="C506" s="154" t="s">
        <v>62</v>
      </c>
      <c r="D506" s="154">
        <v>38.155679999999997</v>
      </c>
      <c r="E506" s="154">
        <v>-122.07210000000001</v>
      </c>
      <c r="F506" s="154" t="s">
        <v>3093</v>
      </c>
      <c r="G506" s="154" t="s">
        <v>27</v>
      </c>
      <c r="H506" s="154" t="s">
        <v>62</v>
      </c>
      <c r="I506" s="636">
        <v>0.34722222222222227</v>
      </c>
      <c r="J506" s="156" t="s">
        <v>50</v>
      </c>
      <c r="K506" s="154" t="s">
        <v>50</v>
      </c>
      <c r="L506" s="154" t="s">
        <v>50</v>
      </c>
      <c r="M506" s="154" t="s">
        <v>50</v>
      </c>
      <c r="N506" s="154" t="s">
        <v>50</v>
      </c>
      <c r="O506" s="154" t="s">
        <v>48</v>
      </c>
      <c r="P506" s="154">
        <v>0</v>
      </c>
      <c r="Q506" s="154" t="s">
        <v>50</v>
      </c>
      <c r="R506" s="154" t="s">
        <v>50</v>
      </c>
      <c r="S506" s="154" t="s">
        <v>50</v>
      </c>
      <c r="T506" s="154" t="s">
        <v>50</v>
      </c>
      <c r="U506" s="154" t="s">
        <v>50</v>
      </c>
      <c r="V506" s="154" t="s">
        <v>50</v>
      </c>
      <c r="W506" s="154" t="s">
        <v>50</v>
      </c>
      <c r="X506" s="154" t="s">
        <v>50</v>
      </c>
      <c r="Y506" s="627" t="s">
        <v>3094</v>
      </c>
    </row>
    <row r="507" spans="1:25" s="98" customFormat="1" x14ac:dyDescent="0.25">
      <c r="A507" s="194">
        <v>43888</v>
      </c>
      <c r="B507" s="98" t="s">
        <v>876</v>
      </c>
      <c r="C507" s="98" t="s">
        <v>62</v>
      </c>
      <c r="D507" s="98">
        <v>38.15643</v>
      </c>
      <c r="E507" s="98">
        <v>-122.05159</v>
      </c>
      <c r="F507" s="98" t="s">
        <v>3095</v>
      </c>
      <c r="G507" s="98" t="s">
        <v>27</v>
      </c>
      <c r="H507" s="98" t="s">
        <v>62</v>
      </c>
      <c r="I507" s="621">
        <v>0.36527777777777781</v>
      </c>
      <c r="J507" s="100">
        <v>2596.75</v>
      </c>
      <c r="K507" s="100">
        <v>13.25</v>
      </c>
      <c r="L507" s="100">
        <v>74.074999999999989</v>
      </c>
      <c r="M507" s="100">
        <v>0.2225</v>
      </c>
      <c r="N507" s="100">
        <v>6.1999999999999993</v>
      </c>
      <c r="O507" s="98" t="s">
        <v>48</v>
      </c>
      <c r="P507" s="98">
        <v>4</v>
      </c>
      <c r="Q507" s="98">
        <v>10</v>
      </c>
      <c r="R507" s="98" t="s">
        <v>49</v>
      </c>
      <c r="S507" s="98" t="s">
        <v>50</v>
      </c>
      <c r="T507" s="98" t="s">
        <v>50</v>
      </c>
      <c r="U507" s="98" t="s">
        <v>50</v>
      </c>
      <c r="V507" s="98" t="s">
        <v>50</v>
      </c>
      <c r="W507" s="98" t="s">
        <v>50</v>
      </c>
      <c r="X507" s="98" t="s">
        <v>50</v>
      </c>
      <c r="Y507" s="622"/>
    </row>
    <row r="508" spans="1:25" s="98" customFormat="1" x14ac:dyDescent="0.25">
      <c r="A508" s="194">
        <v>43888</v>
      </c>
      <c r="B508" s="98" t="s">
        <v>876</v>
      </c>
      <c r="C508" s="98" t="s">
        <v>62</v>
      </c>
      <c r="D508" s="98">
        <v>38.183050000000001</v>
      </c>
      <c r="E508" s="98">
        <v>-121.98911</v>
      </c>
      <c r="F508" s="98" t="s">
        <v>3096</v>
      </c>
      <c r="G508" s="98" t="s">
        <v>27</v>
      </c>
      <c r="H508" s="98" t="s">
        <v>62</v>
      </c>
      <c r="I508" s="621">
        <v>0.41736111111111113</v>
      </c>
      <c r="J508" s="100">
        <v>1317</v>
      </c>
      <c r="K508" s="100">
        <v>13.225000000000001</v>
      </c>
      <c r="L508" s="100">
        <v>56.174999999999997</v>
      </c>
      <c r="M508" s="100">
        <v>0.32499999999999996</v>
      </c>
      <c r="N508" s="100">
        <v>7.9749999999999996</v>
      </c>
      <c r="O508" s="98" t="s">
        <v>48</v>
      </c>
      <c r="P508" s="98">
        <v>4</v>
      </c>
      <c r="Q508" s="98">
        <v>10</v>
      </c>
      <c r="R508" s="98" t="s">
        <v>49</v>
      </c>
      <c r="S508" s="98" t="s">
        <v>50</v>
      </c>
      <c r="T508" s="98" t="s">
        <v>50</v>
      </c>
      <c r="U508" s="98" t="s">
        <v>50</v>
      </c>
      <c r="V508" s="98" t="s">
        <v>50</v>
      </c>
      <c r="W508" s="98" t="s">
        <v>50</v>
      </c>
      <c r="X508" s="98" t="s">
        <v>50</v>
      </c>
      <c r="Y508" s="622"/>
    </row>
    <row r="509" spans="1:25" s="154" customFormat="1" x14ac:dyDescent="0.25">
      <c r="A509" s="195">
        <v>43888</v>
      </c>
      <c r="B509" s="154" t="s">
        <v>876</v>
      </c>
      <c r="C509" s="154" t="s">
        <v>62</v>
      </c>
      <c r="D509" s="154">
        <v>38.107419999999998</v>
      </c>
      <c r="E509" s="154">
        <v>-122.0501</v>
      </c>
      <c r="F509" s="154" t="s">
        <v>3097</v>
      </c>
      <c r="G509" s="154" t="s">
        <v>27</v>
      </c>
      <c r="H509" s="154" t="s">
        <v>173</v>
      </c>
      <c r="I509" s="636">
        <v>0.48680555555555555</v>
      </c>
      <c r="J509" s="156" t="s">
        <v>50</v>
      </c>
      <c r="K509" s="154" t="s">
        <v>50</v>
      </c>
      <c r="L509" s="154" t="s">
        <v>50</v>
      </c>
      <c r="M509" s="154" t="s">
        <v>50</v>
      </c>
      <c r="N509" s="154" t="s">
        <v>50</v>
      </c>
      <c r="O509" s="154" t="s">
        <v>48</v>
      </c>
      <c r="P509" s="154">
        <v>0</v>
      </c>
      <c r="Q509" s="154" t="s">
        <v>50</v>
      </c>
      <c r="R509" s="154" t="s">
        <v>50</v>
      </c>
      <c r="S509" s="154" t="s">
        <v>50</v>
      </c>
      <c r="T509" s="154" t="s">
        <v>50</v>
      </c>
      <c r="U509" s="154" t="s">
        <v>50</v>
      </c>
      <c r="V509" s="154" t="s">
        <v>50</v>
      </c>
      <c r="W509" s="154" t="s">
        <v>50</v>
      </c>
      <c r="X509" s="154" t="s">
        <v>50</v>
      </c>
      <c r="Y509" s="627" t="s">
        <v>3094</v>
      </c>
    </row>
    <row r="510" spans="1:25" s="414" customFormat="1" x14ac:dyDescent="0.25">
      <c r="A510" s="412">
        <v>43888</v>
      </c>
      <c r="B510" s="414" t="s">
        <v>876</v>
      </c>
      <c r="C510" s="414" t="s">
        <v>62</v>
      </c>
      <c r="D510" s="414">
        <v>38.132660000000001</v>
      </c>
      <c r="E510" s="414">
        <v>-121.91519</v>
      </c>
      <c r="F510" s="414" t="s">
        <v>3098</v>
      </c>
      <c r="G510" s="414" t="s">
        <v>27</v>
      </c>
      <c r="H510" s="414" t="s">
        <v>62</v>
      </c>
      <c r="I510" s="629">
        <v>0.51458333333333328</v>
      </c>
      <c r="J510" s="416">
        <v>1175</v>
      </c>
      <c r="K510" s="416">
        <v>13.4</v>
      </c>
      <c r="L510" s="416">
        <v>41.375</v>
      </c>
      <c r="M510" s="416">
        <v>0.38250000000000001</v>
      </c>
      <c r="N510" s="416">
        <v>6.5750000000000002</v>
      </c>
      <c r="O510" s="414" t="s">
        <v>48</v>
      </c>
      <c r="P510" s="414">
        <v>4</v>
      </c>
      <c r="Q510" s="414">
        <v>10</v>
      </c>
      <c r="R510" s="414" t="s">
        <v>49</v>
      </c>
      <c r="S510" s="676" t="s">
        <v>449</v>
      </c>
      <c r="T510" s="414">
        <v>2</v>
      </c>
      <c r="U510" s="414" t="s">
        <v>3099</v>
      </c>
      <c r="V510" s="414" t="s">
        <v>50</v>
      </c>
      <c r="W510" s="414">
        <v>5</v>
      </c>
      <c r="X510" s="414" t="s">
        <v>2525</v>
      </c>
      <c r="Y510" s="630" t="s">
        <v>3100</v>
      </c>
    </row>
    <row r="511" spans="1:25" s="98" customFormat="1" x14ac:dyDescent="0.25">
      <c r="A511" s="194">
        <v>43892</v>
      </c>
      <c r="B511" s="98" t="s">
        <v>43</v>
      </c>
      <c r="C511" s="98" t="s">
        <v>88</v>
      </c>
      <c r="D511" s="98">
        <v>38.089590000000001</v>
      </c>
      <c r="E511" s="98">
        <v>-121.73612</v>
      </c>
      <c r="F511" s="98" t="s">
        <v>3101</v>
      </c>
      <c r="G511" s="98" t="s">
        <v>27</v>
      </c>
      <c r="H511" s="98" t="s">
        <v>25</v>
      </c>
      <c r="I511" s="621">
        <v>0.33958333333333335</v>
      </c>
      <c r="J511" s="100">
        <v>233.2</v>
      </c>
      <c r="K511" s="100">
        <v>12.95</v>
      </c>
      <c r="L511" s="100">
        <v>6.1749999999999998</v>
      </c>
      <c r="M511" s="100">
        <v>1.2450000000000001</v>
      </c>
      <c r="N511" s="100">
        <v>8.9</v>
      </c>
      <c r="O511" s="98" t="s">
        <v>48</v>
      </c>
      <c r="P511" s="98">
        <v>2</v>
      </c>
      <c r="Q511" s="98">
        <v>10</v>
      </c>
      <c r="R511" s="98" t="s">
        <v>49</v>
      </c>
      <c r="S511" s="98" t="s">
        <v>50</v>
      </c>
      <c r="T511" s="98" t="s">
        <v>50</v>
      </c>
      <c r="U511" s="98" t="s">
        <v>50</v>
      </c>
      <c r="V511" s="98" t="s">
        <v>50</v>
      </c>
      <c r="W511" s="98" t="s">
        <v>50</v>
      </c>
      <c r="X511" s="98" t="s">
        <v>50</v>
      </c>
      <c r="Y511" s="622" t="s">
        <v>3102</v>
      </c>
    </row>
    <row r="512" spans="1:25" s="98" customFormat="1" x14ac:dyDescent="0.25">
      <c r="A512" s="194">
        <v>43892</v>
      </c>
      <c r="B512" s="98" t="s">
        <v>43</v>
      </c>
      <c r="C512" s="98" t="s">
        <v>95</v>
      </c>
      <c r="D512" s="98">
        <v>38.098309999999998</v>
      </c>
      <c r="E512" s="98">
        <v>-121.59302</v>
      </c>
      <c r="F512" s="98" t="s">
        <v>3103</v>
      </c>
      <c r="G512" s="98" t="s">
        <v>46</v>
      </c>
      <c r="H512" s="98" t="s">
        <v>115</v>
      </c>
      <c r="I512" s="621">
        <v>0.30902777777777779</v>
      </c>
      <c r="J512" s="100">
        <v>265.375</v>
      </c>
      <c r="K512" s="100">
        <v>13.1</v>
      </c>
      <c r="L512" s="100">
        <v>4.7100000000000009</v>
      </c>
      <c r="M512" s="100">
        <v>1.8</v>
      </c>
      <c r="N512" s="100">
        <v>12.275</v>
      </c>
      <c r="O512" s="98" t="s">
        <v>48</v>
      </c>
      <c r="P512" s="98">
        <v>4</v>
      </c>
      <c r="Q512" s="98">
        <v>10</v>
      </c>
      <c r="R512" s="98" t="s">
        <v>64</v>
      </c>
      <c r="S512" s="98" t="s">
        <v>50</v>
      </c>
      <c r="T512" s="98" t="s">
        <v>50</v>
      </c>
      <c r="U512" s="98" t="s">
        <v>50</v>
      </c>
      <c r="V512" s="98" t="s">
        <v>50</v>
      </c>
      <c r="W512" s="98" t="s">
        <v>50</v>
      </c>
      <c r="X512" s="98" t="s">
        <v>50</v>
      </c>
      <c r="Y512" s="622" t="s">
        <v>139</v>
      </c>
    </row>
    <row r="513" spans="1:25" s="98" customFormat="1" x14ac:dyDescent="0.25">
      <c r="A513" s="194">
        <v>43892</v>
      </c>
      <c r="B513" s="98" t="s">
        <v>43</v>
      </c>
      <c r="C513" s="98" t="s">
        <v>95</v>
      </c>
      <c r="D513" s="98">
        <v>38.101379999999999</v>
      </c>
      <c r="E513" s="98">
        <v>-121.58535999999999</v>
      </c>
      <c r="F513" s="98" t="s">
        <v>3104</v>
      </c>
      <c r="G513" s="98" t="s">
        <v>46</v>
      </c>
      <c r="H513" s="98" t="s">
        <v>115</v>
      </c>
      <c r="I513" s="621">
        <v>0.3576388888888889</v>
      </c>
      <c r="J513" s="100">
        <v>265.57499999999999</v>
      </c>
      <c r="K513" s="100">
        <v>13.2</v>
      </c>
      <c r="L513" s="100">
        <v>5.6725000000000003</v>
      </c>
      <c r="M513" s="100">
        <v>1.8</v>
      </c>
      <c r="N513" s="100">
        <v>3.6</v>
      </c>
      <c r="O513" s="98" t="s">
        <v>48</v>
      </c>
      <c r="P513" s="98">
        <v>4</v>
      </c>
      <c r="Q513" s="98">
        <v>10</v>
      </c>
      <c r="R513" s="98" t="s">
        <v>64</v>
      </c>
      <c r="S513" s="98" t="s">
        <v>50</v>
      </c>
      <c r="T513" s="98" t="s">
        <v>50</v>
      </c>
      <c r="U513" s="98" t="s">
        <v>50</v>
      </c>
      <c r="V513" s="98" t="s">
        <v>50</v>
      </c>
      <c r="W513" s="98" t="s">
        <v>50</v>
      </c>
      <c r="X513" s="98" t="s">
        <v>50</v>
      </c>
      <c r="Y513" s="622"/>
    </row>
    <row r="514" spans="1:25" s="98" customFormat="1" x14ac:dyDescent="0.25">
      <c r="A514" s="194">
        <v>43892</v>
      </c>
      <c r="B514" s="98" t="s">
        <v>43</v>
      </c>
      <c r="C514" s="98" t="s">
        <v>44</v>
      </c>
      <c r="D514" s="98">
        <v>38.067160000000001</v>
      </c>
      <c r="E514" s="98">
        <v>-121.58065000000001</v>
      </c>
      <c r="F514" s="98" t="s">
        <v>3105</v>
      </c>
      <c r="G514" s="98" t="s">
        <v>46</v>
      </c>
      <c r="H514" s="98" t="s">
        <v>74</v>
      </c>
      <c r="I514" s="621">
        <v>0.40625</v>
      </c>
      <c r="J514" s="100">
        <v>276.875</v>
      </c>
      <c r="K514" s="100">
        <v>13.225000000000001</v>
      </c>
      <c r="L514" s="100">
        <v>6.0549999999999997</v>
      </c>
      <c r="M514" s="100">
        <v>1.6325000000000001</v>
      </c>
      <c r="N514" s="100">
        <v>5.1749999999999998</v>
      </c>
      <c r="O514" s="98" t="s">
        <v>48</v>
      </c>
      <c r="P514" s="98">
        <v>4</v>
      </c>
      <c r="Q514" s="98">
        <v>10</v>
      </c>
      <c r="R514" s="98" t="s">
        <v>64</v>
      </c>
      <c r="S514" s="98" t="s">
        <v>50</v>
      </c>
      <c r="T514" s="98" t="s">
        <v>50</v>
      </c>
      <c r="U514" s="98" t="s">
        <v>50</v>
      </c>
      <c r="V514" s="98" t="s">
        <v>50</v>
      </c>
      <c r="W514" s="98" t="s">
        <v>50</v>
      </c>
      <c r="X514" s="98" t="s">
        <v>50</v>
      </c>
      <c r="Y514" s="622"/>
    </row>
    <row r="515" spans="1:25" s="646" customFormat="1" x14ac:dyDescent="0.25">
      <c r="A515" s="645">
        <v>43892</v>
      </c>
      <c r="B515" s="646" t="s">
        <v>43</v>
      </c>
      <c r="C515" s="646" t="s">
        <v>62</v>
      </c>
      <c r="D515" s="646">
        <v>38.138959999999997</v>
      </c>
      <c r="E515" s="646">
        <v>-122.0814</v>
      </c>
      <c r="F515" s="646" t="s">
        <v>3106</v>
      </c>
      <c r="G515" s="646" t="s">
        <v>27</v>
      </c>
      <c r="H515" s="646" t="s">
        <v>62</v>
      </c>
      <c r="I515" s="647">
        <v>0.36180555555555555</v>
      </c>
      <c r="J515" s="648">
        <v>6930.25</v>
      </c>
      <c r="K515" s="648">
        <v>12.175000000000001</v>
      </c>
      <c r="L515" s="648">
        <v>51.45</v>
      </c>
      <c r="M515" s="648">
        <v>0.28500000000000003</v>
      </c>
      <c r="N515" s="648">
        <v>3.8499999999999996</v>
      </c>
      <c r="O515" s="646" t="s">
        <v>48</v>
      </c>
      <c r="P515" s="646">
        <v>4</v>
      </c>
      <c r="Q515" s="646">
        <v>10</v>
      </c>
      <c r="R515" s="646" t="s">
        <v>49</v>
      </c>
      <c r="S515" s="667" t="s">
        <v>31</v>
      </c>
      <c r="T515" s="646">
        <v>4</v>
      </c>
      <c r="U515" s="646" t="s">
        <v>3107</v>
      </c>
      <c r="V515" s="646" t="s">
        <v>66</v>
      </c>
      <c r="W515" s="646" t="s">
        <v>50</v>
      </c>
      <c r="X515" s="646" t="s">
        <v>50</v>
      </c>
      <c r="Y515" s="668" t="s">
        <v>3108</v>
      </c>
    </row>
    <row r="516" spans="1:25" s="646" customFormat="1" x14ac:dyDescent="0.25">
      <c r="A516" s="645">
        <v>43892</v>
      </c>
      <c r="B516" s="646" t="s">
        <v>43</v>
      </c>
      <c r="C516" s="646" t="s">
        <v>62</v>
      </c>
      <c r="D516" s="646">
        <v>38.138959999999997</v>
      </c>
      <c r="E516" s="646">
        <v>-122.0814</v>
      </c>
      <c r="F516" s="646" t="s">
        <v>3106</v>
      </c>
      <c r="G516" s="646" t="s">
        <v>27</v>
      </c>
      <c r="H516" s="646" t="s">
        <v>62</v>
      </c>
      <c r="I516" s="647">
        <v>0.36180555555555555</v>
      </c>
      <c r="J516" s="648">
        <v>6930.25</v>
      </c>
      <c r="K516" s="648">
        <v>12.175000000000001</v>
      </c>
      <c r="L516" s="648">
        <v>51.45</v>
      </c>
      <c r="M516" s="648">
        <v>0.28500000000000003</v>
      </c>
      <c r="N516" s="648">
        <v>3.8499999999999996</v>
      </c>
      <c r="O516" s="646" t="s">
        <v>48</v>
      </c>
      <c r="P516" s="646">
        <v>4</v>
      </c>
      <c r="Q516" s="646">
        <v>10</v>
      </c>
      <c r="R516" s="646" t="s">
        <v>49</v>
      </c>
      <c r="S516" s="667" t="s">
        <v>758</v>
      </c>
      <c r="T516" s="646">
        <v>1</v>
      </c>
      <c r="U516" s="646">
        <v>124</v>
      </c>
      <c r="V516" s="646" t="s">
        <v>50</v>
      </c>
      <c r="W516" s="646">
        <v>5</v>
      </c>
      <c r="X516" s="646" t="s">
        <v>50</v>
      </c>
      <c r="Y516" s="668" t="s">
        <v>3109</v>
      </c>
    </row>
    <row r="517" spans="1:25" s="98" customFormat="1" x14ac:dyDescent="0.25">
      <c r="A517" s="194">
        <v>43892</v>
      </c>
      <c r="B517" s="98" t="s">
        <v>43</v>
      </c>
      <c r="C517" s="98" t="s">
        <v>62</v>
      </c>
      <c r="D517" s="98">
        <v>38.181690000000003</v>
      </c>
      <c r="E517" s="98">
        <v>-122.05047</v>
      </c>
      <c r="F517" s="98" t="s">
        <v>3110</v>
      </c>
      <c r="G517" s="98" t="s">
        <v>27</v>
      </c>
      <c r="H517" s="98" t="s">
        <v>62</v>
      </c>
      <c r="I517" s="621">
        <v>0.42152777777777778</v>
      </c>
      <c r="J517" s="100">
        <v>3809</v>
      </c>
      <c r="K517" s="100">
        <v>13.15</v>
      </c>
      <c r="L517" s="100">
        <v>68.05</v>
      </c>
      <c r="M517" s="100">
        <v>0.27500000000000002</v>
      </c>
      <c r="N517" s="100">
        <v>4.4749999999999996</v>
      </c>
      <c r="O517" s="98" t="s">
        <v>48</v>
      </c>
      <c r="P517" s="98">
        <v>4</v>
      </c>
      <c r="Q517" s="98">
        <v>10</v>
      </c>
      <c r="R517" s="98" t="s">
        <v>49</v>
      </c>
      <c r="S517" s="98" t="s">
        <v>50</v>
      </c>
      <c r="T517" s="98" t="s">
        <v>50</v>
      </c>
      <c r="U517" s="98" t="s">
        <v>50</v>
      </c>
      <c r="V517" s="98" t="s">
        <v>50</v>
      </c>
      <c r="W517" s="98" t="s">
        <v>50</v>
      </c>
      <c r="X517" s="98" t="s">
        <v>50</v>
      </c>
      <c r="Y517" s="622" t="s">
        <v>139</v>
      </c>
    </row>
    <row r="518" spans="1:25" s="98" customFormat="1" x14ac:dyDescent="0.25">
      <c r="A518" s="194">
        <v>43892</v>
      </c>
      <c r="B518" s="98" t="s">
        <v>43</v>
      </c>
      <c r="C518" s="98" t="s">
        <v>62</v>
      </c>
      <c r="D518" s="98">
        <v>38.154940000000003</v>
      </c>
      <c r="E518" s="98">
        <v>-121.92283</v>
      </c>
      <c r="F518" s="98" t="s">
        <v>3111</v>
      </c>
      <c r="G518" s="98" t="s">
        <v>27</v>
      </c>
      <c r="H518" s="98" t="s">
        <v>62</v>
      </c>
      <c r="I518" s="621">
        <v>0.4916666666666667</v>
      </c>
      <c r="J518" s="100">
        <v>2046</v>
      </c>
      <c r="K518" s="100">
        <v>12.4</v>
      </c>
      <c r="L518" s="100">
        <v>41.25</v>
      </c>
      <c r="M518" s="100">
        <v>0.36499999999999999</v>
      </c>
      <c r="N518" s="100">
        <v>4.7</v>
      </c>
      <c r="O518" s="98" t="s">
        <v>48</v>
      </c>
      <c r="P518" s="98">
        <v>2</v>
      </c>
      <c r="Q518" s="98">
        <v>10</v>
      </c>
      <c r="R518" s="98" t="s">
        <v>64</v>
      </c>
      <c r="S518" s="98" t="s">
        <v>50</v>
      </c>
      <c r="T518" s="98" t="s">
        <v>50</v>
      </c>
      <c r="U518" s="98" t="s">
        <v>50</v>
      </c>
      <c r="V518" s="98" t="s">
        <v>50</v>
      </c>
      <c r="W518" s="98" t="s">
        <v>50</v>
      </c>
      <c r="X518" s="98" t="s">
        <v>50</v>
      </c>
      <c r="Y518" s="622" t="s">
        <v>3112</v>
      </c>
    </row>
    <row r="519" spans="1:25" s="98" customFormat="1" x14ac:dyDescent="0.25">
      <c r="A519" s="194">
        <v>43893</v>
      </c>
      <c r="B519" s="98" t="s">
        <v>849</v>
      </c>
      <c r="C519" s="98" t="s">
        <v>95</v>
      </c>
      <c r="D519" s="98">
        <v>38.030610000000003</v>
      </c>
      <c r="E519" s="98">
        <v>-121.74156000000001</v>
      </c>
      <c r="F519" s="98" t="s">
        <v>3113</v>
      </c>
      <c r="G519" s="98" t="s">
        <v>27</v>
      </c>
      <c r="H519" s="98" t="s">
        <v>863</v>
      </c>
      <c r="I519" s="621">
        <v>0.32222222222222224</v>
      </c>
      <c r="J519" s="100">
        <v>365.94999999999993</v>
      </c>
      <c r="K519" s="100">
        <v>12.7</v>
      </c>
      <c r="L519" s="100">
        <v>18.95</v>
      </c>
      <c r="M519" s="100">
        <v>0.53249999999999997</v>
      </c>
      <c r="N519" s="100">
        <v>5.5749999999999993</v>
      </c>
      <c r="O519" s="98" t="s">
        <v>48</v>
      </c>
      <c r="P519" s="98">
        <v>4</v>
      </c>
      <c r="Q519" s="98">
        <v>10</v>
      </c>
      <c r="R519" s="98" t="s">
        <v>64</v>
      </c>
      <c r="S519" s="98" t="s">
        <v>50</v>
      </c>
      <c r="T519" s="98" t="s">
        <v>50</v>
      </c>
      <c r="U519" s="98" t="s">
        <v>50</v>
      </c>
      <c r="V519" s="98" t="s">
        <v>50</v>
      </c>
      <c r="W519" s="98" t="s">
        <v>50</v>
      </c>
      <c r="X519" s="98" t="s">
        <v>50</v>
      </c>
      <c r="Y519" s="622"/>
    </row>
    <row r="520" spans="1:25" s="98" customFormat="1" x14ac:dyDescent="0.25">
      <c r="A520" s="194">
        <v>43893</v>
      </c>
      <c r="B520" s="98" t="s">
        <v>849</v>
      </c>
      <c r="C520" s="98" t="s">
        <v>95</v>
      </c>
      <c r="D520" s="98">
        <v>38.033769999999997</v>
      </c>
      <c r="E520" s="98">
        <v>-121.71489</v>
      </c>
      <c r="F520" s="98" t="s">
        <v>3114</v>
      </c>
      <c r="G520" s="98" t="s">
        <v>27</v>
      </c>
      <c r="H520" s="98" t="s">
        <v>863</v>
      </c>
      <c r="I520" s="621">
        <v>0.38680555555555557</v>
      </c>
      <c r="J520" s="100">
        <v>368.95000000000005</v>
      </c>
      <c r="K520" s="100">
        <v>12.875</v>
      </c>
      <c r="L520" s="100">
        <v>12.75</v>
      </c>
      <c r="M520" s="100">
        <v>0.85499999999999998</v>
      </c>
      <c r="N520" s="100">
        <v>12.45</v>
      </c>
      <c r="O520" s="98" t="s">
        <v>48</v>
      </c>
      <c r="P520" s="98">
        <v>4</v>
      </c>
      <c r="Q520" s="98">
        <v>10</v>
      </c>
      <c r="R520" s="98" t="s">
        <v>64</v>
      </c>
      <c r="S520" s="98" t="s">
        <v>50</v>
      </c>
      <c r="T520" s="98" t="s">
        <v>50</v>
      </c>
      <c r="U520" s="98" t="s">
        <v>50</v>
      </c>
      <c r="V520" s="98" t="s">
        <v>50</v>
      </c>
      <c r="W520" s="98" t="s">
        <v>50</v>
      </c>
      <c r="X520" s="98" t="s">
        <v>50</v>
      </c>
      <c r="Y520" s="622"/>
    </row>
    <row r="521" spans="1:25" s="98" customFormat="1" x14ac:dyDescent="0.25">
      <c r="A521" s="194">
        <v>43893</v>
      </c>
      <c r="B521" s="98" t="s">
        <v>849</v>
      </c>
      <c r="C521" s="98" t="s">
        <v>95</v>
      </c>
      <c r="D521" s="98">
        <v>38.073399999999999</v>
      </c>
      <c r="E521" s="98">
        <v>-121.67659999999999</v>
      </c>
      <c r="F521" s="98" t="s">
        <v>3115</v>
      </c>
      <c r="G521" s="98" t="s">
        <v>46</v>
      </c>
      <c r="H521" s="98" t="s">
        <v>908</v>
      </c>
      <c r="I521" s="621">
        <v>0.41805555555555557</v>
      </c>
      <c r="J521" s="100">
        <v>319.59999999999997</v>
      </c>
      <c r="K521" s="100">
        <v>12.95</v>
      </c>
      <c r="L521" s="100">
        <v>10.285</v>
      </c>
      <c r="M521" s="100">
        <v>1.04</v>
      </c>
      <c r="N521" s="100">
        <v>13.4</v>
      </c>
      <c r="O521" s="98" t="s">
        <v>48</v>
      </c>
      <c r="P521" s="98">
        <v>4</v>
      </c>
      <c r="Q521" s="98">
        <v>10</v>
      </c>
      <c r="R521" s="98" t="s">
        <v>64</v>
      </c>
      <c r="S521" s="98" t="s">
        <v>50</v>
      </c>
      <c r="T521" s="98" t="s">
        <v>50</v>
      </c>
      <c r="U521" s="98" t="s">
        <v>50</v>
      </c>
      <c r="V521" s="98" t="s">
        <v>50</v>
      </c>
      <c r="W521" s="98" t="s">
        <v>50</v>
      </c>
      <c r="X521" s="98" t="s">
        <v>50</v>
      </c>
      <c r="Y521" s="622" t="s">
        <v>139</v>
      </c>
    </row>
    <row r="522" spans="1:25" s="98" customFormat="1" x14ac:dyDescent="0.25">
      <c r="A522" s="194">
        <v>43893</v>
      </c>
      <c r="B522" s="98" t="s">
        <v>849</v>
      </c>
      <c r="C522" s="98" t="s">
        <v>78</v>
      </c>
      <c r="D522" s="98">
        <v>38.073059999999998</v>
      </c>
      <c r="E522" s="98">
        <v>-122.09045</v>
      </c>
      <c r="F522" s="98" t="s">
        <v>3116</v>
      </c>
      <c r="G522" s="98" t="s">
        <v>80</v>
      </c>
      <c r="H522" s="98" t="s">
        <v>81</v>
      </c>
      <c r="I522" s="621">
        <v>0.38958333333333334</v>
      </c>
      <c r="J522" s="100">
        <v>21849.75</v>
      </c>
      <c r="K522" s="100">
        <v>13.075000000000001</v>
      </c>
      <c r="L522" s="100">
        <v>11.8</v>
      </c>
      <c r="M522" s="100">
        <v>0.79249999999999998</v>
      </c>
      <c r="N522" s="100">
        <v>10.375</v>
      </c>
      <c r="O522" s="98" t="s">
        <v>48</v>
      </c>
      <c r="P522" s="98">
        <v>4</v>
      </c>
      <c r="Q522" s="98">
        <v>10</v>
      </c>
      <c r="R522" s="98" t="s">
        <v>49</v>
      </c>
      <c r="S522" s="98" t="s">
        <v>50</v>
      </c>
      <c r="T522" s="98" t="s">
        <v>50</v>
      </c>
      <c r="U522" s="98" t="s">
        <v>50</v>
      </c>
      <c r="V522" s="98" t="s">
        <v>50</v>
      </c>
      <c r="W522" s="98" t="s">
        <v>50</v>
      </c>
      <c r="X522" s="98" t="s">
        <v>50</v>
      </c>
      <c r="Y522" s="622"/>
    </row>
    <row r="523" spans="1:25" s="98" customFormat="1" x14ac:dyDescent="0.25">
      <c r="A523" s="194">
        <v>43893</v>
      </c>
      <c r="B523" s="98" t="s">
        <v>849</v>
      </c>
      <c r="C523" s="98" t="s">
        <v>78</v>
      </c>
      <c r="D523" s="98">
        <v>38.058720000000001</v>
      </c>
      <c r="E523" s="98">
        <v>-122.10136</v>
      </c>
      <c r="F523" s="98" t="s">
        <v>3117</v>
      </c>
      <c r="G523" s="98" t="s">
        <v>80</v>
      </c>
      <c r="H523" s="98" t="s">
        <v>81</v>
      </c>
      <c r="I523" s="621">
        <v>0.34375</v>
      </c>
      <c r="J523" s="100">
        <v>25731.75</v>
      </c>
      <c r="K523" s="100">
        <v>13.025</v>
      </c>
      <c r="L523" s="100">
        <v>9.9725000000000001</v>
      </c>
      <c r="M523" s="100">
        <v>0.84000000000000008</v>
      </c>
      <c r="N523" s="100">
        <v>7.7249999999999996</v>
      </c>
      <c r="O523" s="98" t="s">
        <v>48</v>
      </c>
      <c r="P523" s="98">
        <v>4</v>
      </c>
      <c r="Q523" s="98">
        <v>10</v>
      </c>
      <c r="R523" s="98" t="s">
        <v>64</v>
      </c>
      <c r="S523" s="98" t="s">
        <v>50</v>
      </c>
      <c r="T523" s="98" t="s">
        <v>50</v>
      </c>
      <c r="U523" s="98" t="s">
        <v>50</v>
      </c>
      <c r="V523" s="98" t="s">
        <v>50</v>
      </c>
      <c r="W523" s="98" t="s">
        <v>50</v>
      </c>
      <c r="X523" s="98" t="s">
        <v>50</v>
      </c>
      <c r="Y523" s="622" t="s">
        <v>139</v>
      </c>
    </row>
    <row r="524" spans="1:25" s="646" customFormat="1" x14ac:dyDescent="0.25">
      <c r="A524" s="645">
        <v>43893</v>
      </c>
      <c r="B524" s="646" t="s">
        <v>849</v>
      </c>
      <c r="C524" s="646" t="s">
        <v>78</v>
      </c>
      <c r="D524" s="646">
        <v>38.097790000000003</v>
      </c>
      <c r="E524" s="646">
        <v>-122.06638</v>
      </c>
      <c r="F524" s="646" t="s">
        <v>3118</v>
      </c>
      <c r="G524" s="646" t="s">
        <v>27</v>
      </c>
      <c r="H524" s="646" t="s">
        <v>86</v>
      </c>
      <c r="I524" s="647">
        <v>0.43888888888888888</v>
      </c>
      <c r="J524" s="648">
        <v>11358</v>
      </c>
      <c r="K524" s="648">
        <v>12.95</v>
      </c>
      <c r="L524" s="648">
        <v>25.9</v>
      </c>
      <c r="M524" s="648">
        <v>0.40750000000000003</v>
      </c>
      <c r="N524" s="648">
        <v>5.85</v>
      </c>
      <c r="O524" s="646" t="s">
        <v>48</v>
      </c>
      <c r="P524" s="646">
        <v>4</v>
      </c>
      <c r="Q524" s="646">
        <v>10</v>
      </c>
      <c r="R524" s="646" t="s">
        <v>49</v>
      </c>
      <c r="S524" s="667" t="s">
        <v>449</v>
      </c>
      <c r="T524" s="646">
        <v>1</v>
      </c>
      <c r="U524" s="646">
        <v>230</v>
      </c>
      <c r="V524" s="646" t="s">
        <v>50</v>
      </c>
      <c r="W524" s="646">
        <v>5</v>
      </c>
      <c r="X524" s="646" t="s">
        <v>2525</v>
      </c>
      <c r="Y524" s="668" t="s">
        <v>564</v>
      </c>
    </row>
    <row r="525" spans="1:25" s="98" customFormat="1" x14ac:dyDescent="0.25">
      <c r="A525" s="194">
        <v>43893</v>
      </c>
      <c r="B525" s="98" t="s">
        <v>849</v>
      </c>
      <c r="C525" s="98" t="s">
        <v>88</v>
      </c>
      <c r="D525" s="98">
        <v>38.060450000000003</v>
      </c>
      <c r="E525" s="98">
        <v>-121.78982000000001</v>
      </c>
      <c r="F525" s="98" t="s">
        <v>3119</v>
      </c>
      <c r="G525" s="98" t="s">
        <v>27</v>
      </c>
      <c r="H525" s="98" t="s">
        <v>88</v>
      </c>
      <c r="I525" s="621">
        <v>0.32569444444444445</v>
      </c>
      <c r="J525" s="100">
        <v>772.25</v>
      </c>
      <c r="K525" s="100">
        <v>12.775000000000002</v>
      </c>
      <c r="L525" s="100">
        <v>16</v>
      </c>
      <c r="M525" s="100">
        <v>0.79249999999999998</v>
      </c>
      <c r="N525" s="100">
        <v>9.5</v>
      </c>
      <c r="O525" s="98" t="s">
        <v>48</v>
      </c>
      <c r="P525" s="98">
        <v>4</v>
      </c>
      <c r="Q525" s="98">
        <v>10</v>
      </c>
      <c r="R525" s="98" t="s">
        <v>64</v>
      </c>
      <c r="S525" s="98" t="s">
        <v>50</v>
      </c>
      <c r="T525" s="98" t="s">
        <v>50</v>
      </c>
      <c r="U525" s="98" t="s">
        <v>50</v>
      </c>
      <c r="V525" s="98" t="s">
        <v>50</v>
      </c>
      <c r="W525" s="98" t="s">
        <v>50</v>
      </c>
      <c r="X525" s="98" t="s">
        <v>50</v>
      </c>
      <c r="Y525" s="622"/>
    </row>
    <row r="526" spans="1:25" s="98" customFormat="1" x14ac:dyDescent="0.25">
      <c r="A526" s="194">
        <v>43893</v>
      </c>
      <c r="B526" s="98" t="s">
        <v>849</v>
      </c>
      <c r="C526" s="98" t="s">
        <v>88</v>
      </c>
      <c r="D526" s="98">
        <v>38.061639999999997</v>
      </c>
      <c r="E526" s="98">
        <v>-121.82048</v>
      </c>
      <c r="F526" s="98" t="s">
        <v>3120</v>
      </c>
      <c r="G526" s="98" t="s">
        <v>27</v>
      </c>
      <c r="H526" s="98" t="s">
        <v>88</v>
      </c>
      <c r="I526" s="621">
        <v>0.37152777777777773</v>
      </c>
      <c r="J526" s="100">
        <v>1901.5</v>
      </c>
      <c r="K526" s="100">
        <v>12.799999999999999</v>
      </c>
      <c r="L526" s="100">
        <v>20.200000000000003</v>
      </c>
      <c r="M526" s="100">
        <v>0.65249999999999997</v>
      </c>
      <c r="N526" s="100">
        <v>10.875</v>
      </c>
      <c r="O526" s="98" t="s">
        <v>48</v>
      </c>
      <c r="P526" s="98">
        <v>4</v>
      </c>
      <c r="Q526" s="98">
        <v>10</v>
      </c>
      <c r="R526" s="98" t="s">
        <v>49</v>
      </c>
      <c r="S526" s="98" t="s">
        <v>50</v>
      </c>
      <c r="T526" s="98" t="s">
        <v>50</v>
      </c>
      <c r="U526" s="98" t="s">
        <v>50</v>
      </c>
      <c r="V526" s="98" t="s">
        <v>50</v>
      </c>
      <c r="W526" s="98" t="s">
        <v>50</v>
      </c>
      <c r="X526" s="98" t="s">
        <v>50</v>
      </c>
      <c r="Y526" s="622" t="s">
        <v>139</v>
      </c>
    </row>
    <row r="527" spans="1:25" s="98" customFormat="1" x14ac:dyDescent="0.25">
      <c r="A527" s="194">
        <v>43893</v>
      </c>
      <c r="B527" s="98" t="s">
        <v>849</v>
      </c>
      <c r="C527" s="98" t="s">
        <v>88</v>
      </c>
      <c r="D527" s="98">
        <v>38.04233</v>
      </c>
      <c r="E527" s="98">
        <v>-121.8214</v>
      </c>
      <c r="F527" s="98" t="s">
        <v>3121</v>
      </c>
      <c r="G527" s="98" t="s">
        <v>27</v>
      </c>
      <c r="H527" s="98" t="s">
        <v>88</v>
      </c>
      <c r="I527" s="621">
        <v>0.42986111111111108</v>
      </c>
      <c r="J527" s="100">
        <v>600.75</v>
      </c>
      <c r="K527" s="100">
        <v>12.625</v>
      </c>
      <c r="L527" s="100">
        <v>18.899999999999999</v>
      </c>
      <c r="M527" s="100">
        <v>0.73</v>
      </c>
      <c r="N527" s="100">
        <v>3.125</v>
      </c>
      <c r="O527" s="98" t="s">
        <v>48</v>
      </c>
      <c r="P527" s="98">
        <v>4</v>
      </c>
      <c r="Q527" s="98">
        <v>10</v>
      </c>
      <c r="R527" s="98" t="s">
        <v>49</v>
      </c>
      <c r="S527" s="98" t="s">
        <v>50</v>
      </c>
      <c r="T527" s="98" t="s">
        <v>50</v>
      </c>
      <c r="U527" s="98" t="s">
        <v>50</v>
      </c>
      <c r="V527" s="98" t="s">
        <v>50</v>
      </c>
      <c r="W527" s="98" t="s">
        <v>50</v>
      </c>
      <c r="X527" s="98" t="s">
        <v>50</v>
      </c>
      <c r="Y527" s="622"/>
    </row>
    <row r="528" spans="1:25" s="646" customFormat="1" x14ac:dyDescent="0.25">
      <c r="A528" s="645">
        <v>43893</v>
      </c>
      <c r="B528" s="646" t="s">
        <v>849</v>
      </c>
      <c r="C528" s="646" t="s">
        <v>88</v>
      </c>
      <c r="D528" s="646">
        <v>38.153599999999997</v>
      </c>
      <c r="E528" s="646">
        <v>-121.68231</v>
      </c>
      <c r="F528" s="646" t="s">
        <v>3122</v>
      </c>
      <c r="G528" s="646" t="s">
        <v>90</v>
      </c>
      <c r="H528" s="646" t="s">
        <v>91</v>
      </c>
      <c r="I528" s="647">
        <v>0.49444444444444446</v>
      </c>
      <c r="J528" s="648">
        <v>212.32499999999999</v>
      </c>
      <c r="K528" s="648">
        <v>13.149999999999999</v>
      </c>
      <c r="L528" s="648">
        <v>4.7750000000000004</v>
      </c>
      <c r="M528" s="648" t="s">
        <v>1233</v>
      </c>
      <c r="N528" s="648">
        <v>6.65</v>
      </c>
      <c r="O528" s="646" t="s">
        <v>48</v>
      </c>
      <c r="P528" s="646">
        <v>4</v>
      </c>
      <c r="Q528" s="646">
        <v>10</v>
      </c>
      <c r="R528" s="646" t="s">
        <v>49</v>
      </c>
      <c r="S528" s="667" t="s">
        <v>449</v>
      </c>
      <c r="T528" s="646">
        <v>1</v>
      </c>
      <c r="U528" s="646">
        <v>180</v>
      </c>
      <c r="V528" s="646" t="s">
        <v>50</v>
      </c>
      <c r="W528" s="646">
        <v>4</v>
      </c>
      <c r="X528" s="646" t="s">
        <v>2525</v>
      </c>
      <c r="Y528" s="668" t="s">
        <v>564</v>
      </c>
    </row>
    <row r="529" spans="1:25" s="98" customFormat="1" x14ac:dyDescent="0.25">
      <c r="A529" s="194">
        <v>43894</v>
      </c>
      <c r="B529" s="98" t="s">
        <v>915</v>
      </c>
      <c r="C529" s="98" t="s">
        <v>95</v>
      </c>
      <c r="D529" s="98">
        <v>38.043689999999998</v>
      </c>
      <c r="E529" s="98">
        <v>-121.50451</v>
      </c>
      <c r="F529" s="98" t="s">
        <v>3123</v>
      </c>
      <c r="G529" s="98" t="s">
        <v>46</v>
      </c>
      <c r="H529" s="98" t="s">
        <v>115</v>
      </c>
      <c r="I529" s="621">
        <v>0.31111111111111112</v>
      </c>
      <c r="J529" s="100">
        <v>432.75</v>
      </c>
      <c r="K529" s="100">
        <v>13.675000000000001</v>
      </c>
      <c r="L529" s="100">
        <v>2.9925000000000002</v>
      </c>
      <c r="M529" s="100">
        <v>1.8</v>
      </c>
      <c r="N529" s="100">
        <v>10.275</v>
      </c>
      <c r="O529" s="98" t="s">
        <v>48</v>
      </c>
      <c r="P529" s="98">
        <v>4</v>
      </c>
      <c r="Q529" s="98">
        <v>10</v>
      </c>
      <c r="R529" s="98" t="s">
        <v>64</v>
      </c>
      <c r="S529" s="98" t="s">
        <v>50</v>
      </c>
      <c r="T529" s="98" t="s">
        <v>50</v>
      </c>
      <c r="U529" s="98" t="s">
        <v>50</v>
      </c>
      <c r="V529" s="98" t="s">
        <v>50</v>
      </c>
      <c r="W529" s="98" t="s">
        <v>50</v>
      </c>
      <c r="X529" s="98" t="s">
        <v>50</v>
      </c>
      <c r="Y529" s="622"/>
    </row>
    <row r="530" spans="1:25" s="98" customFormat="1" x14ac:dyDescent="0.25">
      <c r="A530" s="194">
        <v>43894</v>
      </c>
      <c r="B530" s="98" t="s">
        <v>915</v>
      </c>
      <c r="C530" s="98" t="s">
        <v>44</v>
      </c>
      <c r="D530" s="98">
        <v>37.917439999999999</v>
      </c>
      <c r="E530" s="98">
        <v>-121.58324</v>
      </c>
      <c r="F530" s="98" t="s">
        <v>3124</v>
      </c>
      <c r="G530" s="98" t="s">
        <v>46</v>
      </c>
      <c r="H530" s="98" t="s">
        <v>423</v>
      </c>
      <c r="I530" s="621">
        <v>0.37847222222222227</v>
      </c>
      <c r="J530" s="100">
        <v>374.35</v>
      </c>
      <c r="K530" s="100">
        <v>13.574999999999999</v>
      </c>
      <c r="L530" s="100">
        <v>4.1425000000000001</v>
      </c>
      <c r="M530" s="100">
        <v>1.8</v>
      </c>
      <c r="N530" s="100">
        <v>4.4749999999999996</v>
      </c>
      <c r="O530" s="98" t="s">
        <v>48</v>
      </c>
      <c r="P530" s="98">
        <v>4</v>
      </c>
      <c r="Q530" s="98">
        <v>10</v>
      </c>
      <c r="R530" s="98" t="s">
        <v>64</v>
      </c>
      <c r="S530" s="98" t="s">
        <v>50</v>
      </c>
      <c r="T530" s="98" t="s">
        <v>50</v>
      </c>
      <c r="U530" s="98" t="s">
        <v>50</v>
      </c>
      <c r="V530" s="98" t="s">
        <v>50</v>
      </c>
      <c r="W530" s="98" t="s">
        <v>50</v>
      </c>
      <c r="X530" s="98" t="s">
        <v>50</v>
      </c>
      <c r="Y530" s="622"/>
    </row>
    <row r="531" spans="1:25" s="98" customFormat="1" x14ac:dyDescent="0.25">
      <c r="A531" s="194">
        <v>43894</v>
      </c>
      <c r="B531" s="98" t="s">
        <v>915</v>
      </c>
      <c r="C531" s="98" t="s">
        <v>44</v>
      </c>
      <c r="D531" s="98">
        <v>37.926180000000002</v>
      </c>
      <c r="E531" s="223">
        <v>-121.55898000000001</v>
      </c>
      <c r="F531" s="98" t="s">
        <v>3125</v>
      </c>
      <c r="G531" s="98" t="s">
        <v>46</v>
      </c>
      <c r="H531" s="98" t="s">
        <v>199</v>
      </c>
      <c r="I531" s="621">
        <v>0.42708333333333331</v>
      </c>
      <c r="J531" s="100">
        <v>331.97500000000002</v>
      </c>
      <c r="K531" s="100">
        <v>13.825000000000001</v>
      </c>
      <c r="L531" s="100">
        <v>5.0225</v>
      </c>
      <c r="M531" s="100">
        <v>1.8</v>
      </c>
      <c r="N531" s="100">
        <v>7.4249999999999998</v>
      </c>
      <c r="O531" s="98" t="s">
        <v>48</v>
      </c>
      <c r="P531" s="98">
        <v>4</v>
      </c>
      <c r="Q531" s="98">
        <v>10</v>
      </c>
      <c r="R531" s="98" t="s">
        <v>64</v>
      </c>
      <c r="S531" s="98" t="s">
        <v>50</v>
      </c>
      <c r="T531" s="98" t="s">
        <v>50</v>
      </c>
      <c r="U531" s="98" t="s">
        <v>50</v>
      </c>
      <c r="V531" s="98" t="s">
        <v>50</v>
      </c>
      <c r="W531" s="98" t="s">
        <v>50</v>
      </c>
      <c r="X531" s="98" t="s">
        <v>50</v>
      </c>
      <c r="Y531" s="622"/>
    </row>
    <row r="532" spans="1:25" s="98" customFormat="1" x14ac:dyDescent="0.25">
      <c r="A532" s="194">
        <v>43894</v>
      </c>
      <c r="B532" s="98" t="s">
        <v>915</v>
      </c>
      <c r="C532" s="98" t="s">
        <v>78</v>
      </c>
      <c r="D532" s="98">
        <v>38.066220000000001</v>
      </c>
      <c r="E532" s="98">
        <v>-122.04406</v>
      </c>
      <c r="F532" s="98" t="s">
        <v>3126</v>
      </c>
      <c r="G532" s="98" t="s">
        <v>27</v>
      </c>
      <c r="H532" s="98" t="s">
        <v>86</v>
      </c>
      <c r="I532" s="621">
        <v>0.34027777777777773</v>
      </c>
      <c r="J532" s="100">
        <v>15349.75</v>
      </c>
      <c r="K532" s="100">
        <v>13.225000000000001</v>
      </c>
      <c r="L532" s="100">
        <v>13.025</v>
      </c>
      <c r="M532" s="100">
        <v>0.73250000000000004</v>
      </c>
      <c r="N532" s="100">
        <v>10.274999999999999</v>
      </c>
      <c r="O532" s="98" t="s">
        <v>48</v>
      </c>
      <c r="P532" s="98">
        <v>4</v>
      </c>
      <c r="Q532" s="98">
        <v>10</v>
      </c>
      <c r="R532" s="98" t="s">
        <v>64</v>
      </c>
      <c r="S532" s="98" t="s">
        <v>50</v>
      </c>
      <c r="T532" s="98" t="s">
        <v>50</v>
      </c>
      <c r="U532" s="98" t="s">
        <v>50</v>
      </c>
      <c r="V532" s="98" t="s">
        <v>50</v>
      </c>
      <c r="W532" s="98" t="s">
        <v>50</v>
      </c>
      <c r="X532" s="98" t="s">
        <v>50</v>
      </c>
      <c r="Y532" s="622"/>
    </row>
    <row r="533" spans="1:25" s="98" customFormat="1" x14ac:dyDescent="0.25">
      <c r="A533" s="194">
        <v>43894</v>
      </c>
      <c r="B533" s="98" t="s">
        <v>915</v>
      </c>
      <c r="C533" s="98" t="s">
        <v>78</v>
      </c>
      <c r="D533" s="98">
        <v>38.055129999999998</v>
      </c>
      <c r="E533" s="98">
        <v>-122.04434000000001</v>
      </c>
      <c r="F533" s="98" t="s">
        <v>3127</v>
      </c>
      <c r="G533" s="98" t="s">
        <v>27</v>
      </c>
      <c r="H533" s="98" t="s">
        <v>86</v>
      </c>
      <c r="I533" s="621">
        <v>0.38819444444444445</v>
      </c>
      <c r="J533" s="100">
        <v>18390.5</v>
      </c>
      <c r="K533" s="100">
        <v>13.274999999999999</v>
      </c>
      <c r="L533" s="100">
        <v>12</v>
      </c>
      <c r="M533" s="100">
        <v>0.83499999999999996</v>
      </c>
      <c r="N533" s="100">
        <v>9.2750000000000004</v>
      </c>
      <c r="O533" s="98" t="s">
        <v>48</v>
      </c>
      <c r="P533" s="98">
        <v>4</v>
      </c>
      <c r="Q533" s="98">
        <v>10</v>
      </c>
      <c r="R533" s="98" t="s">
        <v>64</v>
      </c>
      <c r="S533" s="98" t="s">
        <v>50</v>
      </c>
      <c r="T533" s="98" t="s">
        <v>50</v>
      </c>
      <c r="U533" s="98" t="s">
        <v>50</v>
      </c>
      <c r="V533" s="98" t="s">
        <v>50</v>
      </c>
      <c r="W533" s="98" t="s">
        <v>50</v>
      </c>
      <c r="X533" s="98" t="s">
        <v>50</v>
      </c>
      <c r="Y533" s="622" t="s">
        <v>3128</v>
      </c>
    </row>
    <row r="534" spans="1:25" s="98" customFormat="1" x14ac:dyDescent="0.25">
      <c r="A534" s="194">
        <v>43894</v>
      </c>
      <c r="B534" s="98" t="s">
        <v>915</v>
      </c>
      <c r="C534" s="98" t="s">
        <v>78</v>
      </c>
      <c r="D534" s="98">
        <v>38.047310000000003</v>
      </c>
      <c r="E534" s="98">
        <v>-121.89776999999999</v>
      </c>
      <c r="F534" s="98" t="s">
        <v>3129</v>
      </c>
      <c r="G534" s="98" t="s">
        <v>27</v>
      </c>
      <c r="H534" s="98" t="s">
        <v>101</v>
      </c>
      <c r="I534" s="621">
        <v>0.4465277777777778</v>
      </c>
      <c r="J534" s="100">
        <v>6866.25</v>
      </c>
      <c r="K534" s="100">
        <v>13.5</v>
      </c>
      <c r="L534" s="100">
        <v>19.7</v>
      </c>
      <c r="M534" s="100">
        <v>0.55249999999999999</v>
      </c>
      <c r="N534" s="100">
        <v>13.3</v>
      </c>
      <c r="O534" s="98" t="s">
        <v>48</v>
      </c>
      <c r="P534" s="98">
        <v>4</v>
      </c>
      <c r="Q534" s="98">
        <v>10</v>
      </c>
      <c r="R534" s="98" t="s">
        <v>64</v>
      </c>
      <c r="S534" s="98" t="s">
        <v>50</v>
      </c>
      <c r="T534" s="98" t="s">
        <v>50</v>
      </c>
      <c r="U534" s="98" t="s">
        <v>50</v>
      </c>
      <c r="V534" s="98" t="s">
        <v>50</v>
      </c>
      <c r="W534" s="98" t="s">
        <v>50</v>
      </c>
      <c r="X534" s="98" t="s">
        <v>50</v>
      </c>
      <c r="Y534" s="622"/>
    </row>
    <row r="535" spans="1:25" s="98" customFormat="1" x14ac:dyDescent="0.25">
      <c r="A535" s="194">
        <v>43894</v>
      </c>
      <c r="B535" s="98" t="s">
        <v>915</v>
      </c>
      <c r="C535" s="98" t="s">
        <v>78</v>
      </c>
      <c r="D535" s="98">
        <v>38.069339999999997</v>
      </c>
      <c r="E535" s="98">
        <v>-121.84757999999999</v>
      </c>
      <c r="F535" s="98" t="s">
        <v>3130</v>
      </c>
      <c r="G535" s="98" t="s">
        <v>27</v>
      </c>
      <c r="H535" s="98" t="s">
        <v>101</v>
      </c>
      <c r="I535" s="621">
        <v>0.5</v>
      </c>
      <c r="J535" s="100">
        <v>4721.25</v>
      </c>
      <c r="K535" s="100">
        <v>13.324999999999999</v>
      </c>
      <c r="L535" s="100">
        <v>17.100000000000001</v>
      </c>
      <c r="M535" s="100">
        <v>0.55749999999999988</v>
      </c>
      <c r="N535" s="100">
        <v>7.0749999999999993</v>
      </c>
      <c r="O535" s="98" t="s">
        <v>48</v>
      </c>
      <c r="P535" s="98">
        <v>4</v>
      </c>
      <c r="Q535" s="98">
        <v>10</v>
      </c>
      <c r="R535" s="98" t="s">
        <v>49</v>
      </c>
      <c r="S535" s="98" t="s">
        <v>50</v>
      </c>
      <c r="T535" s="98" t="s">
        <v>50</v>
      </c>
      <c r="U535" s="98" t="s">
        <v>50</v>
      </c>
      <c r="V535" s="98" t="s">
        <v>50</v>
      </c>
      <c r="W535" s="98" t="s">
        <v>50</v>
      </c>
      <c r="X535" s="98" t="s">
        <v>50</v>
      </c>
      <c r="Y535" s="622" t="s">
        <v>139</v>
      </c>
    </row>
    <row r="536" spans="1:25" s="98" customFormat="1" x14ac:dyDescent="0.25">
      <c r="A536" s="194">
        <v>43894</v>
      </c>
      <c r="B536" s="98" t="s">
        <v>915</v>
      </c>
      <c r="C536" s="98" t="s">
        <v>126</v>
      </c>
      <c r="D536" s="98">
        <v>38.332529999999998</v>
      </c>
      <c r="E536" s="98">
        <v>-121.66744</v>
      </c>
      <c r="F536" s="98" t="s">
        <v>3131</v>
      </c>
      <c r="G536" s="98" t="s">
        <v>90</v>
      </c>
      <c r="H536" s="98" t="s">
        <v>845</v>
      </c>
      <c r="I536" s="621">
        <v>0.32847222222222222</v>
      </c>
      <c r="J536" s="100">
        <v>703.25</v>
      </c>
      <c r="K536" s="100">
        <v>13.875</v>
      </c>
      <c r="L536" s="100">
        <v>9.16</v>
      </c>
      <c r="M536" s="100">
        <v>1.1850000000000001</v>
      </c>
      <c r="N536" s="100">
        <v>5.3000000000000007</v>
      </c>
      <c r="O536" s="98" t="s">
        <v>48</v>
      </c>
      <c r="P536" s="98">
        <v>4</v>
      </c>
      <c r="Q536" s="98">
        <v>10</v>
      </c>
      <c r="R536" s="98" t="s">
        <v>64</v>
      </c>
      <c r="S536" s="98" t="s">
        <v>50</v>
      </c>
      <c r="T536" s="98" t="s">
        <v>50</v>
      </c>
      <c r="U536" s="98" t="s">
        <v>50</v>
      </c>
      <c r="V536" s="98" t="s">
        <v>50</v>
      </c>
      <c r="W536" s="98" t="s">
        <v>50</v>
      </c>
      <c r="X536" s="98" t="s">
        <v>50</v>
      </c>
      <c r="Y536" s="622"/>
    </row>
    <row r="537" spans="1:25" s="98" customFormat="1" x14ac:dyDescent="0.25">
      <c r="A537" s="194">
        <v>43894</v>
      </c>
      <c r="B537" s="98" t="s">
        <v>915</v>
      </c>
      <c r="C537" s="98" t="s">
        <v>126</v>
      </c>
      <c r="D537" s="98">
        <v>38.269930000000002</v>
      </c>
      <c r="E537" s="98">
        <v>-121.66858000000001</v>
      </c>
      <c r="F537" s="98" t="s">
        <v>3132</v>
      </c>
      <c r="G537" s="98" t="s">
        <v>90</v>
      </c>
      <c r="H537" s="98" t="s">
        <v>845</v>
      </c>
      <c r="I537" s="621">
        <v>0.38125000000000003</v>
      </c>
      <c r="J537" s="100">
        <v>266.25</v>
      </c>
      <c r="K537" s="100">
        <v>13.25</v>
      </c>
      <c r="L537" s="100">
        <v>6.6674999999999995</v>
      </c>
      <c r="M537" s="100">
        <v>1.7625000000000002</v>
      </c>
      <c r="N537" s="100">
        <v>6.6</v>
      </c>
      <c r="O537" s="98" t="s">
        <v>48</v>
      </c>
      <c r="P537" s="98">
        <v>4</v>
      </c>
      <c r="Q537" s="98">
        <v>10</v>
      </c>
      <c r="R537" s="98" t="s">
        <v>64</v>
      </c>
      <c r="S537" s="98" t="s">
        <v>50</v>
      </c>
      <c r="T537" s="98" t="s">
        <v>50</v>
      </c>
      <c r="U537" s="98" t="s">
        <v>50</v>
      </c>
      <c r="V537" s="98" t="s">
        <v>50</v>
      </c>
      <c r="W537" s="98" t="s">
        <v>50</v>
      </c>
      <c r="X537" s="98" t="s">
        <v>50</v>
      </c>
      <c r="Y537" s="622"/>
    </row>
    <row r="538" spans="1:25" s="98" customFormat="1" x14ac:dyDescent="0.25">
      <c r="A538" s="194">
        <v>43894</v>
      </c>
      <c r="B538" s="98" t="s">
        <v>915</v>
      </c>
      <c r="C538" s="98" t="s">
        <v>126</v>
      </c>
      <c r="D538" s="98">
        <v>38.246780000000001</v>
      </c>
      <c r="E538" s="98">
        <v>-121.70035</v>
      </c>
      <c r="F538" s="98" t="s">
        <v>3133</v>
      </c>
      <c r="G538" s="98" t="s">
        <v>90</v>
      </c>
      <c r="H538" s="98" t="s">
        <v>845</v>
      </c>
      <c r="I538" s="621">
        <v>0.43124999999999997</v>
      </c>
      <c r="J538" s="100">
        <v>225.375</v>
      </c>
      <c r="K538" s="100">
        <v>13.4</v>
      </c>
      <c r="L538" s="100">
        <v>7.5274999999999999</v>
      </c>
      <c r="M538" s="100">
        <v>1.8</v>
      </c>
      <c r="N538" s="100">
        <v>4.75</v>
      </c>
      <c r="O538" s="98" t="s">
        <v>48</v>
      </c>
      <c r="P538" s="98">
        <v>4</v>
      </c>
      <c r="Q538" s="98">
        <v>10</v>
      </c>
      <c r="R538" s="98" t="s">
        <v>64</v>
      </c>
      <c r="S538" s="98" t="s">
        <v>50</v>
      </c>
      <c r="T538" s="98" t="s">
        <v>50</v>
      </c>
      <c r="U538" s="98" t="s">
        <v>50</v>
      </c>
      <c r="V538" s="98" t="s">
        <v>50</v>
      </c>
      <c r="W538" s="98" t="s">
        <v>50</v>
      </c>
      <c r="X538" s="98" t="s">
        <v>50</v>
      </c>
      <c r="Y538" s="622"/>
    </row>
    <row r="539" spans="1:25" s="98" customFormat="1" x14ac:dyDescent="0.25">
      <c r="A539" s="194">
        <v>43894</v>
      </c>
      <c r="B539" s="98" t="s">
        <v>915</v>
      </c>
      <c r="C539" s="98" t="s">
        <v>88</v>
      </c>
      <c r="D539" s="98">
        <v>38.161430000000003</v>
      </c>
      <c r="E539" s="98">
        <v>-121.67734</v>
      </c>
      <c r="F539" s="98" t="s">
        <v>3134</v>
      </c>
      <c r="G539" s="98" t="s">
        <v>90</v>
      </c>
      <c r="H539" s="98" t="s">
        <v>91</v>
      </c>
      <c r="I539" s="621">
        <v>0.48541666666666666</v>
      </c>
      <c r="J539" s="100">
        <v>213.95000000000002</v>
      </c>
      <c r="K539" s="100">
        <v>13.649999999999999</v>
      </c>
      <c r="L539" s="100">
        <v>4.4450000000000003</v>
      </c>
      <c r="M539" s="100">
        <v>1.8</v>
      </c>
      <c r="N539" s="100">
        <v>7.125</v>
      </c>
      <c r="O539" s="98" t="s">
        <v>48</v>
      </c>
      <c r="P539" s="98">
        <v>4</v>
      </c>
      <c r="Q539" s="98">
        <v>10</v>
      </c>
      <c r="R539" s="98" t="s">
        <v>49</v>
      </c>
      <c r="S539" s="98" t="s">
        <v>50</v>
      </c>
      <c r="T539" s="98" t="s">
        <v>50</v>
      </c>
      <c r="U539" s="98" t="s">
        <v>50</v>
      </c>
      <c r="V539" s="98" t="s">
        <v>50</v>
      </c>
      <c r="W539" s="98" t="s">
        <v>50</v>
      </c>
      <c r="X539" s="98" t="s">
        <v>50</v>
      </c>
      <c r="Y539" s="622"/>
    </row>
    <row r="540" spans="1:25" s="98" customFormat="1" x14ac:dyDescent="0.25">
      <c r="A540" s="194">
        <v>43895</v>
      </c>
      <c r="B540" s="98" t="s">
        <v>876</v>
      </c>
      <c r="C540" s="98" t="s">
        <v>44</v>
      </c>
      <c r="D540" s="98">
        <v>38.027450000000002</v>
      </c>
      <c r="E540" s="98">
        <v>-121.52343999999999</v>
      </c>
      <c r="F540" s="98" t="s">
        <v>3135</v>
      </c>
      <c r="G540" s="98" t="s">
        <v>46</v>
      </c>
      <c r="H540" s="98" t="s">
        <v>59</v>
      </c>
      <c r="I540" s="621">
        <v>0.30833333333333335</v>
      </c>
      <c r="J540" s="100">
        <v>398.45000000000005</v>
      </c>
      <c r="K540" s="100">
        <v>13.9</v>
      </c>
      <c r="L540" s="100">
        <v>3.64</v>
      </c>
      <c r="M540" s="100">
        <v>1.8</v>
      </c>
      <c r="N540" s="100">
        <v>7.9749999999999996</v>
      </c>
      <c r="O540" s="98" t="s">
        <v>48</v>
      </c>
      <c r="P540" s="98">
        <v>4</v>
      </c>
      <c r="Q540" s="98">
        <v>10</v>
      </c>
      <c r="R540" s="98" t="s">
        <v>49</v>
      </c>
      <c r="S540" s="98" t="s">
        <v>50</v>
      </c>
      <c r="T540" s="98" t="s">
        <v>50</v>
      </c>
      <c r="U540" s="98" t="s">
        <v>50</v>
      </c>
      <c r="V540" s="98" t="s">
        <v>50</v>
      </c>
      <c r="W540" s="98" t="s">
        <v>50</v>
      </c>
      <c r="X540" s="98" t="s">
        <v>50</v>
      </c>
      <c r="Y540" s="622"/>
    </row>
    <row r="541" spans="1:25" s="98" customFormat="1" x14ac:dyDescent="0.25">
      <c r="A541" s="194">
        <v>43895</v>
      </c>
      <c r="B541" s="98" t="s">
        <v>876</v>
      </c>
      <c r="C541" s="98" t="s">
        <v>44</v>
      </c>
      <c r="D541" s="98">
        <v>37.978549999999998</v>
      </c>
      <c r="E541" s="98">
        <v>-121.52976</v>
      </c>
      <c r="F541" s="98" t="s">
        <v>3136</v>
      </c>
      <c r="G541" s="98" t="s">
        <v>46</v>
      </c>
      <c r="H541" s="98" t="s">
        <v>59</v>
      </c>
      <c r="I541" s="621">
        <v>0.36041666666666666</v>
      </c>
      <c r="J541" s="100">
        <v>430.82499999999999</v>
      </c>
      <c r="K541" s="100">
        <v>13.55</v>
      </c>
      <c r="L541" s="100">
        <v>3.7675000000000001</v>
      </c>
      <c r="M541" s="100">
        <v>1.9875</v>
      </c>
      <c r="N541" s="100">
        <v>4.45</v>
      </c>
      <c r="O541" s="98" t="s">
        <v>48</v>
      </c>
      <c r="P541" s="98">
        <v>4</v>
      </c>
      <c r="Q541" s="98">
        <v>10</v>
      </c>
      <c r="R541" s="98" t="s">
        <v>64</v>
      </c>
      <c r="S541" s="98" t="s">
        <v>50</v>
      </c>
      <c r="T541" s="98" t="s">
        <v>50</v>
      </c>
      <c r="U541" s="98" t="s">
        <v>50</v>
      </c>
      <c r="V541" s="98" t="s">
        <v>50</v>
      </c>
      <c r="W541" s="98" t="s">
        <v>50</v>
      </c>
      <c r="X541" s="98" t="s">
        <v>50</v>
      </c>
      <c r="Y541" s="622"/>
    </row>
    <row r="542" spans="1:25" s="98" customFormat="1" x14ac:dyDescent="0.25">
      <c r="A542" s="194">
        <v>43895</v>
      </c>
      <c r="B542" s="98" t="s">
        <v>876</v>
      </c>
      <c r="C542" s="98" t="s">
        <v>44</v>
      </c>
      <c r="D542" s="98">
        <v>38.029299999999999</v>
      </c>
      <c r="E542" s="98">
        <v>-121.60534</v>
      </c>
      <c r="F542" s="98" t="s">
        <v>3137</v>
      </c>
      <c r="G542" s="98" t="s">
        <v>46</v>
      </c>
      <c r="H542" s="98" t="s">
        <v>47</v>
      </c>
      <c r="I542" s="621">
        <v>0.42152777777777778</v>
      </c>
      <c r="J542" s="100">
        <v>320.45</v>
      </c>
      <c r="K542" s="100">
        <v>13.799999999999999</v>
      </c>
      <c r="L542" s="100">
        <v>8.7775000000000016</v>
      </c>
      <c r="M542" s="100">
        <v>1.0225</v>
      </c>
      <c r="N542" s="100">
        <v>2.8250000000000002</v>
      </c>
      <c r="O542" s="98" t="s">
        <v>48</v>
      </c>
      <c r="P542" s="98">
        <v>4</v>
      </c>
      <c r="Q542" s="98">
        <v>10</v>
      </c>
      <c r="R542" s="98" t="s">
        <v>64</v>
      </c>
      <c r="S542" s="98" t="s">
        <v>50</v>
      </c>
      <c r="T542" s="98" t="s">
        <v>50</v>
      </c>
      <c r="U542" s="98" t="s">
        <v>50</v>
      </c>
      <c r="V542" s="98" t="s">
        <v>50</v>
      </c>
      <c r="W542" s="98" t="s">
        <v>50</v>
      </c>
      <c r="X542" s="98" t="s">
        <v>50</v>
      </c>
      <c r="Y542" s="622"/>
    </row>
    <row r="543" spans="1:25" s="646" customFormat="1" x14ac:dyDescent="0.25">
      <c r="A543" s="645">
        <v>43895</v>
      </c>
      <c r="B543" s="646" t="s">
        <v>876</v>
      </c>
      <c r="C543" s="646" t="s">
        <v>118</v>
      </c>
      <c r="D543" s="646">
        <v>38.063070000000003</v>
      </c>
      <c r="E543" s="646">
        <v>-122.31663</v>
      </c>
      <c r="F543" s="646" t="s">
        <v>3138</v>
      </c>
      <c r="G543" s="678" t="s">
        <v>80</v>
      </c>
      <c r="H543" s="646" t="s">
        <v>123</v>
      </c>
      <c r="I543" s="678">
        <v>0.31319444444444444</v>
      </c>
      <c r="J543" s="648">
        <v>36448.75</v>
      </c>
      <c r="K543" s="648">
        <v>13.025</v>
      </c>
      <c r="L543" s="648">
        <v>13.15</v>
      </c>
      <c r="M543" s="648">
        <v>0.745</v>
      </c>
      <c r="N543" s="648">
        <v>4.1750000000000007</v>
      </c>
      <c r="O543" s="646" t="s">
        <v>48</v>
      </c>
      <c r="P543" s="646">
        <v>4</v>
      </c>
      <c r="Q543" s="646">
        <v>10</v>
      </c>
      <c r="R543" s="646" t="s">
        <v>64</v>
      </c>
      <c r="S543" s="667" t="s">
        <v>449</v>
      </c>
      <c r="T543" s="646">
        <v>1</v>
      </c>
      <c r="U543" s="646">
        <v>225</v>
      </c>
      <c r="V543" s="646" t="s">
        <v>50</v>
      </c>
      <c r="W543" s="646">
        <v>5</v>
      </c>
      <c r="X543" s="646" t="s">
        <v>2525</v>
      </c>
      <c r="Y543" s="668" t="s">
        <v>564</v>
      </c>
    </row>
    <row r="544" spans="1:25" s="98" customFormat="1" x14ac:dyDescent="0.25">
      <c r="A544" s="194">
        <v>43895</v>
      </c>
      <c r="B544" s="98" t="s">
        <v>876</v>
      </c>
      <c r="C544" s="98" t="s">
        <v>118</v>
      </c>
      <c r="D544" s="98">
        <v>38.047139999999999</v>
      </c>
      <c r="E544" s="98">
        <v>-122.28948</v>
      </c>
      <c r="F544" s="98" t="s">
        <v>3139</v>
      </c>
      <c r="G544" s="98" t="s">
        <v>80</v>
      </c>
      <c r="H544" s="98" t="s">
        <v>123</v>
      </c>
      <c r="I544" s="621">
        <v>0.37291666666666662</v>
      </c>
      <c r="J544" s="100">
        <v>37706.5</v>
      </c>
      <c r="K544" s="100">
        <v>13.175000000000001</v>
      </c>
      <c r="L544" s="100">
        <v>13.7</v>
      </c>
      <c r="M544" s="100">
        <v>0.82</v>
      </c>
      <c r="N544" s="100">
        <v>7.5250000000000004</v>
      </c>
      <c r="O544" s="98" t="s">
        <v>48</v>
      </c>
      <c r="P544" s="98">
        <v>4</v>
      </c>
      <c r="Q544" s="98">
        <v>10</v>
      </c>
      <c r="R544" s="98" t="s">
        <v>64</v>
      </c>
      <c r="S544" s="98" t="s">
        <v>50</v>
      </c>
      <c r="T544" s="98" t="s">
        <v>50</v>
      </c>
      <c r="U544" s="98" t="s">
        <v>50</v>
      </c>
      <c r="V544" s="98" t="s">
        <v>50</v>
      </c>
      <c r="W544" s="98" t="s">
        <v>50</v>
      </c>
      <c r="X544" s="98" t="s">
        <v>50</v>
      </c>
      <c r="Y544" s="622"/>
    </row>
    <row r="545" spans="1:25" s="98" customFormat="1" x14ac:dyDescent="0.25">
      <c r="A545" s="194">
        <v>43895</v>
      </c>
      <c r="B545" s="98" t="s">
        <v>876</v>
      </c>
      <c r="C545" s="98" t="s">
        <v>118</v>
      </c>
      <c r="D545" s="98">
        <v>38.032170000000001</v>
      </c>
      <c r="E545" s="98">
        <v>-122.16737000000001</v>
      </c>
      <c r="F545" s="98" t="s">
        <v>3140</v>
      </c>
      <c r="G545" s="98" t="s">
        <v>80</v>
      </c>
      <c r="H545" s="98" t="s">
        <v>120</v>
      </c>
      <c r="I545" s="621">
        <v>0.43263888888888885</v>
      </c>
      <c r="J545" s="100">
        <v>29705</v>
      </c>
      <c r="K545" s="100">
        <v>13.575000000000001</v>
      </c>
      <c r="L545" s="100">
        <v>10.817499999999999</v>
      </c>
      <c r="M545" s="100">
        <v>0.99</v>
      </c>
      <c r="N545" s="100">
        <v>21.375</v>
      </c>
      <c r="O545" s="98" t="s">
        <v>48</v>
      </c>
      <c r="P545" s="98">
        <v>4</v>
      </c>
      <c r="Q545" s="98">
        <v>10</v>
      </c>
      <c r="R545" s="98" t="s">
        <v>64</v>
      </c>
      <c r="S545" s="98" t="s">
        <v>50</v>
      </c>
      <c r="T545" s="98" t="s">
        <v>50</v>
      </c>
      <c r="U545" s="98" t="s">
        <v>50</v>
      </c>
      <c r="V545" s="98" t="s">
        <v>50</v>
      </c>
      <c r="W545" s="98" t="s">
        <v>50</v>
      </c>
      <c r="X545" s="98" t="s">
        <v>50</v>
      </c>
      <c r="Y545" s="622"/>
    </row>
    <row r="546" spans="1:25" s="646" customFormat="1" x14ac:dyDescent="0.25">
      <c r="A546" s="645">
        <v>43895</v>
      </c>
      <c r="B546" s="646" t="s">
        <v>876</v>
      </c>
      <c r="C546" s="646" t="s">
        <v>106</v>
      </c>
      <c r="D546" s="646">
        <v>38.323070000000001</v>
      </c>
      <c r="E546" s="646">
        <v>-121.64985</v>
      </c>
      <c r="F546" s="646" t="s">
        <v>3141</v>
      </c>
      <c r="G546" s="646" t="s">
        <v>90</v>
      </c>
      <c r="H546" s="646" t="s">
        <v>362</v>
      </c>
      <c r="I546" s="647">
        <v>0.34652777777777777</v>
      </c>
      <c r="J546" s="648">
        <v>341.32499999999999</v>
      </c>
      <c r="K546" s="648">
        <v>13.25</v>
      </c>
      <c r="L546" s="648">
        <v>11.574999999999999</v>
      </c>
      <c r="M546" s="648">
        <v>0.9325</v>
      </c>
      <c r="N546" s="648">
        <v>10.925000000000001</v>
      </c>
      <c r="O546" s="646" t="s">
        <v>48</v>
      </c>
      <c r="P546" s="646">
        <v>4</v>
      </c>
      <c r="Q546" s="646">
        <v>10</v>
      </c>
      <c r="R546" s="646" t="s">
        <v>64</v>
      </c>
      <c r="S546" s="667" t="s">
        <v>449</v>
      </c>
      <c r="T546" s="646">
        <v>1</v>
      </c>
      <c r="U546" s="646">
        <v>231</v>
      </c>
      <c r="V546" s="646" t="s">
        <v>50</v>
      </c>
      <c r="W546" s="646">
        <v>5</v>
      </c>
      <c r="X546" s="646" t="s">
        <v>2525</v>
      </c>
      <c r="Y546" s="668" t="s">
        <v>564</v>
      </c>
    </row>
    <row r="547" spans="1:25" s="592" customFormat="1" x14ac:dyDescent="0.25">
      <c r="A547" s="590">
        <v>43895</v>
      </c>
      <c r="B547" s="592" t="s">
        <v>876</v>
      </c>
      <c r="C547" s="592" t="s">
        <v>106</v>
      </c>
      <c r="D547" s="592">
        <v>38.420119999999997</v>
      </c>
      <c r="E547" s="592">
        <v>-121.60818999999999</v>
      </c>
      <c r="F547" s="592" t="s">
        <v>3142</v>
      </c>
      <c r="G547" s="592" t="s">
        <v>90</v>
      </c>
      <c r="H547" s="592" t="s">
        <v>362</v>
      </c>
      <c r="I547" s="619">
        <v>0.40277777777777773</v>
      </c>
      <c r="J547" s="593">
        <v>570.96666666666658</v>
      </c>
      <c r="K547" s="593">
        <v>12.833333333333334</v>
      </c>
      <c r="L547" s="593">
        <v>31.2</v>
      </c>
      <c r="M547" s="593">
        <v>0.38666666666666671</v>
      </c>
      <c r="N547" s="593">
        <v>9.8333333333333339</v>
      </c>
      <c r="O547" s="592" t="s">
        <v>48</v>
      </c>
      <c r="P547" s="592">
        <v>3</v>
      </c>
      <c r="Q547" s="592">
        <v>10</v>
      </c>
      <c r="R547" s="592" t="s">
        <v>64</v>
      </c>
      <c r="S547" s="592" t="s">
        <v>323</v>
      </c>
      <c r="T547" s="592">
        <v>1</v>
      </c>
      <c r="U547" s="592">
        <v>70</v>
      </c>
      <c r="V547" s="592" t="s">
        <v>66</v>
      </c>
      <c r="W547" s="592" t="s">
        <v>50</v>
      </c>
      <c r="X547" s="592" t="s">
        <v>50</v>
      </c>
      <c r="Y547" s="669"/>
    </row>
    <row r="548" spans="1:25" s="362" customFormat="1" x14ac:dyDescent="0.25">
      <c r="A548" s="360">
        <v>43895</v>
      </c>
      <c r="B548" s="362" t="s">
        <v>876</v>
      </c>
      <c r="C548" s="362" t="s">
        <v>106</v>
      </c>
      <c r="D548" s="362">
        <v>38.470379999999999</v>
      </c>
      <c r="E548" s="362">
        <v>-121.58487</v>
      </c>
      <c r="F548" s="362" t="s">
        <v>3143</v>
      </c>
      <c r="G548" s="362" t="s">
        <v>90</v>
      </c>
      <c r="H548" s="362" t="s">
        <v>362</v>
      </c>
      <c r="I548" s="618">
        <v>0.44722222222222219</v>
      </c>
      <c r="J548" s="364">
        <v>741.25</v>
      </c>
      <c r="K548" s="364">
        <v>12.75</v>
      </c>
      <c r="L548" s="364">
        <v>29.175000000000001</v>
      </c>
      <c r="M548" s="364">
        <v>0.4325</v>
      </c>
      <c r="N548" s="364">
        <v>11.225</v>
      </c>
      <c r="O548" s="362" t="s">
        <v>48</v>
      </c>
      <c r="P548" s="362">
        <v>4</v>
      </c>
      <c r="Q548" s="362">
        <v>10</v>
      </c>
      <c r="R548" s="362" t="s">
        <v>64</v>
      </c>
      <c r="S548" s="362" t="s">
        <v>50</v>
      </c>
      <c r="T548" s="362" t="s">
        <v>50</v>
      </c>
      <c r="U548" s="362" t="s">
        <v>50</v>
      </c>
      <c r="V548" s="362" t="s">
        <v>50</v>
      </c>
      <c r="W548" s="362" t="s">
        <v>50</v>
      </c>
      <c r="X548" s="362" t="s">
        <v>50</v>
      </c>
      <c r="Y548" s="603"/>
    </row>
    <row r="549" spans="1:25" s="98" customFormat="1" x14ac:dyDescent="0.25">
      <c r="A549" s="194">
        <v>43899</v>
      </c>
      <c r="B549" s="98" t="s">
        <v>43</v>
      </c>
      <c r="C549" s="98" t="s">
        <v>88</v>
      </c>
      <c r="D549" s="98">
        <v>38.079650000000001</v>
      </c>
      <c r="E549" s="98">
        <v>-121.75969000000001</v>
      </c>
      <c r="F549" s="98" t="s">
        <v>3144</v>
      </c>
      <c r="G549" s="98" t="s">
        <v>27</v>
      </c>
      <c r="H549" s="98" t="s">
        <v>25</v>
      </c>
      <c r="I549" s="621">
        <v>0.32708333333333334</v>
      </c>
      <c r="J549" s="100">
        <v>348.29999999999995</v>
      </c>
      <c r="K549" s="100">
        <v>13.5</v>
      </c>
      <c r="L549" s="100">
        <v>18.2</v>
      </c>
      <c r="M549" s="100">
        <v>0.73249999999999993</v>
      </c>
      <c r="N549" s="100">
        <v>9.1499999999999986</v>
      </c>
      <c r="O549" s="98" t="s">
        <v>48</v>
      </c>
      <c r="P549" s="98">
        <v>4</v>
      </c>
      <c r="Q549" s="98">
        <v>10</v>
      </c>
      <c r="R549" s="98" t="s">
        <v>49</v>
      </c>
      <c r="S549" s="98" t="s">
        <v>50</v>
      </c>
      <c r="T549" s="98" t="s">
        <v>50</v>
      </c>
      <c r="U549" s="98" t="s">
        <v>50</v>
      </c>
      <c r="V549" s="98" t="s">
        <v>50</v>
      </c>
      <c r="W549" s="98" t="s">
        <v>50</v>
      </c>
      <c r="X549" s="98" t="s">
        <v>50</v>
      </c>
      <c r="Y549" s="622"/>
    </row>
    <row r="550" spans="1:25" s="98" customFormat="1" x14ac:dyDescent="0.25">
      <c r="A550" s="194">
        <v>43899</v>
      </c>
      <c r="B550" s="98" t="s">
        <v>43</v>
      </c>
      <c r="C550" s="98" t="s">
        <v>88</v>
      </c>
      <c r="D550" s="98">
        <v>38.12735</v>
      </c>
      <c r="E550" s="98">
        <v>-121.68917</v>
      </c>
      <c r="F550" s="98" t="s">
        <v>3145</v>
      </c>
      <c r="G550" s="98" t="s">
        <v>90</v>
      </c>
      <c r="H550" s="98" t="s">
        <v>91</v>
      </c>
      <c r="I550" s="621">
        <v>0.37847222222222227</v>
      </c>
      <c r="J550" s="100">
        <v>225.22499999999999</v>
      </c>
      <c r="K550" s="100">
        <v>13.55</v>
      </c>
      <c r="L550" s="100">
        <v>12.700000000000001</v>
      </c>
      <c r="M550" s="100">
        <v>1.0899999999999999</v>
      </c>
      <c r="N550" s="100">
        <v>2.8</v>
      </c>
      <c r="O550" s="98" t="s">
        <v>48</v>
      </c>
      <c r="P550" s="98">
        <v>4</v>
      </c>
      <c r="Q550" s="98">
        <v>10</v>
      </c>
      <c r="R550" s="98" t="s">
        <v>49</v>
      </c>
      <c r="S550" s="98" t="s">
        <v>50</v>
      </c>
      <c r="T550" s="98" t="s">
        <v>50</v>
      </c>
      <c r="U550" s="98" t="s">
        <v>50</v>
      </c>
      <c r="V550" s="98" t="s">
        <v>50</v>
      </c>
      <c r="W550" s="98" t="s">
        <v>50</v>
      </c>
      <c r="X550" s="98" t="s">
        <v>50</v>
      </c>
      <c r="Y550" s="622"/>
    </row>
    <row r="551" spans="1:25" s="98" customFormat="1" x14ac:dyDescent="0.25">
      <c r="A551" s="194">
        <v>43899</v>
      </c>
      <c r="B551" s="98" t="s">
        <v>43</v>
      </c>
      <c r="C551" s="98" t="s">
        <v>88</v>
      </c>
      <c r="D551" s="98">
        <v>38.157429999999998</v>
      </c>
      <c r="E551" s="98">
        <v>-121.68692</v>
      </c>
      <c r="F551" s="98" t="s">
        <v>3146</v>
      </c>
      <c r="G551" s="98" t="s">
        <v>90</v>
      </c>
      <c r="H551" s="98" t="s">
        <v>91</v>
      </c>
      <c r="I551" s="621">
        <v>0.43124999999999997</v>
      </c>
      <c r="J551" s="100">
        <v>232.125</v>
      </c>
      <c r="K551" s="100">
        <v>13.8</v>
      </c>
      <c r="L551" s="100">
        <v>10.2875</v>
      </c>
      <c r="M551" s="100">
        <v>1.3125</v>
      </c>
      <c r="N551" s="100">
        <v>8.8500000000000014</v>
      </c>
      <c r="O551" s="98" t="s">
        <v>48</v>
      </c>
      <c r="P551" s="98">
        <v>4</v>
      </c>
      <c r="Q551" s="98">
        <v>10</v>
      </c>
      <c r="R551" s="98" t="s">
        <v>49</v>
      </c>
      <c r="S551" s="98" t="s">
        <v>50</v>
      </c>
      <c r="T551" s="98" t="s">
        <v>50</v>
      </c>
      <c r="U551" s="98" t="s">
        <v>50</v>
      </c>
      <c r="V551" s="98" t="s">
        <v>50</v>
      </c>
      <c r="W551" s="98" t="s">
        <v>50</v>
      </c>
      <c r="X551" s="98" t="s">
        <v>50</v>
      </c>
      <c r="Y551" s="622"/>
    </row>
    <row r="552" spans="1:25" s="98" customFormat="1" x14ac:dyDescent="0.25">
      <c r="A552" s="194">
        <v>43899</v>
      </c>
      <c r="B552" s="98" t="s">
        <v>43</v>
      </c>
      <c r="C552" s="98" t="s">
        <v>44</v>
      </c>
      <c r="D552" s="98">
        <v>37.98986</v>
      </c>
      <c r="E552" s="98">
        <v>-121.51672000000001</v>
      </c>
      <c r="F552" s="98" t="s">
        <v>3147</v>
      </c>
      <c r="G552" s="98" t="s">
        <v>46</v>
      </c>
      <c r="H552" s="98" t="s">
        <v>59</v>
      </c>
      <c r="I552" s="621">
        <v>0.33055555555555555</v>
      </c>
      <c r="J552" s="100">
        <v>394.97500000000002</v>
      </c>
      <c r="K552" s="100">
        <v>13.95</v>
      </c>
      <c r="L552" s="100">
        <v>3.4550000000000001</v>
      </c>
      <c r="M552" s="100">
        <v>1.8</v>
      </c>
      <c r="N552" s="100">
        <v>4.1749999999999998</v>
      </c>
      <c r="O552" s="98" t="s">
        <v>48</v>
      </c>
      <c r="P552" s="98">
        <v>4</v>
      </c>
      <c r="Q552" s="98">
        <v>10</v>
      </c>
      <c r="R552" s="98" t="s">
        <v>64</v>
      </c>
      <c r="S552" s="98" t="s">
        <v>50</v>
      </c>
      <c r="T552" s="98" t="s">
        <v>50</v>
      </c>
      <c r="U552" s="98" t="s">
        <v>50</v>
      </c>
      <c r="V552" s="98" t="s">
        <v>50</v>
      </c>
      <c r="W552" s="98" t="s">
        <v>50</v>
      </c>
      <c r="X552" s="98" t="s">
        <v>50</v>
      </c>
      <c r="Y552" s="622"/>
    </row>
    <row r="553" spans="1:25" s="98" customFormat="1" x14ac:dyDescent="0.25">
      <c r="A553" s="194">
        <v>43899</v>
      </c>
      <c r="B553" s="98" t="s">
        <v>43</v>
      </c>
      <c r="C553" s="98" t="s">
        <v>44</v>
      </c>
      <c r="D553" s="98">
        <v>37.951500000000003</v>
      </c>
      <c r="E553" s="98">
        <v>-121.53285</v>
      </c>
      <c r="F553" s="98" t="s">
        <v>3148</v>
      </c>
      <c r="G553" s="98" t="s">
        <v>46</v>
      </c>
      <c r="H553" s="98" t="s">
        <v>56</v>
      </c>
      <c r="I553" s="621">
        <v>0.3888888888888889</v>
      </c>
      <c r="J553" s="100">
        <v>409.55</v>
      </c>
      <c r="K553" s="100">
        <v>13.875</v>
      </c>
      <c r="L553" s="100">
        <v>4.1649999999999991</v>
      </c>
      <c r="M553" s="100">
        <v>1.8</v>
      </c>
      <c r="N553" s="100">
        <v>6.75</v>
      </c>
      <c r="O553" s="98" t="s">
        <v>48</v>
      </c>
      <c r="P553" s="98">
        <v>4</v>
      </c>
      <c r="Q553" s="98">
        <v>10</v>
      </c>
      <c r="R553" s="98" t="s">
        <v>49</v>
      </c>
      <c r="S553" s="98" t="s">
        <v>50</v>
      </c>
      <c r="T553" s="98" t="s">
        <v>50</v>
      </c>
      <c r="U553" s="98" t="s">
        <v>50</v>
      </c>
      <c r="V553" s="98" t="s">
        <v>50</v>
      </c>
      <c r="W553" s="98" t="s">
        <v>50</v>
      </c>
      <c r="X553" s="98" t="s">
        <v>50</v>
      </c>
      <c r="Y553" s="622"/>
    </row>
    <row r="554" spans="1:25" s="98" customFormat="1" x14ac:dyDescent="0.25">
      <c r="A554" s="194">
        <v>43899</v>
      </c>
      <c r="B554" s="98" t="s">
        <v>43</v>
      </c>
      <c r="C554" s="98" t="s">
        <v>118</v>
      </c>
      <c r="D554" s="98">
        <v>38.044080000000001</v>
      </c>
      <c r="E554" s="98">
        <v>-122.28604</v>
      </c>
      <c r="F554" s="98" t="s">
        <v>3149</v>
      </c>
      <c r="G554" s="98" t="s">
        <v>80</v>
      </c>
      <c r="H554" s="98" t="s">
        <v>123</v>
      </c>
      <c r="I554" s="621">
        <v>0.38541666666666669</v>
      </c>
      <c r="J554" s="100">
        <v>33318</v>
      </c>
      <c r="K554" s="100">
        <v>13.249999999999998</v>
      </c>
      <c r="L554" s="100">
        <v>17.674999999999997</v>
      </c>
      <c r="M554" s="100">
        <v>0.65749999999999997</v>
      </c>
      <c r="N554" s="100">
        <v>3.7750000000000004</v>
      </c>
      <c r="O554" s="98" t="s">
        <v>48</v>
      </c>
      <c r="P554" s="98">
        <v>4</v>
      </c>
      <c r="Q554" s="98">
        <v>10</v>
      </c>
      <c r="R554" s="98" t="s">
        <v>64</v>
      </c>
      <c r="S554" s="98" t="s">
        <v>50</v>
      </c>
      <c r="T554" s="98" t="s">
        <v>50</v>
      </c>
      <c r="U554" s="98" t="s">
        <v>50</v>
      </c>
      <c r="V554" s="98" t="s">
        <v>50</v>
      </c>
      <c r="W554" s="98" t="s">
        <v>50</v>
      </c>
      <c r="X554" s="98" t="s">
        <v>50</v>
      </c>
      <c r="Y554" s="622"/>
    </row>
    <row r="555" spans="1:25" s="646" customFormat="1" x14ac:dyDescent="0.25">
      <c r="A555" s="645">
        <v>43899</v>
      </c>
      <c r="B555" s="646" t="s">
        <v>43</v>
      </c>
      <c r="C555" s="646" t="s">
        <v>118</v>
      </c>
      <c r="D555" s="646">
        <v>38.06521</v>
      </c>
      <c r="E555" s="646">
        <v>-122.24853</v>
      </c>
      <c r="F555" s="646" t="s">
        <v>3150</v>
      </c>
      <c r="G555" s="646" t="s">
        <v>80</v>
      </c>
      <c r="H555" s="646" t="s">
        <v>120</v>
      </c>
      <c r="I555" s="647">
        <v>0.44513888888888892</v>
      </c>
      <c r="J555" s="648">
        <v>25596.25</v>
      </c>
      <c r="K555" s="648">
        <v>13.6</v>
      </c>
      <c r="L555" s="648">
        <v>26.799999999999997</v>
      </c>
      <c r="M555" s="648">
        <v>0.60250000000000004</v>
      </c>
      <c r="N555" s="648">
        <v>15.2</v>
      </c>
      <c r="O555" s="646" t="s">
        <v>48</v>
      </c>
      <c r="P555" s="646">
        <v>4</v>
      </c>
      <c r="Q555" s="646">
        <v>10</v>
      </c>
      <c r="R555" s="646" t="s">
        <v>64</v>
      </c>
      <c r="S555" s="667" t="s">
        <v>758</v>
      </c>
      <c r="T555" s="646">
        <v>1</v>
      </c>
      <c r="U555" s="646">
        <v>112</v>
      </c>
      <c r="V555" s="646" t="s">
        <v>50</v>
      </c>
      <c r="W555" s="646">
        <v>5</v>
      </c>
      <c r="X555" s="646" t="s">
        <v>50</v>
      </c>
      <c r="Y555" s="668"/>
    </row>
    <row r="556" spans="1:25" s="98" customFormat="1" x14ac:dyDescent="0.25">
      <c r="A556" s="194">
        <v>43899</v>
      </c>
      <c r="B556" s="98" t="s">
        <v>43</v>
      </c>
      <c r="C556" s="98" t="s">
        <v>78</v>
      </c>
      <c r="D556" s="98">
        <v>38.067239999999998</v>
      </c>
      <c r="E556" s="98">
        <v>-122.08296</v>
      </c>
      <c r="F556" s="98" t="s">
        <v>3151</v>
      </c>
      <c r="G556" s="98" t="s">
        <v>80</v>
      </c>
      <c r="H556" s="98" t="s">
        <v>81</v>
      </c>
      <c r="I556" s="621">
        <v>0.50486111111111109</v>
      </c>
      <c r="J556" s="100">
        <v>16597</v>
      </c>
      <c r="K556" s="100">
        <v>13.599999999999998</v>
      </c>
      <c r="L556" s="100">
        <v>48.224999999999994</v>
      </c>
      <c r="M556" s="100">
        <v>0.34750000000000003</v>
      </c>
      <c r="N556" s="100">
        <v>6.0250000000000004</v>
      </c>
      <c r="O556" s="98" t="s">
        <v>48</v>
      </c>
      <c r="P556" s="98">
        <v>4</v>
      </c>
      <c r="Q556" s="98">
        <v>10</v>
      </c>
      <c r="R556" s="98" t="s">
        <v>64</v>
      </c>
      <c r="S556" s="98" t="s">
        <v>50</v>
      </c>
      <c r="T556" s="98" t="s">
        <v>50</v>
      </c>
      <c r="U556" s="98" t="s">
        <v>50</v>
      </c>
      <c r="V556" s="98" t="s">
        <v>50</v>
      </c>
      <c r="W556" s="98" t="s">
        <v>50</v>
      </c>
      <c r="X556" s="98" t="s">
        <v>50</v>
      </c>
      <c r="Y556" s="622"/>
    </row>
    <row r="557" spans="1:25" s="98" customFormat="1" x14ac:dyDescent="0.25">
      <c r="A557" s="194">
        <v>43899</v>
      </c>
      <c r="B557" s="98" t="s">
        <v>43</v>
      </c>
      <c r="C557" s="98" t="s">
        <v>118</v>
      </c>
      <c r="D557" s="98">
        <v>38.027889999999999</v>
      </c>
      <c r="E557" s="98">
        <v>-122.15147</v>
      </c>
      <c r="F557" s="98" t="s">
        <v>3152</v>
      </c>
      <c r="G557" s="98" t="s">
        <v>80</v>
      </c>
      <c r="H557" s="98" t="s">
        <v>120</v>
      </c>
      <c r="I557" s="621">
        <v>0.55694444444444446</v>
      </c>
      <c r="J557" s="100">
        <v>25150.25</v>
      </c>
      <c r="K557" s="100">
        <v>13.524999999999999</v>
      </c>
      <c r="L557" s="100">
        <v>23.75</v>
      </c>
      <c r="M557" s="100">
        <v>0.55249999999999999</v>
      </c>
      <c r="N557" s="100">
        <v>17.524999999999999</v>
      </c>
      <c r="O557" s="98" t="s">
        <v>48</v>
      </c>
      <c r="P557" s="98">
        <v>4</v>
      </c>
      <c r="Q557" s="98">
        <v>10</v>
      </c>
      <c r="R557" s="98" t="s">
        <v>64</v>
      </c>
      <c r="S557" s="98" t="s">
        <v>50</v>
      </c>
      <c r="T557" s="98" t="s">
        <v>50</v>
      </c>
      <c r="U557" s="98" t="s">
        <v>50</v>
      </c>
      <c r="V557" s="98" t="s">
        <v>50</v>
      </c>
      <c r="W557" s="98" t="s">
        <v>50</v>
      </c>
      <c r="X557" s="98" t="s">
        <v>50</v>
      </c>
      <c r="Y557" s="622" t="s">
        <v>139</v>
      </c>
    </row>
    <row r="558" spans="1:25" s="98" customFormat="1" x14ac:dyDescent="0.25">
      <c r="A558" s="194">
        <v>43900</v>
      </c>
      <c r="B558" s="98" t="s">
        <v>849</v>
      </c>
      <c r="C558" s="98" t="s">
        <v>78</v>
      </c>
      <c r="D558" s="98">
        <v>38.025030000000001</v>
      </c>
      <c r="E558" s="98">
        <v>-121.81995999999999</v>
      </c>
      <c r="F558" s="98" t="s">
        <v>3153</v>
      </c>
      <c r="G558" s="98" t="s">
        <v>27</v>
      </c>
      <c r="H558" s="98" t="s">
        <v>101</v>
      </c>
      <c r="I558" s="621">
        <v>0.35625000000000001</v>
      </c>
      <c r="J558" s="100">
        <v>1596</v>
      </c>
      <c r="K558" s="100">
        <v>13.75</v>
      </c>
      <c r="L558" s="100">
        <v>36.375</v>
      </c>
      <c r="M558" s="100">
        <v>0.4975</v>
      </c>
      <c r="N558" s="100">
        <v>6.45</v>
      </c>
      <c r="O558" s="98" t="s">
        <v>48</v>
      </c>
      <c r="P558" s="98">
        <v>4</v>
      </c>
      <c r="Q558" s="98">
        <v>10</v>
      </c>
      <c r="R558" s="98" t="s">
        <v>49</v>
      </c>
      <c r="S558" s="98" t="s">
        <v>50</v>
      </c>
      <c r="T558" s="98" t="s">
        <v>50</v>
      </c>
      <c r="U558" s="98" t="s">
        <v>50</v>
      </c>
      <c r="V558" s="98" t="s">
        <v>50</v>
      </c>
      <c r="W558" s="98" t="s">
        <v>50</v>
      </c>
      <c r="X558" s="98" t="s">
        <v>50</v>
      </c>
      <c r="Y558" s="622"/>
    </row>
    <row r="559" spans="1:25" s="98" customFormat="1" x14ac:dyDescent="0.25">
      <c r="A559" s="194">
        <v>43900</v>
      </c>
      <c r="B559" s="98" t="s">
        <v>849</v>
      </c>
      <c r="C559" s="98" t="s">
        <v>78</v>
      </c>
      <c r="D559" s="98">
        <v>38.030369999999998</v>
      </c>
      <c r="E559" s="98">
        <v>-121.84854</v>
      </c>
      <c r="F559" s="98" t="s">
        <v>3154</v>
      </c>
      <c r="G559" s="98" t="s">
        <v>27</v>
      </c>
      <c r="H559" s="98" t="s">
        <v>101</v>
      </c>
      <c r="I559" s="621">
        <v>0.4055555555555555</v>
      </c>
      <c r="J559" s="100">
        <v>1677.75</v>
      </c>
      <c r="K559" s="100">
        <v>13.8</v>
      </c>
      <c r="L559" s="100">
        <v>28.524999999999999</v>
      </c>
      <c r="M559" s="100">
        <v>0.52249999999999996</v>
      </c>
      <c r="N559" s="100">
        <v>7.15</v>
      </c>
      <c r="O559" s="98" t="s">
        <v>48</v>
      </c>
      <c r="P559" s="98">
        <v>4</v>
      </c>
      <c r="Q559" s="98">
        <v>10</v>
      </c>
      <c r="R559" s="98" t="s">
        <v>49</v>
      </c>
      <c r="S559" s="98" t="s">
        <v>50</v>
      </c>
      <c r="T559" s="98" t="s">
        <v>50</v>
      </c>
      <c r="U559" s="98" t="s">
        <v>50</v>
      </c>
      <c r="V559" s="98" t="s">
        <v>50</v>
      </c>
      <c r="W559" s="98" t="s">
        <v>50</v>
      </c>
      <c r="X559" s="98" t="s">
        <v>50</v>
      </c>
      <c r="Y559" s="622"/>
    </row>
    <row r="560" spans="1:25" s="646" customFormat="1" x14ac:dyDescent="0.25">
      <c r="A560" s="645">
        <v>43900</v>
      </c>
      <c r="B560" s="646" t="s">
        <v>849</v>
      </c>
      <c r="C560" s="646" t="s">
        <v>78</v>
      </c>
      <c r="D560" s="646">
        <v>38.04636</v>
      </c>
      <c r="E560" s="646">
        <v>-121.92112</v>
      </c>
      <c r="F560" s="646" t="s">
        <v>3155</v>
      </c>
      <c r="G560" s="646" t="s">
        <v>27</v>
      </c>
      <c r="H560" s="646" t="s">
        <v>101</v>
      </c>
      <c r="I560" s="647">
        <v>0.47361111111111115</v>
      </c>
      <c r="J560" s="648">
        <v>3263.25</v>
      </c>
      <c r="K560" s="648">
        <v>13.75</v>
      </c>
      <c r="L560" s="648">
        <v>39.875</v>
      </c>
      <c r="M560" s="648">
        <v>0.4325</v>
      </c>
      <c r="N560" s="648">
        <v>17.899999999999999</v>
      </c>
      <c r="O560" s="646" t="s">
        <v>48</v>
      </c>
      <c r="P560" s="646">
        <v>4</v>
      </c>
      <c r="Q560" s="646">
        <v>10</v>
      </c>
      <c r="R560" s="646" t="s">
        <v>49</v>
      </c>
      <c r="S560" s="667" t="s">
        <v>758</v>
      </c>
      <c r="T560" s="646">
        <v>1</v>
      </c>
      <c r="U560" s="646">
        <v>107</v>
      </c>
      <c r="V560" s="646" t="s">
        <v>50</v>
      </c>
      <c r="W560" s="646">
        <v>4</v>
      </c>
      <c r="X560" s="646" t="s">
        <v>50</v>
      </c>
      <c r="Y560" s="668"/>
    </row>
    <row r="561" spans="1:27" s="646" customFormat="1" x14ac:dyDescent="0.25">
      <c r="A561" s="645">
        <v>43900</v>
      </c>
      <c r="B561" s="646" t="s">
        <v>849</v>
      </c>
      <c r="C561" s="646" t="s">
        <v>88</v>
      </c>
      <c r="D561" s="646">
        <v>38.057780000000001</v>
      </c>
      <c r="E561" s="646">
        <v>-121.79965</v>
      </c>
      <c r="F561" s="646" t="s">
        <v>3156</v>
      </c>
      <c r="G561" s="646" t="s">
        <v>27</v>
      </c>
      <c r="H561" s="646" t="s">
        <v>91</v>
      </c>
      <c r="I561" s="647">
        <v>0.34166666666666662</v>
      </c>
      <c r="J561" s="648">
        <v>1557.25</v>
      </c>
      <c r="K561" s="648">
        <v>13.5</v>
      </c>
      <c r="L561" s="648">
        <v>26.75</v>
      </c>
      <c r="M561" s="648">
        <v>0.47749999999999998</v>
      </c>
      <c r="N561" s="648">
        <v>8.7249999999999996</v>
      </c>
      <c r="O561" s="646" t="s">
        <v>48</v>
      </c>
      <c r="P561" s="646">
        <v>4</v>
      </c>
      <c r="Q561" s="646">
        <v>10</v>
      </c>
      <c r="R561" s="646" t="s">
        <v>49</v>
      </c>
      <c r="S561" s="667" t="s">
        <v>449</v>
      </c>
      <c r="T561" s="646">
        <v>1</v>
      </c>
      <c r="U561" s="646">
        <v>234</v>
      </c>
      <c r="V561" s="646" t="s">
        <v>50</v>
      </c>
      <c r="W561" s="646">
        <v>5</v>
      </c>
      <c r="X561" s="646" t="s">
        <v>2525</v>
      </c>
      <c r="Y561" s="668"/>
    </row>
    <row r="562" spans="1:27" s="646" customFormat="1" x14ac:dyDescent="0.25">
      <c r="A562" s="645">
        <v>43900</v>
      </c>
      <c r="B562" s="646" t="s">
        <v>849</v>
      </c>
      <c r="C562" s="646" t="s">
        <v>88</v>
      </c>
      <c r="D562" s="646">
        <v>38.061070000000001</v>
      </c>
      <c r="E562" s="646">
        <v>-121.79114</v>
      </c>
      <c r="F562" s="646" t="s">
        <v>3157</v>
      </c>
      <c r="G562" s="646" t="s">
        <v>27</v>
      </c>
      <c r="H562" s="646" t="s">
        <v>91</v>
      </c>
      <c r="I562" s="647">
        <v>0.39513888888888887</v>
      </c>
      <c r="J562" s="648">
        <v>584.125</v>
      </c>
      <c r="K562" s="648">
        <v>13.575000000000001</v>
      </c>
      <c r="L562" s="648">
        <v>19.575000000000003</v>
      </c>
      <c r="M562" s="648">
        <v>0.62249999999999994</v>
      </c>
      <c r="N562" s="648">
        <v>8.875</v>
      </c>
      <c r="O562" s="646" t="s">
        <v>48</v>
      </c>
      <c r="P562" s="646">
        <v>4</v>
      </c>
      <c r="Q562" s="646">
        <v>10</v>
      </c>
      <c r="R562" s="646" t="s">
        <v>49</v>
      </c>
      <c r="S562" s="667" t="s">
        <v>758</v>
      </c>
      <c r="T562" s="646">
        <v>1</v>
      </c>
      <c r="U562" s="646">
        <v>122</v>
      </c>
      <c r="V562" s="646" t="s">
        <v>50</v>
      </c>
      <c r="W562" s="646">
        <v>5</v>
      </c>
      <c r="X562" s="646" t="s">
        <v>50</v>
      </c>
      <c r="Y562" s="668"/>
    </row>
    <row r="563" spans="1:27" s="98" customFormat="1" x14ac:dyDescent="0.25">
      <c r="A563" s="194">
        <v>43900</v>
      </c>
      <c r="B563" s="98" t="s">
        <v>849</v>
      </c>
      <c r="C563" s="98" t="s">
        <v>88</v>
      </c>
      <c r="D563" s="98">
        <v>38.0687</v>
      </c>
      <c r="E563" s="98">
        <v>-121.77285999999999</v>
      </c>
      <c r="F563" s="98" t="s">
        <v>3158</v>
      </c>
      <c r="G563" s="98" t="s">
        <v>27</v>
      </c>
      <c r="H563" s="98" t="s">
        <v>91</v>
      </c>
      <c r="I563" s="621">
        <v>0.44305555555555554</v>
      </c>
      <c r="J563" s="100">
        <v>259.20000000000005</v>
      </c>
      <c r="K563" s="100">
        <v>13.625</v>
      </c>
      <c r="L563" s="100">
        <v>13.675000000000001</v>
      </c>
      <c r="M563" s="100">
        <v>0.84749999999999992</v>
      </c>
      <c r="N563" s="100">
        <v>8.1</v>
      </c>
      <c r="O563" s="98" t="s">
        <v>48</v>
      </c>
      <c r="P563" s="98">
        <v>4</v>
      </c>
      <c r="Q563" s="98">
        <v>10</v>
      </c>
      <c r="R563" s="98" t="s">
        <v>49</v>
      </c>
      <c r="S563" s="98" t="s">
        <v>50</v>
      </c>
      <c r="T563" s="98" t="s">
        <v>50</v>
      </c>
      <c r="U563" s="98" t="s">
        <v>50</v>
      </c>
      <c r="V563" s="98" t="s">
        <v>50</v>
      </c>
      <c r="W563" s="98" t="s">
        <v>50</v>
      </c>
      <c r="X563" s="98" t="s">
        <v>50</v>
      </c>
      <c r="Y563" s="622"/>
    </row>
    <row r="564" spans="1:27" s="98" customFormat="1" x14ac:dyDescent="0.25">
      <c r="A564" s="194">
        <v>43900</v>
      </c>
      <c r="B564" s="98" t="s">
        <v>849</v>
      </c>
      <c r="C564" s="98" t="s">
        <v>44</v>
      </c>
      <c r="D564" s="98">
        <v>38.069220000000001</v>
      </c>
      <c r="E564" s="98">
        <v>-121.57679</v>
      </c>
      <c r="F564" s="98" t="s">
        <v>3159</v>
      </c>
      <c r="G564" s="98" t="s">
        <v>46</v>
      </c>
      <c r="H564" s="98" t="s">
        <v>74</v>
      </c>
      <c r="I564" s="621">
        <v>0.3125</v>
      </c>
      <c r="J564" s="100">
        <v>311.07499999999999</v>
      </c>
      <c r="K564" s="100">
        <v>13.125</v>
      </c>
      <c r="L564" s="100">
        <v>6.9525000000000006</v>
      </c>
      <c r="M564" s="100">
        <v>1.5349999999999999</v>
      </c>
      <c r="N564" s="100">
        <v>6.15</v>
      </c>
      <c r="O564" s="98" t="s">
        <v>48</v>
      </c>
      <c r="P564" s="98">
        <v>4</v>
      </c>
      <c r="Q564" s="98">
        <v>10</v>
      </c>
      <c r="R564" s="98" t="s">
        <v>49</v>
      </c>
      <c r="S564" s="98" t="s">
        <v>50</v>
      </c>
      <c r="T564" s="98" t="s">
        <v>50</v>
      </c>
      <c r="U564" s="98" t="s">
        <v>50</v>
      </c>
      <c r="V564" s="98" t="s">
        <v>50</v>
      </c>
      <c r="W564" s="98" t="s">
        <v>50</v>
      </c>
      <c r="X564" s="98" t="s">
        <v>50</v>
      </c>
      <c r="Y564" s="622" t="s">
        <v>3160</v>
      </c>
    </row>
    <row r="565" spans="1:27" s="98" customFormat="1" x14ac:dyDescent="0.25">
      <c r="A565" s="194">
        <v>43900</v>
      </c>
      <c r="B565" s="98" t="s">
        <v>849</v>
      </c>
      <c r="C565" s="98" t="s">
        <v>44</v>
      </c>
      <c r="D565" s="98">
        <v>38.055959999999999</v>
      </c>
      <c r="E565" s="98">
        <v>-121.58139</v>
      </c>
      <c r="F565" s="98" t="s">
        <v>3161</v>
      </c>
      <c r="G565" s="98" t="s">
        <v>46</v>
      </c>
      <c r="H565" s="98" t="s">
        <v>74</v>
      </c>
      <c r="I565" s="621">
        <v>0.36458333333333331</v>
      </c>
      <c r="J565" s="100">
        <v>334.55</v>
      </c>
      <c r="K565" s="100">
        <v>13.975</v>
      </c>
      <c r="L565" s="100">
        <v>6.3425000000000002</v>
      </c>
      <c r="M565" s="100">
        <v>1.5249999999999999</v>
      </c>
      <c r="N565" s="100">
        <v>4.75</v>
      </c>
      <c r="O565" s="98" t="s">
        <v>48</v>
      </c>
      <c r="P565" s="98">
        <v>4</v>
      </c>
      <c r="Q565" s="98">
        <v>10</v>
      </c>
      <c r="R565" s="98" t="s">
        <v>49</v>
      </c>
      <c r="S565" s="98" t="s">
        <v>50</v>
      </c>
      <c r="T565" s="98" t="s">
        <v>50</v>
      </c>
      <c r="U565" s="98" t="s">
        <v>50</v>
      </c>
      <c r="V565" s="98" t="s">
        <v>50</v>
      </c>
      <c r="W565" s="98" t="s">
        <v>50</v>
      </c>
      <c r="X565" s="98" t="s">
        <v>50</v>
      </c>
      <c r="Y565" s="622"/>
    </row>
    <row r="566" spans="1:27" s="98" customFormat="1" x14ac:dyDescent="0.25">
      <c r="A566" s="194">
        <v>43900</v>
      </c>
      <c r="B566" s="98" t="s">
        <v>849</v>
      </c>
      <c r="C566" s="98" t="s">
        <v>44</v>
      </c>
      <c r="D566" s="98">
        <v>37.964309999999998</v>
      </c>
      <c r="E566" s="98">
        <v>-121.59891</v>
      </c>
      <c r="F566" s="98" t="s">
        <v>3162</v>
      </c>
      <c r="G566" s="98" t="s">
        <v>46</v>
      </c>
      <c r="H566" s="98" t="s">
        <v>423</v>
      </c>
      <c r="I566" s="621">
        <v>0.42708333333333331</v>
      </c>
      <c r="J566" s="100">
        <v>365.45000000000005</v>
      </c>
      <c r="K566" s="100">
        <v>14.149999999999999</v>
      </c>
      <c r="L566" s="100">
        <v>5.0024999999999995</v>
      </c>
      <c r="M566" s="100">
        <v>1.6524999999999999</v>
      </c>
      <c r="N566" s="100">
        <v>3.125</v>
      </c>
      <c r="O566" s="98" t="s">
        <v>48</v>
      </c>
      <c r="P566" s="98">
        <v>4</v>
      </c>
      <c r="Q566" s="98">
        <v>10</v>
      </c>
      <c r="R566" s="98" t="s">
        <v>49</v>
      </c>
      <c r="S566" s="98" t="s">
        <v>50</v>
      </c>
      <c r="T566" s="98" t="s">
        <v>50</v>
      </c>
      <c r="U566" s="98" t="s">
        <v>50</v>
      </c>
      <c r="V566" s="98" t="s">
        <v>50</v>
      </c>
      <c r="W566" s="98" t="s">
        <v>50</v>
      </c>
      <c r="X566" s="98" t="s">
        <v>50</v>
      </c>
      <c r="Y566" s="622"/>
    </row>
    <row r="567" spans="1:27" s="646" customFormat="1" x14ac:dyDescent="0.25">
      <c r="A567" s="645">
        <v>43901</v>
      </c>
      <c r="B567" s="646" t="s">
        <v>915</v>
      </c>
      <c r="C567" s="646" t="s">
        <v>78</v>
      </c>
      <c r="D567" s="646">
        <v>38.053489999999996</v>
      </c>
      <c r="E567" s="646">
        <v>-122.08579</v>
      </c>
      <c r="F567" s="646" t="s">
        <v>3163</v>
      </c>
      <c r="G567" s="646" t="s">
        <v>80</v>
      </c>
      <c r="H567" s="646" t="s">
        <v>81</v>
      </c>
      <c r="I567" s="647">
        <v>0.41875000000000001</v>
      </c>
      <c r="J567" s="648">
        <v>15741.5</v>
      </c>
      <c r="K567" s="648">
        <v>13.975</v>
      </c>
      <c r="L567" s="648">
        <v>44.624999999999993</v>
      </c>
      <c r="M567" s="648">
        <v>0.46749999999999997</v>
      </c>
      <c r="N567" s="648">
        <v>9.6</v>
      </c>
      <c r="O567" s="646" t="s">
        <v>48</v>
      </c>
      <c r="P567" s="646">
        <v>4</v>
      </c>
      <c r="Q567" s="646">
        <v>10</v>
      </c>
      <c r="R567" s="646" t="s">
        <v>49</v>
      </c>
      <c r="S567" s="667" t="s">
        <v>449</v>
      </c>
      <c r="T567" s="646">
        <v>2</v>
      </c>
      <c r="U567" s="646" t="s">
        <v>3164</v>
      </c>
      <c r="V567" s="646" t="s">
        <v>50</v>
      </c>
      <c r="W567" s="646">
        <v>5</v>
      </c>
      <c r="X567" s="646" t="s">
        <v>2525</v>
      </c>
      <c r="Y567" s="668" t="s">
        <v>3165</v>
      </c>
    </row>
    <row r="568" spans="1:27" s="646" customFormat="1" x14ac:dyDescent="0.25">
      <c r="A568" s="645">
        <v>43901</v>
      </c>
      <c r="B568" s="646" t="s">
        <v>915</v>
      </c>
      <c r="C568" s="646" t="s">
        <v>78</v>
      </c>
      <c r="D568" s="646">
        <v>38.058280000000003</v>
      </c>
      <c r="E568" s="646">
        <v>-122.03847</v>
      </c>
      <c r="F568" s="646" t="s">
        <v>3166</v>
      </c>
      <c r="G568" s="646" t="s">
        <v>27</v>
      </c>
      <c r="H568" s="646" t="s">
        <v>86</v>
      </c>
      <c r="I568" s="647">
        <v>0.47638888888888892</v>
      </c>
      <c r="J568" s="648">
        <v>11360.5</v>
      </c>
      <c r="K568" s="648">
        <v>14.074999999999999</v>
      </c>
      <c r="L568" s="648">
        <v>41.475000000000001</v>
      </c>
      <c r="M568" s="648">
        <v>0.38</v>
      </c>
      <c r="N568" s="648">
        <v>8.35</v>
      </c>
      <c r="O568" s="646" t="s">
        <v>48</v>
      </c>
      <c r="P568" s="646">
        <v>4</v>
      </c>
      <c r="Q568" s="646">
        <v>10</v>
      </c>
      <c r="R568" s="646" t="s">
        <v>49</v>
      </c>
      <c r="S568" s="667" t="s">
        <v>758</v>
      </c>
      <c r="T568" s="646">
        <v>1</v>
      </c>
      <c r="U568" s="646">
        <v>115</v>
      </c>
      <c r="V568" s="646" t="s">
        <v>50</v>
      </c>
      <c r="W568" s="646">
        <v>4</v>
      </c>
      <c r="X568" s="646" t="s">
        <v>50</v>
      </c>
      <c r="Y568" s="668" t="s">
        <v>2973</v>
      </c>
    </row>
    <row r="569" spans="1:27" s="646" customFormat="1" x14ac:dyDescent="0.25">
      <c r="A569" s="645">
        <v>43901</v>
      </c>
      <c r="B569" s="646" t="s">
        <v>915</v>
      </c>
      <c r="C569" s="646" t="s">
        <v>78</v>
      </c>
      <c r="D569" s="646">
        <v>38.058019999999999</v>
      </c>
      <c r="E569" s="646">
        <v>-121.92898</v>
      </c>
      <c r="F569" s="646" t="s">
        <v>3167</v>
      </c>
      <c r="G569" s="646" t="s">
        <v>27</v>
      </c>
      <c r="H569" s="646" t="s">
        <v>170</v>
      </c>
      <c r="I569" s="647">
        <v>0.35902777777777778</v>
      </c>
      <c r="J569" s="648">
        <v>10045.5</v>
      </c>
      <c r="K569" s="648">
        <v>13.85</v>
      </c>
      <c r="L569" s="648">
        <v>69.150000000000006</v>
      </c>
      <c r="M569" s="648">
        <v>0.37500000000000006</v>
      </c>
      <c r="N569" s="648">
        <v>4.7750000000000004</v>
      </c>
      <c r="O569" s="646" t="s">
        <v>48</v>
      </c>
      <c r="P569" s="646">
        <v>4</v>
      </c>
      <c r="Q569" s="646">
        <v>10</v>
      </c>
      <c r="R569" s="646" t="s">
        <v>49</v>
      </c>
      <c r="S569" s="667" t="s">
        <v>31</v>
      </c>
      <c r="T569" s="646">
        <v>3</v>
      </c>
      <c r="U569" s="646" t="s">
        <v>3168</v>
      </c>
      <c r="V569" s="646" t="s">
        <v>66</v>
      </c>
      <c r="W569" s="646" t="s">
        <v>50</v>
      </c>
      <c r="X569" s="646" t="s">
        <v>50</v>
      </c>
      <c r="Y569" s="668"/>
    </row>
    <row r="570" spans="1:27" s="98" customFormat="1" x14ac:dyDescent="0.25">
      <c r="A570" s="194">
        <v>43901</v>
      </c>
      <c r="B570" s="98" t="s">
        <v>915</v>
      </c>
      <c r="C570" s="98" t="s">
        <v>126</v>
      </c>
      <c r="D570" s="98">
        <v>38.268090000000001</v>
      </c>
      <c r="E570" s="98">
        <v>-121.69974999999999</v>
      </c>
      <c r="F570" s="98" t="s">
        <v>3169</v>
      </c>
      <c r="G570" s="98" t="s">
        <v>90</v>
      </c>
      <c r="H570" s="98" t="s">
        <v>845</v>
      </c>
      <c r="I570" s="621">
        <v>0.34097222222222223</v>
      </c>
      <c r="J570" s="100">
        <v>268.65000000000003</v>
      </c>
      <c r="K570" s="100">
        <v>14.149999999999999</v>
      </c>
      <c r="L570" s="100">
        <v>49.75</v>
      </c>
      <c r="M570" s="100">
        <v>1.6475</v>
      </c>
      <c r="N570" s="100">
        <v>4.8</v>
      </c>
      <c r="O570" s="98" t="s">
        <v>48</v>
      </c>
      <c r="P570" s="98">
        <v>4</v>
      </c>
      <c r="Q570" s="98">
        <v>10</v>
      </c>
      <c r="R570" s="98" t="s">
        <v>49</v>
      </c>
      <c r="S570" s="98" t="s">
        <v>50</v>
      </c>
      <c r="T570" s="98" t="s">
        <v>50</v>
      </c>
      <c r="U570" s="98" t="s">
        <v>50</v>
      </c>
      <c r="V570" s="98" t="s">
        <v>50</v>
      </c>
      <c r="W570" s="98" t="s">
        <v>50</v>
      </c>
      <c r="X570" s="98" t="s">
        <v>50</v>
      </c>
      <c r="Y570" s="622"/>
    </row>
    <row r="571" spans="1:27" s="154" customFormat="1" x14ac:dyDescent="0.25">
      <c r="A571" s="195">
        <v>43901</v>
      </c>
      <c r="B571" s="154" t="s">
        <v>915</v>
      </c>
      <c r="C571" s="154" t="s">
        <v>126</v>
      </c>
      <c r="D571" s="154">
        <v>38.28257</v>
      </c>
      <c r="E571" s="154">
        <v>-121.71155</v>
      </c>
      <c r="F571" s="154" t="s">
        <v>3170</v>
      </c>
      <c r="G571" s="154" t="s">
        <v>90</v>
      </c>
      <c r="H571" s="154" t="s">
        <v>845</v>
      </c>
      <c r="I571" s="636">
        <v>0.33402777777777781</v>
      </c>
      <c r="J571" s="154" t="s">
        <v>50</v>
      </c>
      <c r="K571" s="154" t="s">
        <v>50</v>
      </c>
      <c r="L571" s="154" t="s">
        <v>50</v>
      </c>
      <c r="M571" s="154" t="s">
        <v>50</v>
      </c>
      <c r="N571" s="154" t="s">
        <v>50</v>
      </c>
      <c r="O571" s="154" t="s">
        <v>48</v>
      </c>
      <c r="P571" s="154">
        <v>0</v>
      </c>
      <c r="Q571" s="154" t="s">
        <v>50</v>
      </c>
      <c r="R571" s="154" t="s">
        <v>50</v>
      </c>
      <c r="S571" s="154" t="s">
        <v>50</v>
      </c>
      <c r="T571" s="154" t="s">
        <v>50</v>
      </c>
      <c r="U571" s="154" t="s">
        <v>50</v>
      </c>
      <c r="V571" s="154" t="s">
        <v>50</v>
      </c>
      <c r="W571" s="154" t="s">
        <v>50</v>
      </c>
      <c r="X571" s="154" t="s">
        <v>50</v>
      </c>
      <c r="Y571" s="627" t="s">
        <v>3094</v>
      </c>
      <c r="AA571" s="627"/>
    </row>
    <row r="572" spans="1:27" s="98" customFormat="1" x14ac:dyDescent="0.25">
      <c r="A572" s="194">
        <v>43901</v>
      </c>
      <c r="B572" s="98" t="s">
        <v>915</v>
      </c>
      <c r="C572" s="98" t="s">
        <v>126</v>
      </c>
      <c r="D572" s="98">
        <v>38.256709999999998</v>
      </c>
      <c r="E572" s="98">
        <v>-121.69009</v>
      </c>
      <c r="F572" s="98" t="s">
        <v>3171</v>
      </c>
      <c r="G572" s="98" t="s">
        <v>90</v>
      </c>
      <c r="H572" s="98" t="s">
        <v>845</v>
      </c>
      <c r="I572" s="621">
        <v>0.3979166666666667</v>
      </c>
      <c r="J572" s="100">
        <v>248.17499999999998</v>
      </c>
      <c r="K572" s="100">
        <v>14.175000000000001</v>
      </c>
      <c r="L572" s="100">
        <v>81.099999999999994</v>
      </c>
      <c r="M572" s="100">
        <v>1.71</v>
      </c>
      <c r="N572" s="100">
        <v>8.3250000000000011</v>
      </c>
      <c r="O572" s="98" t="s">
        <v>48</v>
      </c>
      <c r="P572" s="98">
        <v>4</v>
      </c>
      <c r="Q572" s="98">
        <v>10</v>
      </c>
      <c r="R572" s="98" t="s">
        <v>49</v>
      </c>
      <c r="S572" s="98" t="s">
        <v>50</v>
      </c>
      <c r="T572" s="98" t="s">
        <v>50</v>
      </c>
      <c r="U572" s="98" t="s">
        <v>50</v>
      </c>
      <c r="V572" s="98" t="s">
        <v>50</v>
      </c>
      <c r="W572" s="98" t="s">
        <v>50</v>
      </c>
      <c r="X572" s="98" t="s">
        <v>50</v>
      </c>
      <c r="Y572" s="622"/>
    </row>
    <row r="573" spans="1:27" s="98" customFormat="1" x14ac:dyDescent="0.25">
      <c r="A573" s="194">
        <v>43901</v>
      </c>
      <c r="B573" s="98" t="s">
        <v>915</v>
      </c>
      <c r="C573" s="98" t="s">
        <v>126</v>
      </c>
      <c r="D573" s="98">
        <v>38.251660000000001</v>
      </c>
      <c r="E573" s="98">
        <v>-121.68789</v>
      </c>
      <c r="F573" s="98" t="s">
        <v>3172</v>
      </c>
      <c r="G573" s="98" t="s">
        <v>90</v>
      </c>
      <c r="H573" s="98" t="s">
        <v>845</v>
      </c>
      <c r="I573" s="621">
        <v>0.44513888888888892</v>
      </c>
      <c r="J573" s="100">
        <v>256.47500000000002</v>
      </c>
      <c r="K573" s="100">
        <v>14.224999999999998</v>
      </c>
      <c r="L573" s="100" t="s">
        <v>50</v>
      </c>
      <c r="M573" s="100">
        <v>1.7025000000000001</v>
      </c>
      <c r="N573" s="100">
        <v>7.0749999999999993</v>
      </c>
      <c r="O573" s="98" t="s">
        <v>48</v>
      </c>
      <c r="P573" s="98">
        <v>4</v>
      </c>
      <c r="Q573" s="98">
        <v>10</v>
      </c>
      <c r="R573" s="98" t="s">
        <v>49</v>
      </c>
      <c r="S573" s="98" t="s">
        <v>50</v>
      </c>
      <c r="T573" s="98" t="s">
        <v>50</v>
      </c>
      <c r="U573" s="98" t="s">
        <v>50</v>
      </c>
      <c r="V573" s="98" t="s">
        <v>50</v>
      </c>
      <c r="W573" s="98" t="s">
        <v>50</v>
      </c>
      <c r="X573" s="98" t="s">
        <v>50</v>
      </c>
      <c r="Y573" s="622"/>
    </row>
    <row r="574" spans="1:27" s="98" customFormat="1" x14ac:dyDescent="0.25">
      <c r="A574" s="194">
        <v>43901</v>
      </c>
      <c r="B574" s="98" t="s">
        <v>915</v>
      </c>
      <c r="C574" s="98" t="s">
        <v>95</v>
      </c>
      <c r="D574" s="98">
        <v>38.099829999999997</v>
      </c>
      <c r="E574" s="98">
        <v>-121.58795000000001</v>
      </c>
      <c r="F574" s="98" t="s">
        <v>3173</v>
      </c>
      <c r="G574" s="98" t="s">
        <v>46</v>
      </c>
      <c r="H574" s="98" t="s">
        <v>115</v>
      </c>
      <c r="I574" s="621">
        <v>0.3298611111111111</v>
      </c>
      <c r="J574" s="100">
        <v>301.47500000000002</v>
      </c>
      <c r="K574" s="100">
        <v>14.1</v>
      </c>
      <c r="L574" s="100">
        <v>6.6750000000000007</v>
      </c>
      <c r="M574" s="100">
        <v>1.5174999999999998</v>
      </c>
      <c r="N574" s="100">
        <v>11.7</v>
      </c>
      <c r="O574" s="98" t="s">
        <v>48</v>
      </c>
      <c r="P574" s="98">
        <v>4</v>
      </c>
      <c r="Q574" s="98">
        <v>10</v>
      </c>
      <c r="R574" s="98" t="s">
        <v>49</v>
      </c>
      <c r="S574" s="98" t="s">
        <v>50</v>
      </c>
      <c r="T574" s="98" t="s">
        <v>50</v>
      </c>
      <c r="U574" s="98" t="s">
        <v>50</v>
      </c>
      <c r="V574" s="98" t="s">
        <v>50</v>
      </c>
      <c r="W574" s="98" t="s">
        <v>50</v>
      </c>
      <c r="X574" s="98" t="s">
        <v>50</v>
      </c>
      <c r="Y574" s="622"/>
    </row>
    <row r="575" spans="1:27" s="646" customFormat="1" x14ac:dyDescent="0.25">
      <c r="A575" s="645">
        <v>43901</v>
      </c>
      <c r="B575" s="646" t="s">
        <v>915</v>
      </c>
      <c r="C575" s="646" t="s">
        <v>95</v>
      </c>
      <c r="D575" s="646">
        <v>38.10521</v>
      </c>
      <c r="E575" s="646">
        <v>-121.60333</v>
      </c>
      <c r="F575" s="646" t="s">
        <v>3174</v>
      </c>
      <c r="G575" s="646" t="s">
        <v>46</v>
      </c>
      <c r="H575" s="646" t="s">
        <v>115</v>
      </c>
      <c r="I575" s="647">
        <v>0.38541666666666669</v>
      </c>
      <c r="J575" s="648">
        <v>301.89999999999998</v>
      </c>
      <c r="K575" s="648">
        <v>14.1</v>
      </c>
      <c r="L575" s="648">
        <v>7.1325000000000003</v>
      </c>
      <c r="M575" s="648">
        <v>1.7475000000000001</v>
      </c>
      <c r="N575" s="648">
        <v>11.35</v>
      </c>
      <c r="O575" s="646" t="s">
        <v>48</v>
      </c>
      <c r="P575" s="646">
        <v>4</v>
      </c>
      <c r="Q575" s="646">
        <v>10</v>
      </c>
      <c r="R575" s="646" t="s">
        <v>49</v>
      </c>
      <c r="S575" s="667" t="s">
        <v>758</v>
      </c>
      <c r="T575" s="646">
        <v>1</v>
      </c>
      <c r="U575" s="646">
        <v>115</v>
      </c>
      <c r="V575" s="646" t="s">
        <v>50</v>
      </c>
      <c r="W575" s="646">
        <v>5</v>
      </c>
      <c r="X575" s="646" t="s">
        <v>50</v>
      </c>
      <c r="Y575" s="668" t="s">
        <v>2973</v>
      </c>
    </row>
    <row r="576" spans="1:27" s="98" customFormat="1" x14ac:dyDescent="0.25">
      <c r="A576" s="194">
        <v>43901</v>
      </c>
      <c r="B576" s="98" t="s">
        <v>915</v>
      </c>
      <c r="C576" s="98" t="s">
        <v>95</v>
      </c>
      <c r="D576" s="98">
        <v>38.074829999999999</v>
      </c>
      <c r="E576" s="98">
        <v>-121.67729</v>
      </c>
      <c r="F576" s="98" t="s">
        <v>3175</v>
      </c>
      <c r="G576" s="98" t="s">
        <v>46</v>
      </c>
      <c r="H576" s="98" t="s">
        <v>908</v>
      </c>
      <c r="I576" s="621">
        <v>0.4381944444444445</v>
      </c>
      <c r="J576" s="100">
        <v>324.92500000000001</v>
      </c>
      <c r="K576" s="100">
        <v>14.05</v>
      </c>
      <c r="L576" s="100">
        <v>8.3074999999999992</v>
      </c>
      <c r="M576" s="100">
        <v>1.6375</v>
      </c>
      <c r="N576" s="100">
        <v>12.475000000000001</v>
      </c>
      <c r="O576" s="98" t="s">
        <v>48</v>
      </c>
      <c r="P576" s="98">
        <v>4</v>
      </c>
      <c r="Q576" s="98">
        <v>10</v>
      </c>
      <c r="R576" s="98" t="s">
        <v>49</v>
      </c>
      <c r="S576" s="98" t="s">
        <v>50</v>
      </c>
      <c r="T576" s="98" t="s">
        <v>50</v>
      </c>
      <c r="U576" s="98" t="s">
        <v>50</v>
      </c>
      <c r="V576" s="98" t="s">
        <v>50</v>
      </c>
      <c r="W576" s="98" t="s">
        <v>50</v>
      </c>
      <c r="X576" s="98" t="s">
        <v>50</v>
      </c>
      <c r="Y576" s="622"/>
    </row>
    <row r="577" spans="1:25" s="98" customFormat="1" x14ac:dyDescent="0.25">
      <c r="A577" s="194">
        <v>43902</v>
      </c>
      <c r="B577" s="98" t="s">
        <v>876</v>
      </c>
      <c r="C577" s="98" t="s">
        <v>95</v>
      </c>
      <c r="D577" s="98">
        <v>38.021279999999997</v>
      </c>
      <c r="E577" s="98">
        <v>-121.76658999999999</v>
      </c>
      <c r="F577" s="98" t="s">
        <v>3176</v>
      </c>
      <c r="G577" s="98" t="s">
        <v>27</v>
      </c>
      <c r="H577" s="98" t="s">
        <v>863</v>
      </c>
      <c r="I577" s="621">
        <v>0.37083333333333335</v>
      </c>
      <c r="J577" s="100">
        <v>1326</v>
      </c>
      <c r="K577" s="100">
        <v>14.3</v>
      </c>
      <c r="L577" s="100">
        <v>20.575000000000003</v>
      </c>
      <c r="M577" s="100">
        <v>0.77749999999999997</v>
      </c>
      <c r="N577" s="100">
        <v>11.35</v>
      </c>
      <c r="O577" s="98" t="s">
        <v>48</v>
      </c>
      <c r="P577" s="98">
        <v>4</v>
      </c>
      <c r="Q577" s="98">
        <v>10</v>
      </c>
      <c r="R577" s="98" t="s">
        <v>49</v>
      </c>
      <c r="S577" s="98" t="s">
        <v>50</v>
      </c>
      <c r="T577" s="98" t="s">
        <v>50</v>
      </c>
      <c r="U577" s="98" t="s">
        <v>50</v>
      </c>
      <c r="V577" s="98" t="s">
        <v>50</v>
      </c>
      <c r="W577" s="98" t="s">
        <v>50</v>
      </c>
      <c r="X577" s="98" t="s">
        <v>50</v>
      </c>
      <c r="Y577" s="622"/>
    </row>
    <row r="578" spans="1:25" s="98" customFormat="1" x14ac:dyDescent="0.25">
      <c r="A578" s="194">
        <v>43902</v>
      </c>
      <c r="B578" s="98" t="s">
        <v>876</v>
      </c>
      <c r="C578" s="98" t="s">
        <v>95</v>
      </c>
      <c r="D578" s="98">
        <v>38.027430000000003</v>
      </c>
      <c r="E578" s="98">
        <v>-121.78480999999999</v>
      </c>
      <c r="F578" s="98" t="s">
        <v>3177</v>
      </c>
      <c r="G578" s="98" t="s">
        <v>27</v>
      </c>
      <c r="H578" s="98" t="s">
        <v>863</v>
      </c>
      <c r="I578" s="621">
        <v>0.32361111111111113</v>
      </c>
      <c r="J578" s="100">
        <v>1466.75</v>
      </c>
      <c r="K578" s="100">
        <v>14</v>
      </c>
      <c r="L578" s="100">
        <v>23.15</v>
      </c>
      <c r="M578" s="100">
        <v>0.68500000000000005</v>
      </c>
      <c r="N578" s="100">
        <v>6.9749999999999996</v>
      </c>
      <c r="O578" s="98" t="s">
        <v>48</v>
      </c>
      <c r="P578" s="98">
        <v>4</v>
      </c>
      <c r="Q578" s="98">
        <v>10</v>
      </c>
      <c r="R578" s="98" t="s">
        <v>49</v>
      </c>
      <c r="S578" s="98" t="s">
        <v>50</v>
      </c>
      <c r="T578" s="98" t="s">
        <v>50</v>
      </c>
      <c r="U578" s="98" t="s">
        <v>50</v>
      </c>
      <c r="V578" s="98" t="s">
        <v>50</v>
      </c>
      <c r="W578" s="98" t="s">
        <v>50</v>
      </c>
      <c r="X578" s="98" t="s">
        <v>50</v>
      </c>
      <c r="Y578" s="622"/>
    </row>
    <row r="579" spans="1:25" s="98" customFormat="1" x14ac:dyDescent="0.25">
      <c r="A579" s="194">
        <v>43902</v>
      </c>
      <c r="B579" s="98" t="s">
        <v>876</v>
      </c>
      <c r="C579" s="98" t="s">
        <v>95</v>
      </c>
      <c r="D579" s="98">
        <v>38.060510000000001</v>
      </c>
      <c r="E579" s="98">
        <v>-121.68536</v>
      </c>
      <c r="F579" s="98" t="s">
        <v>3178</v>
      </c>
      <c r="G579" s="98" t="s">
        <v>46</v>
      </c>
      <c r="H579" s="98" t="s">
        <v>908</v>
      </c>
      <c r="I579" s="621">
        <v>0.42430555555555555</v>
      </c>
      <c r="J579" s="100">
        <v>371.52500000000003</v>
      </c>
      <c r="K579" s="100">
        <v>14.375</v>
      </c>
      <c r="L579" s="100">
        <v>14.899999999999999</v>
      </c>
      <c r="M579" s="100">
        <v>1.1600000000000001</v>
      </c>
      <c r="N579" s="100">
        <v>3.7249999999999996</v>
      </c>
      <c r="O579" s="98" t="s">
        <v>48</v>
      </c>
      <c r="P579" s="98">
        <v>4</v>
      </c>
      <c r="Q579" s="98">
        <v>10</v>
      </c>
      <c r="R579" s="98" t="s">
        <v>49</v>
      </c>
      <c r="S579" s="98" t="s">
        <v>50</v>
      </c>
      <c r="T579" s="98" t="s">
        <v>50</v>
      </c>
      <c r="U579" s="98" t="s">
        <v>50</v>
      </c>
      <c r="V579" s="98" t="s">
        <v>50</v>
      </c>
      <c r="W579" s="98" t="s">
        <v>50</v>
      </c>
      <c r="X579" s="98" t="s">
        <v>50</v>
      </c>
      <c r="Y579" s="622"/>
    </row>
    <row r="580" spans="1:25" s="646" customFormat="1" x14ac:dyDescent="0.25">
      <c r="A580" s="645">
        <v>43902</v>
      </c>
      <c r="B580" s="646" t="s">
        <v>876</v>
      </c>
      <c r="C580" s="646" t="s">
        <v>62</v>
      </c>
      <c r="D580" s="646">
        <v>38.11271</v>
      </c>
      <c r="E580" s="762">
        <v>-122.05656</v>
      </c>
      <c r="F580" s="646" t="s">
        <v>3179</v>
      </c>
      <c r="G580" s="646" t="s">
        <v>27</v>
      </c>
      <c r="H580" s="646" t="s">
        <v>173</v>
      </c>
      <c r="I580" s="647">
        <v>0.52500000000000002</v>
      </c>
      <c r="J580" s="648">
        <v>9771.5</v>
      </c>
      <c r="K580" s="648">
        <v>14.7</v>
      </c>
      <c r="L580" s="648">
        <v>67.724999999999994</v>
      </c>
      <c r="M580" s="648">
        <v>0.28500000000000003</v>
      </c>
      <c r="N580" s="648">
        <v>2.7749999999999999</v>
      </c>
      <c r="O580" s="646" t="s">
        <v>48</v>
      </c>
      <c r="P580" s="646">
        <v>4</v>
      </c>
      <c r="Q580" s="646">
        <v>10</v>
      </c>
      <c r="R580" s="646" t="s">
        <v>49</v>
      </c>
      <c r="S580" s="667" t="s">
        <v>31</v>
      </c>
      <c r="T580" s="646">
        <v>1</v>
      </c>
      <c r="U580" s="646">
        <v>90</v>
      </c>
      <c r="V580" s="646" t="s">
        <v>66</v>
      </c>
      <c r="W580" s="646" t="s">
        <v>50</v>
      </c>
      <c r="X580" s="646" t="s">
        <v>50</v>
      </c>
      <c r="Y580" s="668"/>
    </row>
    <row r="581" spans="1:25" s="646" customFormat="1" x14ac:dyDescent="0.25">
      <c r="A581" s="645">
        <v>43902</v>
      </c>
      <c r="B581" s="646" t="s">
        <v>876</v>
      </c>
      <c r="C581" s="646" t="s">
        <v>62</v>
      </c>
      <c r="D581" s="646">
        <v>38.111899999999999</v>
      </c>
      <c r="E581" s="646">
        <v>-121.89059</v>
      </c>
      <c r="F581" s="646" t="s">
        <v>3180</v>
      </c>
      <c r="G581" s="646" t="s">
        <v>27</v>
      </c>
      <c r="H581" s="646" t="s">
        <v>62</v>
      </c>
      <c r="I581" s="647">
        <v>0.36527777777777781</v>
      </c>
      <c r="J581" s="648">
        <v>3165.25</v>
      </c>
      <c r="K581" s="648">
        <v>13.975</v>
      </c>
      <c r="L581" s="648">
        <v>23</v>
      </c>
      <c r="M581" s="648">
        <v>0.46249999999999997</v>
      </c>
      <c r="N581" s="648">
        <v>5.35</v>
      </c>
      <c r="O581" s="646" t="s">
        <v>48</v>
      </c>
      <c r="P581" s="646">
        <v>4</v>
      </c>
      <c r="Q581" s="646">
        <v>10</v>
      </c>
      <c r="R581" s="646" t="s">
        <v>49</v>
      </c>
      <c r="S581" s="667" t="s">
        <v>758</v>
      </c>
      <c r="T581" s="646">
        <v>1</v>
      </c>
      <c r="U581" s="646">
        <v>114</v>
      </c>
      <c r="V581" s="646" t="s">
        <v>50</v>
      </c>
      <c r="W581" s="646">
        <v>5</v>
      </c>
      <c r="X581" s="646" t="s">
        <v>50</v>
      </c>
      <c r="Y581" s="668" t="s">
        <v>3109</v>
      </c>
    </row>
    <row r="582" spans="1:25" s="98" customFormat="1" x14ac:dyDescent="0.25">
      <c r="A582" s="194">
        <v>43902</v>
      </c>
      <c r="B582" s="98" t="s">
        <v>876</v>
      </c>
      <c r="C582" s="98" t="s">
        <v>62</v>
      </c>
      <c r="D582" s="98">
        <v>38.19332</v>
      </c>
      <c r="E582" s="98">
        <v>-121.929</v>
      </c>
      <c r="F582" s="98" t="s">
        <v>3181</v>
      </c>
      <c r="G582" s="98" t="s">
        <v>27</v>
      </c>
      <c r="H582" s="98" t="s">
        <v>62</v>
      </c>
      <c r="I582" s="621">
        <v>0.43333333333333335</v>
      </c>
      <c r="J582" s="100">
        <v>4546</v>
      </c>
      <c r="K582" s="100">
        <v>15.074999999999999</v>
      </c>
      <c r="L582" s="100">
        <v>60.275000000000006</v>
      </c>
      <c r="M582" s="100">
        <v>0.27250000000000002</v>
      </c>
      <c r="N582" s="100">
        <v>3.3000000000000003</v>
      </c>
      <c r="O582" s="98" t="s">
        <v>48</v>
      </c>
      <c r="P582" s="98">
        <v>4</v>
      </c>
      <c r="Q582" s="98">
        <v>10</v>
      </c>
      <c r="R582" s="98" t="s">
        <v>49</v>
      </c>
      <c r="S582" s="98" t="s">
        <v>50</v>
      </c>
      <c r="T582" s="98" t="s">
        <v>50</v>
      </c>
      <c r="U582" s="98" t="s">
        <v>50</v>
      </c>
      <c r="V582" s="98" t="s">
        <v>50</v>
      </c>
      <c r="W582" s="98" t="s">
        <v>50</v>
      </c>
      <c r="X582" s="98" t="s">
        <v>50</v>
      </c>
      <c r="Y582" s="622"/>
    </row>
    <row r="583" spans="1:25" s="98" customFormat="1" x14ac:dyDescent="0.25">
      <c r="A583" s="194">
        <v>43902</v>
      </c>
      <c r="B583" s="98" t="s">
        <v>876</v>
      </c>
      <c r="C583" s="98" t="s">
        <v>106</v>
      </c>
      <c r="D583" s="98">
        <v>38.228450000000002</v>
      </c>
      <c r="E583" s="98">
        <v>-121.67403</v>
      </c>
      <c r="F583" s="98" t="s">
        <v>3182</v>
      </c>
      <c r="G583" s="98" t="s">
        <v>90</v>
      </c>
      <c r="H583" s="98" t="s">
        <v>362</v>
      </c>
      <c r="I583" s="621">
        <v>0.4993055555555555</v>
      </c>
      <c r="J583" s="100">
        <v>231</v>
      </c>
      <c r="K583" s="100">
        <v>14.55</v>
      </c>
      <c r="L583" s="100">
        <v>12.1</v>
      </c>
      <c r="M583" s="100">
        <v>1.7250000000000001</v>
      </c>
      <c r="N583" s="100">
        <v>11.649999999999999</v>
      </c>
      <c r="O583" s="98" t="s">
        <v>48</v>
      </c>
      <c r="P583" s="98">
        <v>4</v>
      </c>
      <c r="Q583" s="98">
        <v>10</v>
      </c>
      <c r="R583" s="98" t="s">
        <v>49</v>
      </c>
      <c r="S583" s="98" t="s">
        <v>50</v>
      </c>
      <c r="T583" s="98" t="s">
        <v>50</v>
      </c>
      <c r="U583" s="98" t="s">
        <v>50</v>
      </c>
      <c r="V583" s="98" t="s">
        <v>50</v>
      </c>
      <c r="W583" s="98" t="s">
        <v>50</v>
      </c>
      <c r="X583" s="98" t="s">
        <v>50</v>
      </c>
      <c r="Y583" s="622" t="s">
        <v>3183</v>
      </c>
    </row>
    <row r="584" spans="1:25" s="646" customFormat="1" x14ac:dyDescent="0.25">
      <c r="A584" s="645">
        <v>43902</v>
      </c>
      <c r="B584" s="646" t="s">
        <v>876</v>
      </c>
      <c r="C584" s="646" t="s">
        <v>106</v>
      </c>
      <c r="D584" s="646">
        <v>38.437370000000001</v>
      </c>
      <c r="E584" s="646">
        <v>-121.59994</v>
      </c>
      <c r="F584" s="646" t="s">
        <v>3184</v>
      </c>
      <c r="G584" s="646" t="s">
        <v>90</v>
      </c>
      <c r="H584" s="646" t="s">
        <v>362</v>
      </c>
      <c r="I584" s="647">
        <v>0.4284722222222222</v>
      </c>
      <c r="J584" s="648">
        <v>661.5</v>
      </c>
      <c r="K584" s="648">
        <v>13.724999999999998</v>
      </c>
      <c r="L584" s="648">
        <v>70.125</v>
      </c>
      <c r="M584" s="648">
        <v>0.26750000000000002</v>
      </c>
      <c r="N584" s="648">
        <v>9.15</v>
      </c>
      <c r="O584" s="646" t="s">
        <v>48</v>
      </c>
      <c r="P584" s="646">
        <v>4</v>
      </c>
      <c r="Q584" s="646">
        <v>10</v>
      </c>
      <c r="R584" s="646" t="s">
        <v>49</v>
      </c>
      <c r="S584" s="667" t="s">
        <v>449</v>
      </c>
      <c r="T584" s="646">
        <v>1</v>
      </c>
      <c r="U584" s="646">
        <v>204</v>
      </c>
      <c r="V584" s="646" t="s">
        <v>50</v>
      </c>
      <c r="W584" s="646">
        <v>5</v>
      </c>
      <c r="X584" s="646" t="s">
        <v>2525</v>
      </c>
      <c r="Y584" s="668" t="s">
        <v>3185</v>
      </c>
    </row>
    <row r="585" spans="1:25" s="362" customFormat="1" x14ac:dyDescent="0.25">
      <c r="A585" s="360">
        <v>43902</v>
      </c>
      <c r="B585" s="362" t="s">
        <v>876</v>
      </c>
      <c r="C585" s="362" t="s">
        <v>106</v>
      </c>
      <c r="D585" s="362">
        <v>38.557389999999998</v>
      </c>
      <c r="E585" s="362">
        <v>-121.57196999999999</v>
      </c>
      <c r="F585" s="362" t="s">
        <v>3186</v>
      </c>
      <c r="G585" s="362" t="s">
        <v>90</v>
      </c>
      <c r="H585" s="362" t="s">
        <v>1787</v>
      </c>
      <c r="I585" s="618">
        <v>0.36041666666666666</v>
      </c>
      <c r="J585" s="364">
        <v>1158</v>
      </c>
      <c r="K585" s="364">
        <v>14.074999999999999</v>
      </c>
      <c r="L585" s="364">
        <v>4.8074999999999992</v>
      </c>
      <c r="M585" s="364">
        <v>1.6174999999999999</v>
      </c>
      <c r="N585" s="364">
        <v>10.674999999999999</v>
      </c>
      <c r="O585" s="362" t="s">
        <v>48</v>
      </c>
      <c r="P585" s="362">
        <v>4</v>
      </c>
      <c r="Q585" s="362">
        <v>10</v>
      </c>
      <c r="R585" s="362" t="s">
        <v>49</v>
      </c>
      <c r="S585" s="362" t="s">
        <v>50</v>
      </c>
      <c r="T585" s="362" t="s">
        <v>50</v>
      </c>
      <c r="U585" s="362" t="s">
        <v>50</v>
      </c>
      <c r="V585" s="362" t="s">
        <v>50</v>
      </c>
      <c r="W585" s="362" t="s">
        <v>50</v>
      </c>
      <c r="X585" s="362" t="s">
        <v>50</v>
      </c>
      <c r="Y585" s="603"/>
    </row>
    <row r="586" spans="1:25" s="98" customFormat="1" x14ac:dyDescent="0.25">
      <c r="A586" s="194">
        <v>43906</v>
      </c>
      <c r="B586" s="98" t="s">
        <v>43</v>
      </c>
      <c r="C586" s="98" t="s">
        <v>44</v>
      </c>
      <c r="D586" s="98">
        <v>38.004170000000002</v>
      </c>
      <c r="E586" s="98">
        <v>-121.52918</v>
      </c>
      <c r="F586" s="98" t="s">
        <v>3187</v>
      </c>
      <c r="G586" s="98" t="s">
        <v>46</v>
      </c>
      <c r="H586" s="98" t="s">
        <v>59</v>
      </c>
      <c r="I586" s="621">
        <v>0.32291666666666669</v>
      </c>
      <c r="J586" s="100">
        <v>353.90000000000003</v>
      </c>
      <c r="K586" s="100">
        <v>14.324999999999999</v>
      </c>
      <c r="L586" s="100">
        <v>4.8125</v>
      </c>
      <c r="M586" s="100" t="s">
        <v>1233</v>
      </c>
      <c r="N586" s="100">
        <v>10.074999999999999</v>
      </c>
      <c r="O586" s="98" t="s">
        <v>48</v>
      </c>
      <c r="P586" s="98">
        <v>4</v>
      </c>
      <c r="Q586" s="98">
        <v>10</v>
      </c>
      <c r="R586" s="98" t="s">
        <v>64</v>
      </c>
      <c r="S586" s="98" t="s">
        <v>50</v>
      </c>
      <c r="T586" s="98" t="s">
        <v>50</v>
      </c>
      <c r="U586" s="98" t="s">
        <v>50</v>
      </c>
      <c r="V586" s="98" t="s">
        <v>50</v>
      </c>
      <c r="W586" s="98" t="s">
        <v>50</v>
      </c>
      <c r="X586" s="98" t="s">
        <v>50</v>
      </c>
      <c r="Y586" s="622" t="s">
        <v>3188</v>
      </c>
    </row>
    <row r="587" spans="1:25" s="98" customFormat="1" x14ac:dyDescent="0.25">
      <c r="A587" s="194">
        <v>43906</v>
      </c>
      <c r="B587" s="98" t="s">
        <v>43</v>
      </c>
      <c r="C587" s="98" t="s">
        <v>44</v>
      </c>
      <c r="D587" s="98">
        <v>38.022309999999997</v>
      </c>
      <c r="E587" s="98">
        <v>-121.52113</v>
      </c>
      <c r="F587" s="98" t="s">
        <v>3189</v>
      </c>
      <c r="G587" s="98" t="s">
        <v>46</v>
      </c>
      <c r="H587" s="98" t="s">
        <v>59</v>
      </c>
      <c r="I587" s="621">
        <v>0.375</v>
      </c>
      <c r="J587" s="100">
        <v>321.67500000000001</v>
      </c>
      <c r="K587" s="100">
        <v>14.324999999999999</v>
      </c>
      <c r="L587" s="100">
        <v>4.4625000000000004</v>
      </c>
      <c r="M587" s="100" t="s">
        <v>1233</v>
      </c>
      <c r="N587" s="100">
        <v>9.85</v>
      </c>
      <c r="O587" s="98" t="s">
        <v>48</v>
      </c>
      <c r="P587" s="98">
        <v>4</v>
      </c>
      <c r="Q587" s="98">
        <v>10</v>
      </c>
      <c r="R587" s="98" t="s">
        <v>64</v>
      </c>
      <c r="S587" s="98" t="s">
        <v>50</v>
      </c>
      <c r="T587" s="98" t="s">
        <v>50</v>
      </c>
      <c r="U587" s="98" t="s">
        <v>50</v>
      </c>
      <c r="V587" s="98" t="s">
        <v>50</v>
      </c>
      <c r="W587" s="98" t="s">
        <v>50</v>
      </c>
      <c r="X587" s="98" t="s">
        <v>50</v>
      </c>
      <c r="Y587" s="622"/>
    </row>
    <row r="588" spans="1:25" s="98" customFormat="1" x14ac:dyDescent="0.25">
      <c r="A588" s="194">
        <v>43906</v>
      </c>
      <c r="B588" s="98" t="s">
        <v>43</v>
      </c>
      <c r="C588" s="98" t="s">
        <v>44</v>
      </c>
      <c r="D588" s="98">
        <v>38.027500000000003</v>
      </c>
      <c r="E588" s="98">
        <v>-121.49932</v>
      </c>
      <c r="F588" s="98" t="s">
        <v>3190</v>
      </c>
      <c r="G588" s="98" t="s">
        <v>46</v>
      </c>
      <c r="H588" s="98" t="s">
        <v>59</v>
      </c>
      <c r="I588" s="621">
        <v>0.42152777777777778</v>
      </c>
      <c r="J588" s="100">
        <v>357.65</v>
      </c>
      <c r="K588" s="100">
        <v>14.3</v>
      </c>
      <c r="L588" s="100">
        <v>3.7450000000000001</v>
      </c>
      <c r="M588" s="100">
        <v>1.8</v>
      </c>
      <c r="N588" s="100">
        <v>7.85</v>
      </c>
      <c r="O588" s="98" t="s">
        <v>48</v>
      </c>
      <c r="P588" s="98">
        <v>4</v>
      </c>
      <c r="Q588" s="98">
        <v>10</v>
      </c>
      <c r="R588" s="98" t="s">
        <v>64</v>
      </c>
      <c r="S588" s="98" t="s">
        <v>50</v>
      </c>
      <c r="T588" s="98" t="s">
        <v>50</v>
      </c>
      <c r="U588" s="98" t="s">
        <v>50</v>
      </c>
      <c r="V588" s="98" t="s">
        <v>50</v>
      </c>
      <c r="W588" s="98" t="s">
        <v>50</v>
      </c>
      <c r="X588" s="98" t="s">
        <v>50</v>
      </c>
      <c r="Y588" s="622"/>
    </row>
    <row r="589" spans="1:25" s="592" customFormat="1" x14ac:dyDescent="0.25">
      <c r="A589" s="590">
        <v>43906</v>
      </c>
      <c r="B589" s="592" t="s">
        <v>43</v>
      </c>
      <c r="C589" s="592" t="s">
        <v>106</v>
      </c>
      <c r="D589" s="592">
        <v>38.378770000000003</v>
      </c>
      <c r="E589" s="592">
        <v>-121.62811000000001</v>
      </c>
      <c r="F589" s="592" t="s">
        <v>3191</v>
      </c>
      <c r="G589" s="592" t="s">
        <v>90</v>
      </c>
      <c r="H589" s="592" t="s">
        <v>362</v>
      </c>
      <c r="I589" s="619">
        <v>0.34027777777777773</v>
      </c>
      <c r="J589" s="593">
        <v>453.15</v>
      </c>
      <c r="K589" s="593">
        <v>13.375</v>
      </c>
      <c r="L589" s="593">
        <v>41.575000000000003</v>
      </c>
      <c r="M589" s="593">
        <v>0.35749999999999998</v>
      </c>
      <c r="N589" s="593">
        <v>7.6249999999999991</v>
      </c>
      <c r="O589" s="592" t="s">
        <v>48</v>
      </c>
      <c r="P589" s="592">
        <v>4</v>
      </c>
      <c r="Q589" s="592">
        <v>10</v>
      </c>
      <c r="R589" s="592" t="s">
        <v>64</v>
      </c>
      <c r="S589" s="592" t="s">
        <v>323</v>
      </c>
      <c r="T589" s="592">
        <v>1</v>
      </c>
      <c r="U589" s="592">
        <v>70</v>
      </c>
      <c r="V589" s="592" t="s">
        <v>66</v>
      </c>
      <c r="W589" s="592" t="s">
        <v>50</v>
      </c>
      <c r="X589" s="592" t="s">
        <v>50</v>
      </c>
      <c r="Y589" s="669" t="s">
        <v>3192</v>
      </c>
    </row>
    <row r="590" spans="1:25" s="98" customFormat="1" x14ac:dyDescent="0.25">
      <c r="A590" s="194">
        <v>43906</v>
      </c>
      <c r="B590" s="98" t="s">
        <v>43</v>
      </c>
      <c r="C590" s="98" t="s">
        <v>106</v>
      </c>
      <c r="D590" s="98">
        <v>38.233440000000002</v>
      </c>
      <c r="E590" s="98">
        <v>-121.67458999999999</v>
      </c>
      <c r="F590" s="98" t="s">
        <v>3193</v>
      </c>
      <c r="G590" s="98" t="s">
        <v>90</v>
      </c>
      <c r="H590" s="98" t="s">
        <v>362</v>
      </c>
      <c r="I590" s="621">
        <v>0.40277777777777773</v>
      </c>
      <c r="J590" s="100">
        <v>197.02500000000001</v>
      </c>
      <c r="K590" s="100">
        <v>14.1</v>
      </c>
      <c r="L590" s="100">
        <v>7.8875000000000002</v>
      </c>
      <c r="M590" s="100" t="s">
        <v>1233</v>
      </c>
      <c r="N590" s="100">
        <v>11.875</v>
      </c>
      <c r="O590" s="98" t="s">
        <v>48</v>
      </c>
      <c r="P590" s="98">
        <v>4</v>
      </c>
      <c r="Q590" s="98">
        <v>10</v>
      </c>
      <c r="R590" s="98" t="s">
        <v>64</v>
      </c>
      <c r="S590" s="98" t="s">
        <v>50</v>
      </c>
      <c r="T590" s="98" t="s">
        <v>50</v>
      </c>
      <c r="U590" s="98" t="s">
        <v>50</v>
      </c>
      <c r="V590" s="98" t="s">
        <v>50</v>
      </c>
      <c r="W590" s="98" t="s">
        <v>50</v>
      </c>
      <c r="X590" s="98" t="s">
        <v>50</v>
      </c>
      <c r="Y590" s="622"/>
    </row>
    <row r="591" spans="1:25" s="98" customFormat="1" x14ac:dyDescent="0.25">
      <c r="A591" s="194">
        <v>43906</v>
      </c>
      <c r="B591" s="98" t="s">
        <v>43</v>
      </c>
      <c r="C591" s="98" t="s">
        <v>106</v>
      </c>
      <c r="D591" s="98">
        <v>38.182760000000002</v>
      </c>
      <c r="E591" s="98">
        <v>-121.66128999999999</v>
      </c>
      <c r="F591" s="98" t="s">
        <v>3194</v>
      </c>
      <c r="G591" s="98" t="s">
        <v>90</v>
      </c>
      <c r="H591" s="98" t="s">
        <v>362</v>
      </c>
      <c r="I591" s="621">
        <v>0.45347222222222222</v>
      </c>
      <c r="J591" s="100">
        <v>196.45</v>
      </c>
      <c r="K591" s="100">
        <v>14</v>
      </c>
      <c r="L591" s="100">
        <v>4.8274999999999997</v>
      </c>
      <c r="M591" s="100">
        <v>1.8</v>
      </c>
      <c r="N591" s="100">
        <v>21</v>
      </c>
      <c r="O591" s="98" t="s">
        <v>48</v>
      </c>
      <c r="P591" s="98">
        <v>4</v>
      </c>
      <c r="Q591" s="98">
        <v>10</v>
      </c>
      <c r="R591" s="98" t="s">
        <v>49</v>
      </c>
      <c r="S591" s="98" t="s">
        <v>50</v>
      </c>
      <c r="T591" s="98" t="s">
        <v>50</v>
      </c>
      <c r="U591" s="98" t="s">
        <v>50</v>
      </c>
      <c r="V591" s="98" t="s">
        <v>50</v>
      </c>
      <c r="W591" s="98" t="s">
        <v>50</v>
      </c>
      <c r="X591" s="98" t="s">
        <v>50</v>
      </c>
      <c r="Y591" s="622"/>
    </row>
    <row r="592" spans="1:25" s="646" customFormat="1" x14ac:dyDescent="0.25">
      <c r="A592" s="645">
        <v>43906</v>
      </c>
      <c r="B592" s="646" t="s">
        <v>43</v>
      </c>
      <c r="C592" s="646" t="s">
        <v>62</v>
      </c>
      <c r="D592" s="646">
        <v>38.103459999999998</v>
      </c>
      <c r="E592" s="646">
        <v>-122.05356999999999</v>
      </c>
      <c r="F592" s="646" t="s">
        <v>3195</v>
      </c>
      <c r="G592" s="646" t="s">
        <v>27</v>
      </c>
      <c r="H592" s="646" t="s">
        <v>173</v>
      </c>
      <c r="I592" s="647">
        <v>0.35902777777777778</v>
      </c>
      <c r="J592" s="648">
        <v>16339</v>
      </c>
      <c r="K592" s="648">
        <v>13.450000000000001</v>
      </c>
      <c r="L592" s="648">
        <v>27.4</v>
      </c>
      <c r="M592" s="648">
        <v>0.49249999999999999</v>
      </c>
      <c r="N592" s="648">
        <v>4.45</v>
      </c>
      <c r="O592" s="646" t="s">
        <v>48</v>
      </c>
      <c r="P592" s="646">
        <v>4</v>
      </c>
      <c r="Q592" s="646">
        <v>10</v>
      </c>
      <c r="R592" s="646" t="s">
        <v>64</v>
      </c>
      <c r="S592" s="667" t="s">
        <v>31</v>
      </c>
      <c r="T592" s="646">
        <v>1</v>
      </c>
      <c r="U592" s="646">
        <v>97</v>
      </c>
      <c r="V592" s="646" t="s">
        <v>66</v>
      </c>
      <c r="W592" s="646" t="s">
        <v>50</v>
      </c>
      <c r="X592" s="646" t="s">
        <v>50</v>
      </c>
      <c r="Y592" s="668" t="s">
        <v>3034</v>
      </c>
    </row>
    <row r="593" spans="1:25" s="98" customFormat="1" x14ac:dyDescent="0.25">
      <c r="A593" s="194">
        <v>43906</v>
      </c>
      <c r="B593" s="98" t="s">
        <v>43</v>
      </c>
      <c r="C593" s="98" t="s">
        <v>62</v>
      </c>
      <c r="D593" s="98">
        <v>38.104570000000002</v>
      </c>
      <c r="E593" s="98">
        <v>-122.06052</v>
      </c>
      <c r="F593" s="98" t="s">
        <v>3196</v>
      </c>
      <c r="G593" s="98" t="s">
        <v>27</v>
      </c>
      <c r="H593" s="98" t="s">
        <v>173</v>
      </c>
      <c r="I593" s="621">
        <v>0.4069444444444445</v>
      </c>
      <c r="J593" s="100">
        <v>13605</v>
      </c>
      <c r="K593" s="100">
        <v>13.275000000000002</v>
      </c>
      <c r="L593" s="100">
        <v>25.425000000000001</v>
      </c>
      <c r="M593" s="100">
        <v>0.49249999999999999</v>
      </c>
      <c r="N593" s="100">
        <v>4.0999999999999996</v>
      </c>
      <c r="O593" s="98" t="s">
        <v>48</v>
      </c>
      <c r="P593" s="98">
        <v>4</v>
      </c>
      <c r="Q593" s="98">
        <v>10</v>
      </c>
      <c r="R593" s="98" t="s">
        <v>49</v>
      </c>
      <c r="S593" s="98" t="s">
        <v>50</v>
      </c>
      <c r="T593" s="98" t="s">
        <v>50</v>
      </c>
      <c r="U593" s="98" t="s">
        <v>50</v>
      </c>
      <c r="V593" s="98" t="s">
        <v>50</v>
      </c>
      <c r="W593" s="98" t="s">
        <v>50</v>
      </c>
      <c r="X593" s="98" t="s">
        <v>50</v>
      </c>
      <c r="Y593" s="622"/>
    </row>
    <row r="594" spans="1:25" s="98" customFormat="1" x14ac:dyDescent="0.25">
      <c r="A594" s="194">
        <v>43906</v>
      </c>
      <c r="B594" s="98" t="s">
        <v>43</v>
      </c>
      <c r="C594" s="98" t="s">
        <v>62</v>
      </c>
      <c r="D594" s="98">
        <v>38.169820000000001</v>
      </c>
      <c r="E594" s="98">
        <v>-121.93167</v>
      </c>
      <c r="F594" s="98" t="s">
        <v>3197</v>
      </c>
      <c r="G594" s="98" t="s">
        <v>27</v>
      </c>
      <c r="H594" s="98" t="s">
        <v>62</v>
      </c>
      <c r="I594" s="621">
        <v>0.47500000000000003</v>
      </c>
      <c r="J594" s="100">
        <v>3985.25</v>
      </c>
      <c r="K594" s="100">
        <v>13.424999999999999</v>
      </c>
      <c r="L594" s="100">
        <v>58</v>
      </c>
      <c r="M594" s="100">
        <v>0.33500000000000002</v>
      </c>
      <c r="N594" s="100">
        <v>8.8249999999999993</v>
      </c>
      <c r="O594" s="98" t="s">
        <v>48</v>
      </c>
      <c r="P594" s="98">
        <v>4</v>
      </c>
      <c r="Q594" s="98">
        <v>10</v>
      </c>
      <c r="R594" s="98" t="s">
        <v>49</v>
      </c>
      <c r="S594" s="98" t="s">
        <v>50</v>
      </c>
      <c r="T594" s="98" t="s">
        <v>50</v>
      </c>
      <c r="U594" s="98" t="s">
        <v>50</v>
      </c>
      <c r="V594" s="98" t="s">
        <v>50</v>
      </c>
      <c r="W594" s="98" t="s">
        <v>50</v>
      </c>
      <c r="X594" s="98" t="s">
        <v>50</v>
      </c>
      <c r="Y594" s="622"/>
    </row>
    <row r="595" spans="1:25" s="98" customFormat="1" x14ac:dyDescent="0.25">
      <c r="A595" s="194">
        <v>43907</v>
      </c>
      <c r="B595" s="98" t="s">
        <v>849</v>
      </c>
      <c r="C595" s="98" t="s">
        <v>88</v>
      </c>
      <c r="D595" s="98">
        <v>38.107289999999999</v>
      </c>
      <c r="E595" s="98">
        <v>-121.71023</v>
      </c>
      <c r="F595" s="98" t="s">
        <v>3198</v>
      </c>
      <c r="G595" s="98" t="s">
        <v>90</v>
      </c>
      <c r="H595" s="98" t="s">
        <v>91</v>
      </c>
      <c r="I595" s="621">
        <v>0.33194444444444443</v>
      </c>
      <c r="J595" s="100">
        <v>212.1</v>
      </c>
      <c r="K595" s="100">
        <v>13.7</v>
      </c>
      <c r="L595" s="100">
        <v>4.08</v>
      </c>
      <c r="M595" s="100" t="s">
        <v>1233</v>
      </c>
      <c r="N595" s="100">
        <v>4.8</v>
      </c>
      <c r="O595" s="98" t="s">
        <v>48</v>
      </c>
      <c r="P595" s="98">
        <v>4</v>
      </c>
      <c r="Q595" s="98">
        <v>10</v>
      </c>
      <c r="R595" s="98" t="s">
        <v>64</v>
      </c>
      <c r="S595" s="98" t="s">
        <v>50</v>
      </c>
      <c r="T595" s="98" t="s">
        <v>50</v>
      </c>
      <c r="U595" s="98" t="s">
        <v>50</v>
      </c>
      <c r="V595" s="98" t="s">
        <v>50</v>
      </c>
      <c r="W595" s="98" t="s">
        <v>50</v>
      </c>
      <c r="X595" s="98" t="s">
        <v>50</v>
      </c>
      <c r="Y595" s="622"/>
    </row>
    <row r="596" spans="1:25" s="98" customFormat="1" x14ac:dyDescent="0.25">
      <c r="A596" s="194">
        <v>43907</v>
      </c>
      <c r="B596" s="98" t="s">
        <v>849</v>
      </c>
      <c r="C596" s="98" t="s">
        <v>88</v>
      </c>
      <c r="D596" s="98">
        <v>38.119770000000003</v>
      </c>
      <c r="E596" s="98">
        <v>-121.69459999999999</v>
      </c>
      <c r="F596" s="98" t="s">
        <v>3199</v>
      </c>
      <c r="G596" s="98" t="s">
        <v>90</v>
      </c>
      <c r="H596" s="98" t="s">
        <v>91</v>
      </c>
      <c r="I596" s="621">
        <v>0.37986111111111115</v>
      </c>
      <c r="J596" s="100">
        <v>238.375</v>
      </c>
      <c r="K596" s="100">
        <v>13.575000000000001</v>
      </c>
      <c r="L596" s="100">
        <v>3.9225000000000003</v>
      </c>
      <c r="M596" s="100" t="s">
        <v>1233</v>
      </c>
      <c r="N596" s="100">
        <v>4.4249999999999998</v>
      </c>
      <c r="O596" s="98" t="s">
        <v>48</v>
      </c>
      <c r="P596" s="98">
        <v>4</v>
      </c>
      <c r="Q596" s="98">
        <v>10</v>
      </c>
      <c r="R596" s="98" t="s">
        <v>64</v>
      </c>
      <c r="S596" s="98" t="s">
        <v>50</v>
      </c>
      <c r="T596" s="98" t="s">
        <v>50</v>
      </c>
      <c r="U596" s="98" t="s">
        <v>50</v>
      </c>
      <c r="V596" s="98" t="s">
        <v>50</v>
      </c>
      <c r="W596" s="98" t="s">
        <v>50</v>
      </c>
      <c r="X596" s="98" t="s">
        <v>50</v>
      </c>
      <c r="Y596" s="622" t="s">
        <v>3200</v>
      </c>
    </row>
    <row r="597" spans="1:25" s="98" customFormat="1" x14ac:dyDescent="0.25">
      <c r="A597" s="194">
        <v>43907</v>
      </c>
      <c r="B597" s="98" t="s">
        <v>849</v>
      </c>
      <c r="C597" s="98" t="s">
        <v>88</v>
      </c>
      <c r="D597" s="98">
        <v>38.164969999999997</v>
      </c>
      <c r="E597" s="98">
        <v>-121.67592999999999</v>
      </c>
      <c r="F597" s="98" t="s">
        <v>3201</v>
      </c>
      <c r="G597" s="98" t="s">
        <v>90</v>
      </c>
      <c r="H597" s="98" t="s">
        <v>91</v>
      </c>
      <c r="I597" s="621">
        <v>0.42986111111111108</v>
      </c>
      <c r="J597" s="100">
        <v>204.17500000000001</v>
      </c>
      <c r="K597" s="100">
        <v>13.675000000000001</v>
      </c>
      <c r="L597" s="100">
        <v>3.0974999999999997</v>
      </c>
      <c r="M597" s="100" t="s">
        <v>1233</v>
      </c>
      <c r="N597" s="100">
        <v>7.6499999999999995</v>
      </c>
      <c r="O597" s="98" t="s">
        <v>48</v>
      </c>
      <c r="P597" s="98">
        <v>4</v>
      </c>
      <c r="Q597" s="98">
        <v>10</v>
      </c>
      <c r="R597" s="98" t="s">
        <v>64</v>
      </c>
      <c r="S597" s="98" t="s">
        <v>50</v>
      </c>
      <c r="T597" s="98" t="s">
        <v>50</v>
      </c>
      <c r="U597" s="98" t="s">
        <v>50</v>
      </c>
      <c r="V597" s="98" t="s">
        <v>50</v>
      </c>
      <c r="W597" s="98" t="s">
        <v>50</v>
      </c>
      <c r="X597" s="98" t="s">
        <v>50</v>
      </c>
      <c r="Y597" s="622"/>
    </row>
    <row r="598" spans="1:25" s="98" customFormat="1" x14ac:dyDescent="0.25">
      <c r="A598" s="194">
        <v>43907</v>
      </c>
      <c r="B598" s="98" t="s">
        <v>849</v>
      </c>
      <c r="C598" s="98" t="s">
        <v>44</v>
      </c>
      <c r="D598" s="98">
        <v>37.865929999999999</v>
      </c>
      <c r="E598" s="98">
        <v>-121.5421</v>
      </c>
      <c r="F598" s="98" t="s">
        <v>3202</v>
      </c>
      <c r="G598" s="98" t="s">
        <v>46</v>
      </c>
      <c r="H598" s="98" t="s">
        <v>202</v>
      </c>
      <c r="I598" s="621">
        <v>0.3527777777777778</v>
      </c>
      <c r="J598" s="100">
        <v>427.35</v>
      </c>
      <c r="K598" s="100">
        <v>13.55</v>
      </c>
      <c r="L598" s="100">
        <v>4.07</v>
      </c>
      <c r="M598" s="100" t="s">
        <v>1233</v>
      </c>
      <c r="N598" s="100">
        <v>5.3999999999999995</v>
      </c>
      <c r="O598" s="98" t="s">
        <v>48</v>
      </c>
      <c r="P598" s="98">
        <v>4</v>
      </c>
      <c r="Q598" s="98">
        <v>10</v>
      </c>
      <c r="R598" s="98" t="s">
        <v>49</v>
      </c>
      <c r="S598" s="98" t="s">
        <v>50</v>
      </c>
      <c r="T598" s="98" t="s">
        <v>50</v>
      </c>
      <c r="U598" s="98" t="s">
        <v>50</v>
      </c>
      <c r="V598" s="98" t="s">
        <v>50</v>
      </c>
      <c r="W598" s="98" t="s">
        <v>50</v>
      </c>
      <c r="X598" s="98" t="s">
        <v>50</v>
      </c>
      <c r="Y598" s="622"/>
    </row>
    <row r="599" spans="1:25" s="98" customFormat="1" x14ac:dyDescent="0.25">
      <c r="A599" s="194">
        <v>43907</v>
      </c>
      <c r="B599" s="98" t="s">
        <v>849</v>
      </c>
      <c r="C599" s="98" t="s">
        <v>44</v>
      </c>
      <c r="D599" s="98">
        <v>38.03745</v>
      </c>
      <c r="E599" s="98">
        <v>-121.57991</v>
      </c>
      <c r="F599" s="98" t="s">
        <v>3203</v>
      </c>
      <c r="G599" s="98" t="s">
        <v>46</v>
      </c>
      <c r="H599" s="98" t="s">
        <v>74</v>
      </c>
      <c r="I599" s="621">
        <v>0.4236111111111111</v>
      </c>
      <c r="J599" s="100">
        <v>311.96666666666664</v>
      </c>
      <c r="K599" s="100">
        <v>13.1</v>
      </c>
      <c r="L599" s="100">
        <v>4.166666666666667</v>
      </c>
      <c r="M599" s="100">
        <v>1.8</v>
      </c>
      <c r="N599" s="100">
        <v>5.7666666666666666</v>
      </c>
      <c r="O599" s="98" t="s">
        <v>48</v>
      </c>
      <c r="P599" s="98">
        <v>3</v>
      </c>
      <c r="Q599" s="98">
        <v>10</v>
      </c>
      <c r="R599" s="98" t="s">
        <v>64</v>
      </c>
      <c r="S599" s="98" t="s">
        <v>50</v>
      </c>
      <c r="T599" s="98" t="s">
        <v>50</v>
      </c>
      <c r="U599" s="98" t="s">
        <v>50</v>
      </c>
      <c r="V599" s="98" t="s">
        <v>50</v>
      </c>
      <c r="W599" s="98" t="s">
        <v>50</v>
      </c>
      <c r="X599" s="98" t="s">
        <v>50</v>
      </c>
      <c r="Y599" s="622" t="s">
        <v>3204</v>
      </c>
    </row>
    <row r="600" spans="1:25" s="98" customFormat="1" x14ac:dyDescent="0.25">
      <c r="A600" s="194">
        <v>43908</v>
      </c>
      <c r="B600" s="98" t="s">
        <v>915</v>
      </c>
      <c r="C600" s="98" t="s">
        <v>88</v>
      </c>
      <c r="D600" s="98">
        <v>38.062809999999999</v>
      </c>
      <c r="E600" s="98">
        <v>-121.83313</v>
      </c>
      <c r="F600" s="98" t="s">
        <v>3205</v>
      </c>
      <c r="G600" s="98" t="s">
        <v>27</v>
      </c>
      <c r="H600" s="98" t="s">
        <v>25</v>
      </c>
      <c r="I600" s="621">
        <v>0.3444444444444445</v>
      </c>
      <c r="J600" s="100">
        <v>2108.5</v>
      </c>
      <c r="K600" s="100">
        <v>13.6</v>
      </c>
      <c r="L600" s="100">
        <v>18.100000000000001</v>
      </c>
      <c r="M600" s="100">
        <v>0.63</v>
      </c>
      <c r="N600" s="100">
        <v>10</v>
      </c>
      <c r="O600" s="98" t="s">
        <v>48</v>
      </c>
      <c r="P600" s="98">
        <v>4</v>
      </c>
      <c r="Q600" s="98">
        <v>10</v>
      </c>
      <c r="R600" s="98" t="s">
        <v>64</v>
      </c>
      <c r="S600" s="98" t="s">
        <v>50</v>
      </c>
      <c r="T600" s="98" t="s">
        <v>50</v>
      </c>
      <c r="U600" s="98" t="s">
        <v>50</v>
      </c>
      <c r="V600" s="98" t="s">
        <v>50</v>
      </c>
      <c r="W600" s="98" t="s">
        <v>50</v>
      </c>
      <c r="X600" s="98" t="s">
        <v>50</v>
      </c>
      <c r="Y600" s="622" t="s">
        <v>3206</v>
      </c>
    </row>
    <row r="601" spans="1:25" s="98" customFormat="1" x14ac:dyDescent="0.25">
      <c r="A601" s="194">
        <v>43908</v>
      </c>
      <c r="B601" s="98" t="s">
        <v>915</v>
      </c>
      <c r="C601" s="98" t="s">
        <v>88</v>
      </c>
      <c r="D601" s="98">
        <v>38.06747</v>
      </c>
      <c r="E601" s="98">
        <v>-121.82682</v>
      </c>
      <c r="F601" s="98" t="s">
        <v>3207</v>
      </c>
      <c r="G601" s="98" t="s">
        <v>27</v>
      </c>
      <c r="H601" s="98" t="s">
        <v>25</v>
      </c>
      <c r="I601" s="621">
        <v>0.39305555555555555</v>
      </c>
      <c r="J601" s="100">
        <v>2225</v>
      </c>
      <c r="K601" s="100">
        <v>13.674999999999999</v>
      </c>
      <c r="L601" s="100">
        <v>27</v>
      </c>
      <c r="M601" s="100">
        <v>0.59</v>
      </c>
      <c r="N601" s="100">
        <v>8.2750000000000004</v>
      </c>
      <c r="O601" s="98" t="s">
        <v>48</v>
      </c>
      <c r="P601" s="98">
        <v>4</v>
      </c>
      <c r="Q601" s="98">
        <v>10</v>
      </c>
      <c r="R601" s="98" t="s">
        <v>64</v>
      </c>
      <c r="S601" s="98" t="s">
        <v>50</v>
      </c>
      <c r="T601" s="98" t="s">
        <v>50</v>
      </c>
      <c r="U601" s="98" t="s">
        <v>50</v>
      </c>
      <c r="V601" s="98" t="s">
        <v>50</v>
      </c>
      <c r="W601" s="98" t="s">
        <v>50</v>
      </c>
      <c r="X601" s="98" t="s">
        <v>50</v>
      </c>
      <c r="Y601" s="622"/>
    </row>
    <row r="602" spans="1:25" s="98" customFormat="1" x14ac:dyDescent="0.25">
      <c r="A602" s="194">
        <v>43908</v>
      </c>
      <c r="B602" s="98" t="s">
        <v>915</v>
      </c>
      <c r="C602" s="98" t="s">
        <v>88</v>
      </c>
      <c r="D602" s="98">
        <v>38.07367</v>
      </c>
      <c r="E602" s="98">
        <v>-121.77630000000001</v>
      </c>
      <c r="F602" s="98" t="s">
        <v>3208</v>
      </c>
      <c r="G602" s="98" t="s">
        <v>27</v>
      </c>
      <c r="H602" s="98" t="s">
        <v>25</v>
      </c>
      <c r="I602" s="621">
        <v>0.44305555555555554</v>
      </c>
      <c r="J602" s="100">
        <v>1097.75</v>
      </c>
      <c r="K602" s="100">
        <v>13.774999999999999</v>
      </c>
      <c r="L602" s="100">
        <v>34</v>
      </c>
      <c r="M602" s="100">
        <v>0.48499999999999999</v>
      </c>
      <c r="N602" s="100">
        <v>9.5749999999999993</v>
      </c>
      <c r="O602" s="98" t="s">
        <v>48</v>
      </c>
      <c r="P602" s="98">
        <v>4</v>
      </c>
      <c r="Q602" s="98">
        <v>10</v>
      </c>
      <c r="R602" s="98" t="s">
        <v>64</v>
      </c>
      <c r="S602" s="98" t="s">
        <v>50</v>
      </c>
      <c r="T602" s="98" t="s">
        <v>50</v>
      </c>
      <c r="U602" s="98" t="s">
        <v>50</v>
      </c>
      <c r="V602" s="98" t="s">
        <v>50</v>
      </c>
      <c r="W602" s="98" t="s">
        <v>50</v>
      </c>
      <c r="X602" s="98" t="s">
        <v>50</v>
      </c>
      <c r="Y602" s="622"/>
    </row>
    <row r="603" spans="1:25" s="98" customFormat="1" x14ac:dyDescent="0.25">
      <c r="A603" s="194">
        <v>43908</v>
      </c>
      <c r="B603" s="98" t="s">
        <v>915</v>
      </c>
      <c r="C603" s="98" t="s">
        <v>95</v>
      </c>
      <c r="D603" s="98">
        <v>38.018450000000001</v>
      </c>
      <c r="E603" s="98">
        <v>-121.80191000000001</v>
      </c>
      <c r="F603" s="98" t="s">
        <v>3209</v>
      </c>
      <c r="G603" s="98" t="s">
        <v>27</v>
      </c>
      <c r="H603" s="98" t="s">
        <v>863</v>
      </c>
      <c r="I603" s="621">
        <v>0.35555555555555557</v>
      </c>
      <c r="J603" s="100">
        <v>1118.5</v>
      </c>
      <c r="K603" s="100">
        <v>13.8</v>
      </c>
      <c r="L603" s="100">
        <v>10.399999999999999</v>
      </c>
      <c r="M603" s="100">
        <v>0.99750000000000016</v>
      </c>
      <c r="N603" s="100">
        <v>14.475</v>
      </c>
      <c r="O603" s="98" t="s">
        <v>48</v>
      </c>
      <c r="P603" s="98">
        <v>4</v>
      </c>
      <c r="Q603" s="98">
        <v>10</v>
      </c>
      <c r="R603" s="98" t="s">
        <v>49</v>
      </c>
      <c r="S603" s="98" t="s">
        <v>50</v>
      </c>
      <c r="T603" s="98" t="s">
        <v>50</v>
      </c>
      <c r="U603" s="98" t="s">
        <v>50</v>
      </c>
      <c r="V603" s="98" t="s">
        <v>50</v>
      </c>
      <c r="W603" s="98" t="s">
        <v>50</v>
      </c>
      <c r="X603" s="98" t="s">
        <v>50</v>
      </c>
      <c r="Y603" s="622"/>
    </row>
    <row r="604" spans="1:25" s="98" customFormat="1" x14ac:dyDescent="0.25">
      <c r="A604" s="194">
        <v>43908</v>
      </c>
      <c r="B604" s="98" t="s">
        <v>915</v>
      </c>
      <c r="C604" s="98" t="s">
        <v>95</v>
      </c>
      <c r="D604" s="98">
        <v>38.021279999999997</v>
      </c>
      <c r="E604" s="98">
        <v>-121.75681</v>
      </c>
      <c r="F604" s="98" t="s">
        <v>3210</v>
      </c>
      <c r="G604" s="98" t="s">
        <v>27</v>
      </c>
      <c r="H604" s="98" t="s">
        <v>863</v>
      </c>
      <c r="I604" s="621">
        <v>0.40972222222222227</v>
      </c>
      <c r="J604" s="100">
        <v>891.25</v>
      </c>
      <c r="K604" s="100">
        <v>13.8</v>
      </c>
      <c r="L604" s="100">
        <v>12.55</v>
      </c>
      <c r="M604" s="100">
        <v>1.1425000000000001</v>
      </c>
      <c r="N604" s="100">
        <v>4.875</v>
      </c>
      <c r="O604" s="98" t="s">
        <v>48</v>
      </c>
      <c r="P604" s="98">
        <v>4</v>
      </c>
      <c r="Q604" s="98">
        <v>10</v>
      </c>
      <c r="R604" s="98" t="s">
        <v>64</v>
      </c>
      <c r="S604" s="98" t="s">
        <v>50</v>
      </c>
      <c r="T604" s="98" t="s">
        <v>50</v>
      </c>
      <c r="U604" s="98" t="s">
        <v>50</v>
      </c>
      <c r="V604" s="98" t="s">
        <v>50</v>
      </c>
      <c r="W604" s="98" t="s">
        <v>50</v>
      </c>
      <c r="X604" s="98" t="s">
        <v>50</v>
      </c>
      <c r="Y604" s="622"/>
    </row>
    <row r="605" spans="1:25" s="98" customFormat="1" x14ac:dyDescent="0.25">
      <c r="A605" s="194">
        <v>43908</v>
      </c>
      <c r="B605" s="98" t="s">
        <v>915</v>
      </c>
      <c r="C605" s="98" t="s">
        <v>95</v>
      </c>
      <c r="D605" s="98">
        <v>38.021599999999999</v>
      </c>
      <c r="E605" s="98">
        <v>-121.73106</v>
      </c>
      <c r="F605" s="98" t="s">
        <v>3211</v>
      </c>
      <c r="G605" s="98" t="s">
        <v>27</v>
      </c>
      <c r="H605" s="98" t="s">
        <v>863</v>
      </c>
      <c r="I605" s="621">
        <v>0.46180555555555558</v>
      </c>
      <c r="J605" s="100">
        <v>753.25</v>
      </c>
      <c r="K605" s="100">
        <v>13.774999999999999</v>
      </c>
      <c r="L605" s="100">
        <v>13.149999999999999</v>
      </c>
      <c r="M605" s="100">
        <v>1.3</v>
      </c>
      <c r="N605" s="100">
        <v>3.0500000000000003</v>
      </c>
      <c r="O605" s="98" t="s">
        <v>48</v>
      </c>
      <c r="P605" s="98">
        <v>4</v>
      </c>
      <c r="Q605" s="98">
        <v>10</v>
      </c>
      <c r="R605" s="98" t="s">
        <v>64</v>
      </c>
      <c r="S605" s="98" t="s">
        <v>50</v>
      </c>
      <c r="T605" s="98" t="s">
        <v>50</v>
      </c>
      <c r="U605" s="98" t="s">
        <v>50</v>
      </c>
      <c r="V605" s="98" t="s">
        <v>50</v>
      </c>
      <c r="W605" s="98" t="s">
        <v>50</v>
      </c>
      <c r="X605" s="98" t="s">
        <v>50</v>
      </c>
      <c r="Y605" s="622"/>
    </row>
    <row r="606" spans="1:25" s="98" customFormat="1" x14ac:dyDescent="0.25">
      <c r="A606" s="194">
        <v>43908</v>
      </c>
      <c r="B606" s="98" t="s">
        <v>915</v>
      </c>
      <c r="C606" s="98" t="s">
        <v>78</v>
      </c>
      <c r="D606" s="98">
        <v>38.063180000000003</v>
      </c>
      <c r="E606" s="98">
        <v>-122.11047000000001</v>
      </c>
      <c r="F606" s="98" t="s">
        <v>3212</v>
      </c>
      <c r="G606" s="98" t="s">
        <v>80</v>
      </c>
      <c r="H606" s="98" t="s">
        <v>81</v>
      </c>
      <c r="I606" s="621">
        <v>0.35694444444444445</v>
      </c>
      <c r="J606" s="100">
        <v>15430.75</v>
      </c>
      <c r="K606" s="100">
        <v>13.125</v>
      </c>
      <c r="L606" s="100">
        <v>18.074999999999999</v>
      </c>
      <c r="M606" s="100">
        <v>0.5</v>
      </c>
      <c r="N606" s="100">
        <v>7.6000000000000005</v>
      </c>
      <c r="O606" s="98" t="s">
        <v>48</v>
      </c>
      <c r="P606" s="98">
        <v>4</v>
      </c>
      <c r="Q606" s="98">
        <v>10</v>
      </c>
      <c r="R606" s="98" t="s">
        <v>64</v>
      </c>
      <c r="S606" s="98" t="s">
        <v>50</v>
      </c>
      <c r="T606" s="98" t="s">
        <v>50</v>
      </c>
      <c r="U606" s="98" t="s">
        <v>50</v>
      </c>
      <c r="V606" s="98" t="s">
        <v>50</v>
      </c>
      <c r="W606" s="98" t="s">
        <v>50</v>
      </c>
      <c r="X606" s="98" t="s">
        <v>50</v>
      </c>
      <c r="Y606" s="622"/>
    </row>
    <row r="607" spans="1:25" s="98" customFormat="1" x14ac:dyDescent="0.25">
      <c r="A607" s="194">
        <v>43908</v>
      </c>
      <c r="B607" s="98" t="s">
        <v>915</v>
      </c>
      <c r="C607" s="98" t="s">
        <v>78</v>
      </c>
      <c r="D607" s="98">
        <v>38.072389999999999</v>
      </c>
      <c r="E607" s="98">
        <v>-122.10046</v>
      </c>
      <c r="F607" s="98" t="s">
        <v>3213</v>
      </c>
      <c r="G607" s="98" t="s">
        <v>80</v>
      </c>
      <c r="H607" s="98" t="s">
        <v>81</v>
      </c>
      <c r="I607" s="621">
        <v>0.40347222222222223</v>
      </c>
      <c r="J607" s="100">
        <v>16717.5</v>
      </c>
      <c r="K607" s="100">
        <v>13.100000000000001</v>
      </c>
      <c r="L607" s="100">
        <v>17.450000000000003</v>
      </c>
      <c r="M607" s="100">
        <v>0.60750000000000004</v>
      </c>
      <c r="N607" s="100">
        <v>7.5250000000000004</v>
      </c>
      <c r="O607" s="98" t="s">
        <v>48</v>
      </c>
      <c r="P607" s="98">
        <v>4</v>
      </c>
      <c r="Q607" s="98">
        <v>10</v>
      </c>
      <c r="R607" s="98" t="s">
        <v>64</v>
      </c>
      <c r="S607" s="98" t="s">
        <v>50</v>
      </c>
      <c r="T607" s="98" t="s">
        <v>50</v>
      </c>
      <c r="U607" s="98" t="s">
        <v>50</v>
      </c>
      <c r="V607" s="98" t="s">
        <v>50</v>
      </c>
      <c r="W607" s="98" t="s">
        <v>50</v>
      </c>
      <c r="X607" s="98" t="s">
        <v>50</v>
      </c>
      <c r="Y607" s="622"/>
    </row>
    <row r="608" spans="1:25" s="154" customFormat="1" x14ac:dyDescent="0.25">
      <c r="A608" s="195">
        <v>43908</v>
      </c>
      <c r="B608" s="154" t="s">
        <v>915</v>
      </c>
      <c r="C608" s="154" t="s">
        <v>78</v>
      </c>
      <c r="D608" s="154">
        <v>38.073039999999999</v>
      </c>
      <c r="E608" s="154">
        <v>-122.05603000000001</v>
      </c>
      <c r="F608" s="154" t="s">
        <v>3214</v>
      </c>
      <c r="G608" s="154" t="s">
        <v>80</v>
      </c>
      <c r="H608" s="154" t="s">
        <v>81</v>
      </c>
      <c r="I608" s="636">
        <v>0.4513888888888889</v>
      </c>
      <c r="J608" s="154" t="s">
        <v>50</v>
      </c>
      <c r="K608" s="154" t="s">
        <v>50</v>
      </c>
      <c r="L608" s="154" t="s">
        <v>50</v>
      </c>
      <c r="M608" s="154" t="s">
        <v>50</v>
      </c>
      <c r="N608" s="154" t="s">
        <v>50</v>
      </c>
      <c r="O608" s="154" t="s">
        <v>48</v>
      </c>
      <c r="P608" s="154">
        <v>0</v>
      </c>
      <c r="Q608" s="154" t="s">
        <v>50</v>
      </c>
      <c r="R608" s="154" t="s">
        <v>50</v>
      </c>
      <c r="S608" s="154" t="s">
        <v>50</v>
      </c>
      <c r="T608" s="154" t="s">
        <v>50</v>
      </c>
      <c r="U608" s="154" t="s">
        <v>50</v>
      </c>
      <c r="V608" s="154" t="s">
        <v>50</v>
      </c>
      <c r="W608" s="154" t="s">
        <v>50</v>
      </c>
      <c r="X608" s="154" t="s">
        <v>50</v>
      </c>
      <c r="Y608" s="627" t="s">
        <v>3094</v>
      </c>
    </row>
    <row r="609" spans="1:25" s="98" customFormat="1" x14ac:dyDescent="0.25">
      <c r="A609" s="194">
        <v>43908</v>
      </c>
      <c r="B609" s="98" t="s">
        <v>915</v>
      </c>
      <c r="C609" s="98" t="s">
        <v>78</v>
      </c>
      <c r="D609" s="98">
        <v>38.072600000000001</v>
      </c>
      <c r="E609" s="98">
        <v>-122.01130999999999</v>
      </c>
      <c r="F609" s="98" t="s">
        <v>3215</v>
      </c>
      <c r="G609" s="98" t="s">
        <v>27</v>
      </c>
      <c r="H609" s="98" t="s">
        <v>86</v>
      </c>
      <c r="I609" s="621">
        <v>0.45694444444444443</v>
      </c>
      <c r="J609" s="100">
        <v>12547.5</v>
      </c>
      <c r="K609" s="100">
        <v>13.35</v>
      </c>
      <c r="L609" s="100">
        <v>30.875</v>
      </c>
      <c r="M609" s="100">
        <v>0.4975</v>
      </c>
      <c r="N609" s="100">
        <v>9.625</v>
      </c>
      <c r="O609" s="98" t="s">
        <v>48</v>
      </c>
      <c r="P609" s="98">
        <v>4</v>
      </c>
      <c r="Q609" s="98">
        <v>10</v>
      </c>
      <c r="R609" s="98" t="s">
        <v>64</v>
      </c>
      <c r="S609" s="98" t="s">
        <v>50</v>
      </c>
      <c r="T609" s="98" t="s">
        <v>50</v>
      </c>
      <c r="U609" s="98" t="s">
        <v>50</v>
      </c>
      <c r="V609" s="98" t="s">
        <v>50</v>
      </c>
      <c r="W609" s="98" t="s">
        <v>50</v>
      </c>
      <c r="X609" s="98" t="s">
        <v>50</v>
      </c>
      <c r="Y609" s="622" t="s">
        <v>1497</v>
      </c>
    </row>
    <row r="610" spans="1:25" s="154" customFormat="1" x14ac:dyDescent="0.25">
      <c r="A610" s="195">
        <v>43909</v>
      </c>
      <c r="B610" s="154" t="s">
        <v>876</v>
      </c>
      <c r="C610" s="154" t="s">
        <v>126</v>
      </c>
      <c r="D610" s="154">
        <v>38.279580000000003</v>
      </c>
      <c r="E610" s="154">
        <v>-121.71028</v>
      </c>
      <c r="F610" s="154" t="s">
        <v>3216</v>
      </c>
      <c r="G610" s="154" t="s">
        <v>90</v>
      </c>
      <c r="H610" s="154" t="s">
        <v>845</v>
      </c>
      <c r="I610" s="636">
        <v>0.33333333333333331</v>
      </c>
      <c r="J610" s="154" t="s">
        <v>50</v>
      </c>
      <c r="K610" s="154" t="s">
        <v>50</v>
      </c>
      <c r="L610" s="154" t="s">
        <v>50</v>
      </c>
      <c r="M610" s="154" t="s">
        <v>50</v>
      </c>
      <c r="N610" s="154" t="s">
        <v>50</v>
      </c>
      <c r="O610" s="154" t="s">
        <v>48</v>
      </c>
      <c r="P610" s="154">
        <v>0</v>
      </c>
      <c r="Q610" s="154" t="s">
        <v>50</v>
      </c>
      <c r="R610" s="154" t="s">
        <v>50</v>
      </c>
      <c r="S610" s="154" t="s">
        <v>50</v>
      </c>
      <c r="T610" s="154" t="s">
        <v>50</v>
      </c>
      <c r="U610" s="154" t="s">
        <v>50</v>
      </c>
      <c r="V610" s="154" t="s">
        <v>50</v>
      </c>
      <c r="W610" s="154" t="s">
        <v>50</v>
      </c>
      <c r="X610" s="154" t="s">
        <v>50</v>
      </c>
      <c r="Y610" s="627" t="s">
        <v>3217</v>
      </c>
    </row>
    <row r="611" spans="1:25" s="154" customFormat="1" x14ac:dyDescent="0.25">
      <c r="A611" s="195">
        <v>43909</v>
      </c>
      <c r="B611" s="154" t="s">
        <v>876</v>
      </c>
      <c r="C611" s="154" t="s">
        <v>126</v>
      </c>
      <c r="D611" s="154">
        <v>38.261150000000001</v>
      </c>
      <c r="E611" s="154">
        <v>-121.77558999999999</v>
      </c>
      <c r="F611" s="154" t="s">
        <v>3218</v>
      </c>
      <c r="G611" s="154" t="s">
        <v>90</v>
      </c>
      <c r="H611" s="154" t="s">
        <v>845</v>
      </c>
      <c r="I611" s="636">
        <v>0.33680555555555558</v>
      </c>
      <c r="J611" s="154" t="s">
        <v>50</v>
      </c>
      <c r="K611" s="154" t="s">
        <v>50</v>
      </c>
      <c r="L611" s="154" t="s">
        <v>50</v>
      </c>
      <c r="M611" s="154" t="s">
        <v>50</v>
      </c>
      <c r="N611" s="154" t="s">
        <v>50</v>
      </c>
      <c r="O611" s="154" t="s">
        <v>48</v>
      </c>
      <c r="P611" s="154">
        <v>0</v>
      </c>
      <c r="Q611" s="154" t="s">
        <v>50</v>
      </c>
      <c r="R611" s="154" t="s">
        <v>50</v>
      </c>
      <c r="S611" s="154" t="s">
        <v>50</v>
      </c>
      <c r="T611" s="154" t="s">
        <v>50</v>
      </c>
      <c r="U611" s="154" t="s">
        <v>50</v>
      </c>
      <c r="V611" s="154" t="s">
        <v>50</v>
      </c>
      <c r="W611" s="154" t="s">
        <v>50</v>
      </c>
      <c r="X611" s="154" t="s">
        <v>50</v>
      </c>
      <c r="Y611" s="627" t="s">
        <v>3217</v>
      </c>
    </row>
    <row r="612" spans="1:25" s="98" customFormat="1" x14ac:dyDescent="0.25">
      <c r="A612" s="194">
        <v>43909</v>
      </c>
      <c r="B612" s="98" t="s">
        <v>876</v>
      </c>
      <c r="C612" s="98" t="s">
        <v>126</v>
      </c>
      <c r="D612" s="98">
        <v>38.249679999999998</v>
      </c>
      <c r="E612" s="98">
        <v>-121.68765999999999</v>
      </c>
      <c r="F612" s="98" t="s">
        <v>3219</v>
      </c>
      <c r="G612" s="98" t="s">
        <v>90</v>
      </c>
      <c r="H612" s="98" t="s">
        <v>845</v>
      </c>
      <c r="I612" s="621">
        <v>0.38819444444444445</v>
      </c>
      <c r="J612" s="100">
        <v>258.42499999999995</v>
      </c>
      <c r="K612" s="100">
        <v>13.149999999999999</v>
      </c>
      <c r="L612" s="100">
        <v>4.5324999999999998</v>
      </c>
      <c r="M612" s="100">
        <v>1.8</v>
      </c>
      <c r="N612" s="100">
        <v>11.850000000000001</v>
      </c>
      <c r="O612" s="98" t="s">
        <v>48</v>
      </c>
      <c r="P612" s="98">
        <v>4</v>
      </c>
      <c r="Q612" s="98">
        <v>10</v>
      </c>
      <c r="R612" s="98" t="s">
        <v>64</v>
      </c>
      <c r="S612" s="98" t="s">
        <v>50</v>
      </c>
      <c r="T612" s="98" t="s">
        <v>50</v>
      </c>
      <c r="U612" s="98" t="s">
        <v>50</v>
      </c>
      <c r="V612" s="98" t="s">
        <v>50</v>
      </c>
      <c r="W612" s="98" t="s">
        <v>50</v>
      </c>
      <c r="X612" s="98" t="s">
        <v>50</v>
      </c>
      <c r="Y612" s="622"/>
    </row>
    <row r="613" spans="1:25" s="98" customFormat="1" x14ac:dyDescent="0.25">
      <c r="A613" s="194">
        <v>43909</v>
      </c>
      <c r="B613" s="98" t="s">
        <v>876</v>
      </c>
      <c r="C613" s="98" t="s">
        <v>126</v>
      </c>
      <c r="D613" s="98">
        <v>38.24485</v>
      </c>
      <c r="E613" s="98">
        <v>-121.69606</v>
      </c>
      <c r="F613" s="98" t="s">
        <v>3220</v>
      </c>
      <c r="G613" s="98" t="s">
        <v>90</v>
      </c>
      <c r="H613" s="98" t="s">
        <v>845</v>
      </c>
      <c r="I613" s="621">
        <v>0.34652777777777777</v>
      </c>
      <c r="J613" s="100">
        <v>271.53333333333336</v>
      </c>
      <c r="K613" s="100">
        <v>13.1</v>
      </c>
      <c r="L613" s="100">
        <v>3.6966666666666668</v>
      </c>
      <c r="M613" s="100">
        <v>1.8</v>
      </c>
      <c r="N613" s="100">
        <v>8.9666666666666668</v>
      </c>
      <c r="O613" s="98" t="s">
        <v>48</v>
      </c>
      <c r="P613" s="98">
        <v>3</v>
      </c>
      <c r="Q613" s="98">
        <v>10</v>
      </c>
      <c r="R613" s="98" t="s">
        <v>49</v>
      </c>
      <c r="S613" s="98" t="s">
        <v>50</v>
      </c>
      <c r="T613" s="98" t="s">
        <v>50</v>
      </c>
      <c r="U613" s="98" t="s">
        <v>50</v>
      </c>
      <c r="V613" s="98" t="s">
        <v>50</v>
      </c>
      <c r="W613" s="98" t="s">
        <v>50</v>
      </c>
      <c r="X613" s="98" t="s">
        <v>50</v>
      </c>
      <c r="Y613" s="622" t="s">
        <v>3221</v>
      </c>
    </row>
    <row r="614" spans="1:25" s="98" customFormat="1" x14ac:dyDescent="0.25">
      <c r="A614" s="194">
        <v>43909</v>
      </c>
      <c r="B614" s="98" t="s">
        <v>876</v>
      </c>
      <c r="C614" s="98" t="s">
        <v>126</v>
      </c>
      <c r="D614" s="98">
        <v>38.247199999999999</v>
      </c>
      <c r="E614" s="98">
        <v>-121.67631</v>
      </c>
      <c r="F614" s="98" t="s">
        <v>3222</v>
      </c>
      <c r="G614" s="98" t="s">
        <v>90</v>
      </c>
      <c r="H614" s="98" t="s">
        <v>845</v>
      </c>
      <c r="I614" s="621">
        <v>0.43472222222222223</v>
      </c>
      <c r="J614" s="100">
        <v>251.02500000000001</v>
      </c>
      <c r="K614" s="100">
        <v>13.149999999999999</v>
      </c>
      <c r="L614" s="100">
        <v>6.4074999999999998</v>
      </c>
      <c r="M614" s="100">
        <v>1.8</v>
      </c>
      <c r="N614" s="100">
        <v>14.775</v>
      </c>
      <c r="O614" s="98" t="s">
        <v>48</v>
      </c>
      <c r="P614" s="98">
        <v>4</v>
      </c>
      <c r="Q614" s="98">
        <v>10</v>
      </c>
      <c r="R614" s="98" t="s">
        <v>64</v>
      </c>
      <c r="S614" s="98" t="s">
        <v>50</v>
      </c>
      <c r="T614" s="98" t="s">
        <v>50</v>
      </c>
      <c r="U614" s="98" t="s">
        <v>50</v>
      </c>
      <c r="V614" s="98" t="s">
        <v>50</v>
      </c>
      <c r="W614" s="98" t="s">
        <v>50</v>
      </c>
      <c r="X614" s="98" t="s">
        <v>50</v>
      </c>
      <c r="Y614" s="622"/>
    </row>
    <row r="615" spans="1:25" s="98" customFormat="1" x14ac:dyDescent="0.25">
      <c r="A615" s="194">
        <v>43909</v>
      </c>
      <c r="B615" s="98" t="s">
        <v>876</v>
      </c>
      <c r="C615" s="98" t="s">
        <v>78</v>
      </c>
      <c r="D615" s="98">
        <v>38.092219999999998</v>
      </c>
      <c r="E615" s="98">
        <v>-122.01535</v>
      </c>
      <c r="F615" s="98" t="s">
        <v>3223</v>
      </c>
      <c r="G615" s="98" t="s">
        <v>27</v>
      </c>
      <c r="H615" s="98" t="s">
        <v>86</v>
      </c>
      <c r="I615" s="621">
        <v>0.3520833333333333</v>
      </c>
      <c r="J615" s="100">
        <v>10372.75</v>
      </c>
      <c r="K615" s="100">
        <v>13.475</v>
      </c>
      <c r="L615" s="100">
        <v>30.024999999999999</v>
      </c>
      <c r="M615" s="100">
        <v>0.42499999999999999</v>
      </c>
      <c r="N615" s="100">
        <v>10.574999999999999</v>
      </c>
      <c r="O615" s="98" t="s">
        <v>48</v>
      </c>
      <c r="P615" s="98">
        <v>4</v>
      </c>
      <c r="Q615" s="98">
        <v>10</v>
      </c>
      <c r="R615" s="98" t="s">
        <v>64</v>
      </c>
      <c r="S615" s="98" t="s">
        <v>50</v>
      </c>
      <c r="T615" s="98" t="s">
        <v>50</v>
      </c>
      <c r="U615" s="98" t="s">
        <v>50</v>
      </c>
      <c r="V615" s="98" t="s">
        <v>50</v>
      </c>
      <c r="W615" s="98" t="s">
        <v>50</v>
      </c>
      <c r="X615" s="98" t="s">
        <v>50</v>
      </c>
      <c r="Y615" s="622"/>
    </row>
    <row r="616" spans="1:25" s="98" customFormat="1" x14ac:dyDescent="0.25">
      <c r="A616" s="194">
        <v>43909</v>
      </c>
      <c r="B616" s="98" t="s">
        <v>876</v>
      </c>
      <c r="C616" s="98" t="s">
        <v>78</v>
      </c>
      <c r="D616" s="98">
        <v>38.063279999999999</v>
      </c>
      <c r="E616" s="98">
        <v>-121.97076</v>
      </c>
      <c r="F616" s="98" t="s">
        <v>3224</v>
      </c>
      <c r="G616" s="98" t="s">
        <v>27</v>
      </c>
      <c r="H616" s="98" t="s">
        <v>86</v>
      </c>
      <c r="I616" s="621">
        <v>0.39999999999999997</v>
      </c>
      <c r="J616" s="100">
        <v>7279.25</v>
      </c>
      <c r="K616" s="100">
        <v>13.65</v>
      </c>
      <c r="L616" s="100">
        <v>20.174999999999997</v>
      </c>
      <c r="M616" s="100">
        <v>0.65</v>
      </c>
      <c r="N616" s="100">
        <v>7.875</v>
      </c>
      <c r="O616" s="98" t="s">
        <v>48</v>
      </c>
      <c r="P616" s="98">
        <v>4</v>
      </c>
      <c r="Q616" s="98">
        <v>10</v>
      </c>
      <c r="R616" s="98" t="s">
        <v>64</v>
      </c>
      <c r="S616" s="98" t="s">
        <v>50</v>
      </c>
      <c r="T616" s="98" t="s">
        <v>50</v>
      </c>
      <c r="U616" s="98" t="s">
        <v>50</v>
      </c>
      <c r="V616" s="98" t="s">
        <v>50</v>
      </c>
      <c r="W616" s="98" t="s">
        <v>50</v>
      </c>
      <c r="X616" s="98" t="s">
        <v>50</v>
      </c>
      <c r="Y616" s="622"/>
    </row>
    <row r="617" spans="1:25" s="98" customFormat="1" x14ac:dyDescent="0.25">
      <c r="A617" s="194">
        <v>43909</v>
      </c>
      <c r="B617" s="98" t="s">
        <v>876</v>
      </c>
      <c r="C617" s="98" t="s">
        <v>78</v>
      </c>
      <c r="D617" s="98">
        <v>38.048380000000002</v>
      </c>
      <c r="E617" s="98">
        <v>-121.91659</v>
      </c>
      <c r="F617" s="98" t="s">
        <v>3225</v>
      </c>
      <c r="G617" s="98" t="s">
        <v>27</v>
      </c>
      <c r="H617" s="98" t="s">
        <v>101</v>
      </c>
      <c r="I617" s="621">
        <v>0.44861111111111113</v>
      </c>
      <c r="J617" s="100">
        <v>7727</v>
      </c>
      <c r="K617" s="100">
        <v>13.674999999999999</v>
      </c>
      <c r="L617" s="100">
        <v>29.5</v>
      </c>
      <c r="M617" s="100">
        <v>0.54500000000000004</v>
      </c>
      <c r="N617" s="100">
        <v>10.824999999999999</v>
      </c>
      <c r="O617" s="98" t="s">
        <v>48</v>
      </c>
      <c r="P617" s="98">
        <v>4</v>
      </c>
      <c r="Q617" s="98">
        <v>10</v>
      </c>
      <c r="R617" s="98" t="s">
        <v>64</v>
      </c>
      <c r="S617" s="98" t="s">
        <v>50</v>
      </c>
      <c r="T617" s="98" t="s">
        <v>50</v>
      </c>
      <c r="U617" s="98" t="s">
        <v>50</v>
      </c>
      <c r="V617" s="98" t="s">
        <v>50</v>
      </c>
      <c r="W617" s="98" t="s">
        <v>50</v>
      </c>
      <c r="X617" s="98" t="s">
        <v>50</v>
      </c>
      <c r="Y617" s="622"/>
    </row>
    <row r="618" spans="1:25" s="98" customFormat="1" x14ac:dyDescent="0.25">
      <c r="A618" s="194">
        <v>43909</v>
      </c>
      <c r="B618" s="98" t="s">
        <v>876</v>
      </c>
      <c r="C618" s="98" t="s">
        <v>95</v>
      </c>
      <c r="D618" s="98">
        <v>38.094009999999997</v>
      </c>
      <c r="E618" s="98">
        <v>-121.66656999999999</v>
      </c>
      <c r="F618" s="98" t="s">
        <v>3226</v>
      </c>
      <c r="G618" s="98" t="s">
        <v>46</v>
      </c>
      <c r="H618" s="98" t="s">
        <v>908</v>
      </c>
      <c r="I618" s="621">
        <v>0.35069444444444442</v>
      </c>
      <c r="J618" s="100">
        <v>275.05</v>
      </c>
      <c r="K618" s="100">
        <v>13.8</v>
      </c>
      <c r="L618" s="100">
        <v>5.5274999999999999</v>
      </c>
      <c r="M618" s="100">
        <v>1.8</v>
      </c>
      <c r="N618" s="100">
        <v>9.0500000000000007</v>
      </c>
      <c r="O618" s="98" t="s">
        <v>48</v>
      </c>
      <c r="P618" s="98">
        <v>4</v>
      </c>
      <c r="Q618" s="98">
        <v>10</v>
      </c>
      <c r="R618" s="98" t="s">
        <v>49</v>
      </c>
      <c r="S618" s="98" t="s">
        <v>50</v>
      </c>
      <c r="T618" s="98" t="s">
        <v>50</v>
      </c>
      <c r="U618" s="98" t="s">
        <v>50</v>
      </c>
      <c r="V618" s="98" t="s">
        <v>50</v>
      </c>
      <c r="W618" s="98" t="s">
        <v>50</v>
      </c>
      <c r="X618" s="98" t="s">
        <v>50</v>
      </c>
      <c r="Y618" s="622"/>
    </row>
    <row r="619" spans="1:25" s="98" customFormat="1" x14ac:dyDescent="0.25">
      <c r="A619" s="194">
        <v>43909</v>
      </c>
      <c r="B619" s="98" t="s">
        <v>876</v>
      </c>
      <c r="C619" s="98" t="s">
        <v>95</v>
      </c>
      <c r="D619" s="98">
        <v>38.093449999999997</v>
      </c>
      <c r="E619" s="98">
        <v>-121.62371</v>
      </c>
      <c r="F619" s="98" t="s">
        <v>3227</v>
      </c>
      <c r="G619" s="98" t="s">
        <v>46</v>
      </c>
      <c r="H619" s="98" t="s">
        <v>908</v>
      </c>
      <c r="I619" s="621">
        <v>0.40347222222222223</v>
      </c>
      <c r="J619" s="100">
        <v>257.10000000000002</v>
      </c>
      <c r="K619" s="100">
        <v>13.774999999999999</v>
      </c>
      <c r="L619" s="100">
        <v>4.6674999999999995</v>
      </c>
      <c r="M619" s="100">
        <v>1.8</v>
      </c>
      <c r="N619" s="100">
        <v>6.5</v>
      </c>
      <c r="O619" s="98" t="s">
        <v>48</v>
      </c>
      <c r="P619" s="98">
        <v>4</v>
      </c>
      <c r="Q619" s="98">
        <v>10</v>
      </c>
      <c r="R619" s="98" t="s">
        <v>64</v>
      </c>
      <c r="S619" s="98" t="s">
        <v>50</v>
      </c>
      <c r="T619" s="98" t="s">
        <v>50</v>
      </c>
      <c r="U619" s="98" t="s">
        <v>50</v>
      </c>
      <c r="V619" s="98" t="s">
        <v>50</v>
      </c>
      <c r="W619" s="98" t="s">
        <v>50</v>
      </c>
      <c r="X619" s="98" t="s">
        <v>50</v>
      </c>
      <c r="Y619" s="622"/>
    </row>
    <row r="620" spans="1:25" s="98" customFormat="1" x14ac:dyDescent="0.25">
      <c r="A620" s="194">
        <v>43909</v>
      </c>
      <c r="B620" s="98" t="s">
        <v>876</v>
      </c>
      <c r="C620" s="98" t="s">
        <v>95</v>
      </c>
      <c r="D620" s="98">
        <v>38.085009999999997</v>
      </c>
      <c r="E620" s="98">
        <v>-121.56666</v>
      </c>
      <c r="F620" s="98" t="s">
        <v>3228</v>
      </c>
      <c r="G620" s="98" t="s">
        <v>46</v>
      </c>
      <c r="H620" s="98" t="s">
        <v>115</v>
      </c>
      <c r="I620" s="621">
        <v>0.46666666666666662</v>
      </c>
      <c r="J620" s="100">
        <v>232.27500000000001</v>
      </c>
      <c r="K620" s="100">
        <v>13.875</v>
      </c>
      <c r="L620" s="100">
        <v>4.0249999999999995</v>
      </c>
      <c r="M620" s="100">
        <v>1.8</v>
      </c>
      <c r="N620" s="100">
        <v>8.0250000000000004</v>
      </c>
      <c r="O620" s="98" t="s">
        <v>48</v>
      </c>
      <c r="P620" s="98">
        <v>4</v>
      </c>
      <c r="Q620" s="98">
        <v>10</v>
      </c>
      <c r="R620" s="98" t="s">
        <v>64</v>
      </c>
      <c r="S620" s="98" t="s">
        <v>50</v>
      </c>
      <c r="T620" s="98" t="s">
        <v>50</v>
      </c>
      <c r="U620" s="98" t="s">
        <v>50</v>
      </c>
      <c r="V620" s="98" t="s">
        <v>50</v>
      </c>
      <c r="W620" s="98" t="s">
        <v>50</v>
      </c>
      <c r="X620" s="98" t="s">
        <v>50</v>
      </c>
      <c r="Y620" s="622" t="s">
        <v>139</v>
      </c>
    </row>
    <row r="621" spans="1:25" s="98" customFormat="1" x14ac:dyDescent="0.25">
      <c r="A621" s="194">
        <v>43910</v>
      </c>
      <c r="B621" s="98" t="s">
        <v>125</v>
      </c>
      <c r="C621" s="98" t="s">
        <v>118</v>
      </c>
      <c r="D621" s="98">
        <v>38.026009999999999</v>
      </c>
      <c r="E621" s="98">
        <v>-122.29316</v>
      </c>
      <c r="F621" s="98" t="s">
        <v>3229</v>
      </c>
      <c r="G621" s="98" t="s">
        <v>80</v>
      </c>
      <c r="H621" s="98" t="s">
        <v>123</v>
      </c>
      <c r="I621" s="621">
        <v>0.35625000000000001</v>
      </c>
      <c r="J621" s="100">
        <v>34142.25</v>
      </c>
      <c r="K621" s="100">
        <v>13.3</v>
      </c>
      <c r="L621" s="100">
        <v>9.634999999999998</v>
      </c>
      <c r="M621" s="100">
        <v>1.0225</v>
      </c>
      <c r="N621" s="100">
        <v>3.25</v>
      </c>
      <c r="O621" s="98" t="s">
        <v>48</v>
      </c>
      <c r="P621" s="98">
        <v>4</v>
      </c>
      <c r="Q621" s="98">
        <v>10</v>
      </c>
      <c r="R621" s="98" t="s">
        <v>64</v>
      </c>
      <c r="S621" s="98" t="s">
        <v>50</v>
      </c>
      <c r="T621" s="98" t="s">
        <v>50</v>
      </c>
      <c r="U621" s="98" t="s">
        <v>50</v>
      </c>
      <c r="V621" s="98" t="s">
        <v>50</v>
      </c>
      <c r="W621" s="98" t="s">
        <v>50</v>
      </c>
      <c r="X621" s="98" t="s">
        <v>50</v>
      </c>
      <c r="Y621" s="622"/>
    </row>
    <row r="622" spans="1:25" s="98" customFormat="1" x14ac:dyDescent="0.25">
      <c r="A622" s="194">
        <v>43910</v>
      </c>
      <c r="B622" s="98" t="s">
        <v>125</v>
      </c>
      <c r="C622" s="98" t="s">
        <v>118</v>
      </c>
      <c r="D622" s="98">
        <v>38.051490000000001</v>
      </c>
      <c r="E622" s="98">
        <v>-122.30571</v>
      </c>
      <c r="F622" s="98" t="s">
        <v>3230</v>
      </c>
      <c r="G622" s="98" t="s">
        <v>80</v>
      </c>
      <c r="H622" s="98" t="s">
        <v>123</v>
      </c>
      <c r="I622" s="621">
        <v>0.41388888888888892</v>
      </c>
      <c r="J622" s="100">
        <v>28527.25</v>
      </c>
      <c r="K622" s="100">
        <v>13.600000000000001</v>
      </c>
      <c r="L622" s="100">
        <v>10.147499999999999</v>
      </c>
      <c r="M622" s="100">
        <v>0.90500000000000003</v>
      </c>
      <c r="N622" s="100">
        <v>11.125</v>
      </c>
      <c r="O622" s="98" t="s">
        <v>48</v>
      </c>
      <c r="P622" s="98">
        <v>4</v>
      </c>
      <c r="Q622" s="98">
        <v>10</v>
      </c>
      <c r="R622" s="98" t="s">
        <v>64</v>
      </c>
      <c r="S622" s="98" t="s">
        <v>50</v>
      </c>
      <c r="T622" s="98" t="s">
        <v>50</v>
      </c>
      <c r="U622" s="98" t="s">
        <v>50</v>
      </c>
      <c r="V622" s="98" t="s">
        <v>50</v>
      </c>
      <c r="W622" s="98" t="s">
        <v>50</v>
      </c>
      <c r="X622" s="98" t="s">
        <v>50</v>
      </c>
      <c r="Y622" s="622"/>
    </row>
    <row r="623" spans="1:25" s="362" customFormat="1" x14ac:dyDescent="0.25">
      <c r="A623" s="360">
        <v>43910</v>
      </c>
      <c r="B623" s="362" t="s">
        <v>125</v>
      </c>
      <c r="C623" s="362" t="s">
        <v>118</v>
      </c>
      <c r="D623" s="362">
        <v>38.059379999999997</v>
      </c>
      <c r="E623" s="362">
        <v>-122.29514</v>
      </c>
      <c r="F623" s="362" t="s">
        <v>3231</v>
      </c>
      <c r="G623" s="362" t="s">
        <v>80</v>
      </c>
      <c r="H623" s="362" t="s">
        <v>123</v>
      </c>
      <c r="I623" s="618">
        <v>0.46736111111111112</v>
      </c>
      <c r="J623" s="364">
        <v>30513</v>
      </c>
      <c r="K623" s="364">
        <v>13.55</v>
      </c>
      <c r="L623" s="364">
        <v>15.475</v>
      </c>
      <c r="M623" s="364">
        <v>0.73</v>
      </c>
      <c r="N623" s="364">
        <v>10.5</v>
      </c>
      <c r="O623" s="362" t="s">
        <v>48</v>
      </c>
      <c r="P623" s="362">
        <v>4</v>
      </c>
      <c r="Q623" s="362">
        <v>10</v>
      </c>
      <c r="R623" s="362" t="s">
        <v>64</v>
      </c>
      <c r="S623" s="362" t="s">
        <v>50</v>
      </c>
      <c r="T623" s="362" t="s">
        <v>50</v>
      </c>
      <c r="U623" s="362" t="s">
        <v>50</v>
      </c>
      <c r="V623" s="362" t="s">
        <v>50</v>
      </c>
      <c r="W623" s="362" t="s">
        <v>50</v>
      </c>
      <c r="X623" s="362" t="s">
        <v>50</v>
      </c>
      <c r="Y623" s="603"/>
    </row>
    <row r="624" spans="1:25" s="98" customFormat="1" x14ac:dyDescent="0.25">
      <c r="A624" s="194">
        <v>43913</v>
      </c>
      <c r="B624" s="98" t="s">
        <v>43</v>
      </c>
      <c r="C624" s="98" t="s">
        <v>126</v>
      </c>
      <c r="D624" s="98">
        <v>38.259909999999998</v>
      </c>
      <c r="E624" s="98">
        <v>-121.75749999999999</v>
      </c>
      <c r="F624" s="98" t="s">
        <v>3232</v>
      </c>
      <c r="G624" s="98" t="s">
        <v>90</v>
      </c>
      <c r="H624" s="98" t="s">
        <v>845</v>
      </c>
      <c r="I624" s="621">
        <v>0.35833333333333334</v>
      </c>
      <c r="J624" s="100">
        <v>344.57500000000005</v>
      </c>
      <c r="K624" s="100">
        <v>14.6</v>
      </c>
      <c r="L624" s="100">
        <v>4.2975000000000003</v>
      </c>
      <c r="M624" s="100">
        <v>1.8</v>
      </c>
      <c r="N624" s="100">
        <v>4.4499999999999993</v>
      </c>
      <c r="O624" s="98" t="s">
        <v>48</v>
      </c>
      <c r="P624" s="98">
        <v>4</v>
      </c>
      <c r="Q624" s="98">
        <v>10</v>
      </c>
      <c r="R624" s="98" t="s">
        <v>49</v>
      </c>
      <c r="S624" s="98" t="s">
        <v>50</v>
      </c>
      <c r="T624" s="98" t="s">
        <v>50</v>
      </c>
      <c r="U624" s="98" t="s">
        <v>50</v>
      </c>
      <c r="V624" s="98" t="s">
        <v>50</v>
      </c>
      <c r="W624" s="98" t="s">
        <v>50</v>
      </c>
      <c r="X624" s="98" t="s">
        <v>50</v>
      </c>
      <c r="Y624" s="622"/>
    </row>
    <row r="625" spans="1:25" s="98" customFormat="1" x14ac:dyDescent="0.25">
      <c r="A625" s="194">
        <v>43913</v>
      </c>
      <c r="B625" s="98" t="s">
        <v>43</v>
      </c>
      <c r="C625" s="98" t="s">
        <v>126</v>
      </c>
      <c r="D625" s="98">
        <v>38.281509999999997</v>
      </c>
      <c r="E625" s="98">
        <v>-121.69306</v>
      </c>
      <c r="F625" s="98" t="s">
        <v>3233</v>
      </c>
      <c r="G625" s="98" t="s">
        <v>90</v>
      </c>
      <c r="H625" s="98" t="s">
        <v>845</v>
      </c>
      <c r="I625" s="621">
        <v>0.4201388888888889</v>
      </c>
      <c r="J625" s="100">
        <v>355.35</v>
      </c>
      <c r="K625" s="100">
        <v>14.95</v>
      </c>
      <c r="L625" s="100">
        <v>2.625</v>
      </c>
      <c r="M625" s="100">
        <v>1.8</v>
      </c>
      <c r="N625" s="100">
        <v>5.625</v>
      </c>
      <c r="O625" s="98" t="s">
        <v>48</v>
      </c>
      <c r="P625" s="98">
        <v>4</v>
      </c>
      <c r="Q625" s="98">
        <v>10</v>
      </c>
      <c r="R625" s="98" t="s">
        <v>49</v>
      </c>
      <c r="S625" s="98" t="s">
        <v>50</v>
      </c>
      <c r="T625" s="98" t="s">
        <v>50</v>
      </c>
      <c r="U625" s="98" t="s">
        <v>50</v>
      </c>
      <c r="V625" s="98" t="s">
        <v>50</v>
      </c>
      <c r="W625" s="98" t="s">
        <v>50</v>
      </c>
      <c r="X625" s="98" t="s">
        <v>50</v>
      </c>
      <c r="Y625" s="622"/>
    </row>
    <row r="626" spans="1:25" s="98" customFormat="1" x14ac:dyDescent="0.25">
      <c r="A626" s="194">
        <v>43913</v>
      </c>
      <c r="B626" s="98" t="s">
        <v>43</v>
      </c>
      <c r="C626" s="98" t="s">
        <v>126</v>
      </c>
      <c r="D626" s="98">
        <v>38.26061</v>
      </c>
      <c r="E626" s="98">
        <v>-121.67012</v>
      </c>
      <c r="F626" s="98" t="s">
        <v>3234</v>
      </c>
      <c r="G626" s="98" t="s">
        <v>90</v>
      </c>
      <c r="H626" s="98" t="s">
        <v>845</v>
      </c>
      <c r="I626" s="621">
        <v>0.48125000000000001</v>
      </c>
      <c r="J626" s="100">
        <v>370.5</v>
      </c>
      <c r="K626" s="100">
        <v>15.05</v>
      </c>
      <c r="L626" s="100">
        <v>7.5049999999999999</v>
      </c>
      <c r="M626" s="100">
        <v>1.4100000000000001</v>
      </c>
      <c r="N626" s="100">
        <v>7.8599999999999994</v>
      </c>
      <c r="O626" s="98" t="s">
        <v>48</v>
      </c>
      <c r="P626" s="98">
        <v>2</v>
      </c>
      <c r="Q626" s="98">
        <v>10</v>
      </c>
      <c r="R626" s="98" t="s">
        <v>64</v>
      </c>
      <c r="S626" s="98" t="s">
        <v>50</v>
      </c>
      <c r="T626" s="98" t="s">
        <v>50</v>
      </c>
      <c r="U626" s="98" t="s">
        <v>50</v>
      </c>
      <c r="V626" s="98" t="s">
        <v>50</v>
      </c>
      <c r="W626" s="98" t="s">
        <v>50</v>
      </c>
      <c r="X626" s="98" t="s">
        <v>50</v>
      </c>
      <c r="Y626" s="622" t="s">
        <v>3235</v>
      </c>
    </row>
    <row r="627" spans="1:25" s="98" customFormat="1" x14ac:dyDescent="0.25">
      <c r="A627" s="194">
        <v>43913</v>
      </c>
      <c r="B627" s="98" t="s">
        <v>43</v>
      </c>
      <c r="C627" s="98" t="s">
        <v>95</v>
      </c>
      <c r="D627" s="98">
        <v>38.025469999999999</v>
      </c>
      <c r="E627" s="98">
        <v>-121.76248</v>
      </c>
      <c r="F627" s="98" t="s">
        <v>3236</v>
      </c>
      <c r="G627" s="98" t="s">
        <v>27</v>
      </c>
      <c r="H627" s="98" t="s">
        <v>863</v>
      </c>
      <c r="I627" s="621">
        <v>0.36736111111111108</v>
      </c>
      <c r="J627" s="100">
        <v>585.75</v>
      </c>
      <c r="K627" s="100">
        <v>14.649999999999999</v>
      </c>
      <c r="L627" s="100">
        <v>11.772499999999999</v>
      </c>
      <c r="M627" s="100">
        <v>1.1625000000000001</v>
      </c>
      <c r="N627" s="100">
        <v>4.0750000000000002</v>
      </c>
      <c r="O627" s="98" t="s">
        <v>48</v>
      </c>
      <c r="P627" s="98">
        <v>4</v>
      </c>
      <c r="Q627" s="98">
        <v>10</v>
      </c>
      <c r="R627" s="98" t="s">
        <v>49</v>
      </c>
      <c r="S627" s="98" t="s">
        <v>50</v>
      </c>
      <c r="T627" s="98" t="s">
        <v>50</v>
      </c>
      <c r="U627" s="98" t="s">
        <v>50</v>
      </c>
      <c r="V627" s="98" t="s">
        <v>50</v>
      </c>
      <c r="W627" s="98" t="s">
        <v>50</v>
      </c>
      <c r="X627" s="98" t="s">
        <v>50</v>
      </c>
      <c r="Y627" s="622" t="s">
        <v>3237</v>
      </c>
    </row>
    <row r="628" spans="1:25" s="154" customFormat="1" x14ac:dyDescent="0.25">
      <c r="A628" s="195">
        <v>43913</v>
      </c>
      <c r="B628" s="154" t="s">
        <v>43</v>
      </c>
      <c r="C628" s="154" t="s">
        <v>95</v>
      </c>
      <c r="D628" s="154">
        <v>38.025750000000002</v>
      </c>
      <c r="E628" s="154">
        <v>-121.72738</v>
      </c>
      <c r="F628" s="154" t="s">
        <v>3238</v>
      </c>
      <c r="G628" s="154" t="s">
        <v>27</v>
      </c>
      <c r="H628" s="154" t="s">
        <v>863</v>
      </c>
      <c r="I628" s="636">
        <v>0.4201388888888889</v>
      </c>
      <c r="J628" s="154" t="s">
        <v>50</v>
      </c>
      <c r="K628" s="154" t="s">
        <v>50</v>
      </c>
      <c r="L628" s="154" t="s">
        <v>50</v>
      </c>
      <c r="M628" s="154" t="s">
        <v>50</v>
      </c>
      <c r="N628" s="154" t="s">
        <v>50</v>
      </c>
      <c r="O628" s="154" t="s">
        <v>48</v>
      </c>
      <c r="P628" s="154">
        <v>0</v>
      </c>
      <c r="Q628" s="154" t="s">
        <v>50</v>
      </c>
      <c r="R628" s="154" t="s">
        <v>50</v>
      </c>
      <c r="S628" s="154" t="s">
        <v>50</v>
      </c>
      <c r="T628" s="154" t="s">
        <v>50</v>
      </c>
      <c r="U628" s="154" t="s">
        <v>50</v>
      </c>
      <c r="V628" s="154" t="s">
        <v>50</v>
      </c>
      <c r="W628" s="154" t="s">
        <v>50</v>
      </c>
      <c r="X628" s="154" t="s">
        <v>50</v>
      </c>
      <c r="Y628" s="627" t="s">
        <v>3239</v>
      </c>
    </row>
    <row r="629" spans="1:25" s="98" customFormat="1" x14ac:dyDescent="0.25">
      <c r="A629" s="194">
        <v>43913</v>
      </c>
      <c r="B629" s="98" t="s">
        <v>43</v>
      </c>
      <c r="C629" s="98" t="s">
        <v>95</v>
      </c>
      <c r="D629" s="98">
        <v>38.027160000000002</v>
      </c>
      <c r="E629" s="98">
        <v>-121.69644</v>
      </c>
      <c r="F629" s="98" t="s">
        <v>3240</v>
      </c>
      <c r="G629" s="98" t="s">
        <v>27</v>
      </c>
      <c r="H629" s="98" t="s">
        <v>863</v>
      </c>
      <c r="I629" s="621">
        <v>0.4236111111111111</v>
      </c>
      <c r="J629" s="100">
        <v>331.52499999999998</v>
      </c>
      <c r="K629" s="100">
        <v>14.7</v>
      </c>
      <c r="L629" s="100">
        <v>4.3624999999999998</v>
      </c>
      <c r="M629" s="100">
        <v>1.8</v>
      </c>
      <c r="N629" s="100">
        <v>5.1499999999999995</v>
      </c>
      <c r="O629" s="98" t="s">
        <v>48</v>
      </c>
      <c r="P629" s="98">
        <v>4</v>
      </c>
      <c r="Q629" s="98">
        <v>10</v>
      </c>
      <c r="R629" s="98" t="s">
        <v>49</v>
      </c>
      <c r="S629" s="98" t="s">
        <v>50</v>
      </c>
      <c r="T629" s="98" t="s">
        <v>50</v>
      </c>
      <c r="U629" s="98" t="s">
        <v>50</v>
      </c>
      <c r="V629" s="98" t="s">
        <v>50</v>
      </c>
      <c r="W629" s="98" t="s">
        <v>50</v>
      </c>
      <c r="X629" s="98" t="s">
        <v>50</v>
      </c>
      <c r="Y629" s="622"/>
    </row>
    <row r="630" spans="1:25" s="98" customFormat="1" x14ac:dyDescent="0.25">
      <c r="A630" s="194">
        <v>43913</v>
      </c>
      <c r="B630" s="98" t="s">
        <v>43</v>
      </c>
      <c r="C630" s="98" t="s">
        <v>95</v>
      </c>
      <c r="D630" s="98">
        <v>38.100610000000003</v>
      </c>
      <c r="E630" s="98">
        <v>-121.62184999999999</v>
      </c>
      <c r="F630" s="98" t="s">
        <v>3241</v>
      </c>
      <c r="G630" s="98" t="s">
        <v>46</v>
      </c>
      <c r="H630" s="98" t="s">
        <v>908</v>
      </c>
      <c r="I630" s="621">
        <v>0.4826388888888889</v>
      </c>
      <c r="J630" s="100">
        <v>235.75000000000003</v>
      </c>
      <c r="K630" s="100">
        <v>14.3</v>
      </c>
      <c r="L630" s="100">
        <v>6.6375000000000011</v>
      </c>
      <c r="M630" s="100">
        <v>1.8</v>
      </c>
      <c r="N630" s="100">
        <v>6.4499999999999993</v>
      </c>
      <c r="O630" s="98" t="s">
        <v>48</v>
      </c>
      <c r="P630" s="98">
        <v>4</v>
      </c>
      <c r="Q630" s="98">
        <v>10</v>
      </c>
      <c r="R630" s="98" t="s">
        <v>49</v>
      </c>
      <c r="S630" s="98" t="s">
        <v>50</v>
      </c>
      <c r="T630" s="98" t="s">
        <v>50</v>
      </c>
      <c r="U630" s="98" t="s">
        <v>50</v>
      </c>
      <c r="V630" s="98" t="s">
        <v>50</v>
      </c>
      <c r="W630" s="98" t="s">
        <v>50</v>
      </c>
      <c r="X630" s="98" t="s">
        <v>50</v>
      </c>
      <c r="Y630" s="622"/>
    </row>
    <row r="631" spans="1:25" s="98" customFormat="1" x14ac:dyDescent="0.25">
      <c r="A631" s="194">
        <v>43913</v>
      </c>
      <c r="B631" s="98" t="s">
        <v>43</v>
      </c>
      <c r="C631" s="98" t="s">
        <v>118</v>
      </c>
      <c r="D631" s="98">
        <v>38.105730000000001</v>
      </c>
      <c r="E631" s="98">
        <v>-122.2711</v>
      </c>
      <c r="F631" s="98" t="s">
        <v>3242</v>
      </c>
      <c r="G631" s="98" t="s">
        <v>80</v>
      </c>
      <c r="H631" s="98" t="s">
        <v>191</v>
      </c>
      <c r="I631" s="621">
        <v>0.36041666666666666</v>
      </c>
      <c r="J631" s="100">
        <v>24093.25</v>
      </c>
      <c r="K631" s="100">
        <v>15.125</v>
      </c>
      <c r="L631" s="100">
        <v>25.074999999999999</v>
      </c>
      <c r="M631" s="100">
        <v>0.50250000000000006</v>
      </c>
      <c r="N631" s="100">
        <v>11.3</v>
      </c>
      <c r="O631" s="98" t="s">
        <v>48</v>
      </c>
      <c r="P631" s="98">
        <v>4</v>
      </c>
      <c r="Q631" s="98">
        <v>10</v>
      </c>
      <c r="R631" s="98" t="s">
        <v>64</v>
      </c>
      <c r="S631" s="98" t="s">
        <v>50</v>
      </c>
      <c r="T631" s="98" t="s">
        <v>50</v>
      </c>
      <c r="U631" s="98" t="s">
        <v>50</v>
      </c>
      <c r="V631" s="98" t="s">
        <v>50</v>
      </c>
      <c r="W631" s="98" t="s">
        <v>50</v>
      </c>
      <c r="X631" s="98" t="s">
        <v>50</v>
      </c>
      <c r="Y631" s="622"/>
    </row>
    <row r="632" spans="1:25" s="98" customFormat="1" x14ac:dyDescent="0.25">
      <c r="A632" s="194">
        <v>43913</v>
      </c>
      <c r="B632" s="98" t="s">
        <v>43</v>
      </c>
      <c r="C632" s="98" t="s">
        <v>118</v>
      </c>
      <c r="D632" s="98">
        <v>38.0749</v>
      </c>
      <c r="E632" s="98">
        <v>-122.24366999999999</v>
      </c>
      <c r="F632" s="98" t="s">
        <v>3243</v>
      </c>
      <c r="G632" s="98" t="s">
        <v>80</v>
      </c>
      <c r="H632" s="98" t="s">
        <v>120</v>
      </c>
      <c r="I632" s="621">
        <v>0.43194444444444446</v>
      </c>
      <c r="J632" s="100">
        <v>26896</v>
      </c>
      <c r="K632" s="100">
        <v>14.05</v>
      </c>
      <c r="L632" s="100">
        <v>16.824999999999999</v>
      </c>
      <c r="M632" s="100">
        <v>0.71250000000000002</v>
      </c>
      <c r="N632" s="100">
        <v>7.7250000000000005</v>
      </c>
      <c r="O632" s="98" t="s">
        <v>48</v>
      </c>
      <c r="P632" s="98">
        <v>4</v>
      </c>
      <c r="Q632" s="98">
        <v>10</v>
      </c>
      <c r="R632" s="98" t="s">
        <v>64</v>
      </c>
      <c r="S632" s="98" t="s">
        <v>50</v>
      </c>
      <c r="T632" s="98" t="s">
        <v>50</v>
      </c>
      <c r="U632" s="98" t="s">
        <v>50</v>
      </c>
      <c r="V632" s="98" t="s">
        <v>50</v>
      </c>
      <c r="W632" s="98" t="s">
        <v>50</v>
      </c>
      <c r="X632" s="98" t="s">
        <v>50</v>
      </c>
      <c r="Y632" s="622"/>
    </row>
    <row r="633" spans="1:25" s="98" customFormat="1" x14ac:dyDescent="0.25">
      <c r="A633" s="194">
        <v>43913</v>
      </c>
      <c r="B633" s="98" t="s">
        <v>43</v>
      </c>
      <c r="C633" s="98" t="s">
        <v>118</v>
      </c>
      <c r="D633" s="98">
        <v>38.036479999999997</v>
      </c>
      <c r="E633" s="98">
        <v>-122.14570999999999</v>
      </c>
      <c r="F633" s="98" t="s">
        <v>3244</v>
      </c>
      <c r="G633" s="98" t="s">
        <v>80</v>
      </c>
      <c r="H633" s="98" t="s">
        <v>120</v>
      </c>
      <c r="I633" s="621">
        <v>0.49722222222222223</v>
      </c>
      <c r="J633" s="100">
        <v>19033.75</v>
      </c>
      <c r="K633" s="100">
        <v>14.225000000000001</v>
      </c>
      <c r="L633" s="100">
        <v>20.6</v>
      </c>
      <c r="M633" s="100">
        <v>0.61750000000000005</v>
      </c>
      <c r="N633" s="100">
        <v>12.175000000000001</v>
      </c>
      <c r="O633" s="98" t="s">
        <v>48</v>
      </c>
      <c r="P633" s="98">
        <v>4</v>
      </c>
      <c r="Q633" s="98">
        <v>10</v>
      </c>
      <c r="R633" s="98" t="s">
        <v>64</v>
      </c>
      <c r="S633" s="98" t="s">
        <v>50</v>
      </c>
      <c r="T633" s="98" t="s">
        <v>50</v>
      </c>
      <c r="U633" s="98" t="s">
        <v>50</v>
      </c>
      <c r="V633" s="98" t="s">
        <v>50</v>
      </c>
      <c r="W633" s="98" t="s">
        <v>50</v>
      </c>
      <c r="X633" s="98" t="s">
        <v>50</v>
      </c>
      <c r="Y633" s="622" t="s">
        <v>139</v>
      </c>
    </row>
    <row r="634" spans="1:25" s="98" customFormat="1" x14ac:dyDescent="0.25">
      <c r="A634" s="194">
        <v>43914</v>
      </c>
      <c r="B634" s="98" t="s">
        <v>849</v>
      </c>
      <c r="C634" s="98" t="s">
        <v>95</v>
      </c>
      <c r="D634" s="98">
        <v>38.097239999999999</v>
      </c>
      <c r="E634" s="98">
        <v>-121.57704</v>
      </c>
      <c r="F634" s="98" t="s">
        <v>3245</v>
      </c>
      <c r="G634" s="98" t="s">
        <v>46</v>
      </c>
      <c r="H634" s="98" t="s">
        <v>115</v>
      </c>
      <c r="I634" s="621">
        <v>0.45208333333333334</v>
      </c>
      <c r="J634" s="100">
        <v>287.42500000000001</v>
      </c>
      <c r="K634" s="100">
        <v>14.575000000000001</v>
      </c>
      <c r="L634" s="100">
        <v>3.6950000000000003</v>
      </c>
      <c r="M634" s="100">
        <v>1.8</v>
      </c>
      <c r="N634" s="100">
        <v>8.4500000000000011</v>
      </c>
      <c r="O634" s="98" t="s">
        <v>48</v>
      </c>
      <c r="P634" s="98">
        <v>4</v>
      </c>
      <c r="Q634" s="98">
        <v>10</v>
      </c>
      <c r="R634" s="98" t="s">
        <v>49</v>
      </c>
      <c r="S634" s="98" t="s">
        <v>50</v>
      </c>
      <c r="T634" s="98" t="s">
        <v>50</v>
      </c>
      <c r="U634" s="98" t="s">
        <v>50</v>
      </c>
      <c r="V634" s="98" t="s">
        <v>50</v>
      </c>
      <c r="W634" s="98" t="s">
        <v>50</v>
      </c>
      <c r="X634" s="98" t="s">
        <v>50</v>
      </c>
      <c r="Y634" s="622" t="s">
        <v>3246</v>
      </c>
    </row>
    <row r="635" spans="1:25" s="98" customFormat="1" x14ac:dyDescent="0.25">
      <c r="A635" s="194">
        <v>43914</v>
      </c>
      <c r="B635" s="98" t="s">
        <v>849</v>
      </c>
      <c r="C635" s="98" t="s">
        <v>95</v>
      </c>
      <c r="D635" s="98">
        <v>38.055610000000001</v>
      </c>
      <c r="E635" s="98">
        <v>-121.53127000000001</v>
      </c>
      <c r="F635" s="98" t="s">
        <v>3247</v>
      </c>
      <c r="G635" s="98" t="s">
        <v>46</v>
      </c>
      <c r="H635" s="98" t="s">
        <v>115</v>
      </c>
      <c r="I635" s="621">
        <v>0.39374999999999999</v>
      </c>
      <c r="J635" s="100">
        <v>284.90000000000003</v>
      </c>
      <c r="K635" s="100">
        <v>14.55</v>
      </c>
      <c r="L635" s="100">
        <v>5.4</v>
      </c>
      <c r="M635" s="100">
        <v>1.74</v>
      </c>
      <c r="N635" s="100">
        <v>12.55</v>
      </c>
      <c r="O635" s="98" t="s">
        <v>48</v>
      </c>
      <c r="P635" s="98">
        <v>4</v>
      </c>
      <c r="Q635" s="98">
        <v>10</v>
      </c>
      <c r="R635" s="98" t="s">
        <v>49</v>
      </c>
      <c r="S635" s="98" t="s">
        <v>50</v>
      </c>
      <c r="T635" s="98" t="s">
        <v>50</v>
      </c>
      <c r="U635" s="98" t="s">
        <v>50</v>
      </c>
      <c r="V635" s="98" t="s">
        <v>50</v>
      </c>
      <c r="W635" s="98" t="s">
        <v>50</v>
      </c>
      <c r="X635" s="98" t="s">
        <v>50</v>
      </c>
      <c r="Y635" s="622"/>
    </row>
    <row r="636" spans="1:25" s="98" customFormat="1" x14ac:dyDescent="0.25">
      <c r="A636" s="194">
        <v>43914</v>
      </c>
      <c r="B636" s="98" t="s">
        <v>849</v>
      </c>
      <c r="C636" s="98" t="s">
        <v>95</v>
      </c>
      <c r="D636" s="98">
        <v>38.097239999999999</v>
      </c>
      <c r="E636" s="98">
        <v>-121.57704</v>
      </c>
      <c r="F636" s="98" t="s">
        <v>3248</v>
      </c>
      <c r="G636" s="98" t="s">
        <v>46</v>
      </c>
      <c r="H636" s="98" t="s">
        <v>115</v>
      </c>
      <c r="I636" s="621">
        <v>0.45208333333333334</v>
      </c>
      <c r="J636" s="100">
        <v>223.92499999999998</v>
      </c>
      <c r="K636" s="100">
        <v>14.325000000000001</v>
      </c>
      <c r="L636" s="100">
        <v>6.8424999999999994</v>
      </c>
      <c r="M636" s="100">
        <v>1.8</v>
      </c>
      <c r="N636" s="100">
        <v>11.574999999999999</v>
      </c>
      <c r="O636" s="98" t="s">
        <v>48</v>
      </c>
      <c r="P636" s="98">
        <v>4</v>
      </c>
      <c r="Q636" s="98">
        <v>10</v>
      </c>
      <c r="R636" s="98" t="s">
        <v>49</v>
      </c>
      <c r="S636" s="98" t="s">
        <v>50</v>
      </c>
      <c r="T636" s="98" t="s">
        <v>50</v>
      </c>
      <c r="U636" s="98" t="s">
        <v>50</v>
      </c>
      <c r="V636" s="98" t="s">
        <v>50</v>
      </c>
      <c r="W636" s="98" t="s">
        <v>50</v>
      </c>
      <c r="X636" s="98" t="s">
        <v>50</v>
      </c>
      <c r="Y636" s="622" t="s">
        <v>3249</v>
      </c>
    </row>
    <row r="637" spans="1:25" s="98" customFormat="1" x14ac:dyDescent="0.25">
      <c r="A637" s="194">
        <v>43914</v>
      </c>
      <c r="B637" s="98" t="s">
        <v>849</v>
      </c>
      <c r="C637" s="98" t="s">
        <v>78</v>
      </c>
      <c r="D637" s="98">
        <v>38.049300000000002</v>
      </c>
      <c r="E637" s="98">
        <v>-121.93845</v>
      </c>
      <c r="F637" s="98" t="s">
        <v>3250</v>
      </c>
      <c r="G637" s="98" t="s">
        <v>27</v>
      </c>
      <c r="H637" s="98" t="s">
        <v>170</v>
      </c>
      <c r="I637" s="621">
        <v>0.32916666666666666</v>
      </c>
      <c r="J637" s="100">
        <v>5449.25</v>
      </c>
      <c r="K637" s="100">
        <v>14.175000000000001</v>
      </c>
      <c r="L637" s="100">
        <v>25.375</v>
      </c>
      <c r="M637" s="100">
        <v>0.51249999999999996</v>
      </c>
      <c r="N637" s="100">
        <v>17.574999999999999</v>
      </c>
      <c r="O637" s="98" t="s">
        <v>48</v>
      </c>
      <c r="P637" s="98">
        <v>4</v>
      </c>
      <c r="Q637" s="98">
        <v>10</v>
      </c>
      <c r="R637" s="98" t="s">
        <v>49</v>
      </c>
      <c r="S637" s="98" t="s">
        <v>50</v>
      </c>
      <c r="T637" s="98" t="s">
        <v>50</v>
      </c>
      <c r="U637" s="98" t="s">
        <v>50</v>
      </c>
      <c r="V637" s="98" t="s">
        <v>50</v>
      </c>
      <c r="W637" s="98" t="s">
        <v>50</v>
      </c>
      <c r="X637" s="98" t="s">
        <v>50</v>
      </c>
      <c r="Y637" s="622"/>
    </row>
    <row r="638" spans="1:25" s="646" customFormat="1" x14ac:dyDescent="0.25">
      <c r="A638" s="645">
        <v>43914</v>
      </c>
      <c r="B638" s="646" t="s">
        <v>849</v>
      </c>
      <c r="C638" s="646" t="s">
        <v>78</v>
      </c>
      <c r="D638" s="646">
        <v>38.026960000000003</v>
      </c>
      <c r="E638" s="646">
        <v>-121.8236</v>
      </c>
      <c r="F638" s="646" t="s">
        <v>3251</v>
      </c>
      <c r="G638" s="646" t="s">
        <v>27</v>
      </c>
      <c r="H638" s="646" t="s">
        <v>101</v>
      </c>
      <c r="I638" s="647">
        <v>0.3923611111111111</v>
      </c>
      <c r="J638" s="648">
        <v>831.5</v>
      </c>
      <c r="K638" s="648">
        <v>14.5</v>
      </c>
      <c r="L638" s="648">
        <v>20.149999999999999</v>
      </c>
      <c r="M638" s="648">
        <v>0.75750000000000006</v>
      </c>
      <c r="N638" s="648">
        <v>8.5</v>
      </c>
      <c r="O638" s="646" t="s">
        <v>48</v>
      </c>
      <c r="P638" s="646">
        <v>4</v>
      </c>
      <c r="Q638" s="646">
        <v>10</v>
      </c>
      <c r="R638" s="646" t="s">
        <v>49</v>
      </c>
      <c r="S638" s="667" t="s">
        <v>449</v>
      </c>
      <c r="T638" s="646">
        <v>1</v>
      </c>
      <c r="U638" s="646">
        <v>247</v>
      </c>
      <c r="V638" s="646" t="s">
        <v>50</v>
      </c>
      <c r="W638" s="646">
        <v>5</v>
      </c>
      <c r="X638" s="646" t="s">
        <v>2525</v>
      </c>
      <c r="Y638" s="668"/>
    </row>
    <row r="639" spans="1:25" s="98" customFormat="1" x14ac:dyDescent="0.25">
      <c r="A639" s="194">
        <v>43914</v>
      </c>
      <c r="B639" s="98" t="s">
        <v>849</v>
      </c>
      <c r="C639" s="98" t="s">
        <v>78</v>
      </c>
      <c r="D639" s="98">
        <v>38.057090000000002</v>
      </c>
      <c r="E639" s="98">
        <v>-121.85005</v>
      </c>
      <c r="F639" s="98" t="s">
        <v>3252</v>
      </c>
      <c r="G639" s="98" t="s">
        <v>27</v>
      </c>
      <c r="H639" s="98" t="s">
        <v>101</v>
      </c>
      <c r="I639" s="621">
        <v>0.44166666666666665</v>
      </c>
      <c r="J639" s="100">
        <v>1627</v>
      </c>
      <c r="K639" s="100">
        <v>14.5</v>
      </c>
      <c r="L639" s="100">
        <v>25.1</v>
      </c>
      <c r="M639" s="100">
        <v>0.57499999999999996</v>
      </c>
      <c r="N639" s="100">
        <v>6.85</v>
      </c>
      <c r="O639" s="98" t="s">
        <v>48</v>
      </c>
      <c r="P639" s="98">
        <v>2</v>
      </c>
      <c r="Q639" s="98">
        <v>10</v>
      </c>
      <c r="R639" s="98" t="s">
        <v>49</v>
      </c>
      <c r="S639" s="98" t="s">
        <v>50</v>
      </c>
      <c r="T639" s="98" t="s">
        <v>50</v>
      </c>
      <c r="U639" s="98" t="s">
        <v>50</v>
      </c>
      <c r="V639" s="98" t="s">
        <v>50</v>
      </c>
      <c r="W639" s="98" t="s">
        <v>50</v>
      </c>
      <c r="X639" s="98" t="s">
        <v>50</v>
      </c>
      <c r="Y639" s="622" t="s">
        <v>3253</v>
      </c>
    </row>
    <row r="640" spans="1:25" s="98" customFormat="1" x14ac:dyDescent="0.25">
      <c r="A640" s="194">
        <v>43914</v>
      </c>
      <c r="B640" s="98" t="s">
        <v>849</v>
      </c>
      <c r="C640" s="98" t="s">
        <v>88</v>
      </c>
      <c r="D640" s="98">
        <v>38.115870000000001</v>
      </c>
      <c r="E640" s="98">
        <v>-121.69777999999999</v>
      </c>
      <c r="F640" s="98" t="s">
        <v>3254</v>
      </c>
      <c r="G640" s="98" t="s">
        <v>90</v>
      </c>
      <c r="H640" s="98" t="s">
        <v>91</v>
      </c>
      <c r="I640" s="621">
        <v>0.33194444444444443</v>
      </c>
      <c r="J640" s="100">
        <v>221.95</v>
      </c>
      <c r="K640" s="100">
        <v>13.975</v>
      </c>
      <c r="L640" s="100">
        <v>6.4874999999999998</v>
      </c>
      <c r="M640" s="100">
        <v>1.7749999999999999</v>
      </c>
      <c r="N640" s="100">
        <v>5</v>
      </c>
      <c r="O640" s="98" t="s">
        <v>48</v>
      </c>
      <c r="P640" s="98">
        <v>4</v>
      </c>
      <c r="Q640" s="98">
        <v>10</v>
      </c>
      <c r="R640" s="98" t="s">
        <v>49</v>
      </c>
      <c r="S640" s="98" t="s">
        <v>50</v>
      </c>
      <c r="T640" s="98" t="s">
        <v>50</v>
      </c>
      <c r="U640" s="98" t="s">
        <v>50</v>
      </c>
      <c r="V640" s="98" t="s">
        <v>50</v>
      </c>
      <c r="W640" s="98" t="s">
        <v>50</v>
      </c>
      <c r="X640" s="98" t="s">
        <v>50</v>
      </c>
      <c r="Y640" s="622"/>
    </row>
    <row r="641" spans="1:25" s="98" customFormat="1" x14ac:dyDescent="0.25">
      <c r="A641" s="194">
        <v>43914</v>
      </c>
      <c r="B641" s="98" t="s">
        <v>849</v>
      </c>
      <c r="C641" s="98" t="s">
        <v>88</v>
      </c>
      <c r="D641" s="98">
        <v>38.143900000000002</v>
      </c>
      <c r="E641" s="98">
        <v>-121.68603</v>
      </c>
      <c r="F641" s="98" t="s">
        <v>3255</v>
      </c>
      <c r="G641" s="98" t="s">
        <v>90</v>
      </c>
      <c r="H641" s="98" t="s">
        <v>91</v>
      </c>
      <c r="I641" s="621">
        <v>0.38194444444444442</v>
      </c>
      <c r="J641" s="100">
        <v>179.5</v>
      </c>
      <c r="K641" s="100">
        <v>13.525</v>
      </c>
      <c r="L641" s="100">
        <v>4.9824999999999999</v>
      </c>
      <c r="M641" s="100">
        <v>1.8</v>
      </c>
      <c r="N641" s="100">
        <v>4.75</v>
      </c>
      <c r="O641" s="98" t="s">
        <v>48</v>
      </c>
      <c r="P641" s="98">
        <v>4</v>
      </c>
      <c r="Q641" s="98">
        <v>10</v>
      </c>
      <c r="R641" s="98" t="s">
        <v>49</v>
      </c>
      <c r="S641" s="98" t="s">
        <v>50</v>
      </c>
      <c r="T641" s="98" t="s">
        <v>50</v>
      </c>
      <c r="U641" s="98" t="s">
        <v>50</v>
      </c>
      <c r="V641" s="98" t="s">
        <v>50</v>
      </c>
      <c r="W641" s="98" t="s">
        <v>50</v>
      </c>
      <c r="X641" s="98" t="s">
        <v>50</v>
      </c>
      <c r="Y641" s="622"/>
    </row>
    <row r="642" spans="1:25" s="98" customFormat="1" x14ac:dyDescent="0.25">
      <c r="A642" s="194">
        <v>43914</v>
      </c>
      <c r="B642" s="98" t="s">
        <v>849</v>
      </c>
      <c r="C642" s="98" t="s">
        <v>88</v>
      </c>
      <c r="D642" s="98">
        <v>38.160739999999997</v>
      </c>
      <c r="E642" s="98">
        <v>-121.67834000000001</v>
      </c>
      <c r="F642" s="98" t="s">
        <v>3256</v>
      </c>
      <c r="G642" s="98" t="s">
        <v>90</v>
      </c>
      <c r="H642" s="98" t="s">
        <v>91</v>
      </c>
      <c r="I642" s="621">
        <v>0.42986111111111108</v>
      </c>
      <c r="J642" s="100">
        <v>172.2</v>
      </c>
      <c r="K642" s="100">
        <v>13.475</v>
      </c>
      <c r="L642" s="100">
        <v>5.3374999999999995</v>
      </c>
      <c r="M642" s="100">
        <v>1.8</v>
      </c>
      <c r="N642" s="100">
        <v>5.35</v>
      </c>
      <c r="O642" s="98" t="s">
        <v>48</v>
      </c>
      <c r="P642" s="98">
        <v>4</v>
      </c>
      <c r="Q642" s="98">
        <v>10</v>
      </c>
      <c r="R642" s="98" t="s">
        <v>49</v>
      </c>
      <c r="S642" s="98" t="s">
        <v>50</v>
      </c>
      <c r="T642" s="98" t="s">
        <v>50</v>
      </c>
      <c r="U642" s="98" t="s">
        <v>50</v>
      </c>
      <c r="V642" s="98" t="s">
        <v>50</v>
      </c>
      <c r="W642" s="98" t="s">
        <v>50</v>
      </c>
      <c r="X642" s="98" t="s">
        <v>50</v>
      </c>
      <c r="Y642" s="622"/>
    </row>
    <row r="643" spans="1:25" s="98" customFormat="1" x14ac:dyDescent="0.25">
      <c r="A643" s="194">
        <v>43915</v>
      </c>
      <c r="B643" s="98" t="s">
        <v>915</v>
      </c>
      <c r="C643" s="98" t="s">
        <v>44</v>
      </c>
      <c r="D643" s="98">
        <v>37.961269999999999</v>
      </c>
      <c r="E643" s="98">
        <v>-121.60364</v>
      </c>
      <c r="F643" s="98" t="s">
        <v>3257</v>
      </c>
      <c r="G643" s="98" t="s">
        <v>46</v>
      </c>
      <c r="H643" s="98" t="s">
        <v>423</v>
      </c>
      <c r="I643" s="621">
        <v>0.3354166666666667</v>
      </c>
      <c r="J643" s="100">
        <v>354.65000000000003</v>
      </c>
      <c r="K643" s="100">
        <v>14.6</v>
      </c>
      <c r="L643" s="100">
        <v>3.7999999999999994</v>
      </c>
      <c r="M643" s="100">
        <v>1.8</v>
      </c>
      <c r="N643" s="100">
        <v>3.2249999999999996</v>
      </c>
      <c r="O643" s="98" t="s">
        <v>48</v>
      </c>
      <c r="P643" s="98">
        <v>4</v>
      </c>
      <c r="Q643" s="98">
        <v>10</v>
      </c>
      <c r="R643" s="98" t="s">
        <v>49</v>
      </c>
      <c r="S643" s="98" t="s">
        <v>50</v>
      </c>
      <c r="T643" s="98" t="s">
        <v>50</v>
      </c>
      <c r="U643" s="98" t="s">
        <v>50</v>
      </c>
      <c r="V643" s="98" t="s">
        <v>50</v>
      </c>
      <c r="W643" s="98" t="s">
        <v>50</v>
      </c>
      <c r="X643" s="98" t="s">
        <v>50</v>
      </c>
      <c r="Y643" s="622"/>
    </row>
    <row r="644" spans="1:25" s="98" customFormat="1" x14ac:dyDescent="0.25">
      <c r="A644" s="194">
        <v>43915</v>
      </c>
      <c r="B644" s="98" t="s">
        <v>915</v>
      </c>
      <c r="C644" s="98" t="s">
        <v>44</v>
      </c>
      <c r="D644" s="98">
        <v>38.019350000000003</v>
      </c>
      <c r="E644" s="98">
        <v>-121.60642</v>
      </c>
      <c r="F644" s="98" t="s">
        <v>3258</v>
      </c>
      <c r="G644" s="98" t="s">
        <v>46</v>
      </c>
      <c r="H644" s="98" t="s">
        <v>47</v>
      </c>
      <c r="I644" s="621">
        <v>0.39583333333333331</v>
      </c>
      <c r="J644" s="100">
        <v>318.3</v>
      </c>
      <c r="K644" s="100">
        <v>14.75</v>
      </c>
      <c r="L644" s="100">
        <v>3.3574999999999999</v>
      </c>
      <c r="M644" s="100">
        <v>1.8</v>
      </c>
      <c r="N644" s="100">
        <v>3.75</v>
      </c>
      <c r="O644" s="98" t="s">
        <v>48</v>
      </c>
      <c r="P644" s="98">
        <v>4</v>
      </c>
      <c r="Q644" s="98">
        <v>10</v>
      </c>
      <c r="R644" s="98" t="s">
        <v>49</v>
      </c>
      <c r="S644" s="98" t="s">
        <v>50</v>
      </c>
      <c r="T644" s="98" t="s">
        <v>50</v>
      </c>
      <c r="U644" s="98" t="s">
        <v>50</v>
      </c>
      <c r="V644" s="98" t="s">
        <v>50</v>
      </c>
      <c r="W644" s="98" t="s">
        <v>50</v>
      </c>
      <c r="X644" s="98" t="s">
        <v>50</v>
      </c>
      <c r="Y644" s="622" t="s">
        <v>139</v>
      </c>
    </row>
    <row r="645" spans="1:25" s="98" customFormat="1" x14ac:dyDescent="0.25">
      <c r="A645" s="194">
        <v>43915</v>
      </c>
      <c r="B645" s="98" t="s">
        <v>915</v>
      </c>
      <c r="C645" s="98" t="s">
        <v>44</v>
      </c>
      <c r="D645" s="98">
        <v>38.057789999999997</v>
      </c>
      <c r="E645" s="98">
        <v>-121.62367999999999</v>
      </c>
      <c r="F645" s="98" t="s">
        <v>3259</v>
      </c>
      <c r="G645" s="98" t="s">
        <v>46</v>
      </c>
      <c r="H645" s="98" t="s">
        <v>47</v>
      </c>
      <c r="I645" s="621">
        <v>0.44930555555555557</v>
      </c>
      <c r="J645" s="100">
        <v>305.2</v>
      </c>
      <c r="K645" s="100">
        <v>14.325000000000001</v>
      </c>
      <c r="L645" s="100">
        <v>5.5299999999999994</v>
      </c>
      <c r="M645" s="100">
        <v>1.8</v>
      </c>
      <c r="N645" s="100">
        <v>6.15</v>
      </c>
      <c r="O645" s="98" t="s">
        <v>48</v>
      </c>
      <c r="P645" s="98">
        <v>4</v>
      </c>
      <c r="Q645" s="98">
        <v>10</v>
      </c>
      <c r="R645" s="98" t="s">
        <v>49</v>
      </c>
      <c r="S645" s="98" t="s">
        <v>50</v>
      </c>
      <c r="T645" s="98" t="s">
        <v>50</v>
      </c>
      <c r="U645" s="98" t="s">
        <v>50</v>
      </c>
      <c r="V645" s="98" t="s">
        <v>50</v>
      </c>
      <c r="W645" s="98" t="s">
        <v>50</v>
      </c>
      <c r="X645" s="98" t="s">
        <v>50</v>
      </c>
      <c r="Y645" s="622" t="s">
        <v>139</v>
      </c>
    </row>
    <row r="646" spans="1:25" s="646" customFormat="1" x14ac:dyDescent="0.25">
      <c r="A646" s="645">
        <v>43915</v>
      </c>
      <c r="B646" s="646" t="s">
        <v>915</v>
      </c>
      <c r="C646" s="646" t="s">
        <v>78</v>
      </c>
      <c r="D646" s="646">
        <v>38.097479999999997</v>
      </c>
      <c r="E646" s="646">
        <v>-122.06677000000001</v>
      </c>
      <c r="F646" s="646" t="s">
        <v>3260</v>
      </c>
      <c r="G646" s="646" t="s">
        <v>27</v>
      </c>
      <c r="H646" s="646" t="s">
        <v>86</v>
      </c>
      <c r="I646" s="647">
        <v>0.34513888888888888</v>
      </c>
      <c r="J646" s="648">
        <v>9036.75</v>
      </c>
      <c r="K646" s="648">
        <v>13.5</v>
      </c>
      <c r="L646" s="648">
        <v>128.55000000000001</v>
      </c>
      <c r="M646" s="648">
        <v>0.19750000000000001</v>
      </c>
      <c r="N646" s="648">
        <v>7.9249999999999998</v>
      </c>
      <c r="O646" s="646" t="s">
        <v>48</v>
      </c>
      <c r="P646" s="646">
        <v>4</v>
      </c>
      <c r="Q646" s="646">
        <v>10</v>
      </c>
      <c r="R646" s="646" t="s">
        <v>49</v>
      </c>
      <c r="S646" s="667" t="s">
        <v>758</v>
      </c>
      <c r="T646" s="646">
        <v>1</v>
      </c>
      <c r="U646" s="646">
        <v>117</v>
      </c>
      <c r="V646" s="646" t="s">
        <v>50</v>
      </c>
      <c r="W646" s="646">
        <v>5</v>
      </c>
      <c r="X646" s="646" t="s">
        <v>50</v>
      </c>
      <c r="Y646" s="668" t="s">
        <v>3109</v>
      </c>
    </row>
    <row r="647" spans="1:25" s="646" customFormat="1" x14ac:dyDescent="0.25">
      <c r="A647" s="645">
        <v>43915</v>
      </c>
      <c r="B647" s="646" t="s">
        <v>915</v>
      </c>
      <c r="C647" s="646" t="s">
        <v>78</v>
      </c>
      <c r="D647" s="646">
        <v>38.097479999999997</v>
      </c>
      <c r="E647" s="646">
        <v>-122.06677000000001</v>
      </c>
      <c r="F647" s="646" t="s">
        <v>3260</v>
      </c>
      <c r="G647" s="646" t="s">
        <v>27</v>
      </c>
      <c r="H647" s="646" t="s">
        <v>86</v>
      </c>
      <c r="I647" s="647">
        <v>0.34513888888888888</v>
      </c>
      <c r="J647" s="648">
        <v>9036.75</v>
      </c>
      <c r="K647" s="648">
        <v>13.5</v>
      </c>
      <c r="L647" s="648">
        <v>128.55000000000001</v>
      </c>
      <c r="M647" s="648">
        <v>0.19750000000000001</v>
      </c>
      <c r="N647" s="648">
        <v>7.9249999999999998</v>
      </c>
      <c r="O647" s="646" t="s">
        <v>48</v>
      </c>
      <c r="P647" s="646">
        <v>4</v>
      </c>
      <c r="Q647" s="646">
        <v>10</v>
      </c>
      <c r="R647" s="646" t="s">
        <v>49</v>
      </c>
      <c r="S647" s="667" t="s">
        <v>31</v>
      </c>
      <c r="T647" s="646">
        <v>2</v>
      </c>
      <c r="U647" s="646" t="s">
        <v>3261</v>
      </c>
      <c r="V647" s="646" t="s">
        <v>66</v>
      </c>
      <c r="W647" s="646">
        <v>5</v>
      </c>
      <c r="X647" s="646" t="s">
        <v>50</v>
      </c>
      <c r="Y647" s="668" t="s">
        <v>3109</v>
      </c>
    </row>
    <row r="648" spans="1:25" s="646" customFormat="1" x14ac:dyDescent="0.25">
      <c r="A648" s="645">
        <v>43915</v>
      </c>
      <c r="B648" s="646" t="s">
        <v>915</v>
      </c>
      <c r="C648" s="646" t="s">
        <v>78</v>
      </c>
      <c r="D648" s="646">
        <v>38.071060000000003</v>
      </c>
      <c r="E648" s="646">
        <v>-122.01609000000001</v>
      </c>
      <c r="F648" s="646" t="s">
        <v>3262</v>
      </c>
      <c r="G648" s="646" t="s">
        <v>27</v>
      </c>
      <c r="H648" s="646" t="s">
        <v>86</v>
      </c>
      <c r="I648" s="647">
        <v>0.40208333333333335</v>
      </c>
      <c r="J648" s="648">
        <v>9301.5</v>
      </c>
      <c r="K648" s="648">
        <v>13.875</v>
      </c>
      <c r="L648" s="648">
        <v>56.274999999999999</v>
      </c>
      <c r="M648" s="648">
        <v>0.28499999999999998</v>
      </c>
      <c r="N648" s="648">
        <v>7.7</v>
      </c>
      <c r="O648" s="646" t="s">
        <v>48</v>
      </c>
      <c r="P648" s="646">
        <v>4</v>
      </c>
      <c r="Q648" s="646">
        <v>10</v>
      </c>
      <c r="R648" s="646" t="s">
        <v>49</v>
      </c>
      <c r="S648" s="667" t="s">
        <v>449</v>
      </c>
      <c r="T648" s="646">
        <v>2</v>
      </c>
      <c r="U648" s="646" t="s">
        <v>3263</v>
      </c>
      <c r="V648" s="646" t="s">
        <v>50</v>
      </c>
      <c r="W648" s="646">
        <v>5</v>
      </c>
      <c r="X648" s="646" t="s">
        <v>2525</v>
      </c>
      <c r="Y648" s="668" t="s">
        <v>2917</v>
      </c>
    </row>
    <row r="649" spans="1:25" s="646" customFormat="1" x14ac:dyDescent="0.25">
      <c r="A649" s="645">
        <v>43915</v>
      </c>
      <c r="B649" s="646" t="s">
        <v>915</v>
      </c>
      <c r="C649" s="646" t="s">
        <v>78</v>
      </c>
      <c r="D649" s="646">
        <v>38.049300000000002</v>
      </c>
      <c r="E649" s="646">
        <v>-121.97396999999999</v>
      </c>
      <c r="F649" s="646" t="s">
        <v>3264</v>
      </c>
      <c r="G649" s="646" t="s">
        <v>27</v>
      </c>
      <c r="H649" s="646" t="s">
        <v>86</v>
      </c>
      <c r="I649" s="647">
        <v>0.45416666666666666</v>
      </c>
      <c r="J649" s="648">
        <v>6132.75</v>
      </c>
      <c r="K649" s="648">
        <v>14.274999999999999</v>
      </c>
      <c r="L649" s="648">
        <v>43.1</v>
      </c>
      <c r="M649" s="648">
        <v>0.36499999999999999</v>
      </c>
      <c r="N649" s="648">
        <v>3.875</v>
      </c>
      <c r="O649" s="646" t="s">
        <v>48</v>
      </c>
      <c r="P649" s="646">
        <v>4</v>
      </c>
      <c r="Q649" s="646">
        <v>10</v>
      </c>
      <c r="R649" s="646" t="s">
        <v>49</v>
      </c>
      <c r="S649" s="667" t="s">
        <v>758</v>
      </c>
      <c r="T649" s="646">
        <v>1</v>
      </c>
      <c r="U649" s="646">
        <v>111</v>
      </c>
      <c r="V649" s="646" t="s">
        <v>50</v>
      </c>
      <c r="W649" s="646">
        <v>5</v>
      </c>
      <c r="X649" s="646" t="s">
        <v>50</v>
      </c>
      <c r="Y649" s="668" t="s">
        <v>3265</v>
      </c>
    </row>
    <row r="650" spans="1:25" s="98" customFormat="1" x14ac:dyDescent="0.25">
      <c r="A650" s="194">
        <v>43915</v>
      </c>
      <c r="B650" s="98" t="s">
        <v>915</v>
      </c>
      <c r="C650" s="98" t="s">
        <v>88</v>
      </c>
      <c r="D650" s="98">
        <v>38.05847</v>
      </c>
      <c r="E650" s="98">
        <v>-121.80812</v>
      </c>
      <c r="F650" s="98" t="s">
        <v>3266</v>
      </c>
      <c r="G650" s="98" t="s">
        <v>27</v>
      </c>
      <c r="H650" s="98" t="s">
        <v>25</v>
      </c>
      <c r="I650" s="621">
        <v>0.33402777777777781</v>
      </c>
      <c r="J650" s="100">
        <v>1439.25</v>
      </c>
      <c r="K650" s="100">
        <v>14.074999999999999</v>
      </c>
      <c r="L650" s="100">
        <v>21.8</v>
      </c>
      <c r="M650" s="100">
        <v>0.61</v>
      </c>
      <c r="N650" s="100">
        <v>8.9499999999999993</v>
      </c>
      <c r="O650" s="98" t="s">
        <v>48</v>
      </c>
      <c r="P650" s="98">
        <v>4</v>
      </c>
      <c r="Q650" s="98">
        <v>10</v>
      </c>
      <c r="R650" s="98" t="s">
        <v>49</v>
      </c>
      <c r="S650" s="98" t="s">
        <v>50</v>
      </c>
      <c r="T650" s="98" t="s">
        <v>50</v>
      </c>
      <c r="U650" s="98" t="s">
        <v>50</v>
      </c>
      <c r="V650" s="98" t="s">
        <v>50</v>
      </c>
      <c r="W650" s="98" t="s">
        <v>50</v>
      </c>
      <c r="X650" s="98" t="s">
        <v>50</v>
      </c>
      <c r="Y650" s="622"/>
    </row>
    <row r="651" spans="1:25" s="98" customFormat="1" x14ac:dyDescent="0.25">
      <c r="A651" s="194">
        <v>43915</v>
      </c>
      <c r="B651" s="98" t="s">
        <v>915</v>
      </c>
      <c r="C651" s="98" t="s">
        <v>88</v>
      </c>
      <c r="D651" s="98">
        <v>38.060630000000003</v>
      </c>
      <c r="E651" s="98">
        <v>-121.78944</v>
      </c>
      <c r="F651" s="98" t="s">
        <v>3267</v>
      </c>
      <c r="G651" s="98" t="s">
        <v>27</v>
      </c>
      <c r="H651" s="98" t="s">
        <v>25</v>
      </c>
      <c r="I651" s="621">
        <v>0.38194444444444442</v>
      </c>
      <c r="J651" s="100">
        <v>636.25</v>
      </c>
      <c r="K651" s="100">
        <v>13.975</v>
      </c>
      <c r="L651" s="100">
        <v>16.5</v>
      </c>
      <c r="M651" s="100">
        <v>0.76749999999999996</v>
      </c>
      <c r="N651" s="100">
        <v>215.52500000000001</v>
      </c>
      <c r="O651" s="98" t="s">
        <v>48</v>
      </c>
      <c r="P651" s="98">
        <v>4</v>
      </c>
      <c r="Q651" s="98">
        <v>10</v>
      </c>
      <c r="R651" s="98" t="s">
        <v>49</v>
      </c>
      <c r="S651" s="98" t="s">
        <v>50</v>
      </c>
      <c r="T651" s="98" t="s">
        <v>50</v>
      </c>
      <c r="U651" s="98" t="s">
        <v>50</v>
      </c>
      <c r="V651" s="98" t="s">
        <v>50</v>
      </c>
      <c r="W651" s="98" t="s">
        <v>50</v>
      </c>
      <c r="X651" s="98" t="s">
        <v>50</v>
      </c>
      <c r="Y651" s="622"/>
    </row>
    <row r="652" spans="1:25" s="98" customFormat="1" x14ac:dyDescent="0.25">
      <c r="A652" s="194">
        <v>43915</v>
      </c>
      <c r="B652" s="98" t="s">
        <v>915</v>
      </c>
      <c r="C652" s="98" t="s">
        <v>88</v>
      </c>
      <c r="D652" s="98">
        <v>38.099179999999997</v>
      </c>
      <c r="E652" s="98">
        <v>-121.72427</v>
      </c>
      <c r="F652" s="98" t="s">
        <v>3268</v>
      </c>
      <c r="G652" s="98" t="s">
        <v>27</v>
      </c>
      <c r="H652" s="98" t="s">
        <v>25</v>
      </c>
      <c r="I652" s="621">
        <v>0.43333333333333335</v>
      </c>
      <c r="J652" s="100">
        <v>197.47500000000002</v>
      </c>
      <c r="K652" s="100">
        <v>13.7</v>
      </c>
      <c r="L652" s="100">
        <v>8.3049999999999997</v>
      </c>
      <c r="M652" s="100">
        <v>1.5950000000000002</v>
      </c>
      <c r="N652" s="100">
        <v>6.9249999999999998</v>
      </c>
      <c r="O652" s="98" t="s">
        <v>48</v>
      </c>
      <c r="P652" s="98">
        <v>4</v>
      </c>
      <c r="Q652" s="98">
        <v>10</v>
      </c>
      <c r="R652" s="98" t="s">
        <v>49</v>
      </c>
      <c r="S652" s="98" t="s">
        <v>50</v>
      </c>
      <c r="T652" s="98" t="s">
        <v>50</v>
      </c>
      <c r="U652" s="98" t="s">
        <v>50</v>
      </c>
      <c r="V652" s="98" t="s">
        <v>50</v>
      </c>
      <c r="W652" s="98" t="s">
        <v>50</v>
      </c>
      <c r="X652" s="98" t="s">
        <v>50</v>
      </c>
      <c r="Y652" s="622"/>
    </row>
    <row r="653" spans="1:25" s="98" customFormat="1" x14ac:dyDescent="0.25">
      <c r="A653" s="194">
        <v>43916</v>
      </c>
      <c r="B653" s="98" t="s">
        <v>876</v>
      </c>
      <c r="C653" s="98" t="s">
        <v>44</v>
      </c>
      <c r="D653" s="98">
        <v>38.007109999999997</v>
      </c>
      <c r="E653" s="98">
        <v>-121.51599</v>
      </c>
      <c r="F653" s="98" t="s">
        <v>3269</v>
      </c>
      <c r="G653" s="98" t="s">
        <v>46</v>
      </c>
      <c r="H653" s="98" t="s">
        <v>59</v>
      </c>
      <c r="I653" s="621">
        <v>0.34930555555555554</v>
      </c>
      <c r="J653" s="100">
        <v>290.95</v>
      </c>
      <c r="K653" s="100">
        <v>14.375</v>
      </c>
      <c r="L653" s="100" t="s">
        <v>50</v>
      </c>
      <c r="M653" s="100">
        <v>1.8</v>
      </c>
      <c r="N653" s="100">
        <v>14.274999999999999</v>
      </c>
      <c r="O653" s="98" t="s">
        <v>48</v>
      </c>
      <c r="P653" s="98">
        <v>4</v>
      </c>
      <c r="Q653" s="98">
        <v>10</v>
      </c>
      <c r="R653" s="98" t="s">
        <v>64</v>
      </c>
      <c r="S653" s="98" t="s">
        <v>50</v>
      </c>
      <c r="T653" s="98" t="s">
        <v>50</v>
      </c>
      <c r="U653" s="98" t="s">
        <v>50</v>
      </c>
      <c r="V653" s="98" t="s">
        <v>50</v>
      </c>
      <c r="W653" s="98" t="s">
        <v>50</v>
      </c>
      <c r="X653" s="98" t="s">
        <v>50</v>
      </c>
      <c r="Y653" s="622" t="s">
        <v>3270</v>
      </c>
    </row>
    <row r="654" spans="1:25" s="98" customFormat="1" x14ac:dyDescent="0.25">
      <c r="A654" s="194">
        <v>43916</v>
      </c>
      <c r="B654" s="98" t="s">
        <v>876</v>
      </c>
      <c r="C654" s="98" t="s">
        <v>44</v>
      </c>
      <c r="D654" s="98">
        <v>38.021059999999999</v>
      </c>
      <c r="E654" s="98">
        <v>-121.55873</v>
      </c>
      <c r="F654" s="98" t="s">
        <v>3271</v>
      </c>
      <c r="G654" s="98" t="s">
        <v>46</v>
      </c>
      <c r="H654" s="98" t="s">
        <v>74</v>
      </c>
      <c r="I654" s="621">
        <v>0.40833333333333338</v>
      </c>
      <c r="J654" s="100">
        <v>320.52499999999998</v>
      </c>
      <c r="K654" s="100">
        <v>14.5</v>
      </c>
      <c r="L654" s="100" t="s">
        <v>50</v>
      </c>
      <c r="M654" s="100">
        <v>1.7749999999999999</v>
      </c>
      <c r="N654" s="100">
        <v>7.3249999999999993</v>
      </c>
      <c r="O654" s="98" t="s">
        <v>48</v>
      </c>
      <c r="P654" s="98">
        <v>4</v>
      </c>
      <c r="Q654" s="98">
        <v>10</v>
      </c>
      <c r="R654" s="98" t="s">
        <v>49</v>
      </c>
      <c r="S654" s="98" t="s">
        <v>50</v>
      </c>
      <c r="T654" s="98" t="s">
        <v>50</v>
      </c>
      <c r="U654" s="98" t="s">
        <v>50</v>
      </c>
      <c r="V654" s="98" t="s">
        <v>50</v>
      </c>
      <c r="W654" s="98" t="s">
        <v>50</v>
      </c>
      <c r="X654" s="98" t="s">
        <v>50</v>
      </c>
      <c r="Y654" s="622" t="s">
        <v>3270</v>
      </c>
    </row>
    <row r="655" spans="1:25" s="98" customFormat="1" x14ac:dyDescent="0.25">
      <c r="A655" s="194">
        <v>43916</v>
      </c>
      <c r="B655" s="98" t="s">
        <v>876</v>
      </c>
      <c r="C655" s="98" t="s">
        <v>44</v>
      </c>
      <c r="D655" s="98">
        <v>38.038249999999998</v>
      </c>
      <c r="E655" s="98">
        <v>-121.58467</v>
      </c>
      <c r="F655" s="98" t="s">
        <v>3272</v>
      </c>
      <c r="G655" s="98" t="s">
        <v>46</v>
      </c>
      <c r="H655" s="98" t="s">
        <v>47</v>
      </c>
      <c r="I655" s="621">
        <v>0.4597222222222222</v>
      </c>
      <c r="J655" s="100">
        <v>296.42500000000001</v>
      </c>
      <c r="K655" s="100">
        <v>14.1</v>
      </c>
      <c r="L655" s="100" t="s">
        <v>50</v>
      </c>
      <c r="M655" s="100">
        <v>1.8</v>
      </c>
      <c r="N655" s="100">
        <v>8.35</v>
      </c>
      <c r="O655" s="98" t="s">
        <v>48</v>
      </c>
      <c r="P655" s="98">
        <v>4</v>
      </c>
      <c r="Q655" s="98">
        <v>10</v>
      </c>
      <c r="R655" s="98" t="s">
        <v>49</v>
      </c>
      <c r="S655" s="98" t="s">
        <v>50</v>
      </c>
      <c r="T655" s="98" t="s">
        <v>50</v>
      </c>
      <c r="U655" s="98" t="s">
        <v>50</v>
      </c>
      <c r="V655" s="98" t="s">
        <v>50</v>
      </c>
      <c r="W655" s="98" t="s">
        <v>50</v>
      </c>
      <c r="X655" s="98" t="s">
        <v>50</v>
      </c>
      <c r="Y655" s="622" t="s">
        <v>3273</v>
      </c>
    </row>
    <row r="656" spans="1:25" s="98" customFormat="1" x14ac:dyDescent="0.25">
      <c r="A656" s="194">
        <v>43916</v>
      </c>
      <c r="B656" s="98" t="s">
        <v>876</v>
      </c>
      <c r="C656" s="98" t="s">
        <v>62</v>
      </c>
      <c r="D656" s="98">
        <v>38.126339999999999</v>
      </c>
      <c r="E656" s="98">
        <v>-121.89391000000001</v>
      </c>
      <c r="F656" s="98" t="s">
        <v>3274</v>
      </c>
      <c r="G656" s="98" t="s">
        <v>27</v>
      </c>
      <c r="H656" s="98" t="s">
        <v>62</v>
      </c>
      <c r="I656" s="621">
        <v>0.35347222222222219</v>
      </c>
      <c r="J656" s="100">
        <v>2685.75</v>
      </c>
      <c r="K656" s="100">
        <v>13.875</v>
      </c>
      <c r="L656" s="100">
        <v>31.324999999999996</v>
      </c>
      <c r="M656" s="100">
        <v>0.39249999999999996</v>
      </c>
      <c r="N656" s="100">
        <v>3.9249999999999998</v>
      </c>
      <c r="O656" s="98" t="s">
        <v>48</v>
      </c>
      <c r="P656" s="98">
        <v>4</v>
      </c>
      <c r="Q656" s="98">
        <v>10</v>
      </c>
      <c r="R656" s="98" t="s">
        <v>49</v>
      </c>
      <c r="S656" s="98" t="s">
        <v>50</v>
      </c>
      <c r="T656" s="98" t="s">
        <v>50</v>
      </c>
      <c r="U656" s="98" t="s">
        <v>50</v>
      </c>
      <c r="V656" s="98" t="s">
        <v>50</v>
      </c>
      <c r="W656" s="98" t="s">
        <v>50</v>
      </c>
      <c r="X656" s="98" t="s">
        <v>50</v>
      </c>
      <c r="Y656" s="622"/>
    </row>
    <row r="657" spans="1:25" s="646" customFormat="1" x14ac:dyDescent="0.25">
      <c r="A657" s="645">
        <v>43916</v>
      </c>
      <c r="B657" s="646" t="s">
        <v>876</v>
      </c>
      <c r="C657" s="646" t="s">
        <v>62</v>
      </c>
      <c r="D657" s="646">
        <v>38.169519999999999</v>
      </c>
      <c r="E657" s="646">
        <v>-122.02527000000001</v>
      </c>
      <c r="F657" s="646" t="s">
        <v>3275</v>
      </c>
      <c r="G657" s="646" t="s">
        <v>27</v>
      </c>
      <c r="H657" s="646" t="s">
        <v>62</v>
      </c>
      <c r="I657" s="647">
        <v>0.41666666666666669</v>
      </c>
      <c r="J657" s="648">
        <v>2591.75</v>
      </c>
      <c r="K657" s="648">
        <v>13.85</v>
      </c>
      <c r="L657" s="648">
        <v>45.1</v>
      </c>
      <c r="M657" s="648">
        <v>0.3</v>
      </c>
      <c r="N657" s="648">
        <v>7.7</v>
      </c>
      <c r="O657" s="646" t="s">
        <v>48</v>
      </c>
      <c r="P657" s="646">
        <v>4</v>
      </c>
      <c r="Q657" s="646">
        <v>10</v>
      </c>
      <c r="R657" s="646" t="s">
        <v>49</v>
      </c>
      <c r="S657" s="667" t="s">
        <v>449</v>
      </c>
      <c r="T657" s="646">
        <v>1</v>
      </c>
      <c r="U657" s="646">
        <v>245</v>
      </c>
      <c r="V657" s="646" t="s">
        <v>50</v>
      </c>
      <c r="W657" s="646">
        <v>5</v>
      </c>
      <c r="X657" s="646" t="s">
        <v>2525</v>
      </c>
      <c r="Y657" s="668" t="s">
        <v>3276</v>
      </c>
    </row>
    <row r="658" spans="1:25" s="98" customFormat="1" x14ac:dyDescent="0.25">
      <c r="A658" s="194">
        <v>43916</v>
      </c>
      <c r="B658" s="98" t="s">
        <v>876</v>
      </c>
      <c r="C658" s="98" t="s">
        <v>62</v>
      </c>
      <c r="D658" s="98">
        <v>38.174619999999997</v>
      </c>
      <c r="E658" s="98">
        <v>-122.0569</v>
      </c>
      <c r="F658" s="98" t="s">
        <v>3277</v>
      </c>
      <c r="G658" s="98" t="s">
        <v>27</v>
      </c>
      <c r="H658" s="98" t="s">
        <v>62</v>
      </c>
      <c r="I658" s="621">
        <v>0.47569444444444442</v>
      </c>
      <c r="J658" s="100">
        <v>4281.75</v>
      </c>
      <c r="K658" s="100">
        <v>14.149999999999999</v>
      </c>
      <c r="L658" s="100">
        <v>73.625</v>
      </c>
      <c r="M658" s="100">
        <v>0.20250000000000001</v>
      </c>
      <c r="N658" s="100">
        <v>5.7249999999999996</v>
      </c>
      <c r="O658" s="98" t="s">
        <v>48</v>
      </c>
      <c r="P658" s="98">
        <v>4</v>
      </c>
      <c r="Q658" s="98">
        <v>10</v>
      </c>
      <c r="R658" s="98" t="s">
        <v>49</v>
      </c>
      <c r="S658" s="98" t="s">
        <v>50</v>
      </c>
      <c r="T658" s="98" t="s">
        <v>50</v>
      </c>
      <c r="U658" s="98" t="s">
        <v>50</v>
      </c>
      <c r="V658" s="98" t="s">
        <v>50</v>
      </c>
      <c r="W658" s="98" t="s">
        <v>50</v>
      </c>
      <c r="X658" s="98" t="s">
        <v>50</v>
      </c>
      <c r="Y658" s="622"/>
    </row>
    <row r="659" spans="1:25" s="98" customFormat="1" x14ac:dyDescent="0.25">
      <c r="A659" s="194">
        <v>43916</v>
      </c>
      <c r="B659" s="98" t="s">
        <v>876</v>
      </c>
      <c r="C659" s="98" t="s">
        <v>106</v>
      </c>
      <c r="D659" s="98">
        <v>38.333710000000004</v>
      </c>
      <c r="E659" s="98">
        <v>-121.64712</v>
      </c>
      <c r="F659" s="98" t="s">
        <v>3278</v>
      </c>
      <c r="G659" s="98" t="s">
        <v>90</v>
      </c>
      <c r="H659" s="98" t="s">
        <v>362</v>
      </c>
      <c r="I659" s="621">
        <v>0.35416666666666669</v>
      </c>
      <c r="J659" s="100">
        <v>351.6</v>
      </c>
      <c r="K659" s="100">
        <v>14.05</v>
      </c>
      <c r="L659" s="100">
        <v>21.7</v>
      </c>
      <c r="M659" s="100">
        <v>0.64749999999999996</v>
      </c>
      <c r="N659" s="100">
        <v>8.9</v>
      </c>
      <c r="O659" s="98" t="s">
        <v>48</v>
      </c>
      <c r="P659" s="98">
        <v>4</v>
      </c>
      <c r="Q659" s="98">
        <v>10</v>
      </c>
      <c r="R659" s="98" t="s">
        <v>49</v>
      </c>
      <c r="S659" s="98" t="s">
        <v>50</v>
      </c>
      <c r="T659" s="98" t="s">
        <v>50</v>
      </c>
      <c r="U659" s="98" t="s">
        <v>50</v>
      </c>
      <c r="V659" s="98" t="s">
        <v>50</v>
      </c>
      <c r="W659" s="98" t="s">
        <v>50</v>
      </c>
      <c r="X659" s="98" t="s">
        <v>50</v>
      </c>
      <c r="Y659" s="622"/>
    </row>
    <row r="660" spans="1:25" s="646" customFormat="1" x14ac:dyDescent="0.25">
      <c r="A660" s="645">
        <v>43916</v>
      </c>
      <c r="B660" s="646" t="s">
        <v>876</v>
      </c>
      <c r="C660" s="646" t="s">
        <v>106</v>
      </c>
      <c r="D660" s="646">
        <v>38.3202</v>
      </c>
      <c r="E660" s="646">
        <v>-121.65028</v>
      </c>
      <c r="F660" s="646" t="s">
        <v>3279</v>
      </c>
      <c r="G660" s="646" t="s">
        <v>90</v>
      </c>
      <c r="H660" s="646" t="s">
        <v>362</v>
      </c>
      <c r="I660" s="647">
        <v>0.40138888888888885</v>
      </c>
      <c r="J660" s="648">
        <v>352.32499999999999</v>
      </c>
      <c r="K660" s="648">
        <v>14.1</v>
      </c>
      <c r="L660" s="648">
        <v>20.75</v>
      </c>
      <c r="M660" s="648">
        <v>0.7</v>
      </c>
      <c r="N660" s="648">
        <v>10.4</v>
      </c>
      <c r="O660" s="646" t="s">
        <v>48</v>
      </c>
      <c r="P660" s="646">
        <v>4</v>
      </c>
      <c r="Q660" s="646">
        <v>10</v>
      </c>
      <c r="R660" s="646" t="s">
        <v>49</v>
      </c>
      <c r="S660" s="667" t="s">
        <v>3280</v>
      </c>
      <c r="T660" s="646">
        <v>1</v>
      </c>
      <c r="U660" s="646">
        <v>79</v>
      </c>
      <c r="V660" s="646" t="s">
        <v>50</v>
      </c>
      <c r="W660" s="646">
        <v>3</v>
      </c>
      <c r="X660" s="646" t="s">
        <v>50</v>
      </c>
      <c r="Y660" s="668"/>
    </row>
    <row r="661" spans="1:25" s="362" customFormat="1" x14ac:dyDescent="0.25">
      <c r="A661" s="360">
        <v>43916</v>
      </c>
      <c r="B661" s="362" t="s">
        <v>876</v>
      </c>
      <c r="C661" s="362" t="s">
        <v>106</v>
      </c>
      <c r="D661" s="362">
        <v>38.213630000000002</v>
      </c>
      <c r="E661" s="362">
        <v>-121.66656</v>
      </c>
      <c r="F661" s="362" t="s">
        <v>3281</v>
      </c>
      <c r="G661" s="362" t="s">
        <v>90</v>
      </c>
      <c r="H661" s="362" t="s">
        <v>362</v>
      </c>
      <c r="I661" s="618">
        <v>0.45624999999999999</v>
      </c>
      <c r="J661" s="364">
        <v>209.72499999999999</v>
      </c>
      <c r="K661" s="364">
        <v>13.674999999999999</v>
      </c>
      <c r="L661" s="364">
        <v>5.5324999999999998</v>
      </c>
      <c r="M661" s="364">
        <v>1.8</v>
      </c>
      <c r="N661" s="364">
        <v>13.775</v>
      </c>
      <c r="O661" s="362" t="s">
        <v>48</v>
      </c>
      <c r="P661" s="362">
        <v>4</v>
      </c>
      <c r="Q661" s="362">
        <v>10</v>
      </c>
      <c r="R661" s="362" t="s">
        <v>49</v>
      </c>
      <c r="S661" s="362" t="s">
        <v>50</v>
      </c>
      <c r="T661" s="362" t="s">
        <v>50</v>
      </c>
      <c r="U661" s="362" t="s">
        <v>50</v>
      </c>
      <c r="V661" s="362" t="s">
        <v>50</v>
      </c>
      <c r="W661" s="362" t="s">
        <v>50</v>
      </c>
      <c r="X661" s="362" t="s">
        <v>50</v>
      </c>
      <c r="Y661" s="603"/>
    </row>
    <row r="662" spans="1:25" s="98" customFormat="1" x14ac:dyDescent="0.25">
      <c r="A662" s="194"/>
      <c r="I662" s="621"/>
      <c r="J662" s="100"/>
      <c r="K662" s="100"/>
      <c r="L662" s="100"/>
      <c r="M662" s="100"/>
      <c r="N662" s="100"/>
      <c r="Y662" s="622"/>
    </row>
    <row r="663" spans="1:25" s="98" customFormat="1" x14ac:dyDescent="0.25">
      <c r="A663" s="194"/>
      <c r="I663" s="621"/>
      <c r="J663" s="100"/>
      <c r="K663" s="100"/>
      <c r="L663" s="100"/>
      <c r="M663" s="100"/>
      <c r="N663" s="100"/>
      <c r="Y663" s="622"/>
    </row>
    <row r="664" spans="1:25" s="98" customFormat="1" x14ac:dyDescent="0.25">
      <c r="A664" s="194"/>
      <c r="I664" s="621"/>
      <c r="J664" s="100"/>
      <c r="K664" s="100"/>
      <c r="L664" s="100"/>
      <c r="M664" s="100"/>
      <c r="N664" s="100"/>
      <c r="Y664" s="622"/>
    </row>
    <row r="665" spans="1:25" s="98" customFormat="1" x14ac:dyDescent="0.25">
      <c r="A665" s="194"/>
      <c r="I665" s="621"/>
      <c r="J665" s="100"/>
      <c r="K665" s="100"/>
      <c r="L665" s="100"/>
      <c r="M665" s="100"/>
      <c r="N665" s="100"/>
      <c r="Y665" s="622"/>
    </row>
    <row r="666" spans="1:25" s="98" customFormat="1" x14ac:dyDescent="0.25">
      <c r="A666" s="194"/>
      <c r="I666" s="621"/>
      <c r="J666" s="100"/>
      <c r="K666" s="100"/>
      <c r="L666" s="100"/>
      <c r="M666" s="100"/>
      <c r="N666" s="100"/>
      <c r="Y666" s="622"/>
    </row>
    <row r="667" spans="1:25" s="98" customFormat="1" x14ac:dyDescent="0.25">
      <c r="A667" s="194"/>
      <c r="I667" s="621"/>
      <c r="J667" s="100"/>
      <c r="K667" s="100"/>
      <c r="L667" s="100"/>
      <c r="M667" s="100"/>
      <c r="N667" s="100"/>
      <c r="Y667" s="622"/>
    </row>
    <row r="668" spans="1:25" s="98" customFormat="1" x14ac:dyDescent="0.25">
      <c r="A668" s="194"/>
      <c r="I668" s="621"/>
      <c r="J668" s="100"/>
      <c r="K668" s="100"/>
      <c r="L668" s="100"/>
      <c r="M668" s="100"/>
      <c r="N668" s="100"/>
      <c r="Y668" s="622"/>
    </row>
    <row r="669" spans="1:25" s="98" customFormat="1" x14ac:dyDescent="0.25">
      <c r="A669" s="194"/>
      <c r="I669" s="621"/>
      <c r="J669" s="100"/>
      <c r="K669" s="100"/>
      <c r="L669" s="100"/>
      <c r="M669" s="100"/>
      <c r="N669" s="100"/>
      <c r="Y669" s="622"/>
    </row>
    <row r="670" spans="1:25" s="98" customFormat="1" x14ac:dyDescent="0.25">
      <c r="A670" s="194"/>
      <c r="I670" s="621"/>
      <c r="J670" s="100"/>
      <c r="K670" s="100"/>
      <c r="L670" s="100"/>
      <c r="M670" s="100"/>
      <c r="N670" s="100"/>
      <c r="Y670" s="622"/>
    </row>
    <row r="671" spans="1:25" s="98" customFormat="1" x14ac:dyDescent="0.25">
      <c r="A671" s="194"/>
      <c r="I671" s="621"/>
      <c r="J671" s="100"/>
      <c r="K671" s="100"/>
      <c r="L671" s="100"/>
      <c r="M671" s="100"/>
      <c r="N671" s="100"/>
      <c r="Y671" s="622"/>
    </row>
    <row r="672" spans="1:25" s="98" customFormat="1" x14ac:dyDescent="0.25">
      <c r="A672" s="194"/>
      <c r="I672" s="621"/>
      <c r="J672" s="100"/>
      <c r="K672" s="100"/>
      <c r="L672" s="100"/>
      <c r="M672" s="100"/>
      <c r="N672" s="100"/>
      <c r="Y672" s="622"/>
    </row>
    <row r="673" spans="1:25" s="98" customFormat="1" x14ac:dyDescent="0.25">
      <c r="A673" s="194"/>
      <c r="I673" s="621"/>
      <c r="J673" s="100"/>
      <c r="K673" s="100"/>
      <c r="L673" s="100"/>
      <c r="M673" s="100"/>
      <c r="N673" s="100"/>
      <c r="Y673" s="622"/>
    </row>
    <row r="674" spans="1:25" s="98" customFormat="1" x14ac:dyDescent="0.25">
      <c r="A674" s="194"/>
      <c r="I674" s="621"/>
      <c r="J674" s="100"/>
      <c r="K674" s="100"/>
      <c r="L674" s="100"/>
      <c r="M674" s="100"/>
      <c r="N674" s="100"/>
      <c r="Y674" s="622"/>
    </row>
    <row r="675" spans="1:25" s="98" customFormat="1" x14ac:dyDescent="0.25">
      <c r="A675" s="194"/>
      <c r="I675" s="621"/>
      <c r="J675" s="100"/>
      <c r="K675" s="100"/>
      <c r="L675" s="100"/>
      <c r="M675" s="100"/>
      <c r="N675" s="100"/>
      <c r="Y675" s="622"/>
    </row>
    <row r="676" spans="1:25" s="98" customFormat="1" x14ac:dyDescent="0.25">
      <c r="A676" s="194"/>
      <c r="I676" s="621"/>
      <c r="J676" s="100"/>
      <c r="K676" s="100"/>
      <c r="L676" s="100"/>
      <c r="M676" s="100"/>
      <c r="N676" s="100"/>
      <c r="Y676" s="622"/>
    </row>
    <row r="677" spans="1:25" s="98" customFormat="1" x14ac:dyDescent="0.25">
      <c r="A677" s="194"/>
      <c r="I677" s="621"/>
      <c r="J677" s="100"/>
      <c r="K677" s="100"/>
      <c r="L677" s="100"/>
      <c r="M677" s="100"/>
      <c r="N677" s="100"/>
      <c r="Y677" s="622"/>
    </row>
    <row r="678" spans="1:25" s="98" customFormat="1" x14ac:dyDescent="0.25">
      <c r="A678" s="194"/>
      <c r="I678" s="621"/>
      <c r="J678" s="100"/>
      <c r="K678" s="100"/>
      <c r="L678" s="100"/>
      <c r="M678" s="100"/>
      <c r="N678" s="100"/>
      <c r="Y678" s="622"/>
    </row>
    <row r="679" spans="1:25" s="98" customFormat="1" x14ac:dyDescent="0.25">
      <c r="A679" s="194"/>
      <c r="I679" s="621"/>
      <c r="J679" s="100"/>
      <c r="K679" s="100"/>
      <c r="L679" s="100"/>
      <c r="M679" s="100"/>
      <c r="N679" s="100"/>
      <c r="Y679" s="622"/>
    </row>
    <row r="680" spans="1:25" s="98" customFormat="1" x14ac:dyDescent="0.25">
      <c r="A680" s="194"/>
      <c r="I680" s="621"/>
      <c r="J680" s="100"/>
      <c r="K680" s="100"/>
      <c r="L680" s="100"/>
      <c r="M680" s="100"/>
      <c r="N680" s="100"/>
      <c r="Y680" s="622"/>
    </row>
    <row r="681" spans="1:25" s="98" customFormat="1" x14ac:dyDescent="0.25">
      <c r="A681" s="194"/>
      <c r="I681" s="621"/>
      <c r="J681" s="100"/>
      <c r="K681" s="100"/>
      <c r="L681" s="100"/>
      <c r="M681" s="100"/>
      <c r="N681" s="100"/>
      <c r="Y681" s="622"/>
    </row>
    <row r="682" spans="1:25" s="98" customFormat="1" x14ac:dyDescent="0.25">
      <c r="A682" s="194"/>
      <c r="I682" s="621"/>
      <c r="J682" s="100"/>
      <c r="K682" s="100"/>
      <c r="L682" s="100"/>
      <c r="M682" s="100"/>
      <c r="N682" s="100"/>
      <c r="Y682" s="622"/>
    </row>
    <row r="683" spans="1:25" s="98" customFormat="1" x14ac:dyDescent="0.25">
      <c r="A683" s="194"/>
      <c r="I683" s="621"/>
      <c r="J683" s="100"/>
      <c r="K683" s="100"/>
      <c r="L683" s="100"/>
      <c r="M683" s="100"/>
      <c r="N683" s="100"/>
      <c r="Y683" s="622"/>
    </row>
    <row r="684" spans="1:25" s="98" customFormat="1" x14ac:dyDescent="0.25">
      <c r="A684" s="194"/>
      <c r="I684" s="621"/>
      <c r="J684" s="100"/>
      <c r="K684" s="100"/>
      <c r="L684" s="100"/>
      <c r="M684" s="100"/>
      <c r="N684" s="100"/>
      <c r="Y684" s="622"/>
    </row>
    <row r="685" spans="1:25" s="98" customFormat="1" x14ac:dyDescent="0.25">
      <c r="A685" s="194"/>
      <c r="I685" s="621"/>
      <c r="J685" s="100"/>
      <c r="K685" s="100"/>
      <c r="L685" s="100"/>
      <c r="M685" s="100"/>
      <c r="N685" s="100"/>
      <c r="Y685" s="622"/>
    </row>
    <row r="686" spans="1:25" s="98" customFormat="1" x14ac:dyDescent="0.25">
      <c r="A686" s="194"/>
      <c r="I686" s="621"/>
      <c r="J686" s="100"/>
      <c r="K686" s="100"/>
      <c r="L686" s="100"/>
      <c r="M686" s="100"/>
      <c r="N686" s="100"/>
      <c r="Y686" s="622"/>
    </row>
    <row r="687" spans="1:25" s="98" customFormat="1" x14ac:dyDescent="0.25">
      <c r="A687" s="194"/>
      <c r="I687" s="621"/>
      <c r="J687" s="100"/>
      <c r="K687" s="100"/>
      <c r="L687" s="100"/>
      <c r="M687" s="100"/>
      <c r="N687" s="100"/>
      <c r="Y687" s="622"/>
    </row>
    <row r="688" spans="1:25" s="98" customFormat="1" x14ac:dyDescent="0.25">
      <c r="A688" s="194"/>
      <c r="I688" s="621"/>
      <c r="J688" s="100"/>
      <c r="K688" s="100"/>
      <c r="L688" s="100"/>
      <c r="M688" s="100"/>
      <c r="N688" s="100"/>
      <c r="Y688" s="622"/>
    </row>
    <row r="689" spans="1:25" s="98" customFormat="1" x14ac:dyDescent="0.25">
      <c r="A689" s="194"/>
      <c r="I689" s="621"/>
      <c r="J689" s="100"/>
      <c r="K689" s="100"/>
      <c r="L689" s="100"/>
      <c r="M689" s="100"/>
      <c r="N689" s="100"/>
      <c r="Y689" s="622"/>
    </row>
    <row r="690" spans="1:25" s="98" customFormat="1" x14ac:dyDescent="0.25">
      <c r="A690" s="194"/>
      <c r="I690" s="621"/>
      <c r="J690" s="100"/>
      <c r="K690" s="100"/>
      <c r="L690" s="100"/>
      <c r="M690" s="100"/>
      <c r="N690" s="100"/>
      <c r="Y690" s="622"/>
    </row>
    <row r="691" spans="1:25" s="98" customFormat="1" x14ac:dyDescent="0.25">
      <c r="A691" s="194"/>
      <c r="I691" s="621"/>
      <c r="J691" s="100"/>
      <c r="K691" s="100"/>
      <c r="L691" s="100"/>
      <c r="M691" s="100"/>
      <c r="N691" s="100"/>
      <c r="Y691" s="622"/>
    </row>
    <row r="692" spans="1:25" s="98" customFormat="1" x14ac:dyDescent="0.25">
      <c r="A692" s="194"/>
      <c r="I692" s="621"/>
      <c r="J692" s="100"/>
      <c r="K692" s="100"/>
      <c r="L692" s="100"/>
      <c r="M692" s="100"/>
      <c r="N692" s="100"/>
      <c r="Y692" s="622"/>
    </row>
    <row r="693" spans="1:25" s="98" customFormat="1" x14ac:dyDescent="0.25">
      <c r="A693" s="194"/>
      <c r="I693" s="621"/>
      <c r="J693" s="100"/>
      <c r="K693" s="100"/>
      <c r="L693" s="100"/>
      <c r="M693" s="100"/>
      <c r="N693" s="100"/>
      <c r="Y693" s="622"/>
    </row>
    <row r="694" spans="1:25" s="98" customFormat="1" x14ac:dyDescent="0.25">
      <c r="A694" s="194"/>
      <c r="I694" s="621"/>
      <c r="J694" s="100"/>
      <c r="K694" s="100"/>
      <c r="L694" s="100"/>
      <c r="M694" s="100"/>
      <c r="N694" s="100"/>
      <c r="Y694" s="622"/>
    </row>
    <row r="695" spans="1:25" s="98" customFormat="1" x14ac:dyDescent="0.25">
      <c r="A695" s="194"/>
      <c r="I695" s="621"/>
      <c r="J695" s="100"/>
      <c r="K695" s="100"/>
      <c r="L695" s="100"/>
      <c r="M695" s="100"/>
      <c r="N695" s="100"/>
      <c r="Y695" s="622"/>
    </row>
    <row r="696" spans="1:25" s="98" customFormat="1" x14ac:dyDescent="0.25">
      <c r="A696" s="194"/>
      <c r="I696" s="621"/>
      <c r="J696" s="100"/>
      <c r="K696" s="100"/>
      <c r="L696" s="100"/>
      <c r="M696" s="100"/>
      <c r="N696" s="100"/>
      <c r="Y696" s="622"/>
    </row>
    <row r="697" spans="1:25" s="98" customFormat="1" x14ac:dyDescent="0.25">
      <c r="A697" s="194"/>
      <c r="I697" s="621"/>
      <c r="J697" s="100"/>
      <c r="K697" s="100"/>
      <c r="L697" s="100"/>
      <c r="M697" s="100"/>
      <c r="N697" s="100"/>
      <c r="Y697" s="622"/>
    </row>
    <row r="698" spans="1:25" s="98" customFormat="1" x14ac:dyDescent="0.25">
      <c r="A698" s="194"/>
      <c r="I698" s="621"/>
      <c r="J698" s="100"/>
      <c r="K698" s="100"/>
      <c r="L698" s="100"/>
      <c r="M698" s="100"/>
      <c r="N698" s="100"/>
      <c r="Y698" s="622"/>
    </row>
    <row r="699" spans="1:25" s="98" customFormat="1" x14ac:dyDescent="0.25">
      <c r="A699" s="194"/>
      <c r="I699" s="621"/>
      <c r="J699" s="100"/>
      <c r="K699" s="100"/>
      <c r="L699" s="100"/>
      <c r="M699" s="100"/>
      <c r="N699" s="100"/>
      <c r="Y699" s="622"/>
    </row>
    <row r="700" spans="1:25" s="98" customFormat="1" x14ac:dyDescent="0.25">
      <c r="A700" s="194"/>
      <c r="I700" s="621"/>
      <c r="J700" s="100"/>
      <c r="K700" s="100"/>
      <c r="L700" s="100"/>
      <c r="M700" s="100"/>
      <c r="N700" s="100"/>
      <c r="Y700" s="622"/>
    </row>
    <row r="701" spans="1:25" s="98" customFormat="1" x14ac:dyDescent="0.25">
      <c r="A701" s="194"/>
      <c r="I701" s="621"/>
      <c r="J701" s="100"/>
      <c r="K701" s="100"/>
      <c r="L701" s="100"/>
      <c r="M701" s="100"/>
      <c r="N701" s="100"/>
      <c r="Y701" s="622"/>
    </row>
    <row r="702" spans="1:25" s="98" customFormat="1" x14ac:dyDescent="0.25">
      <c r="A702" s="194"/>
      <c r="I702" s="621"/>
      <c r="J702" s="100"/>
      <c r="K702" s="100"/>
      <c r="L702" s="100"/>
      <c r="M702" s="100"/>
      <c r="N702" s="100"/>
      <c r="Y702" s="622"/>
    </row>
    <row r="703" spans="1:25" s="98" customFormat="1" x14ac:dyDescent="0.25">
      <c r="A703" s="194"/>
      <c r="I703" s="621"/>
      <c r="J703" s="100"/>
      <c r="K703" s="100"/>
      <c r="L703" s="100"/>
      <c r="M703" s="100"/>
      <c r="N703" s="100"/>
      <c r="Y703" s="622"/>
    </row>
    <row r="704" spans="1:25" s="98" customFormat="1" x14ac:dyDescent="0.25">
      <c r="A704" s="194"/>
      <c r="I704" s="621"/>
      <c r="J704" s="100"/>
      <c r="K704" s="100"/>
      <c r="L704" s="100"/>
      <c r="M704" s="100"/>
      <c r="N704" s="100"/>
      <c r="Y704" s="622"/>
    </row>
    <row r="705" spans="1:25" s="98" customFormat="1" x14ac:dyDescent="0.25">
      <c r="A705" s="194"/>
      <c r="I705" s="621"/>
      <c r="J705" s="100"/>
      <c r="K705" s="100"/>
      <c r="L705" s="100"/>
      <c r="M705" s="100"/>
      <c r="N705" s="100"/>
      <c r="Y705" s="622"/>
    </row>
    <row r="706" spans="1:25" s="98" customFormat="1" x14ac:dyDescent="0.25">
      <c r="A706" s="194"/>
      <c r="I706" s="621"/>
      <c r="J706" s="100"/>
      <c r="K706" s="100"/>
      <c r="L706" s="100"/>
      <c r="M706" s="100"/>
      <c r="N706" s="100"/>
      <c r="Y706" s="622"/>
    </row>
    <row r="707" spans="1:25" s="98" customFormat="1" x14ac:dyDescent="0.25">
      <c r="A707" s="194"/>
      <c r="I707" s="621"/>
      <c r="J707" s="100"/>
      <c r="K707" s="100"/>
      <c r="L707" s="100"/>
      <c r="M707" s="100"/>
      <c r="N707" s="100"/>
      <c r="Y707" s="622"/>
    </row>
    <row r="708" spans="1:25" s="98" customFormat="1" x14ac:dyDescent="0.25">
      <c r="A708" s="194"/>
      <c r="I708" s="621"/>
      <c r="J708" s="100"/>
      <c r="K708" s="100"/>
      <c r="L708" s="100"/>
      <c r="M708" s="100"/>
      <c r="N708" s="100"/>
      <c r="Y708" s="622"/>
    </row>
    <row r="709" spans="1:25" s="98" customFormat="1" x14ac:dyDescent="0.25">
      <c r="A709" s="194"/>
      <c r="I709" s="621"/>
      <c r="J709" s="100"/>
      <c r="K709" s="100"/>
      <c r="L709" s="100"/>
      <c r="M709" s="100"/>
      <c r="N709" s="100"/>
      <c r="Y709" s="622"/>
    </row>
    <row r="710" spans="1:25" s="98" customFormat="1" x14ac:dyDescent="0.25">
      <c r="A710" s="194"/>
      <c r="I710" s="621"/>
      <c r="J710" s="100"/>
      <c r="K710" s="100"/>
      <c r="L710" s="100"/>
      <c r="M710" s="100"/>
      <c r="N710" s="100"/>
      <c r="Y710" s="622"/>
    </row>
    <row r="711" spans="1:25" s="98" customFormat="1" x14ac:dyDescent="0.25">
      <c r="A711" s="194"/>
      <c r="I711" s="621"/>
      <c r="J711" s="100"/>
      <c r="K711" s="100"/>
      <c r="L711" s="100"/>
      <c r="M711" s="100"/>
      <c r="N711" s="100"/>
      <c r="Y711" s="622"/>
    </row>
    <row r="712" spans="1:25" s="98" customFormat="1" x14ac:dyDescent="0.25">
      <c r="A712" s="194"/>
      <c r="I712" s="621"/>
      <c r="J712" s="100"/>
      <c r="K712" s="100"/>
      <c r="L712" s="100"/>
      <c r="M712" s="100"/>
      <c r="N712" s="100"/>
      <c r="Y712" s="622"/>
    </row>
    <row r="713" spans="1:25" s="98" customFormat="1" x14ac:dyDescent="0.25">
      <c r="A713" s="194"/>
      <c r="I713" s="621"/>
      <c r="J713" s="100"/>
      <c r="K713" s="100"/>
      <c r="L713" s="100"/>
      <c r="M713" s="100"/>
      <c r="N713" s="100"/>
      <c r="Y713" s="622"/>
    </row>
    <row r="714" spans="1:25" s="98" customFormat="1" x14ac:dyDescent="0.25">
      <c r="A714" s="194"/>
      <c r="I714" s="621"/>
      <c r="J714" s="100"/>
      <c r="K714" s="100"/>
      <c r="L714" s="100"/>
      <c r="M714" s="100"/>
      <c r="N714" s="100"/>
      <c r="Y714" s="622"/>
    </row>
    <row r="715" spans="1:25" s="98" customFormat="1" x14ac:dyDescent="0.25">
      <c r="A715" s="194"/>
      <c r="I715" s="621"/>
      <c r="J715" s="100"/>
      <c r="K715" s="100"/>
      <c r="L715" s="100"/>
      <c r="M715" s="100"/>
      <c r="N715" s="100"/>
      <c r="Y715" s="622"/>
    </row>
    <row r="716" spans="1:25" s="98" customFormat="1" x14ac:dyDescent="0.25">
      <c r="A716" s="194"/>
      <c r="I716" s="621"/>
      <c r="J716" s="100"/>
      <c r="K716" s="100"/>
      <c r="L716" s="100"/>
      <c r="M716" s="100"/>
      <c r="N716" s="100"/>
      <c r="Y716" s="622"/>
    </row>
    <row r="717" spans="1:25" s="98" customFormat="1" x14ac:dyDescent="0.25">
      <c r="A717" s="194"/>
      <c r="I717" s="621"/>
      <c r="J717" s="100"/>
      <c r="K717" s="100"/>
      <c r="L717" s="100"/>
      <c r="M717" s="100"/>
      <c r="N717" s="100"/>
      <c r="Y717" s="622"/>
    </row>
    <row r="718" spans="1:25" s="98" customFormat="1" x14ac:dyDescent="0.25">
      <c r="A718" s="194"/>
      <c r="I718" s="621"/>
      <c r="J718" s="100"/>
      <c r="K718" s="100"/>
      <c r="L718" s="100"/>
      <c r="M718" s="100"/>
      <c r="N718" s="100"/>
      <c r="Y718" s="622"/>
    </row>
    <row r="719" spans="1:25" s="98" customFormat="1" x14ac:dyDescent="0.25">
      <c r="A719" s="194"/>
      <c r="I719" s="621"/>
      <c r="J719" s="100"/>
      <c r="K719" s="100"/>
      <c r="L719" s="100"/>
      <c r="M719" s="100"/>
      <c r="N719" s="100"/>
      <c r="Y719" s="622"/>
    </row>
    <row r="720" spans="1:25" s="98" customFormat="1" x14ac:dyDescent="0.25">
      <c r="A720" s="194"/>
      <c r="I720" s="621"/>
      <c r="J720" s="100"/>
      <c r="K720" s="100"/>
      <c r="L720" s="100"/>
      <c r="M720" s="100"/>
      <c r="N720" s="100"/>
      <c r="Y720" s="622"/>
    </row>
    <row r="721" spans="1:25" s="98" customFormat="1" x14ac:dyDescent="0.25">
      <c r="A721" s="194"/>
      <c r="I721" s="621"/>
      <c r="J721" s="100"/>
      <c r="K721" s="100"/>
      <c r="L721" s="100"/>
      <c r="M721" s="100"/>
      <c r="N721" s="100"/>
      <c r="Y721" s="622"/>
    </row>
    <row r="722" spans="1:25" s="98" customFormat="1" x14ac:dyDescent="0.25">
      <c r="A722" s="194"/>
      <c r="I722" s="621"/>
      <c r="J722" s="100"/>
      <c r="K722" s="100"/>
      <c r="L722" s="100"/>
      <c r="M722" s="100"/>
      <c r="N722" s="100"/>
      <c r="Y722" s="622"/>
    </row>
    <row r="723" spans="1:25" s="98" customFormat="1" x14ac:dyDescent="0.25">
      <c r="A723" s="194"/>
      <c r="I723" s="621"/>
      <c r="J723" s="100"/>
      <c r="K723" s="100"/>
      <c r="L723" s="100"/>
      <c r="M723" s="100"/>
      <c r="N723" s="100"/>
      <c r="Y723" s="622"/>
    </row>
    <row r="724" spans="1:25" s="98" customFormat="1" x14ac:dyDescent="0.25">
      <c r="A724" s="194"/>
      <c r="I724" s="621"/>
      <c r="J724" s="100"/>
      <c r="K724" s="100"/>
      <c r="L724" s="100"/>
      <c r="M724" s="100"/>
      <c r="N724" s="100"/>
      <c r="Y724" s="622"/>
    </row>
    <row r="725" spans="1:25" s="98" customFormat="1" x14ac:dyDescent="0.25">
      <c r="A725" s="194"/>
      <c r="I725" s="621"/>
      <c r="J725" s="100"/>
      <c r="K725" s="100"/>
      <c r="L725" s="100"/>
      <c r="M725" s="100"/>
      <c r="N725" s="100"/>
      <c r="Y725" s="622"/>
    </row>
    <row r="726" spans="1:25" s="98" customFormat="1" x14ac:dyDescent="0.25">
      <c r="A726" s="194"/>
      <c r="I726" s="621"/>
      <c r="J726" s="100"/>
      <c r="K726" s="100"/>
      <c r="L726" s="100"/>
      <c r="M726" s="100"/>
      <c r="N726" s="100"/>
      <c r="Y726" s="622"/>
    </row>
    <row r="727" spans="1:25" s="98" customFormat="1" x14ac:dyDescent="0.25">
      <c r="A727" s="194"/>
      <c r="I727" s="621"/>
      <c r="J727" s="100"/>
      <c r="K727" s="100"/>
      <c r="L727" s="100"/>
      <c r="M727" s="100"/>
      <c r="N727" s="100"/>
      <c r="Y727" s="622"/>
    </row>
    <row r="728" spans="1:25" s="98" customFormat="1" x14ac:dyDescent="0.25">
      <c r="A728" s="194"/>
      <c r="I728" s="621"/>
      <c r="J728" s="100"/>
      <c r="K728" s="100"/>
      <c r="L728" s="100"/>
      <c r="M728" s="100"/>
      <c r="N728" s="100"/>
      <c r="Y728" s="622"/>
    </row>
    <row r="729" spans="1:25" s="98" customFormat="1" x14ac:dyDescent="0.25">
      <c r="A729" s="194"/>
      <c r="I729" s="621"/>
      <c r="J729" s="100"/>
      <c r="K729" s="100"/>
      <c r="L729" s="100"/>
      <c r="M729" s="100"/>
      <c r="N729" s="100"/>
      <c r="Y729" s="622"/>
    </row>
    <row r="730" spans="1:25" s="98" customFormat="1" x14ac:dyDescent="0.25">
      <c r="A730" s="194"/>
      <c r="I730" s="621"/>
      <c r="J730" s="100"/>
      <c r="K730" s="100"/>
      <c r="L730" s="100"/>
      <c r="M730" s="100"/>
      <c r="N730" s="100"/>
      <c r="Y730" s="622"/>
    </row>
    <row r="731" spans="1:25" s="98" customFormat="1" x14ac:dyDescent="0.25">
      <c r="A731" s="194"/>
      <c r="I731" s="621"/>
      <c r="J731" s="100"/>
      <c r="K731" s="100"/>
      <c r="L731" s="100"/>
      <c r="M731" s="100"/>
      <c r="N731" s="100"/>
      <c r="Y731" s="622"/>
    </row>
    <row r="732" spans="1:25" s="98" customFormat="1" x14ac:dyDescent="0.25">
      <c r="A732" s="194"/>
      <c r="I732" s="621"/>
      <c r="J732" s="100"/>
      <c r="K732" s="100"/>
      <c r="L732" s="100"/>
      <c r="M732" s="100"/>
      <c r="N732" s="100"/>
      <c r="Y732" s="622"/>
    </row>
    <row r="733" spans="1:25" s="98" customFormat="1" x14ac:dyDescent="0.25">
      <c r="A733" s="194"/>
      <c r="I733" s="621"/>
      <c r="J733" s="100"/>
      <c r="K733" s="100"/>
      <c r="L733" s="100"/>
      <c r="M733" s="100"/>
      <c r="N733" s="100"/>
      <c r="Y733" s="622"/>
    </row>
    <row r="734" spans="1:25" s="98" customFormat="1" x14ac:dyDescent="0.25">
      <c r="A734" s="194"/>
      <c r="I734" s="621"/>
      <c r="J734" s="100"/>
      <c r="K734" s="100"/>
      <c r="L734" s="100"/>
      <c r="M734" s="100"/>
      <c r="N734" s="100"/>
      <c r="Y734" s="622"/>
    </row>
    <row r="735" spans="1:25" s="98" customFormat="1" x14ac:dyDescent="0.25">
      <c r="A735" s="194"/>
      <c r="I735" s="621"/>
      <c r="J735" s="100"/>
      <c r="K735" s="100"/>
      <c r="L735" s="100"/>
      <c r="M735" s="100"/>
      <c r="N735" s="100"/>
      <c r="Y735" s="622"/>
    </row>
    <row r="736" spans="1:25" s="98" customFormat="1" x14ac:dyDescent="0.25">
      <c r="A736" s="194"/>
      <c r="I736" s="621"/>
      <c r="J736" s="100"/>
      <c r="K736" s="100"/>
      <c r="L736" s="100"/>
      <c r="M736" s="100"/>
      <c r="N736" s="100"/>
      <c r="Y736" s="622"/>
    </row>
    <row r="737" spans="1:25" s="98" customFormat="1" x14ac:dyDescent="0.25">
      <c r="A737" s="194"/>
      <c r="I737" s="621"/>
      <c r="J737" s="100"/>
      <c r="K737" s="100"/>
      <c r="L737" s="100"/>
      <c r="M737" s="100"/>
      <c r="N737" s="100"/>
      <c r="Y737" s="622"/>
    </row>
    <row r="738" spans="1:25" s="98" customFormat="1" x14ac:dyDescent="0.25">
      <c r="A738" s="194"/>
      <c r="I738" s="621"/>
      <c r="J738" s="100"/>
      <c r="K738" s="100"/>
      <c r="L738" s="100"/>
      <c r="M738" s="100"/>
      <c r="N738" s="100"/>
      <c r="Y738" s="622"/>
    </row>
    <row r="739" spans="1:25" s="98" customFormat="1" x14ac:dyDescent="0.25">
      <c r="A739" s="194"/>
      <c r="I739" s="621"/>
      <c r="J739" s="100"/>
      <c r="K739" s="100"/>
      <c r="L739" s="100"/>
      <c r="M739" s="100"/>
      <c r="N739" s="100"/>
      <c r="Y739" s="622"/>
    </row>
    <row r="740" spans="1:25" s="98" customFormat="1" x14ac:dyDescent="0.25">
      <c r="A740" s="194"/>
      <c r="I740" s="621"/>
      <c r="J740" s="100"/>
      <c r="K740" s="100"/>
      <c r="L740" s="100"/>
      <c r="M740" s="100"/>
      <c r="N740" s="100"/>
      <c r="Y740" s="622"/>
    </row>
    <row r="741" spans="1:25" s="98" customFormat="1" x14ac:dyDescent="0.25">
      <c r="A741" s="194"/>
      <c r="I741" s="621"/>
      <c r="J741" s="100"/>
      <c r="K741" s="100"/>
      <c r="L741" s="100"/>
      <c r="M741" s="100"/>
      <c r="N741" s="100"/>
      <c r="Y741" s="622"/>
    </row>
    <row r="742" spans="1:25" s="98" customFormat="1" x14ac:dyDescent="0.25">
      <c r="A742" s="194"/>
      <c r="I742" s="621"/>
      <c r="J742" s="100"/>
      <c r="K742" s="100"/>
      <c r="L742" s="100"/>
      <c r="M742" s="100"/>
      <c r="N742" s="100"/>
      <c r="Y742" s="622"/>
    </row>
    <row r="743" spans="1:25" s="98" customFormat="1" x14ac:dyDescent="0.25">
      <c r="A743" s="194"/>
      <c r="I743" s="621"/>
      <c r="J743" s="100"/>
      <c r="K743" s="100"/>
      <c r="L743" s="100"/>
      <c r="M743" s="100"/>
      <c r="N743" s="100"/>
      <c r="Y743" s="622"/>
    </row>
    <row r="744" spans="1:25" s="98" customFormat="1" x14ac:dyDescent="0.25">
      <c r="A744" s="194"/>
      <c r="I744" s="621"/>
      <c r="J744" s="100"/>
      <c r="K744" s="100"/>
      <c r="L744" s="100"/>
      <c r="M744" s="100"/>
      <c r="N744" s="100"/>
      <c r="Y744" s="622"/>
    </row>
    <row r="745" spans="1:25" s="98" customFormat="1" x14ac:dyDescent="0.25">
      <c r="A745" s="194"/>
      <c r="I745" s="621"/>
      <c r="J745" s="100"/>
      <c r="K745" s="100"/>
      <c r="L745" s="100"/>
      <c r="M745" s="100"/>
      <c r="N745" s="100"/>
      <c r="Y745" s="622"/>
    </row>
    <row r="746" spans="1:25" s="98" customFormat="1" x14ac:dyDescent="0.25">
      <c r="A746" s="194"/>
      <c r="I746" s="621"/>
      <c r="J746" s="100"/>
      <c r="K746" s="100"/>
      <c r="L746" s="100"/>
      <c r="M746" s="100"/>
      <c r="N746" s="100"/>
      <c r="Y746" s="622"/>
    </row>
    <row r="747" spans="1:25" s="98" customFormat="1" x14ac:dyDescent="0.25">
      <c r="A747" s="194"/>
      <c r="I747" s="621"/>
      <c r="J747" s="100"/>
      <c r="K747" s="100"/>
      <c r="L747" s="100"/>
      <c r="M747" s="100"/>
      <c r="N747" s="100"/>
      <c r="Y747" s="622"/>
    </row>
    <row r="748" spans="1:25" s="98" customFormat="1" x14ac:dyDescent="0.25">
      <c r="A748" s="194"/>
      <c r="I748" s="621"/>
      <c r="J748" s="100"/>
      <c r="K748" s="100"/>
      <c r="L748" s="100"/>
      <c r="M748" s="100"/>
      <c r="N748" s="100"/>
      <c r="Y748" s="622"/>
    </row>
    <row r="749" spans="1:25" s="98" customFormat="1" x14ac:dyDescent="0.25">
      <c r="A749" s="194"/>
      <c r="I749" s="621"/>
      <c r="J749" s="100"/>
      <c r="K749" s="100"/>
      <c r="L749" s="100"/>
      <c r="M749" s="100"/>
      <c r="N749" s="100"/>
      <c r="Y749" s="622"/>
    </row>
    <row r="750" spans="1:25" s="98" customFormat="1" x14ac:dyDescent="0.25">
      <c r="A750" s="194"/>
      <c r="I750" s="621"/>
      <c r="J750" s="100"/>
      <c r="K750" s="100"/>
      <c r="L750" s="100"/>
      <c r="M750" s="100"/>
      <c r="N750" s="100"/>
      <c r="Y750" s="622"/>
    </row>
    <row r="751" spans="1:25" s="98" customFormat="1" x14ac:dyDescent="0.25">
      <c r="A751" s="194"/>
      <c r="I751" s="621"/>
      <c r="J751" s="100"/>
      <c r="K751" s="100"/>
      <c r="L751" s="100"/>
      <c r="M751" s="100"/>
      <c r="N751" s="100"/>
      <c r="Y751" s="622"/>
    </row>
    <row r="752" spans="1:25" s="98" customFormat="1" x14ac:dyDescent="0.25">
      <c r="A752" s="194"/>
      <c r="I752" s="621"/>
      <c r="J752" s="100"/>
      <c r="K752" s="100"/>
      <c r="L752" s="100"/>
      <c r="M752" s="100"/>
      <c r="N752" s="100"/>
      <c r="Y752" s="622"/>
    </row>
    <row r="753" spans="1:25" s="98" customFormat="1" x14ac:dyDescent="0.25">
      <c r="A753" s="194"/>
      <c r="I753" s="621"/>
      <c r="J753" s="100"/>
      <c r="K753" s="100"/>
      <c r="L753" s="100"/>
      <c r="M753" s="100"/>
      <c r="N753" s="100"/>
      <c r="Y753" s="622"/>
    </row>
    <row r="754" spans="1:25" s="98" customFormat="1" x14ac:dyDescent="0.25">
      <c r="A754" s="194"/>
      <c r="I754" s="621"/>
      <c r="J754" s="100"/>
      <c r="K754" s="100"/>
      <c r="L754" s="100"/>
      <c r="M754" s="100"/>
      <c r="N754" s="100"/>
      <c r="Y754" s="622"/>
    </row>
    <row r="755" spans="1:25" s="98" customFormat="1" x14ac:dyDescent="0.25">
      <c r="A755" s="194"/>
      <c r="I755" s="621"/>
      <c r="J755" s="100"/>
      <c r="K755" s="100"/>
      <c r="L755" s="100"/>
      <c r="M755" s="100"/>
      <c r="N755" s="100"/>
      <c r="Y755" s="622"/>
    </row>
    <row r="756" spans="1:25" s="98" customFormat="1" x14ac:dyDescent="0.25">
      <c r="A756" s="194"/>
      <c r="I756" s="621"/>
      <c r="J756" s="100"/>
      <c r="K756" s="100"/>
      <c r="L756" s="100"/>
      <c r="M756" s="100"/>
      <c r="N756" s="100"/>
      <c r="Y756" s="622"/>
    </row>
    <row r="757" spans="1:25" s="98" customFormat="1" x14ac:dyDescent="0.25">
      <c r="A757" s="194"/>
      <c r="I757" s="621"/>
      <c r="J757" s="100"/>
      <c r="K757" s="100"/>
      <c r="L757" s="100"/>
      <c r="M757" s="100"/>
      <c r="N757" s="100"/>
      <c r="Y757" s="622"/>
    </row>
    <row r="758" spans="1:25" s="98" customFormat="1" x14ac:dyDescent="0.25">
      <c r="A758" s="194"/>
      <c r="I758" s="621"/>
      <c r="J758" s="100"/>
      <c r="K758" s="100"/>
      <c r="L758" s="100"/>
      <c r="M758" s="100"/>
      <c r="N758" s="100"/>
      <c r="Y758" s="622"/>
    </row>
    <row r="759" spans="1:25" s="98" customFormat="1" x14ac:dyDescent="0.25">
      <c r="A759" s="194"/>
      <c r="I759" s="621"/>
      <c r="J759" s="100"/>
      <c r="K759" s="100"/>
      <c r="L759" s="100"/>
      <c r="M759" s="100"/>
      <c r="N759" s="100"/>
      <c r="Y759" s="622"/>
    </row>
    <row r="760" spans="1:25" s="98" customFormat="1" x14ac:dyDescent="0.25">
      <c r="A760" s="194"/>
      <c r="I760" s="621"/>
      <c r="J760" s="100"/>
      <c r="K760" s="100"/>
      <c r="L760" s="100"/>
      <c r="M760" s="100"/>
      <c r="N760" s="100"/>
      <c r="Y760" s="622"/>
    </row>
    <row r="761" spans="1:25" s="98" customFormat="1" x14ac:dyDescent="0.25">
      <c r="A761" s="194"/>
      <c r="I761" s="621"/>
      <c r="J761" s="100"/>
      <c r="K761" s="100"/>
      <c r="L761" s="100"/>
      <c r="M761" s="100"/>
      <c r="N761" s="100"/>
      <c r="Y761" s="622"/>
    </row>
    <row r="762" spans="1:25" s="98" customFormat="1" x14ac:dyDescent="0.25">
      <c r="A762" s="194"/>
      <c r="I762" s="621"/>
      <c r="J762" s="100"/>
      <c r="K762" s="100"/>
      <c r="L762" s="100"/>
      <c r="M762" s="100"/>
      <c r="N762" s="100"/>
      <c r="Y762" s="622"/>
    </row>
    <row r="763" spans="1:25" s="98" customFormat="1" x14ac:dyDescent="0.25">
      <c r="A763" s="194"/>
      <c r="I763" s="621"/>
      <c r="J763" s="100"/>
      <c r="K763" s="100"/>
      <c r="L763" s="100"/>
      <c r="M763" s="100"/>
      <c r="N763" s="100"/>
      <c r="Y763" s="622"/>
    </row>
    <row r="764" spans="1:25" s="98" customFormat="1" x14ac:dyDescent="0.25">
      <c r="A764" s="194"/>
      <c r="I764" s="621"/>
      <c r="J764" s="100"/>
      <c r="K764" s="100"/>
      <c r="L764" s="100"/>
      <c r="M764" s="100"/>
      <c r="N764" s="100"/>
      <c r="Y764" s="622"/>
    </row>
    <row r="765" spans="1:25" s="98" customFormat="1" x14ac:dyDescent="0.25">
      <c r="A765" s="194"/>
      <c r="I765" s="621"/>
      <c r="J765" s="100"/>
      <c r="K765" s="100"/>
      <c r="L765" s="100"/>
      <c r="M765" s="100"/>
      <c r="N765" s="100"/>
      <c r="Y765" s="622"/>
    </row>
    <row r="766" spans="1:25" s="98" customFormat="1" x14ac:dyDescent="0.25">
      <c r="A766" s="194"/>
      <c r="I766" s="621"/>
      <c r="J766" s="100"/>
      <c r="K766" s="100"/>
      <c r="L766" s="100"/>
      <c r="M766" s="100"/>
      <c r="N766" s="100"/>
      <c r="Y766" s="622"/>
    </row>
    <row r="767" spans="1:25" s="98" customFormat="1" x14ac:dyDescent="0.25">
      <c r="A767" s="194"/>
      <c r="I767" s="621"/>
      <c r="J767" s="100"/>
      <c r="K767" s="100"/>
      <c r="L767" s="100"/>
      <c r="M767" s="100"/>
      <c r="N767" s="100"/>
      <c r="Y767" s="622"/>
    </row>
    <row r="768" spans="1:25" s="98" customFormat="1" x14ac:dyDescent="0.25">
      <c r="A768" s="194"/>
      <c r="I768" s="621"/>
      <c r="J768" s="100"/>
      <c r="K768" s="100"/>
      <c r="L768" s="100"/>
      <c r="M768" s="100"/>
      <c r="N768" s="100"/>
      <c r="Y768" s="622"/>
    </row>
    <row r="769" spans="1:25" s="98" customFormat="1" x14ac:dyDescent="0.25">
      <c r="A769" s="194"/>
      <c r="I769" s="621"/>
      <c r="J769" s="100"/>
      <c r="K769" s="100"/>
      <c r="L769" s="100"/>
      <c r="M769" s="100"/>
      <c r="N769" s="100"/>
      <c r="Y769" s="622"/>
    </row>
    <row r="770" spans="1:25" s="98" customFormat="1" x14ac:dyDescent="0.25">
      <c r="A770" s="194"/>
      <c r="I770" s="621"/>
      <c r="J770" s="100"/>
      <c r="K770" s="100"/>
      <c r="L770" s="100"/>
      <c r="M770" s="100"/>
      <c r="N770" s="100"/>
      <c r="Y770" s="622"/>
    </row>
    <row r="771" spans="1:25" s="98" customFormat="1" x14ac:dyDescent="0.25">
      <c r="A771" s="194"/>
      <c r="I771" s="621"/>
      <c r="J771" s="100"/>
      <c r="K771" s="100"/>
      <c r="L771" s="100"/>
      <c r="M771" s="100"/>
      <c r="N771" s="100"/>
      <c r="Y771" s="622"/>
    </row>
    <row r="772" spans="1:25" s="98" customFormat="1" x14ac:dyDescent="0.25">
      <c r="A772" s="194"/>
      <c r="I772" s="621"/>
      <c r="J772" s="100"/>
      <c r="K772" s="100"/>
      <c r="L772" s="100"/>
      <c r="M772" s="100"/>
      <c r="N772" s="100"/>
      <c r="Y772" s="622"/>
    </row>
    <row r="773" spans="1:25" s="98" customFormat="1" x14ac:dyDescent="0.25">
      <c r="A773" s="194"/>
      <c r="I773" s="621"/>
      <c r="J773" s="100"/>
      <c r="K773" s="100"/>
      <c r="L773" s="100"/>
      <c r="M773" s="100"/>
      <c r="N773" s="100"/>
      <c r="Y773" s="622"/>
    </row>
    <row r="774" spans="1:25" s="98" customFormat="1" x14ac:dyDescent="0.25">
      <c r="A774" s="194"/>
      <c r="I774" s="621"/>
      <c r="J774" s="100"/>
      <c r="K774" s="100"/>
      <c r="L774" s="100"/>
      <c r="M774" s="100"/>
      <c r="N774" s="100"/>
      <c r="Y774" s="622"/>
    </row>
    <row r="775" spans="1:25" s="98" customFormat="1" x14ac:dyDescent="0.25">
      <c r="A775" s="194"/>
      <c r="I775" s="621"/>
      <c r="J775" s="100"/>
      <c r="K775" s="100"/>
      <c r="L775" s="100"/>
      <c r="M775" s="100"/>
      <c r="N775" s="100"/>
      <c r="Y775" s="622"/>
    </row>
    <row r="776" spans="1:25" s="98" customFormat="1" x14ac:dyDescent="0.25">
      <c r="A776" s="194"/>
      <c r="I776" s="621"/>
      <c r="J776" s="100"/>
      <c r="K776" s="100"/>
      <c r="L776" s="100"/>
      <c r="M776" s="100"/>
      <c r="N776" s="100"/>
      <c r="Y776" s="622"/>
    </row>
    <row r="777" spans="1:25" s="98" customFormat="1" x14ac:dyDescent="0.25">
      <c r="A777" s="194"/>
      <c r="I777" s="621"/>
      <c r="J777" s="100"/>
      <c r="K777" s="100"/>
      <c r="L777" s="100"/>
      <c r="M777" s="100"/>
      <c r="N777" s="100"/>
      <c r="Y777" s="622"/>
    </row>
    <row r="778" spans="1:25" s="98" customFormat="1" x14ac:dyDescent="0.25">
      <c r="A778" s="194"/>
      <c r="I778" s="621"/>
      <c r="J778" s="100"/>
      <c r="K778" s="100"/>
      <c r="L778" s="100"/>
      <c r="M778" s="100"/>
      <c r="N778" s="100"/>
      <c r="Y778" s="622"/>
    </row>
    <row r="779" spans="1:25" s="98" customFormat="1" x14ac:dyDescent="0.25">
      <c r="A779" s="194"/>
      <c r="I779" s="621"/>
      <c r="J779" s="100"/>
      <c r="K779" s="100"/>
      <c r="L779" s="100"/>
      <c r="M779" s="100"/>
      <c r="N779" s="100"/>
      <c r="Y779" s="622"/>
    </row>
    <row r="780" spans="1:25" s="98" customFormat="1" x14ac:dyDescent="0.25">
      <c r="A780" s="194"/>
      <c r="I780" s="621"/>
      <c r="J780" s="100"/>
      <c r="K780" s="100"/>
      <c r="L780" s="100"/>
      <c r="M780" s="100"/>
      <c r="N780" s="100"/>
      <c r="Y780" s="622"/>
    </row>
    <row r="781" spans="1:25" s="98" customFormat="1" x14ac:dyDescent="0.25">
      <c r="A781" s="194"/>
      <c r="I781" s="621"/>
      <c r="J781" s="100"/>
      <c r="K781" s="100"/>
      <c r="L781" s="100"/>
      <c r="M781" s="100"/>
      <c r="N781" s="100"/>
      <c r="Y781" s="622"/>
    </row>
    <row r="782" spans="1:25" s="98" customFormat="1" x14ac:dyDescent="0.25">
      <c r="A782" s="194"/>
      <c r="I782" s="621"/>
      <c r="J782" s="100"/>
      <c r="K782" s="100"/>
      <c r="L782" s="100"/>
      <c r="M782" s="100"/>
      <c r="N782" s="100"/>
      <c r="Y782" s="622"/>
    </row>
    <row r="783" spans="1:25" s="98" customFormat="1" x14ac:dyDescent="0.25">
      <c r="A783" s="194"/>
      <c r="I783" s="621"/>
      <c r="J783" s="100"/>
      <c r="K783" s="100"/>
      <c r="L783" s="100"/>
      <c r="M783" s="100"/>
      <c r="N783" s="100"/>
      <c r="Y783" s="622"/>
    </row>
    <row r="784" spans="1:25" s="98" customFormat="1" x14ac:dyDescent="0.25">
      <c r="A784" s="194"/>
      <c r="I784" s="621"/>
      <c r="J784" s="100"/>
      <c r="K784" s="100"/>
      <c r="L784" s="100"/>
      <c r="M784" s="100"/>
      <c r="N784" s="100"/>
      <c r="Y784" s="622"/>
    </row>
    <row r="785" spans="1:25" s="98" customFormat="1" x14ac:dyDescent="0.25">
      <c r="A785" s="194"/>
      <c r="I785" s="621"/>
      <c r="J785" s="100"/>
      <c r="K785" s="100"/>
      <c r="L785" s="100"/>
      <c r="M785" s="100"/>
      <c r="N785" s="100"/>
      <c r="Y785" s="622"/>
    </row>
    <row r="786" spans="1:25" s="98" customFormat="1" x14ac:dyDescent="0.25">
      <c r="A786" s="194"/>
      <c r="I786" s="621"/>
      <c r="J786" s="100"/>
      <c r="K786" s="100"/>
      <c r="L786" s="100"/>
      <c r="M786" s="100"/>
      <c r="N786" s="100"/>
      <c r="Y786" s="622"/>
    </row>
    <row r="787" spans="1:25" s="98" customFormat="1" x14ac:dyDescent="0.25">
      <c r="A787" s="194"/>
      <c r="I787" s="621"/>
      <c r="J787" s="100"/>
      <c r="K787" s="100"/>
      <c r="L787" s="100"/>
      <c r="M787" s="100"/>
      <c r="N787" s="100"/>
      <c r="Y787" s="622"/>
    </row>
    <row r="788" spans="1:25" s="98" customFormat="1" x14ac:dyDescent="0.25">
      <c r="A788" s="194"/>
      <c r="I788" s="621"/>
      <c r="J788" s="100"/>
      <c r="K788" s="100"/>
      <c r="L788" s="100"/>
      <c r="M788" s="100"/>
      <c r="N788" s="100"/>
      <c r="Y788" s="622"/>
    </row>
    <row r="789" spans="1:25" s="98" customFormat="1" x14ac:dyDescent="0.25">
      <c r="A789" s="194"/>
      <c r="I789" s="621"/>
      <c r="J789" s="100"/>
      <c r="K789" s="100"/>
      <c r="L789" s="100"/>
      <c r="M789" s="100"/>
      <c r="N789" s="100"/>
      <c r="Y789" s="622"/>
    </row>
    <row r="790" spans="1:25" s="98" customFormat="1" x14ac:dyDescent="0.25">
      <c r="A790" s="194"/>
      <c r="I790" s="621"/>
      <c r="J790" s="100"/>
      <c r="K790" s="100"/>
      <c r="L790" s="100"/>
      <c r="M790" s="100"/>
      <c r="N790" s="100"/>
      <c r="Y790" s="622"/>
    </row>
    <row r="791" spans="1:25" s="98" customFormat="1" x14ac:dyDescent="0.25">
      <c r="A791" s="194"/>
      <c r="I791" s="621"/>
      <c r="J791" s="100"/>
      <c r="K791" s="100"/>
      <c r="L791" s="100"/>
      <c r="M791" s="100"/>
      <c r="N791" s="100"/>
      <c r="Y791" s="622"/>
    </row>
    <row r="792" spans="1:25" s="98" customFormat="1" x14ac:dyDescent="0.25">
      <c r="A792" s="194"/>
      <c r="I792" s="621"/>
      <c r="J792" s="100"/>
      <c r="K792" s="100"/>
      <c r="L792" s="100"/>
      <c r="M792" s="100"/>
      <c r="N792" s="100"/>
      <c r="Y792" s="622"/>
    </row>
    <row r="793" spans="1:25" s="98" customFormat="1" x14ac:dyDescent="0.25">
      <c r="A793" s="194"/>
      <c r="I793" s="621"/>
      <c r="J793" s="100"/>
      <c r="K793" s="100"/>
      <c r="L793" s="100"/>
      <c r="M793" s="100"/>
      <c r="N793" s="100"/>
      <c r="Y793" s="622"/>
    </row>
    <row r="794" spans="1:25" s="98" customFormat="1" x14ac:dyDescent="0.25">
      <c r="A794" s="194"/>
      <c r="I794" s="621"/>
      <c r="J794" s="100"/>
      <c r="K794" s="100"/>
      <c r="L794" s="100"/>
      <c r="M794" s="100"/>
      <c r="N794" s="100"/>
      <c r="Y794" s="622"/>
    </row>
    <row r="795" spans="1:25" s="98" customFormat="1" x14ac:dyDescent="0.25">
      <c r="A795" s="194"/>
      <c r="I795" s="621"/>
      <c r="J795" s="100"/>
      <c r="K795" s="100"/>
      <c r="L795" s="100"/>
      <c r="M795" s="100"/>
      <c r="N795" s="100"/>
      <c r="Y795" s="622"/>
    </row>
    <row r="796" spans="1:25" s="98" customFormat="1" x14ac:dyDescent="0.25">
      <c r="A796" s="194"/>
      <c r="I796" s="621"/>
      <c r="J796" s="100"/>
      <c r="K796" s="100"/>
      <c r="L796" s="100"/>
      <c r="M796" s="100"/>
      <c r="N796" s="100"/>
      <c r="Y796" s="622"/>
    </row>
    <row r="797" spans="1:25" s="98" customFormat="1" x14ac:dyDescent="0.25">
      <c r="A797" s="194"/>
      <c r="I797" s="621"/>
      <c r="J797" s="100"/>
      <c r="K797" s="100"/>
      <c r="L797" s="100"/>
      <c r="M797" s="100"/>
      <c r="N797" s="100"/>
      <c r="Y797" s="622"/>
    </row>
    <row r="798" spans="1:25" s="98" customFormat="1" x14ac:dyDescent="0.25">
      <c r="A798" s="194"/>
      <c r="I798" s="621"/>
      <c r="J798" s="100"/>
      <c r="K798" s="100"/>
      <c r="L798" s="100"/>
      <c r="M798" s="100"/>
      <c r="N798" s="100"/>
      <c r="Y798" s="622"/>
    </row>
    <row r="799" spans="1:25" s="98" customFormat="1" x14ac:dyDescent="0.25">
      <c r="A799" s="194"/>
      <c r="I799" s="621"/>
      <c r="J799" s="100"/>
      <c r="K799" s="100"/>
      <c r="L799" s="100"/>
      <c r="M799" s="100"/>
      <c r="N799" s="100"/>
      <c r="Y799" s="622"/>
    </row>
    <row r="800" spans="1:25" s="98" customFormat="1" x14ac:dyDescent="0.25">
      <c r="A800" s="194"/>
      <c r="I800" s="621"/>
      <c r="J800" s="100"/>
      <c r="K800" s="100"/>
      <c r="L800" s="100"/>
      <c r="M800" s="100"/>
      <c r="N800" s="100"/>
      <c r="Y800" s="622"/>
    </row>
    <row r="801" spans="1:25" s="98" customFormat="1" x14ac:dyDescent="0.25">
      <c r="A801" s="194"/>
      <c r="I801" s="621"/>
      <c r="J801" s="100"/>
      <c r="K801" s="100"/>
      <c r="L801" s="100"/>
      <c r="M801" s="100"/>
      <c r="N801" s="100"/>
      <c r="Y801" s="622"/>
    </row>
    <row r="802" spans="1:25" s="98" customFormat="1" x14ac:dyDescent="0.25">
      <c r="A802" s="194"/>
      <c r="I802" s="621"/>
      <c r="J802" s="100"/>
      <c r="K802" s="100"/>
      <c r="L802" s="100"/>
      <c r="M802" s="100"/>
      <c r="N802" s="100"/>
      <c r="Y802" s="622"/>
    </row>
    <row r="803" spans="1:25" s="98" customFormat="1" x14ac:dyDescent="0.25">
      <c r="A803" s="194"/>
      <c r="I803" s="621"/>
      <c r="J803" s="100"/>
      <c r="K803" s="100"/>
      <c r="L803" s="100"/>
      <c r="M803" s="100"/>
      <c r="N803" s="100"/>
      <c r="Y803" s="622"/>
    </row>
    <row r="804" spans="1:25" s="98" customFormat="1" x14ac:dyDescent="0.25">
      <c r="A804" s="194"/>
      <c r="I804" s="621"/>
      <c r="J804" s="100"/>
      <c r="K804" s="100"/>
      <c r="L804" s="100"/>
      <c r="M804" s="100"/>
      <c r="N804" s="100"/>
      <c r="Y804" s="622"/>
    </row>
    <row r="805" spans="1:25" s="98" customFormat="1" x14ac:dyDescent="0.25">
      <c r="A805" s="194"/>
      <c r="I805" s="621"/>
      <c r="J805" s="100"/>
      <c r="K805" s="100"/>
      <c r="L805" s="100"/>
      <c r="M805" s="100"/>
      <c r="N805" s="100"/>
      <c r="Y805" s="622"/>
    </row>
    <row r="806" spans="1:25" s="98" customFormat="1" x14ac:dyDescent="0.25">
      <c r="A806" s="194"/>
      <c r="I806" s="621"/>
      <c r="J806" s="100"/>
      <c r="K806" s="100"/>
      <c r="L806" s="100"/>
      <c r="M806" s="100"/>
      <c r="N806" s="100"/>
      <c r="Y806" s="622"/>
    </row>
    <row r="807" spans="1:25" s="98" customFormat="1" x14ac:dyDescent="0.25">
      <c r="A807" s="194"/>
      <c r="I807" s="621"/>
      <c r="J807" s="100"/>
      <c r="K807" s="100"/>
      <c r="L807" s="100"/>
      <c r="M807" s="100"/>
      <c r="N807" s="100"/>
      <c r="Y807" s="622"/>
    </row>
    <row r="808" spans="1:25" s="98" customFormat="1" x14ac:dyDescent="0.25">
      <c r="A808" s="194"/>
      <c r="I808" s="621"/>
      <c r="J808" s="100"/>
      <c r="Y808" s="622"/>
    </row>
    <row r="809" spans="1:25" s="98" customFormat="1" x14ac:dyDescent="0.25">
      <c r="A809" s="194"/>
      <c r="I809" s="621"/>
      <c r="J809" s="100"/>
      <c r="Y809" s="622"/>
    </row>
    <row r="810" spans="1:25" s="98" customFormat="1" x14ac:dyDescent="0.25">
      <c r="A810" s="194"/>
      <c r="I810" s="621"/>
      <c r="J810" s="100"/>
      <c r="K810" s="100"/>
      <c r="L810" s="100"/>
      <c r="M810" s="100"/>
      <c r="N810" s="100"/>
      <c r="Y810" s="622"/>
    </row>
    <row r="811" spans="1:25" s="98" customFormat="1" x14ac:dyDescent="0.25">
      <c r="A811" s="194"/>
      <c r="I811" s="621"/>
      <c r="J811" s="100"/>
      <c r="K811" s="100"/>
      <c r="L811" s="100"/>
      <c r="M811" s="100"/>
      <c r="N811" s="100"/>
      <c r="Y811" s="622"/>
    </row>
    <row r="812" spans="1:25" s="98" customFormat="1" x14ac:dyDescent="0.25">
      <c r="A812" s="194"/>
      <c r="I812" s="621"/>
      <c r="J812" s="100"/>
      <c r="K812" s="100"/>
      <c r="L812" s="100"/>
      <c r="M812" s="100"/>
      <c r="N812" s="100"/>
      <c r="Y812" s="622"/>
    </row>
    <row r="813" spans="1:25" s="98" customFormat="1" x14ac:dyDescent="0.25">
      <c r="A813" s="194"/>
      <c r="I813" s="621"/>
      <c r="J813" s="100"/>
      <c r="K813" s="100"/>
      <c r="L813" s="100"/>
      <c r="M813" s="100"/>
      <c r="N813" s="100"/>
      <c r="Y813" s="622"/>
    </row>
    <row r="814" spans="1:25" s="98" customFormat="1" x14ac:dyDescent="0.25">
      <c r="A814" s="194"/>
      <c r="I814" s="621"/>
      <c r="J814" s="100"/>
      <c r="K814" s="100"/>
      <c r="L814" s="100"/>
      <c r="M814" s="100"/>
      <c r="N814" s="100"/>
      <c r="Y814" s="622"/>
    </row>
    <row r="815" spans="1:25" s="98" customFormat="1" x14ac:dyDescent="0.25">
      <c r="A815" s="194"/>
      <c r="I815" s="621"/>
      <c r="J815" s="100"/>
      <c r="K815" s="100"/>
      <c r="L815" s="100"/>
      <c r="M815" s="100"/>
      <c r="N815" s="100"/>
      <c r="Y815" s="622"/>
    </row>
    <row r="816" spans="1:25" s="98" customFormat="1" x14ac:dyDescent="0.25">
      <c r="A816" s="194"/>
      <c r="I816" s="621"/>
      <c r="J816" s="100"/>
      <c r="K816" s="100"/>
      <c r="L816" s="100"/>
      <c r="M816" s="100"/>
      <c r="N816" s="100"/>
      <c r="Y816" s="622"/>
    </row>
    <row r="817" spans="1:25" s="98" customFormat="1" x14ac:dyDescent="0.25">
      <c r="A817" s="194"/>
      <c r="I817" s="621"/>
      <c r="J817" s="100"/>
      <c r="K817" s="100"/>
      <c r="L817" s="100"/>
      <c r="M817" s="100"/>
      <c r="N817" s="100"/>
      <c r="Y817" s="622"/>
    </row>
    <row r="818" spans="1:25" s="98" customFormat="1" x14ac:dyDescent="0.25">
      <c r="A818" s="194"/>
      <c r="I818" s="621"/>
      <c r="J818" s="100"/>
      <c r="K818" s="100"/>
      <c r="L818" s="100"/>
      <c r="M818" s="100"/>
      <c r="N818" s="100"/>
      <c r="Y818" s="622"/>
    </row>
    <row r="819" spans="1:25" s="98" customFormat="1" x14ac:dyDescent="0.25">
      <c r="A819" s="194"/>
      <c r="I819" s="621"/>
      <c r="J819" s="100"/>
      <c r="K819" s="100"/>
      <c r="L819" s="100"/>
      <c r="M819" s="100"/>
      <c r="N819" s="100"/>
      <c r="Y819" s="622"/>
    </row>
    <row r="820" spans="1:25" s="98" customFormat="1" x14ac:dyDescent="0.25">
      <c r="A820" s="194"/>
      <c r="I820" s="621"/>
      <c r="J820" s="100"/>
      <c r="K820" s="100"/>
      <c r="L820" s="100"/>
      <c r="M820" s="100"/>
      <c r="N820" s="100"/>
      <c r="Y820" s="622"/>
    </row>
    <row r="821" spans="1:25" s="98" customFormat="1" x14ac:dyDescent="0.25">
      <c r="A821" s="194"/>
      <c r="I821" s="621"/>
      <c r="J821" s="100"/>
      <c r="K821" s="100"/>
      <c r="L821" s="100"/>
      <c r="M821" s="100"/>
      <c r="N821" s="100"/>
      <c r="Y821" s="622"/>
    </row>
    <row r="822" spans="1:25" s="98" customFormat="1" x14ac:dyDescent="0.25">
      <c r="A822" s="194"/>
      <c r="I822" s="621"/>
      <c r="J822" s="100"/>
      <c r="K822" s="100"/>
      <c r="L822" s="100"/>
      <c r="M822" s="100"/>
      <c r="N822" s="100"/>
      <c r="Y822" s="622"/>
    </row>
    <row r="823" spans="1:25" s="98" customFormat="1" x14ac:dyDescent="0.25">
      <c r="A823" s="194"/>
      <c r="I823" s="621"/>
      <c r="J823" s="100"/>
      <c r="K823" s="100"/>
      <c r="L823" s="100"/>
      <c r="M823" s="100"/>
      <c r="N823" s="100"/>
      <c r="Y823" s="622"/>
    </row>
    <row r="824" spans="1:25" s="98" customFormat="1" x14ac:dyDescent="0.25">
      <c r="A824" s="194"/>
      <c r="I824" s="621"/>
      <c r="J824" s="100"/>
      <c r="K824" s="100"/>
      <c r="L824" s="100"/>
      <c r="M824" s="100"/>
      <c r="N824" s="100"/>
      <c r="Y824" s="622"/>
    </row>
    <row r="825" spans="1:25" s="98" customFormat="1" x14ac:dyDescent="0.25">
      <c r="A825" s="194"/>
      <c r="I825" s="621"/>
      <c r="J825" s="100"/>
      <c r="K825" s="100"/>
      <c r="L825" s="100"/>
      <c r="M825" s="100"/>
      <c r="N825" s="100"/>
      <c r="Y825" s="622"/>
    </row>
    <row r="826" spans="1:25" s="98" customFormat="1" x14ac:dyDescent="0.25">
      <c r="A826" s="194"/>
      <c r="I826" s="621"/>
      <c r="J826" s="100"/>
      <c r="K826" s="100"/>
      <c r="L826" s="100"/>
      <c r="M826" s="100"/>
      <c r="N826" s="100"/>
      <c r="Y826" s="622"/>
    </row>
    <row r="827" spans="1:25" s="98" customFormat="1" x14ac:dyDescent="0.25">
      <c r="A827" s="194"/>
      <c r="I827" s="621"/>
      <c r="J827" s="100"/>
      <c r="K827" s="100"/>
      <c r="L827" s="100"/>
      <c r="M827" s="100"/>
      <c r="N827" s="100"/>
      <c r="Y827" s="622"/>
    </row>
    <row r="828" spans="1:25" s="98" customFormat="1" x14ac:dyDescent="0.25">
      <c r="A828" s="194"/>
      <c r="I828" s="621"/>
      <c r="J828" s="100"/>
      <c r="K828" s="100"/>
      <c r="L828" s="100"/>
      <c r="M828" s="100"/>
      <c r="N828" s="100"/>
      <c r="Y828" s="622"/>
    </row>
    <row r="829" spans="1:25" s="98" customFormat="1" x14ac:dyDescent="0.25">
      <c r="A829" s="194"/>
      <c r="I829" s="621"/>
      <c r="J829" s="100"/>
      <c r="K829" s="100"/>
      <c r="L829" s="100"/>
      <c r="M829" s="100"/>
      <c r="N829" s="100"/>
      <c r="Y829" s="622"/>
    </row>
    <row r="830" spans="1:25" s="98" customFormat="1" x14ac:dyDescent="0.25">
      <c r="A830" s="194"/>
      <c r="I830" s="621"/>
      <c r="J830" s="100"/>
      <c r="K830" s="100"/>
      <c r="L830" s="100"/>
      <c r="M830" s="100"/>
      <c r="N830" s="100"/>
      <c r="Y830" s="622"/>
    </row>
    <row r="831" spans="1:25" s="98" customFormat="1" x14ac:dyDescent="0.25">
      <c r="A831" s="194"/>
      <c r="I831" s="621"/>
      <c r="J831" s="100"/>
      <c r="K831" s="100"/>
      <c r="L831" s="100"/>
      <c r="M831" s="100"/>
      <c r="N831" s="100"/>
      <c r="Y831" s="622"/>
    </row>
    <row r="832" spans="1:25" s="98" customFormat="1" x14ac:dyDescent="0.25">
      <c r="A832" s="194"/>
      <c r="I832" s="621"/>
      <c r="J832" s="100"/>
      <c r="K832" s="100"/>
      <c r="L832" s="100"/>
      <c r="M832" s="100"/>
      <c r="N832" s="100"/>
      <c r="Y832" s="622"/>
    </row>
    <row r="833" spans="1:25" s="98" customFormat="1" x14ac:dyDescent="0.25">
      <c r="A833" s="194"/>
      <c r="I833" s="621"/>
      <c r="J833" s="100"/>
      <c r="K833" s="100"/>
      <c r="L833" s="100"/>
      <c r="M833" s="100"/>
      <c r="N833" s="100"/>
      <c r="Y833" s="622"/>
    </row>
    <row r="834" spans="1:25" s="98" customFormat="1" x14ac:dyDescent="0.25">
      <c r="A834" s="194"/>
      <c r="I834" s="621"/>
      <c r="J834" s="100"/>
      <c r="K834" s="100"/>
      <c r="L834" s="100"/>
      <c r="M834" s="100"/>
      <c r="N834" s="100"/>
      <c r="Y834" s="622"/>
    </row>
    <row r="835" spans="1:25" s="98" customFormat="1" x14ac:dyDescent="0.25">
      <c r="A835" s="194"/>
      <c r="I835" s="621"/>
      <c r="J835" s="100"/>
      <c r="K835" s="100"/>
      <c r="L835" s="100"/>
      <c r="M835" s="100"/>
      <c r="N835" s="100"/>
      <c r="Y835" s="622"/>
    </row>
    <row r="836" spans="1:25" s="98" customFormat="1" x14ac:dyDescent="0.25">
      <c r="A836" s="194"/>
      <c r="I836" s="621"/>
      <c r="J836" s="100"/>
      <c r="K836" s="100"/>
      <c r="L836" s="100"/>
      <c r="M836" s="100"/>
      <c r="N836" s="100"/>
      <c r="Y836" s="622"/>
    </row>
    <row r="837" spans="1:25" s="98" customFormat="1" x14ac:dyDescent="0.25">
      <c r="A837" s="194"/>
      <c r="I837" s="621"/>
      <c r="J837" s="100"/>
      <c r="K837" s="100"/>
      <c r="L837" s="100"/>
      <c r="M837" s="100"/>
      <c r="N837" s="100"/>
      <c r="Y837" s="622"/>
    </row>
    <row r="838" spans="1:25" s="98" customFormat="1" x14ac:dyDescent="0.25">
      <c r="A838" s="194"/>
      <c r="I838" s="621"/>
      <c r="J838" s="100"/>
      <c r="K838" s="100"/>
      <c r="L838" s="100"/>
      <c r="M838" s="100"/>
      <c r="N838" s="100"/>
      <c r="Y838" s="622"/>
    </row>
    <row r="839" spans="1:25" s="98" customFormat="1" x14ac:dyDescent="0.25">
      <c r="A839" s="194"/>
      <c r="I839" s="621"/>
      <c r="J839" s="100"/>
      <c r="K839" s="100"/>
      <c r="L839" s="100"/>
      <c r="M839" s="100"/>
      <c r="N839" s="100"/>
      <c r="Y839" s="622"/>
    </row>
    <row r="840" spans="1:25" s="98" customFormat="1" x14ac:dyDescent="0.25">
      <c r="A840" s="194"/>
      <c r="I840" s="621"/>
      <c r="J840" s="100"/>
      <c r="K840" s="100"/>
      <c r="L840" s="100"/>
      <c r="M840" s="100"/>
      <c r="N840" s="100"/>
      <c r="Y840" s="622"/>
    </row>
    <row r="841" spans="1:25" s="98" customFormat="1" x14ac:dyDescent="0.25">
      <c r="A841" s="194"/>
      <c r="I841" s="621"/>
      <c r="J841" s="100"/>
      <c r="K841" s="100"/>
      <c r="L841" s="100"/>
      <c r="M841" s="100"/>
      <c r="N841" s="100"/>
      <c r="Y841" s="622"/>
    </row>
    <row r="842" spans="1:25" s="98" customFormat="1" x14ac:dyDescent="0.25">
      <c r="A842" s="194"/>
      <c r="I842" s="621"/>
      <c r="J842" s="100"/>
      <c r="K842" s="100"/>
      <c r="L842" s="100"/>
      <c r="M842" s="100"/>
      <c r="N842" s="100"/>
      <c r="Y842" s="622"/>
    </row>
    <row r="843" spans="1:25" s="98" customFormat="1" x14ac:dyDescent="0.25">
      <c r="A843" s="194"/>
      <c r="I843" s="621"/>
      <c r="J843" s="100"/>
      <c r="K843" s="100"/>
      <c r="L843" s="100"/>
      <c r="M843" s="100"/>
      <c r="N843" s="100"/>
      <c r="Y843" s="622"/>
    </row>
    <row r="844" spans="1:25" s="98" customFormat="1" x14ac:dyDescent="0.25">
      <c r="A844" s="194"/>
      <c r="I844" s="621"/>
      <c r="J844" s="100"/>
      <c r="K844" s="100"/>
      <c r="L844" s="100"/>
      <c r="M844" s="100"/>
      <c r="N844" s="100"/>
      <c r="Y844" s="622"/>
    </row>
    <row r="845" spans="1:25" s="98" customFormat="1" x14ac:dyDescent="0.25">
      <c r="A845" s="194"/>
      <c r="I845" s="621"/>
      <c r="J845" s="100"/>
      <c r="K845" s="100"/>
      <c r="L845" s="100"/>
      <c r="M845" s="100"/>
      <c r="N845" s="100"/>
      <c r="Y845" s="622"/>
    </row>
    <row r="846" spans="1:25" s="98" customFormat="1" x14ac:dyDescent="0.25">
      <c r="A846" s="194"/>
      <c r="I846" s="621"/>
      <c r="J846" s="100"/>
      <c r="K846" s="100"/>
      <c r="L846" s="100"/>
      <c r="M846" s="100"/>
      <c r="N846" s="100"/>
      <c r="Y846" s="622"/>
    </row>
    <row r="847" spans="1:25" s="98" customFormat="1" x14ac:dyDescent="0.25">
      <c r="A847" s="194"/>
      <c r="I847" s="621"/>
      <c r="J847" s="100"/>
      <c r="K847" s="100"/>
      <c r="L847" s="100"/>
      <c r="M847" s="100"/>
      <c r="N847" s="100"/>
      <c r="Y847" s="622"/>
    </row>
    <row r="848" spans="1:25" s="98" customFormat="1" x14ac:dyDescent="0.25">
      <c r="A848" s="194"/>
      <c r="I848" s="621"/>
      <c r="J848" s="100"/>
      <c r="K848" s="100"/>
      <c r="L848" s="100"/>
      <c r="M848" s="100"/>
      <c r="N848" s="100"/>
      <c r="Y848" s="622"/>
    </row>
    <row r="849" spans="1:25" s="98" customFormat="1" x14ac:dyDescent="0.25">
      <c r="A849" s="194"/>
      <c r="I849" s="621"/>
      <c r="J849" s="100"/>
      <c r="K849" s="100"/>
      <c r="L849" s="100"/>
      <c r="M849" s="100"/>
      <c r="N849" s="100"/>
      <c r="Y849" s="622"/>
    </row>
    <row r="850" spans="1:25" s="98" customFormat="1" x14ac:dyDescent="0.25">
      <c r="A850" s="194"/>
      <c r="I850" s="621"/>
      <c r="J850" s="100"/>
      <c r="Y850" s="622"/>
    </row>
    <row r="851" spans="1:25" s="98" customFormat="1" x14ac:dyDescent="0.25">
      <c r="A851" s="194"/>
      <c r="I851" s="621"/>
      <c r="J851" s="100"/>
      <c r="Y851" s="622"/>
    </row>
    <row r="852" spans="1:25" s="98" customFormat="1" x14ac:dyDescent="0.25">
      <c r="A852" s="194"/>
      <c r="I852" s="621"/>
      <c r="J852" s="100"/>
      <c r="Y852" s="622"/>
    </row>
    <row r="853" spans="1:25" s="98" customFormat="1" x14ac:dyDescent="0.25">
      <c r="A853" s="194"/>
      <c r="I853" s="621"/>
      <c r="J853" s="100"/>
      <c r="Y853" s="622"/>
    </row>
    <row r="854" spans="1:25" s="98" customFormat="1" x14ac:dyDescent="0.25">
      <c r="A854" s="194"/>
      <c r="I854" s="621"/>
      <c r="J854" s="100"/>
      <c r="Y854" s="622"/>
    </row>
    <row r="855" spans="1:25" s="98" customFormat="1" x14ac:dyDescent="0.25">
      <c r="A855" s="194"/>
      <c r="I855" s="621"/>
      <c r="J855" s="100"/>
      <c r="K855" s="100"/>
      <c r="L855" s="100"/>
      <c r="M855" s="100"/>
      <c r="N855" s="100"/>
      <c r="Y855" s="622"/>
    </row>
    <row r="856" spans="1:25" s="98" customFormat="1" x14ac:dyDescent="0.25">
      <c r="A856" s="194"/>
      <c r="I856" s="621"/>
      <c r="J856" s="100"/>
      <c r="K856" s="100"/>
      <c r="L856" s="100"/>
      <c r="M856" s="100"/>
      <c r="N856" s="100"/>
      <c r="Y856" s="622"/>
    </row>
    <row r="857" spans="1:25" s="98" customFormat="1" x14ac:dyDescent="0.25">
      <c r="A857" s="194"/>
      <c r="I857" s="621"/>
      <c r="J857" s="100"/>
      <c r="K857" s="100"/>
      <c r="L857" s="100"/>
      <c r="M857" s="100"/>
      <c r="N857" s="100"/>
      <c r="Y857" s="622"/>
    </row>
    <row r="858" spans="1:25" s="98" customFormat="1" x14ac:dyDescent="0.25">
      <c r="A858" s="194"/>
      <c r="I858" s="621"/>
      <c r="J858" s="100"/>
      <c r="K858" s="100"/>
      <c r="L858" s="100"/>
      <c r="M858" s="100"/>
      <c r="N858" s="100"/>
      <c r="Y858" s="622"/>
    </row>
    <row r="859" spans="1:25" s="98" customFormat="1" x14ac:dyDescent="0.25">
      <c r="A859" s="194"/>
      <c r="I859" s="621"/>
      <c r="J859" s="100"/>
      <c r="K859" s="100"/>
      <c r="L859" s="100"/>
      <c r="M859" s="100"/>
      <c r="N859" s="100"/>
      <c r="Y859" s="622"/>
    </row>
    <row r="860" spans="1:25" s="98" customFormat="1" x14ac:dyDescent="0.25">
      <c r="A860" s="194"/>
      <c r="I860" s="621"/>
      <c r="J860" s="100"/>
      <c r="K860" s="100"/>
      <c r="L860" s="100"/>
      <c r="M860" s="100"/>
      <c r="N860" s="100"/>
      <c r="Y860" s="622"/>
    </row>
    <row r="861" spans="1:25" s="98" customFormat="1" x14ac:dyDescent="0.25">
      <c r="A861" s="194"/>
      <c r="I861" s="621"/>
      <c r="J861" s="100"/>
      <c r="K861" s="100"/>
      <c r="L861" s="100"/>
      <c r="M861" s="100"/>
      <c r="N861" s="100"/>
      <c r="Y861" s="622"/>
    </row>
    <row r="862" spans="1:25" s="98" customFormat="1" x14ac:dyDescent="0.25">
      <c r="A862" s="194"/>
      <c r="I862" s="621"/>
      <c r="J862" s="100"/>
      <c r="K862" s="100"/>
      <c r="L862" s="100"/>
      <c r="M862" s="100"/>
      <c r="N862" s="100"/>
      <c r="Y862" s="622"/>
    </row>
    <row r="863" spans="1:25" s="98" customFormat="1" x14ac:dyDescent="0.25">
      <c r="A863" s="194"/>
      <c r="I863" s="621"/>
      <c r="J863" s="100"/>
      <c r="K863" s="100"/>
      <c r="L863" s="100"/>
      <c r="M863" s="100"/>
      <c r="N863" s="100"/>
      <c r="Y863" s="622"/>
    </row>
    <row r="864" spans="1:25" s="98" customFormat="1" x14ac:dyDescent="0.25">
      <c r="A864" s="194"/>
      <c r="I864" s="621"/>
      <c r="J864" s="100"/>
      <c r="K864" s="100"/>
      <c r="L864" s="100"/>
      <c r="M864" s="100"/>
      <c r="N864" s="100"/>
      <c r="Y864" s="622"/>
    </row>
    <row r="865" spans="1:25" s="98" customFormat="1" x14ac:dyDescent="0.25">
      <c r="A865" s="194"/>
      <c r="I865" s="621"/>
      <c r="J865" s="100"/>
      <c r="K865" s="100"/>
      <c r="L865" s="100"/>
      <c r="M865" s="100"/>
      <c r="N865" s="100"/>
      <c r="Y865" s="622"/>
    </row>
    <row r="866" spans="1:25" s="98" customFormat="1" x14ac:dyDescent="0.25">
      <c r="A866" s="194"/>
      <c r="I866" s="621"/>
      <c r="J866" s="100"/>
      <c r="K866" s="100"/>
      <c r="L866" s="100"/>
      <c r="M866" s="100"/>
      <c r="N866" s="100"/>
      <c r="Y866" s="622"/>
    </row>
    <row r="867" spans="1:25" s="98" customFormat="1" x14ac:dyDescent="0.25">
      <c r="A867" s="194"/>
      <c r="I867" s="621"/>
      <c r="J867" s="100"/>
      <c r="K867" s="100"/>
      <c r="L867" s="100"/>
      <c r="M867" s="100"/>
      <c r="N867" s="100"/>
      <c r="Y867" s="622"/>
    </row>
    <row r="868" spans="1:25" s="98" customFormat="1" x14ac:dyDescent="0.25">
      <c r="A868" s="194"/>
      <c r="I868" s="621"/>
      <c r="J868" s="100"/>
      <c r="K868" s="100"/>
      <c r="L868" s="100"/>
      <c r="M868" s="100"/>
      <c r="N868" s="100"/>
      <c r="Y868" s="622"/>
    </row>
    <row r="869" spans="1:25" s="98" customFormat="1" x14ac:dyDescent="0.25">
      <c r="A869" s="194"/>
      <c r="I869" s="621"/>
      <c r="J869" s="100"/>
      <c r="K869" s="100"/>
      <c r="L869" s="100"/>
      <c r="M869" s="100"/>
      <c r="N869" s="100"/>
      <c r="Y869" s="622"/>
    </row>
    <row r="870" spans="1:25" s="98" customFormat="1" x14ac:dyDescent="0.25">
      <c r="A870" s="194"/>
      <c r="I870" s="621"/>
      <c r="J870" s="100"/>
      <c r="K870" s="100"/>
      <c r="L870" s="100"/>
      <c r="M870" s="100"/>
      <c r="N870" s="100"/>
      <c r="Y870" s="622"/>
    </row>
    <row r="871" spans="1:25" s="98" customFormat="1" x14ac:dyDescent="0.25">
      <c r="A871" s="194"/>
      <c r="I871" s="621"/>
      <c r="J871" s="100"/>
      <c r="K871" s="100"/>
      <c r="L871" s="100"/>
      <c r="M871" s="100"/>
      <c r="N871" s="100"/>
      <c r="Y871" s="622"/>
    </row>
    <row r="872" spans="1:25" s="98" customFormat="1" x14ac:dyDescent="0.25">
      <c r="A872" s="194"/>
      <c r="I872" s="621"/>
      <c r="J872" s="100"/>
      <c r="K872" s="100"/>
      <c r="L872" s="100"/>
      <c r="M872" s="100"/>
      <c r="N872" s="100"/>
      <c r="Y872" s="622"/>
    </row>
    <row r="873" spans="1:25" s="98" customFormat="1" x14ac:dyDescent="0.25">
      <c r="A873" s="194"/>
      <c r="I873" s="621"/>
      <c r="J873" s="100"/>
      <c r="K873" s="100"/>
      <c r="L873" s="100"/>
      <c r="M873" s="100"/>
      <c r="N873" s="100"/>
      <c r="Y873" s="622"/>
    </row>
    <row r="874" spans="1:25" s="98" customFormat="1" x14ac:dyDescent="0.25">
      <c r="A874" s="194"/>
      <c r="I874" s="621"/>
      <c r="J874" s="100"/>
      <c r="K874" s="100"/>
      <c r="L874" s="100"/>
      <c r="M874" s="100"/>
      <c r="N874" s="100"/>
      <c r="Y874" s="622"/>
    </row>
    <row r="875" spans="1:25" s="98" customFormat="1" x14ac:dyDescent="0.25">
      <c r="A875" s="194"/>
      <c r="I875" s="621"/>
      <c r="J875" s="100"/>
      <c r="K875" s="100"/>
      <c r="L875" s="100"/>
      <c r="M875" s="100"/>
      <c r="N875" s="100"/>
      <c r="Y875" s="622"/>
    </row>
    <row r="876" spans="1:25" s="98" customFormat="1" x14ac:dyDescent="0.25">
      <c r="A876" s="194"/>
      <c r="I876" s="621"/>
      <c r="J876" s="100"/>
      <c r="K876" s="100"/>
      <c r="L876" s="100"/>
      <c r="M876" s="100"/>
      <c r="N876" s="100"/>
      <c r="Y876" s="622"/>
    </row>
    <row r="877" spans="1:25" s="98" customFormat="1" x14ac:dyDescent="0.25">
      <c r="A877" s="194"/>
      <c r="I877" s="621"/>
      <c r="J877" s="100"/>
      <c r="K877" s="100"/>
      <c r="L877" s="100"/>
      <c r="M877" s="100"/>
      <c r="N877" s="100"/>
      <c r="Y877" s="622"/>
    </row>
    <row r="878" spans="1:25" s="98" customFormat="1" x14ac:dyDescent="0.25">
      <c r="A878" s="194"/>
      <c r="I878" s="621"/>
      <c r="J878" s="100"/>
      <c r="K878" s="100"/>
      <c r="L878" s="100"/>
      <c r="M878" s="100"/>
      <c r="N878" s="100"/>
      <c r="Y878" s="622"/>
    </row>
    <row r="879" spans="1:25" s="98" customFormat="1" x14ac:dyDescent="0.25">
      <c r="A879" s="194"/>
      <c r="I879" s="621"/>
      <c r="J879" s="100"/>
      <c r="K879" s="100"/>
      <c r="L879" s="100"/>
      <c r="M879" s="100"/>
      <c r="N879" s="100"/>
      <c r="Y879" s="622"/>
    </row>
    <row r="880" spans="1:25" s="98" customFormat="1" x14ac:dyDescent="0.25">
      <c r="A880" s="194"/>
      <c r="I880" s="621"/>
      <c r="J880" s="100"/>
      <c r="K880" s="100"/>
      <c r="L880" s="100"/>
      <c r="M880" s="100"/>
      <c r="N880" s="100"/>
      <c r="Y880" s="622"/>
    </row>
    <row r="881" spans="1:25" s="98" customFormat="1" x14ac:dyDescent="0.25">
      <c r="A881" s="194"/>
      <c r="I881" s="621"/>
      <c r="J881" s="100"/>
      <c r="K881" s="100"/>
      <c r="L881" s="100"/>
      <c r="M881" s="100"/>
      <c r="N881" s="100"/>
      <c r="Y881" s="622"/>
    </row>
    <row r="882" spans="1:25" s="98" customFormat="1" x14ac:dyDescent="0.25">
      <c r="A882" s="194"/>
      <c r="I882" s="621"/>
      <c r="J882" s="100"/>
      <c r="K882" s="100"/>
      <c r="L882" s="100"/>
      <c r="M882" s="100"/>
      <c r="N882" s="100"/>
      <c r="Y882" s="622"/>
    </row>
    <row r="883" spans="1:25" s="98" customFormat="1" x14ac:dyDescent="0.25">
      <c r="A883" s="194"/>
      <c r="I883" s="621"/>
      <c r="J883" s="100"/>
      <c r="K883" s="100"/>
      <c r="L883" s="100"/>
      <c r="M883" s="100"/>
      <c r="N883" s="100"/>
      <c r="Y883" s="622"/>
    </row>
    <row r="884" spans="1:25" s="98" customFormat="1" x14ac:dyDescent="0.25">
      <c r="A884" s="194"/>
      <c r="I884" s="621"/>
      <c r="J884" s="100"/>
      <c r="K884" s="100"/>
      <c r="L884" s="100"/>
      <c r="M884" s="100"/>
      <c r="N884" s="100"/>
      <c r="Y884" s="622"/>
    </row>
    <row r="885" spans="1:25" s="98" customFormat="1" x14ac:dyDescent="0.25">
      <c r="A885" s="194"/>
      <c r="I885" s="621"/>
      <c r="J885" s="100"/>
      <c r="K885" s="100"/>
      <c r="L885" s="100"/>
      <c r="M885" s="100"/>
      <c r="N885" s="100"/>
      <c r="Y885" s="622"/>
    </row>
    <row r="886" spans="1:25" s="98" customFormat="1" x14ac:dyDescent="0.25">
      <c r="A886" s="194"/>
      <c r="I886" s="621"/>
      <c r="J886" s="100"/>
      <c r="K886" s="100"/>
      <c r="L886" s="100"/>
      <c r="M886" s="100"/>
      <c r="N886" s="100"/>
      <c r="Y886" s="622"/>
    </row>
    <row r="887" spans="1:25" s="98" customFormat="1" x14ac:dyDescent="0.25">
      <c r="A887" s="194"/>
      <c r="I887" s="621"/>
      <c r="J887" s="100"/>
      <c r="K887" s="100"/>
      <c r="L887" s="100"/>
      <c r="M887" s="100"/>
      <c r="N887" s="100"/>
      <c r="Y887" s="622"/>
    </row>
    <row r="888" spans="1:25" s="98" customFormat="1" x14ac:dyDescent="0.25">
      <c r="A888" s="194"/>
      <c r="I888" s="621"/>
      <c r="J888" s="100"/>
      <c r="K888" s="100"/>
      <c r="L888" s="100"/>
      <c r="M888" s="100"/>
      <c r="N888" s="100"/>
      <c r="Y888" s="622"/>
    </row>
    <row r="889" spans="1:25" s="98" customFormat="1" x14ac:dyDescent="0.25">
      <c r="A889" s="194"/>
      <c r="I889" s="621"/>
      <c r="J889" s="100"/>
      <c r="K889" s="100"/>
      <c r="L889" s="100"/>
      <c r="M889" s="100"/>
      <c r="N889" s="100"/>
      <c r="Y889" s="622"/>
    </row>
    <row r="890" spans="1:25" s="98" customFormat="1" x14ac:dyDescent="0.25">
      <c r="A890" s="194"/>
      <c r="I890" s="621"/>
      <c r="J890" s="100"/>
      <c r="K890" s="100"/>
      <c r="L890" s="100"/>
      <c r="M890" s="100"/>
      <c r="N890" s="100"/>
      <c r="Y890" s="622"/>
    </row>
    <row r="891" spans="1:25" s="98" customFormat="1" x14ac:dyDescent="0.25">
      <c r="A891" s="194"/>
      <c r="I891" s="621"/>
      <c r="J891" s="100"/>
      <c r="K891" s="100"/>
      <c r="L891" s="100"/>
      <c r="M891" s="100"/>
      <c r="N891" s="100"/>
      <c r="Y891" s="622"/>
    </row>
    <row r="892" spans="1:25" s="98" customFormat="1" x14ac:dyDescent="0.25">
      <c r="A892" s="194"/>
      <c r="I892" s="621"/>
      <c r="J892" s="100"/>
      <c r="K892" s="100"/>
      <c r="L892" s="100"/>
      <c r="M892" s="100"/>
      <c r="N892" s="100"/>
      <c r="Y892" s="622"/>
    </row>
    <row r="893" spans="1:25" s="98" customFormat="1" x14ac:dyDescent="0.25">
      <c r="A893" s="194"/>
      <c r="I893" s="621"/>
      <c r="J893" s="100"/>
      <c r="K893" s="100"/>
      <c r="L893" s="100"/>
      <c r="M893" s="100"/>
      <c r="N893" s="100"/>
      <c r="Y893" s="622"/>
    </row>
    <row r="894" spans="1:25" s="98" customFormat="1" x14ac:dyDescent="0.25">
      <c r="A894" s="194"/>
      <c r="I894" s="621"/>
      <c r="J894" s="100"/>
      <c r="K894" s="100"/>
      <c r="L894" s="100"/>
      <c r="M894" s="100"/>
      <c r="N894" s="100"/>
      <c r="Y894" s="622"/>
    </row>
    <row r="895" spans="1:25" s="98" customFormat="1" x14ac:dyDescent="0.25">
      <c r="A895" s="194"/>
      <c r="I895" s="621"/>
      <c r="J895" s="100"/>
      <c r="K895" s="100"/>
      <c r="L895" s="100"/>
      <c r="M895" s="100"/>
      <c r="N895" s="100"/>
      <c r="Y895" s="622"/>
    </row>
    <row r="896" spans="1:25" s="98" customFormat="1" x14ac:dyDescent="0.25">
      <c r="A896" s="194"/>
      <c r="I896" s="621"/>
      <c r="J896" s="100"/>
      <c r="K896" s="100"/>
      <c r="L896" s="100"/>
      <c r="M896" s="100"/>
      <c r="N896" s="100"/>
      <c r="Y896" s="622"/>
    </row>
    <row r="897" spans="1:25" s="98" customFormat="1" x14ac:dyDescent="0.25">
      <c r="A897" s="194"/>
      <c r="I897" s="621"/>
      <c r="J897" s="100"/>
      <c r="K897" s="100"/>
      <c r="L897" s="100"/>
      <c r="M897" s="100"/>
      <c r="N897" s="100"/>
      <c r="Y897" s="622"/>
    </row>
    <row r="898" spans="1:25" s="98" customFormat="1" x14ac:dyDescent="0.25">
      <c r="I898" s="621"/>
      <c r="J898" s="100"/>
      <c r="Y898" s="622"/>
    </row>
    <row r="899" spans="1:25" s="98" customFormat="1" x14ac:dyDescent="0.25">
      <c r="I899" s="621"/>
      <c r="J899" s="100"/>
      <c r="Y899" s="622"/>
    </row>
    <row r="900" spans="1:25" s="98" customFormat="1" x14ac:dyDescent="0.25">
      <c r="I900" s="621"/>
      <c r="J900" s="100"/>
      <c r="Y900" s="622"/>
    </row>
    <row r="901" spans="1:25" s="98" customFormat="1" x14ac:dyDescent="0.25">
      <c r="I901" s="621"/>
      <c r="J901" s="100"/>
      <c r="Y901" s="622"/>
    </row>
    <row r="902" spans="1:25" s="98" customFormat="1" x14ac:dyDescent="0.25">
      <c r="I902" s="621"/>
      <c r="J902" s="100"/>
      <c r="Y902" s="622"/>
    </row>
    <row r="903" spans="1:25" s="98" customFormat="1" x14ac:dyDescent="0.25">
      <c r="I903" s="621"/>
      <c r="J903" s="100"/>
      <c r="Y903" s="622"/>
    </row>
    <row r="904" spans="1:25" s="98" customFormat="1" x14ac:dyDescent="0.25">
      <c r="I904" s="621"/>
      <c r="J904" s="100"/>
      <c r="Y904" s="622"/>
    </row>
    <row r="905" spans="1:25" s="98" customFormat="1" x14ac:dyDescent="0.25">
      <c r="I905" s="621"/>
      <c r="J905" s="100"/>
      <c r="Y905" s="622"/>
    </row>
    <row r="906" spans="1:25" s="98" customFormat="1" x14ac:dyDescent="0.25">
      <c r="I906" s="621"/>
      <c r="J906" s="100"/>
      <c r="Y906" s="622"/>
    </row>
    <row r="907" spans="1:25" s="98" customFormat="1" x14ac:dyDescent="0.25">
      <c r="I907" s="621"/>
      <c r="J907" s="100"/>
      <c r="Y907" s="622"/>
    </row>
    <row r="908" spans="1:25" s="98" customFormat="1" x14ac:dyDescent="0.25">
      <c r="I908" s="621"/>
      <c r="J908" s="100"/>
      <c r="Y908" s="622"/>
    </row>
    <row r="909" spans="1:25" s="98" customFormat="1" x14ac:dyDescent="0.25">
      <c r="I909" s="621"/>
      <c r="J909" s="100"/>
      <c r="Y909" s="622"/>
    </row>
    <row r="910" spans="1:25" s="98" customFormat="1" x14ac:dyDescent="0.25">
      <c r="I910" s="621"/>
      <c r="J910" s="100"/>
      <c r="Y910" s="622"/>
    </row>
    <row r="911" spans="1:25" s="98" customFormat="1" x14ac:dyDescent="0.25">
      <c r="I911" s="621"/>
      <c r="J911" s="100"/>
      <c r="Y911" s="622"/>
    </row>
    <row r="912" spans="1:25" s="98" customFormat="1" x14ac:dyDescent="0.25">
      <c r="I912" s="621"/>
      <c r="J912" s="100"/>
      <c r="Y912" s="622"/>
    </row>
    <row r="913" spans="9:25" s="98" customFormat="1" x14ac:dyDescent="0.25">
      <c r="I913" s="621"/>
      <c r="J913" s="100"/>
      <c r="Y913" s="622"/>
    </row>
    <row r="914" spans="9:25" s="98" customFormat="1" x14ac:dyDescent="0.25">
      <c r="I914" s="621"/>
      <c r="J914" s="100"/>
      <c r="Y914" s="622"/>
    </row>
    <row r="915" spans="9:25" s="98" customFormat="1" x14ac:dyDescent="0.25">
      <c r="I915" s="621"/>
      <c r="J915" s="100"/>
      <c r="Y915" s="622"/>
    </row>
    <row r="916" spans="9:25" s="98" customFormat="1" x14ac:dyDescent="0.25">
      <c r="I916" s="621"/>
      <c r="J916" s="100"/>
      <c r="Y916" s="622"/>
    </row>
    <row r="917" spans="9:25" s="98" customFormat="1" x14ac:dyDescent="0.25">
      <c r="I917" s="621"/>
      <c r="J917" s="100"/>
      <c r="Y917" s="622"/>
    </row>
    <row r="918" spans="9:25" s="98" customFormat="1" x14ac:dyDescent="0.25">
      <c r="I918" s="621"/>
      <c r="J918" s="100"/>
      <c r="Y918" s="622"/>
    </row>
    <row r="919" spans="9:25" s="98" customFormat="1" x14ac:dyDescent="0.25">
      <c r="I919" s="621"/>
      <c r="J919" s="100"/>
      <c r="Y919" s="622"/>
    </row>
    <row r="920" spans="9:25" s="98" customFormat="1" x14ac:dyDescent="0.25">
      <c r="I920" s="621"/>
      <c r="J920" s="100"/>
      <c r="Y920" s="622"/>
    </row>
    <row r="921" spans="9:25" s="98" customFormat="1" x14ac:dyDescent="0.25">
      <c r="I921" s="621"/>
      <c r="J921" s="100"/>
      <c r="Y921" s="622"/>
    </row>
    <row r="922" spans="9:25" s="98" customFormat="1" x14ac:dyDescent="0.25">
      <c r="I922" s="621"/>
      <c r="J922" s="100"/>
      <c r="Y922" s="622"/>
    </row>
    <row r="923" spans="9:25" s="98" customFormat="1" x14ac:dyDescent="0.25">
      <c r="I923" s="621"/>
      <c r="J923" s="100"/>
      <c r="Y923" s="622"/>
    </row>
    <row r="924" spans="9:25" s="98" customFormat="1" x14ac:dyDescent="0.25">
      <c r="I924" s="621"/>
      <c r="J924" s="100"/>
      <c r="Y924" s="622"/>
    </row>
    <row r="925" spans="9:25" s="98" customFormat="1" x14ac:dyDescent="0.25">
      <c r="I925" s="621"/>
      <c r="J925" s="100"/>
      <c r="Y925" s="622"/>
    </row>
    <row r="926" spans="9:25" s="98" customFormat="1" x14ac:dyDescent="0.25">
      <c r="I926" s="621"/>
      <c r="J926" s="100"/>
      <c r="Y926" s="622"/>
    </row>
    <row r="927" spans="9:25" s="98" customFormat="1" x14ac:dyDescent="0.25">
      <c r="I927" s="621"/>
      <c r="J927" s="100"/>
      <c r="Y927" s="622"/>
    </row>
    <row r="928" spans="9:25" s="98" customFormat="1" x14ac:dyDescent="0.25">
      <c r="I928" s="621"/>
      <c r="J928" s="100"/>
      <c r="Y928" s="622"/>
    </row>
    <row r="929" spans="9:25" s="98" customFormat="1" x14ac:dyDescent="0.25">
      <c r="I929" s="621"/>
      <c r="J929" s="100"/>
      <c r="Y929" s="622"/>
    </row>
    <row r="930" spans="9:25" s="98" customFormat="1" x14ac:dyDescent="0.25">
      <c r="I930" s="621"/>
      <c r="J930" s="100"/>
      <c r="Y930" s="622"/>
    </row>
    <row r="931" spans="9:25" s="98" customFormat="1" x14ac:dyDescent="0.25">
      <c r="I931" s="621"/>
      <c r="J931" s="100"/>
      <c r="Y931" s="622"/>
    </row>
    <row r="932" spans="9:25" s="98" customFormat="1" x14ac:dyDescent="0.25">
      <c r="I932" s="621"/>
      <c r="J932" s="100"/>
      <c r="Y932" s="622"/>
    </row>
    <row r="933" spans="9:25" s="98" customFormat="1" x14ac:dyDescent="0.25">
      <c r="I933" s="621"/>
      <c r="J933" s="100"/>
      <c r="Y933" s="622"/>
    </row>
    <row r="934" spans="9:25" s="98" customFormat="1" x14ac:dyDescent="0.25">
      <c r="I934" s="621"/>
      <c r="J934" s="100"/>
      <c r="Y934" s="622"/>
    </row>
    <row r="935" spans="9:25" s="98" customFormat="1" x14ac:dyDescent="0.25">
      <c r="I935" s="621"/>
      <c r="J935" s="100"/>
      <c r="Y935" s="622"/>
    </row>
    <row r="936" spans="9:25" s="98" customFormat="1" x14ac:dyDescent="0.25">
      <c r="I936" s="621"/>
      <c r="J936" s="100"/>
      <c r="Y936" s="622"/>
    </row>
    <row r="937" spans="9:25" s="98" customFormat="1" x14ac:dyDescent="0.25">
      <c r="I937" s="621"/>
      <c r="J937" s="100"/>
      <c r="Y937" s="622"/>
    </row>
    <row r="938" spans="9:25" s="98" customFormat="1" x14ac:dyDescent="0.25">
      <c r="I938" s="621"/>
      <c r="J938" s="100"/>
      <c r="Y938" s="622"/>
    </row>
    <row r="939" spans="9:25" s="98" customFormat="1" x14ac:dyDescent="0.25">
      <c r="I939" s="621"/>
      <c r="J939" s="100"/>
      <c r="Y939" s="622"/>
    </row>
    <row r="940" spans="9:25" s="98" customFormat="1" x14ac:dyDescent="0.25">
      <c r="I940" s="621"/>
      <c r="J940" s="100"/>
      <c r="Y940" s="622"/>
    </row>
    <row r="941" spans="9:25" s="98" customFormat="1" x14ac:dyDescent="0.25">
      <c r="I941" s="621"/>
      <c r="J941" s="100"/>
      <c r="Y941" s="622"/>
    </row>
    <row r="942" spans="9:25" s="98" customFormat="1" x14ac:dyDescent="0.25">
      <c r="I942" s="621"/>
      <c r="J942" s="100"/>
      <c r="Y942" s="622"/>
    </row>
    <row r="943" spans="9:25" s="98" customFormat="1" x14ac:dyDescent="0.25">
      <c r="I943" s="621"/>
      <c r="J943" s="100"/>
      <c r="Y943" s="622"/>
    </row>
    <row r="944" spans="9:25" s="98" customFormat="1" x14ac:dyDescent="0.25">
      <c r="I944" s="621"/>
      <c r="J944" s="100"/>
      <c r="Y944" s="622"/>
    </row>
    <row r="945" spans="9:25" s="98" customFormat="1" x14ac:dyDescent="0.25">
      <c r="I945" s="621"/>
      <c r="J945" s="100"/>
      <c r="Y945" s="622"/>
    </row>
    <row r="946" spans="9:25" s="98" customFormat="1" x14ac:dyDescent="0.25">
      <c r="I946" s="621"/>
      <c r="J946" s="100"/>
      <c r="Y946" s="622"/>
    </row>
    <row r="947" spans="9:25" s="98" customFormat="1" x14ac:dyDescent="0.25">
      <c r="I947" s="621"/>
      <c r="J947" s="100"/>
      <c r="Y947" s="622"/>
    </row>
    <row r="948" spans="9:25" s="98" customFormat="1" x14ac:dyDescent="0.25">
      <c r="I948" s="621"/>
      <c r="J948" s="100"/>
      <c r="Y948" s="622"/>
    </row>
    <row r="949" spans="9:25" s="98" customFormat="1" x14ac:dyDescent="0.25">
      <c r="I949" s="621"/>
      <c r="J949" s="100"/>
      <c r="Y949" s="622"/>
    </row>
    <row r="950" spans="9:25" s="98" customFormat="1" x14ac:dyDescent="0.25">
      <c r="I950" s="621"/>
      <c r="J950" s="100"/>
      <c r="Y950" s="622"/>
    </row>
    <row r="951" spans="9:25" s="98" customFormat="1" x14ac:dyDescent="0.25">
      <c r="I951" s="621"/>
      <c r="J951" s="100"/>
      <c r="Y951" s="622"/>
    </row>
    <row r="952" spans="9:25" s="98" customFormat="1" x14ac:dyDescent="0.25">
      <c r="I952" s="621"/>
      <c r="J952" s="100"/>
      <c r="Y952" s="622"/>
    </row>
    <row r="953" spans="9:25" s="98" customFormat="1" x14ac:dyDescent="0.25">
      <c r="I953" s="621"/>
      <c r="J953" s="100"/>
      <c r="Y953" s="622"/>
    </row>
    <row r="954" spans="9:25" s="98" customFormat="1" x14ac:dyDescent="0.25">
      <c r="I954" s="621"/>
      <c r="J954" s="100"/>
      <c r="Y954" s="622"/>
    </row>
    <row r="955" spans="9:25" s="98" customFormat="1" x14ac:dyDescent="0.25">
      <c r="I955" s="621"/>
      <c r="J955" s="100"/>
      <c r="Y955" s="622"/>
    </row>
    <row r="956" spans="9:25" s="98" customFormat="1" x14ac:dyDescent="0.25">
      <c r="I956" s="621"/>
      <c r="J956" s="100"/>
      <c r="Y956" s="622"/>
    </row>
    <row r="957" spans="9:25" s="98" customFormat="1" x14ac:dyDescent="0.25">
      <c r="I957" s="621"/>
      <c r="J957" s="100"/>
      <c r="Y957" s="622"/>
    </row>
    <row r="958" spans="9:25" s="98" customFormat="1" x14ac:dyDescent="0.25">
      <c r="I958" s="621"/>
      <c r="J958" s="100"/>
      <c r="Y958" s="622"/>
    </row>
    <row r="959" spans="9:25" s="98" customFormat="1" x14ac:dyDescent="0.25">
      <c r="I959" s="621"/>
      <c r="J959" s="100"/>
      <c r="Y959" s="622"/>
    </row>
    <row r="960" spans="9:25" s="98" customFormat="1" x14ac:dyDescent="0.25">
      <c r="I960" s="621"/>
      <c r="J960" s="100"/>
      <c r="Y960" s="622"/>
    </row>
    <row r="961" spans="9:25" s="98" customFormat="1" x14ac:dyDescent="0.25">
      <c r="I961" s="621"/>
      <c r="J961" s="100"/>
      <c r="Y961" s="622"/>
    </row>
    <row r="962" spans="9:25" s="98" customFormat="1" x14ac:dyDescent="0.25">
      <c r="I962" s="621"/>
      <c r="J962" s="100"/>
      <c r="Y962" s="622"/>
    </row>
    <row r="963" spans="9:25" s="98" customFormat="1" x14ac:dyDescent="0.25">
      <c r="I963" s="621"/>
      <c r="J963" s="100"/>
      <c r="Y963" s="622"/>
    </row>
    <row r="964" spans="9:25" s="98" customFormat="1" x14ac:dyDescent="0.25">
      <c r="I964" s="621"/>
      <c r="J964" s="100"/>
      <c r="Y964" s="622"/>
    </row>
    <row r="965" spans="9:25" s="98" customFormat="1" x14ac:dyDescent="0.25">
      <c r="I965" s="621"/>
      <c r="J965" s="100"/>
      <c r="Y965" s="622"/>
    </row>
    <row r="966" spans="9:25" s="98" customFormat="1" x14ac:dyDescent="0.25">
      <c r="I966" s="621"/>
      <c r="J966" s="100"/>
      <c r="Y966" s="622"/>
    </row>
    <row r="967" spans="9:25" s="98" customFormat="1" x14ac:dyDescent="0.25">
      <c r="I967" s="621"/>
      <c r="J967" s="100"/>
      <c r="Y967" s="622"/>
    </row>
    <row r="968" spans="9:25" s="98" customFormat="1" x14ac:dyDescent="0.25">
      <c r="I968" s="621"/>
      <c r="J968" s="100"/>
      <c r="Y968" s="622"/>
    </row>
    <row r="969" spans="9:25" s="98" customFormat="1" x14ac:dyDescent="0.25">
      <c r="I969" s="621"/>
      <c r="J969" s="100"/>
      <c r="Y969" s="622"/>
    </row>
    <row r="970" spans="9:25" s="98" customFormat="1" x14ac:dyDescent="0.25">
      <c r="I970" s="621"/>
      <c r="J970" s="100"/>
      <c r="Y970" s="622"/>
    </row>
    <row r="971" spans="9:25" s="98" customFormat="1" x14ac:dyDescent="0.25">
      <c r="I971" s="621"/>
      <c r="J971" s="100"/>
      <c r="Y971" s="622"/>
    </row>
    <row r="972" spans="9:25" s="98" customFormat="1" x14ac:dyDescent="0.25">
      <c r="I972" s="621"/>
      <c r="J972" s="100"/>
      <c r="Y972" s="622"/>
    </row>
    <row r="973" spans="9:25" s="98" customFormat="1" x14ac:dyDescent="0.25">
      <c r="I973" s="621"/>
      <c r="J973" s="100"/>
      <c r="Y973" s="622"/>
    </row>
    <row r="974" spans="9:25" s="98" customFormat="1" x14ac:dyDescent="0.25">
      <c r="I974" s="621"/>
      <c r="J974" s="100"/>
      <c r="Y974" s="622"/>
    </row>
    <row r="975" spans="9:25" s="98" customFormat="1" x14ac:dyDescent="0.25">
      <c r="I975" s="621"/>
      <c r="J975" s="100"/>
      <c r="Y975" s="622"/>
    </row>
    <row r="976" spans="9:25" s="98" customFormat="1" x14ac:dyDescent="0.25">
      <c r="I976" s="621"/>
      <c r="J976" s="100"/>
      <c r="Y976" s="622"/>
    </row>
    <row r="977" spans="9:25" s="98" customFormat="1" x14ac:dyDescent="0.25">
      <c r="I977" s="621"/>
      <c r="J977" s="100"/>
      <c r="Y977" s="622"/>
    </row>
    <row r="978" spans="9:25" s="98" customFormat="1" x14ac:dyDescent="0.25">
      <c r="I978" s="621"/>
      <c r="J978" s="100"/>
      <c r="Y978" s="622"/>
    </row>
    <row r="979" spans="9:25" s="98" customFormat="1" x14ac:dyDescent="0.25">
      <c r="I979" s="621"/>
      <c r="J979" s="100"/>
      <c r="Y979" s="622"/>
    </row>
    <row r="980" spans="9:25" s="98" customFormat="1" x14ac:dyDescent="0.25">
      <c r="I980" s="621"/>
      <c r="J980" s="100"/>
      <c r="Y980" s="622"/>
    </row>
    <row r="981" spans="9:25" s="98" customFormat="1" x14ac:dyDescent="0.25">
      <c r="I981" s="621"/>
      <c r="J981" s="100"/>
      <c r="Y981" s="622"/>
    </row>
    <row r="982" spans="9:25" s="98" customFormat="1" x14ac:dyDescent="0.25">
      <c r="I982" s="621"/>
      <c r="J982" s="100"/>
      <c r="Y982" s="622"/>
    </row>
    <row r="983" spans="9:25" s="98" customFormat="1" x14ac:dyDescent="0.25">
      <c r="I983" s="621"/>
      <c r="J983" s="100"/>
      <c r="Y983" s="622"/>
    </row>
    <row r="984" spans="9:25" s="98" customFormat="1" x14ac:dyDescent="0.25">
      <c r="I984" s="621"/>
      <c r="J984" s="100"/>
      <c r="Y984" s="622"/>
    </row>
    <row r="985" spans="9:25" s="98" customFormat="1" x14ac:dyDescent="0.25">
      <c r="I985" s="621"/>
      <c r="J985" s="100"/>
      <c r="Y985" s="622"/>
    </row>
    <row r="986" spans="9:25" s="98" customFormat="1" x14ac:dyDescent="0.25">
      <c r="I986" s="621"/>
      <c r="J986" s="100"/>
      <c r="Y986" s="622"/>
    </row>
    <row r="987" spans="9:25" s="98" customFormat="1" x14ac:dyDescent="0.25">
      <c r="I987" s="621"/>
      <c r="J987" s="100"/>
      <c r="Y987" s="622"/>
    </row>
    <row r="988" spans="9:25" s="98" customFormat="1" x14ac:dyDescent="0.25">
      <c r="I988" s="621"/>
      <c r="J988" s="100"/>
      <c r="Y988" s="622"/>
    </row>
    <row r="989" spans="9:25" s="98" customFormat="1" x14ac:dyDescent="0.25">
      <c r="I989" s="621"/>
      <c r="J989" s="100"/>
      <c r="Y989" s="622"/>
    </row>
    <row r="990" spans="9:25" s="98" customFormat="1" x14ac:dyDescent="0.25">
      <c r="I990" s="621"/>
      <c r="J990" s="100"/>
      <c r="Y990" s="622"/>
    </row>
    <row r="991" spans="9:25" s="98" customFormat="1" x14ac:dyDescent="0.25">
      <c r="I991" s="621"/>
      <c r="J991" s="100"/>
      <c r="Y991" s="622"/>
    </row>
    <row r="992" spans="9:25" s="98" customFormat="1" x14ac:dyDescent="0.25">
      <c r="I992" s="621"/>
      <c r="J992" s="100"/>
      <c r="Y992" s="622"/>
    </row>
    <row r="993" spans="9:25" s="98" customFormat="1" x14ac:dyDescent="0.25">
      <c r="I993" s="621"/>
      <c r="J993" s="100"/>
      <c r="Y993" s="622"/>
    </row>
    <row r="994" spans="9:25" s="98" customFormat="1" x14ac:dyDescent="0.25">
      <c r="I994" s="621"/>
      <c r="J994" s="100"/>
      <c r="Y994" s="622"/>
    </row>
    <row r="995" spans="9:25" s="98" customFormat="1" x14ac:dyDescent="0.25">
      <c r="I995" s="621"/>
      <c r="J995" s="100"/>
      <c r="Y995" s="622"/>
    </row>
    <row r="996" spans="9:25" s="98" customFormat="1" x14ac:dyDescent="0.25">
      <c r="I996" s="621"/>
      <c r="J996" s="100"/>
      <c r="Y996" s="622"/>
    </row>
    <row r="997" spans="9:25" s="98" customFormat="1" x14ac:dyDescent="0.25">
      <c r="I997" s="621"/>
      <c r="J997" s="100"/>
      <c r="Y997" s="622"/>
    </row>
    <row r="998" spans="9:25" s="98" customFormat="1" x14ac:dyDescent="0.25">
      <c r="I998" s="621"/>
      <c r="J998" s="100"/>
      <c r="Y998" s="622"/>
    </row>
    <row r="999" spans="9:25" s="98" customFormat="1" x14ac:dyDescent="0.25">
      <c r="I999" s="621"/>
      <c r="J999" s="100"/>
      <c r="Y999" s="622"/>
    </row>
    <row r="1000" spans="9:25" s="98" customFormat="1" x14ac:dyDescent="0.25">
      <c r="I1000" s="621"/>
      <c r="J1000" s="100"/>
      <c r="Y1000" s="622"/>
    </row>
    <row r="1001" spans="9:25" s="98" customFormat="1" x14ac:dyDescent="0.25">
      <c r="I1001" s="621"/>
      <c r="J1001" s="100"/>
      <c r="Y1001" s="622"/>
    </row>
    <row r="1002" spans="9:25" s="98" customFormat="1" x14ac:dyDescent="0.25">
      <c r="I1002" s="621"/>
      <c r="J1002" s="100"/>
      <c r="Y1002" s="622"/>
    </row>
    <row r="1003" spans="9:25" s="98" customFormat="1" x14ac:dyDescent="0.25">
      <c r="I1003" s="621"/>
      <c r="J1003" s="100"/>
      <c r="Y1003" s="622"/>
    </row>
    <row r="1004" spans="9:25" s="98" customFormat="1" x14ac:dyDescent="0.25">
      <c r="I1004" s="621"/>
      <c r="J1004" s="100"/>
      <c r="Y1004" s="622"/>
    </row>
    <row r="1005" spans="9:25" s="98" customFormat="1" x14ac:dyDescent="0.25">
      <c r="I1005" s="621"/>
      <c r="J1005" s="100"/>
      <c r="Y1005" s="622"/>
    </row>
    <row r="1006" spans="9:25" s="98" customFormat="1" x14ac:dyDescent="0.25">
      <c r="I1006" s="621"/>
      <c r="J1006" s="100"/>
      <c r="Y1006" s="622"/>
    </row>
    <row r="1007" spans="9:25" s="98" customFormat="1" x14ac:dyDescent="0.25">
      <c r="I1007" s="621"/>
      <c r="J1007" s="100"/>
      <c r="Y1007" s="622"/>
    </row>
    <row r="1008" spans="9:25" s="98" customFormat="1" x14ac:dyDescent="0.25">
      <c r="I1008" s="621"/>
      <c r="J1008" s="100"/>
      <c r="Y1008" s="622"/>
    </row>
    <row r="1009" spans="9:25" s="98" customFormat="1" x14ac:dyDescent="0.25">
      <c r="I1009" s="621"/>
      <c r="J1009" s="100"/>
      <c r="Y1009" s="622"/>
    </row>
    <row r="1010" spans="9:25" s="98" customFormat="1" x14ac:dyDescent="0.25">
      <c r="I1010" s="621"/>
      <c r="J1010" s="100"/>
      <c r="Y1010" s="622"/>
    </row>
    <row r="1011" spans="9:25" s="98" customFormat="1" x14ac:dyDescent="0.25">
      <c r="I1011" s="621"/>
      <c r="J1011" s="100"/>
      <c r="Y1011" s="622"/>
    </row>
    <row r="1012" spans="9:25" s="98" customFormat="1" x14ac:dyDescent="0.25">
      <c r="I1012" s="621"/>
      <c r="J1012" s="100"/>
      <c r="Y1012" s="622"/>
    </row>
    <row r="1013" spans="9:25" s="98" customFormat="1" x14ac:dyDescent="0.25">
      <c r="I1013" s="621"/>
      <c r="J1013" s="100"/>
      <c r="Y1013" s="622"/>
    </row>
    <row r="1014" spans="9:25" s="98" customFormat="1" x14ac:dyDescent="0.25">
      <c r="I1014" s="621"/>
      <c r="J1014" s="100"/>
      <c r="Y1014" s="622"/>
    </row>
    <row r="1015" spans="9:25" s="98" customFormat="1" x14ac:dyDescent="0.25">
      <c r="I1015" s="621"/>
      <c r="J1015" s="100"/>
      <c r="Y1015" s="622"/>
    </row>
    <row r="1016" spans="9:25" s="98" customFormat="1" x14ac:dyDescent="0.25">
      <c r="I1016" s="621"/>
      <c r="J1016" s="100"/>
      <c r="Y1016" s="622"/>
    </row>
    <row r="1017" spans="9:25" s="98" customFormat="1" x14ac:dyDescent="0.25">
      <c r="I1017" s="621"/>
      <c r="J1017" s="100"/>
      <c r="Y1017" s="622"/>
    </row>
    <row r="1018" spans="9:25" s="98" customFormat="1" x14ac:dyDescent="0.25">
      <c r="I1018" s="621"/>
      <c r="J1018" s="100"/>
      <c r="Y1018" s="622"/>
    </row>
    <row r="1019" spans="9:25" s="98" customFormat="1" x14ac:dyDescent="0.25">
      <c r="I1019" s="621"/>
      <c r="J1019" s="100"/>
      <c r="Y1019" s="622"/>
    </row>
    <row r="1020" spans="9:25" s="98" customFormat="1" x14ac:dyDescent="0.25">
      <c r="I1020" s="621"/>
      <c r="J1020" s="100"/>
      <c r="Y1020" s="622"/>
    </row>
    <row r="1021" spans="9:25" s="98" customFormat="1" x14ac:dyDescent="0.25">
      <c r="I1021" s="621"/>
      <c r="J1021" s="100"/>
      <c r="Y1021" s="622"/>
    </row>
    <row r="1022" spans="9:25" s="98" customFormat="1" x14ac:dyDescent="0.25">
      <c r="I1022" s="621"/>
      <c r="J1022" s="100"/>
      <c r="Y1022" s="622"/>
    </row>
    <row r="1023" spans="9:25" s="98" customFormat="1" x14ac:dyDescent="0.25">
      <c r="I1023" s="621"/>
      <c r="J1023" s="100"/>
      <c r="Y1023" s="622"/>
    </row>
    <row r="1024" spans="9:25" s="98" customFormat="1" x14ac:dyDescent="0.25">
      <c r="I1024" s="621"/>
      <c r="J1024" s="100"/>
      <c r="Y1024" s="622"/>
    </row>
    <row r="1025" spans="9:25" s="98" customFormat="1" x14ac:dyDescent="0.25">
      <c r="I1025" s="621"/>
      <c r="J1025" s="100"/>
      <c r="Y1025" s="622"/>
    </row>
    <row r="1026" spans="9:25" s="98" customFormat="1" x14ac:dyDescent="0.25">
      <c r="I1026" s="621"/>
      <c r="J1026" s="100"/>
      <c r="Y1026" s="622"/>
    </row>
    <row r="1027" spans="9:25" s="98" customFormat="1" x14ac:dyDescent="0.25">
      <c r="I1027" s="621"/>
      <c r="J1027" s="100"/>
      <c r="Y1027" s="622"/>
    </row>
    <row r="1028" spans="9:25" s="98" customFormat="1" x14ac:dyDescent="0.25">
      <c r="I1028" s="621"/>
      <c r="J1028" s="100"/>
      <c r="Y1028" s="622"/>
    </row>
    <row r="1029" spans="9:25" s="98" customFormat="1" x14ac:dyDescent="0.25">
      <c r="I1029" s="621"/>
      <c r="J1029" s="100"/>
      <c r="Y1029" s="622"/>
    </row>
    <row r="1030" spans="9:25" s="98" customFormat="1" x14ac:dyDescent="0.25">
      <c r="I1030" s="621"/>
      <c r="J1030" s="100"/>
      <c r="Y1030" s="622"/>
    </row>
    <row r="1031" spans="9:25" s="98" customFormat="1" x14ac:dyDescent="0.25">
      <c r="I1031" s="621"/>
      <c r="J1031" s="100"/>
      <c r="Y1031" s="622"/>
    </row>
    <row r="1032" spans="9:25" s="98" customFormat="1" x14ac:dyDescent="0.25">
      <c r="I1032" s="621"/>
      <c r="J1032" s="100"/>
      <c r="Y1032" s="622"/>
    </row>
    <row r="1033" spans="9:25" s="98" customFormat="1" x14ac:dyDescent="0.25">
      <c r="I1033" s="621"/>
      <c r="J1033" s="100"/>
      <c r="Y1033" s="622"/>
    </row>
    <row r="1034" spans="9:25" s="98" customFormat="1" x14ac:dyDescent="0.25">
      <c r="I1034" s="621"/>
      <c r="J1034" s="100"/>
      <c r="Y1034" s="622"/>
    </row>
    <row r="1035" spans="9:25" s="98" customFormat="1" x14ac:dyDescent="0.25">
      <c r="I1035" s="621"/>
      <c r="J1035" s="100"/>
      <c r="Y1035" s="622"/>
    </row>
    <row r="1036" spans="9:25" s="98" customFormat="1" x14ac:dyDescent="0.25">
      <c r="I1036" s="621"/>
      <c r="J1036" s="100"/>
      <c r="Y1036" s="622"/>
    </row>
    <row r="1037" spans="9:25" s="98" customFormat="1" x14ac:dyDescent="0.25">
      <c r="I1037" s="621"/>
      <c r="J1037" s="100"/>
      <c r="Y1037" s="622"/>
    </row>
    <row r="1038" spans="9:25" s="98" customFormat="1" x14ac:dyDescent="0.25">
      <c r="I1038" s="621"/>
      <c r="J1038" s="100"/>
      <c r="Y1038" s="622"/>
    </row>
    <row r="1039" spans="9:25" s="98" customFormat="1" x14ac:dyDescent="0.25">
      <c r="I1039" s="621"/>
      <c r="J1039" s="100"/>
      <c r="Y1039" s="622"/>
    </row>
    <row r="1040" spans="9:25" s="98" customFormat="1" x14ac:dyDescent="0.25">
      <c r="I1040" s="621"/>
      <c r="J1040" s="100"/>
      <c r="Y1040" s="622"/>
    </row>
    <row r="1041" spans="9:25" s="98" customFormat="1" x14ac:dyDescent="0.25">
      <c r="I1041" s="621"/>
      <c r="J1041" s="100"/>
      <c r="Y1041" s="622"/>
    </row>
    <row r="1042" spans="9:25" s="98" customFormat="1" x14ac:dyDescent="0.25">
      <c r="I1042" s="621"/>
      <c r="J1042" s="100"/>
      <c r="Y1042" s="622"/>
    </row>
    <row r="1043" spans="9:25" s="98" customFormat="1" x14ac:dyDescent="0.25">
      <c r="I1043" s="621"/>
      <c r="J1043" s="100"/>
      <c r="Y1043" s="622"/>
    </row>
    <row r="1044" spans="9:25" s="98" customFormat="1" x14ac:dyDescent="0.25">
      <c r="I1044" s="621"/>
      <c r="J1044" s="100"/>
      <c r="Y1044" s="622"/>
    </row>
    <row r="1045" spans="9:25" s="98" customFormat="1" x14ac:dyDescent="0.25">
      <c r="I1045" s="621"/>
      <c r="J1045" s="100"/>
      <c r="Y1045" s="622"/>
    </row>
    <row r="1046" spans="9:25" s="98" customFormat="1" x14ac:dyDescent="0.25">
      <c r="I1046" s="621"/>
      <c r="J1046" s="100"/>
      <c r="Y1046" s="622"/>
    </row>
    <row r="1047" spans="9:25" s="98" customFormat="1" x14ac:dyDescent="0.25">
      <c r="I1047" s="621"/>
      <c r="J1047" s="100"/>
      <c r="Y1047" s="622"/>
    </row>
    <row r="1048" spans="9:25" s="98" customFormat="1" x14ac:dyDescent="0.25">
      <c r="I1048" s="621"/>
      <c r="J1048" s="100"/>
      <c r="Y1048" s="622"/>
    </row>
    <row r="1049" spans="9:25" s="98" customFormat="1" x14ac:dyDescent="0.25">
      <c r="I1049" s="621"/>
      <c r="J1049" s="100"/>
      <c r="Y1049" s="622"/>
    </row>
    <row r="1050" spans="9:25" s="98" customFormat="1" x14ac:dyDescent="0.25">
      <c r="I1050" s="621"/>
      <c r="J1050" s="100"/>
      <c r="Y1050" s="622"/>
    </row>
    <row r="1051" spans="9:25" s="98" customFormat="1" x14ac:dyDescent="0.25">
      <c r="I1051" s="621"/>
      <c r="J1051" s="100"/>
      <c r="Y1051" s="622"/>
    </row>
    <row r="1052" spans="9:25" s="98" customFormat="1" x14ac:dyDescent="0.25">
      <c r="I1052" s="621"/>
      <c r="J1052" s="100"/>
      <c r="Y1052" s="622"/>
    </row>
    <row r="1053" spans="9:25" s="98" customFormat="1" x14ac:dyDescent="0.25">
      <c r="I1053" s="621"/>
      <c r="J1053" s="100"/>
      <c r="Y1053" s="622"/>
    </row>
    <row r="1054" spans="9:25" s="98" customFormat="1" x14ac:dyDescent="0.25">
      <c r="I1054" s="621"/>
      <c r="J1054" s="100"/>
      <c r="Y1054" s="622"/>
    </row>
    <row r="1055" spans="9:25" s="98" customFormat="1" x14ac:dyDescent="0.25">
      <c r="I1055" s="621"/>
      <c r="J1055" s="100"/>
      <c r="Y1055" s="622"/>
    </row>
    <row r="1056" spans="9:25" s="98" customFormat="1" x14ac:dyDescent="0.25">
      <c r="I1056" s="621"/>
      <c r="J1056" s="100"/>
      <c r="Y1056" s="622"/>
    </row>
    <row r="1057" spans="9:25" s="98" customFormat="1" x14ac:dyDescent="0.25">
      <c r="I1057" s="621"/>
      <c r="J1057" s="100"/>
      <c r="Y1057" s="622"/>
    </row>
    <row r="1058" spans="9:25" s="98" customFormat="1" x14ac:dyDescent="0.25">
      <c r="I1058" s="621"/>
      <c r="J1058" s="100"/>
      <c r="Y1058" s="622"/>
    </row>
    <row r="1059" spans="9:25" s="98" customFormat="1" x14ac:dyDescent="0.25">
      <c r="I1059" s="621"/>
      <c r="J1059" s="100"/>
      <c r="Y1059" s="622"/>
    </row>
    <row r="1060" spans="9:25" s="98" customFormat="1" x14ac:dyDescent="0.25">
      <c r="I1060" s="621"/>
      <c r="J1060" s="100"/>
      <c r="Y1060" s="622"/>
    </row>
    <row r="1061" spans="9:25" s="98" customFormat="1" x14ac:dyDescent="0.25">
      <c r="I1061" s="621"/>
      <c r="J1061" s="100"/>
      <c r="Y1061" s="622"/>
    </row>
    <row r="1062" spans="9:25" s="98" customFormat="1" x14ac:dyDescent="0.25">
      <c r="I1062" s="621"/>
      <c r="J1062" s="100"/>
      <c r="Y1062" s="622"/>
    </row>
    <row r="1063" spans="9:25" s="98" customFormat="1" x14ac:dyDescent="0.25">
      <c r="I1063" s="621"/>
      <c r="J1063" s="100"/>
      <c r="Y1063" s="622"/>
    </row>
    <row r="1064" spans="9:25" s="98" customFormat="1" x14ac:dyDescent="0.25">
      <c r="I1064" s="621"/>
      <c r="J1064" s="100"/>
      <c r="Y1064" s="622"/>
    </row>
    <row r="1065" spans="9:25" s="98" customFormat="1" x14ac:dyDescent="0.25">
      <c r="I1065" s="621"/>
      <c r="J1065" s="100"/>
      <c r="Y1065" s="622"/>
    </row>
    <row r="1066" spans="9:25" s="98" customFormat="1" x14ac:dyDescent="0.25">
      <c r="I1066" s="621"/>
      <c r="J1066" s="100"/>
      <c r="Y1066" s="622"/>
    </row>
    <row r="1067" spans="9:25" s="98" customFormat="1" x14ac:dyDescent="0.25">
      <c r="I1067" s="621"/>
      <c r="J1067" s="100"/>
      <c r="Y1067" s="622"/>
    </row>
    <row r="1068" spans="9:25" s="98" customFormat="1" x14ac:dyDescent="0.25">
      <c r="I1068" s="621"/>
      <c r="J1068" s="100"/>
      <c r="Y1068" s="622"/>
    </row>
    <row r="1069" spans="9:25" s="98" customFormat="1" x14ac:dyDescent="0.25">
      <c r="I1069" s="621"/>
      <c r="J1069" s="100"/>
      <c r="Y1069" s="622"/>
    </row>
    <row r="1070" spans="9:25" s="98" customFormat="1" x14ac:dyDescent="0.25">
      <c r="I1070" s="621"/>
      <c r="J1070" s="100"/>
      <c r="Y1070" s="622"/>
    </row>
    <row r="1071" spans="9:25" s="98" customFormat="1" x14ac:dyDescent="0.25">
      <c r="I1071" s="621"/>
      <c r="J1071" s="100"/>
      <c r="Y1071" s="622"/>
    </row>
    <row r="1072" spans="9:25" s="98" customFormat="1" x14ac:dyDescent="0.25">
      <c r="I1072" s="621"/>
      <c r="J1072" s="100"/>
      <c r="Y1072" s="622"/>
    </row>
    <row r="1073" spans="9:25" s="98" customFormat="1" x14ac:dyDescent="0.25">
      <c r="I1073" s="621"/>
      <c r="J1073" s="100"/>
      <c r="Y1073" s="622"/>
    </row>
    <row r="1074" spans="9:25" s="98" customFormat="1" x14ac:dyDescent="0.25">
      <c r="I1074" s="621"/>
      <c r="J1074" s="100"/>
      <c r="Y1074" s="622"/>
    </row>
    <row r="1075" spans="9:25" s="98" customFormat="1" x14ac:dyDescent="0.25">
      <c r="I1075" s="621"/>
      <c r="J1075" s="100"/>
      <c r="Y1075" s="622"/>
    </row>
    <row r="1076" spans="9:25" s="98" customFormat="1" x14ac:dyDescent="0.25">
      <c r="I1076" s="621"/>
      <c r="J1076" s="100"/>
      <c r="Y1076" s="622"/>
    </row>
    <row r="1077" spans="9:25" s="98" customFormat="1" x14ac:dyDescent="0.25">
      <c r="I1077" s="621"/>
      <c r="J1077" s="100"/>
      <c r="Y1077" s="622"/>
    </row>
    <row r="1078" spans="9:25" s="98" customFormat="1" x14ac:dyDescent="0.25">
      <c r="I1078" s="621"/>
      <c r="J1078" s="100"/>
      <c r="Y1078" s="622"/>
    </row>
    <row r="1079" spans="9:25" s="98" customFormat="1" x14ac:dyDescent="0.25">
      <c r="I1079" s="621"/>
      <c r="J1079" s="100"/>
      <c r="Y1079" s="622"/>
    </row>
    <row r="1080" spans="9:25" s="98" customFormat="1" x14ac:dyDescent="0.25">
      <c r="I1080" s="621"/>
      <c r="J1080" s="100"/>
      <c r="Y1080" s="622"/>
    </row>
    <row r="1081" spans="9:25" s="98" customFormat="1" x14ac:dyDescent="0.25">
      <c r="I1081" s="621"/>
      <c r="J1081" s="100"/>
      <c r="Y1081" s="622"/>
    </row>
    <row r="1082" spans="9:25" s="98" customFormat="1" x14ac:dyDescent="0.25">
      <c r="I1082" s="621"/>
      <c r="J1082" s="100"/>
      <c r="Y1082" s="622"/>
    </row>
    <row r="1083" spans="9:25" s="98" customFormat="1" x14ac:dyDescent="0.25">
      <c r="I1083" s="621"/>
      <c r="J1083" s="100"/>
      <c r="Y1083" s="622"/>
    </row>
    <row r="1084" spans="9:25" s="98" customFormat="1" x14ac:dyDescent="0.25">
      <c r="I1084" s="621"/>
      <c r="J1084" s="100"/>
      <c r="Y1084" s="622"/>
    </row>
    <row r="1085" spans="9:25" s="98" customFormat="1" x14ac:dyDescent="0.25">
      <c r="I1085" s="621"/>
      <c r="J1085" s="100"/>
      <c r="Y1085" s="622"/>
    </row>
    <row r="1086" spans="9:25" s="98" customFormat="1" x14ac:dyDescent="0.25">
      <c r="I1086" s="621"/>
      <c r="J1086" s="100"/>
      <c r="Y1086" s="622"/>
    </row>
    <row r="1087" spans="9:25" s="98" customFormat="1" x14ac:dyDescent="0.25">
      <c r="I1087" s="621"/>
      <c r="J1087" s="100"/>
      <c r="Y1087" s="622"/>
    </row>
    <row r="1088" spans="9:25" s="98" customFormat="1" x14ac:dyDescent="0.25">
      <c r="I1088" s="621"/>
      <c r="J1088" s="100"/>
      <c r="Y1088" s="622"/>
    </row>
    <row r="1089" spans="9:25" s="98" customFormat="1" x14ac:dyDescent="0.25">
      <c r="I1089" s="621"/>
      <c r="J1089" s="100"/>
      <c r="Y1089" s="622"/>
    </row>
    <row r="1090" spans="9:25" s="98" customFormat="1" x14ac:dyDescent="0.25">
      <c r="I1090" s="621"/>
      <c r="J1090" s="100"/>
      <c r="Y1090" s="622"/>
    </row>
    <row r="1091" spans="9:25" s="98" customFormat="1" x14ac:dyDescent="0.25">
      <c r="I1091" s="621"/>
      <c r="J1091" s="100"/>
      <c r="Y1091" s="622"/>
    </row>
    <row r="1092" spans="9:25" s="98" customFormat="1" x14ac:dyDescent="0.25">
      <c r="I1092" s="621"/>
      <c r="J1092" s="100"/>
      <c r="Y1092" s="622"/>
    </row>
    <row r="1093" spans="9:25" s="98" customFormat="1" x14ac:dyDescent="0.25">
      <c r="I1093" s="621"/>
      <c r="J1093" s="100"/>
      <c r="Y1093" s="622"/>
    </row>
    <row r="1094" spans="9:25" s="98" customFormat="1" x14ac:dyDescent="0.25">
      <c r="I1094" s="621"/>
      <c r="J1094" s="100"/>
      <c r="Y1094" s="622"/>
    </row>
    <row r="1095" spans="9:25" s="98" customFormat="1" x14ac:dyDescent="0.25">
      <c r="I1095" s="621"/>
      <c r="J1095" s="100"/>
      <c r="Y1095" s="622"/>
    </row>
    <row r="1096" spans="9:25" s="98" customFormat="1" x14ac:dyDescent="0.25">
      <c r="I1096" s="621"/>
      <c r="J1096" s="100"/>
      <c r="Y1096" s="622"/>
    </row>
    <row r="1097" spans="9:25" s="98" customFormat="1" x14ac:dyDescent="0.25">
      <c r="I1097" s="621"/>
      <c r="J1097" s="100"/>
      <c r="Y1097" s="622"/>
    </row>
    <row r="1098" spans="9:25" s="98" customFormat="1" x14ac:dyDescent="0.25">
      <c r="I1098" s="621"/>
      <c r="J1098" s="100"/>
      <c r="Y1098" s="622"/>
    </row>
    <row r="1099" spans="9:25" s="98" customFormat="1" x14ac:dyDescent="0.25">
      <c r="I1099" s="621"/>
      <c r="J1099" s="100"/>
      <c r="Y1099" s="622"/>
    </row>
    <row r="1100" spans="9:25" s="98" customFormat="1" x14ac:dyDescent="0.25">
      <c r="I1100" s="621"/>
      <c r="J1100" s="100"/>
      <c r="Y1100" s="622"/>
    </row>
    <row r="1101" spans="9:25" s="98" customFormat="1" x14ac:dyDescent="0.25">
      <c r="I1101" s="621"/>
      <c r="J1101" s="100"/>
      <c r="Y1101" s="622"/>
    </row>
    <row r="1102" spans="9:25" s="98" customFormat="1" x14ac:dyDescent="0.25">
      <c r="I1102" s="621"/>
      <c r="J1102" s="100"/>
      <c r="Y1102" s="622"/>
    </row>
    <row r="1103" spans="9:25" s="98" customFormat="1" x14ac:dyDescent="0.25">
      <c r="I1103" s="621"/>
      <c r="J1103" s="100"/>
      <c r="Y1103" s="622"/>
    </row>
    <row r="1104" spans="9:25" s="98" customFormat="1" x14ac:dyDescent="0.25">
      <c r="I1104" s="621"/>
      <c r="J1104" s="100"/>
      <c r="Y1104" s="622"/>
    </row>
    <row r="1105" spans="9:25" s="98" customFormat="1" x14ac:dyDescent="0.25">
      <c r="I1105" s="621"/>
      <c r="J1105" s="100"/>
      <c r="Y1105" s="622"/>
    </row>
    <row r="1106" spans="9:25" s="98" customFormat="1" x14ac:dyDescent="0.25">
      <c r="I1106" s="621"/>
      <c r="J1106" s="100"/>
      <c r="Y1106" s="622"/>
    </row>
    <row r="1107" spans="9:25" s="98" customFormat="1" x14ac:dyDescent="0.25">
      <c r="I1107" s="621"/>
      <c r="J1107" s="100"/>
      <c r="Y1107" s="622"/>
    </row>
    <row r="1108" spans="9:25" s="98" customFormat="1" x14ac:dyDescent="0.25">
      <c r="I1108" s="621"/>
      <c r="J1108" s="100"/>
      <c r="Y1108" s="622"/>
    </row>
    <row r="1109" spans="9:25" s="98" customFormat="1" x14ac:dyDescent="0.25">
      <c r="I1109" s="621"/>
      <c r="J1109" s="100"/>
      <c r="Y1109" s="622"/>
    </row>
    <row r="1110" spans="9:25" s="98" customFormat="1" x14ac:dyDescent="0.25">
      <c r="I1110" s="621"/>
      <c r="J1110" s="100"/>
      <c r="Y1110" s="622"/>
    </row>
    <row r="1111" spans="9:25" s="98" customFormat="1" x14ac:dyDescent="0.25">
      <c r="I1111" s="621"/>
      <c r="J1111" s="100"/>
      <c r="Y1111" s="622"/>
    </row>
    <row r="1112" spans="9:25" s="98" customFormat="1" x14ac:dyDescent="0.25">
      <c r="I1112" s="621"/>
      <c r="J1112" s="100"/>
      <c r="Y1112" s="622"/>
    </row>
    <row r="1113" spans="9:25" s="98" customFormat="1" x14ac:dyDescent="0.25">
      <c r="I1113" s="621"/>
      <c r="J1113" s="100"/>
      <c r="Y1113" s="622"/>
    </row>
    <row r="1114" spans="9:25" s="98" customFormat="1" x14ac:dyDescent="0.25">
      <c r="I1114" s="621"/>
      <c r="J1114" s="100"/>
      <c r="Y1114" s="622"/>
    </row>
    <row r="1115" spans="9:25" s="98" customFormat="1" x14ac:dyDescent="0.25">
      <c r="I1115" s="621"/>
      <c r="J1115" s="100"/>
      <c r="Y1115" s="622"/>
    </row>
    <row r="1116" spans="9:25" s="98" customFormat="1" x14ac:dyDescent="0.25">
      <c r="I1116" s="621"/>
      <c r="J1116" s="100"/>
      <c r="Y1116" s="622"/>
    </row>
    <row r="1117" spans="9:25" s="98" customFormat="1" x14ac:dyDescent="0.25">
      <c r="I1117" s="621"/>
      <c r="J1117" s="100"/>
      <c r="Y1117" s="622"/>
    </row>
    <row r="1118" spans="9:25" s="98" customFormat="1" x14ac:dyDescent="0.25">
      <c r="I1118" s="621"/>
      <c r="J1118" s="100"/>
      <c r="Y1118" s="622"/>
    </row>
    <row r="1119" spans="9:25" s="98" customFormat="1" x14ac:dyDescent="0.25">
      <c r="I1119" s="621"/>
      <c r="J1119" s="100"/>
      <c r="Y1119" s="622"/>
    </row>
    <row r="1120" spans="9:25" s="98" customFormat="1" x14ac:dyDescent="0.25">
      <c r="I1120" s="621"/>
      <c r="J1120" s="100"/>
      <c r="Y1120" s="622"/>
    </row>
    <row r="1121" spans="9:25" s="98" customFormat="1" x14ac:dyDescent="0.25">
      <c r="I1121" s="621"/>
      <c r="J1121" s="100"/>
      <c r="Y1121" s="622"/>
    </row>
    <row r="1122" spans="9:25" s="98" customFormat="1" x14ac:dyDescent="0.25">
      <c r="I1122" s="621"/>
      <c r="J1122" s="100"/>
      <c r="Y1122" s="622"/>
    </row>
    <row r="1123" spans="9:25" s="98" customFormat="1" x14ac:dyDescent="0.25">
      <c r="I1123" s="621"/>
      <c r="J1123" s="100"/>
      <c r="Y1123" s="622"/>
    </row>
    <row r="1124" spans="9:25" s="98" customFormat="1" x14ac:dyDescent="0.25">
      <c r="I1124" s="621"/>
      <c r="J1124" s="100"/>
      <c r="Y1124" s="622"/>
    </row>
    <row r="1125" spans="9:25" s="98" customFormat="1" x14ac:dyDescent="0.25">
      <c r="I1125" s="621"/>
      <c r="J1125" s="100"/>
      <c r="Y1125" s="622"/>
    </row>
    <row r="1126" spans="9:25" s="98" customFormat="1" x14ac:dyDescent="0.25">
      <c r="I1126" s="621"/>
      <c r="J1126" s="100"/>
      <c r="Y1126" s="622"/>
    </row>
    <row r="1127" spans="9:25" s="98" customFormat="1" x14ac:dyDescent="0.25">
      <c r="I1127" s="621"/>
      <c r="J1127" s="100"/>
      <c r="Y1127" s="622"/>
    </row>
    <row r="1128" spans="9:25" s="98" customFormat="1" x14ac:dyDescent="0.25">
      <c r="I1128" s="621"/>
      <c r="J1128" s="100"/>
      <c r="Y1128" s="622"/>
    </row>
    <row r="1129" spans="9:25" s="98" customFormat="1" x14ac:dyDescent="0.25">
      <c r="I1129" s="621"/>
      <c r="J1129" s="100"/>
      <c r="Y1129" s="622"/>
    </row>
    <row r="1130" spans="9:25" s="98" customFormat="1" x14ac:dyDescent="0.25">
      <c r="I1130" s="621"/>
      <c r="J1130" s="100"/>
      <c r="Y1130" s="622"/>
    </row>
    <row r="1131" spans="9:25" s="98" customFormat="1" x14ac:dyDescent="0.25">
      <c r="I1131" s="621"/>
      <c r="J1131" s="100"/>
      <c r="Y1131" s="622"/>
    </row>
    <row r="1132" spans="9:25" s="98" customFormat="1" x14ac:dyDescent="0.25">
      <c r="I1132" s="621"/>
      <c r="J1132" s="100"/>
      <c r="Y1132" s="622"/>
    </row>
    <row r="1133" spans="9:25" s="98" customFormat="1" x14ac:dyDescent="0.25">
      <c r="I1133" s="621"/>
      <c r="J1133" s="100"/>
      <c r="Y1133" s="622"/>
    </row>
    <row r="1134" spans="9:25" s="98" customFormat="1" x14ac:dyDescent="0.25">
      <c r="I1134" s="621"/>
      <c r="J1134" s="100"/>
      <c r="Y1134" s="622"/>
    </row>
    <row r="1135" spans="9:25" s="98" customFormat="1" x14ac:dyDescent="0.25">
      <c r="I1135" s="621"/>
      <c r="J1135" s="100"/>
      <c r="Y1135" s="622"/>
    </row>
    <row r="1136" spans="9:25" s="98" customFormat="1" x14ac:dyDescent="0.25">
      <c r="I1136" s="621"/>
      <c r="J1136" s="100"/>
      <c r="Y1136" s="622"/>
    </row>
    <row r="1137" spans="9:25" s="98" customFormat="1" x14ac:dyDescent="0.25">
      <c r="I1137" s="621"/>
      <c r="J1137" s="100"/>
      <c r="Y1137" s="622"/>
    </row>
    <row r="1138" spans="9:25" s="98" customFormat="1" x14ac:dyDescent="0.25">
      <c r="I1138" s="621"/>
      <c r="J1138" s="100"/>
      <c r="Y1138" s="622"/>
    </row>
    <row r="1139" spans="9:25" s="98" customFormat="1" x14ac:dyDescent="0.25">
      <c r="I1139" s="621"/>
      <c r="J1139" s="100"/>
      <c r="Y1139" s="622"/>
    </row>
    <row r="1140" spans="9:25" s="98" customFormat="1" x14ac:dyDescent="0.25">
      <c r="I1140" s="621"/>
      <c r="J1140" s="100"/>
      <c r="Y1140" s="622"/>
    </row>
    <row r="1141" spans="9:25" s="98" customFormat="1" x14ac:dyDescent="0.25">
      <c r="I1141" s="621"/>
      <c r="J1141" s="100"/>
      <c r="Y1141" s="622"/>
    </row>
    <row r="1142" spans="9:25" s="98" customFormat="1" x14ac:dyDescent="0.25">
      <c r="I1142" s="621"/>
      <c r="J1142" s="100"/>
      <c r="Y1142" s="622"/>
    </row>
    <row r="1143" spans="9:25" s="98" customFormat="1" x14ac:dyDescent="0.25">
      <c r="I1143" s="621"/>
      <c r="J1143" s="100"/>
      <c r="Y1143" s="622"/>
    </row>
    <row r="1144" spans="9:25" s="98" customFormat="1" x14ac:dyDescent="0.25">
      <c r="I1144" s="621"/>
      <c r="J1144" s="100"/>
      <c r="Y1144" s="622"/>
    </row>
    <row r="1145" spans="9:25" s="98" customFormat="1" x14ac:dyDescent="0.25">
      <c r="I1145" s="621"/>
      <c r="J1145" s="100"/>
      <c r="Y1145" s="622"/>
    </row>
    <row r="1146" spans="9:25" s="98" customFormat="1" x14ac:dyDescent="0.25">
      <c r="I1146" s="621"/>
      <c r="J1146" s="100"/>
      <c r="Y1146" s="622"/>
    </row>
    <row r="1147" spans="9:25" s="98" customFormat="1" x14ac:dyDescent="0.25">
      <c r="I1147" s="621"/>
      <c r="J1147" s="100"/>
      <c r="Y1147" s="622"/>
    </row>
    <row r="1148" spans="9:25" s="98" customFormat="1" x14ac:dyDescent="0.25">
      <c r="I1148" s="621"/>
      <c r="J1148" s="100"/>
      <c r="Y1148" s="622"/>
    </row>
    <row r="1149" spans="9:25" s="98" customFormat="1" x14ac:dyDescent="0.25">
      <c r="I1149" s="621"/>
      <c r="J1149" s="100"/>
      <c r="Y1149" s="622"/>
    </row>
    <row r="1150" spans="9:25" s="98" customFormat="1" x14ac:dyDescent="0.25">
      <c r="I1150" s="621"/>
      <c r="J1150" s="100"/>
      <c r="Y1150" s="622"/>
    </row>
    <row r="1151" spans="9:25" s="98" customFormat="1" x14ac:dyDescent="0.25">
      <c r="I1151" s="621"/>
      <c r="J1151" s="100"/>
      <c r="Y1151" s="622"/>
    </row>
    <row r="1152" spans="9:25" s="98" customFormat="1" x14ac:dyDescent="0.25">
      <c r="I1152" s="621"/>
      <c r="J1152" s="100"/>
      <c r="Y1152" s="622"/>
    </row>
    <row r="1153" spans="9:25" s="98" customFormat="1" x14ac:dyDescent="0.25">
      <c r="I1153" s="621"/>
      <c r="J1153" s="100"/>
      <c r="Y1153" s="622"/>
    </row>
    <row r="1154" spans="9:25" s="98" customFormat="1" x14ac:dyDescent="0.25">
      <c r="I1154" s="621"/>
      <c r="J1154" s="100"/>
      <c r="Y1154" s="622"/>
    </row>
    <row r="1155" spans="9:25" s="98" customFormat="1" x14ac:dyDescent="0.25">
      <c r="I1155" s="621"/>
      <c r="J1155" s="100"/>
      <c r="Y1155" s="622"/>
    </row>
    <row r="1156" spans="9:25" s="98" customFormat="1" x14ac:dyDescent="0.25">
      <c r="I1156" s="621"/>
      <c r="J1156" s="100"/>
      <c r="Y1156" s="622"/>
    </row>
    <row r="1157" spans="9:25" s="98" customFormat="1" x14ac:dyDescent="0.25">
      <c r="I1157" s="621"/>
      <c r="J1157" s="100"/>
      <c r="Y1157" s="622"/>
    </row>
    <row r="1158" spans="9:25" s="98" customFormat="1" x14ac:dyDescent="0.25">
      <c r="I1158" s="621"/>
      <c r="J1158" s="100"/>
      <c r="Y1158" s="622"/>
    </row>
    <row r="1159" spans="9:25" s="98" customFormat="1" x14ac:dyDescent="0.25">
      <c r="I1159" s="621"/>
      <c r="J1159" s="100"/>
      <c r="Y1159" s="622"/>
    </row>
    <row r="1160" spans="9:25" s="98" customFormat="1" x14ac:dyDescent="0.25">
      <c r="I1160" s="621"/>
      <c r="J1160" s="100"/>
      <c r="Y1160" s="622"/>
    </row>
    <row r="1161" spans="9:25" s="98" customFormat="1" x14ac:dyDescent="0.25">
      <c r="I1161" s="621"/>
      <c r="J1161" s="100"/>
      <c r="Y1161" s="622"/>
    </row>
    <row r="1162" spans="9:25" s="98" customFormat="1" x14ac:dyDescent="0.25">
      <c r="I1162" s="621"/>
      <c r="J1162" s="100"/>
      <c r="Y1162" s="622"/>
    </row>
    <row r="1163" spans="9:25" s="98" customFormat="1" x14ac:dyDescent="0.25">
      <c r="I1163" s="621"/>
      <c r="J1163" s="100"/>
      <c r="Y1163" s="622"/>
    </row>
    <row r="1164" spans="9:25" s="98" customFormat="1" x14ac:dyDescent="0.25">
      <c r="I1164" s="621"/>
      <c r="J1164" s="100"/>
      <c r="Y1164" s="622"/>
    </row>
    <row r="1165" spans="9:25" s="98" customFormat="1" x14ac:dyDescent="0.25">
      <c r="I1165" s="621"/>
      <c r="J1165" s="100"/>
      <c r="Y1165" s="622"/>
    </row>
    <row r="1166" spans="9:25" s="98" customFormat="1" x14ac:dyDescent="0.25">
      <c r="I1166" s="621"/>
      <c r="J1166" s="100"/>
      <c r="Y1166" s="622"/>
    </row>
    <row r="1167" spans="9:25" s="98" customFormat="1" x14ac:dyDescent="0.25">
      <c r="I1167" s="621"/>
      <c r="J1167" s="100"/>
      <c r="Y1167" s="622"/>
    </row>
    <row r="1168" spans="9:25" s="98" customFormat="1" x14ac:dyDescent="0.25">
      <c r="I1168" s="621"/>
      <c r="J1168" s="100"/>
      <c r="Y1168" s="622"/>
    </row>
    <row r="1169" spans="9:25" s="98" customFormat="1" x14ac:dyDescent="0.25">
      <c r="I1169" s="621"/>
      <c r="J1169" s="100"/>
      <c r="Y1169" s="622"/>
    </row>
    <row r="1170" spans="9:25" s="98" customFormat="1" x14ac:dyDescent="0.25">
      <c r="I1170" s="621"/>
      <c r="J1170" s="100"/>
      <c r="Y1170" s="622"/>
    </row>
    <row r="1171" spans="9:25" s="98" customFormat="1" x14ac:dyDescent="0.25">
      <c r="I1171" s="621"/>
      <c r="J1171" s="100"/>
      <c r="Y1171" s="622"/>
    </row>
    <row r="1172" spans="9:25" s="98" customFormat="1" x14ac:dyDescent="0.25">
      <c r="I1172" s="621"/>
      <c r="J1172" s="100"/>
      <c r="Y1172" s="622"/>
    </row>
    <row r="1173" spans="9:25" s="98" customFormat="1" x14ac:dyDescent="0.25">
      <c r="I1173" s="621"/>
      <c r="J1173" s="100"/>
      <c r="Y1173" s="622"/>
    </row>
    <row r="1174" spans="9:25" s="98" customFormat="1" x14ac:dyDescent="0.25">
      <c r="I1174" s="621"/>
      <c r="J1174" s="100"/>
      <c r="Y1174" s="622"/>
    </row>
    <row r="1175" spans="9:25" s="98" customFormat="1" x14ac:dyDescent="0.25">
      <c r="I1175" s="621"/>
      <c r="J1175" s="100"/>
      <c r="Y1175" s="622"/>
    </row>
    <row r="1176" spans="9:25" s="98" customFormat="1" x14ac:dyDescent="0.25">
      <c r="I1176" s="621"/>
      <c r="J1176" s="100"/>
      <c r="Y1176" s="622"/>
    </row>
    <row r="1177" spans="9:25" s="98" customFormat="1" x14ac:dyDescent="0.25">
      <c r="I1177" s="621"/>
      <c r="J1177" s="100"/>
      <c r="Y1177" s="622"/>
    </row>
    <row r="1178" spans="9:25" s="98" customFormat="1" x14ac:dyDescent="0.25">
      <c r="I1178" s="621"/>
      <c r="J1178" s="100"/>
      <c r="Y1178" s="622"/>
    </row>
    <row r="1179" spans="9:25" s="98" customFormat="1" x14ac:dyDescent="0.25">
      <c r="I1179" s="621"/>
      <c r="J1179" s="100"/>
      <c r="Y1179" s="622"/>
    </row>
    <row r="1180" spans="9:25" s="98" customFormat="1" x14ac:dyDescent="0.25">
      <c r="I1180" s="621"/>
      <c r="J1180" s="100"/>
      <c r="Y1180" s="622"/>
    </row>
    <row r="1181" spans="9:25" s="98" customFormat="1" x14ac:dyDescent="0.25">
      <c r="I1181" s="621"/>
      <c r="J1181" s="100"/>
      <c r="Y1181" s="622"/>
    </row>
    <row r="1182" spans="9:25" s="98" customFormat="1" x14ac:dyDescent="0.25">
      <c r="I1182" s="621"/>
      <c r="J1182" s="100"/>
      <c r="Y1182" s="622"/>
    </row>
    <row r="1183" spans="9:25" s="98" customFormat="1" x14ac:dyDescent="0.25">
      <c r="I1183" s="621"/>
      <c r="J1183" s="100"/>
      <c r="Y1183" s="622"/>
    </row>
    <row r="1184" spans="9:25" s="98" customFormat="1" x14ac:dyDescent="0.25">
      <c r="I1184" s="621"/>
      <c r="J1184" s="100"/>
      <c r="Y1184" s="622"/>
    </row>
    <row r="1185" spans="9:25" s="98" customFormat="1" x14ac:dyDescent="0.25">
      <c r="I1185" s="621"/>
      <c r="J1185" s="100"/>
      <c r="Y1185" s="622"/>
    </row>
    <row r="1186" spans="9:25" s="98" customFormat="1" x14ac:dyDescent="0.25">
      <c r="I1186" s="621"/>
      <c r="J1186" s="100"/>
      <c r="Y1186" s="622"/>
    </row>
    <row r="1187" spans="9:25" s="98" customFormat="1" x14ac:dyDescent="0.25">
      <c r="I1187" s="621"/>
      <c r="J1187" s="100"/>
      <c r="Y1187" s="622"/>
    </row>
    <row r="1188" spans="9:25" s="98" customFormat="1" x14ac:dyDescent="0.25">
      <c r="I1188" s="621"/>
      <c r="J1188" s="100"/>
      <c r="Y1188" s="622"/>
    </row>
    <row r="1189" spans="9:25" s="98" customFormat="1" x14ac:dyDescent="0.25">
      <c r="I1189" s="621"/>
      <c r="J1189" s="100"/>
      <c r="Y1189" s="622"/>
    </row>
    <row r="1190" spans="9:25" s="98" customFormat="1" x14ac:dyDescent="0.25">
      <c r="I1190" s="621"/>
      <c r="J1190" s="100"/>
      <c r="Y1190" s="622"/>
    </row>
    <row r="1191" spans="9:25" s="98" customFormat="1" x14ac:dyDescent="0.25">
      <c r="I1191" s="621"/>
      <c r="J1191" s="100"/>
      <c r="Y1191" s="622"/>
    </row>
    <row r="1192" spans="9:25" s="98" customFormat="1" x14ac:dyDescent="0.25">
      <c r="I1192" s="621"/>
      <c r="J1192" s="100"/>
      <c r="Y1192" s="622"/>
    </row>
    <row r="1193" spans="9:25" s="98" customFormat="1" x14ac:dyDescent="0.25">
      <c r="I1193" s="621"/>
      <c r="J1193" s="100"/>
      <c r="Y1193" s="622"/>
    </row>
    <row r="1194" spans="9:25" s="98" customFormat="1" x14ac:dyDescent="0.25">
      <c r="I1194" s="621"/>
      <c r="J1194" s="100"/>
      <c r="Y1194" s="622"/>
    </row>
    <row r="1195" spans="9:25" s="98" customFormat="1" x14ac:dyDescent="0.25">
      <c r="I1195" s="621"/>
      <c r="J1195" s="100"/>
      <c r="Y1195" s="622"/>
    </row>
    <row r="1196" spans="9:25" s="98" customFormat="1" x14ac:dyDescent="0.25">
      <c r="I1196" s="621"/>
      <c r="J1196" s="100"/>
      <c r="Y1196" s="622"/>
    </row>
    <row r="1197" spans="9:25" s="98" customFormat="1" x14ac:dyDescent="0.25">
      <c r="I1197" s="621"/>
      <c r="J1197" s="100"/>
      <c r="Y1197" s="622"/>
    </row>
    <row r="1198" spans="9:25" s="98" customFormat="1" x14ac:dyDescent="0.25">
      <c r="I1198" s="621"/>
      <c r="J1198" s="100"/>
      <c r="Y1198" s="622"/>
    </row>
    <row r="1199" spans="9:25" s="98" customFormat="1" x14ac:dyDescent="0.25">
      <c r="I1199" s="621"/>
      <c r="J1199" s="100"/>
      <c r="Y1199" s="622"/>
    </row>
    <row r="1200" spans="9:25" s="98" customFormat="1" x14ac:dyDescent="0.25">
      <c r="I1200" s="621"/>
      <c r="J1200" s="100"/>
      <c r="Y1200" s="622"/>
    </row>
    <row r="1201" spans="9:25" s="98" customFormat="1" x14ac:dyDescent="0.25">
      <c r="I1201" s="621"/>
      <c r="J1201" s="100"/>
      <c r="Y1201" s="622"/>
    </row>
    <row r="1202" spans="9:25" s="98" customFormat="1" x14ac:dyDescent="0.25">
      <c r="I1202" s="621"/>
      <c r="J1202" s="100"/>
      <c r="Y1202" s="622"/>
    </row>
    <row r="1203" spans="9:25" s="98" customFormat="1" x14ac:dyDescent="0.25">
      <c r="I1203" s="621"/>
      <c r="J1203" s="100"/>
      <c r="Y1203" s="622"/>
    </row>
    <row r="1204" spans="9:25" s="98" customFormat="1" x14ac:dyDescent="0.25">
      <c r="I1204" s="621"/>
      <c r="J1204" s="100"/>
      <c r="Y1204" s="622"/>
    </row>
    <row r="1205" spans="9:25" s="98" customFormat="1" x14ac:dyDescent="0.25">
      <c r="I1205" s="621"/>
      <c r="J1205" s="100"/>
      <c r="Y1205" s="622"/>
    </row>
    <row r="1206" spans="9:25" s="98" customFormat="1" x14ac:dyDescent="0.25">
      <c r="I1206" s="621"/>
      <c r="J1206" s="100"/>
      <c r="Y1206" s="622"/>
    </row>
    <row r="1207" spans="9:25" s="98" customFormat="1" x14ac:dyDescent="0.25">
      <c r="I1207" s="621"/>
      <c r="J1207" s="100"/>
      <c r="Y1207" s="622"/>
    </row>
    <row r="1208" spans="9:25" s="98" customFormat="1" x14ac:dyDescent="0.25">
      <c r="I1208" s="621"/>
      <c r="J1208" s="100"/>
      <c r="Y1208" s="622"/>
    </row>
    <row r="1209" spans="9:25" s="98" customFormat="1" x14ac:dyDescent="0.25">
      <c r="I1209" s="621"/>
      <c r="J1209" s="100"/>
      <c r="Y1209" s="622"/>
    </row>
    <row r="1210" spans="9:25" s="98" customFormat="1" x14ac:dyDescent="0.25">
      <c r="I1210" s="621"/>
      <c r="J1210" s="100"/>
      <c r="Y1210" s="622"/>
    </row>
    <row r="1211" spans="9:25" s="98" customFormat="1" x14ac:dyDescent="0.25">
      <c r="I1211" s="621"/>
      <c r="J1211" s="100"/>
      <c r="Y1211" s="622"/>
    </row>
    <row r="1212" spans="9:25" s="98" customFormat="1" x14ac:dyDescent="0.25">
      <c r="I1212" s="621"/>
      <c r="J1212" s="100"/>
      <c r="Y1212" s="622"/>
    </row>
    <row r="1213" spans="9:25" s="98" customFormat="1" x14ac:dyDescent="0.25">
      <c r="I1213" s="621"/>
      <c r="J1213" s="100"/>
      <c r="Y1213" s="622"/>
    </row>
    <row r="1214" spans="9:25" s="98" customFormat="1" x14ac:dyDescent="0.25">
      <c r="I1214" s="621"/>
      <c r="J1214" s="100"/>
      <c r="Y1214" s="622"/>
    </row>
    <row r="1215" spans="9:25" s="98" customFormat="1" x14ac:dyDescent="0.25">
      <c r="I1215" s="621"/>
      <c r="J1215" s="100"/>
      <c r="Y1215" s="622"/>
    </row>
    <row r="1216" spans="9:25" s="98" customFormat="1" x14ac:dyDescent="0.25">
      <c r="I1216" s="621"/>
      <c r="J1216" s="100"/>
      <c r="Y1216" s="622"/>
    </row>
    <row r="1217" spans="9:25" s="98" customFormat="1" x14ac:dyDescent="0.25">
      <c r="I1217" s="621"/>
      <c r="J1217" s="100"/>
      <c r="Y1217" s="622"/>
    </row>
    <row r="1218" spans="9:25" s="98" customFormat="1" x14ac:dyDescent="0.25">
      <c r="I1218" s="621"/>
      <c r="J1218" s="100"/>
      <c r="Y1218" s="622"/>
    </row>
    <row r="1219" spans="9:25" s="98" customFormat="1" x14ac:dyDescent="0.25">
      <c r="I1219" s="621"/>
      <c r="J1219" s="100"/>
      <c r="Y1219" s="622"/>
    </row>
    <row r="1220" spans="9:25" s="98" customFormat="1" x14ac:dyDescent="0.25">
      <c r="I1220" s="621"/>
      <c r="J1220" s="100"/>
      <c r="Y1220" s="622"/>
    </row>
    <row r="1221" spans="9:25" s="98" customFormat="1" x14ac:dyDescent="0.25">
      <c r="I1221" s="621"/>
      <c r="J1221" s="100"/>
      <c r="Y1221" s="622"/>
    </row>
    <row r="1222" spans="9:25" s="98" customFormat="1" x14ac:dyDescent="0.25">
      <c r="I1222" s="621"/>
      <c r="J1222" s="100"/>
      <c r="Y1222" s="622"/>
    </row>
    <row r="1223" spans="9:25" s="98" customFormat="1" x14ac:dyDescent="0.25">
      <c r="I1223" s="621"/>
      <c r="J1223" s="100"/>
      <c r="Y1223" s="622"/>
    </row>
    <row r="1224" spans="9:25" s="98" customFormat="1" x14ac:dyDescent="0.25">
      <c r="I1224" s="621"/>
      <c r="J1224" s="100"/>
      <c r="Y1224" s="622"/>
    </row>
    <row r="1225" spans="9:25" s="98" customFormat="1" x14ac:dyDescent="0.25">
      <c r="I1225" s="621"/>
      <c r="J1225" s="100"/>
      <c r="Y1225" s="622"/>
    </row>
    <row r="1226" spans="9:25" s="98" customFormat="1" x14ac:dyDescent="0.25">
      <c r="I1226" s="621"/>
      <c r="J1226" s="100"/>
      <c r="Y1226" s="622"/>
    </row>
    <row r="1227" spans="9:25" s="98" customFormat="1" x14ac:dyDescent="0.25">
      <c r="I1227" s="621"/>
      <c r="J1227" s="100"/>
      <c r="Y1227" s="622"/>
    </row>
    <row r="1228" spans="9:25" s="98" customFormat="1" x14ac:dyDescent="0.25">
      <c r="I1228" s="621"/>
      <c r="J1228" s="100"/>
      <c r="Y1228" s="622"/>
    </row>
    <row r="1229" spans="9:25" s="98" customFormat="1" x14ac:dyDescent="0.25">
      <c r="I1229" s="621"/>
      <c r="J1229" s="100"/>
      <c r="Y1229" s="622"/>
    </row>
    <row r="1230" spans="9:25" s="98" customFormat="1" x14ac:dyDescent="0.25">
      <c r="I1230" s="621"/>
      <c r="J1230" s="100"/>
      <c r="Y1230" s="622"/>
    </row>
    <row r="1231" spans="9:25" s="98" customFormat="1" x14ac:dyDescent="0.25">
      <c r="I1231" s="621"/>
      <c r="J1231" s="100"/>
      <c r="Y1231" s="622"/>
    </row>
    <row r="1232" spans="9:25" s="98" customFormat="1" x14ac:dyDescent="0.25">
      <c r="I1232" s="621"/>
      <c r="J1232" s="100"/>
      <c r="Y1232" s="622"/>
    </row>
    <row r="1233" spans="9:25" s="98" customFormat="1" x14ac:dyDescent="0.25">
      <c r="I1233" s="621"/>
      <c r="J1233" s="100"/>
      <c r="Y1233" s="622"/>
    </row>
    <row r="1234" spans="9:25" s="98" customFormat="1" x14ac:dyDescent="0.25">
      <c r="I1234" s="621"/>
      <c r="J1234" s="100"/>
      <c r="Y1234" s="622"/>
    </row>
    <row r="1235" spans="9:25" s="98" customFormat="1" x14ac:dyDescent="0.25">
      <c r="I1235" s="621"/>
      <c r="J1235" s="100"/>
      <c r="Y1235" s="622"/>
    </row>
    <row r="1236" spans="9:25" s="98" customFormat="1" x14ac:dyDescent="0.25">
      <c r="I1236" s="621"/>
      <c r="J1236" s="100"/>
      <c r="Y1236" s="622"/>
    </row>
    <row r="1237" spans="9:25" s="98" customFormat="1" x14ac:dyDescent="0.25">
      <c r="I1237" s="621"/>
      <c r="J1237" s="100"/>
      <c r="Y1237" s="622"/>
    </row>
    <row r="1238" spans="9:25" s="98" customFormat="1" x14ac:dyDescent="0.25">
      <c r="I1238" s="621"/>
      <c r="J1238" s="100"/>
      <c r="Y1238" s="622"/>
    </row>
    <row r="1239" spans="9:25" s="98" customFormat="1" x14ac:dyDescent="0.25">
      <c r="I1239" s="621"/>
      <c r="J1239" s="100"/>
      <c r="Y1239" s="622"/>
    </row>
    <row r="1240" spans="9:25" s="98" customFormat="1" x14ac:dyDescent="0.25">
      <c r="I1240" s="621"/>
      <c r="J1240" s="100"/>
      <c r="Y1240" s="622"/>
    </row>
    <row r="1241" spans="9:25" s="98" customFormat="1" x14ac:dyDescent="0.25">
      <c r="I1241" s="621"/>
      <c r="J1241" s="100"/>
      <c r="Y1241" s="622"/>
    </row>
    <row r="1242" spans="9:25" s="98" customFormat="1" x14ac:dyDescent="0.25">
      <c r="I1242" s="621"/>
      <c r="J1242" s="100"/>
      <c r="Y1242" s="622"/>
    </row>
    <row r="1243" spans="9:25" s="98" customFormat="1" x14ac:dyDescent="0.25">
      <c r="I1243" s="621"/>
      <c r="J1243" s="100"/>
      <c r="Y1243" s="622"/>
    </row>
    <row r="1244" spans="9:25" s="98" customFormat="1" x14ac:dyDescent="0.25">
      <c r="I1244" s="621"/>
      <c r="J1244" s="100"/>
      <c r="Y1244" s="622"/>
    </row>
    <row r="1245" spans="9:25" s="98" customFormat="1" x14ac:dyDescent="0.25">
      <c r="I1245" s="621"/>
      <c r="J1245" s="100"/>
      <c r="Y1245" s="622"/>
    </row>
    <row r="1246" spans="9:25" s="98" customFormat="1" x14ac:dyDescent="0.25">
      <c r="I1246" s="621"/>
      <c r="J1246" s="100"/>
      <c r="Y1246" s="622"/>
    </row>
    <row r="1247" spans="9:25" s="98" customFormat="1" x14ac:dyDescent="0.25">
      <c r="I1247" s="621"/>
      <c r="J1247" s="100"/>
      <c r="Y1247" s="622"/>
    </row>
    <row r="1248" spans="9:25" s="98" customFormat="1" x14ac:dyDescent="0.25">
      <c r="I1248" s="621"/>
      <c r="J1248" s="100"/>
      <c r="Y1248" s="622"/>
    </row>
    <row r="1249" spans="9:25" s="98" customFormat="1" x14ac:dyDescent="0.25">
      <c r="I1249" s="621"/>
      <c r="J1249" s="100"/>
      <c r="Y1249" s="622"/>
    </row>
    <row r="1250" spans="9:25" s="98" customFormat="1" x14ac:dyDescent="0.25">
      <c r="I1250" s="621"/>
      <c r="J1250" s="100"/>
      <c r="Y1250" s="622"/>
    </row>
    <row r="1251" spans="9:25" s="98" customFormat="1" x14ac:dyDescent="0.25">
      <c r="I1251" s="621"/>
      <c r="J1251" s="100"/>
      <c r="Y1251" s="622"/>
    </row>
    <row r="1252" spans="9:25" s="98" customFormat="1" x14ac:dyDescent="0.25">
      <c r="I1252" s="621"/>
      <c r="J1252" s="100"/>
      <c r="Y1252" s="622"/>
    </row>
    <row r="1253" spans="9:25" s="98" customFormat="1" x14ac:dyDescent="0.25">
      <c r="I1253" s="621"/>
      <c r="J1253" s="100"/>
      <c r="Y1253" s="622"/>
    </row>
    <row r="1254" spans="9:25" s="98" customFormat="1" x14ac:dyDescent="0.25">
      <c r="I1254" s="621"/>
      <c r="J1254" s="100"/>
      <c r="Y1254" s="622"/>
    </row>
    <row r="1255" spans="9:25" s="98" customFormat="1" x14ac:dyDescent="0.25">
      <c r="I1255" s="621"/>
      <c r="J1255" s="100"/>
      <c r="Y1255" s="622"/>
    </row>
    <row r="1256" spans="9:25" s="98" customFormat="1" x14ac:dyDescent="0.25">
      <c r="I1256" s="621"/>
      <c r="J1256" s="100"/>
      <c r="Y1256" s="622"/>
    </row>
    <row r="1257" spans="9:25" s="98" customFormat="1" x14ac:dyDescent="0.25">
      <c r="I1257" s="621"/>
      <c r="J1257" s="100"/>
      <c r="Y1257" s="622"/>
    </row>
    <row r="1258" spans="9:25" s="98" customFormat="1" x14ac:dyDescent="0.25">
      <c r="I1258" s="621"/>
      <c r="J1258" s="100"/>
      <c r="Y1258" s="622"/>
    </row>
    <row r="1259" spans="9:25" s="98" customFormat="1" x14ac:dyDescent="0.25">
      <c r="I1259" s="621"/>
      <c r="J1259" s="100"/>
      <c r="Y1259" s="622"/>
    </row>
    <row r="1260" spans="9:25" s="98" customFormat="1" x14ac:dyDescent="0.25">
      <c r="I1260" s="621"/>
      <c r="J1260" s="100"/>
      <c r="Y1260" s="622"/>
    </row>
    <row r="1261" spans="9:25" s="98" customFormat="1" x14ac:dyDescent="0.25">
      <c r="I1261" s="621"/>
      <c r="J1261" s="100"/>
      <c r="Y1261" s="622"/>
    </row>
    <row r="1262" spans="9:25" s="98" customFormat="1" x14ac:dyDescent="0.25">
      <c r="I1262" s="621"/>
      <c r="J1262" s="100"/>
      <c r="Y1262" s="622"/>
    </row>
    <row r="1263" spans="9:25" s="98" customFormat="1" x14ac:dyDescent="0.25">
      <c r="I1263" s="621"/>
      <c r="J1263" s="100"/>
      <c r="Y1263" s="622"/>
    </row>
    <row r="1264" spans="9:25" s="98" customFormat="1" x14ac:dyDescent="0.25">
      <c r="I1264" s="621"/>
      <c r="J1264" s="100"/>
      <c r="Y1264" s="622"/>
    </row>
    <row r="1265" spans="9:25" s="98" customFormat="1" x14ac:dyDescent="0.25">
      <c r="I1265" s="621"/>
      <c r="J1265" s="100"/>
      <c r="Y1265" s="622"/>
    </row>
    <row r="1266" spans="9:25" s="98" customFormat="1" x14ac:dyDescent="0.25">
      <c r="I1266" s="621"/>
      <c r="J1266" s="100"/>
      <c r="Y1266" s="622"/>
    </row>
    <row r="1267" spans="9:25" s="98" customFormat="1" x14ac:dyDescent="0.25">
      <c r="I1267" s="621"/>
      <c r="J1267" s="100"/>
      <c r="Y1267" s="622"/>
    </row>
    <row r="1268" spans="9:25" s="98" customFormat="1" x14ac:dyDescent="0.25">
      <c r="I1268" s="621"/>
      <c r="J1268" s="100"/>
      <c r="Y1268" s="622"/>
    </row>
    <row r="1269" spans="9:25" s="98" customFormat="1" x14ac:dyDescent="0.25">
      <c r="I1269" s="621"/>
      <c r="J1269" s="100"/>
      <c r="Y1269" s="622"/>
    </row>
    <row r="1270" spans="9:25" s="98" customFormat="1" x14ac:dyDescent="0.25">
      <c r="I1270" s="621"/>
      <c r="J1270" s="100"/>
      <c r="Y1270" s="622"/>
    </row>
    <row r="1271" spans="9:25" s="98" customFormat="1" x14ac:dyDescent="0.25">
      <c r="I1271" s="621"/>
      <c r="J1271" s="100"/>
      <c r="Y1271" s="622"/>
    </row>
    <row r="1272" spans="9:25" s="98" customFormat="1" x14ac:dyDescent="0.25">
      <c r="I1272" s="621"/>
      <c r="J1272" s="100"/>
      <c r="Y1272" s="622"/>
    </row>
    <row r="1273" spans="9:25" s="98" customFormat="1" x14ac:dyDescent="0.25">
      <c r="I1273" s="621"/>
      <c r="J1273" s="100"/>
      <c r="Y1273" s="622"/>
    </row>
    <row r="1274" spans="9:25" s="98" customFormat="1" x14ac:dyDescent="0.25">
      <c r="I1274" s="621"/>
      <c r="J1274" s="100"/>
      <c r="Y1274" s="622"/>
    </row>
    <row r="1275" spans="9:25" s="98" customFormat="1" x14ac:dyDescent="0.25">
      <c r="I1275" s="621"/>
      <c r="J1275" s="100"/>
      <c r="Y1275" s="622"/>
    </row>
    <row r="1276" spans="9:25" s="98" customFormat="1" x14ac:dyDescent="0.25">
      <c r="I1276" s="621"/>
      <c r="J1276" s="100"/>
      <c r="Y1276" s="622"/>
    </row>
    <row r="1277" spans="9:25" s="98" customFormat="1" x14ac:dyDescent="0.25">
      <c r="I1277" s="621"/>
      <c r="J1277" s="100"/>
      <c r="Y1277" s="622"/>
    </row>
    <row r="1278" spans="9:25" s="98" customFormat="1" x14ac:dyDescent="0.25">
      <c r="I1278" s="621"/>
      <c r="J1278" s="100"/>
      <c r="Y1278" s="622"/>
    </row>
    <row r="1279" spans="9:25" s="98" customFormat="1" x14ac:dyDescent="0.25">
      <c r="I1279" s="621"/>
      <c r="J1279" s="100"/>
      <c r="Y1279" s="622"/>
    </row>
    <row r="1280" spans="9:25" s="98" customFormat="1" x14ac:dyDescent="0.25">
      <c r="I1280" s="621"/>
      <c r="J1280" s="100"/>
      <c r="Y1280" s="622"/>
    </row>
    <row r="1281" spans="1:42" s="98" customFormat="1" x14ac:dyDescent="0.25">
      <c r="I1281" s="621"/>
      <c r="J1281" s="100"/>
      <c r="Y1281" s="622"/>
    </row>
    <row r="1282" spans="1:42" s="98" customFormat="1" x14ac:dyDescent="0.25">
      <c r="I1282" s="621"/>
      <c r="J1282" s="100"/>
      <c r="Y1282" s="622"/>
    </row>
    <row r="1283" spans="1:42" s="98" customFormat="1" x14ac:dyDescent="0.25">
      <c r="I1283" s="621"/>
      <c r="J1283" s="100"/>
      <c r="Y1283" s="622"/>
    </row>
    <row r="1284" spans="1:42" s="98" customFormat="1" x14ac:dyDescent="0.25">
      <c r="I1284" s="621"/>
      <c r="J1284" s="100"/>
      <c r="Y1284" s="622"/>
    </row>
    <row r="1285" spans="1:42" s="98" customFormat="1" x14ac:dyDescent="0.25">
      <c r="I1285" s="621"/>
      <c r="J1285" s="100"/>
      <c r="Y1285" s="622"/>
    </row>
    <row r="1286" spans="1:42" s="98" customFormat="1" x14ac:dyDescent="0.25">
      <c r="I1286" s="621"/>
      <c r="J1286" s="100"/>
      <c r="Y1286" s="622"/>
    </row>
    <row r="1287" spans="1:42" s="98" customFormat="1" x14ac:dyDescent="0.25">
      <c r="I1287" s="621"/>
      <c r="J1287" s="100"/>
      <c r="Y1287" s="622"/>
    </row>
    <row r="1288" spans="1:42" s="98" customFormat="1" x14ac:dyDescent="0.25">
      <c r="I1288" s="621"/>
      <c r="J1288" s="100"/>
      <c r="Y1288" s="622"/>
    </row>
    <row r="1289" spans="1:42" s="98" customFormat="1" x14ac:dyDescent="0.25">
      <c r="I1289" s="621"/>
      <c r="J1289" s="100"/>
      <c r="Y1289" s="622"/>
    </row>
    <row r="1290" spans="1:42" s="98" customFormat="1" x14ac:dyDescent="0.25">
      <c r="I1290" s="621"/>
      <c r="J1290" s="100"/>
      <c r="Y1290" s="622"/>
    </row>
    <row r="1291" spans="1:42" s="98" customFormat="1" x14ac:dyDescent="0.25">
      <c r="I1291" s="621"/>
      <c r="J1291" s="100"/>
      <c r="Y1291" s="622"/>
    </row>
    <row r="1292" spans="1:42" s="98" customFormat="1" x14ac:dyDescent="0.25">
      <c r="I1292" s="621"/>
      <c r="J1292" s="100"/>
      <c r="Y1292" s="622"/>
    </row>
    <row r="1293" spans="1:42" s="98" customFormat="1" x14ac:dyDescent="0.25">
      <c r="I1293" s="621"/>
      <c r="J1293" s="100"/>
      <c r="Y1293" s="622"/>
    </row>
    <row r="1294" spans="1:42" s="98" customFormat="1" x14ac:dyDescent="0.25">
      <c r="I1294" s="621"/>
      <c r="J1294" s="100"/>
      <c r="Y1294" s="622"/>
    </row>
    <row r="1295" spans="1:42" x14ac:dyDescent="0.25">
      <c r="A1295" s="98"/>
      <c r="B1295" s="98"/>
      <c r="C1295" s="98"/>
      <c r="D1295" s="98"/>
      <c r="E1295" s="98"/>
      <c r="F1295" s="98"/>
      <c r="G1295" s="98"/>
      <c r="H1295" s="98"/>
      <c r="I1295" s="621"/>
      <c r="J1295" s="100"/>
      <c r="K1295" s="98"/>
      <c r="L1295" s="98"/>
      <c r="M1295" s="98"/>
      <c r="N1295" s="98"/>
      <c r="O1295" s="98"/>
      <c r="P1295" s="98"/>
      <c r="Q1295" s="98"/>
      <c r="R1295" s="98"/>
      <c r="S1295" s="98"/>
      <c r="T1295" s="98"/>
      <c r="U1295" s="98"/>
      <c r="V1295" s="98"/>
      <c r="W1295" s="98"/>
      <c r="X1295" s="98"/>
      <c r="Y1295" s="622"/>
      <c r="Z1295" s="98"/>
      <c r="AA1295" s="98"/>
      <c r="AB1295" s="98"/>
      <c r="AC1295" s="98"/>
      <c r="AD1295" s="98"/>
      <c r="AE1295" s="98"/>
      <c r="AF1295" s="98"/>
      <c r="AG1295" s="98"/>
      <c r="AH1295" s="98"/>
      <c r="AI1295" s="98"/>
      <c r="AJ1295" s="98"/>
      <c r="AK1295" s="98"/>
      <c r="AL1295" s="98"/>
      <c r="AM1295" s="98"/>
      <c r="AN1295" s="98"/>
      <c r="AO1295" s="98"/>
      <c r="AP1295" s="98"/>
    </row>
    <row r="1296" spans="1:42" x14ac:dyDescent="0.25">
      <c r="A1296" s="98"/>
      <c r="B1296" s="98"/>
      <c r="C1296" s="98"/>
      <c r="D1296" s="98"/>
      <c r="E1296" s="98"/>
      <c r="F1296" s="98"/>
      <c r="G1296" s="98"/>
      <c r="H1296" s="98"/>
      <c r="I1296" s="621"/>
      <c r="J1296" s="100"/>
      <c r="K1296" s="98"/>
      <c r="L1296" s="98"/>
      <c r="M1296" s="98"/>
      <c r="N1296" s="98"/>
      <c r="O1296" s="98"/>
      <c r="P1296" s="98"/>
      <c r="Q1296" s="98"/>
      <c r="R1296" s="98"/>
      <c r="S1296" s="98"/>
      <c r="T1296" s="98"/>
      <c r="U1296" s="98"/>
      <c r="V1296" s="98"/>
      <c r="W1296" s="98"/>
      <c r="X1296" s="98"/>
      <c r="Y1296" s="622"/>
      <c r="Z1296" s="98"/>
      <c r="AA1296" s="98"/>
      <c r="AB1296" s="98"/>
      <c r="AC1296" s="98"/>
      <c r="AD1296" s="98"/>
      <c r="AE1296" s="98"/>
      <c r="AF1296" s="98"/>
      <c r="AG1296" s="98"/>
      <c r="AH1296" s="98"/>
      <c r="AI1296" s="98"/>
      <c r="AJ1296" s="98"/>
      <c r="AK1296" s="98"/>
      <c r="AL1296" s="98"/>
      <c r="AM1296" s="98"/>
      <c r="AN1296" s="98"/>
      <c r="AO1296" s="98"/>
      <c r="AP1296" s="98"/>
    </row>
    <row r="1297" spans="1:42" x14ac:dyDescent="0.25">
      <c r="A1297" s="98"/>
      <c r="B1297" s="98"/>
      <c r="C1297" s="98"/>
      <c r="D1297" s="98"/>
      <c r="E1297" s="98"/>
      <c r="F1297" s="98"/>
      <c r="G1297" s="98"/>
      <c r="H1297" s="98"/>
      <c r="I1297" s="621"/>
      <c r="J1297" s="100"/>
      <c r="K1297" s="98"/>
      <c r="L1297" s="98"/>
      <c r="M1297" s="98"/>
      <c r="N1297" s="98"/>
      <c r="O1297" s="98"/>
      <c r="P1297" s="98"/>
      <c r="Q1297" s="98"/>
      <c r="R1297" s="98"/>
      <c r="S1297" s="98"/>
      <c r="T1297" s="98"/>
      <c r="U1297" s="98"/>
      <c r="V1297" s="98"/>
      <c r="W1297" s="98"/>
      <c r="X1297" s="98"/>
      <c r="Y1297" s="622"/>
      <c r="Z1297" s="98"/>
      <c r="AA1297" s="98"/>
      <c r="AB1297" s="98"/>
      <c r="AC1297" s="98"/>
      <c r="AD1297" s="98"/>
      <c r="AE1297" s="98"/>
      <c r="AF1297" s="98"/>
      <c r="AG1297" s="98"/>
      <c r="AH1297" s="98"/>
      <c r="AI1297" s="98"/>
      <c r="AJ1297" s="98"/>
      <c r="AK1297" s="98"/>
      <c r="AL1297" s="98"/>
      <c r="AM1297" s="98"/>
      <c r="AN1297" s="98"/>
      <c r="AO1297" s="98"/>
      <c r="AP1297" s="98"/>
    </row>
    <row r="1298" spans="1:42" x14ac:dyDescent="0.25">
      <c r="A1298" s="98"/>
      <c r="B1298" s="98"/>
      <c r="C1298" s="98"/>
      <c r="D1298" s="98"/>
      <c r="E1298" s="98"/>
      <c r="F1298" s="98"/>
      <c r="G1298" s="98"/>
      <c r="H1298" s="98"/>
      <c r="I1298" s="621"/>
      <c r="J1298" s="100"/>
      <c r="K1298" s="98"/>
      <c r="L1298" s="98"/>
      <c r="M1298" s="98"/>
      <c r="N1298" s="98"/>
      <c r="O1298" s="98"/>
      <c r="P1298" s="98"/>
      <c r="Q1298" s="98"/>
      <c r="R1298" s="98"/>
      <c r="S1298" s="98"/>
      <c r="T1298" s="98"/>
      <c r="U1298" s="98"/>
      <c r="V1298" s="98"/>
      <c r="W1298" s="98"/>
      <c r="X1298" s="98"/>
      <c r="Y1298" s="622"/>
      <c r="Z1298" s="98"/>
      <c r="AA1298" s="98"/>
      <c r="AB1298" s="98"/>
      <c r="AC1298" s="98"/>
      <c r="AD1298" s="98"/>
      <c r="AE1298" s="98"/>
      <c r="AF1298" s="98"/>
      <c r="AG1298" s="98"/>
      <c r="AH1298" s="98"/>
      <c r="AI1298" s="98"/>
      <c r="AJ1298" s="98"/>
      <c r="AK1298" s="98"/>
      <c r="AL1298" s="98"/>
      <c r="AM1298" s="98"/>
      <c r="AN1298" s="98"/>
      <c r="AO1298" s="98"/>
      <c r="AP1298" s="98"/>
    </row>
    <row r="1299" spans="1:42" x14ac:dyDescent="0.25">
      <c r="A1299" s="98"/>
      <c r="B1299" s="98"/>
      <c r="C1299" s="98"/>
      <c r="D1299" s="98"/>
      <c r="E1299" s="98"/>
      <c r="F1299" s="98"/>
      <c r="G1299" s="98"/>
      <c r="H1299" s="98"/>
      <c r="I1299" s="621"/>
      <c r="J1299" s="100"/>
      <c r="K1299" s="98"/>
      <c r="L1299" s="98"/>
      <c r="M1299" s="98"/>
      <c r="N1299" s="98"/>
      <c r="O1299" s="98"/>
      <c r="P1299" s="98"/>
      <c r="Q1299" s="98"/>
      <c r="R1299" s="98"/>
      <c r="S1299" s="98"/>
      <c r="T1299" s="98"/>
      <c r="U1299" s="98"/>
      <c r="V1299" s="98"/>
      <c r="W1299" s="98"/>
      <c r="X1299" s="98"/>
      <c r="Y1299" s="622"/>
      <c r="Z1299" s="98"/>
      <c r="AA1299" s="98"/>
      <c r="AB1299" s="98"/>
      <c r="AC1299" s="98"/>
      <c r="AD1299" s="98"/>
      <c r="AE1299" s="98"/>
      <c r="AF1299" s="98"/>
      <c r="AG1299" s="98"/>
      <c r="AH1299" s="98"/>
      <c r="AI1299" s="98"/>
      <c r="AJ1299" s="98"/>
      <c r="AK1299" s="98"/>
      <c r="AL1299" s="98"/>
      <c r="AM1299" s="98"/>
      <c r="AN1299" s="98"/>
      <c r="AO1299" s="98"/>
      <c r="AP1299" s="98"/>
    </row>
  </sheetData>
  <autoFilter ref="F1:F1299" xr:uid="{00000000-0009-0000-0000-000005000000}"/>
  <phoneticPr fontId="22" type="noConversion"/>
  <conditionalFormatting sqref="S374 S580 S671:S673 S785 S846 S1:S2 S116 S360 S483 S606 S682 S688 S690 S692 S700 S707:S708 S713 S717 S721 S727 S823 S848:S854 S861 S872 S889 S898:S1048576 S893 S895:S896 S118:S120 S543 S546:S547">
    <cfRule type="cellIs" dxfId="3280" priority="1354" operator="equal">
      <formula>"DSM"</formula>
    </cfRule>
  </conditionalFormatting>
  <conditionalFormatting sqref="J51:N51 R51">
    <cfRule type="expression" dxfId="3279" priority="1349">
      <formula>$T51="DSM"</formula>
    </cfRule>
    <cfRule type="expression" dxfId="3278" priority="1350">
      <formula>SEARCH("RBT",#REF!)&gt;0</formula>
    </cfRule>
    <cfRule type="expression" dxfId="3277" priority="1351">
      <formula>SEARCH("GST",#REF!)&gt;0</formula>
    </cfRule>
    <cfRule type="expression" dxfId="3276" priority="1352">
      <formula>SEARCH("CHN",$T51)&gt;0</formula>
    </cfRule>
    <cfRule type="expression" dxfId="3275" priority="1353">
      <formula>$T51="LFS"</formula>
    </cfRule>
  </conditionalFormatting>
  <conditionalFormatting sqref="S11:V12">
    <cfRule type="expression" dxfId="3274" priority="1324">
      <formula>$S11="DSM"</formula>
    </cfRule>
    <cfRule type="expression" dxfId="3273" priority="1325">
      <formula>SEARCH("GST",$S11)</formula>
    </cfRule>
    <cfRule type="expression" dxfId="3272" priority="1326">
      <formula>SEARCH("RBT",$S11)</formula>
    </cfRule>
    <cfRule type="expression" dxfId="3271" priority="1327">
      <formula>SEARCH("LFS",$S11)</formula>
    </cfRule>
    <cfRule type="expression" dxfId="3270" priority="1328">
      <formula>SEARCH("CHN",$S11)</formula>
    </cfRule>
  </conditionalFormatting>
  <conditionalFormatting sqref="S11:S12">
    <cfRule type="cellIs" dxfId="3269" priority="1323" operator="equal">
      <formula>"DSM"</formula>
    </cfRule>
  </conditionalFormatting>
  <conditionalFormatting sqref="S11:S12">
    <cfRule type="expression" dxfId="3268" priority="1319">
      <formula>SEARCH("RBT",$S11)</formula>
    </cfRule>
    <cfRule type="expression" dxfId="3267" priority="1320">
      <formula>SEARCH("GST",$S11)</formula>
    </cfRule>
    <cfRule type="expression" dxfId="3266" priority="1321">
      <formula>SEARCH("CHN",$S11)</formula>
    </cfRule>
    <cfRule type="expression" dxfId="3265" priority="1322">
      <formula>SEARCH("LFS",$S11)</formula>
    </cfRule>
  </conditionalFormatting>
  <conditionalFormatting sqref="W11:W12">
    <cfRule type="expression" dxfId="3264" priority="1314">
      <formula>$S11="DSM"</formula>
    </cfRule>
    <cfRule type="expression" dxfId="3263" priority="1315">
      <formula>SEARCH("GST",$S11)</formula>
    </cfRule>
    <cfRule type="expression" dxfId="3262" priority="1316">
      <formula>SEARCH("RBT",$S11)</formula>
    </cfRule>
    <cfRule type="expression" dxfId="3261" priority="1317">
      <formula>SEARCH("LFS",$S11)</formula>
    </cfRule>
    <cfRule type="expression" dxfId="3260" priority="1318">
      <formula>SEARCH("CHN",$S11)</formula>
    </cfRule>
  </conditionalFormatting>
  <conditionalFormatting sqref="J87:N87 J70:N70 P70:R70 J82:N84 R82:X82 C82:E84 G82:H84">
    <cfRule type="expression" dxfId="3259" priority="1309">
      <formula>$T70="DSM"</formula>
    </cfRule>
    <cfRule type="expression" dxfId="3258" priority="1310">
      <formula>SEARCH("RBT",$T41)&gt;0</formula>
    </cfRule>
    <cfRule type="expression" dxfId="3257" priority="1311">
      <formula>SEARCH("GST",$T41)&gt;0</formula>
    </cfRule>
    <cfRule type="expression" dxfId="3256" priority="1312">
      <formula>SEARCH("CHN",$T70)&gt;0</formula>
    </cfRule>
    <cfRule type="expression" dxfId="3255" priority="1313">
      <formula>$T70="LFS"</formula>
    </cfRule>
  </conditionalFormatting>
  <conditionalFormatting sqref="S190">
    <cfRule type="cellIs" dxfId="3254" priority="1305" operator="equal">
      <formula>"DSM"</formula>
    </cfRule>
  </conditionalFormatting>
  <conditionalFormatting sqref="S663:S670">
    <cfRule type="cellIs" dxfId="3253" priority="1295" operator="equal">
      <formula>"DSM"</formula>
    </cfRule>
  </conditionalFormatting>
  <conditionalFormatting sqref="S759">
    <cfRule type="cellIs" dxfId="3252" priority="1294" operator="equal">
      <formula>"DSM"</formula>
    </cfRule>
  </conditionalFormatting>
  <conditionalFormatting sqref="S797">
    <cfRule type="cellIs" dxfId="3251" priority="1290" operator="equal">
      <formula>"DSM"</formula>
    </cfRule>
  </conditionalFormatting>
  <conditionalFormatting sqref="S770:S772">
    <cfRule type="cellIs" dxfId="3250" priority="1293" operator="equal">
      <formula>"DSM"</formula>
    </cfRule>
  </conditionalFormatting>
  <conditionalFormatting sqref="S780">
    <cfRule type="cellIs" dxfId="3249" priority="1292" operator="equal">
      <formula>"DSM"</formula>
    </cfRule>
  </conditionalFormatting>
  <conditionalFormatting sqref="S783">
    <cfRule type="cellIs" dxfId="3248" priority="1291" operator="equal">
      <formula>"DSM"</formula>
    </cfRule>
  </conditionalFormatting>
  <conditionalFormatting sqref="S804">
    <cfRule type="cellIs" dxfId="3247" priority="1289" operator="equal">
      <formula>"DSM"</formula>
    </cfRule>
  </conditionalFormatting>
  <conditionalFormatting sqref="S845">
    <cfRule type="cellIs" dxfId="3246" priority="1287" operator="equal">
      <formula>"DSM"</formula>
    </cfRule>
  </conditionalFormatting>
  <conditionalFormatting sqref="S827 S837:S838">
    <cfRule type="cellIs" dxfId="3245" priority="1288" operator="equal">
      <formula>"DSM"</formula>
    </cfRule>
  </conditionalFormatting>
  <conditionalFormatting sqref="J74:N76 O74:Q77 J37:N38 J72:R73 R74:R76 C75:H76 J79:X80 C77 C79:H79 G80:H80 C80:E80 O82:Q82">
    <cfRule type="expression" dxfId="3244" priority="1355">
      <formula>$T37="DSM"</formula>
    </cfRule>
    <cfRule type="expression" dxfId="3243" priority="1356">
      <formula>SEARCH("RBT",$T9)&gt;0</formula>
    </cfRule>
    <cfRule type="expression" dxfId="3242" priority="1357">
      <formula>SEARCH("GST",$T9)&gt;0</formula>
    </cfRule>
    <cfRule type="expression" dxfId="3241" priority="1358">
      <formula>SEARCH("CHN",$T37)&gt;0</formula>
    </cfRule>
    <cfRule type="expression" dxfId="3240" priority="1359">
      <formula>$T37="LFS"</formula>
    </cfRule>
  </conditionalFormatting>
  <conditionalFormatting sqref="J112:X113 J91:N91 J111:N111">
    <cfRule type="expression" dxfId="3239" priority="1360">
      <formula>$T91="DSM"</formula>
    </cfRule>
    <cfRule type="expression" dxfId="3238" priority="1361">
      <formula>SEARCH("RBT",$T61)&gt;0</formula>
    </cfRule>
    <cfRule type="expression" dxfId="3237" priority="1362">
      <formula>SEARCH("GST",$T61)&gt;0</formula>
    </cfRule>
    <cfRule type="expression" dxfId="3236" priority="1363">
      <formula>SEARCH("CHN",$T91)&gt;0</formula>
    </cfRule>
    <cfRule type="expression" dxfId="3235" priority="1364">
      <formula>$T91="LFS"</formula>
    </cfRule>
  </conditionalFormatting>
  <conditionalFormatting sqref="J60:N61 R60:R61">
    <cfRule type="expression" dxfId="3234" priority="1365">
      <formula>$T60="DSM"</formula>
    </cfRule>
    <cfRule type="expression" dxfId="3233" priority="1366">
      <formula>SEARCH("RBT",#REF!)&gt;0</formula>
    </cfRule>
    <cfRule type="expression" dxfId="3232" priority="1367">
      <formula>SEARCH("GST",#REF!)&gt;0</formula>
    </cfRule>
    <cfRule type="expression" dxfId="3231" priority="1368">
      <formula>SEARCH("CHN",$T60)&gt;0</formula>
    </cfRule>
    <cfRule type="expression" dxfId="3230" priority="1369">
      <formula>$T60="LFS"</formula>
    </cfRule>
  </conditionalFormatting>
  <conditionalFormatting sqref="Q63 J52:N52 R52 J48:N48 R48 S46:V46">
    <cfRule type="expression" dxfId="3229" priority="1370">
      <formula>$T46="DSM"</formula>
    </cfRule>
    <cfRule type="expression" dxfId="3228" priority="1371">
      <formula>SEARCH("RBT",$T19)&gt;0</formula>
    </cfRule>
    <cfRule type="expression" dxfId="3227" priority="1372">
      <formula>SEARCH("GST",$T19)&gt;0</formula>
    </cfRule>
    <cfRule type="expression" dxfId="3226" priority="1373">
      <formula>SEARCH("CHN",$T46)&gt;0</formula>
    </cfRule>
    <cfRule type="expression" dxfId="3225" priority="1374">
      <formula>$T46="LFS"</formula>
    </cfRule>
  </conditionalFormatting>
  <conditionalFormatting sqref="J81:N81 D81:E81 J77:N77 D77:H77 R77 G81">
    <cfRule type="expression" dxfId="3224" priority="1380">
      <formula>$T77="DSM"</formula>
    </cfRule>
    <cfRule type="expression" dxfId="3223" priority="1381">
      <formula>SEARCH("RBT",#REF!)&gt;0</formula>
    </cfRule>
    <cfRule type="expression" dxfId="3222" priority="1382">
      <formula>SEARCH("GST",#REF!)&gt;0</formula>
    </cfRule>
    <cfRule type="expression" dxfId="3221" priority="1383">
      <formula>SEARCH("CHN",$T77)&gt;0</formula>
    </cfRule>
    <cfRule type="expression" dxfId="3220" priority="1384">
      <formula>$T77="LFS"</formula>
    </cfRule>
  </conditionalFormatting>
  <conditionalFormatting sqref="S95:X95">
    <cfRule type="expression" dxfId="3219" priority="1385">
      <formula>$T95="DSM"</formula>
    </cfRule>
    <cfRule type="expression" dxfId="3218" priority="1386">
      <formula>SEARCH("RBT",#REF!)&gt;0</formula>
    </cfRule>
    <cfRule type="expression" dxfId="3217" priority="1387">
      <formula>SEARCH("GST",#REF!)&gt;0</formula>
    </cfRule>
    <cfRule type="expression" dxfId="3216" priority="1388">
      <formula>SEARCH("CHN",$T95)&gt;0</formula>
    </cfRule>
    <cfRule type="expression" dxfId="3215" priority="1389">
      <formula>$T95="LFS"</formula>
    </cfRule>
  </conditionalFormatting>
  <conditionalFormatting sqref="S49:X49 S57:W57">
    <cfRule type="expression" dxfId="3214" priority="1390">
      <formula>$T49="DSM"</formula>
    </cfRule>
    <cfRule type="expression" dxfId="3213" priority="1391">
      <formula>SEARCH("RBT",$T24)&gt;0</formula>
    </cfRule>
    <cfRule type="expression" dxfId="3212" priority="1392">
      <formula>SEARCH("GST",$T24)&gt;0</formula>
    </cfRule>
    <cfRule type="expression" dxfId="3211" priority="1393">
      <formula>SEARCH("CHN",$T49)&gt;0</formula>
    </cfRule>
    <cfRule type="expression" dxfId="3210" priority="1394">
      <formula>$T49="LFS"</formula>
    </cfRule>
  </conditionalFormatting>
  <conditionalFormatting sqref="J43:R43">
    <cfRule type="expression" dxfId="3209" priority="1395">
      <formula>$T43="DSM"</formula>
    </cfRule>
    <cfRule type="expression" dxfId="3208" priority="1396">
      <formula>SEARCH("RBT",$T2)&gt;0</formula>
    </cfRule>
    <cfRule type="expression" dxfId="3207" priority="1397">
      <formula>SEARCH("GST",$T2)&gt;0</formula>
    </cfRule>
    <cfRule type="expression" dxfId="3206" priority="1398">
      <formula>SEARCH("CHN",$T43)&gt;0</formula>
    </cfRule>
    <cfRule type="expression" dxfId="3205" priority="1399">
      <formula>$T43="LFS"</formula>
    </cfRule>
  </conditionalFormatting>
  <conditionalFormatting sqref="J93:N93">
    <cfRule type="expression" dxfId="3204" priority="1282">
      <formula>$T93="DSM"</formula>
    </cfRule>
    <cfRule type="expression" dxfId="3203" priority="1283">
      <formula>SEARCH("RBT",#REF!)&gt;0</formula>
    </cfRule>
    <cfRule type="expression" dxfId="3202" priority="1284">
      <formula>SEARCH("GST",#REF!)&gt;0</formula>
    </cfRule>
    <cfRule type="expression" dxfId="3201" priority="1285">
      <formula>SEARCH("CHN",$T93)&gt;0</formula>
    </cfRule>
    <cfRule type="expression" dxfId="3200" priority="1286">
      <formula>$T93="LFS"</formula>
    </cfRule>
  </conditionalFormatting>
  <conditionalFormatting sqref="S101:X101">
    <cfRule type="expression" dxfId="3199" priority="1267">
      <formula>$T101="DSM"</formula>
    </cfRule>
    <cfRule type="expression" dxfId="3198" priority="1268">
      <formula>SEARCH("RBT",$T71)&gt;0</formula>
    </cfRule>
    <cfRule type="expression" dxfId="3197" priority="1269">
      <formula>SEARCH("GST",$T71)&gt;0</formula>
    </cfRule>
    <cfRule type="expression" dxfId="3196" priority="1270">
      <formula>SEARCH("CHN",$T101)&gt;0</formula>
    </cfRule>
    <cfRule type="expression" dxfId="3195" priority="1271">
      <formula>$T101="LFS"</formula>
    </cfRule>
  </conditionalFormatting>
  <conditionalFormatting sqref="S221">
    <cfRule type="cellIs" dxfId="3194" priority="1248" operator="equal">
      <formula>"DSM"</formula>
    </cfRule>
  </conditionalFormatting>
  <conditionalFormatting sqref="S253">
    <cfRule type="cellIs" dxfId="3193" priority="1216" operator="equal">
      <formula>"DSM"</formula>
    </cfRule>
  </conditionalFormatting>
  <conditionalFormatting sqref="S264">
    <cfRule type="cellIs" dxfId="3192" priority="1206" operator="equal">
      <formula>"DSM"</formula>
    </cfRule>
  </conditionalFormatting>
  <conditionalFormatting sqref="S269">
    <cfRule type="cellIs" dxfId="3191" priority="1203" operator="equal">
      <formula>"DSM"</formula>
    </cfRule>
  </conditionalFormatting>
  <conditionalFormatting sqref="S259">
    <cfRule type="cellIs" dxfId="3190" priority="1211" operator="equal">
      <formula>"DSM"</formula>
    </cfRule>
  </conditionalFormatting>
  <conditionalFormatting sqref="S273">
    <cfRule type="cellIs" dxfId="3189" priority="1201" operator="equal">
      <formula>"DSM"</formula>
    </cfRule>
  </conditionalFormatting>
  <conditionalFormatting sqref="S274">
    <cfRule type="cellIs" dxfId="3188" priority="1200" operator="equal">
      <formula>"DSM"</formula>
    </cfRule>
  </conditionalFormatting>
  <conditionalFormatting sqref="S275">
    <cfRule type="cellIs" dxfId="3187" priority="1199" operator="equal">
      <formula>"DSM"</formula>
    </cfRule>
  </conditionalFormatting>
  <conditionalFormatting sqref="S277">
    <cfRule type="cellIs" dxfId="3186" priority="1198" operator="equal">
      <formula>"DSM"</formula>
    </cfRule>
  </conditionalFormatting>
  <conditionalFormatting sqref="S278">
    <cfRule type="cellIs" dxfId="3185" priority="1197" operator="equal">
      <formula>"DSM"</formula>
    </cfRule>
  </conditionalFormatting>
  <conditionalFormatting sqref="S276">
    <cfRule type="cellIs" dxfId="3184" priority="1194" operator="equal">
      <formula>"DSM"</formula>
    </cfRule>
  </conditionalFormatting>
  <conditionalFormatting sqref="S285">
    <cfRule type="cellIs" dxfId="3183" priority="1185" operator="equal">
      <formula>"DSM"</formula>
    </cfRule>
  </conditionalFormatting>
  <conditionalFormatting sqref="S309">
    <cfRule type="cellIs" dxfId="3182" priority="1172" operator="equal">
      <formula>"DSM"</formula>
    </cfRule>
  </conditionalFormatting>
  <conditionalFormatting sqref="S332">
    <cfRule type="cellIs" dxfId="3181" priority="1157" operator="equal">
      <formula>"DSM"</formula>
    </cfRule>
  </conditionalFormatting>
  <conditionalFormatting sqref="S345">
    <cfRule type="cellIs" dxfId="3180" priority="1147" operator="equal">
      <formula>"DSM"</formula>
    </cfRule>
  </conditionalFormatting>
  <conditionalFormatting sqref="S346:S358">
    <cfRule type="cellIs" dxfId="3179" priority="1145" operator="equal">
      <formula>"DSM"</formula>
    </cfRule>
  </conditionalFormatting>
  <conditionalFormatting sqref="S359">
    <cfRule type="cellIs" dxfId="3178" priority="1133" operator="equal">
      <formula>"DSM"</formula>
    </cfRule>
  </conditionalFormatting>
  <conditionalFormatting sqref="S387">
    <cfRule type="cellIs" dxfId="3177" priority="1121" operator="equal">
      <formula>"DSM"</formula>
    </cfRule>
  </conditionalFormatting>
  <conditionalFormatting sqref="S386">
    <cfRule type="cellIs" dxfId="3176" priority="1122" operator="equal">
      <formula>"DSM"</formula>
    </cfRule>
  </conditionalFormatting>
  <conditionalFormatting sqref="S393">
    <cfRule type="cellIs" dxfId="3175" priority="1116" operator="equal">
      <formula>"DSM"</formula>
    </cfRule>
  </conditionalFormatting>
  <conditionalFormatting sqref="S405">
    <cfRule type="cellIs" dxfId="3174" priority="1110" operator="equal">
      <formula>"DSM"</formula>
    </cfRule>
  </conditionalFormatting>
  <conditionalFormatting sqref="S406">
    <cfRule type="cellIs" dxfId="3173" priority="1108" operator="equal">
      <formula>"DSM"</formula>
    </cfRule>
  </conditionalFormatting>
  <conditionalFormatting sqref="S418">
    <cfRule type="cellIs" dxfId="3172" priority="1093" operator="equal">
      <formula>"DSM"</formula>
    </cfRule>
  </conditionalFormatting>
  <conditionalFormatting sqref="S421">
    <cfRule type="cellIs" dxfId="3171" priority="1091" operator="equal">
      <formula>"DSM"</formula>
    </cfRule>
  </conditionalFormatting>
  <conditionalFormatting sqref="S422">
    <cfRule type="cellIs" dxfId="3170" priority="1090" operator="equal">
      <formula>"DSM"</formula>
    </cfRule>
  </conditionalFormatting>
  <conditionalFormatting sqref="S423">
    <cfRule type="cellIs" dxfId="3169" priority="1089" operator="equal">
      <formula>"DSM"</formula>
    </cfRule>
  </conditionalFormatting>
  <conditionalFormatting sqref="S425:S426">
    <cfRule type="cellIs" dxfId="3168" priority="1087" operator="equal">
      <formula>"DSM"</formula>
    </cfRule>
  </conditionalFormatting>
  <conditionalFormatting sqref="S429">
    <cfRule type="cellIs" dxfId="3167" priority="1084" operator="equal">
      <formula>"DSM"</formula>
    </cfRule>
  </conditionalFormatting>
  <conditionalFormatting sqref="S452">
    <cfRule type="cellIs" dxfId="3166" priority="1065" operator="equal">
      <formula>"DSM"</formula>
    </cfRule>
  </conditionalFormatting>
  <conditionalFormatting sqref="S455">
    <cfRule type="cellIs" dxfId="3165" priority="1062" operator="equal">
      <formula>"DSM"</formula>
    </cfRule>
  </conditionalFormatting>
  <conditionalFormatting sqref="S460">
    <cfRule type="cellIs" dxfId="3164" priority="1059" operator="equal">
      <formula>"DSM"</formula>
    </cfRule>
  </conditionalFormatting>
  <conditionalFormatting sqref="S515">
    <cfRule type="cellIs" dxfId="3163" priority="1026" operator="equal">
      <formula>"DSM"</formula>
    </cfRule>
  </conditionalFormatting>
  <conditionalFormatting sqref="S524 S528">
    <cfRule type="cellIs" dxfId="3162" priority="1022" operator="equal">
      <formula>"DSM"</formula>
    </cfRule>
  </conditionalFormatting>
  <conditionalFormatting sqref="S581">
    <cfRule type="cellIs" dxfId="3161" priority="1008" operator="equal">
      <formula>"DSM"</formula>
    </cfRule>
  </conditionalFormatting>
  <conditionalFormatting sqref="S582:S583">
    <cfRule type="cellIs" dxfId="3160" priority="1007" operator="equal">
      <formula>"DSM"</formula>
    </cfRule>
  </conditionalFormatting>
  <conditionalFormatting sqref="S585">
    <cfRule type="cellIs" dxfId="3159" priority="1005" operator="equal">
      <formula>"DSM"</formula>
    </cfRule>
  </conditionalFormatting>
  <conditionalFormatting sqref="S631">
    <cfRule type="cellIs" dxfId="3158" priority="998" operator="equal">
      <formula>"DSM"</formula>
    </cfRule>
  </conditionalFormatting>
  <conditionalFormatting sqref="S626">
    <cfRule type="cellIs" dxfId="3157" priority="997" operator="equal">
      <formula>"DSM"</formula>
    </cfRule>
  </conditionalFormatting>
  <conditionalFormatting sqref="S640">
    <cfRule type="cellIs" dxfId="3156" priority="985" operator="equal">
      <formula>"DSM"</formula>
    </cfRule>
  </conditionalFormatting>
  <conditionalFormatting sqref="S646">
    <cfRule type="cellIs" dxfId="3155" priority="980" operator="equal">
      <formula>"DSM"</formula>
    </cfRule>
  </conditionalFormatting>
  <conditionalFormatting sqref="S650:S652">
    <cfRule type="cellIs" dxfId="3154" priority="975" operator="equal">
      <formula>"DSM"</formula>
    </cfRule>
  </conditionalFormatting>
  <conditionalFormatting sqref="S653:S655">
    <cfRule type="cellIs" dxfId="3153" priority="973" operator="equal">
      <formula>"DSM"</formula>
    </cfRule>
  </conditionalFormatting>
  <conditionalFormatting sqref="S662">
    <cfRule type="cellIs" dxfId="3152" priority="964" operator="equal">
      <formula>"DSM"</formula>
    </cfRule>
  </conditionalFormatting>
  <conditionalFormatting sqref="S674">
    <cfRule type="cellIs" dxfId="3151" priority="963" operator="equal">
      <formula>"DSM"</formula>
    </cfRule>
  </conditionalFormatting>
  <conditionalFormatting sqref="S675">
    <cfRule type="cellIs" dxfId="3150" priority="962" operator="equal">
      <formula>"DSM"</formula>
    </cfRule>
  </conditionalFormatting>
  <conditionalFormatting sqref="S676">
    <cfRule type="cellIs" dxfId="3149" priority="961" operator="equal">
      <formula>"DSM"</formula>
    </cfRule>
  </conditionalFormatting>
  <conditionalFormatting sqref="S677">
    <cfRule type="cellIs" dxfId="3148" priority="960" operator="equal">
      <formula>"DSM"</formula>
    </cfRule>
  </conditionalFormatting>
  <conditionalFormatting sqref="S678">
    <cfRule type="cellIs" dxfId="3147" priority="959" operator="equal">
      <formula>"DSM"</formula>
    </cfRule>
  </conditionalFormatting>
  <conditionalFormatting sqref="S679">
    <cfRule type="cellIs" dxfId="3146" priority="958" operator="equal">
      <formula>"DSM"</formula>
    </cfRule>
  </conditionalFormatting>
  <conditionalFormatting sqref="S680">
    <cfRule type="cellIs" dxfId="3145" priority="957" operator="equal">
      <formula>"DSM"</formula>
    </cfRule>
  </conditionalFormatting>
  <conditionalFormatting sqref="S681">
    <cfRule type="cellIs" dxfId="3144" priority="956" operator="equal">
      <formula>"DSM"</formula>
    </cfRule>
  </conditionalFormatting>
  <conditionalFormatting sqref="S683">
    <cfRule type="cellIs" dxfId="3143" priority="955" operator="equal">
      <formula>"DSM"</formula>
    </cfRule>
  </conditionalFormatting>
  <conditionalFormatting sqref="S684">
    <cfRule type="cellIs" dxfId="3142" priority="954" operator="equal">
      <formula>"DSM"</formula>
    </cfRule>
  </conditionalFormatting>
  <conditionalFormatting sqref="S685">
    <cfRule type="cellIs" dxfId="3141" priority="953" operator="equal">
      <formula>"DSM"</formula>
    </cfRule>
  </conditionalFormatting>
  <conditionalFormatting sqref="S686">
    <cfRule type="cellIs" dxfId="3140" priority="952" operator="equal">
      <formula>"DSM"</formula>
    </cfRule>
  </conditionalFormatting>
  <conditionalFormatting sqref="S687">
    <cfRule type="cellIs" dxfId="3139" priority="951" operator="equal">
      <formula>"DSM"</formula>
    </cfRule>
  </conditionalFormatting>
  <conditionalFormatting sqref="S689">
    <cfRule type="cellIs" dxfId="3138" priority="950" operator="equal">
      <formula>"DSM"</formula>
    </cfRule>
  </conditionalFormatting>
  <conditionalFormatting sqref="S691">
    <cfRule type="cellIs" dxfId="3137" priority="949" operator="equal">
      <formula>"DSM"</formula>
    </cfRule>
  </conditionalFormatting>
  <conditionalFormatting sqref="S693">
    <cfRule type="cellIs" dxfId="3136" priority="948" operator="equal">
      <formula>"DSM"</formula>
    </cfRule>
  </conditionalFormatting>
  <conditionalFormatting sqref="S694">
    <cfRule type="cellIs" dxfId="3135" priority="947" operator="equal">
      <formula>"DSM"</formula>
    </cfRule>
  </conditionalFormatting>
  <conditionalFormatting sqref="S696">
    <cfRule type="cellIs" dxfId="3134" priority="946" operator="equal">
      <formula>"DSM"</formula>
    </cfRule>
  </conditionalFormatting>
  <conditionalFormatting sqref="S697">
    <cfRule type="cellIs" dxfId="3133" priority="945" operator="equal">
      <formula>"DSM"</formula>
    </cfRule>
  </conditionalFormatting>
  <conditionalFormatting sqref="S698">
    <cfRule type="cellIs" dxfId="3132" priority="944" operator="equal">
      <formula>"DSM"</formula>
    </cfRule>
  </conditionalFormatting>
  <conditionalFormatting sqref="S695">
    <cfRule type="cellIs" dxfId="3131" priority="943" operator="equal">
      <formula>"DSM"</formula>
    </cfRule>
  </conditionalFormatting>
  <conditionalFormatting sqref="S699">
    <cfRule type="cellIs" dxfId="3130" priority="942" operator="equal">
      <formula>"DSM"</formula>
    </cfRule>
  </conditionalFormatting>
  <conditionalFormatting sqref="S701">
    <cfRule type="cellIs" dxfId="3129" priority="941" operator="equal">
      <formula>"DSM"</formula>
    </cfRule>
  </conditionalFormatting>
  <conditionalFormatting sqref="S702">
    <cfRule type="cellIs" dxfId="3128" priority="940" operator="equal">
      <formula>"DSM"</formula>
    </cfRule>
  </conditionalFormatting>
  <conditionalFormatting sqref="S703">
    <cfRule type="cellIs" dxfId="3127" priority="939" operator="equal">
      <formula>"DSM"</formula>
    </cfRule>
  </conditionalFormatting>
  <conditionalFormatting sqref="S704">
    <cfRule type="cellIs" dxfId="3126" priority="938" operator="equal">
      <formula>"DSM"</formula>
    </cfRule>
  </conditionalFormatting>
  <conditionalFormatting sqref="S705">
    <cfRule type="cellIs" dxfId="3125" priority="937" operator="equal">
      <formula>"DSM"</formula>
    </cfRule>
  </conditionalFormatting>
  <conditionalFormatting sqref="S706">
    <cfRule type="cellIs" dxfId="3124" priority="936" operator="equal">
      <formula>"DSM"</formula>
    </cfRule>
  </conditionalFormatting>
  <conditionalFormatting sqref="S709">
    <cfRule type="cellIs" dxfId="3123" priority="935" operator="equal">
      <formula>"DSM"</formula>
    </cfRule>
  </conditionalFormatting>
  <conditionalFormatting sqref="S710">
    <cfRule type="cellIs" dxfId="3122" priority="934" operator="equal">
      <formula>"DSM"</formula>
    </cfRule>
  </conditionalFormatting>
  <conditionalFormatting sqref="S711">
    <cfRule type="cellIs" dxfId="3121" priority="933" operator="equal">
      <formula>"DSM"</formula>
    </cfRule>
  </conditionalFormatting>
  <conditionalFormatting sqref="S714">
    <cfRule type="cellIs" dxfId="3120" priority="932" operator="equal">
      <formula>"DSM"</formula>
    </cfRule>
  </conditionalFormatting>
  <conditionalFormatting sqref="S712">
    <cfRule type="cellIs" dxfId="3119" priority="931" operator="equal">
      <formula>"DSM"</formula>
    </cfRule>
  </conditionalFormatting>
  <conditionalFormatting sqref="S715">
    <cfRule type="cellIs" dxfId="3118" priority="930" operator="equal">
      <formula>"DSM"</formula>
    </cfRule>
  </conditionalFormatting>
  <conditionalFormatting sqref="S716">
    <cfRule type="cellIs" dxfId="3117" priority="929" operator="equal">
      <formula>"DSM"</formula>
    </cfRule>
  </conditionalFormatting>
  <conditionalFormatting sqref="S718">
    <cfRule type="cellIs" dxfId="3116" priority="928" operator="equal">
      <formula>"DSM"</formula>
    </cfRule>
  </conditionalFormatting>
  <conditionalFormatting sqref="S719">
    <cfRule type="cellIs" dxfId="3115" priority="927" operator="equal">
      <formula>"DSM"</formula>
    </cfRule>
  </conditionalFormatting>
  <conditionalFormatting sqref="S720">
    <cfRule type="cellIs" dxfId="3114" priority="926" operator="equal">
      <formula>"DSM"</formula>
    </cfRule>
  </conditionalFormatting>
  <conditionalFormatting sqref="S722">
    <cfRule type="cellIs" dxfId="3113" priority="925" operator="equal">
      <formula>"DSM"</formula>
    </cfRule>
  </conditionalFormatting>
  <conditionalFormatting sqref="S723">
    <cfRule type="cellIs" dxfId="3112" priority="924" operator="equal">
      <formula>"DSM"</formula>
    </cfRule>
  </conditionalFormatting>
  <conditionalFormatting sqref="S724">
    <cfRule type="cellIs" dxfId="3111" priority="923" operator="equal">
      <formula>"DSM"</formula>
    </cfRule>
  </conditionalFormatting>
  <conditionalFormatting sqref="S725">
    <cfRule type="cellIs" dxfId="3110" priority="922" operator="equal">
      <formula>"DSM"</formula>
    </cfRule>
  </conditionalFormatting>
  <conditionalFormatting sqref="S726">
    <cfRule type="cellIs" dxfId="3109" priority="921" operator="equal">
      <formula>"DSM"</formula>
    </cfRule>
  </conditionalFormatting>
  <conditionalFormatting sqref="S728">
    <cfRule type="cellIs" dxfId="3108" priority="920" operator="equal">
      <formula>"DSM"</formula>
    </cfRule>
  </conditionalFormatting>
  <conditionalFormatting sqref="S729">
    <cfRule type="cellIs" dxfId="3107" priority="919" operator="equal">
      <formula>"DSM"</formula>
    </cfRule>
  </conditionalFormatting>
  <conditionalFormatting sqref="S730">
    <cfRule type="cellIs" dxfId="3106" priority="918" operator="equal">
      <formula>"DSM"</formula>
    </cfRule>
  </conditionalFormatting>
  <conditionalFormatting sqref="S731">
    <cfRule type="cellIs" dxfId="3105" priority="917" operator="equal">
      <formula>"DSM"</formula>
    </cfRule>
  </conditionalFormatting>
  <conditionalFormatting sqref="S732">
    <cfRule type="cellIs" dxfId="3104" priority="916" operator="equal">
      <formula>"DSM"</formula>
    </cfRule>
  </conditionalFormatting>
  <conditionalFormatting sqref="S733">
    <cfRule type="cellIs" dxfId="3103" priority="915" operator="equal">
      <formula>"DSM"</formula>
    </cfRule>
  </conditionalFormatting>
  <conditionalFormatting sqref="S734">
    <cfRule type="cellIs" dxfId="3102" priority="914" operator="equal">
      <formula>"DSM"</formula>
    </cfRule>
  </conditionalFormatting>
  <conditionalFormatting sqref="S735">
    <cfRule type="cellIs" dxfId="3101" priority="913" operator="equal">
      <formula>"DSM"</formula>
    </cfRule>
  </conditionalFormatting>
  <conditionalFormatting sqref="S736">
    <cfRule type="cellIs" dxfId="3100" priority="912" operator="equal">
      <formula>"DSM"</formula>
    </cfRule>
  </conditionalFormatting>
  <conditionalFormatting sqref="S737">
    <cfRule type="cellIs" dxfId="3099" priority="911" operator="equal">
      <formula>"DSM"</formula>
    </cfRule>
  </conditionalFormatting>
  <conditionalFormatting sqref="S738">
    <cfRule type="cellIs" dxfId="3098" priority="910" operator="equal">
      <formula>"DSM"</formula>
    </cfRule>
  </conditionalFormatting>
  <conditionalFormatting sqref="S739">
    <cfRule type="cellIs" dxfId="3097" priority="909" operator="equal">
      <formula>"DSM"</formula>
    </cfRule>
  </conditionalFormatting>
  <conditionalFormatting sqref="S740">
    <cfRule type="cellIs" dxfId="3096" priority="908" operator="equal">
      <formula>"DSM"</formula>
    </cfRule>
  </conditionalFormatting>
  <conditionalFormatting sqref="S742">
    <cfRule type="cellIs" dxfId="3095" priority="907" operator="equal">
      <formula>"DSM"</formula>
    </cfRule>
  </conditionalFormatting>
  <conditionalFormatting sqref="S743">
    <cfRule type="cellIs" dxfId="3094" priority="906" operator="equal">
      <formula>"DSM"</formula>
    </cfRule>
  </conditionalFormatting>
  <conditionalFormatting sqref="S745">
    <cfRule type="cellIs" dxfId="3093" priority="905" operator="equal">
      <formula>"DSM"</formula>
    </cfRule>
  </conditionalFormatting>
  <conditionalFormatting sqref="S741">
    <cfRule type="cellIs" dxfId="3092" priority="904" operator="equal">
      <formula>"DSM"</formula>
    </cfRule>
  </conditionalFormatting>
  <conditionalFormatting sqref="S744">
    <cfRule type="cellIs" dxfId="3091" priority="903" operator="equal">
      <formula>"DSM"</formula>
    </cfRule>
  </conditionalFormatting>
  <conditionalFormatting sqref="S746">
    <cfRule type="cellIs" dxfId="3090" priority="902" operator="equal">
      <formula>"DSM"</formula>
    </cfRule>
  </conditionalFormatting>
  <conditionalFormatting sqref="S747:S750">
    <cfRule type="cellIs" dxfId="3089" priority="901" operator="equal">
      <formula>"DSM"</formula>
    </cfRule>
  </conditionalFormatting>
  <conditionalFormatting sqref="S751:S752">
    <cfRule type="cellIs" dxfId="3088" priority="900" operator="equal">
      <formula>"DSM"</formula>
    </cfRule>
  </conditionalFormatting>
  <conditionalFormatting sqref="S753:S757">
    <cfRule type="cellIs" dxfId="3087" priority="899" operator="equal">
      <formula>"DSM"</formula>
    </cfRule>
  </conditionalFormatting>
  <conditionalFormatting sqref="S758">
    <cfRule type="cellIs" dxfId="3086" priority="898" operator="equal">
      <formula>"DSM"</formula>
    </cfRule>
  </conditionalFormatting>
  <conditionalFormatting sqref="S762">
    <cfRule type="cellIs" dxfId="3085" priority="897" operator="equal">
      <formula>"DSM"</formula>
    </cfRule>
  </conditionalFormatting>
  <conditionalFormatting sqref="S763">
    <cfRule type="cellIs" dxfId="3084" priority="896" operator="equal">
      <formula>"DSM"</formula>
    </cfRule>
  </conditionalFormatting>
  <conditionalFormatting sqref="S764">
    <cfRule type="cellIs" dxfId="3083" priority="895" operator="equal">
      <formula>"DSM"</formula>
    </cfRule>
  </conditionalFormatting>
  <conditionalFormatting sqref="S766">
    <cfRule type="cellIs" dxfId="3082" priority="894" operator="equal">
      <formula>"DSM"</formula>
    </cfRule>
  </conditionalFormatting>
  <conditionalFormatting sqref="S765">
    <cfRule type="cellIs" dxfId="3081" priority="893" operator="equal">
      <formula>"DSM"</formula>
    </cfRule>
  </conditionalFormatting>
  <conditionalFormatting sqref="S760">
    <cfRule type="cellIs" dxfId="3080" priority="892" operator="equal">
      <formula>"DSM"</formula>
    </cfRule>
  </conditionalFormatting>
  <conditionalFormatting sqref="S767">
    <cfRule type="cellIs" dxfId="3079" priority="891" operator="equal">
      <formula>"DSM"</formula>
    </cfRule>
  </conditionalFormatting>
  <conditionalFormatting sqref="S768">
    <cfRule type="cellIs" dxfId="3078" priority="890" operator="equal">
      <formula>"DSM"</formula>
    </cfRule>
  </conditionalFormatting>
  <conditionalFormatting sqref="S761">
    <cfRule type="cellIs" dxfId="3077" priority="889" operator="equal">
      <formula>"DSM"</formula>
    </cfRule>
  </conditionalFormatting>
  <conditionalFormatting sqref="S769">
    <cfRule type="cellIs" dxfId="3076" priority="888" operator="equal">
      <formula>"DSM"</formula>
    </cfRule>
  </conditionalFormatting>
  <conditionalFormatting sqref="S773">
    <cfRule type="cellIs" dxfId="3075" priority="887" operator="equal">
      <formula>"DSM"</formula>
    </cfRule>
  </conditionalFormatting>
  <conditionalFormatting sqref="S774">
    <cfRule type="cellIs" dxfId="3074" priority="886" operator="equal">
      <formula>"DSM"</formula>
    </cfRule>
  </conditionalFormatting>
  <conditionalFormatting sqref="S778">
    <cfRule type="cellIs" dxfId="3073" priority="885" operator="equal">
      <formula>"DSM"</formula>
    </cfRule>
  </conditionalFormatting>
  <conditionalFormatting sqref="S776">
    <cfRule type="cellIs" dxfId="3072" priority="884" operator="equal">
      <formula>"DSM"</formula>
    </cfRule>
  </conditionalFormatting>
  <conditionalFormatting sqref="S777">
    <cfRule type="cellIs" dxfId="3071" priority="883" operator="equal">
      <formula>"DSM"</formula>
    </cfRule>
  </conditionalFormatting>
  <conditionalFormatting sqref="S775">
    <cfRule type="cellIs" dxfId="3070" priority="882" operator="equal">
      <formula>"DSM"</formula>
    </cfRule>
  </conditionalFormatting>
  <conditionalFormatting sqref="S779">
    <cfRule type="cellIs" dxfId="3069" priority="881" operator="equal">
      <formula>"DSM"</formula>
    </cfRule>
  </conditionalFormatting>
  <conditionalFormatting sqref="S781">
    <cfRule type="cellIs" dxfId="3068" priority="880" operator="equal">
      <formula>"DSM"</formula>
    </cfRule>
  </conditionalFormatting>
  <conditionalFormatting sqref="S782">
    <cfRule type="cellIs" dxfId="3067" priority="879" operator="equal">
      <formula>"DSM"</formula>
    </cfRule>
  </conditionalFormatting>
  <conditionalFormatting sqref="S784">
    <cfRule type="cellIs" dxfId="3066" priority="878" operator="equal">
      <formula>"DSM"</formula>
    </cfRule>
  </conditionalFormatting>
  <conditionalFormatting sqref="S786">
    <cfRule type="cellIs" dxfId="3065" priority="877" operator="equal">
      <formula>"DSM"</formula>
    </cfRule>
  </conditionalFormatting>
  <conditionalFormatting sqref="S787">
    <cfRule type="cellIs" dxfId="3064" priority="876" operator="equal">
      <formula>"DSM"</formula>
    </cfRule>
  </conditionalFormatting>
  <conditionalFormatting sqref="S788">
    <cfRule type="cellIs" dxfId="3063" priority="875" operator="equal">
      <formula>"DSM"</formula>
    </cfRule>
  </conditionalFormatting>
  <conditionalFormatting sqref="S789">
    <cfRule type="cellIs" dxfId="3062" priority="874" operator="equal">
      <formula>"DSM"</formula>
    </cfRule>
  </conditionalFormatting>
  <conditionalFormatting sqref="S790">
    <cfRule type="cellIs" dxfId="3061" priority="873" operator="equal">
      <formula>"DSM"</formula>
    </cfRule>
  </conditionalFormatting>
  <conditionalFormatting sqref="S792">
    <cfRule type="cellIs" dxfId="3060" priority="872" operator="equal">
      <formula>"DSM"</formula>
    </cfRule>
  </conditionalFormatting>
  <conditionalFormatting sqref="S793">
    <cfRule type="cellIs" dxfId="3059" priority="871" operator="equal">
      <formula>"DSM"</formula>
    </cfRule>
  </conditionalFormatting>
  <conditionalFormatting sqref="S791">
    <cfRule type="cellIs" dxfId="3058" priority="870" operator="equal">
      <formula>"DSM"</formula>
    </cfRule>
  </conditionalFormatting>
  <conditionalFormatting sqref="S795">
    <cfRule type="cellIs" dxfId="3057" priority="869" operator="equal">
      <formula>"DSM"</formula>
    </cfRule>
  </conditionalFormatting>
  <conditionalFormatting sqref="S796">
    <cfRule type="cellIs" dxfId="3056" priority="868" operator="equal">
      <formula>"DSM"</formula>
    </cfRule>
  </conditionalFormatting>
  <conditionalFormatting sqref="S794">
    <cfRule type="cellIs" dxfId="3055" priority="867" operator="equal">
      <formula>"DSM"</formula>
    </cfRule>
  </conditionalFormatting>
  <conditionalFormatting sqref="S798">
    <cfRule type="cellIs" dxfId="3054" priority="866" operator="equal">
      <formula>"DSM"</formula>
    </cfRule>
  </conditionalFormatting>
  <conditionalFormatting sqref="S799">
    <cfRule type="cellIs" dxfId="3053" priority="865" operator="equal">
      <formula>"DSM"</formula>
    </cfRule>
  </conditionalFormatting>
  <conditionalFormatting sqref="S800">
    <cfRule type="cellIs" dxfId="3052" priority="864" operator="equal">
      <formula>"DSM"</formula>
    </cfRule>
  </conditionalFormatting>
  <conditionalFormatting sqref="S801">
    <cfRule type="cellIs" dxfId="3051" priority="863" operator="equal">
      <formula>"DSM"</formula>
    </cfRule>
  </conditionalFormatting>
  <conditionalFormatting sqref="S802">
    <cfRule type="cellIs" dxfId="3050" priority="862" operator="equal">
      <formula>"DSM"</formula>
    </cfRule>
  </conditionalFormatting>
  <conditionalFormatting sqref="S803">
    <cfRule type="cellIs" dxfId="3049" priority="861" operator="equal">
      <formula>"DSM"</formula>
    </cfRule>
  </conditionalFormatting>
  <conditionalFormatting sqref="S805:S806">
    <cfRule type="cellIs" dxfId="3048" priority="860" operator="equal">
      <formula>"DSM"</formula>
    </cfRule>
  </conditionalFormatting>
  <conditionalFormatting sqref="S807">
    <cfRule type="cellIs" dxfId="3047" priority="859" operator="equal">
      <formula>"DSM"</formula>
    </cfRule>
  </conditionalFormatting>
  <conditionalFormatting sqref="S808">
    <cfRule type="cellIs" dxfId="3046" priority="858" operator="equal">
      <formula>"DSM"</formula>
    </cfRule>
  </conditionalFormatting>
  <conditionalFormatting sqref="S809">
    <cfRule type="cellIs" dxfId="3045" priority="857" operator="equal">
      <formula>"DSM"</formula>
    </cfRule>
  </conditionalFormatting>
  <conditionalFormatting sqref="S810">
    <cfRule type="cellIs" dxfId="3044" priority="856" operator="equal">
      <formula>"DSM"</formula>
    </cfRule>
  </conditionalFormatting>
  <conditionalFormatting sqref="S811">
    <cfRule type="cellIs" dxfId="3043" priority="855" operator="equal">
      <formula>"DSM"</formula>
    </cfRule>
  </conditionalFormatting>
  <conditionalFormatting sqref="S812">
    <cfRule type="cellIs" dxfId="3042" priority="854" operator="equal">
      <formula>"DSM"</formula>
    </cfRule>
  </conditionalFormatting>
  <conditionalFormatting sqref="S813">
    <cfRule type="cellIs" dxfId="3041" priority="853" operator="equal">
      <formula>"DSM"</formula>
    </cfRule>
  </conditionalFormatting>
  <conditionalFormatting sqref="S814">
    <cfRule type="cellIs" dxfId="3040" priority="852" operator="equal">
      <formula>"DSM"</formula>
    </cfRule>
  </conditionalFormatting>
  <conditionalFormatting sqref="S815">
    <cfRule type="cellIs" dxfId="3039" priority="851" operator="equal">
      <formula>"DSM"</formula>
    </cfRule>
  </conditionalFormatting>
  <conditionalFormatting sqref="S816">
    <cfRule type="cellIs" dxfId="3038" priority="850" operator="equal">
      <formula>"DSM"</formula>
    </cfRule>
  </conditionalFormatting>
  <conditionalFormatting sqref="S817">
    <cfRule type="cellIs" dxfId="3037" priority="849" operator="equal">
      <formula>"DSM"</formula>
    </cfRule>
  </conditionalFormatting>
  <conditionalFormatting sqref="S818">
    <cfRule type="cellIs" dxfId="3036" priority="848" operator="equal">
      <formula>"DSM"</formula>
    </cfRule>
  </conditionalFormatting>
  <conditionalFormatting sqref="S819">
    <cfRule type="cellIs" dxfId="3035" priority="847" operator="equal">
      <formula>"DSM"</formula>
    </cfRule>
  </conditionalFormatting>
  <conditionalFormatting sqref="S820">
    <cfRule type="cellIs" dxfId="3034" priority="846" operator="equal">
      <formula>"DSM"</formula>
    </cfRule>
  </conditionalFormatting>
  <conditionalFormatting sqref="S821">
    <cfRule type="cellIs" dxfId="3033" priority="845" operator="equal">
      <formula>"DSM"</formula>
    </cfRule>
  </conditionalFormatting>
  <conditionalFormatting sqref="S822">
    <cfRule type="cellIs" dxfId="3032" priority="844" operator="equal">
      <formula>"DSM"</formula>
    </cfRule>
  </conditionalFormatting>
  <conditionalFormatting sqref="S824">
    <cfRule type="cellIs" dxfId="3031" priority="843" operator="equal">
      <formula>"DSM"</formula>
    </cfRule>
  </conditionalFormatting>
  <conditionalFormatting sqref="S825">
    <cfRule type="cellIs" dxfId="3030" priority="842" operator="equal">
      <formula>"DSM"</formula>
    </cfRule>
  </conditionalFormatting>
  <conditionalFormatting sqref="S826">
    <cfRule type="cellIs" dxfId="3029" priority="841" operator="equal">
      <formula>"DSM"</formula>
    </cfRule>
  </conditionalFormatting>
  <conditionalFormatting sqref="S828">
    <cfRule type="cellIs" dxfId="3028" priority="840" operator="equal">
      <formula>"DSM"</formula>
    </cfRule>
  </conditionalFormatting>
  <conditionalFormatting sqref="S829">
    <cfRule type="cellIs" dxfId="3027" priority="839" operator="equal">
      <formula>"DSM"</formula>
    </cfRule>
  </conditionalFormatting>
  <conditionalFormatting sqref="S831">
    <cfRule type="cellIs" dxfId="3026" priority="838" operator="equal">
      <formula>"DSM"</formula>
    </cfRule>
  </conditionalFormatting>
  <conditionalFormatting sqref="S833">
    <cfRule type="cellIs" dxfId="3025" priority="837" operator="equal">
      <formula>"DSM"</formula>
    </cfRule>
  </conditionalFormatting>
  <conditionalFormatting sqref="S834">
    <cfRule type="cellIs" dxfId="3024" priority="836" operator="equal">
      <formula>"DSM"</formula>
    </cfRule>
  </conditionalFormatting>
  <conditionalFormatting sqref="S835">
    <cfRule type="cellIs" dxfId="3023" priority="835" operator="equal">
      <formula>"DSM"</formula>
    </cfRule>
  </conditionalFormatting>
  <conditionalFormatting sqref="S830">
    <cfRule type="cellIs" dxfId="3022" priority="834" operator="equal">
      <formula>"DSM"</formula>
    </cfRule>
  </conditionalFormatting>
  <conditionalFormatting sqref="S832">
    <cfRule type="cellIs" dxfId="3021" priority="833" operator="equal">
      <formula>"DSM"</formula>
    </cfRule>
  </conditionalFormatting>
  <conditionalFormatting sqref="S836">
    <cfRule type="cellIs" dxfId="3020" priority="832" operator="equal">
      <formula>"DSM"</formula>
    </cfRule>
  </conditionalFormatting>
  <conditionalFormatting sqref="S839">
    <cfRule type="cellIs" dxfId="3019" priority="831" operator="equal">
      <formula>"DSM"</formula>
    </cfRule>
  </conditionalFormatting>
  <conditionalFormatting sqref="S840">
    <cfRule type="cellIs" dxfId="3018" priority="830" operator="equal">
      <formula>"DSM"</formula>
    </cfRule>
  </conditionalFormatting>
  <conditionalFormatting sqref="S841">
    <cfRule type="cellIs" dxfId="3017" priority="829" operator="equal">
      <formula>"DSM"</formula>
    </cfRule>
  </conditionalFormatting>
  <conditionalFormatting sqref="S842">
    <cfRule type="cellIs" dxfId="3016" priority="828" operator="equal">
      <formula>"DSM"</formula>
    </cfRule>
  </conditionalFormatting>
  <conditionalFormatting sqref="S843">
    <cfRule type="cellIs" dxfId="3015" priority="827" operator="equal">
      <formula>"DSM"</formula>
    </cfRule>
  </conditionalFormatting>
  <conditionalFormatting sqref="S844">
    <cfRule type="cellIs" dxfId="3014" priority="826" operator="equal">
      <formula>"DSM"</formula>
    </cfRule>
  </conditionalFormatting>
  <conditionalFormatting sqref="S847">
    <cfRule type="cellIs" dxfId="3013" priority="825" operator="equal">
      <formula>"DSM"</formula>
    </cfRule>
  </conditionalFormatting>
  <conditionalFormatting sqref="S855">
    <cfRule type="cellIs" dxfId="3012" priority="824" operator="equal">
      <formula>"DSM"</formula>
    </cfRule>
  </conditionalFormatting>
  <conditionalFormatting sqref="S856">
    <cfRule type="cellIs" dxfId="3011" priority="823" operator="equal">
      <formula>"DSM"</formula>
    </cfRule>
  </conditionalFormatting>
  <conditionalFormatting sqref="S857">
    <cfRule type="cellIs" dxfId="3010" priority="822" operator="equal">
      <formula>"DSM"</formula>
    </cfRule>
  </conditionalFormatting>
  <conditionalFormatting sqref="S858">
    <cfRule type="cellIs" dxfId="3009" priority="821" operator="equal">
      <formula>"DSM"</formula>
    </cfRule>
  </conditionalFormatting>
  <conditionalFormatting sqref="S859">
    <cfRule type="cellIs" dxfId="3008" priority="820" operator="equal">
      <formula>"DSM"</formula>
    </cfRule>
  </conditionalFormatting>
  <conditionalFormatting sqref="S860">
    <cfRule type="cellIs" dxfId="3007" priority="819" operator="equal">
      <formula>"DSM"</formula>
    </cfRule>
  </conditionalFormatting>
  <conditionalFormatting sqref="S862">
    <cfRule type="cellIs" dxfId="3006" priority="818" operator="equal">
      <formula>"DSM"</formula>
    </cfRule>
  </conditionalFormatting>
  <conditionalFormatting sqref="S863">
    <cfRule type="cellIs" dxfId="3005" priority="817" operator="equal">
      <formula>"DSM"</formula>
    </cfRule>
  </conditionalFormatting>
  <conditionalFormatting sqref="S864">
    <cfRule type="cellIs" dxfId="3004" priority="816" operator="equal">
      <formula>"DSM"</formula>
    </cfRule>
  </conditionalFormatting>
  <conditionalFormatting sqref="S865">
    <cfRule type="cellIs" dxfId="3003" priority="815" operator="equal">
      <formula>"DSM"</formula>
    </cfRule>
  </conditionalFormatting>
  <conditionalFormatting sqref="S866">
    <cfRule type="cellIs" dxfId="3002" priority="814" operator="equal">
      <formula>"DSM"</formula>
    </cfRule>
  </conditionalFormatting>
  <conditionalFormatting sqref="S867">
    <cfRule type="cellIs" dxfId="3001" priority="813" operator="equal">
      <formula>"DSM"</formula>
    </cfRule>
  </conditionalFormatting>
  <conditionalFormatting sqref="S868">
    <cfRule type="cellIs" dxfId="3000" priority="812" operator="equal">
      <formula>"DSM"</formula>
    </cfRule>
  </conditionalFormatting>
  <conditionalFormatting sqref="S869">
    <cfRule type="cellIs" dxfId="2999" priority="811" operator="equal">
      <formula>"DSM"</formula>
    </cfRule>
  </conditionalFormatting>
  <conditionalFormatting sqref="S870">
    <cfRule type="cellIs" dxfId="2998" priority="810" operator="equal">
      <formula>"DSM"</formula>
    </cfRule>
  </conditionalFormatting>
  <conditionalFormatting sqref="S873">
    <cfRule type="cellIs" dxfId="2997" priority="809" operator="equal">
      <formula>"DSM"</formula>
    </cfRule>
  </conditionalFormatting>
  <conditionalFormatting sqref="S874">
    <cfRule type="cellIs" dxfId="2996" priority="808" operator="equal">
      <formula>"DSM"</formula>
    </cfRule>
  </conditionalFormatting>
  <conditionalFormatting sqref="S875">
    <cfRule type="cellIs" dxfId="2995" priority="807" operator="equal">
      <formula>"DSM"</formula>
    </cfRule>
  </conditionalFormatting>
  <conditionalFormatting sqref="S871">
    <cfRule type="cellIs" dxfId="2994" priority="806" operator="equal">
      <formula>"DSM"</formula>
    </cfRule>
  </conditionalFormatting>
  <conditionalFormatting sqref="S876">
    <cfRule type="cellIs" dxfId="2993" priority="805" operator="equal">
      <formula>"DSM"</formula>
    </cfRule>
  </conditionalFormatting>
  <conditionalFormatting sqref="S877">
    <cfRule type="cellIs" dxfId="2992" priority="804" operator="equal">
      <formula>"DSM"</formula>
    </cfRule>
  </conditionalFormatting>
  <conditionalFormatting sqref="S878">
    <cfRule type="cellIs" dxfId="2991" priority="803" operator="equal">
      <formula>"DSM"</formula>
    </cfRule>
  </conditionalFormatting>
  <conditionalFormatting sqref="S879">
    <cfRule type="cellIs" dxfId="2990" priority="802" operator="equal">
      <formula>"DSM"</formula>
    </cfRule>
  </conditionalFormatting>
  <conditionalFormatting sqref="S880">
    <cfRule type="cellIs" dxfId="2989" priority="801" operator="equal">
      <formula>"DSM"</formula>
    </cfRule>
  </conditionalFormatting>
  <conditionalFormatting sqref="S881">
    <cfRule type="cellIs" dxfId="2988" priority="800" operator="equal">
      <formula>"DSM"</formula>
    </cfRule>
  </conditionalFormatting>
  <conditionalFormatting sqref="S883">
    <cfRule type="cellIs" dxfId="2987" priority="799" operator="equal">
      <formula>"DSM"</formula>
    </cfRule>
  </conditionalFormatting>
  <conditionalFormatting sqref="S884">
    <cfRule type="cellIs" dxfId="2986" priority="798" operator="equal">
      <formula>"DSM"</formula>
    </cfRule>
  </conditionalFormatting>
  <conditionalFormatting sqref="S885">
    <cfRule type="cellIs" dxfId="2985" priority="797" operator="equal">
      <formula>"DSM"</formula>
    </cfRule>
  </conditionalFormatting>
  <conditionalFormatting sqref="S886">
    <cfRule type="cellIs" dxfId="2984" priority="796" operator="equal">
      <formula>"DSM"</formula>
    </cfRule>
  </conditionalFormatting>
  <conditionalFormatting sqref="S887">
    <cfRule type="cellIs" dxfId="2983" priority="795" operator="equal">
      <formula>"DSM"</formula>
    </cfRule>
  </conditionalFormatting>
  <conditionalFormatting sqref="S882">
    <cfRule type="cellIs" dxfId="2982" priority="794" operator="equal">
      <formula>"DSM"</formula>
    </cfRule>
  </conditionalFormatting>
  <conditionalFormatting sqref="S897">
    <cfRule type="cellIs" dxfId="2981" priority="793" operator="equal">
      <formula>"DSM"</formula>
    </cfRule>
  </conditionalFormatting>
  <conditionalFormatting sqref="S888">
    <cfRule type="cellIs" dxfId="2980" priority="792" operator="equal">
      <formula>"DSM"</formula>
    </cfRule>
  </conditionalFormatting>
  <conditionalFormatting sqref="S890">
    <cfRule type="cellIs" dxfId="2979" priority="791" operator="equal">
      <formula>"DSM"</formula>
    </cfRule>
  </conditionalFormatting>
  <conditionalFormatting sqref="S891">
    <cfRule type="cellIs" dxfId="2978" priority="790" operator="equal">
      <formula>"DSM"</formula>
    </cfRule>
  </conditionalFormatting>
  <conditionalFormatting sqref="S892">
    <cfRule type="cellIs" dxfId="2977" priority="789" operator="equal">
      <formula>"DSM"</formula>
    </cfRule>
  </conditionalFormatting>
  <conditionalFormatting sqref="S894">
    <cfRule type="cellIs" dxfId="2976" priority="788" operator="equal">
      <formula>"DSM"</formula>
    </cfRule>
  </conditionalFormatting>
  <conditionalFormatting sqref="S3">
    <cfRule type="cellIs" dxfId="2975" priority="787" operator="equal">
      <formula>"DSM"</formula>
    </cfRule>
  </conditionalFormatting>
  <conditionalFormatting sqref="S4">
    <cfRule type="cellIs" dxfId="2974" priority="786" operator="equal">
      <formula>"DSM"</formula>
    </cfRule>
  </conditionalFormatting>
  <conditionalFormatting sqref="S5">
    <cfRule type="cellIs" dxfId="2973" priority="785" operator="equal">
      <formula>"DSM"</formula>
    </cfRule>
  </conditionalFormatting>
  <conditionalFormatting sqref="S6">
    <cfRule type="cellIs" dxfId="2972" priority="784" operator="equal">
      <formula>"DSM"</formula>
    </cfRule>
  </conditionalFormatting>
  <conditionalFormatting sqref="S7">
    <cfRule type="cellIs" dxfId="2971" priority="783" operator="equal">
      <formula>"DSM"</formula>
    </cfRule>
  </conditionalFormatting>
  <conditionalFormatting sqref="S8">
    <cfRule type="cellIs" dxfId="2970" priority="782" operator="equal">
      <formula>"DSM"</formula>
    </cfRule>
  </conditionalFormatting>
  <conditionalFormatting sqref="S9">
    <cfRule type="cellIs" dxfId="2969" priority="781" operator="equal">
      <formula>"DSM"</formula>
    </cfRule>
  </conditionalFormatting>
  <conditionalFormatting sqref="S10">
    <cfRule type="cellIs" dxfId="2968" priority="780" operator="equal">
      <formula>"DSM"</formula>
    </cfRule>
  </conditionalFormatting>
  <conditionalFormatting sqref="S13:V13">
    <cfRule type="expression" dxfId="2967" priority="775">
      <formula>$S13="DSM"</formula>
    </cfRule>
    <cfRule type="expression" dxfId="2966" priority="776">
      <formula>SEARCH("GST",$S13)</formula>
    </cfRule>
    <cfRule type="expression" dxfId="2965" priority="777">
      <formula>SEARCH("RBT",$S13)</formula>
    </cfRule>
    <cfRule type="expression" dxfId="2964" priority="778">
      <formula>SEARCH("LFS",$S13)</formula>
    </cfRule>
    <cfRule type="expression" dxfId="2963" priority="779">
      <formula>SEARCH("CHN",$S13)</formula>
    </cfRule>
  </conditionalFormatting>
  <conditionalFormatting sqref="S13">
    <cfRule type="cellIs" dxfId="2962" priority="774" operator="equal">
      <formula>"DSM"</formula>
    </cfRule>
  </conditionalFormatting>
  <conditionalFormatting sqref="S13">
    <cfRule type="expression" dxfId="2961" priority="770">
      <formula>SEARCH("RBT",$S13)</formula>
    </cfRule>
    <cfRule type="expression" dxfId="2960" priority="771">
      <formula>SEARCH("GST",$S13)</formula>
    </cfRule>
    <cfRule type="expression" dxfId="2959" priority="772">
      <formula>SEARCH("CHN",$S13)</formula>
    </cfRule>
    <cfRule type="expression" dxfId="2958" priority="773">
      <formula>SEARCH("LFS",$S13)</formula>
    </cfRule>
  </conditionalFormatting>
  <conditionalFormatting sqref="W13">
    <cfRule type="expression" dxfId="2957" priority="765">
      <formula>$S13="DSM"</formula>
    </cfRule>
    <cfRule type="expression" dxfId="2956" priority="766">
      <formula>SEARCH("GST",$S13)</formula>
    </cfRule>
    <cfRule type="expression" dxfId="2955" priority="767">
      <formula>SEARCH("RBT",$S13)</formula>
    </cfRule>
    <cfRule type="expression" dxfId="2954" priority="768">
      <formula>SEARCH("LFS",$S13)</formula>
    </cfRule>
    <cfRule type="expression" dxfId="2953" priority="769">
      <formula>SEARCH("CHN",$S13)</formula>
    </cfRule>
  </conditionalFormatting>
  <conditionalFormatting sqref="S14:V14">
    <cfRule type="expression" dxfId="2952" priority="760">
      <formula>$S14="DSM"</formula>
    </cfRule>
    <cfRule type="expression" dxfId="2951" priority="761">
      <formula>SEARCH("GST",$S14)</formula>
    </cfRule>
    <cfRule type="expression" dxfId="2950" priority="762">
      <formula>SEARCH("RBT",$S14)</formula>
    </cfRule>
    <cfRule type="expression" dxfId="2949" priority="763">
      <formula>SEARCH("LFS",$S14)</formula>
    </cfRule>
    <cfRule type="expression" dxfId="2948" priority="764">
      <formula>SEARCH("CHN",$S14)</formula>
    </cfRule>
  </conditionalFormatting>
  <conditionalFormatting sqref="S14">
    <cfRule type="cellIs" dxfId="2947" priority="759" operator="equal">
      <formula>"DSM"</formula>
    </cfRule>
  </conditionalFormatting>
  <conditionalFormatting sqref="S14">
    <cfRule type="expression" dxfId="2946" priority="755">
      <formula>SEARCH("RBT",$S14)</formula>
    </cfRule>
    <cfRule type="expression" dxfId="2945" priority="756">
      <formula>SEARCH("GST",$S14)</formula>
    </cfRule>
    <cfRule type="expression" dxfId="2944" priority="757">
      <formula>SEARCH("CHN",$S14)</formula>
    </cfRule>
    <cfRule type="expression" dxfId="2943" priority="758">
      <formula>SEARCH("LFS",$S14)</formula>
    </cfRule>
  </conditionalFormatting>
  <conditionalFormatting sqref="W14">
    <cfRule type="expression" dxfId="2942" priority="750">
      <formula>$S14="DSM"</formula>
    </cfRule>
    <cfRule type="expression" dxfId="2941" priority="751">
      <formula>SEARCH("GST",$S14)</formula>
    </cfRule>
    <cfRule type="expression" dxfId="2940" priority="752">
      <formula>SEARCH("RBT",$S14)</formula>
    </cfRule>
    <cfRule type="expression" dxfId="2939" priority="753">
      <formula>SEARCH("LFS",$S14)</formula>
    </cfRule>
    <cfRule type="expression" dxfId="2938" priority="754">
      <formula>SEARCH("CHN",$S14)</formula>
    </cfRule>
  </conditionalFormatting>
  <conditionalFormatting sqref="S15:V15">
    <cfRule type="expression" dxfId="2937" priority="745">
      <formula>$S15="DSM"</formula>
    </cfRule>
    <cfRule type="expression" dxfId="2936" priority="746">
      <formula>SEARCH("GST",$S15)</formula>
    </cfRule>
    <cfRule type="expression" dxfId="2935" priority="747">
      <formula>SEARCH("RBT",$S15)</formula>
    </cfRule>
    <cfRule type="expression" dxfId="2934" priority="748">
      <formula>SEARCH("LFS",$S15)</formula>
    </cfRule>
    <cfRule type="expression" dxfId="2933" priority="749">
      <formula>SEARCH("CHN",$S15)</formula>
    </cfRule>
  </conditionalFormatting>
  <conditionalFormatting sqref="S15">
    <cfRule type="cellIs" dxfId="2932" priority="744" operator="equal">
      <formula>"DSM"</formula>
    </cfRule>
  </conditionalFormatting>
  <conditionalFormatting sqref="S15">
    <cfRule type="expression" dxfId="2931" priority="740">
      <formula>SEARCH("RBT",$S15)</formula>
    </cfRule>
    <cfRule type="expression" dxfId="2930" priority="741">
      <formula>SEARCH("GST",$S15)</formula>
    </cfRule>
    <cfRule type="expression" dxfId="2929" priority="742">
      <formula>SEARCH("CHN",$S15)</formula>
    </cfRule>
    <cfRule type="expression" dxfId="2928" priority="743">
      <formula>SEARCH("LFS",$S15)</formula>
    </cfRule>
  </conditionalFormatting>
  <conditionalFormatting sqref="W15">
    <cfRule type="expression" dxfId="2927" priority="735">
      <formula>$S15="DSM"</formula>
    </cfRule>
    <cfRule type="expression" dxfId="2926" priority="736">
      <formula>SEARCH("GST",$S15)</formula>
    </cfRule>
    <cfRule type="expression" dxfId="2925" priority="737">
      <formula>SEARCH("RBT",$S15)</formula>
    </cfRule>
    <cfRule type="expression" dxfId="2924" priority="738">
      <formula>SEARCH("LFS",$S15)</formula>
    </cfRule>
    <cfRule type="expression" dxfId="2923" priority="739">
      <formula>SEARCH("CHN",$S15)</formula>
    </cfRule>
  </conditionalFormatting>
  <conditionalFormatting sqref="S16:V16">
    <cfRule type="expression" dxfId="2922" priority="730">
      <formula>$S16="DSM"</formula>
    </cfRule>
    <cfRule type="expression" dxfId="2921" priority="731">
      <formula>SEARCH("GST",$S16)</formula>
    </cfRule>
    <cfRule type="expression" dxfId="2920" priority="732">
      <formula>SEARCH("RBT",$S16)</formula>
    </cfRule>
    <cfRule type="expression" dxfId="2919" priority="733">
      <formula>SEARCH("LFS",$S16)</formula>
    </cfRule>
    <cfRule type="expression" dxfId="2918" priority="734">
      <formula>SEARCH("CHN",$S16)</formula>
    </cfRule>
  </conditionalFormatting>
  <conditionalFormatting sqref="S16">
    <cfRule type="cellIs" dxfId="2917" priority="729" operator="equal">
      <formula>"DSM"</formula>
    </cfRule>
  </conditionalFormatting>
  <conditionalFormatting sqref="S16">
    <cfRule type="expression" dxfId="2916" priority="725">
      <formula>SEARCH("RBT",$S16)</formula>
    </cfRule>
    <cfRule type="expression" dxfId="2915" priority="726">
      <formula>SEARCH("GST",$S16)</formula>
    </cfRule>
    <cfRule type="expression" dxfId="2914" priority="727">
      <formula>SEARCH("CHN",$S16)</formula>
    </cfRule>
    <cfRule type="expression" dxfId="2913" priority="728">
      <formula>SEARCH("LFS",$S16)</formula>
    </cfRule>
  </conditionalFormatting>
  <conditionalFormatting sqref="W16">
    <cfRule type="expression" dxfId="2912" priority="720">
      <formula>$S16="DSM"</formula>
    </cfRule>
    <cfRule type="expression" dxfId="2911" priority="721">
      <formula>SEARCH("GST",$S16)</formula>
    </cfRule>
    <cfRule type="expression" dxfId="2910" priority="722">
      <formula>SEARCH("RBT",$S16)</formula>
    </cfRule>
    <cfRule type="expression" dxfId="2909" priority="723">
      <formula>SEARCH("LFS",$S16)</formula>
    </cfRule>
    <cfRule type="expression" dxfId="2908" priority="724">
      <formula>SEARCH("CHN",$S16)</formula>
    </cfRule>
  </conditionalFormatting>
  <conditionalFormatting sqref="S17:V17">
    <cfRule type="expression" dxfId="2907" priority="715">
      <formula>$S17="DSM"</formula>
    </cfRule>
    <cfRule type="expression" dxfId="2906" priority="716">
      <formula>SEARCH("GST",$S17)</formula>
    </cfRule>
    <cfRule type="expression" dxfId="2905" priority="717">
      <formula>SEARCH("RBT",$S17)</formula>
    </cfRule>
    <cfRule type="expression" dxfId="2904" priority="718">
      <formula>SEARCH("LFS",$S17)</formula>
    </cfRule>
    <cfRule type="expression" dxfId="2903" priority="719">
      <formula>SEARCH("CHN",$S17)</formula>
    </cfRule>
  </conditionalFormatting>
  <conditionalFormatting sqref="S17">
    <cfRule type="cellIs" dxfId="2902" priority="714" operator="equal">
      <formula>"DSM"</formula>
    </cfRule>
  </conditionalFormatting>
  <conditionalFormatting sqref="S17">
    <cfRule type="expression" dxfId="2901" priority="710">
      <formula>SEARCH("RBT",$S17)</formula>
    </cfRule>
    <cfRule type="expression" dxfId="2900" priority="711">
      <formula>SEARCH("GST",$S17)</formula>
    </cfRule>
    <cfRule type="expression" dxfId="2899" priority="712">
      <formula>SEARCH("CHN",$S17)</formula>
    </cfRule>
    <cfRule type="expression" dxfId="2898" priority="713">
      <formula>SEARCH("LFS",$S17)</formula>
    </cfRule>
  </conditionalFormatting>
  <conditionalFormatting sqref="W17">
    <cfRule type="expression" dxfId="2897" priority="705">
      <formula>$S17="DSM"</formula>
    </cfRule>
    <cfRule type="expression" dxfId="2896" priority="706">
      <formula>SEARCH("GST",$S17)</formula>
    </cfRule>
    <cfRule type="expression" dxfId="2895" priority="707">
      <formula>SEARCH("RBT",$S17)</formula>
    </cfRule>
    <cfRule type="expression" dxfId="2894" priority="708">
      <formula>SEARCH("LFS",$S17)</formula>
    </cfRule>
    <cfRule type="expression" dxfId="2893" priority="709">
      <formula>SEARCH("CHN",$S17)</formula>
    </cfRule>
  </conditionalFormatting>
  <conditionalFormatting sqref="S18:V18">
    <cfRule type="expression" dxfId="2892" priority="700">
      <formula>$S18="DSM"</formula>
    </cfRule>
    <cfRule type="expression" dxfId="2891" priority="701">
      <formula>SEARCH("GST",$S18)</formula>
    </cfRule>
    <cfRule type="expression" dxfId="2890" priority="702">
      <formula>SEARCH("RBT",$S18)</formula>
    </cfRule>
    <cfRule type="expression" dxfId="2889" priority="703">
      <formula>SEARCH("LFS",$S18)</formula>
    </cfRule>
    <cfRule type="expression" dxfId="2888" priority="704">
      <formula>SEARCH("CHN",$S18)</formula>
    </cfRule>
  </conditionalFormatting>
  <conditionalFormatting sqref="S18">
    <cfRule type="cellIs" dxfId="2887" priority="699" operator="equal">
      <formula>"DSM"</formula>
    </cfRule>
  </conditionalFormatting>
  <conditionalFormatting sqref="S18">
    <cfRule type="expression" dxfId="2886" priority="695">
      <formula>SEARCH("RBT",$S18)</formula>
    </cfRule>
    <cfRule type="expression" dxfId="2885" priority="696">
      <formula>SEARCH("GST",$S18)</formula>
    </cfRule>
    <cfRule type="expression" dxfId="2884" priority="697">
      <formula>SEARCH("CHN",$S18)</formula>
    </cfRule>
    <cfRule type="expression" dxfId="2883" priority="698">
      <formula>SEARCH("LFS",$S18)</formula>
    </cfRule>
  </conditionalFormatting>
  <conditionalFormatting sqref="W18">
    <cfRule type="expression" dxfId="2882" priority="690">
      <formula>$S18="DSM"</formula>
    </cfRule>
    <cfRule type="expression" dxfId="2881" priority="691">
      <formula>SEARCH("GST",$S18)</formula>
    </cfRule>
    <cfRule type="expression" dxfId="2880" priority="692">
      <formula>SEARCH("RBT",$S18)</formula>
    </cfRule>
    <cfRule type="expression" dxfId="2879" priority="693">
      <formula>SEARCH("LFS",$S18)</formula>
    </cfRule>
    <cfRule type="expression" dxfId="2878" priority="694">
      <formula>SEARCH("CHN",$S18)</formula>
    </cfRule>
  </conditionalFormatting>
  <conditionalFormatting sqref="S19:V19">
    <cfRule type="expression" dxfId="2877" priority="685">
      <formula>$S19="DSM"</formula>
    </cfRule>
    <cfRule type="expression" dxfId="2876" priority="686">
      <formula>SEARCH("GST",$S19)</formula>
    </cfRule>
    <cfRule type="expression" dxfId="2875" priority="687">
      <formula>SEARCH("RBT",$S19)</formula>
    </cfRule>
    <cfRule type="expression" dxfId="2874" priority="688">
      <formula>SEARCH("LFS",$S19)</formula>
    </cfRule>
    <cfRule type="expression" dxfId="2873" priority="689">
      <formula>SEARCH("CHN",$S19)</formula>
    </cfRule>
  </conditionalFormatting>
  <conditionalFormatting sqref="S19">
    <cfRule type="cellIs" dxfId="2872" priority="684" operator="equal">
      <formula>"DSM"</formula>
    </cfRule>
  </conditionalFormatting>
  <conditionalFormatting sqref="S19">
    <cfRule type="expression" dxfId="2871" priority="680">
      <formula>SEARCH("RBT",$S19)</formula>
    </cfRule>
    <cfRule type="expression" dxfId="2870" priority="681">
      <formula>SEARCH("GST",$S19)</formula>
    </cfRule>
    <cfRule type="expression" dxfId="2869" priority="682">
      <formula>SEARCH("CHN",$S19)</formula>
    </cfRule>
    <cfRule type="expression" dxfId="2868" priority="683">
      <formula>SEARCH("LFS",$S19)</formula>
    </cfRule>
  </conditionalFormatting>
  <conditionalFormatting sqref="W19">
    <cfRule type="expression" dxfId="2867" priority="675">
      <formula>$S19="DSM"</formula>
    </cfRule>
    <cfRule type="expression" dxfId="2866" priority="676">
      <formula>SEARCH("GST",$S19)</formula>
    </cfRule>
    <cfRule type="expression" dxfId="2865" priority="677">
      <formula>SEARCH("RBT",$S19)</formula>
    </cfRule>
    <cfRule type="expression" dxfId="2864" priority="678">
      <formula>SEARCH("LFS",$S19)</formula>
    </cfRule>
    <cfRule type="expression" dxfId="2863" priority="679">
      <formula>SEARCH("CHN",$S19)</formula>
    </cfRule>
  </conditionalFormatting>
  <conditionalFormatting sqref="S20:V20">
    <cfRule type="expression" dxfId="2862" priority="670">
      <formula>$S20="DSM"</formula>
    </cfRule>
    <cfRule type="expression" dxfId="2861" priority="671">
      <formula>SEARCH("GST",$S20)</formula>
    </cfRule>
    <cfRule type="expression" dxfId="2860" priority="672">
      <formula>SEARCH("RBT",$S20)</formula>
    </cfRule>
    <cfRule type="expression" dxfId="2859" priority="673">
      <formula>SEARCH("LFS",$S20)</formula>
    </cfRule>
    <cfRule type="expression" dxfId="2858" priority="674">
      <formula>SEARCH("CHN",$S20)</formula>
    </cfRule>
  </conditionalFormatting>
  <conditionalFormatting sqref="S20">
    <cfRule type="cellIs" dxfId="2857" priority="669" operator="equal">
      <formula>"DSM"</formula>
    </cfRule>
  </conditionalFormatting>
  <conditionalFormatting sqref="S20">
    <cfRule type="expression" dxfId="2856" priority="665">
      <formula>SEARCH("RBT",$S20)</formula>
    </cfRule>
    <cfRule type="expression" dxfId="2855" priority="666">
      <formula>SEARCH("GST",$S20)</formula>
    </cfRule>
    <cfRule type="expression" dxfId="2854" priority="667">
      <formula>SEARCH("CHN",$S20)</formula>
    </cfRule>
    <cfRule type="expression" dxfId="2853" priority="668">
      <formula>SEARCH("LFS",$S20)</formula>
    </cfRule>
  </conditionalFormatting>
  <conditionalFormatting sqref="W20">
    <cfRule type="expression" dxfId="2852" priority="660">
      <formula>$S20="DSM"</formula>
    </cfRule>
    <cfRule type="expression" dxfId="2851" priority="661">
      <formula>SEARCH("GST",$S20)</formula>
    </cfRule>
    <cfRule type="expression" dxfId="2850" priority="662">
      <formula>SEARCH("RBT",$S20)</formula>
    </cfRule>
    <cfRule type="expression" dxfId="2849" priority="663">
      <formula>SEARCH("LFS",$S20)</formula>
    </cfRule>
    <cfRule type="expression" dxfId="2848" priority="664">
      <formula>SEARCH("CHN",$S20)</formula>
    </cfRule>
  </conditionalFormatting>
  <conditionalFormatting sqref="S36">
    <cfRule type="cellIs" dxfId="2847" priority="594" operator="equal">
      <formula>"DSM"</formula>
    </cfRule>
  </conditionalFormatting>
  <conditionalFormatting sqref="S37">
    <cfRule type="cellIs" dxfId="2846" priority="593" operator="equal">
      <formula>"DSM"</formula>
    </cfRule>
  </conditionalFormatting>
  <conditionalFormatting sqref="S39:S45">
    <cfRule type="cellIs" dxfId="2845" priority="587" operator="equal">
      <formula>"DSM"</formula>
    </cfRule>
  </conditionalFormatting>
  <conditionalFormatting sqref="S47:S48">
    <cfRule type="cellIs" dxfId="2844" priority="586" operator="equal">
      <formula>"DSM"</formula>
    </cfRule>
  </conditionalFormatting>
  <conditionalFormatting sqref="S50:S56">
    <cfRule type="cellIs" dxfId="2843" priority="585" operator="equal">
      <formula>"DSM"</formula>
    </cfRule>
  </conditionalFormatting>
  <conditionalFormatting sqref="S58:S61">
    <cfRule type="cellIs" dxfId="2842" priority="584" operator="equal">
      <formula>"DSM"</formula>
    </cfRule>
  </conditionalFormatting>
  <conditionalFormatting sqref="S62">
    <cfRule type="cellIs" dxfId="2841" priority="583" operator="equal">
      <formula>"DSM"</formula>
    </cfRule>
  </conditionalFormatting>
  <conditionalFormatting sqref="S63:S77">
    <cfRule type="cellIs" dxfId="2840" priority="582" operator="equal">
      <formula>"DSM"</formula>
    </cfRule>
  </conditionalFormatting>
  <conditionalFormatting sqref="C78:H78">
    <cfRule type="expression" dxfId="2839" priority="577">
      <formula>$T78="DSM"</formula>
    </cfRule>
    <cfRule type="expression" dxfId="2838" priority="578">
      <formula>SEARCH("RBT",$T50)&gt;0</formula>
    </cfRule>
    <cfRule type="expression" dxfId="2837" priority="579">
      <formula>SEARCH("GST",$T50)&gt;0</formula>
    </cfRule>
    <cfRule type="expression" dxfId="2836" priority="580">
      <formula>SEARCH("CHN",$T78)&gt;0</formula>
    </cfRule>
    <cfRule type="expression" dxfId="2835" priority="581">
      <formula>$T78="LFS"</formula>
    </cfRule>
  </conditionalFormatting>
  <conditionalFormatting sqref="S78">
    <cfRule type="cellIs" dxfId="2834" priority="575" operator="equal">
      <formula>"DSM"</formula>
    </cfRule>
  </conditionalFormatting>
  <conditionalFormatting sqref="F81">
    <cfRule type="expression" dxfId="2833" priority="570">
      <formula>$T81="DSM"</formula>
    </cfRule>
    <cfRule type="expression" dxfId="2832" priority="571">
      <formula>SEARCH("RBT",$T53)&gt;0</formula>
    </cfRule>
    <cfRule type="expression" dxfId="2831" priority="572">
      <formula>SEARCH("GST",$T53)&gt;0</formula>
    </cfRule>
    <cfRule type="expression" dxfId="2830" priority="573">
      <formula>SEARCH("CHN",$T81)&gt;0</formula>
    </cfRule>
    <cfRule type="expression" dxfId="2829" priority="574">
      <formula>$T81="LFS"</formula>
    </cfRule>
  </conditionalFormatting>
  <conditionalFormatting sqref="F80">
    <cfRule type="expression" dxfId="2828" priority="565">
      <formula>$T80="DSM"</formula>
    </cfRule>
    <cfRule type="expression" dxfId="2827" priority="566">
      <formula>SEARCH("RBT",$T52)&gt;0</formula>
    </cfRule>
    <cfRule type="expression" dxfId="2826" priority="567">
      <formula>SEARCH("GST",$T52)&gt;0</formula>
    </cfRule>
    <cfRule type="expression" dxfId="2825" priority="568">
      <formula>SEARCH("CHN",$T80)&gt;0</formula>
    </cfRule>
    <cfRule type="expression" dxfId="2824" priority="569">
      <formula>$T80="LFS"</formula>
    </cfRule>
  </conditionalFormatting>
  <conditionalFormatting sqref="C81">
    <cfRule type="expression" dxfId="2823" priority="560">
      <formula>$T81="DSM"</formula>
    </cfRule>
    <cfRule type="expression" dxfId="2822" priority="561">
      <formula>SEARCH("RBT",$T53)&gt;0</formula>
    </cfRule>
    <cfRule type="expression" dxfId="2821" priority="562">
      <formula>SEARCH("GST",$T53)&gt;0</formula>
    </cfRule>
    <cfRule type="expression" dxfId="2820" priority="563">
      <formula>SEARCH("CHN",$T81)&gt;0</formula>
    </cfRule>
    <cfRule type="expression" dxfId="2819" priority="564">
      <formula>$T81="LFS"</formula>
    </cfRule>
  </conditionalFormatting>
  <conditionalFormatting sqref="H81">
    <cfRule type="expression" dxfId="2818" priority="555">
      <formula>$T81="DSM"</formula>
    </cfRule>
    <cfRule type="expression" dxfId="2817" priority="556">
      <formula>SEARCH("RBT",$T53)&gt;0</formula>
    </cfRule>
    <cfRule type="expression" dxfId="2816" priority="557">
      <formula>SEARCH("GST",$T53)&gt;0</formula>
    </cfRule>
    <cfRule type="expression" dxfId="2815" priority="558">
      <formula>SEARCH("CHN",$T81)&gt;0</formula>
    </cfRule>
    <cfRule type="expression" dxfId="2814" priority="559">
      <formula>$T81="LFS"</formula>
    </cfRule>
  </conditionalFormatting>
  <conditionalFormatting sqref="O81:R81">
    <cfRule type="expression" dxfId="2813" priority="550">
      <formula>$T81="DSM"</formula>
    </cfRule>
    <cfRule type="expression" dxfId="2812" priority="551">
      <formula>SEARCH("RBT",$T53)&gt;0</formula>
    </cfRule>
    <cfRule type="expression" dxfId="2811" priority="552">
      <formula>SEARCH("GST",$T53)&gt;0</formula>
    </cfRule>
    <cfRule type="expression" dxfId="2810" priority="553">
      <formula>SEARCH("CHN",$T81)&gt;0</formula>
    </cfRule>
    <cfRule type="expression" dxfId="2809" priority="554">
      <formula>$T81="LFS"</formula>
    </cfRule>
  </conditionalFormatting>
  <conditionalFormatting sqref="S81">
    <cfRule type="cellIs" dxfId="2808" priority="549" operator="equal">
      <formula>"DSM"</formula>
    </cfRule>
  </conditionalFormatting>
  <conditionalFormatting sqref="F82">
    <cfRule type="expression" dxfId="2807" priority="544">
      <formula>$T82="DSM"</formula>
    </cfRule>
    <cfRule type="expression" dxfId="2806" priority="545">
      <formula>SEARCH("RBT",$T54)&gt;0</formula>
    </cfRule>
    <cfRule type="expression" dxfId="2805" priority="546">
      <formula>SEARCH("GST",$T54)&gt;0</formula>
    </cfRule>
    <cfRule type="expression" dxfId="2804" priority="547">
      <formula>SEARCH("CHN",$T82)&gt;0</formula>
    </cfRule>
    <cfRule type="expression" dxfId="2803" priority="548">
      <formula>$T82="LFS"</formula>
    </cfRule>
  </conditionalFormatting>
  <conditionalFormatting sqref="F83">
    <cfRule type="expression" dxfId="2802" priority="539">
      <formula>$T83="DSM"</formula>
    </cfRule>
    <cfRule type="expression" dxfId="2801" priority="540">
      <formula>SEARCH("RBT",$T55)&gt;0</formula>
    </cfRule>
    <cfRule type="expression" dxfId="2800" priority="541">
      <formula>SEARCH("GST",$T55)&gt;0</formula>
    </cfRule>
    <cfRule type="expression" dxfId="2799" priority="542">
      <formula>SEARCH("CHN",$T83)&gt;0</formula>
    </cfRule>
    <cfRule type="expression" dxfId="2798" priority="543">
      <formula>$T83="LFS"</formula>
    </cfRule>
  </conditionalFormatting>
  <conditionalFormatting sqref="F84">
    <cfRule type="expression" dxfId="2797" priority="534">
      <formula>$T84="DSM"</formula>
    </cfRule>
    <cfRule type="expression" dxfId="2796" priority="535">
      <formula>SEARCH("RBT",$T56)&gt;0</formula>
    </cfRule>
    <cfRule type="expression" dxfId="2795" priority="536">
      <formula>SEARCH("GST",$T56)&gt;0</formula>
    </cfRule>
    <cfRule type="expression" dxfId="2794" priority="537">
      <formula>SEARCH("CHN",$T84)&gt;0</formula>
    </cfRule>
    <cfRule type="expression" dxfId="2793" priority="538">
      <formula>$T84="LFS"</formula>
    </cfRule>
  </conditionalFormatting>
  <conditionalFormatting sqref="O83:R83">
    <cfRule type="expression" dxfId="2792" priority="529">
      <formula>$T83="DSM"</formula>
    </cfRule>
    <cfRule type="expression" dxfId="2791" priority="530">
      <formula>SEARCH("RBT",$T55)&gt;0</formula>
    </cfRule>
    <cfRule type="expression" dxfId="2790" priority="531">
      <formula>SEARCH("GST",$T55)&gt;0</formula>
    </cfRule>
    <cfRule type="expression" dxfId="2789" priority="532">
      <formula>SEARCH("CHN",$T83)&gt;0</formula>
    </cfRule>
    <cfRule type="expression" dxfId="2788" priority="533">
      <formula>$T83="LFS"</formula>
    </cfRule>
  </conditionalFormatting>
  <conditionalFormatting sqref="S83">
    <cfRule type="cellIs" dxfId="2787" priority="528" operator="equal">
      <formula>"DSM"</formula>
    </cfRule>
  </conditionalFormatting>
  <conditionalFormatting sqref="O84:R84">
    <cfRule type="expression" dxfId="2786" priority="523">
      <formula>$T84="DSM"</formula>
    </cfRule>
    <cfRule type="expression" dxfId="2785" priority="524">
      <formula>SEARCH("RBT",$T56)&gt;0</formula>
    </cfRule>
    <cfRule type="expression" dxfId="2784" priority="525">
      <formula>SEARCH("GST",$T56)&gt;0</formula>
    </cfRule>
    <cfRule type="expression" dxfId="2783" priority="526">
      <formula>SEARCH("CHN",$T84)&gt;0</formula>
    </cfRule>
    <cfRule type="expression" dxfId="2782" priority="527">
      <formula>$T84="LFS"</formula>
    </cfRule>
  </conditionalFormatting>
  <conditionalFormatting sqref="S84">
    <cfRule type="cellIs" dxfId="2781" priority="522" operator="equal">
      <formula>"DSM"</formula>
    </cfRule>
  </conditionalFormatting>
  <conditionalFormatting sqref="F85">
    <cfRule type="expression" dxfId="2780" priority="517">
      <formula>$T85="DSM"</formula>
    </cfRule>
    <cfRule type="expression" dxfId="2779" priority="518">
      <formula>SEARCH("RBT",$T57)&gt;0</formula>
    </cfRule>
    <cfRule type="expression" dxfId="2778" priority="519">
      <formula>SEARCH("GST",$T57)&gt;0</formula>
    </cfRule>
    <cfRule type="expression" dxfId="2777" priority="520">
      <formula>SEARCH("CHN",$T85)&gt;0</formula>
    </cfRule>
    <cfRule type="expression" dxfId="2776" priority="521">
      <formula>$T85="LFS"</formula>
    </cfRule>
  </conditionalFormatting>
  <conditionalFormatting sqref="O85:R85">
    <cfRule type="expression" dxfId="2775" priority="512">
      <formula>$T85="DSM"</formula>
    </cfRule>
    <cfRule type="expression" dxfId="2774" priority="513">
      <formula>SEARCH("RBT",$T57)&gt;0</formula>
    </cfRule>
    <cfRule type="expression" dxfId="2773" priority="514">
      <formula>SEARCH("GST",$T57)&gt;0</formula>
    </cfRule>
    <cfRule type="expression" dxfId="2772" priority="515">
      <formula>SEARCH("CHN",$T85)&gt;0</formula>
    </cfRule>
    <cfRule type="expression" dxfId="2771" priority="516">
      <formula>$T85="LFS"</formula>
    </cfRule>
  </conditionalFormatting>
  <conditionalFormatting sqref="S85">
    <cfRule type="cellIs" dxfId="2770" priority="511" operator="equal">
      <formula>"DSM"</formula>
    </cfRule>
  </conditionalFormatting>
  <conditionalFormatting sqref="F86">
    <cfRule type="expression" dxfId="2769" priority="506">
      <formula>$T86="DSM"</formula>
    </cfRule>
    <cfRule type="expression" dxfId="2768" priority="507">
      <formula>SEARCH("RBT",$T58)&gt;0</formula>
    </cfRule>
    <cfRule type="expression" dxfId="2767" priority="508">
      <formula>SEARCH("GST",$T58)&gt;0</formula>
    </cfRule>
    <cfRule type="expression" dxfId="2766" priority="509">
      <formula>SEARCH("CHN",$T86)&gt;0</formula>
    </cfRule>
    <cfRule type="expression" dxfId="2765" priority="510">
      <formula>$T86="LFS"</formula>
    </cfRule>
  </conditionalFormatting>
  <conditionalFormatting sqref="O86:R86">
    <cfRule type="expression" dxfId="2764" priority="501">
      <formula>$T86="DSM"</formula>
    </cfRule>
    <cfRule type="expression" dxfId="2763" priority="502">
      <formula>SEARCH("RBT",$T58)&gt;0</formula>
    </cfRule>
    <cfRule type="expression" dxfId="2762" priority="503">
      <formula>SEARCH("GST",$T58)&gt;0</formula>
    </cfRule>
    <cfRule type="expression" dxfId="2761" priority="504">
      <formula>SEARCH("CHN",$T86)&gt;0</formula>
    </cfRule>
    <cfRule type="expression" dxfId="2760" priority="505">
      <formula>$T86="LFS"</formula>
    </cfRule>
  </conditionalFormatting>
  <conditionalFormatting sqref="T86">
    <cfRule type="expression" dxfId="2759" priority="496">
      <formula>$T86="DSM"</formula>
    </cfRule>
    <cfRule type="expression" dxfId="2758" priority="497">
      <formula>SEARCH("RBT",$T57)&gt;0</formula>
    </cfRule>
    <cfRule type="expression" dxfId="2757" priority="498">
      <formula>SEARCH("GST",$T57)&gt;0</formula>
    </cfRule>
    <cfRule type="expression" dxfId="2756" priority="499">
      <formula>SEARCH("CHN",$T86)&gt;0</formula>
    </cfRule>
    <cfRule type="expression" dxfId="2755" priority="500">
      <formula>$T86="LFS"</formula>
    </cfRule>
  </conditionalFormatting>
  <conditionalFormatting sqref="O87:R87">
    <cfRule type="expression" dxfId="2754" priority="491">
      <formula>$T87="DSM"</formula>
    </cfRule>
    <cfRule type="expression" dxfId="2753" priority="492">
      <formula>SEARCH("RBT",$T59)&gt;0</formula>
    </cfRule>
    <cfRule type="expression" dxfId="2752" priority="493">
      <formula>SEARCH("GST",$T59)&gt;0</formula>
    </cfRule>
    <cfRule type="expression" dxfId="2751" priority="494">
      <formula>SEARCH("CHN",$T87)&gt;0</formula>
    </cfRule>
    <cfRule type="expression" dxfId="2750" priority="495">
      <formula>$T87="LFS"</formula>
    </cfRule>
  </conditionalFormatting>
  <conditionalFormatting sqref="S87">
    <cfRule type="cellIs" dxfId="2749" priority="490" operator="equal">
      <formula>"DSM"</formula>
    </cfRule>
  </conditionalFormatting>
  <conditionalFormatting sqref="F88">
    <cfRule type="expression" dxfId="2748" priority="485">
      <formula>$T88="DSM"</formula>
    </cfRule>
    <cfRule type="expression" dxfId="2747" priority="486">
      <formula>SEARCH("RBT",$T60)&gt;0</formula>
    </cfRule>
    <cfRule type="expression" dxfId="2746" priority="487">
      <formula>SEARCH("GST",$T60)&gt;0</formula>
    </cfRule>
    <cfRule type="expression" dxfId="2745" priority="488">
      <formula>SEARCH("CHN",$T88)&gt;0</formula>
    </cfRule>
    <cfRule type="expression" dxfId="2744" priority="489">
      <formula>$T88="LFS"</formula>
    </cfRule>
  </conditionalFormatting>
  <conditionalFormatting sqref="S89">
    <cfRule type="cellIs" dxfId="2743" priority="484" operator="equal">
      <formula>"DSM"</formula>
    </cfRule>
  </conditionalFormatting>
  <conditionalFormatting sqref="O90:R90">
    <cfRule type="expression" dxfId="2742" priority="479">
      <formula>$T90="DSM"</formula>
    </cfRule>
    <cfRule type="expression" dxfId="2741" priority="480">
      <formula>SEARCH("RBT",$T62)&gt;0</formula>
    </cfRule>
    <cfRule type="expression" dxfId="2740" priority="481">
      <formula>SEARCH("GST",$T62)&gt;0</formula>
    </cfRule>
    <cfRule type="expression" dxfId="2739" priority="482">
      <formula>SEARCH("CHN",$T90)&gt;0</formula>
    </cfRule>
    <cfRule type="expression" dxfId="2738" priority="483">
      <formula>$T90="LFS"</formula>
    </cfRule>
  </conditionalFormatting>
  <conditionalFormatting sqref="S90">
    <cfRule type="cellIs" dxfId="2737" priority="478" operator="equal">
      <formula>"DSM"</formula>
    </cfRule>
  </conditionalFormatting>
  <conditionalFormatting sqref="S91">
    <cfRule type="cellIs" dxfId="2736" priority="477" operator="equal">
      <formula>"DSM"</formula>
    </cfRule>
  </conditionalFormatting>
  <conditionalFormatting sqref="S92">
    <cfRule type="cellIs" dxfId="2735" priority="476" operator="equal">
      <formula>"DSM"</formula>
    </cfRule>
  </conditionalFormatting>
  <conditionalFormatting sqref="O93:R93">
    <cfRule type="expression" dxfId="2734" priority="471">
      <formula>$T93="DSM"</formula>
    </cfRule>
    <cfRule type="expression" dxfId="2733" priority="472">
      <formula>SEARCH("RBT",$T65)&gt;0</formula>
    </cfRule>
    <cfRule type="expression" dxfId="2732" priority="473">
      <formula>SEARCH("GST",$T65)&gt;0</formula>
    </cfRule>
    <cfRule type="expression" dxfId="2731" priority="474">
      <formula>SEARCH("CHN",$T93)&gt;0</formula>
    </cfRule>
    <cfRule type="expression" dxfId="2730" priority="475">
      <formula>$T93="LFS"</formula>
    </cfRule>
  </conditionalFormatting>
  <conditionalFormatting sqref="S93">
    <cfRule type="cellIs" dxfId="2729" priority="470" operator="equal">
      <formula>"DSM"</formula>
    </cfRule>
  </conditionalFormatting>
  <conditionalFormatting sqref="S94">
    <cfRule type="cellIs" dxfId="2728" priority="469" operator="equal">
      <formula>"DSM"</formula>
    </cfRule>
  </conditionalFormatting>
  <conditionalFormatting sqref="S96:X96">
    <cfRule type="expression" dxfId="2727" priority="464">
      <formula>$T96="DSM"</formula>
    </cfRule>
    <cfRule type="expression" dxfId="2726" priority="465">
      <formula>SEARCH("RBT",#REF!)&gt;0</formula>
    </cfRule>
    <cfRule type="expression" dxfId="2725" priority="466">
      <formula>SEARCH("GST",#REF!)&gt;0</formula>
    </cfRule>
    <cfRule type="expression" dxfId="2724" priority="467">
      <formula>SEARCH("CHN",$T96)&gt;0</formula>
    </cfRule>
    <cfRule type="expression" dxfId="2723" priority="468">
      <formula>$T96="LFS"</formula>
    </cfRule>
  </conditionalFormatting>
  <conditionalFormatting sqref="S97">
    <cfRule type="cellIs" dxfId="2722" priority="463" operator="equal">
      <formula>"DSM"</formula>
    </cfRule>
  </conditionalFormatting>
  <conditionalFormatting sqref="S98">
    <cfRule type="cellIs" dxfId="2721" priority="462" operator="equal">
      <formula>"DSM"</formula>
    </cfRule>
  </conditionalFormatting>
  <conditionalFormatting sqref="S99">
    <cfRule type="cellIs" dxfId="2720" priority="461" operator="equal">
      <formula>"DSM"</formula>
    </cfRule>
  </conditionalFormatting>
  <conditionalFormatting sqref="S100">
    <cfRule type="cellIs" dxfId="2719" priority="460" operator="equal">
      <formula>"DSM"</formula>
    </cfRule>
  </conditionalFormatting>
  <conditionalFormatting sqref="S102:X102">
    <cfRule type="expression" dxfId="2718" priority="455">
      <formula>$T102="DSM"</formula>
    </cfRule>
    <cfRule type="expression" dxfId="2717" priority="456">
      <formula>SEARCH("RBT",$T72)&gt;0</formula>
    </cfRule>
    <cfRule type="expression" dxfId="2716" priority="457">
      <formula>SEARCH("GST",$T72)&gt;0</formula>
    </cfRule>
    <cfRule type="expression" dxfId="2715" priority="458">
      <formula>SEARCH("CHN",$T102)&gt;0</formula>
    </cfRule>
    <cfRule type="expression" dxfId="2714" priority="459">
      <formula>$T102="LFS"</formula>
    </cfRule>
  </conditionalFormatting>
  <conditionalFormatting sqref="S103:X103">
    <cfRule type="expression" dxfId="2713" priority="450">
      <formula>$T103="DSM"</formula>
    </cfRule>
    <cfRule type="expression" dxfId="2712" priority="451">
      <formula>SEARCH("RBT",$T73)&gt;0</formula>
    </cfRule>
    <cfRule type="expression" dxfId="2711" priority="452">
      <formula>SEARCH("GST",$T73)&gt;0</formula>
    </cfRule>
    <cfRule type="expression" dxfId="2710" priority="453">
      <formula>SEARCH("CHN",$T103)&gt;0</formula>
    </cfRule>
    <cfRule type="expression" dxfId="2709" priority="454">
      <formula>$T103="LFS"</formula>
    </cfRule>
  </conditionalFormatting>
  <conditionalFormatting sqref="S104:X104">
    <cfRule type="expression" dxfId="2708" priority="445">
      <formula>$T104="DSM"</formula>
    </cfRule>
    <cfRule type="expression" dxfId="2707" priority="446">
      <formula>SEARCH("RBT",#REF!)&gt;0</formula>
    </cfRule>
    <cfRule type="expression" dxfId="2706" priority="447">
      <formula>SEARCH("GST",#REF!)&gt;0</formula>
    </cfRule>
    <cfRule type="expression" dxfId="2705" priority="448">
      <formula>SEARCH("CHN",$T104)&gt;0</formula>
    </cfRule>
    <cfRule type="expression" dxfId="2704" priority="449">
      <formula>$T104="LFS"</formula>
    </cfRule>
  </conditionalFormatting>
  <conditionalFormatting sqref="S105:X105">
    <cfRule type="expression" dxfId="2703" priority="440">
      <formula>$T105="DSM"</formula>
    </cfRule>
    <cfRule type="expression" dxfId="2702" priority="441">
      <formula>SEARCH("RBT",#REF!)&gt;0</formula>
    </cfRule>
    <cfRule type="expression" dxfId="2701" priority="442">
      <formula>SEARCH("GST",#REF!)&gt;0</formula>
    </cfRule>
    <cfRule type="expression" dxfId="2700" priority="443">
      <formula>SEARCH("CHN",$T105)&gt;0</formula>
    </cfRule>
    <cfRule type="expression" dxfId="2699" priority="444">
      <formula>$T105="LFS"</formula>
    </cfRule>
  </conditionalFormatting>
  <conditionalFormatting sqref="S38:X38">
    <cfRule type="expression" dxfId="2698" priority="3350">
      <formula>$T38="DSM"</formula>
    </cfRule>
    <cfRule type="expression" dxfId="2697" priority="3351">
      <formula>SEARCH("RBT",#REF!)&gt;0</formula>
    </cfRule>
    <cfRule type="expression" dxfId="2696" priority="3352">
      <formula>SEARCH("GST",#REF!)&gt;0</formula>
    </cfRule>
    <cfRule type="expression" dxfId="2695" priority="3353">
      <formula>SEARCH("CHN",$T38)&gt;0</formula>
    </cfRule>
    <cfRule type="expression" dxfId="2694" priority="3354">
      <formula>$T38="LFS"</formula>
    </cfRule>
  </conditionalFormatting>
  <conditionalFormatting sqref="J115:O115 S115:X115">
    <cfRule type="expression" dxfId="2693" priority="435">
      <formula>$T115="DSM"</formula>
    </cfRule>
    <cfRule type="expression" dxfId="2692" priority="436">
      <formula>SEARCH("RBT",$T84)&gt;0</formula>
    </cfRule>
    <cfRule type="expression" dxfId="2691" priority="437">
      <formula>SEARCH("GST",$T84)&gt;0</formula>
    </cfRule>
    <cfRule type="expression" dxfId="2690" priority="438">
      <formula>SEARCH("CHN",$T115)&gt;0</formula>
    </cfRule>
    <cfRule type="expression" dxfId="2689" priority="439">
      <formula>$T115="LFS"</formula>
    </cfRule>
  </conditionalFormatting>
  <conditionalFormatting sqref="P115:R115">
    <cfRule type="expression" dxfId="2688" priority="430">
      <formula>$T115="DSM"</formula>
    </cfRule>
    <cfRule type="expression" dxfId="2687" priority="431">
      <formula>SEARCH("RBT",$T84)&gt;0</formula>
    </cfRule>
    <cfRule type="expression" dxfId="2686" priority="432">
      <formula>SEARCH("GST",$T84)&gt;0</formula>
    </cfRule>
    <cfRule type="expression" dxfId="2685" priority="433">
      <formula>SEARCH("CHN",$T115)&gt;0</formula>
    </cfRule>
    <cfRule type="expression" dxfId="2684" priority="434">
      <formula>$T115="LFS"</formula>
    </cfRule>
  </conditionalFormatting>
  <conditionalFormatting sqref="J114:X114">
    <cfRule type="expression" dxfId="2683" priority="425">
      <formula>$T114="DSM"</formula>
    </cfRule>
    <cfRule type="expression" dxfId="2682" priority="426">
      <formula>SEARCH("RBT",$T84)&gt;0</formula>
    </cfRule>
    <cfRule type="expression" dxfId="2681" priority="427">
      <formula>SEARCH("GST",$T84)&gt;0</formula>
    </cfRule>
    <cfRule type="expression" dxfId="2680" priority="428">
      <formula>SEARCH("CHN",$T114)&gt;0</formula>
    </cfRule>
    <cfRule type="expression" dxfId="2679" priority="429">
      <formula>$T114="LFS"</formula>
    </cfRule>
  </conditionalFormatting>
  <conditionalFormatting sqref="S106:X106">
    <cfRule type="expression" dxfId="2678" priority="420">
      <formula>$T106="DSM"</formula>
    </cfRule>
    <cfRule type="expression" dxfId="2677" priority="421">
      <formula>SEARCH("RBT",$T76)&gt;0</formula>
    </cfRule>
    <cfRule type="expression" dxfId="2676" priority="422">
      <formula>SEARCH("GST",$T76)&gt;0</formula>
    </cfRule>
    <cfRule type="expression" dxfId="2675" priority="423">
      <formula>SEARCH("CHN",$T106)&gt;0</formula>
    </cfRule>
    <cfRule type="expression" dxfId="2674" priority="424">
      <formula>$T106="LFS"</formula>
    </cfRule>
  </conditionalFormatting>
  <conditionalFormatting sqref="S107">
    <cfRule type="expression" dxfId="2673" priority="415">
      <formula>$T107="DSM"</formula>
    </cfRule>
    <cfRule type="expression" dxfId="2672" priority="416">
      <formula>SEARCH("RBT",$T76)&gt;0</formula>
    </cfRule>
    <cfRule type="expression" dxfId="2671" priority="417">
      <formula>SEARCH("GST",$T76)&gt;0</formula>
    </cfRule>
    <cfRule type="expression" dxfId="2670" priority="418">
      <formula>SEARCH("CHN",$T107)&gt;0</formula>
    </cfRule>
    <cfRule type="expression" dxfId="2669" priority="419">
      <formula>$T107="LFS"</formula>
    </cfRule>
  </conditionalFormatting>
  <conditionalFormatting sqref="S108:X108">
    <cfRule type="expression" dxfId="2668" priority="410">
      <formula>$T108="DSM"</formula>
    </cfRule>
    <cfRule type="expression" dxfId="2667" priority="411">
      <formula>SEARCH("RBT",$T78)&gt;0</formula>
    </cfRule>
    <cfRule type="expression" dxfId="2666" priority="412">
      <formula>SEARCH("GST",$T78)&gt;0</formula>
    </cfRule>
    <cfRule type="expression" dxfId="2665" priority="413">
      <formula>SEARCH("CHN",$T108)&gt;0</formula>
    </cfRule>
    <cfRule type="expression" dxfId="2664" priority="414">
      <formula>$T108="LFS"</formula>
    </cfRule>
  </conditionalFormatting>
  <conditionalFormatting sqref="S109">
    <cfRule type="expression" dxfId="2663" priority="405">
      <formula>$T109="DSM"</formula>
    </cfRule>
    <cfRule type="expression" dxfId="2662" priority="406">
      <formula>SEARCH("RBT",$T78)&gt;0</formula>
    </cfRule>
    <cfRule type="expression" dxfId="2661" priority="407">
      <formula>SEARCH("GST",$T78)&gt;0</formula>
    </cfRule>
    <cfRule type="expression" dxfId="2660" priority="408">
      <formula>SEARCH("CHN",$T109)&gt;0</formula>
    </cfRule>
    <cfRule type="expression" dxfId="2659" priority="409">
      <formula>$T109="LFS"</formula>
    </cfRule>
  </conditionalFormatting>
  <conditionalFormatting sqref="S110">
    <cfRule type="expression" dxfId="2658" priority="400">
      <formula>$T110="DSM"</formula>
    </cfRule>
    <cfRule type="expression" dxfId="2657" priority="401">
      <formula>SEARCH("RBT",$T79)&gt;0</formula>
    </cfRule>
    <cfRule type="expression" dxfId="2656" priority="402">
      <formula>SEARCH("GST",$T79)&gt;0</formula>
    </cfRule>
    <cfRule type="expression" dxfId="2655" priority="403">
      <formula>SEARCH("CHN",$T110)&gt;0</formula>
    </cfRule>
    <cfRule type="expression" dxfId="2654" priority="404">
      <formula>$T110="LFS"</formula>
    </cfRule>
  </conditionalFormatting>
  <conditionalFormatting sqref="S111:X111">
    <cfRule type="expression" dxfId="2653" priority="395">
      <formula>$T111="DSM"</formula>
    </cfRule>
    <cfRule type="expression" dxfId="2652" priority="396">
      <formula>SEARCH("RBT",$T81)&gt;0</formula>
    </cfRule>
    <cfRule type="expression" dxfId="2651" priority="397">
      <formula>SEARCH("GST",$T81)&gt;0</formula>
    </cfRule>
    <cfRule type="expression" dxfId="2650" priority="398">
      <formula>SEARCH("CHN",$T111)&gt;0</formula>
    </cfRule>
    <cfRule type="expression" dxfId="2649" priority="399">
      <formula>$T111="LFS"</formula>
    </cfRule>
  </conditionalFormatting>
  <conditionalFormatting sqref="S117:X117">
    <cfRule type="expression" dxfId="2648" priority="390">
      <formula>$T117="DSM"</formula>
    </cfRule>
    <cfRule type="expression" dxfId="2647" priority="391">
      <formula>SEARCH("RBT",#REF!)&gt;0</formula>
    </cfRule>
    <cfRule type="expression" dxfId="2646" priority="392">
      <formula>SEARCH("GST",#REF!)&gt;0</formula>
    </cfRule>
    <cfRule type="expression" dxfId="2645" priority="393">
      <formula>SEARCH("CHN",$T117)&gt;0</formula>
    </cfRule>
    <cfRule type="expression" dxfId="2644" priority="394">
      <formula>$T117="LFS"</formula>
    </cfRule>
  </conditionalFormatting>
  <conditionalFormatting sqref="S122:S130">
    <cfRule type="cellIs" dxfId="2643" priority="389" operator="equal">
      <formula>"DSM"</formula>
    </cfRule>
  </conditionalFormatting>
  <conditionalFormatting sqref="S131:S135">
    <cfRule type="cellIs" dxfId="2642" priority="388" operator="equal">
      <formula>"DSM"</formula>
    </cfRule>
  </conditionalFormatting>
  <conditionalFormatting sqref="S136">
    <cfRule type="cellIs" dxfId="2641" priority="387" operator="equal">
      <formula>"DSM"</formula>
    </cfRule>
  </conditionalFormatting>
  <conditionalFormatting sqref="S137">
    <cfRule type="cellIs" dxfId="2640" priority="386" operator="equal">
      <formula>"DSM"</formula>
    </cfRule>
  </conditionalFormatting>
  <conditionalFormatting sqref="S138:S145">
    <cfRule type="cellIs" dxfId="2639" priority="385" operator="equal">
      <formula>"DSM"</formula>
    </cfRule>
  </conditionalFormatting>
  <conditionalFormatting sqref="S147:S153">
    <cfRule type="cellIs" dxfId="2638" priority="384" operator="equal">
      <formula>"DSM"</formula>
    </cfRule>
  </conditionalFormatting>
  <conditionalFormatting sqref="S154">
    <cfRule type="cellIs" dxfId="2637" priority="383" operator="equal">
      <formula>"DSM"</formula>
    </cfRule>
  </conditionalFormatting>
  <conditionalFormatting sqref="S155">
    <cfRule type="cellIs" dxfId="2636" priority="382" operator="equal">
      <formula>"DSM"</formula>
    </cfRule>
  </conditionalFormatting>
  <conditionalFormatting sqref="S156">
    <cfRule type="cellIs" dxfId="2635" priority="381" operator="equal">
      <formula>"DSM"</formula>
    </cfRule>
  </conditionalFormatting>
  <conditionalFormatting sqref="S157">
    <cfRule type="cellIs" dxfId="2634" priority="380" operator="equal">
      <formula>"DSM"</formula>
    </cfRule>
  </conditionalFormatting>
  <conditionalFormatting sqref="S158">
    <cfRule type="cellIs" dxfId="2633" priority="379" operator="equal">
      <formula>"DSM"</formula>
    </cfRule>
  </conditionalFormatting>
  <conditionalFormatting sqref="S159">
    <cfRule type="cellIs" dxfId="2632" priority="378" operator="equal">
      <formula>"DSM"</formula>
    </cfRule>
  </conditionalFormatting>
  <conditionalFormatting sqref="S160">
    <cfRule type="cellIs" dxfId="2631" priority="377" operator="equal">
      <formula>"DSM"</formula>
    </cfRule>
  </conditionalFormatting>
  <conditionalFormatting sqref="S161">
    <cfRule type="cellIs" dxfId="2630" priority="376" operator="equal">
      <formula>"DSM"</formula>
    </cfRule>
  </conditionalFormatting>
  <conditionalFormatting sqref="S163">
    <cfRule type="cellIs" dxfId="2629" priority="375" operator="equal">
      <formula>"DSM"</formula>
    </cfRule>
  </conditionalFormatting>
  <conditionalFormatting sqref="S164">
    <cfRule type="cellIs" dxfId="2628" priority="374" operator="equal">
      <formula>"DSM"</formula>
    </cfRule>
  </conditionalFormatting>
  <conditionalFormatting sqref="S165:S170">
    <cfRule type="cellIs" dxfId="2627" priority="373" operator="equal">
      <formula>"DSM"</formula>
    </cfRule>
  </conditionalFormatting>
  <conditionalFormatting sqref="S171">
    <cfRule type="cellIs" dxfId="2626" priority="372" operator="equal">
      <formula>"DSM"</formula>
    </cfRule>
  </conditionalFormatting>
  <conditionalFormatting sqref="S174">
    <cfRule type="cellIs" dxfId="2625" priority="371" operator="equal">
      <formula>"DSM"</formula>
    </cfRule>
  </conditionalFormatting>
  <conditionalFormatting sqref="S175">
    <cfRule type="cellIs" dxfId="2624" priority="370" operator="equal">
      <formula>"DSM"</formula>
    </cfRule>
  </conditionalFormatting>
  <conditionalFormatting sqref="S176">
    <cfRule type="cellIs" dxfId="2623" priority="369" operator="equal">
      <formula>"DSM"</formula>
    </cfRule>
  </conditionalFormatting>
  <conditionalFormatting sqref="S177">
    <cfRule type="cellIs" dxfId="2622" priority="368" operator="equal">
      <formula>"DSM"</formula>
    </cfRule>
  </conditionalFormatting>
  <conditionalFormatting sqref="S179">
    <cfRule type="cellIs" dxfId="2621" priority="367" operator="equal">
      <formula>"DSM"</formula>
    </cfRule>
  </conditionalFormatting>
  <conditionalFormatting sqref="S180">
    <cfRule type="cellIs" dxfId="2620" priority="366" operator="equal">
      <formula>"DSM"</formula>
    </cfRule>
  </conditionalFormatting>
  <conditionalFormatting sqref="S172">
    <cfRule type="cellIs" dxfId="2619" priority="365" operator="equal">
      <formula>"DSM"</formula>
    </cfRule>
  </conditionalFormatting>
  <conditionalFormatting sqref="S181">
    <cfRule type="cellIs" dxfId="2618" priority="364" operator="equal">
      <formula>"DSM"</formula>
    </cfRule>
  </conditionalFormatting>
  <conditionalFormatting sqref="S173">
    <cfRule type="cellIs" dxfId="2617" priority="363" operator="equal">
      <formula>"DSM"</formula>
    </cfRule>
  </conditionalFormatting>
  <conditionalFormatting sqref="S185">
    <cfRule type="cellIs" dxfId="2616" priority="362" operator="equal">
      <formula>"DSM"</formula>
    </cfRule>
  </conditionalFormatting>
  <conditionalFormatting sqref="S186">
    <cfRule type="cellIs" dxfId="2615" priority="361" operator="equal">
      <formula>"DSM"</formula>
    </cfRule>
  </conditionalFormatting>
  <conditionalFormatting sqref="S187">
    <cfRule type="cellIs" dxfId="2614" priority="360" operator="equal">
      <formula>"DSM"</formula>
    </cfRule>
  </conditionalFormatting>
  <conditionalFormatting sqref="S188">
    <cfRule type="cellIs" dxfId="2613" priority="359" operator="equal">
      <formula>"DSM"</formula>
    </cfRule>
  </conditionalFormatting>
  <conditionalFormatting sqref="S189">
    <cfRule type="cellIs" dxfId="2612" priority="358" operator="equal">
      <formula>"DSM"</formula>
    </cfRule>
  </conditionalFormatting>
  <conditionalFormatting sqref="S182">
    <cfRule type="cellIs" dxfId="2611" priority="357" operator="equal">
      <formula>"DSM"</formula>
    </cfRule>
  </conditionalFormatting>
  <conditionalFormatting sqref="S183">
    <cfRule type="cellIs" dxfId="2610" priority="356" operator="equal">
      <formula>"DSM"</formula>
    </cfRule>
  </conditionalFormatting>
  <conditionalFormatting sqref="S184">
    <cfRule type="cellIs" dxfId="2609" priority="354" operator="equal">
      <formula>"DSM"</formula>
    </cfRule>
  </conditionalFormatting>
  <conditionalFormatting sqref="S191">
    <cfRule type="cellIs" dxfId="2608" priority="353" operator="equal">
      <formula>"DSM"</formula>
    </cfRule>
  </conditionalFormatting>
  <conditionalFormatting sqref="S192">
    <cfRule type="cellIs" dxfId="2607" priority="352" operator="equal">
      <formula>"DSM"</formula>
    </cfRule>
  </conditionalFormatting>
  <conditionalFormatting sqref="S193">
    <cfRule type="cellIs" dxfId="2606" priority="351" operator="equal">
      <formula>"DSM"</formula>
    </cfRule>
  </conditionalFormatting>
  <conditionalFormatting sqref="S194">
    <cfRule type="cellIs" dxfId="2605" priority="350" operator="equal">
      <formula>"DSM"</formula>
    </cfRule>
  </conditionalFormatting>
  <conditionalFormatting sqref="S195">
    <cfRule type="cellIs" dxfId="2604" priority="349" operator="equal">
      <formula>"DSM"</formula>
    </cfRule>
  </conditionalFormatting>
  <conditionalFormatting sqref="S196">
    <cfRule type="cellIs" dxfId="2603" priority="348" operator="equal">
      <formula>"DSM"</formula>
    </cfRule>
  </conditionalFormatting>
  <conditionalFormatting sqref="S197">
    <cfRule type="cellIs" dxfId="2602" priority="347" operator="equal">
      <formula>"DSM"</formula>
    </cfRule>
  </conditionalFormatting>
  <conditionalFormatting sqref="S198">
    <cfRule type="cellIs" dxfId="2601" priority="346" operator="equal">
      <formula>"DSM"</formula>
    </cfRule>
  </conditionalFormatting>
  <conditionalFormatting sqref="S199">
    <cfRule type="cellIs" dxfId="2600" priority="345" operator="equal">
      <formula>"DSM"</formula>
    </cfRule>
  </conditionalFormatting>
  <conditionalFormatting sqref="S200">
    <cfRule type="cellIs" dxfId="2599" priority="344" operator="equal">
      <formula>"DSM"</formula>
    </cfRule>
  </conditionalFormatting>
  <conditionalFormatting sqref="S201">
    <cfRule type="cellIs" dxfId="2598" priority="343" operator="equal">
      <formula>"DSM"</formula>
    </cfRule>
  </conditionalFormatting>
  <conditionalFormatting sqref="S202">
    <cfRule type="cellIs" dxfId="2597" priority="342" operator="equal">
      <formula>"DSM"</formula>
    </cfRule>
  </conditionalFormatting>
  <conditionalFormatting sqref="S203">
    <cfRule type="cellIs" dxfId="2596" priority="341" operator="equal">
      <formula>"DSM"</formula>
    </cfRule>
  </conditionalFormatting>
  <conditionalFormatting sqref="S204">
    <cfRule type="cellIs" dxfId="2595" priority="340" operator="equal">
      <formula>"DSM"</formula>
    </cfRule>
  </conditionalFormatting>
  <conditionalFormatting sqref="S205">
    <cfRule type="cellIs" dxfId="2594" priority="339" operator="equal">
      <formula>"DSM"</formula>
    </cfRule>
  </conditionalFormatting>
  <conditionalFormatting sqref="S206">
    <cfRule type="cellIs" dxfId="2593" priority="338" operator="equal">
      <formula>"DSM"</formula>
    </cfRule>
  </conditionalFormatting>
  <conditionalFormatting sqref="S207">
    <cfRule type="cellIs" dxfId="2592" priority="337" operator="equal">
      <formula>"DSM"</formula>
    </cfRule>
  </conditionalFormatting>
  <conditionalFormatting sqref="S208">
    <cfRule type="cellIs" dxfId="2591" priority="336" operator="equal">
      <formula>"DSM"</formula>
    </cfRule>
  </conditionalFormatting>
  <conditionalFormatting sqref="S209">
    <cfRule type="cellIs" dxfId="2590" priority="335" operator="equal">
      <formula>"DSM"</formula>
    </cfRule>
  </conditionalFormatting>
  <conditionalFormatting sqref="S210">
    <cfRule type="cellIs" dxfId="2589" priority="334" operator="equal">
      <formula>"DSM"</formula>
    </cfRule>
  </conditionalFormatting>
  <conditionalFormatting sqref="S211">
    <cfRule type="cellIs" dxfId="2588" priority="333" operator="equal">
      <formula>"DSM"</formula>
    </cfRule>
  </conditionalFormatting>
  <conditionalFormatting sqref="S212">
    <cfRule type="cellIs" dxfId="2587" priority="332" operator="equal">
      <formula>"DSM"</formula>
    </cfRule>
  </conditionalFormatting>
  <conditionalFormatting sqref="S213">
    <cfRule type="cellIs" dxfId="2586" priority="331" operator="equal">
      <formula>"DSM"</formula>
    </cfRule>
  </conditionalFormatting>
  <conditionalFormatting sqref="S214">
    <cfRule type="cellIs" dxfId="2585" priority="330" operator="equal">
      <formula>"DSM"</formula>
    </cfRule>
  </conditionalFormatting>
  <conditionalFormatting sqref="S215">
    <cfRule type="cellIs" dxfId="2584" priority="329" operator="equal">
      <formula>"DSM"</formula>
    </cfRule>
  </conditionalFormatting>
  <conditionalFormatting sqref="S218">
    <cfRule type="cellIs" dxfId="2583" priority="328" operator="equal">
      <formula>"DSM"</formula>
    </cfRule>
  </conditionalFormatting>
  <conditionalFormatting sqref="S222">
    <cfRule type="cellIs" dxfId="2582" priority="327" operator="equal">
      <formula>"DSM"</formula>
    </cfRule>
  </conditionalFormatting>
  <conditionalFormatting sqref="S223">
    <cfRule type="cellIs" dxfId="2581" priority="326" operator="equal">
      <formula>"DSM"</formula>
    </cfRule>
  </conditionalFormatting>
  <conditionalFormatting sqref="S216">
    <cfRule type="cellIs" dxfId="2580" priority="325" operator="equal">
      <formula>"DSM"</formula>
    </cfRule>
  </conditionalFormatting>
  <conditionalFormatting sqref="S224">
    <cfRule type="cellIs" dxfId="2579" priority="324" operator="equal">
      <formula>"DSM"</formula>
    </cfRule>
  </conditionalFormatting>
  <conditionalFormatting sqref="S217">
    <cfRule type="cellIs" dxfId="2578" priority="323" operator="equal">
      <formula>"DSM"</formula>
    </cfRule>
  </conditionalFormatting>
  <conditionalFormatting sqref="S220">
    <cfRule type="cellIs" dxfId="2577" priority="322" operator="equal">
      <formula>"DSM"</formula>
    </cfRule>
  </conditionalFormatting>
  <conditionalFormatting sqref="S219">
    <cfRule type="cellIs" dxfId="2576" priority="321" operator="equal">
      <formula>"DSM"</formula>
    </cfRule>
  </conditionalFormatting>
  <conditionalFormatting sqref="S225">
    <cfRule type="cellIs" dxfId="2575" priority="320" operator="equal">
      <formula>"DSM"</formula>
    </cfRule>
  </conditionalFormatting>
  <conditionalFormatting sqref="S226">
    <cfRule type="cellIs" dxfId="2574" priority="319" operator="equal">
      <formula>"DSM"</formula>
    </cfRule>
  </conditionalFormatting>
  <conditionalFormatting sqref="S227">
    <cfRule type="cellIs" dxfId="2573" priority="318" operator="equal">
      <formula>"DSM"</formula>
    </cfRule>
  </conditionalFormatting>
  <conditionalFormatting sqref="S228">
    <cfRule type="cellIs" dxfId="2572" priority="317" operator="equal">
      <formula>"DSM"</formula>
    </cfRule>
  </conditionalFormatting>
  <conditionalFormatting sqref="S229">
    <cfRule type="cellIs" dxfId="2571" priority="316" operator="equal">
      <formula>"DSM"</formula>
    </cfRule>
  </conditionalFormatting>
  <conditionalFormatting sqref="S230">
    <cfRule type="cellIs" dxfId="2570" priority="315" operator="equal">
      <formula>"DSM"</formula>
    </cfRule>
  </conditionalFormatting>
  <conditionalFormatting sqref="S231">
    <cfRule type="cellIs" dxfId="2569" priority="314" operator="equal">
      <formula>"DSM"</formula>
    </cfRule>
  </conditionalFormatting>
  <conditionalFormatting sqref="S232">
    <cfRule type="cellIs" dxfId="2568" priority="313" operator="equal">
      <formula>"DSM"</formula>
    </cfRule>
  </conditionalFormatting>
  <conditionalFormatting sqref="S233">
    <cfRule type="cellIs" dxfId="2567" priority="312" operator="equal">
      <formula>"DSM"</formula>
    </cfRule>
  </conditionalFormatting>
  <conditionalFormatting sqref="S234">
    <cfRule type="cellIs" dxfId="2566" priority="311" operator="equal">
      <formula>"DSM"</formula>
    </cfRule>
  </conditionalFormatting>
  <conditionalFormatting sqref="S235">
    <cfRule type="cellIs" dxfId="2565" priority="310" operator="equal">
      <formula>"DSM"</formula>
    </cfRule>
  </conditionalFormatting>
  <conditionalFormatting sqref="S236">
    <cfRule type="cellIs" dxfId="2564" priority="309" operator="equal">
      <formula>"DSM"</formula>
    </cfRule>
  </conditionalFormatting>
  <conditionalFormatting sqref="S237">
    <cfRule type="cellIs" dxfId="2563" priority="308" operator="equal">
      <formula>"DSM"</formula>
    </cfRule>
  </conditionalFormatting>
  <conditionalFormatting sqref="S238">
    <cfRule type="cellIs" dxfId="2562" priority="307" operator="equal">
      <formula>"DSM"</formula>
    </cfRule>
  </conditionalFormatting>
  <conditionalFormatting sqref="S239">
    <cfRule type="cellIs" dxfId="2561" priority="306" operator="equal">
      <formula>"DSM"</formula>
    </cfRule>
  </conditionalFormatting>
  <conditionalFormatting sqref="S240">
    <cfRule type="cellIs" dxfId="2560" priority="305" operator="equal">
      <formula>"DSM"</formula>
    </cfRule>
  </conditionalFormatting>
  <conditionalFormatting sqref="S241">
    <cfRule type="cellIs" dxfId="2559" priority="304" operator="equal">
      <formula>"DSM"</formula>
    </cfRule>
  </conditionalFormatting>
  <conditionalFormatting sqref="S242">
    <cfRule type="cellIs" dxfId="2558" priority="303" operator="equal">
      <formula>"DSM"</formula>
    </cfRule>
  </conditionalFormatting>
  <conditionalFormatting sqref="S243">
    <cfRule type="cellIs" dxfId="2557" priority="302" operator="equal">
      <formula>"DSM"</formula>
    </cfRule>
  </conditionalFormatting>
  <conditionalFormatting sqref="S244">
    <cfRule type="cellIs" dxfId="2556" priority="301" operator="equal">
      <formula>"DSM"</formula>
    </cfRule>
  </conditionalFormatting>
  <conditionalFormatting sqref="S245">
    <cfRule type="cellIs" dxfId="2555" priority="300" operator="equal">
      <formula>"DSM"</formula>
    </cfRule>
  </conditionalFormatting>
  <conditionalFormatting sqref="S246">
    <cfRule type="cellIs" dxfId="2554" priority="299" operator="equal">
      <formula>"DSM"</formula>
    </cfRule>
  </conditionalFormatting>
  <conditionalFormatting sqref="S247">
    <cfRule type="cellIs" dxfId="2553" priority="298" operator="equal">
      <formula>"DSM"</formula>
    </cfRule>
  </conditionalFormatting>
  <conditionalFormatting sqref="S248">
    <cfRule type="cellIs" dxfId="2552" priority="297" operator="equal">
      <formula>"DSM"</formula>
    </cfRule>
  </conditionalFormatting>
  <conditionalFormatting sqref="S249">
    <cfRule type="cellIs" dxfId="2551" priority="296" operator="equal">
      <formula>"DSM"</formula>
    </cfRule>
  </conditionalFormatting>
  <conditionalFormatting sqref="S250">
    <cfRule type="cellIs" dxfId="2550" priority="295" operator="equal">
      <formula>"DSM"</formula>
    </cfRule>
  </conditionalFormatting>
  <conditionalFormatting sqref="S251">
    <cfRule type="cellIs" dxfId="2549" priority="294" operator="equal">
      <formula>"DSM"</formula>
    </cfRule>
  </conditionalFormatting>
  <conditionalFormatting sqref="S252">
    <cfRule type="cellIs" dxfId="2548" priority="293" operator="equal">
      <formula>"DSM"</formula>
    </cfRule>
  </conditionalFormatting>
  <conditionalFormatting sqref="S254">
    <cfRule type="cellIs" dxfId="2547" priority="292" operator="equal">
      <formula>"DSM"</formula>
    </cfRule>
  </conditionalFormatting>
  <conditionalFormatting sqref="S255">
    <cfRule type="cellIs" dxfId="2546" priority="291" operator="equal">
      <formula>"DSM"</formula>
    </cfRule>
  </conditionalFormatting>
  <conditionalFormatting sqref="S256">
    <cfRule type="cellIs" dxfId="2545" priority="290" operator="equal">
      <formula>"DSM"</formula>
    </cfRule>
  </conditionalFormatting>
  <conditionalFormatting sqref="S257">
    <cfRule type="cellIs" dxfId="2544" priority="289" operator="equal">
      <formula>"DSM"</formula>
    </cfRule>
  </conditionalFormatting>
  <conditionalFormatting sqref="S258">
    <cfRule type="cellIs" dxfId="2543" priority="288" operator="equal">
      <formula>"DSM"</formula>
    </cfRule>
  </conditionalFormatting>
  <conditionalFormatting sqref="S263">
    <cfRule type="cellIs" dxfId="2542" priority="287" operator="equal">
      <formula>"DSM"</formula>
    </cfRule>
  </conditionalFormatting>
  <conditionalFormatting sqref="S265">
    <cfRule type="cellIs" dxfId="2541" priority="286" operator="equal">
      <formula>"DSM"</formula>
    </cfRule>
  </conditionalFormatting>
  <conditionalFormatting sqref="S260">
    <cfRule type="cellIs" dxfId="2540" priority="285" operator="equal">
      <formula>"DSM"</formula>
    </cfRule>
  </conditionalFormatting>
  <conditionalFormatting sqref="S261">
    <cfRule type="cellIs" dxfId="2539" priority="284" operator="equal">
      <formula>"DSM"</formula>
    </cfRule>
  </conditionalFormatting>
  <conditionalFormatting sqref="S262">
    <cfRule type="cellIs" dxfId="2538" priority="283" operator="equal">
      <formula>"DSM"</formula>
    </cfRule>
  </conditionalFormatting>
  <conditionalFormatting sqref="S266">
    <cfRule type="cellIs" dxfId="2537" priority="282" operator="equal">
      <formula>"DSM"</formula>
    </cfRule>
  </conditionalFormatting>
  <conditionalFormatting sqref="S267">
    <cfRule type="cellIs" dxfId="2536" priority="281" operator="equal">
      <formula>"DSM"</formula>
    </cfRule>
  </conditionalFormatting>
  <conditionalFormatting sqref="S268">
    <cfRule type="cellIs" dxfId="2535" priority="280" operator="equal">
      <formula>"DSM"</formula>
    </cfRule>
  </conditionalFormatting>
  <conditionalFormatting sqref="S272">
    <cfRule type="cellIs" dxfId="2534" priority="279" operator="equal">
      <formula>"DSM"</formula>
    </cfRule>
  </conditionalFormatting>
  <conditionalFormatting sqref="S279">
    <cfRule type="cellIs" dxfId="2533" priority="278" operator="equal">
      <formula>"DSM"</formula>
    </cfRule>
  </conditionalFormatting>
  <conditionalFormatting sqref="S280">
    <cfRule type="cellIs" dxfId="2532" priority="277" operator="equal">
      <formula>"DSM"</formula>
    </cfRule>
  </conditionalFormatting>
  <conditionalFormatting sqref="S281">
    <cfRule type="cellIs" dxfId="2531" priority="276" operator="equal">
      <formula>"DSM"</formula>
    </cfRule>
  </conditionalFormatting>
  <conditionalFormatting sqref="S282">
    <cfRule type="cellIs" dxfId="2530" priority="275" operator="equal">
      <formula>"DSM"</formula>
    </cfRule>
  </conditionalFormatting>
  <conditionalFormatting sqref="S283">
    <cfRule type="cellIs" dxfId="2529" priority="274" operator="equal">
      <formula>"DSM"</formula>
    </cfRule>
  </conditionalFormatting>
  <conditionalFormatting sqref="S284">
    <cfRule type="cellIs" dxfId="2528" priority="273" operator="equal">
      <formula>"DSM"</formula>
    </cfRule>
  </conditionalFormatting>
  <conditionalFormatting sqref="S286">
    <cfRule type="cellIs" dxfId="2527" priority="272" operator="equal">
      <formula>"DSM"</formula>
    </cfRule>
  </conditionalFormatting>
  <conditionalFormatting sqref="S287">
    <cfRule type="cellIs" dxfId="2526" priority="271" operator="equal">
      <formula>"DSM"</formula>
    </cfRule>
  </conditionalFormatting>
  <conditionalFormatting sqref="S288">
    <cfRule type="cellIs" dxfId="2525" priority="270" operator="equal">
      <formula>"DSM"</formula>
    </cfRule>
  </conditionalFormatting>
  <conditionalFormatting sqref="S289">
    <cfRule type="cellIs" dxfId="2524" priority="269" operator="equal">
      <formula>"DSM"</formula>
    </cfRule>
  </conditionalFormatting>
  <conditionalFormatting sqref="S290">
    <cfRule type="cellIs" dxfId="2523" priority="268" operator="equal">
      <formula>"DSM"</formula>
    </cfRule>
  </conditionalFormatting>
  <conditionalFormatting sqref="S291">
    <cfRule type="cellIs" dxfId="2522" priority="267" operator="equal">
      <formula>"DSM"</formula>
    </cfRule>
  </conditionalFormatting>
  <conditionalFormatting sqref="S292">
    <cfRule type="cellIs" dxfId="2521" priority="266" operator="equal">
      <formula>"DSM"</formula>
    </cfRule>
  </conditionalFormatting>
  <conditionalFormatting sqref="S293">
    <cfRule type="cellIs" dxfId="2520" priority="265" operator="equal">
      <formula>"DSM"</formula>
    </cfRule>
  </conditionalFormatting>
  <conditionalFormatting sqref="S294">
    <cfRule type="cellIs" dxfId="2519" priority="264" operator="equal">
      <formula>"DSM"</formula>
    </cfRule>
  </conditionalFormatting>
  <conditionalFormatting sqref="S295">
    <cfRule type="cellIs" dxfId="2518" priority="263" operator="equal">
      <formula>"DSM"</formula>
    </cfRule>
  </conditionalFormatting>
  <conditionalFormatting sqref="S296">
    <cfRule type="cellIs" dxfId="2517" priority="262" operator="equal">
      <formula>"DSM"</formula>
    </cfRule>
  </conditionalFormatting>
  <conditionalFormatting sqref="S297">
    <cfRule type="cellIs" dxfId="2516" priority="261" operator="equal">
      <formula>"DSM"</formula>
    </cfRule>
  </conditionalFormatting>
  <conditionalFormatting sqref="S298">
    <cfRule type="cellIs" dxfId="2515" priority="260" operator="equal">
      <formula>"DSM"</formula>
    </cfRule>
  </conditionalFormatting>
  <conditionalFormatting sqref="S299">
    <cfRule type="cellIs" dxfId="2514" priority="259" operator="equal">
      <formula>"DSM"</formula>
    </cfRule>
  </conditionalFormatting>
  <conditionalFormatting sqref="S300">
    <cfRule type="cellIs" dxfId="2513" priority="258" operator="equal">
      <formula>"DSM"</formula>
    </cfRule>
  </conditionalFormatting>
  <conditionalFormatting sqref="S301">
    <cfRule type="cellIs" dxfId="2512" priority="257" operator="equal">
      <formula>"DSM"</formula>
    </cfRule>
  </conditionalFormatting>
  <conditionalFormatting sqref="S302">
    <cfRule type="cellIs" dxfId="2511" priority="256" operator="equal">
      <formula>"DSM"</formula>
    </cfRule>
  </conditionalFormatting>
  <conditionalFormatting sqref="S303">
    <cfRule type="cellIs" dxfId="2510" priority="255" operator="equal">
      <formula>"DSM"</formula>
    </cfRule>
  </conditionalFormatting>
  <conditionalFormatting sqref="S304">
    <cfRule type="cellIs" dxfId="2509" priority="254" operator="equal">
      <formula>"DSM"</formula>
    </cfRule>
  </conditionalFormatting>
  <conditionalFormatting sqref="S305">
    <cfRule type="cellIs" dxfId="2508" priority="253" operator="equal">
      <formula>"DSM"</formula>
    </cfRule>
  </conditionalFormatting>
  <conditionalFormatting sqref="S306">
    <cfRule type="cellIs" dxfId="2507" priority="252" operator="equal">
      <formula>"DSM"</formula>
    </cfRule>
  </conditionalFormatting>
  <conditionalFormatting sqref="S307">
    <cfRule type="cellIs" dxfId="2506" priority="251" operator="equal">
      <formula>"DSM"</formula>
    </cfRule>
  </conditionalFormatting>
  <conditionalFormatting sqref="S308">
    <cfRule type="cellIs" dxfId="2505" priority="250" operator="equal">
      <formula>"DSM"</formula>
    </cfRule>
  </conditionalFormatting>
  <conditionalFormatting sqref="S310">
    <cfRule type="cellIs" dxfId="2504" priority="249" operator="equal">
      <formula>"DSM"</formula>
    </cfRule>
  </conditionalFormatting>
  <conditionalFormatting sqref="S311">
    <cfRule type="cellIs" dxfId="2503" priority="248" operator="equal">
      <formula>"DSM"</formula>
    </cfRule>
  </conditionalFormatting>
  <conditionalFormatting sqref="S312">
    <cfRule type="cellIs" dxfId="2502" priority="247" operator="equal">
      <formula>"DSM"</formula>
    </cfRule>
  </conditionalFormatting>
  <conditionalFormatting sqref="S313">
    <cfRule type="cellIs" dxfId="2501" priority="246" operator="equal">
      <formula>"DSM"</formula>
    </cfRule>
  </conditionalFormatting>
  <conditionalFormatting sqref="S314">
    <cfRule type="cellIs" dxfId="2500" priority="245" operator="equal">
      <formula>"DSM"</formula>
    </cfRule>
  </conditionalFormatting>
  <conditionalFormatting sqref="S315">
    <cfRule type="cellIs" dxfId="2499" priority="244" operator="equal">
      <formula>"DSM"</formula>
    </cfRule>
  </conditionalFormatting>
  <conditionalFormatting sqref="S316">
    <cfRule type="cellIs" dxfId="2498" priority="243" operator="equal">
      <formula>"DSM"</formula>
    </cfRule>
  </conditionalFormatting>
  <conditionalFormatting sqref="S317">
    <cfRule type="cellIs" dxfId="2497" priority="242" operator="equal">
      <formula>"DSM"</formula>
    </cfRule>
  </conditionalFormatting>
  <conditionalFormatting sqref="S318">
    <cfRule type="cellIs" dxfId="2496" priority="241" operator="equal">
      <formula>"DSM"</formula>
    </cfRule>
  </conditionalFormatting>
  <conditionalFormatting sqref="S319">
    <cfRule type="cellIs" dxfId="2495" priority="240" operator="equal">
      <formula>"DSM"</formula>
    </cfRule>
  </conditionalFormatting>
  <conditionalFormatting sqref="S320">
    <cfRule type="cellIs" dxfId="2494" priority="239" operator="equal">
      <formula>"DSM"</formula>
    </cfRule>
  </conditionalFormatting>
  <conditionalFormatting sqref="S321">
    <cfRule type="cellIs" dxfId="2493" priority="238" operator="equal">
      <formula>"DSM"</formula>
    </cfRule>
  </conditionalFormatting>
  <conditionalFormatting sqref="S322">
    <cfRule type="cellIs" dxfId="2492" priority="237" operator="equal">
      <formula>"DSM"</formula>
    </cfRule>
  </conditionalFormatting>
  <conditionalFormatting sqref="S323">
    <cfRule type="cellIs" dxfId="2491" priority="236" operator="equal">
      <formula>"DSM"</formula>
    </cfRule>
  </conditionalFormatting>
  <conditionalFormatting sqref="S324">
    <cfRule type="cellIs" dxfId="2490" priority="235" operator="equal">
      <formula>"DSM"</formula>
    </cfRule>
  </conditionalFormatting>
  <conditionalFormatting sqref="S325:S331">
    <cfRule type="cellIs" dxfId="2489" priority="234" operator="equal">
      <formula>"DSM"</formula>
    </cfRule>
  </conditionalFormatting>
  <conditionalFormatting sqref="S333:S343">
    <cfRule type="cellIs" dxfId="2488" priority="233" operator="equal">
      <formula>"DSM"</formula>
    </cfRule>
  </conditionalFormatting>
  <conditionalFormatting sqref="S344">
    <cfRule type="cellIs" dxfId="2487" priority="232" operator="equal">
      <formula>"DSM"</formula>
    </cfRule>
  </conditionalFormatting>
  <conditionalFormatting sqref="S361:S373">
    <cfRule type="cellIs" dxfId="2486" priority="231" operator="equal">
      <formula>"DSM"</formula>
    </cfRule>
  </conditionalFormatting>
  <conditionalFormatting sqref="S375">
    <cfRule type="cellIs" dxfId="2485" priority="230" operator="equal">
      <formula>"DSM"</formula>
    </cfRule>
  </conditionalFormatting>
  <conditionalFormatting sqref="S376">
    <cfRule type="cellIs" dxfId="2484" priority="229" operator="equal">
      <formula>"DSM"</formula>
    </cfRule>
  </conditionalFormatting>
  <conditionalFormatting sqref="S377">
    <cfRule type="cellIs" dxfId="2483" priority="228" operator="equal">
      <formula>"DSM"</formula>
    </cfRule>
  </conditionalFormatting>
  <conditionalFormatting sqref="S378">
    <cfRule type="cellIs" dxfId="2482" priority="227" operator="equal">
      <formula>"DSM"</formula>
    </cfRule>
  </conditionalFormatting>
  <conditionalFormatting sqref="S379">
    <cfRule type="cellIs" dxfId="2481" priority="226" operator="equal">
      <formula>"DSM"</formula>
    </cfRule>
  </conditionalFormatting>
  <conditionalFormatting sqref="S380">
    <cfRule type="cellIs" dxfId="2480" priority="225" operator="equal">
      <formula>"DSM"</formula>
    </cfRule>
  </conditionalFormatting>
  <conditionalFormatting sqref="S381">
    <cfRule type="cellIs" dxfId="2479" priority="224" operator="equal">
      <formula>"DSM"</formula>
    </cfRule>
  </conditionalFormatting>
  <conditionalFormatting sqref="S382">
    <cfRule type="cellIs" dxfId="2478" priority="223" operator="equal">
      <formula>"DSM"</formula>
    </cfRule>
  </conditionalFormatting>
  <conditionalFormatting sqref="S383">
    <cfRule type="cellIs" dxfId="2477" priority="222" operator="equal">
      <formula>"DSM"</formula>
    </cfRule>
  </conditionalFormatting>
  <conditionalFormatting sqref="S384">
    <cfRule type="cellIs" dxfId="2476" priority="221" operator="equal">
      <formula>"DSM"</formula>
    </cfRule>
  </conditionalFormatting>
  <conditionalFormatting sqref="S385">
    <cfRule type="cellIs" dxfId="2475" priority="220" operator="equal">
      <formula>"DSM"</formula>
    </cfRule>
  </conditionalFormatting>
  <conditionalFormatting sqref="S388">
    <cfRule type="cellIs" dxfId="2474" priority="219" operator="equal">
      <formula>"DSM"</formula>
    </cfRule>
  </conditionalFormatting>
  <conditionalFormatting sqref="S390">
    <cfRule type="cellIs" dxfId="2473" priority="218" operator="equal">
      <formula>"DSM"</formula>
    </cfRule>
  </conditionalFormatting>
  <conditionalFormatting sqref="S392">
    <cfRule type="cellIs" dxfId="2472" priority="217" operator="equal">
      <formula>"DSM"</formula>
    </cfRule>
  </conditionalFormatting>
  <conditionalFormatting sqref="S391">
    <cfRule type="cellIs" dxfId="2471" priority="216" operator="equal">
      <formula>"DSM"</formula>
    </cfRule>
  </conditionalFormatting>
  <conditionalFormatting sqref="S389">
    <cfRule type="cellIs" dxfId="2470" priority="215" operator="equal">
      <formula>"DSM"</formula>
    </cfRule>
  </conditionalFormatting>
  <conditionalFormatting sqref="S394">
    <cfRule type="cellIs" dxfId="2469" priority="214" operator="equal">
      <formula>"DSM"</formula>
    </cfRule>
  </conditionalFormatting>
  <conditionalFormatting sqref="S395">
    <cfRule type="cellIs" dxfId="2468" priority="213" operator="equal">
      <formula>"DSM"</formula>
    </cfRule>
  </conditionalFormatting>
  <conditionalFormatting sqref="S396">
    <cfRule type="cellIs" dxfId="2467" priority="212" operator="equal">
      <formula>"DSM"</formula>
    </cfRule>
  </conditionalFormatting>
  <conditionalFormatting sqref="S397">
    <cfRule type="cellIs" dxfId="2466" priority="211" operator="equal">
      <formula>"DSM"</formula>
    </cfRule>
  </conditionalFormatting>
  <conditionalFormatting sqref="S398">
    <cfRule type="cellIs" dxfId="2465" priority="210" operator="equal">
      <formula>"DSM"</formula>
    </cfRule>
  </conditionalFormatting>
  <conditionalFormatting sqref="S399">
    <cfRule type="cellIs" dxfId="2464" priority="209" operator="equal">
      <formula>"DSM"</formula>
    </cfRule>
  </conditionalFormatting>
  <conditionalFormatting sqref="S400">
    <cfRule type="cellIs" dxfId="2463" priority="208" operator="equal">
      <formula>"DSM"</formula>
    </cfRule>
  </conditionalFormatting>
  <conditionalFormatting sqref="S401">
    <cfRule type="cellIs" dxfId="2462" priority="207" operator="equal">
      <formula>"DSM"</formula>
    </cfRule>
  </conditionalFormatting>
  <conditionalFormatting sqref="S402">
    <cfRule type="cellIs" dxfId="2461" priority="206" operator="equal">
      <formula>"DSM"</formula>
    </cfRule>
  </conditionalFormatting>
  <conditionalFormatting sqref="S403">
    <cfRule type="cellIs" dxfId="2460" priority="205" operator="equal">
      <formula>"DSM"</formula>
    </cfRule>
  </conditionalFormatting>
  <conditionalFormatting sqref="S404">
    <cfRule type="cellIs" dxfId="2459" priority="204" operator="equal">
      <formula>"DSM"</formula>
    </cfRule>
  </conditionalFormatting>
  <conditionalFormatting sqref="S410">
    <cfRule type="cellIs" dxfId="2458" priority="200" operator="equal">
      <formula>"DSM"</formula>
    </cfRule>
  </conditionalFormatting>
  <conditionalFormatting sqref="S407">
    <cfRule type="cellIs" dxfId="2457" priority="203" operator="equal">
      <formula>"DSM"</formula>
    </cfRule>
  </conditionalFormatting>
  <conditionalFormatting sqref="S408">
    <cfRule type="cellIs" dxfId="2456" priority="202" operator="equal">
      <formula>"DSM"</formula>
    </cfRule>
  </conditionalFormatting>
  <conditionalFormatting sqref="S409">
    <cfRule type="cellIs" dxfId="2455" priority="201" operator="equal">
      <formula>"DSM"</formula>
    </cfRule>
  </conditionalFormatting>
  <conditionalFormatting sqref="S411">
    <cfRule type="cellIs" dxfId="2454" priority="199" operator="equal">
      <formula>"DSM"</formula>
    </cfRule>
  </conditionalFormatting>
  <conditionalFormatting sqref="S412">
    <cfRule type="cellIs" dxfId="2453" priority="198" operator="equal">
      <formula>"DSM"</formula>
    </cfRule>
  </conditionalFormatting>
  <conditionalFormatting sqref="S413">
    <cfRule type="cellIs" dxfId="2452" priority="197" operator="equal">
      <formula>"DSM"</formula>
    </cfRule>
  </conditionalFormatting>
  <conditionalFormatting sqref="S414:S417">
    <cfRule type="cellIs" dxfId="2451" priority="196" operator="equal">
      <formula>"DSM"</formula>
    </cfRule>
  </conditionalFormatting>
  <conditionalFormatting sqref="S419">
    <cfRule type="cellIs" dxfId="2450" priority="195" operator="equal">
      <formula>"DSM"</formula>
    </cfRule>
  </conditionalFormatting>
  <conditionalFormatting sqref="S420">
    <cfRule type="cellIs" dxfId="2449" priority="194" operator="equal">
      <formula>"DSM"</formula>
    </cfRule>
  </conditionalFormatting>
  <conditionalFormatting sqref="S424">
    <cfRule type="cellIs" dxfId="2448" priority="193" operator="equal">
      <formula>"DSM"</formula>
    </cfRule>
  </conditionalFormatting>
  <conditionalFormatting sqref="S431">
    <cfRule type="cellIs" dxfId="2447" priority="192" operator="equal">
      <formula>"DSM"</formula>
    </cfRule>
  </conditionalFormatting>
  <conditionalFormatting sqref="S432">
    <cfRule type="cellIs" dxfId="2446" priority="191" operator="equal">
      <formula>"DSM"</formula>
    </cfRule>
  </conditionalFormatting>
  <conditionalFormatting sqref="S433:S439">
    <cfRule type="cellIs" dxfId="2445" priority="190" operator="equal">
      <formula>"DSM"</formula>
    </cfRule>
  </conditionalFormatting>
  <conditionalFormatting sqref="S430">
    <cfRule type="cellIs" dxfId="2444" priority="189" operator="equal">
      <formula>"DSM"</formula>
    </cfRule>
  </conditionalFormatting>
  <conditionalFormatting sqref="S428">
    <cfRule type="cellIs" dxfId="2443" priority="188" operator="equal">
      <formula>"DSM"</formula>
    </cfRule>
  </conditionalFormatting>
  <conditionalFormatting sqref="S29:X29">
    <cfRule type="expression" dxfId="2442" priority="3370">
      <formula>$T29="DSM"</formula>
    </cfRule>
    <cfRule type="expression" dxfId="2441" priority="3371">
      <formula>SEARCH("RBT",#REF!)&gt;0</formula>
    </cfRule>
    <cfRule type="expression" dxfId="2440" priority="3372">
      <formula>SEARCH("GST",#REF!)&gt;0</formula>
    </cfRule>
    <cfRule type="expression" dxfId="2439" priority="3373">
      <formula>SEARCH("CHN",$T29)&gt;0</formula>
    </cfRule>
    <cfRule type="expression" dxfId="2438" priority="3374">
      <formula>$T29="LFS"</formula>
    </cfRule>
  </conditionalFormatting>
  <conditionalFormatting sqref="S427">
    <cfRule type="cellIs" dxfId="2437" priority="187" operator="equal">
      <formula>"DSM"</formula>
    </cfRule>
  </conditionalFormatting>
  <conditionalFormatting sqref="J440:N440">
    <cfRule type="cellIs" dxfId="2436" priority="186" operator="equal">
      <formula>"DSM"</formula>
    </cfRule>
  </conditionalFormatting>
  <conditionalFormatting sqref="Q440">
    <cfRule type="cellIs" dxfId="2435" priority="185" operator="equal">
      <formula>"DSM"</formula>
    </cfRule>
  </conditionalFormatting>
  <conditionalFormatting sqref="R440:X440">
    <cfRule type="cellIs" dxfId="2434" priority="184" operator="equal">
      <formula>"DSM"</formula>
    </cfRule>
  </conditionalFormatting>
  <conditionalFormatting sqref="S441:S443">
    <cfRule type="cellIs" dxfId="2433" priority="183" operator="equal">
      <formula>"DSM"</formula>
    </cfRule>
  </conditionalFormatting>
  <conditionalFormatting sqref="S444">
    <cfRule type="cellIs" dxfId="2432" priority="182" operator="equal">
      <formula>"DSM"</formula>
    </cfRule>
  </conditionalFormatting>
  <conditionalFormatting sqref="S445">
    <cfRule type="cellIs" dxfId="2431" priority="181" operator="equal">
      <formula>"DSM"</formula>
    </cfRule>
  </conditionalFormatting>
  <conditionalFormatting sqref="S446">
    <cfRule type="cellIs" dxfId="2430" priority="180" operator="equal">
      <formula>"DSM"</formula>
    </cfRule>
  </conditionalFormatting>
  <conditionalFormatting sqref="S447">
    <cfRule type="cellIs" dxfId="2429" priority="179" operator="equal">
      <formula>"DSM"</formula>
    </cfRule>
  </conditionalFormatting>
  <conditionalFormatting sqref="S448">
    <cfRule type="cellIs" dxfId="2428" priority="178" operator="equal">
      <formula>"DSM"</formula>
    </cfRule>
  </conditionalFormatting>
  <conditionalFormatting sqref="S449">
    <cfRule type="cellIs" dxfId="2427" priority="177" operator="equal">
      <formula>"DSM"</formula>
    </cfRule>
  </conditionalFormatting>
  <conditionalFormatting sqref="S450">
    <cfRule type="cellIs" dxfId="2426" priority="176" operator="equal">
      <formula>"DSM"</formula>
    </cfRule>
  </conditionalFormatting>
  <conditionalFormatting sqref="S451">
    <cfRule type="cellIs" dxfId="2425" priority="175" operator="equal">
      <formula>"DSM"</formula>
    </cfRule>
  </conditionalFormatting>
  <conditionalFormatting sqref="S453">
    <cfRule type="cellIs" dxfId="2424" priority="174" operator="equal">
      <formula>"DSM"</formula>
    </cfRule>
  </conditionalFormatting>
  <conditionalFormatting sqref="S454">
    <cfRule type="cellIs" dxfId="2423" priority="173" operator="equal">
      <formula>"DSM"</formula>
    </cfRule>
  </conditionalFormatting>
  <conditionalFormatting sqref="S456">
    <cfRule type="cellIs" dxfId="2422" priority="172" operator="equal">
      <formula>"DSM"</formula>
    </cfRule>
  </conditionalFormatting>
  <conditionalFormatting sqref="S457">
    <cfRule type="cellIs" dxfId="2421" priority="171" operator="equal">
      <formula>"DSM"</formula>
    </cfRule>
  </conditionalFormatting>
  <conditionalFormatting sqref="S458">
    <cfRule type="cellIs" dxfId="2420" priority="170" operator="equal">
      <formula>"DSM"</formula>
    </cfRule>
  </conditionalFormatting>
  <conditionalFormatting sqref="S459">
    <cfRule type="cellIs" dxfId="2419" priority="169" operator="equal">
      <formula>"DSM"</formula>
    </cfRule>
  </conditionalFormatting>
  <conditionalFormatting sqref="S461">
    <cfRule type="cellIs" dxfId="2418" priority="168" operator="equal">
      <formula>"DSM"</formula>
    </cfRule>
  </conditionalFormatting>
  <conditionalFormatting sqref="S462">
    <cfRule type="cellIs" dxfId="2417" priority="167" operator="equal">
      <formula>"DSM"</formula>
    </cfRule>
  </conditionalFormatting>
  <conditionalFormatting sqref="S30:X35 J13:N16 S21:X28 J8:N8">
    <cfRule type="expression" dxfId="2416" priority="3380">
      <formula>$T8="DSM"</formula>
    </cfRule>
    <cfRule type="expression" dxfId="2415" priority="3381">
      <formula>SEARCH("RBT",$T1048550)&gt;0</formula>
    </cfRule>
    <cfRule type="expression" dxfId="2414" priority="3382">
      <formula>SEARCH("GST",$T1048550)&gt;0</formula>
    </cfRule>
    <cfRule type="expression" dxfId="2413" priority="3383">
      <formula>SEARCH("CHN",$T8)&gt;0</formula>
    </cfRule>
    <cfRule type="expression" dxfId="2412" priority="3384">
      <formula>$T8="LFS"</formula>
    </cfRule>
  </conditionalFormatting>
  <conditionalFormatting sqref="S463">
    <cfRule type="cellIs" dxfId="2411" priority="166" operator="equal">
      <formula>"DSM"</formula>
    </cfRule>
  </conditionalFormatting>
  <conditionalFormatting sqref="S464">
    <cfRule type="cellIs" dxfId="2410" priority="165" operator="equal">
      <formula>"DSM"</formula>
    </cfRule>
  </conditionalFormatting>
  <conditionalFormatting sqref="S465">
    <cfRule type="cellIs" dxfId="2409" priority="164" operator="equal">
      <formula>"DSM"</formula>
    </cfRule>
  </conditionalFormatting>
  <conditionalFormatting sqref="S466">
    <cfRule type="cellIs" dxfId="2408" priority="163" operator="equal">
      <formula>"DSM"</formula>
    </cfRule>
  </conditionalFormatting>
  <conditionalFormatting sqref="S467">
    <cfRule type="cellIs" dxfId="2407" priority="162" operator="equal">
      <formula>"DSM"</formula>
    </cfRule>
  </conditionalFormatting>
  <conditionalFormatting sqref="S468">
    <cfRule type="cellIs" dxfId="2406" priority="161" operator="equal">
      <formula>"DSM"</formula>
    </cfRule>
  </conditionalFormatting>
  <conditionalFormatting sqref="S469">
    <cfRule type="cellIs" dxfId="2405" priority="160" operator="equal">
      <formula>"DSM"</formula>
    </cfRule>
  </conditionalFormatting>
  <conditionalFormatting sqref="S470">
    <cfRule type="cellIs" dxfId="2404" priority="159" operator="equal">
      <formula>"DSM"</formula>
    </cfRule>
  </conditionalFormatting>
  <conditionalFormatting sqref="S471">
    <cfRule type="cellIs" dxfId="2403" priority="158" operator="equal">
      <formula>"DSM"</formula>
    </cfRule>
  </conditionalFormatting>
  <conditionalFormatting sqref="J472:N472">
    <cfRule type="cellIs" dxfId="2402" priority="157" operator="equal">
      <formula>"DSM"</formula>
    </cfRule>
  </conditionalFormatting>
  <conditionalFormatting sqref="Q472">
    <cfRule type="cellIs" dxfId="2401" priority="156" operator="equal">
      <formula>"DSM"</formula>
    </cfRule>
  </conditionalFormatting>
  <conditionalFormatting sqref="R472:X472">
    <cfRule type="cellIs" dxfId="2400" priority="155" operator="equal">
      <formula>"DSM"</formula>
    </cfRule>
  </conditionalFormatting>
  <conditionalFormatting sqref="S473">
    <cfRule type="cellIs" dxfId="2399" priority="154" operator="equal">
      <formula>"DSM"</formula>
    </cfRule>
  </conditionalFormatting>
  <conditionalFormatting sqref="S474">
    <cfRule type="cellIs" dxfId="2398" priority="153" operator="equal">
      <formula>"DSM"</formula>
    </cfRule>
  </conditionalFormatting>
  <conditionalFormatting sqref="S475">
    <cfRule type="cellIs" dxfId="2397" priority="152" operator="equal">
      <formula>"DSM"</formula>
    </cfRule>
  </conditionalFormatting>
  <conditionalFormatting sqref="S476">
    <cfRule type="cellIs" dxfId="2396" priority="151" operator="equal">
      <formula>"DSM"</formula>
    </cfRule>
  </conditionalFormatting>
  <conditionalFormatting sqref="S477">
    <cfRule type="cellIs" dxfId="2395" priority="150" operator="equal">
      <formula>"DSM"</formula>
    </cfRule>
  </conditionalFormatting>
  <conditionalFormatting sqref="S478">
    <cfRule type="cellIs" dxfId="2394" priority="149" operator="equal">
      <formula>"DSM"</formula>
    </cfRule>
  </conditionalFormatting>
  <conditionalFormatting sqref="S479">
    <cfRule type="cellIs" dxfId="2393" priority="148" operator="equal">
      <formula>"DSM"</formula>
    </cfRule>
  </conditionalFormatting>
  <conditionalFormatting sqref="S480">
    <cfRule type="cellIs" dxfId="2392" priority="147" operator="equal">
      <formula>"DSM"</formula>
    </cfRule>
  </conditionalFormatting>
  <conditionalFormatting sqref="S481">
    <cfRule type="cellIs" dxfId="2391" priority="146" operator="equal">
      <formula>"DSM"</formula>
    </cfRule>
  </conditionalFormatting>
  <conditionalFormatting sqref="S482">
    <cfRule type="cellIs" dxfId="2390" priority="145" operator="equal">
      <formula>"DSM"</formula>
    </cfRule>
  </conditionalFormatting>
  <conditionalFormatting sqref="S484">
    <cfRule type="cellIs" dxfId="2389" priority="144" operator="equal">
      <formula>"DSM"</formula>
    </cfRule>
  </conditionalFormatting>
  <conditionalFormatting sqref="S485">
    <cfRule type="cellIs" dxfId="2388" priority="143" operator="equal">
      <formula>"DSM"</formula>
    </cfRule>
  </conditionalFormatting>
  <conditionalFormatting sqref="S486">
    <cfRule type="cellIs" dxfId="2387" priority="142" operator="equal">
      <formula>"DSM"</formula>
    </cfRule>
  </conditionalFormatting>
  <conditionalFormatting sqref="S487">
    <cfRule type="cellIs" dxfId="2386" priority="141" operator="equal">
      <formula>"DSM"</formula>
    </cfRule>
  </conditionalFormatting>
  <conditionalFormatting sqref="S488">
    <cfRule type="cellIs" dxfId="2385" priority="140" operator="equal">
      <formula>"DSM"</formula>
    </cfRule>
  </conditionalFormatting>
  <conditionalFormatting sqref="S489">
    <cfRule type="cellIs" dxfId="2384" priority="139" operator="equal">
      <formula>"DSM"</formula>
    </cfRule>
  </conditionalFormatting>
  <conditionalFormatting sqref="J490:N490">
    <cfRule type="cellIs" dxfId="2383" priority="138" operator="equal">
      <formula>"DSM"</formula>
    </cfRule>
  </conditionalFormatting>
  <conditionalFormatting sqref="Q490">
    <cfRule type="cellIs" dxfId="2382" priority="137" operator="equal">
      <formula>"DSM"</formula>
    </cfRule>
  </conditionalFormatting>
  <conditionalFormatting sqref="R490:X490">
    <cfRule type="cellIs" dxfId="2381" priority="136" operator="equal">
      <formula>"DSM"</formula>
    </cfRule>
  </conditionalFormatting>
  <conditionalFormatting sqref="S491">
    <cfRule type="cellIs" dxfId="2380" priority="135" operator="equal">
      <formula>"DSM"</formula>
    </cfRule>
  </conditionalFormatting>
  <conditionalFormatting sqref="S492">
    <cfRule type="cellIs" dxfId="2379" priority="134" operator="equal">
      <formula>"DSM"</formula>
    </cfRule>
  </conditionalFormatting>
  <conditionalFormatting sqref="S494">
    <cfRule type="cellIs" dxfId="2378" priority="133" operator="equal">
      <formula>"DSM"</formula>
    </cfRule>
  </conditionalFormatting>
  <conditionalFormatting sqref="S497">
    <cfRule type="cellIs" dxfId="2377" priority="132" operator="equal">
      <formula>"DSM"</formula>
    </cfRule>
  </conditionalFormatting>
  <conditionalFormatting sqref="S498">
    <cfRule type="cellIs" dxfId="2376" priority="131" operator="equal">
      <formula>"DSM"</formula>
    </cfRule>
  </conditionalFormatting>
  <conditionalFormatting sqref="S495">
    <cfRule type="cellIs" dxfId="2375" priority="130" operator="equal">
      <formula>"DSM"</formula>
    </cfRule>
  </conditionalFormatting>
  <conditionalFormatting sqref="S496">
    <cfRule type="cellIs" dxfId="2374" priority="129" operator="equal">
      <formula>"DSM"</formula>
    </cfRule>
  </conditionalFormatting>
  <conditionalFormatting sqref="S499">
    <cfRule type="cellIs" dxfId="2373" priority="128" operator="equal">
      <formula>"DSM"</formula>
    </cfRule>
  </conditionalFormatting>
  <conditionalFormatting sqref="S500">
    <cfRule type="cellIs" dxfId="2372" priority="127" operator="equal">
      <formula>"DSM"</formula>
    </cfRule>
  </conditionalFormatting>
  <conditionalFormatting sqref="S493">
    <cfRule type="cellIs" dxfId="2371" priority="126" operator="equal">
      <formula>"DSM"</formula>
    </cfRule>
  </conditionalFormatting>
  <conditionalFormatting sqref="S501">
    <cfRule type="cellIs" dxfId="2370" priority="125" operator="equal">
      <formula>"DSM"</formula>
    </cfRule>
  </conditionalFormatting>
  <conditionalFormatting sqref="S503">
    <cfRule type="cellIs" dxfId="2369" priority="124" operator="equal">
      <formula>"DSM"</formula>
    </cfRule>
  </conditionalFormatting>
  <conditionalFormatting sqref="S504">
    <cfRule type="cellIs" dxfId="2368" priority="123" operator="equal">
      <formula>"DSM"</formula>
    </cfRule>
  </conditionalFormatting>
  <conditionalFormatting sqref="S502">
    <cfRule type="cellIs" dxfId="2367" priority="122" operator="equal">
      <formula>"DSM"</formula>
    </cfRule>
  </conditionalFormatting>
  <conditionalFormatting sqref="S505">
    <cfRule type="cellIs" dxfId="2366" priority="121" operator="equal">
      <formula>"DSM"</formula>
    </cfRule>
  </conditionalFormatting>
  <conditionalFormatting sqref="J506:N506">
    <cfRule type="cellIs" dxfId="2365" priority="120" operator="equal">
      <formula>"DSM"</formula>
    </cfRule>
  </conditionalFormatting>
  <conditionalFormatting sqref="Q506">
    <cfRule type="cellIs" dxfId="2364" priority="119" operator="equal">
      <formula>"DSM"</formula>
    </cfRule>
  </conditionalFormatting>
  <conditionalFormatting sqref="R506:X506">
    <cfRule type="cellIs" dxfId="2363" priority="118" operator="equal">
      <formula>"DSM"</formula>
    </cfRule>
  </conditionalFormatting>
  <conditionalFormatting sqref="S507">
    <cfRule type="cellIs" dxfId="2362" priority="117" operator="equal">
      <formula>"DSM"</formula>
    </cfRule>
  </conditionalFormatting>
  <conditionalFormatting sqref="S508">
    <cfRule type="cellIs" dxfId="2361" priority="116" operator="equal">
      <formula>"DSM"</formula>
    </cfRule>
  </conditionalFormatting>
  <conditionalFormatting sqref="J509:N509">
    <cfRule type="cellIs" dxfId="2360" priority="115" operator="equal">
      <formula>"DSM"</formula>
    </cfRule>
  </conditionalFormatting>
  <conditionalFormatting sqref="Q509">
    <cfRule type="cellIs" dxfId="2359" priority="114" operator="equal">
      <formula>"DSM"</formula>
    </cfRule>
  </conditionalFormatting>
  <conditionalFormatting sqref="R509:X509">
    <cfRule type="cellIs" dxfId="2358" priority="113" operator="equal">
      <formula>"DSM"</formula>
    </cfRule>
  </conditionalFormatting>
  <conditionalFormatting sqref="S510">
    <cfRule type="cellIs" dxfId="2357" priority="112" operator="equal">
      <formula>"DSM"</formula>
    </cfRule>
  </conditionalFormatting>
  <conditionalFormatting sqref="S511">
    <cfRule type="cellIs" dxfId="2356" priority="111" operator="equal">
      <formula>"DSM"</formula>
    </cfRule>
  </conditionalFormatting>
  <conditionalFormatting sqref="S512">
    <cfRule type="cellIs" dxfId="2355" priority="110" operator="equal">
      <formula>"DSM"</formula>
    </cfRule>
  </conditionalFormatting>
  <conditionalFormatting sqref="S513">
    <cfRule type="cellIs" dxfId="2354" priority="109" operator="equal">
      <formula>"DSM"</formula>
    </cfRule>
  </conditionalFormatting>
  <conditionalFormatting sqref="S514">
    <cfRule type="cellIs" dxfId="2353" priority="108" operator="equal">
      <formula>"DSM"</formula>
    </cfRule>
  </conditionalFormatting>
  <conditionalFormatting sqref="J22:N22">
    <cfRule type="expression" dxfId="2352" priority="3395">
      <formula>$T22="DSM"</formula>
    </cfRule>
    <cfRule type="expression" dxfId="2351" priority="3396">
      <formula>SEARCH("RBT",$T1048565)&gt;0</formula>
    </cfRule>
    <cfRule type="expression" dxfId="2350" priority="3397">
      <formula>SEARCH("GST",$T1048565)&gt;0</formula>
    </cfRule>
    <cfRule type="expression" dxfId="2349" priority="3398">
      <formula>SEARCH("CHN",$T22)&gt;0</formula>
    </cfRule>
    <cfRule type="expression" dxfId="2348" priority="3399">
      <formula>$T22="LFS"</formula>
    </cfRule>
  </conditionalFormatting>
  <conditionalFormatting sqref="S516">
    <cfRule type="cellIs" dxfId="2347" priority="107" operator="equal">
      <formula>"DSM"</formula>
    </cfRule>
  </conditionalFormatting>
  <conditionalFormatting sqref="S517">
    <cfRule type="cellIs" dxfId="2346" priority="106" operator="equal">
      <formula>"DSM"</formula>
    </cfRule>
  </conditionalFormatting>
  <conditionalFormatting sqref="S518">
    <cfRule type="cellIs" dxfId="2345" priority="105" operator="equal">
      <formula>"DSM"</formula>
    </cfRule>
  </conditionalFormatting>
  <conditionalFormatting sqref="S519:S521">
    <cfRule type="cellIs" dxfId="2344" priority="104" operator="equal">
      <formula>"DSM"</formula>
    </cfRule>
  </conditionalFormatting>
  <conditionalFormatting sqref="S522">
    <cfRule type="cellIs" dxfId="2343" priority="103" operator="equal">
      <formula>"DSM"</formula>
    </cfRule>
  </conditionalFormatting>
  <conditionalFormatting sqref="S523">
    <cfRule type="cellIs" dxfId="2342" priority="102" operator="equal">
      <formula>"DSM"</formula>
    </cfRule>
  </conditionalFormatting>
  <conditionalFormatting sqref="S525">
    <cfRule type="cellIs" dxfId="2341" priority="101" operator="equal">
      <formula>"DSM"</formula>
    </cfRule>
  </conditionalFormatting>
  <conditionalFormatting sqref="S526">
    <cfRule type="cellIs" dxfId="2340" priority="100" operator="equal">
      <formula>"DSM"</formula>
    </cfRule>
  </conditionalFormatting>
  <conditionalFormatting sqref="S527">
    <cfRule type="cellIs" dxfId="2339" priority="99" operator="equal">
      <formula>"DSM"</formula>
    </cfRule>
  </conditionalFormatting>
  <conditionalFormatting sqref="S529:S534">
    <cfRule type="cellIs" dxfId="2338" priority="98" operator="equal">
      <formula>"DSM"</formula>
    </cfRule>
  </conditionalFormatting>
  <conditionalFormatting sqref="S536:S538">
    <cfRule type="cellIs" dxfId="2337" priority="97" operator="equal">
      <formula>"DSM"</formula>
    </cfRule>
  </conditionalFormatting>
  <conditionalFormatting sqref="S539">
    <cfRule type="cellIs" dxfId="2336" priority="96" operator="equal">
      <formula>"DSM"</formula>
    </cfRule>
  </conditionalFormatting>
  <conditionalFormatting sqref="S535">
    <cfRule type="cellIs" dxfId="2335" priority="95" operator="equal">
      <formula>"DSM"</formula>
    </cfRule>
  </conditionalFormatting>
  <conditionalFormatting sqref="S548">
    <cfRule type="cellIs" dxfId="2334" priority="94" operator="equal">
      <formula>"DSM"</formula>
    </cfRule>
  </conditionalFormatting>
  <conditionalFormatting sqref="S544:S545">
    <cfRule type="cellIs" dxfId="2333" priority="93" operator="equal">
      <formula>"DSM"</formula>
    </cfRule>
  </conditionalFormatting>
  <conditionalFormatting sqref="S540">
    <cfRule type="cellIs" dxfId="2332" priority="92" operator="equal">
      <formula>"DSM"</formula>
    </cfRule>
  </conditionalFormatting>
  <conditionalFormatting sqref="S541">
    <cfRule type="cellIs" dxfId="2331" priority="91" operator="equal">
      <formula>"DSM"</formula>
    </cfRule>
  </conditionalFormatting>
  <conditionalFormatting sqref="S542">
    <cfRule type="cellIs" dxfId="2330" priority="90" operator="equal">
      <formula>"DSM"</formula>
    </cfRule>
  </conditionalFormatting>
  <conditionalFormatting sqref="S549:S551">
    <cfRule type="cellIs" dxfId="2329" priority="89" operator="equal">
      <formula>"DSM"</formula>
    </cfRule>
  </conditionalFormatting>
  <conditionalFormatting sqref="S552">
    <cfRule type="cellIs" dxfId="2328" priority="88" operator="equal">
      <formula>"DSM"</formula>
    </cfRule>
  </conditionalFormatting>
  <conditionalFormatting sqref="S553">
    <cfRule type="cellIs" dxfId="2327" priority="87" operator="equal">
      <formula>"DSM"</formula>
    </cfRule>
  </conditionalFormatting>
  <conditionalFormatting sqref="S554:S555">
    <cfRule type="cellIs" dxfId="2326" priority="86" operator="equal">
      <formula>"DSM"</formula>
    </cfRule>
  </conditionalFormatting>
  <conditionalFormatting sqref="S556">
    <cfRule type="cellIs" dxfId="2325" priority="85" operator="equal">
      <formula>"DSM"</formula>
    </cfRule>
  </conditionalFormatting>
  <conditionalFormatting sqref="S557">
    <cfRule type="cellIs" dxfId="2324" priority="84" operator="equal">
      <formula>"DSM"</formula>
    </cfRule>
  </conditionalFormatting>
  <conditionalFormatting sqref="S558:S559">
    <cfRule type="cellIs" dxfId="2323" priority="83" operator="equal">
      <formula>"DSM"</formula>
    </cfRule>
  </conditionalFormatting>
  <conditionalFormatting sqref="S560">
    <cfRule type="cellIs" dxfId="2322" priority="82" operator="equal">
      <formula>"DSM"</formula>
    </cfRule>
  </conditionalFormatting>
  <conditionalFormatting sqref="S561:S562">
    <cfRule type="cellIs" dxfId="2321" priority="81" operator="equal">
      <formula>"DSM"</formula>
    </cfRule>
  </conditionalFormatting>
  <conditionalFormatting sqref="S563:S565">
    <cfRule type="cellIs" dxfId="2320" priority="80" operator="equal">
      <formula>"DSM"</formula>
    </cfRule>
  </conditionalFormatting>
  <conditionalFormatting sqref="S566">
    <cfRule type="cellIs" dxfId="2319" priority="79" operator="equal">
      <formula>"DSM"</formula>
    </cfRule>
  </conditionalFormatting>
  <conditionalFormatting sqref="S567">
    <cfRule type="cellIs" dxfId="2318" priority="78" operator="equal">
      <formula>"DSM"</formula>
    </cfRule>
  </conditionalFormatting>
  <conditionalFormatting sqref="S568">
    <cfRule type="cellIs" dxfId="2317" priority="77" operator="equal">
      <formula>"DSM"</formula>
    </cfRule>
  </conditionalFormatting>
  <conditionalFormatting sqref="S569">
    <cfRule type="cellIs" dxfId="2316" priority="76" operator="equal">
      <formula>"DSM"</formula>
    </cfRule>
  </conditionalFormatting>
  <conditionalFormatting sqref="S570">
    <cfRule type="cellIs" dxfId="2315" priority="75" operator="equal">
      <formula>"DSM"</formula>
    </cfRule>
  </conditionalFormatting>
  <conditionalFormatting sqref="J571:L571">
    <cfRule type="cellIs" dxfId="2314" priority="74" operator="equal">
      <formula>"DSM"</formula>
    </cfRule>
  </conditionalFormatting>
  <conditionalFormatting sqref="Q571">
    <cfRule type="cellIs" dxfId="2313" priority="73" operator="equal">
      <formula>"DSM"</formula>
    </cfRule>
  </conditionalFormatting>
  <conditionalFormatting sqref="R571:X571">
    <cfRule type="cellIs" dxfId="2312" priority="72" operator="equal">
      <formula>"DSM"</formula>
    </cfRule>
  </conditionalFormatting>
  <conditionalFormatting sqref="S572">
    <cfRule type="cellIs" dxfId="2311" priority="71" operator="equal">
      <formula>"DSM"</formula>
    </cfRule>
  </conditionalFormatting>
  <conditionalFormatting sqref="S573">
    <cfRule type="cellIs" dxfId="2310" priority="70" operator="equal">
      <formula>"DSM"</formula>
    </cfRule>
  </conditionalFormatting>
  <conditionalFormatting sqref="S574">
    <cfRule type="cellIs" dxfId="2309" priority="69" operator="equal">
      <formula>"DSM"</formula>
    </cfRule>
  </conditionalFormatting>
  <conditionalFormatting sqref="S575">
    <cfRule type="cellIs" dxfId="2308" priority="68" operator="equal">
      <formula>"DSM"</formula>
    </cfRule>
  </conditionalFormatting>
  <conditionalFormatting sqref="S576:S579">
    <cfRule type="cellIs" dxfId="2307" priority="67" operator="equal">
      <formula>"DSM"</formula>
    </cfRule>
  </conditionalFormatting>
  <conditionalFormatting sqref="S584">
    <cfRule type="cellIs" dxfId="2306" priority="66" operator="equal">
      <formula>"DSM"</formula>
    </cfRule>
  </conditionalFormatting>
  <conditionalFormatting sqref="S586:S588">
    <cfRule type="cellIs" dxfId="2305" priority="65" operator="equal">
      <formula>"DSM"</formula>
    </cfRule>
  </conditionalFormatting>
  <conditionalFormatting sqref="S589">
    <cfRule type="cellIs" dxfId="2304" priority="64" operator="equal">
      <formula>"DSM"</formula>
    </cfRule>
  </conditionalFormatting>
  <conditionalFormatting sqref="S590">
    <cfRule type="cellIs" dxfId="2303" priority="63" operator="equal">
      <formula>"DSM"</formula>
    </cfRule>
  </conditionalFormatting>
  <conditionalFormatting sqref="S591">
    <cfRule type="cellIs" dxfId="2302" priority="62" operator="equal">
      <formula>"DSM"</formula>
    </cfRule>
  </conditionalFormatting>
  <conditionalFormatting sqref="S592">
    <cfRule type="cellIs" dxfId="2301" priority="61" operator="equal">
      <formula>"DSM"</formula>
    </cfRule>
  </conditionalFormatting>
  <conditionalFormatting sqref="S593">
    <cfRule type="cellIs" dxfId="2300" priority="60" operator="equal">
      <formula>"DSM"</formula>
    </cfRule>
  </conditionalFormatting>
  <conditionalFormatting sqref="S594">
    <cfRule type="cellIs" dxfId="2299" priority="59" operator="equal">
      <formula>"DSM"</formula>
    </cfRule>
  </conditionalFormatting>
  <conditionalFormatting sqref="S595">
    <cfRule type="cellIs" dxfId="2298" priority="58" operator="equal">
      <formula>"DSM"</formula>
    </cfRule>
  </conditionalFormatting>
  <conditionalFormatting sqref="S596">
    <cfRule type="cellIs" dxfId="2297" priority="57" operator="equal">
      <formula>"DSM"</formula>
    </cfRule>
  </conditionalFormatting>
  <conditionalFormatting sqref="S597">
    <cfRule type="cellIs" dxfId="2296" priority="56" operator="equal">
      <formula>"DSM"</formula>
    </cfRule>
  </conditionalFormatting>
  <conditionalFormatting sqref="S598">
    <cfRule type="cellIs" dxfId="2295" priority="55" operator="equal">
      <formula>"DSM"</formula>
    </cfRule>
  </conditionalFormatting>
  <conditionalFormatting sqref="S599">
    <cfRule type="cellIs" dxfId="2294" priority="54" operator="equal">
      <formula>"DSM"</formula>
    </cfRule>
  </conditionalFormatting>
  <conditionalFormatting sqref="S600">
    <cfRule type="cellIs" dxfId="2293" priority="53" operator="equal">
      <formula>"DSM"</formula>
    </cfRule>
  </conditionalFormatting>
  <conditionalFormatting sqref="S601">
    <cfRule type="cellIs" dxfId="2292" priority="52" operator="equal">
      <formula>"DSM"</formula>
    </cfRule>
  </conditionalFormatting>
  <conditionalFormatting sqref="S602">
    <cfRule type="cellIs" dxfId="2291" priority="51" operator="equal">
      <formula>"DSM"</formula>
    </cfRule>
  </conditionalFormatting>
  <conditionalFormatting sqref="S603">
    <cfRule type="cellIs" dxfId="2290" priority="50" operator="equal">
      <formula>"DSM"</formula>
    </cfRule>
  </conditionalFormatting>
  <conditionalFormatting sqref="S604">
    <cfRule type="cellIs" dxfId="2289" priority="49" operator="equal">
      <formula>"DSM"</formula>
    </cfRule>
  </conditionalFormatting>
  <conditionalFormatting sqref="S605">
    <cfRule type="cellIs" dxfId="2288" priority="48" operator="equal">
      <formula>"DSM"</formula>
    </cfRule>
  </conditionalFormatting>
  <conditionalFormatting sqref="S607">
    <cfRule type="cellIs" dxfId="2287" priority="47" operator="equal">
      <formula>"DSM"</formula>
    </cfRule>
  </conditionalFormatting>
  <conditionalFormatting sqref="J608:L608">
    <cfRule type="cellIs" dxfId="2286" priority="46" operator="equal">
      <formula>"DSM"</formula>
    </cfRule>
  </conditionalFormatting>
  <conditionalFormatting sqref="Q608">
    <cfRule type="cellIs" dxfId="2285" priority="45" operator="equal">
      <formula>"DSM"</formula>
    </cfRule>
  </conditionalFormatting>
  <conditionalFormatting sqref="R608:X608">
    <cfRule type="cellIs" dxfId="2284" priority="44" operator="equal">
      <formula>"DSM"</formula>
    </cfRule>
  </conditionalFormatting>
  <conditionalFormatting sqref="S609">
    <cfRule type="cellIs" dxfId="2283" priority="43" operator="equal">
      <formula>"DSM"</formula>
    </cfRule>
  </conditionalFormatting>
  <conditionalFormatting sqref="J610:L610">
    <cfRule type="cellIs" dxfId="2282" priority="42" operator="equal">
      <formula>"DSM"</formula>
    </cfRule>
  </conditionalFormatting>
  <conditionalFormatting sqref="Q610">
    <cfRule type="cellIs" dxfId="2281" priority="41" operator="equal">
      <formula>"DSM"</formula>
    </cfRule>
  </conditionalFormatting>
  <conditionalFormatting sqref="R610:X610">
    <cfRule type="cellIs" dxfId="2280" priority="40" operator="equal">
      <formula>"DSM"</formula>
    </cfRule>
  </conditionalFormatting>
  <conditionalFormatting sqref="J611:L611">
    <cfRule type="cellIs" dxfId="2279" priority="39" operator="equal">
      <formula>"DSM"</formula>
    </cfRule>
  </conditionalFormatting>
  <conditionalFormatting sqref="Q611">
    <cfRule type="cellIs" dxfId="2278" priority="38" operator="equal">
      <formula>"DSM"</formula>
    </cfRule>
  </conditionalFormatting>
  <conditionalFormatting sqref="R611:X611">
    <cfRule type="cellIs" dxfId="2277" priority="37" operator="equal">
      <formula>"DSM"</formula>
    </cfRule>
  </conditionalFormatting>
  <conditionalFormatting sqref="S612">
    <cfRule type="cellIs" dxfId="2276" priority="36" operator="equal">
      <formula>"DSM"</formula>
    </cfRule>
  </conditionalFormatting>
  <conditionalFormatting sqref="S613">
    <cfRule type="cellIs" dxfId="2275" priority="35" operator="equal">
      <formula>"DSM"</formula>
    </cfRule>
  </conditionalFormatting>
  <conditionalFormatting sqref="S614">
    <cfRule type="cellIs" dxfId="2274" priority="34" operator="equal">
      <formula>"DSM"</formula>
    </cfRule>
  </conditionalFormatting>
  <conditionalFormatting sqref="S615:S616">
    <cfRule type="cellIs" dxfId="2273" priority="32" operator="equal">
      <formula>"DSM"</formula>
    </cfRule>
  </conditionalFormatting>
  <conditionalFormatting sqref="S617">
    <cfRule type="cellIs" dxfId="2272" priority="31" operator="equal">
      <formula>"DSM"</formula>
    </cfRule>
  </conditionalFormatting>
  <conditionalFormatting sqref="S618">
    <cfRule type="cellIs" dxfId="2271" priority="30" operator="equal">
      <formula>"DSM"</formula>
    </cfRule>
  </conditionalFormatting>
  <conditionalFormatting sqref="S619">
    <cfRule type="cellIs" dxfId="2270" priority="29" operator="equal">
      <formula>"DSM"</formula>
    </cfRule>
  </conditionalFormatting>
  <conditionalFormatting sqref="S620">
    <cfRule type="cellIs" dxfId="2269" priority="28" operator="equal">
      <formula>"DSM"</formula>
    </cfRule>
  </conditionalFormatting>
  <conditionalFormatting sqref="S621">
    <cfRule type="cellIs" dxfId="2268" priority="27" operator="equal">
      <formula>"DSM"</formula>
    </cfRule>
  </conditionalFormatting>
  <conditionalFormatting sqref="S622">
    <cfRule type="cellIs" dxfId="2267" priority="26" operator="equal">
      <formula>"DSM"</formula>
    </cfRule>
  </conditionalFormatting>
  <conditionalFormatting sqref="S623">
    <cfRule type="cellIs" dxfId="2266" priority="25" operator="equal">
      <formula>"DSM"</formula>
    </cfRule>
  </conditionalFormatting>
  <conditionalFormatting sqref="S624:S625">
    <cfRule type="cellIs" dxfId="2265" priority="24" operator="equal">
      <formula>"DSM"</formula>
    </cfRule>
  </conditionalFormatting>
  <conditionalFormatting sqref="S627">
    <cfRule type="cellIs" dxfId="2264" priority="23" operator="equal">
      <formula>"DSM"</formula>
    </cfRule>
  </conditionalFormatting>
  <conditionalFormatting sqref="J628:L628">
    <cfRule type="cellIs" dxfId="2263" priority="22" operator="equal">
      <formula>"DSM"</formula>
    </cfRule>
  </conditionalFormatting>
  <conditionalFormatting sqref="Q628">
    <cfRule type="cellIs" dxfId="2262" priority="21" operator="equal">
      <formula>"DSM"</formula>
    </cfRule>
  </conditionalFormatting>
  <conditionalFormatting sqref="R628:X628">
    <cfRule type="cellIs" dxfId="2261" priority="20" operator="equal">
      <formula>"DSM"</formula>
    </cfRule>
  </conditionalFormatting>
  <conditionalFormatting sqref="S629">
    <cfRule type="cellIs" dxfId="2260" priority="19" operator="equal">
      <formula>"DSM"</formula>
    </cfRule>
  </conditionalFormatting>
  <conditionalFormatting sqref="S632">
    <cfRule type="cellIs" dxfId="2259" priority="18" operator="equal">
      <formula>"DSM"</formula>
    </cfRule>
  </conditionalFormatting>
  <conditionalFormatting sqref="S630">
    <cfRule type="cellIs" dxfId="2258" priority="17" operator="equal">
      <formula>"DSM"</formula>
    </cfRule>
  </conditionalFormatting>
  <conditionalFormatting sqref="S633">
    <cfRule type="cellIs" dxfId="2257" priority="16" operator="equal">
      <formula>"DSM"</formula>
    </cfRule>
  </conditionalFormatting>
  <conditionalFormatting sqref="S634:S637">
    <cfRule type="cellIs" dxfId="2256" priority="15" operator="equal">
      <formula>"DSM"</formula>
    </cfRule>
  </conditionalFormatting>
  <conditionalFormatting sqref="S638">
    <cfRule type="cellIs" dxfId="2255" priority="14" operator="equal">
      <formula>"DSM"</formula>
    </cfRule>
  </conditionalFormatting>
  <conditionalFormatting sqref="S639">
    <cfRule type="cellIs" dxfId="2254" priority="13" operator="equal">
      <formula>"DSM"</formula>
    </cfRule>
  </conditionalFormatting>
  <conditionalFormatting sqref="S641">
    <cfRule type="cellIs" dxfId="2253" priority="12" operator="equal">
      <formula>"DSM"</formula>
    </cfRule>
  </conditionalFormatting>
  <conditionalFormatting sqref="S642:S645">
    <cfRule type="cellIs" dxfId="2252" priority="11" operator="equal">
      <formula>"DSM"</formula>
    </cfRule>
  </conditionalFormatting>
  <conditionalFormatting sqref="S647">
    <cfRule type="cellIs" dxfId="2251" priority="8" operator="equal">
      <formula>"DSM"</formula>
    </cfRule>
  </conditionalFormatting>
  <conditionalFormatting sqref="S648">
    <cfRule type="cellIs" dxfId="2250" priority="7" operator="equal">
      <formula>"DSM"</formula>
    </cfRule>
  </conditionalFormatting>
  <conditionalFormatting sqref="S649">
    <cfRule type="cellIs" dxfId="2249" priority="6" operator="equal">
      <formula>"DSM"</formula>
    </cfRule>
  </conditionalFormatting>
  <conditionalFormatting sqref="S656">
    <cfRule type="cellIs" dxfId="2248" priority="5" operator="equal">
      <formula>"DSM"</formula>
    </cfRule>
  </conditionalFormatting>
  <conditionalFormatting sqref="S657">
    <cfRule type="cellIs" dxfId="2247" priority="4" operator="equal">
      <formula>"DSM"</formula>
    </cfRule>
  </conditionalFormatting>
  <conditionalFormatting sqref="S658:S659">
    <cfRule type="cellIs" dxfId="2246" priority="3" operator="equal">
      <formula>"DSM"</formula>
    </cfRule>
  </conditionalFormatting>
  <conditionalFormatting sqref="S660">
    <cfRule type="cellIs" dxfId="2245" priority="2" operator="equal">
      <formula>"DSM"</formula>
    </cfRule>
  </conditionalFormatting>
  <conditionalFormatting sqref="S661">
    <cfRule type="cellIs" dxfId="2244" priority="1" operator="equal">
      <formula>"DSM"</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dimension ref="A1:K15"/>
  <sheetViews>
    <sheetView topLeftCell="B1" workbookViewId="0">
      <selection activeCell="J4" sqref="J4"/>
    </sheetView>
  </sheetViews>
  <sheetFormatPr defaultRowHeight="15" x14ac:dyDescent="0.25"/>
  <cols>
    <col min="1" max="1" width="110.5703125" bestFit="1" customWidth="1"/>
    <col min="2" max="2" width="22.7109375" style="513" customWidth="1"/>
    <col min="3" max="3" width="60.85546875" style="2" bestFit="1" customWidth="1"/>
    <col min="4" max="4" width="27.5703125" style="511" bestFit="1" customWidth="1"/>
    <col min="5" max="5" width="15.42578125" style="1" bestFit="1" customWidth="1"/>
    <col min="6" max="6" width="15.7109375" style="513" bestFit="1" customWidth="1"/>
    <col min="7" max="7" width="14.5703125" bestFit="1" customWidth="1"/>
    <col min="8" max="8" width="10.85546875" style="513" bestFit="1" customWidth="1"/>
    <col min="9" max="9" width="12.42578125" style="913" bestFit="1" customWidth="1"/>
    <col min="10" max="10" width="15.7109375" bestFit="1" customWidth="1"/>
    <col min="11" max="11" width="59.7109375" bestFit="1" customWidth="1"/>
  </cols>
  <sheetData>
    <row r="1" spans="1:11" x14ac:dyDescent="0.25">
      <c r="A1" s="422" t="s">
        <v>3282</v>
      </c>
      <c r="B1" s="510" t="s">
        <v>3283</v>
      </c>
      <c r="C1" s="3" t="s">
        <v>3284</v>
      </c>
      <c r="D1" s="510" t="s">
        <v>3285</v>
      </c>
      <c r="E1" s="3" t="s">
        <v>3286</v>
      </c>
      <c r="F1" s="510" t="s">
        <v>3287</v>
      </c>
      <c r="G1" s="3" t="s">
        <v>3284</v>
      </c>
      <c r="H1" s="510" t="s">
        <v>3288</v>
      </c>
      <c r="I1" s="912" t="s">
        <v>3284</v>
      </c>
      <c r="J1" s="510" t="s">
        <v>23</v>
      </c>
      <c r="K1" s="3" t="s">
        <v>3284</v>
      </c>
    </row>
    <row r="2" spans="1:11" ht="15" customHeight="1" x14ac:dyDescent="0.25">
      <c r="A2" s="652" t="s">
        <v>3289</v>
      </c>
      <c r="B2" s="513">
        <v>1</v>
      </c>
      <c r="C2" s="2" t="s">
        <v>3290</v>
      </c>
      <c r="D2" s="511" t="s">
        <v>3291</v>
      </c>
      <c r="E2" s="1" t="s">
        <v>702</v>
      </c>
      <c r="F2" s="513" t="s">
        <v>355</v>
      </c>
      <c r="G2" t="s">
        <v>3292</v>
      </c>
      <c r="H2" s="513">
        <v>1</v>
      </c>
      <c r="I2" s="913" t="s">
        <v>3293</v>
      </c>
      <c r="J2" s="914" t="s">
        <v>32</v>
      </c>
      <c r="K2" s="915" t="s">
        <v>3294</v>
      </c>
    </row>
    <row r="3" spans="1:11" x14ac:dyDescent="0.25">
      <c r="A3" s="652"/>
      <c r="B3" s="513">
        <v>2</v>
      </c>
      <c r="C3" s="2" t="s">
        <v>3295</v>
      </c>
      <c r="D3" s="511" t="s">
        <v>3296</v>
      </c>
      <c r="E3" s="1" t="s">
        <v>3280</v>
      </c>
      <c r="F3" s="513" t="s">
        <v>2789</v>
      </c>
      <c r="G3" t="s">
        <v>3297</v>
      </c>
      <c r="H3" s="513">
        <v>2</v>
      </c>
      <c r="I3" s="913" t="s">
        <v>3298</v>
      </c>
      <c r="J3" s="914" t="s">
        <v>3299</v>
      </c>
      <c r="K3" s="915" t="s">
        <v>3300</v>
      </c>
    </row>
    <row r="4" spans="1:11" x14ac:dyDescent="0.25">
      <c r="A4" s="652"/>
      <c r="B4" s="513">
        <v>3</v>
      </c>
      <c r="C4" s="2" t="s">
        <v>3301</v>
      </c>
      <c r="D4" s="511" t="s">
        <v>3302</v>
      </c>
      <c r="E4" s="1" t="s">
        <v>467</v>
      </c>
      <c r="F4" s="513" t="s">
        <v>66</v>
      </c>
      <c r="G4" t="s">
        <v>3303</v>
      </c>
      <c r="H4" s="513">
        <v>3</v>
      </c>
      <c r="I4" s="913" t="s">
        <v>3304</v>
      </c>
      <c r="J4" s="914" t="s">
        <v>3305</v>
      </c>
      <c r="K4" s="915" t="s">
        <v>3306</v>
      </c>
    </row>
    <row r="5" spans="1:11" x14ac:dyDescent="0.25">
      <c r="A5" s="652"/>
      <c r="B5" s="513">
        <v>4</v>
      </c>
      <c r="C5" s="2" t="s">
        <v>3307</v>
      </c>
      <c r="D5" s="511" t="s">
        <v>3308</v>
      </c>
      <c r="E5" s="1" t="s">
        <v>758</v>
      </c>
      <c r="F5" s="513" t="s">
        <v>50</v>
      </c>
      <c r="G5" t="s">
        <v>3309</v>
      </c>
      <c r="H5" s="513">
        <v>4</v>
      </c>
      <c r="I5" s="913" t="s">
        <v>3310</v>
      </c>
    </row>
    <row r="6" spans="1:11" x14ac:dyDescent="0.25">
      <c r="B6" s="514">
        <v>8</v>
      </c>
      <c r="C6" s="2" t="s">
        <v>3311</v>
      </c>
      <c r="D6" s="511" t="s">
        <v>3312</v>
      </c>
      <c r="E6" s="1" t="s">
        <v>1425</v>
      </c>
      <c r="H6" s="513">
        <v>5</v>
      </c>
      <c r="I6" s="913" t="s">
        <v>3313</v>
      </c>
    </row>
    <row r="7" spans="1:11" x14ac:dyDescent="0.25">
      <c r="B7" s="513">
        <v>9</v>
      </c>
      <c r="C7" s="2" t="s">
        <v>3314</v>
      </c>
      <c r="D7" s="511" t="s">
        <v>3315</v>
      </c>
      <c r="E7" s="1" t="s">
        <v>348</v>
      </c>
      <c r="H7" s="513">
        <v>6</v>
      </c>
      <c r="I7" s="913" t="s">
        <v>3316</v>
      </c>
    </row>
    <row r="8" spans="1:11" x14ac:dyDescent="0.25">
      <c r="D8" s="511" t="s">
        <v>3317</v>
      </c>
      <c r="E8" s="1" t="s">
        <v>3318</v>
      </c>
      <c r="H8" s="513" t="s">
        <v>50</v>
      </c>
      <c r="I8" s="913" t="s">
        <v>3309</v>
      </c>
    </row>
    <row r="9" spans="1:11" x14ac:dyDescent="0.25">
      <c r="D9" s="511" t="s">
        <v>3319</v>
      </c>
      <c r="E9" s="1" t="s">
        <v>622</v>
      </c>
    </row>
    <row r="10" spans="1:11" x14ac:dyDescent="0.25">
      <c r="D10" s="511" t="s">
        <v>3320</v>
      </c>
      <c r="E10" s="1" t="s">
        <v>449</v>
      </c>
    </row>
    <row r="11" spans="1:11" x14ac:dyDescent="0.25">
      <c r="D11" s="511" t="s">
        <v>3321</v>
      </c>
      <c r="E11" s="1" t="s">
        <v>31</v>
      </c>
    </row>
    <row r="12" spans="1:11" x14ac:dyDescent="0.25">
      <c r="D12" s="511" t="s">
        <v>3322</v>
      </c>
      <c r="E12" s="1" t="s">
        <v>323</v>
      </c>
    </row>
    <row r="13" spans="1:11" x14ac:dyDescent="0.25">
      <c r="D13" s="511" t="s">
        <v>3323</v>
      </c>
      <c r="E13" s="1" t="s">
        <v>926</v>
      </c>
    </row>
    <row r="14" spans="1:11" x14ac:dyDescent="0.25">
      <c r="D14" s="511" t="s">
        <v>3324</v>
      </c>
      <c r="E14" s="1" t="s">
        <v>3325</v>
      </c>
    </row>
    <row r="15" spans="1:11" x14ac:dyDescent="0.25">
      <c r="D15" s="512" t="s">
        <v>3326</v>
      </c>
      <c r="E15" s="1" t="s">
        <v>50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tabColor theme="4" tint="0.59999389629810485"/>
  </sheetPr>
  <dimension ref="A1:Y893"/>
  <sheetViews>
    <sheetView zoomScaleNormal="100" workbookViewId="0">
      <pane xSplit="3" ySplit="2" topLeftCell="X885" activePane="bottomRight" state="frozen"/>
      <selection pane="topRight" activeCell="D1" sqref="D1"/>
      <selection pane="bottomLeft" activeCell="A4" sqref="A4"/>
      <selection pane="bottomRight" activeCell="Y704" sqref="Y704"/>
    </sheetView>
  </sheetViews>
  <sheetFormatPr defaultColWidth="9.140625" defaultRowHeight="15" x14ac:dyDescent="0.25"/>
  <cols>
    <col min="1" max="1" width="12.85546875" style="89" customWidth="1"/>
    <col min="2" max="2" width="9.140625" style="89" bestFit="1" customWidth="1"/>
    <col min="3" max="3" width="30.85546875" style="89" bestFit="1" customWidth="1"/>
    <col min="4" max="4" width="15.7109375" style="89" customWidth="1"/>
    <col min="5" max="5" width="14" style="89" bestFit="1" customWidth="1"/>
    <col min="6" max="6" width="14.85546875" style="89" customWidth="1"/>
    <col min="7" max="7" width="10.42578125" style="89" customWidth="1"/>
    <col min="8" max="8" width="43.7109375" style="89" customWidth="1"/>
    <col min="9" max="9" width="10.42578125" style="602" customWidth="1"/>
    <col min="10" max="14" width="20.7109375" style="89" customWidth="1"/>
    <col min="15" max="15" width="8" style="89" customWidth="1"/>
    <col min="16" max="16" width="15.7109375" style="89" customWidth="1"/>
    <col min="17" max="17" width="13" style="89" customWidth="1"/>
    <col min="18" max="18" width="13.42578125" style="89" customWidth="1"/>
    <col min="19" max="19" width="7.7109375" style="89" customWidth="1"/>
    <col min="20" max="20" width="6.85546875" style="89" customWidth="1"/>
    <col min="21" max="21" width="14.7109375" style="89" bestFit="1" customWidth="1"/>
    <col min="22" max="22" width="11.85546875" style="89" customWidth="1"/>
    <col min="23" max="23" width="6.85546875" style="89" customWidth="1"/>
    <col min="24" max="24" width="11.42578125" style="89" customWidth="1"/>
    <col min="25" max="25" width="61.7109375" style="600" customWidth="1"/>
    <col min="26" max="16384" width="9.140625" style="89"/>
  </cols>
  <sheetData>
    <row r="1" spans="1:25" s="542" customFormat="1" x14ac:dyDescent="0.25">
      <c r="A1" s="147" t="s">
        <v>33</v>
      </c>
      <c r="B1" s="147"/>
      <c r="C1" s="147"/>
      <c r="D1" s="147"/>
      <c r="E1" s="147"/>
      <c r="F1" s="147"/>
      <c r="G1" s="147"/>
      <c r="H1" s="147"/>
      <c r="I1" s="611"/>
      <c r="J1" s="147"/>
      <c r="K1" s="147"/>
      <c r="L1" s="147"/>
      <c r="M1" s="147"/>
      <c r="N1" s="147"/>
      <c r="O1" s="147"/>
      <c r="P1" s="147"/>
      <c r="Q1" s="147"/>
      <c r="R1" s="147"/>
      <c r="S1" s="147"/>
      <c r="T1" s="147"/>
      <c r="U1" s="147"/>
      <c r="V1" s="147"/>
      <c r="W1" s="146"/>
      <c r="X1" s="146"/>
      <c r="Y1" s="5"/>
    </row>
    <row r="2" spans="1:25" s="141" customFormat="1" ht="15.75" thickBot="1" x14ac:dyDescent="0.3">
      <c r="A2" s="140" t="s">
        <v>1</v>
      </c>
      <c r="B2" s="140" t="s">
        <v>2</v>
      </c>
      <c r="C2" s="141" t="s">
        <v>3</v>
      </c>
      <c r="D2" s="141" t="s">
        <v>4</v>
      </c>
      <c r="E2" s="141" t="s">
        <v>5</v>
      </c>
      <c r="F2" s="94" t="s">
        <v>6</v>
      </c>
      <c r="G2" s="141" t="s">
        <v>7</v>
      </c>
      <c r="H2" s="141" t="s">
        <v>8</v>
      </c>
      <c r="I2" s="612" t="s">
        <v>9</v>
      </c>
      <c r="J2" s="142" t="s">
        <v>34</v>
      </c>
      <c r="K2" s="143" t="s">
        <v>35</v>
      </c>
      <c r="L2" s="142" t="s">
        <v>36</v>
      </c>
      <c r="M2" s="95" t="s">
        <v>37</v>
      </c>
      <c r="N2" s="144" t="s">
        <v>38</v>
      </c>
      <c r="O2" s="140" t="s">
        <v>10</v>
      </c>
      <c r="P2" s="140" t="s">
        <v>13</v>
      </c>
      <c r="Q2" s="140" t="s">
        <v>14</v>
      </c>
      <c r="R2" s="140" t="s">
        <v>39</v>
      </c>
      <c r="S2" s="140" t="s">
        <v>19</v>
      </c>
      <c r="T2" s="140" t="s">
        <v>20</v>
      </c>
      <c r="U2" s="140" t="s">
        <v>21</v>
      </c>
      <c r="V2" s="140" t="s">
        <v>40</v>
      </c>
      <c r="W2" s="140" t="s">
        <v>41</v>
      </c>
      <c r="X2" s="140" t="s">
        <v>42</v>
      </c>
      <c r="Y2" s="145" t="s">
        <v>22</v>
      </c>
    </row>
    <row r="3" spans="1:25" s="27" customFormat="1" x14ac:dyDescent="0.25">
      <c r="A3" s="26">
        <v>43647</v>
      </c>
      <c r="B3" s="27" t="s">
        <v>43</v>
      </c>
      <c r="C3" s="27" t="s">
        <v>88</v>
      </c>
      <c r="D3" s="89">
        <v>38.052289999999999</v>
      </c>
      <c r="E3" s="89">
        <v>-121.79836</v>
      </c>
      <c r="F3" s="27" t="s">
        <v>3327</v>
      </c>
      <c r="G3" s="27" t="s">
        <v>27</v>
      </c>
      <c r="H3" s="27" t="s">
        <v>25</v>
      </c>
      <c r="I3" s="602">
        <v>0.32708333333333334</v>
      </c>
      <c r="J3" s="82">
        <v>181.98</v>
      </c>
      <c r="K3" s="82">
        <v>21.1</v>
      </c>
      <c r="L3" s="82">
        <v>16.68</v>
      </c>
      <c r="M3" s="82">
        <v>0.63</v>
      </c>
      <c r="N3" s="4">
        <v>2.5299999999999998</v>
      </c>
      <c r="O3" s="27" t="s">
        <v>48</v>
      </c>
      <c r="P3" s="27">
        <v>4</v>
      </c>
      <c r="Q3" s="27">
        <v>10</v>
      </c>
      <c r="R3" s="27" t="s">
        <v>49</v>
      </c>
      <c r="S3" s="27" t="s">
        <v>50</v>
      </c>
      <c r="T3" s="27" t="s">
        <v>50</v>
      </c>
      <c r="U3" s="27" t="s">
        <v>50</v>
      </c>
      <c r="V3" s="27" t="s">
        <v>50</v>
      </c>
      <c r="W3" s="27" t="s">
        <v>50</v>
      </c>
      <c r="X3" s="27" t="s">
        <v>50</v>
      </c>
      <c r="Y3" s="35"/>
    </row>
    <row r="4" spans="1:25" s="27" customFormat="1" x14ac:dyDescent="0.25">
      <c r="A4" s="36">
        <v>43647</v>
      </c>
      <c r="B4" s="27" t="s">
        <v>43</v>
      </c>
      <c r="C4" s="27" t="s">
        <v>88</v>
      </c>
      <c r="D4" s="89">
        <v>38.069789999999998</v>
      </c>
      <c r="E4" s="89">
        <v>-121.83658</v>
      </c>
      <c r="F4" s="27" t="s">
        <v>3328</v>
      </c>
      <c r="G4" s="27" t="s">
        <v>27</v>
      </c>
      <c r="H4" s="27" t="s">
        <v>25</v>
      </c>
      <c r="I4" s="602">
        <v>0.38055555555555554</v>
      </c>
      <c r="J4" s="82">
        <v>140.43</v>
      </c>
      <c r="K4" s="82">
        <v>21.13</v>
      </c>
      <c r="L4" s="82">
        <v>30.73</v>
      </c>
      <c r="M4" s="82">
        <v>0.49</v>
      </c>
      <c r="N4" s="4">
        <v>5.75</v>
      </c>
      <c r="O4" s="27" t="s">
        <v>48</v>
      </c>
      <c r="P4" s="27">
        <v>4</v>
      </c>
      <c r="Q4" s="27">
        <v>10</v>
      </c>
      <c r="R4" s="27" t="s">
        <v>49</v>
      </c>
      <c r="S4" s="97" t="s">
        <v>50</v>
      </c>
      <c r="T4" s="97" t="s">
        <v>50</v>
      </c>
      <c r="U4" s="97" t="s">
        <v>50</v>
      </c>
      <c r="V4" s="97" t="s">
        <v>50</v>
      </c>
      <c r="W4" s="97" t="s">
        <v>50</v>
      </c>
      <c r="X4" s="97" t="s">
        <v>50</v>
      </c>
      <c r="Y4" s="35"/>
    </row>
    <row r="5" spans="1:25" s="27" customFormat="1" x14ac:dyDescent="0.25">
      <c r="A5" s="26">
        <v>43647</v>
      </c>
      <c r="B5" s="27" t="s">
        <v>43</v>
      </c>
      <c r="C5" s="27" t="s">
        <v>88</v>
      </c>
      <c r="D5" s="89">
        <v>38.096359999999997</v>
      </c>
      <c r="E5" s="89">
        <v>-121.73188</v>
      </c>
      <c r="F5" s="27" t="s">
        <v>3329</v>
      </c>
      <c r="G5" s="27" t="s">
        <v>90</v>
      </c>
      <c r="H5" s="27" t="s">
        <v>91</v>
      </c>
      <c r="I5" s="602">
        <v>0.43611111111111112</v>
      </c>
      <c r="J5" s="82">
        <v>145.47999999999999</v>
      </c>
      <c r="K5" s="82">
        <v>21.5</v>
      </c>
      <c r="L5" s="82">
        <v>17.024999999999999</v>
      </c>
      <c r="M5" s="82">
        <v>0.91500000000000004</v>
      </c>
      <c r="N5" s="4">
        <v>8.3000000000000007</v>
      </c>
      <c r="O5" s="27" t="s">
        <v>48</v>
      </c>
      <c r="P5" s="27">
        <v>4</v>
      </c>
      <c r="Q5" s="27">
        <v>10</v>
      </c>
      <c r="R5" s="27" t="s">
        <v>49</v>
      </c>
      <c r="S5" s="27" t="s">
        <v>50</v>
      </c>
      <c r="T5" s="27" t="s">
        <v>50</v>
      </c>
      <c r="U5" s="27" t="s">
        <v>50</v>
      </c>
      <c r="V5" s="27" t="s">
        <v>50</v>
      </c>
      <c r="W5" s="27" t="s">
        <v>50</v>
      </c>
      <c r="X5" s="27" t="s">
        <v>50</v>
      </c>
      <c r="Y5" s="35"/>
    </row>
    <row r="6" spans="1:25" s="27" customFormat="1" x14ac:dyDescent="0.25">
      <c r="A6" s="36">
        <v>43647</v>
      </c>
      <c r="B6" s="27" t="s">
        <v>43</v>
      </c>
      <c r="C6" s="27" t="s">
        <v>88</v>
      </c>
      <c r="D6" s="89">
        <v>38.100119999999997</v>
      </c>
      <c r="E6" s="89">
        <v>-121.70844</v>
      </c>
      <c r="F6" s="27" t="s">
        <v>3330</v>
      </c>
      <c r="G6" s="27" t="s">
        <v>90</v>
      </c>
      <c r="H6" s="27" t="s">
        <v>91</v>
      </c>
      <c r="I6" s="602">
        <v>0.4826388888888889</v>
      </c>
      <c r="J6" s="82">
        <v>123.18</v>
      </c>
      <c r="K6" s="82">
        <v>22.05</v>
      </c>
      <c r="L6" s="82">
        <v>10.8575</v>
      </c>
      <c r="M6" s="82">
        <v>1.1000000000000001</v>
      </c>
      <c r="N6" s="4">
        <v>4.7750000000000004</v>
      </c>
      <c r="O6" s="27" t="s">
        <v>48</v>
      </c>
      <c r="P6" s="27">
        <v>4</v>
      </c>
      <c r="Q6" s="27">
        <v>10</v>
      </c>
      <c r="R6" s="27" t="s">
        <v>49</v>
      </c>
      <c r="S6" s="97" t="s">
        <v>50</v>
      </c>
      <c r="T6" s="97" t="s">
        <v>50</v>
      </c>
      <c r="U6" s="97" t="s">
        <v>50</v>
      </c>
      <c r="V6" s="97" t="s">
        <v>50</v>
      </c>
      <c r="W6" s="97" t="s">
        <v>50</v>
      </c>
      <c r="X6" s="97" t="s">
        <v>50</v>
      </c>
      <c r="Y6" s="35"/>
    </row>
    <row r="7" spans="1:25" s="205" customFormat="1" x14ac:dyDescent="0.25">
      <c r="A7" s="547">
        <v>43647</v>
      </c>
      <c r="B7" s="205" t="s">
        <v>43</v>
      </c>
      <c r="C7" s="205" t="s">
        <v>118</v>
      </c>
      <c r="D7" s="206">
        <v>38.05856</v>
      </c>
      <c r="E7" s="206">
        <v>-122.25581</v>
      </c>
      <c r="F7" s="205" t="s">
        <v>3331</v>
      </c>
      <c r="G7" s="205" t="s">
        <v>80</v>
      </c>
      <c r="H7" s="205" t="s">
        <v>3332</v>
      </c>
      <c r="I7" s="613">
        <v>0.4145833333333333</v>
      </c>
      <c r="J7" s="648">
        <v>18735</v>
      </c>
      <c r="K7" s="648">
        <v>19.816669999999998</v>
      </c>
      <c r="L7" s="648">
        <v>31.633299999999998</v>
      </c>
      <c r="M7" s="648">
        <v>0.41</v>
      </c>
      <c r="N7" s="649">
        <v>11.566700000000001</v>
      </c>
      <c r="O7" s="205" t="s">
        <v>48</v>
      </c>
      <c r="P7" s="214">
        <v>6</v>
      </c>
      <c r="Q7" s="214">
        <v>10</v>
      </c>
      <c r="R7" s="205" t="s">
        <v>64</v>
      </c>
      <c r="S7" s="214" t="s">
        <v>31</v>
      </c>
      <c r="T7" s="214">
        <v>1</v>
      </c>
      <c r="U7" s="214">
        <v>50</v>
      </c>
      <c r="V7" s="214" t="s">
        <v>50</v>
      </c>
      <c r="W7" s="214" t="s">
        <v>50</v>
      </c>
      <c r="X7" s="214" t="s">
        <v>50</v>
      </c>
      <c r="Y7" s="210" t="s">
        <v>3333</v>
      </c>
    </row>
    <row r="8" spans="1:25" s="27" customFormat="1" x14ac:dyDescent="0.25">
      <c r="A8" s="26">
        <v>43647</v>
      </c>
      <c r="B8" s="27" t="s">
        <v>43</v>
      </c>
      <c r="C8" s="27" t="s">
        <v>118</v>
      </c>
      <c r="D8" s="89">
        <v>38.179769999999998</v>
      </c>
      <c r="E8" s="89">
        <v>-122.30249000000001</v>
      </c>
      <c r="F8" s="27" t="s">
        <v>3334</v>
      </c>
      <c r="G8" s="27" t="s">
        <v>80</v>
      </c>
      <c r="H8" s="27" t="s">
        <v>191</v>
      </c>
      <c r="I8" s="602">
        <v>0.52430555555555558</v>
      </c>
      <c r="J8" s="31">
        <v>17410.25</v>
      </c>
      <c r="K8" s="31">
        <v>20.225000000000001</v>
      </c>
      <c r="L8" s="31">
        <v>57.875</v>
      </c>
      <c r="M8" s="31">
        <v>0.34250000000000003</v>
      </c>
      <c r="N8" s="31">
        <v>3.2250000000000001</v>
      </c>
      <c r="O8" s="32" t="s">
        <v>48</v>
      </c>
      <c r="P8" s="32">
        <v>4</v>
      </c>
      <c r="Q8" s="281">
        <v>10</v>
      </c>
      <c r="R8" s="34" t="s">
        <v>64</v>
      </c>
      <c r="S8" s="49" t="s">
        <v>50</v>
      </c>
      <c r="T8" s="49" t="s">
        <v>50</v>
      </c>
      <c r="U8" s="34" t="s">
        <v>50</v>
      </c>
      <c r="V8" s="49" t="s">
        <v>50</v>
      </c>
      <c r="W8" s="49" t="s">
        <v>50</v>
      </c>
      <c r="X8" s="34" t="s">
        <v>50</v>
      </c>
      <c r="Y8" s="35"/>
    </row>
    <row r="9" spans="1:25" s="27" customFormat="1" x14ac:dyDescent="0.25">
      <c r="A9" s="194">
        <v>43647</v>
      </c>
      <c r="B9" s="97" t="s">
        <v>43</v>
      </c>
      <c r="C9" s="97" t="s">
        <v>118</v>
      </c>
      <c r="D9" s="98">
        <v>38.031939999999999</v>
      </c>
      <c r="E9" s="98">
        <v>-122.30162</v>
      </c>
      <c r="F9" s="98" t="s">
        <v>3335</v>
      </c>
      <c r="G9" s="98" t="s">
        <v>80</v>
      </c>
      <c r="H9" s="98" t="s">
        <v>123</v>
      </c>
      <c r="I9" s="621">
        <v>0.6</v>
      </c>
      <c r="J9" s="100">
        <v>30867.75</v>
      </c>
      <c r="K9" s="100">
        <v>19.25</v>
      </c>
      <c r="L9" s="100">
        <v>17.074999999999999</v>
      </c>
      <c r="M9" s="100">
        <v>0.59250000000000003</v>
      </c>
      <c r="N9" s="100">
        <v>3.4</v>
      </c>
      <c r="O9" s="98" t="s">
        <v>48</v>
      </c>
      <c r="P9" s="98">
        <v>4</v>
      </c>
      <c r="Q9" s="98">
        <v>10</v>
      </c>
      <c r="R9" s="98" t="s">
        <v>64</v>
      </c>
      <c r="S9" s="98" t="s">
        <v>50</v>
      </c>
      <c r="T9" s="98" t="s">
        <v>50</v>
      </c>
      <c r="U9" s="98" t="s">
        <v>50</v>
      </c>
      <c r="V9" s="98" t="s">
        <v>50</v>
      </c>
      <c r="W9" s="98" t="s">
        <v>50</v>
      </c>
      <c r="X9" s="98" t="s">
        <v>50</v>
      </c>
      <c r="Y9" s="102"/>
    </row>
    <row r="10" spans="1:25" s="205" customFormat="1" x14ac:dyDescent="0.25">
      <c r="A10" s="204">
        <v>43647</v>
      </c>
      <c r="B10" s="205" t="s">
        <v>43</v>
      </c>
      <c r="C10" s="205" t="s">
        <v>118</v>
      </c>
      <c r="D10" s="206">
        <v>38.061900000000001</v>
      </c>
      <c r="E10" s="206">
        <v>-122.29898</v>
      </c>
      <c r="F10" s="206" t="s">
        <v>3336</v>
      </c>
      <c r="G10" s="206" t="s">
        <v>80</v>
      </c>
      <c r="H10" s="206" t="s">
        <v>123</v>
      </c>
      <c r="I10" s="613">
        <v>0.66180555555555554</v>
      </c>
      <c r="J10" s="648">
        <v>26638</v>
      </c>
      <c r="K10" s="648">
        <v>20.05</v>
      </c>
      <c r="L10" s="648">
        <v>60.125</v>
      </c>
      <c r="M10" s="648">
        <v>0.32750000000000001</v>
      </c>
      <c r="N10" s="648">
        <v>8</v>
      </c>
      <c r="O10" s="206" t="s">
        <v>48</v>
      </c>
      <c r="P10" s="206">
        <v>4</v>
      </c>
      <c r="Q10" s="206">
        <v>10</v>
      </c>
      <c r="R10" s="206" t="s">
        <v>49</v>
      </c>
      <c r="S10" s="556" t="s">
        <v>31</v>
      </c>
      <c r="T10" s="206">
        <v>5</v>
      </c>
      <c r="U10" s="206" t="s">
        <v>3337</v>
      </c>
      <c r="V10" s="206" t="s">
        <v>50</v>
      </c>
      <c r="W10" s="206" t="s">
        <v>50</v>
      </c>
      <c r="X10" s="206" t="s">
        <v>50</v>
      </c>
      <c r="Y10" s="210"/>
    </row>
    <row r="11" spans="1:25" s="27" customFormat="1" x14ac:dyDescent="0.25">
      <c r="A11" s="26">
        <v>43647</v>
      </c>
      <c r="B11" s="27" t="s">
        <v>43</v>
      </c>
      <c r="C11" s="27" t="s">
        <v>126</v>
      </c>
      <c r="D11" s="89">
        <v>38.260179999999998</v>
      </c>
      <c r="E11" s="89">
        <v>-121.74759</v>
      </c>
      <c r="F11" s="27" t="s">
        <v>3338</v>
      </c>
      <c r="G11" s="27" t="s">
        <v>90</v>
      </c>
      <c r="H11" s="27" t="s">
        <v>845</v>
      </c>
      <c r="I11" s="602">
        <v>0.3520833333333333</v>
      </c>
      <c r="J11" s="82">
        <v>196.6</v>
      </c>
      <c r="K11" s="82">
        <v>21.1</v>
      </c>
      <c r="L11" s="82">
        <v>6.5</v>
      </c>
      <c r="M11" s="82">
        <v>1.69</v>
      </c>
      <c r="N11" s="4">
        <v>3.65</v>
      </c>
      <c r="O11" s="27" t="s">
        <v>48</v>
      </c>
      <c r="P11" s="27">
        <v>2</v>
      </c>
      <c r="Q11" s="27">
        <v>10</v>
      </c>
      <c r="R11" s="27" t="s">
        <v>49</v>
      </c>
      <c r="S11" s="97" t="s">
        <v>50</v>
      </c>
      <c r="T11" s="97" t="s">
        <v>50</v>
      </c>
      <c r="U11" s="97" t="s">
        <v>50</v>
      </c>
      <c r="V11" s="97" t="s">
        <v>50</v>
      </c>
      <c r="W11" s="97" t="s">
        <v>50</v>
      </c>
      <c r="X11" s="27" t="s">
        <v>50</v>
      </c>
      <c r="Y11" s="35" t="s">
        <v>3339</v>
      </c>
    </row>
    <row r="12" spans="1:25" s="27" customFormat="1" x14ac:dyDescent="0.25">
      <c r="A12" s="26">
        <v>43647</v>
      </c>
      <c r="B12" s="27" t="s">
        <v>43</v>
      </c>
      <c r="C12" s="27" t="s">
        <v>126</v>
      </c>
      <c r="D12" s="89">
        <v>38.239840000000001</v>
      </c>
      <c r="E12" s="89">
        <v>-121.68552</v>
      </c>
      <c r="F12" s="27" t="s">
        <v>3340</v>
      </c>
      <c r="G12" s="27" t="s">
        <v>90</v>
      </c>
      <c r="H12" s="27" t="s">
        <v>845</v>
      </c>
      <c r="I12" s="602">
        <v>0.44097222222222227</v>
      </c>
      <c r="J12" s="82">
        <v>164.05</v>
      </c>
      <c r="K12" s="82">
        <v>20.75</v>
      </c>
      <c r="L12" s="82">
        <v>10.1</v>
      </c>
      <c r="M12" s="82">
        <v>1.42</v>
      </c>
      <c r="N12" s="4">
        <v>11.35</v>
      </c>
      <c r="O12" s="27" t="s">
        <v>48</v>
      </c>
      <c r="P12" s="27">
        <v>4</v>
      </c>
      <c r="Q12" s="27">
        <v>10</v>
      </c>
      <c r="R12" s="27" t="s">
        <v>49</v>
      </c>
      <c r="S12" s="97" t="s">
        <v>50</v>
      </c>
      <c r="T12" s="97" t="s">
        <v>50</v>
      </c>
      <c r="U12" s="97" t="s">
        <v>50</v>
      </c>
      <c r="V12" s="97" t="s">
        <v>50</v>
      </c>
      <c r="W12" s="97" t="s">
        <v>50</v>
      </c>
      <c r="X12" s="27" t="s">
        <v>50</v>
      </c>
      <c r="Y12" s="35"/>
    </row>
    <row r="13" spans="1:25" s="149" customFormat="1" x14ac:dyDescent="0.25">
      <c r="A13" s="178">
        <v>43647</v>
      </c>
      <c r="B13" s="149" t="s">
        <v>43</v>
      </c>
      <c r="C13" s="149" t="s">
        <v>126</v>
      </c>
      <c r="D13" s="150">
        <v>38.273949999999999</v>
      </c>
      <c r="E13" s="150">
        <v>-121.70531</v>
      </c>
      <c r="F13" s="149" t="s">
        <v>3341</v>
      </c>
      <c r="G13" s="149" t="s">
        <v>90</v>
      </c>
      <c r="H13" s="149" t="s">
        <v>845</v>
      </c>
      <c r="I13" s="614">
        <v>0.49652777777777773</v>
      </c>
      <c r="J13" s="163" t="s">
        <v>50</v>
      </c>
      <c r="K13" s="163" t="s">
        <v>50</v>
      </c>
      <c r="L13" s="163" t="s">
        <v>50</v>
      </c>
      <c r="M13" s="163" t="s">
        <v>50</v>
      </c>
      <c r="N13" s="163" t="s">
        <v>50</v>
      </c>
      <c r="O13" s="161" t="s">
        <v>48</v>
      </c>
      <c r="P13" s="161">
        <v>0</v>
      </c>
      <c r="Q13" s="279" t="s">
        <v>50</v>
      </c>
      <c r="R13" s="157" t="s">
        <v>50</v>
      </c>
      <c r="S13" s="158" t="s">
        <v>50</v>
      </c>
      <c r="T13" s="158" t="s">
        <v>50</v>
      </c>
      <c r="U13" s="157" t="s">
        <v>50</v>
      </c>
      <c r="V13" s="158" t="s">
        <v>50</v>
      </c>
      <c r="W13" s="158" t="s">
        <v>50</v>
      </c>
      <c r="X13" s="157" t="s">
        <v>50</v>
      </c>
      <c r="Y13" s="152" t="s">
        <v>3342</v>
      </c>
    </row>
    <row r="14" spans="1:25" s="27" customFormat="1" x14ac:dyDescent="0.25">
      <c r="A14" s="194">
        <v>43647</v>
      </c>
      <c r="B14" s="97" t="s">
        <v>43</v>
      </c>
      <c r="C14" s="97" t="s">
        <v>126</v>
      </c>
      <c r="D14" s="98">
        <v>38.248890000000003</v>
      </c>
      <c r="E14" s="98">
        <v>-121.67227</v>
      </c>
      <c r="F14" s="97" t="s">
        <v>3343</v>
      </c>
      <c r="G14" s="97" t="s">
        <v>90</v>
      </c>
      <c r="H14" s="97" t="s">
        <v>845</v>
      </c>
      <c r="I14" s="621">
        <v>0.5083333333333333</v>
      </c>
      <c r="J14" s="31">
        <v>180.32499999999999</v>
      </c>
      <c r="K14" s="31">
        <v>21.274999999999999</v>
      </c>
      <c r="L14" s="31">
        <v>16.875</v>
      </c>
      <c r="M14" s="31">
        <v>1.1200000000000001</v>
      </c>
      <c r="N14" s="31">
        <v>8.9749999999999996</v>
      </c>
      <c r="O14" s="32" t="s">
        <v>48</v>
      </c>
      <c r="P14" s="32">
        <v>4</v>
      </c>
      <c r="Q14" s="281">
        <v>10</v>
      </c>
      <c r="R14" s="34" t="s">
        <v>49</v>
      </c>
      <c r="S14" s="49" t="s">
        <v>50</v>
      </c>
      <c r="T14" s="49" t="s">
        <v>50</v>
      </c>
      <c r="U14" s="34" t="s">
        <v>50</v>
      </c>
      <c r="V14" s="49" t="s">
        <v>50</v>
      </c>
      <c r="W14" s="49" t="s">
        <v>50</v>
      </c>
      <c r="X14" s="34" t="s">
        <v>50</v>
      </c>
      <c r="Y14" s="102"/>
    </row>
    <row r="15" spans="1:25" s="27" customFormat="1" x14ac:dyDescent="0.25">
      <c r="A15" s="26">
        <v>43648</v>
      </c>
      <c r="B15" s="27" t="s">
        <v>70</v>
      </c>
      <c r="C15" s="27" t="s">
        <v>88</v>
      </c>
      <c r="D15" s="89">
        <v>38.060409999999997</v>
      </c>
      <c r="E15" s="89">
        <v>-121.80446000000001</v>
      </c>
      <c r="F15" s="27" t="s">
        <v>3344</v>
      </c>
      <c r="G15" s="27" t="s">
        <v>27</v>
      </c>
      <c r="H15" s="27" t="s">
        <v>25</v>
      </c>
      <c r="I15" s="602">
        <v>0.34097222222222223</v>
      </c>
      <c r="J15" s="31">
        <v>154.82499999999999</v>
      </c>
      <c r="K15" s="31">
        <v>21.175000000000001</v>
      </c>
      <c r="L15" s="31">
        <v>22.45</v>
      </c>
      <c r="M15" s="31">
        <v>0.53749999999999998</v>
      </c>
      <c r="N15" s="31">
        <v>11.925000000000001</v>
      </c>
      <c r="O15" s="32" t="s">
        <v>48</v>
      </c>
      <c r="P15" s="32">
        <v>4</v>
      </c>
      <c r="Q15" s="281">
        <v>10</v>
      </c>
      <c r="R15" s="34" t="s">
        <v>49</v>
      </c>
      <c r="S15" s="49" t="s">
        <v>50</v>
      </c>
      <c r="T15" s="49" t="s">
        <v>50</v>
      </c>
      <c r="U15" s="34" t="s">
        <v>50</v>
      </c>
      <c r="V15" s="49" t="s">
        <v>50</v>
      </c>
      <c r="W15" s="49" t="s">
        <v>50</v>
      </c>
      <c r="X15" s="34" t="s">
        <v>50</v>
      </c>
      <c r="Y15" s="35"/>
    </row>
    <row r="16" spans="1:25" s="27" customFormat="1" x14ac:dyDescent="0.25">
      <c r="A16" s="26">
        <v>43648</v>
      </c>
      <c r="B16" s="27" t="s">
        <v>70</v>
      </c>
      <c r="C16" s="27" t="s">
        <v>88</v>
      </c>
      <c r="D16" s="89">
        <v>38.072279999999999</v>
      </c>
      <c r="E16" s="89">
        <v>-121.77144</v>
      </c>
      <c r="F16" s="27" t="s">
        <v>3345</v>
      </c>
      <c r="G16" s="27" t="s">
        <v>27</v>
      </c>
      <c r="H16" s="27" t="s">
        <v>25</v>
      </c>
      <c r="I16" s="602">
        <v>0.39305555555555555</v>
      </c>
      <c r="J16" s="31">
        <v>137.30000000000001</v>
      </c>
      <c r="K16" s="31">
        <v>21.175000000000001</v>
      </c>
      <c r="L16" s="31">
        <v>19.350000000000001</v>
      </c>
      <c r="M16" s="31">
        <v>0.61250000000000004</v>
      </c>
      <c r="N16" s="31">
        <v>8.4749999999999996</v>
      </c>
      <c r="O16" s="32" t="s">
        <v>48</v>
      </c>
      <c r="P16" s="32">
        <v>4</v>
      </c>
      <c r="Q16" s="281">
        <v>10</v>
      </c>
      <c r="R16" s="34" t="s">
        <v>49</v>
      </c>
      <c r="S16" s="49" t="s">
        <v>50</v>
      </c>
      <c r="T16" s="49" t="s">
        <v>50</v>
      </c>
      <c r="U16" s="34" t="s">
        <v>50</v>
      </c>
      <c r="V16" s="49" t="s">
        <v>50</v>
      </c>
      <c r="W16" s="49" t="s">
        <v>50</v>
      </c>
      <c r="X16" s="34" t="s">
        <v>50</v>
      </c>
      <c r="Y16" s="35"/>
    </row>
    <row r="17" spans="1:25" s="27" customFormat="1" x14ac:dyDescent="0.25">
      <c r="A17" s="26">
        <v>43648</v>
      </c>
      <c r="B17" s="27" t="s">
        <v>70</v>
      </c>
      <c r="C17" s="27" t="s">
        <v>88</v>
      </c>
      <c r="D17" s="89">
        <v>38.141370000000002</v>
      </c>
      <c r="E17" s="89">
        <v>-121.69278</v>
      </c>
      <c r="F17" s="27" t="s">
        <v>3346</v>
      </c>
      <c r="G17" s="27" t="s">
        <v>90</v>
      </c>
      <c r="H17" s="27" t="s">
        <v>91</v>
      </c>
      <c r="I17" s="602">
        <v>0.45277777777777778</v>
      </c>
      <c r="J17" s="82">
        <v>141.82499999999999</v>
      </c>
      <c r="K17" s="82">
        <v>21.1</v>
      </c>
      <c r="L17" s="82">
        <v>13.025</v>
      </c>
      <c r="M17" s="82">
        <v>1.0075000000000001</v>
      </c>
      <c r="N17" s="82">
        <v>10.4</v>
      </c>
      <c r="O17" s="27" t="s">
        <v>48</v>
      </c>
      <c r="P17" s="27">
        <v>4</v>
      </c>
      <c r="Q17" s="27">
        <v>10</v>
      </c>
      <c r="R17" s="27" t="s">
        <v>49</v>
      </c>
      <c r="S17" s="49" t="s">
        <v>50</v>
      </c>
      <c r="T17" s="49" t="s">
        <v>50</v>
      </c>
      <c r="U17" s="34" t="s">
        <v>50</v>
      </c>
      <c r="V17" s="49" t="s">
        <v>50</v>
      </c>
      <c r="W17" s="49" t="s">
        <v>50</v>
      </c>
      <c r="X17" s="34" t="s">
        <v>50</v>
      </c>
      <c r="Y17" s="35"/>
    </row>
    <row r="18" spans="1:25" s="27" customFormat="1" x14ac:dyDescent="0.25">
      <c r="A18" s="26">
        <v>43648</v>
      </c>
      <c r="B18" s="27" t="s">
        <v>70</v>
      </c>
      <c r="C18" s="631" t="s">
        <v>78</v>
      </c>
      <c r="D18" s="89">
        <v>38.069519999999997</v>
      </c>
      <c r="E18" s="89">
        <v>-121.84671</v>
      </c>
      <c r="F18" s="27" t="s">
        <v>3347</v>
      </c>
      <c r="G18" s="27" t="s">
        <v>27</v>
      </c>
      <c r="H18" s="27" t="s">
        <v>101</v>
      </c>
      <c r="I18" s="602">
        <v>0.33958333333333335</v>
      </c>
      <c r="J18" s="82">
        <v>231.5</v>
      </c>
      <c r="K18" s="82">
        <v>21.1</v>
      </c>
      <c r="L18" s="82">
        <v>25.65</v>
      </c>
      <c r="M18" s="82">
        <v>0.54</v>
      </c>
      <c r="N18" s="4">
        <v>10.15</v>
      </c>
      <c r="O18" s="27" t="s">
        <v>48</v>
      </c>
      <c r="P18" s="27">
        <v>4</v>
      </c>
      <c r="Q18" s="27">
        <v>10</v>
      </c>
      <c r="R18" s="27" t="s">
        <v>49</v>
      </c>
      <c r="S18" s="40" t="s">
        <v>50</v>
      </c>
      <c r="T18" s="40" t="s">
        <v>50</v>
      </c>
      <c r="U18" s="235" t="s">
        <v>50</v>
      </c>
      <c r="V18" s="40" t="s">
        <v>50</v>
      </c>
      <c r="W18" s="40" t="s">
        <v>50</v>
      </c>
      <c r="X18" s="235" t="s">
        <v>50</v>
      </c>
      <c r="Y18" s="35"/>
    </row>
    <row r="19" spans="1:25" s="27" customFormat="1" x14ac:dyDescent="0.25">
      <c r="A19" s="26">
        <v>43648</v>
      </c>
      <c r="B19" s="27" t="s">
        <v>70</v>
      </c>
      <c r="C19" s="97" t="s">
        <v>78</v>
      </c>
      <c r="D19" s="98">
        <v>38.042580000000001</v>
      </c>
      <c r="E19" s="98">
        <v>-121.90412999999999</v>
      </c>
      <c r="F19" s="97" t="s">
        <v>3348</v>
      </c>
      <c r="G19" s="97" t="s">
        <v>27</v>
      </c>
      <c r="H19" s="97" t="s">
        <v>101</v>
      </c>
      <c r="I19" s="602">
        <v>0.39166666666666666</v>
      </c>
      <c r="J19" s="100">
        <v>542.32500000000005</v>
      </c>
      <c r="K19" s="100">
        <v>21.274999999999999</v>
      </c>
      <c r="L19" s="100">
        <v>16.725000000000001</v>
      </c>
      <c r="M19" s="100">
        <v>0.67</v>
      </c>
      <c r="N19" s="101">
        <v>13.95</v>
      </c>
      <c r="O19" s="97" t="s">
        <v>48</v>
      </c>
      <c r="P19" s="97">
        <v>4</v>
      </c>
      <c r="Q19" s="97">
        <v>10</v>
      </c>
      <c r="R19" s="27" t="s">
        <v>49</v>
      </c>
      <c r="S19" s="40" t="s">
        <v>50</v>
      </c>
      <c r="T19" s="40" t="s">
        <v>50</v>
      </c>
      <c r="U19" s="235" t="s">
        <v>50</v>
      </c>
      <c r="V19" s="40" t="s">
        <v>50</v>
      </c>
      <c r="W19" s="40" t="s">
        <v>50</v>
      </c>
      <c r="X19" s="235" t="s">
        <v>50</v>
      </c>
      <c r="Y19" s="35"/>
    </row>
    <row r="20" spans="1:25" s="205" customFormat="1" x14ac:dyDescent="0.25">
      <c r="A20" s="204">
        <v>43648</v>
      </c>
      <c r="B20" s="205" t="s">
        <v>70</v>
      </c>
      <c r="C20" s="205" t="s">
        <v>78</v>
      </c>
      <c r="D20" s="206">
        <v>38.052190000000003</v>
      </c>
      <c r="E20" s="206">
        <v>-122.09413000000001</v>
      </c>
      <c r="F20" s="205" t="s">
        <v>3349</v>
      </c>
      <c r="G20" s="205" t="s">
        <v>80</v>
      </c>
      <c r="H20" s="205" t="s">
        <v>81</v>
      </c>
      <c r="I20" s="613">
        <v>0.46597222222222223</v>
      </c>
      <c r="J20" s="208">
        <v>6234</v>
      </c>
      <c r="K20" s="208">
        <v>21</v>
      </c>
      <c r="L20" s="208">
        <v>25.3</v>
      </c>
      <c r="M20" s="208">
        <v>0.53500000000000003</v>
      </c>
      <c r="N20" s="209">
        <v>9.5749999999999993</v>
      </c>
      <c r="O20" s="205" t="s">
        <v>48</v>
      </c>
      <c r="P20" s="205">
        <v>4</v>
      </c>
      <c r="Q20" s="205">
        <v>10</v>
      </c>
      <c r="R20" s="205" t="s">
        <v>64</v>
      </c>
      <c r="S20" s="553" t="s">
        <v>702</v>
      </c>
      <c r="T20" s="549">
        <v>1</v>
      </c>
      <c r="U20" s="550">
        <v>86</v>
      </c>
      <c r="V20" s="549" t="s">
        <v>50</v>
      </c>
      <c r="W20" s="549">
        <v>5</v>
      </c>
      <c r="X20" s="550" t="s">
        <v>50</v>
      </c>
      <c r="Y20" s="210"/>
    </row>
    <row r="21" spans="1:25" s="27" customFormat="1" x14ac:dyDescent="0.25">
      <c r="A21" s="26">
        <v>43648</v>
      </c>
      <c r="B21" s="27" t="s">
        <v>70</v>
      </c>
      <c r="C21" s="27" t="s">
        <v>126</v>
      </c>
      <c r="D21" s="89">
        <v>38.250900000000001</v>
      </c>
      <c r="E21" s="89">
        <v>-121.71733999999999</v>
      </c>
      <c r="F21" s="27" t="s">
        <v>3350</v>
      </c>
      <c r="G21" s="27" t="s">
        <v>90</v>
      </c>
      <c r="H21" s="27" t="s">
        <v>845</v>
      </c>
      <c r="I21" s="602">
        <v>0.34861111111111115</v>
      </c>
      <c r="J21" s="82">
        <v>181.77500000000001</v>
      </c>
      <c r="K21" s="82">
        <v>21.024999999999999</v>
      </c>
      <c r="L21" s="82">
        <v>5.2549999999999999</v>
      </c>
      <c r="M21" s="82">
        <v>1.7250000000000001</v>
      </c>
      <c r="N21" s="4">
        <v>13.125</v>
      </c>
      <c r="O21" s="27" t="s">
        <v>48</v>
      </c>
      <c r="P21" s="27">
        <v>4</v>
      </c>
      <c r="Q21" s="27">
        <v>10</v>
      </c>
      <c r="R21" s="27" t="s">
        <v>49</v>
      </c>
      <c r="S21" s="40" t="s">
        <v>50</v>
      </c>
      <c r="T21" s="40" t="s">
        <v>50</v>
      </c>
      <c r="U21" s="235" t="s">
        <v>50</v>
      </c>
      <c r="V21" s="40" t="s">
        <v>50</v>
      </c>
      <c r="W21" s="40" t="s">
        <v>50</v>
      </c>
      <c r="X21" s="235" t="s">
        <v>50</v>
      </c>
      <c r="Y21" s="35"/>
    </row>
    <row r="22" spans="1:25" s="199" customFormat="1" x14ac:dyDescent="0.25">
      <c r="A22" s="198">
        <v>43648</v>
      </c>
      <c r="B22" s="199" t="s">
        <v>70</v>
      </c>
      <c r="C22" s="199" t="s">
        <v>126</v>
      </c>
      <c r="D22" s="201">
        <v>38.250979999999998</v>
      </c>
      <c r="E22" s="201">
        <v>-121.69486000000001</v>
      </c>
      <c r="F22" s="199" t="s">
        <v>3351</v>
      </c>
      <c r="G22" s="199" t="s">
        <v>90</v>
      </c>
      <c r="H22" s="199" t="s">
        <v>845</v>
      </c>
      <c r="I22" s="614">
        <v>0.41250000000000003</v>
      </c>
      <c r="J22" s="562" t="s">
        <v>50</v>
      </c>
      <c r="K22" s="562" t="s">
        <v>50</v>
      </c>
      <c r="L22" s="562" t="s">
        <v>50</v>
      </c>
      <c r="M22" s="562" t="s">
        <v>50</v>
      </c>
      <c r="N22" s="562" t="s">
        <v>50</v>
      </c>
      <c r="O22" s="545" t="s">
        <v>48</v>
      </c>
      <c r="P22" s="545">
        <v>0</v>
      </c>
      <c r="Q22" s="551" t="s">
        <v>50</v>
      </c>
      <c r="R22" s="552" t="s">
        <v>50</v>
      </c>
      <c r="S22" s="544" t="s">
        <v>50</v>
      </c>
      <c r="T22" s="544" t="s">
        <v>50</v>
      </c>
      <c r="U22" s="552" t="s">
        <v>50</v>
      </c>
      <c r="V22" s="544" t="s">
        <v>50</v>
      </c>
      <c r="W22" s="544" t="s">
        <v>50</v>
      </c>
      <c r="X22" s="552" t="s">
        <v>50</v>
      </c>
      <c r="Y22" s="200" t="s">
        <v>784</v>
      </c>
    </row>
    <row r="23" spans="1:25" s="27" customFormat="1" x14ac:dyDescent="0.25">
      <c r="A23" s="26">
        <v>43648</v>
      </c>
      <c r="B23" s="27" t="s">
        <v>70</v>
      </c>
      <c r="C23" s="27" t="s">
        <v>126</v>
      </c>
      <c r="D23" s="89">
        <v>38.301940000000002</v>
      </c>
      <c r="E23" s="89">
        <v>-121.69271999999999</v>
      </c>
      <c r="F23" s="27" t="s">
        <v>3352</v>
      </c>
      <c r="G23" s="27" t="s">
        <v>90</v>
      </c>
      <c r="H23" s="27" t="s">
        <v>845</v>
      </c>
      <c r="I23" s="602">
        <v>0.42638888888888887</v>
      </c>
      <c r="J23" s="82">
        <v>369.35</v>
      </c>
      <c r="K23" s="82">
        <v>22.05</v>
      </c>
      <c r="L23" s="82">
        <v>7.1974999999999998</v>
      </c>
      <c r="M23" s="82">
        <v>1.68</v>
      </c>
      <c r="N23" s="4">
        <v>6.2750000000000004</v>
      </c>
      <c r="O23" s="27" t="s">
        <v>48</v>
      </c>
      <c r="P23" s="27">
        <v>4</v>
      </c>
      <c r="Q23" s="27">
        <v>10</v>
      </c>
      <c r="R23" s="27" t="s">
        <v>64</v>
      </c>
      <c r="S23" s="40" t="s">
        <v>50</v>
      </c>
      <c r="T23" s="40" t="s">
        <v>50</v>
      </c>
      <c r="U23" s="235" t="s">
        <v>50</v>
      </c>
      <c r="V23" s="40" t="s">
        <v>50</v>
      </c>
      <c r="W23" s="40" t="s">
        <v>50</v>
      </c>
      <c r="X23" s="235" t="s">
        <v>50</v>
      </c>
      <c r="Y23" s="35"/>
    </row>
    <row r="24" spans="1:25" s="27" customFormat="1" x14ac:dyDescent="0.25">
      <c r="A24" s="26">
        <v>43648</v>
      </c>
      <c r="B24" s="27" t="s">
        <v>70</v>
      </c>
      <c r="C24" s="27" t="s">
        <v>126</v>
      </c>
      <c r="D24" s="89">
        <v>38.241109999999999</v>
      </c>
      <c r="E24" s="89">
        <v>-121.68116999999999</v>
      </c>
      <c r="F24" s="27" t="s">
        <v>3353</v>
      </c>
      <c r="G24" s="27" t="s">
        <v>90</v>
      </c>
      <c r="H24" s="27" t="s">
        <v>845</v>
      </c>
      <c r="I24" s="602">
        <v>0.48958333333333331</v>
      </c>
      <c r="J24" s="82">
        <v>165.22499999999999</v>
      </c>
      <c r="K24" s="82">
        <v>21.024999999999999</v>
      </c>
      <c r="L24" s="82">
        <v>16.37</v>
      </c>
      <c r="M24" s="82">
        <v>1.2050000000000001</v>
      </c>
      <c r="N24" s="4">
        <v>8.4499999999999993</v>
      </c>
      <c r="O24" s="27" t="s">
        <v>48</v>
      </c>
      <c r="P24" s="27">
        <v>4</v>
      </c>
      <c r="Q24" s="27">
        <v>10</v>
      </c>
      <c r="R24" s="27" t="s">
        <v>49</v>
      </c>
      <c r="S24" s="27" t="s">
        <v>50</v>
      </c>
      <c r="T24" s="27" t="s">
        <v>50</v>
      </c>
      <c r="U24" s="27" t="s">
        <v>50</v>
      </c>
      <c r="V24" s="27" t="s">
        <v>50</v>
      </c>
      <c r="W24" s="27" t="s">
        <v>50</v>
      </c>
      <c r="X24" s="27" t="s">
        <v>50</v>
      </c>
      <c r="Y24" s="35"/>
    </row>
    <row r="25" spans="1:25" s="27" customFormat="1" x14ac:dyDescent="0.25">
      <c r="A25" s="26">
        <v>43649</v>
      </c>
      <c r="B25" s="27" t="s">
        <v>87</v>
      </c>
      <c r="C25" s="27" t="s">
        <v>95</v>
      </c>
      <c r="D25" s="89">
        <v>38.063339999999997</v>
      </c>
      <c r="E25" s="89">
        <v>-121.54519000000001</v>
      </c>
      <c r="F25" s="27" t="s">
        <v>3354</v>
      </c>
      <c r="G25" s="27" t="s">
        <v>46</v>
      </c>
      <c r="H25" s="27" t="s">
        <v>115</v>
      </c>
      <c r="I25" s="602">
        <v>0.30902777777777779</v>
      </c>
      <c r="J25" s="82">
        <v>118.77500000000001</v>
      </c>
      <c r="K25" s="82">
        <v>22.074999999999999</v>
      </c>
      <c r="L25" s="82">
        <v>17.432500000000001</v>
      </c>
      <c r="M25" s="82">
        <v>1.5149999999999999</v>
      </c>
      <c r="N25" s="4">
        <v>8.9250000000000007</v>
      </c>
      <c r="O25" s="27" t="s">
        <v>48</v>
      </c>
      <c r="P25" s="27">
        <v>4</v>
      </c>
      <c r="Q25" s="27">
        <v>10</v>
      </c>
      <c r="R25" s="27" t="s">
        <v>49</v>
      </c>
      <c r="S25" s="40" t="s">
        <v>50</v>
      </c>
      <c r="T25" s="40" t="s">
        <v>50</v>
      </c>
      <c r="U25" s="235" t="s">
        <v>50</v>
      </c>
      <c r="V25" s="40" t="s">
        <v>50</v>
      </c>
      <c r="W25" s="40" t="s">
        <v>50</v>
      </c>
      <c r="X25" s="235" t="s">
        <v>50</v>
      </c>
      <c r="Y25" s="35"/>
    </row>
    <row r="26" spans="1:25" s="27" customFormat="1" x14ac:dyDescent="0.25">
      <c r="A26" s="26">
        <v>43649</v>
      </c>
      <c r="B26" s="27" t="s">
        <v>87</v>
      </c>
      <c r="C26" s="27" t="s">
        <v>95</v>
      </c>
      <c r="D26" s="89">
        <v>38.101619999999997</v>
      </c>
      <c r="E26" s="89">
        <v>-121.59166</v>
      </c>
      <c r="F26" s="27" t="s">
        <v>3355</v>
      </c>
      <c r="G26" s="27" t="s">
        <v>46</v>
      </c>
      <c r="H26" s="27" t="s">
        <v>115</v>
      </c>
      <c r="I26" s="602">
        <v>0.3576388888888889</v>
      </c>
      <c r="J26" s="82">
        <v>116.47499999999999</v>
      </c>
      <c r="K26" s="82">
        <v>21.85</v>
      </c>
      <c r="L26" s="82">
        <v>10.225</v>
      </c>
      <c r="M26" s="82">
        <v>1.3025</v>
      </c>
      <c r="N26" s="4">
        <v>5.125</v>
      </c>
      <c r="O26" s="27" t="s">
        <v>48</v>
      </c>
      <c r="P26" s="27">
        <v>4</v>
      </c>
      <c r="Q26" s="27">
        <v>10</v>
      </c>
      <c r="R26" s="27" t="s">
        <v>49</v>
      </c>
      <c r="S26" s="40" t="s">
        <v>50</v>
      </c>
      <c r="T26" s="40" t="s">
        <v>50</v>
      </c>
      <c r="U26" s="235" t="s">
        <v>50</v>
      </c>
      <c r="V26" s="40" t="s">
        <v>50</v>
      </c>
      <c r="W26" s="40" t="s">
        <v>50</v>
      </c>
      <c r="X26" s="235" t="s">
        <v>50</v>
      </c>
      <c r="Y26" s="35"/>
    </row>
    <row r="27" spans="1:25" s="27" customFormat="1" x14ac:dyDescent="0.25">
      <c r="A27" s="26">
        <v>43649</v>
      </c>
      <c r="B27" s="27" t="s">
        <v>87</v>
      </c>
      <c r="C27" s="27" t="s">
        <v>95</v>
      </c>
      <c r="D27" s="89">
        <v>38.093519999999998</v>
      </c>
      <c r="E27" s="89">
        <v>-121.65861</v>
      </c>
      <c r="F27" s="27" t="s">
        <v>3356</v>
      </c>
      <c r="G27" s="27" t="s">
        <v>46</v>
      </c>
      <c r="H27" s="27" t="s">
        <v>908</v>
      </c>
      <c r="I27" s="602">
        <v>0.42291666666666666</v>
      </c>
      <c r="J27" s="82">
        <v>115.575</v>
      </c>
      <c r="K27" s="82">
        <v>22.05</v>
      </c>
      <c r="L27" s="82">
        <v>11.965</v>
      </c>
      <c r="M27" s="82">
        <v>1.0525</v>
      </c>
      <c r="N27" s="4">
        <v>13.05</v>
      </c>
      <c r="O27" s="27" t="s">
        <v>48</v>
      </c>
      <c r="P27" s="27">
        <v>4</v>
      </c>
      <c r="Q27" s="27">
        <v>10</v>
      </c>
      <c r="R27" s="27" t="s">
        <v>49</v>
      </c>
      <c r="S27" s="40" t="s">
        <v>50</v>
      </c>
      <c r="T27" s="40" t="s">
        <v>50</v>
      </c>
      <c r="U27" s="235" t="s">
        <v>50</v>
      </c>
      <c r="V27" s="40" t="s">
        <v>50</v>
      </c>
      <c r="W27" s="40" t="s">
        <v>50</v>
      </c>
      <c r="X27" s="235" t="s">
        <v>50</v>
      </c>
      <c r="Y27" s="35"/>
    </row>
    <row r="28" spans="1:25" s="494" customFormat="1" x14ac:dyDescent="0.25">
      <c r="A28" s="495">
        <v>43649</v>
      </c>
      <c r="B28" s="494" t="s">
        <v>87</v>
      </c>
      <c r="C28" s="431" t="s">
        <v>106</v>
      </c>
      <c r="D28" s="496">
        <v>38.464820000000003</v>
      </c>
      <c r="E28" s="496">
        <v>-121.5879</v>
      </c>
      <c r="F28" s="494" t="s">
        <v>3357</v>
      </c>
      <c r="G28" s="494" t="s">
        <v>90</v>
      </c>
      <c r="H28" s="494" t="s">
        <v>362</v>
      </c>
      <c r="I28" s="615">
        <v>0.32361111111111113</v>
      </c>
      <c r="J28" s="498">
        <v>842</v>
      </c>
      <c r="K28" s="498">
        <v>23.15</v>
      </c>
      <c r="L28" s="498">
        <v>27.2</v>
      </c>
      <c r="M28" s="498">
        <v>0.68</v>
      </c>
      <c r="N28" s="499">
        <v>10</v>
      </c>
      <c r="O28" s="494" t="s">
        <v>48</v>
      </c>
      <c r="P28" s="494">
        <v>2</v>
      </c>
      <c r="Q28" s="494">
        <v>10</v>
      </c>
      <c r="R28" s="494" t="s">
        <v>49</v>
      </c>
      <c r="S28" s="559" t="s">
        <v>323</v>
      </c>
      <c r="T28" s="560">
        <v>2</v>
      </c>
      <c r="U28" s="561">
        <v>40</v>
      </c>
      <c r="V28" s="560" t="s">
        <v>50</v>
      </c>
      <c r="W28" s="560" t="s">
        <v>50</v>
      </c>
      <c r="X28" s="561" t="s">
        <v>50</v>
      </c>
      <c r="Y28" s="455" t="s">
        <v>3358</v>
      </c>
    </row>
    <row r="29" spans="1:25" s="494" customFormat="1" x14ac:dyDescent="0.25">
      <c r="A29" s="590">
        <v>43649</v>
      </c>
      <c r="B29" s="591" t="s">
        <v>87</v>
      </c>
      <c r="C29" s="591" t="s">
        <v>106</v>
      </c>
      <c r="D29" s="592">
        <v>38.356810000000003</v>
      </c>
      <c r="E29" s="592">
        <v>-121.6373</v>
      </c>
      <c r="F29" s="591" t="s">
        <v>3359</v>
      </c>
      <c r="G29" s="591" t="s">
        <v>90</v>
      </c>
      <c r="H29" s="591" t="s">
        <v>362</v>
      </c>
      <c r="I29" s="619">
        <v>0.39861111111111108</v>
      </c>
      <c r="J29" s="593">
        <v>571</v>
      </c>
      <c r="K29" s="593">
        <v>22.45</v>
      </c>
      <c r="L29" s="593">
        <v>37.1</v>
      </c>
      <c r="M29" s="593">
        <v>0.53</v>
      </c>
      <c r="N29" s="594">
        <v>10.25</v>
      </c>
      <c r="O29" s="591" t="s">
        <v>48</v>
      </c>
      <c r="P29" s="591">
        <v>2</v>
      </c>
      <c r="Q29" s="591">
        <v>10</v>
      </c>
      <c r="R29" s="591" t="s">
        <v>49</v>
      </c>
      <c r="S29" s="559" t="s">
        <v>323</v>
      </c>
      <c r="T29" s="642">
        <v>31</v>
      </c>
      <c r="U29" s="644" t="s">
        <v>3360</v>
      </c>
      <c r="V29" s="560" t="s">
        <v>50</v>
      </c>
      <c r="W29" s="560" t="s">
        <v>50</v>
      </c>
      <c r="X29" s="561" t="s">
        <v>50</v>
      </c>
      <c r="Y29" s="761" t="s">
        <v>3361</v>
      </c>
    </row>
    <row r="30" spans="1:25" s="494" customFormat="1" x14ac:dyDescent="0.25">
      <c r="A30" s="495">
        <v>43649</v>
      </c>
      <c r="B30" s="494" t="s">
        <v>87</v>
      </c>
      <c r="C30" s="494" t="s">
        <v>106</v>
      </c>
      <c r="D30" s="496">
        <v>38.329889999999999</v>
      </c>
      <c r="E30" s="496">
        <v>-121.64864</v>
      </c>
      <c r="F30" s="494" t="s">
        <v>3362</v>
      </c>
      <c r="G30" s="494" t="s">
        <v>90</v>
      </c>
      <c r="H30" s="494" t="s">
        <v>362</v>
      </c>
      <c r="I30" s="615">
        <v>0.47083333333333338</v>
      </c>
      <c r="J30" s="498">
        <v>485.95</v>
      </c>
      <c r="K30" s="498">
        <v>22.65</v>
      </c>
      <c r="L30" s="498">
        <v>39.200000000000003</v>
      </c>
      <c r="M30" s="498">
        <v>0.54</v>
      </c>
      <c r="N30" s="499">
        <v>9.85</v>
      </c>
      <c r="O30" s="494" t="s">
        <v>48</v>
      </c>
      <c r="P30" s="494">
        <v>2</v>
      </c>
      <c r="Q30" s="494">
        <v>10</v>
      </c>
      <c r="R30" s="494" t="s">
        <v>49</v>
      </c>
      <c r="S30" s="559" t="s">
        <v>323</v>
      </c>
      <c r="T30" s="560">
        <v>12</v>
      </c>
      <c r="U30" s="561" t="s">
        <v>3363</v>
      </c>
      <c r="V30" s="560" t="s">
        <v>50</v>
      </c>
      <c r="W30" s="560" t="s">
        <v>50</v>
      </c>
      <c r="X30" s="561" t="s">
        <v>50</v>
      </c>
      <c r="Y30" s="455" t="s">
        <v>3364</v>
      </c>
    </row>
    <row r="31" spans="1:25" s="205" customFormat="1" x14ac:dyDescent="0.25">
      <c r="A31" s="204">
        <v>43649</v>
      </c>
      <c r="B31" s="205" t="s">
        <v>87</v>
      </c>
      <c r="C31" s="205" t="s">
        <v>106</v>
      </c>
      <c r="D31" s="206">
        <v>38.329889999999999</v>
      </c>
      <c r="E31" s="206">
        <v>-121.64864</v>
      </c>
      <c r="F31" s="205" t="s">
        <v>3362</v>
      </c>
      <c r="G31" s="205" t="s">
        <v>90</v>
      </c>
      <c r="H31" s="205" t="s">
        <v>362</v>
      </c>
      <c r="I31" s="613">
        <v>0.47083333333333338</v>
      </c>
      <c r="J31" s="208">
        <v>485.95</v>
      </c>
      <c r="K31" s="208">
        <v>22.65</v>
      </c>
      <c r="L31" s="208">
        <v>39.200000000000003</v>
      </c>
      <c r="M31" s="208">
        <v>0.54</v>
      </c>
      <c r="N31" s="209">
        <v>9.85</v>
      </c>
      <c r="O31" s="205" t="s">
        <v>48</v>
      </c>
      <c r="P31" s="205">
        <v>2</v>
      </c>
      <c r="Q31" s="205">
        <v>10</v>
      </c>
      <c r="R31" s="205" t="s">
        <v>49</v>
      </c>
      <c r="S31" s="553" t="s">
        <v>702</v>
      </c>
      <c r="T31" s="549">
        <v>1</v>
      </c>
      <c r="U31" s="550">
        <v>100</v>
      </c>
      <c r="V31" s="549" t="s">
        <v>50</v>
      </c>
      <c r="W31" s="549">
        <v>4</v>
      </c>
      <c r="X31" s="550" t="s">
        <v>50</v>
      </c>
      <c r="Y31" s="210"/>
    </row>
    <row r="32" spans="1:25" s="205" customFormat="1" x14ac:dyDescent="0.25">
      <c r="A32" s="204">
        <v>43649</v>
      </c>
      <c r="B32" s="205" t="s">
        <v>87</v>
      </c>
      <c r="C32" s="205" t="s">
        <v>62</v>
      </c>
      <c r="D32" s="206">
        <v>38.108089999999997</v>
      </c>
      <c r="E32" s="206">
        <v>-122.05323</v>
      </c>
      <c r="F32" s="205" t="s">
        <v>3365</v>
      </c>
      <c r="G32" s="205" t="s">
        <v>27</v>
      </c>
      <c r="H32" s="205" t="s">
        <v>173</v>
      </c>
      <c r="I32" s="613">
        <v>0.33055555555555555</v>
      </c>
      <c r="J32" s="208">
        <v>5391.25</v>
      </c>
      <c r="K32" s="208">
        <v>20.774999999999999</v>
      </c>
      <c r="L32" s="208">
        <v>149.32499999999999</v>
      </c>
      <c r="M32" s="208">
        <v>0.185</v>
      </c>
      <c r="N32" s="209">
        <v>2.35</v>
      </c>
      <c r="O32" s="205" t="s">
        <v>48</v>
      </c>
      <c r="P32" s="205">
        <v>4</v>
      </c>
      <c r="Q32" s="205">
        <v>10</v>
      </c>
      <c r="R32" s="205" t="s">
        <v>49</v>
      </c>
      <c r="S32" s="553" t="s">
        <v>31</v>
      </c>
      <c r="T32" s="549">
        <v>4</v>
      </c>
      <c r="U32" s="550" t="s">
        <v>3366</v>
      </c>
      <c r="V32" s="549" t="s">
        <v>50</v>
      </c>
      <c r="W32" s="549" t="s">
        <v>50</v>
      </c>
      <c r="X32" s="550" t="s">
        <v>50</v>
      </c>
      <c r="Y32" s="210"/>
    </row>
    <row r="33" spans="1:25" s="27" customFormat="1" x14ac:dyDescent="0.25">
      <c r="A33" s="26">
        <v>43649</v>
      </c>
      <c r="B33" s="27" t="s">
        <v>87</v>
      </c>
      <c r="C33" s="27" t="s">
        <v>62</v>
      </c>
      <c r="D33" s="89">
        <v>38.181089999999998</v>
      </c>
      <c r="E33" s="89">
        <v>-121.92185000000001</v>
      </c>
      <c r="F33" s="27" t="s">
        <v>3367</v>
      </c>
      <c r="G33" s="27" t="s">
        <v>27</v>
      </c>
      <c r="H33" s="27" t="s">
        <v>62</v>
      </c>
      <c r="I33" s="602">
        <v>0.4152777777777778</v>
      </c>
      <c r="J33" s="82">
        <v>1252.25</v>
      </c>
      <c r="K33" s="82">
        <v>21.175000000000001</v>
      </c>
      <c r="L33" s="82">
        <v>106.3</v>
      </c>
      <c r="M33" s="82">
        <v>0.18</v>
      </c>
      <c r="N33" s="4">
        <v>3.9249999999999998</v>
      </c>
      <c r="O33" s="27" t="s">
        <v>48</v>
      </c>
      <c r="P33" s="27">
        <v>4</v>
      </c>
      <c r="Q33" s="27">
        <v>10</v>
      </c>
      <c r="R33" s="27" t="s">
        <v>49</v>
      </c>
      <c r="S33" s="40" t="s">
        <v>50</v>
      </c>
      <c r="T33" s="40" t="s">
        <v>50</v>
      </c>
      <c r="U33" s="235" t="s">
        <v>50</v>
      </c>
      <c r="V33" s="40" t="s">
        <v>50</v>
      </c>
      <c r="W33" s="40" t="s">
        <v>50</v>
      </c>
      <c r="X33" s="235" t="s">
        <v>50</v>
      </c>
      <c r="Y33" s="35" t="s">
        <v>3368</v>
      </c>
    </row>
    <row r="34" spans="1:25" s="494" customFormat="1" x14ac:dyDescent="0.25">
      <c r="A34" s="495">
        <v>43649</v>
      </c>
      <c r="B34" s="494" t="s">
        <v>87</v>
      </c>
      <c r="C34" s="494" t="s">
        <v>62</v>
      </c>
      <c r="D34" s="496">
        <v>38.122970000000002</v>
      </c>
      <c r="E34" s="496">
        <v>-121.90024</v>
      </c>
      <c r="F34" s="494" t="s">
        <v>3369</v>
      </c>
      <c r="G34" s="494" t="s">
        <v>27</v>
      </c>
      <c r="H34" s="494" t="s">
        <v>62</v>
      </c>
      <c r="I34" s="615">
        <v>0.53472222222222221</v>
      </c>
      <c r="J34" s="498">
        <v>662.25</v>
      </c>
      <c r="K34" s="498">
        <v>21.875</v>
      </c>
      <c r="L34" s="498">
        <v>60.95</v>
      </c>
      <c r="M34" s="498">
        <v>0.26</v>
      </c>
      <c r="N34" s="499">
        <v>4.7</v>
      </c>
      <c r="O34" s="494" t="s">
        <v>48</v>
      </c>
      <c r="P34" s="494">
        <v>4</v>
      </c>
      <c r="Q34" s="494">
        <v>10</v>
      </c>
      <c r="R34" s="494" t="s">
        <v>49</v>
      </c>
      <c r="S34" s="559" t="s">
        <v>323</v>
      </c>
      <c r="T34" s="560">
        <v>2</v>
      </c>
      <c r="U34" s="561" t="s">
        <v>3370</v>
      </c>
      <c r="V34" s="560" t="s">
        <v>50</v>
      </c>
      <c r="W34" s="560" t="s">
        <v>50</v>
      </c>
      <c r="X34" s="561" t="s">
        <v>50</v>
      </c>
      <c r="Y34" s="455"/>
    </row>
    <row r="35" spans="1:25" s="494" customFormat="1" x14ac:dyDescent="0.25">
      <c r="A35" s="348">
        <v>43651</v>
      </c>
      <c r="B35" s="494" t="s">
        <v>125</v>
      </c>
      <c r="C35" s="494" t="s">
        <v>106</v>
      </c>
      <c r="D35" s="496">
        <v>38.387410000000003</v>
      </c>
      <c r="E35" s="496">
        <v>-121.62269000000001</v>
      </c>
      <c r="F35" s="494" t="s">
        <v>3371</v>
      </c>
      <c r="G35" s="494" t="s">
        <v>90</v>
      </c>
      <c r="H35" s="494" t="s">
        <v>362</v>
      </c>
      <c r="I35" s="615">
        <v>0.33402777777777781</v>
      </c>
      <c r="J35" s="498">
        <v>537</v>
      </c>
      <c r="K35" s="498">
        <v>22.6</v>
      </c>
      <c r="L35" s="498">
        <v>28.7</v>
      </c>
      <c r="M35" s="498">
        <v>415</v>
      </c>
      <c r="N35" s="499">
        <v>3.8</v>
      </c>
      <c r="O35" s="494" t="s">
        <v>48</v>
      </c>
      <c r="P35" s="494">
        <v>2</v>
      </c>
      <c r="Q35" s="494">
        <v>10</v>
      </c>
      <c r="R35" s="494" t="s">
        <v>49</v>
      </c>
      <c r="S35" s="559" t="s">
        <v>323</v>
      </c>
      <c r="T35" s="560">
        <v>12</v>
      </c>
      <c r="U35" s="561" t="s">
        <v>3372</v>
      </c>
      <c r="V35" s="560" t="s">
        <v>66</v>
      </c>
      <c r="W35" s="560" t="s">
        <v>50</v>
      </c>
      <c r="X35" s="561" t="s">
        <v>50</v>
      </c>
      <c r="Y35" s="455" t="s">
        <v>3373</v>
      </c>
    </row>
    <row r="36" spans="1:25" s="27" customFormat="1" x14ac:dyDescent="0.25">
      <c r="A36" s="20">
        <v>43651</v>
      </c>
      <c r="B36" s="27" t="s">
        <v>125</v>
      </c>
      <c r="C36" s="27" t="s">
        <v>106</v>
      </c>
      <c r="D36" s="89">
        <v>38.263829999999999</v>
      </c>
      <c r="E36" s="89">
        <v>-121.6649</v>
      </c>
      <c r="F36" s="27" t="s">
        <v>3374</v>
      </c>
      <c r="G36" s="27" t="s">
        <v>90</v>
      </c>
      <c r="H36" s="27" t="s">
        <v>362</v>
      </c>
      <c r="I36" s="602">
        <v>0.40625</v>
      </c>
      <c r="J36" s="82">
        <v>157.30000000000001</v>
      </c>
      <c r="K36" s="82">
        <v>21.55</v>
      </c>
      <c r="L36" s="82">
        <v>15.675000000000001</v>
      </c>
      <c r="M36" s="82">
        <v>0.86750000000000005</v>
      </c>
      <c r="N36" s="4">
        <v>9.875</v>
      </c>
      <c r="O36" s="27" t="s">
        <v>48</v>
      </c>
      <c r="P36" s="27">
        <v>4</v>
      </c>
      <c r="Q36" s="27">
        <v>10</v>
      </c>
      <c r="R36" s="27" t="s">
        <v>49</v>
      </c>
      <c r="S36" s="40" t="s">
        <v>50</v>
      </c>
      <c r="T36" s="40" t="s">
        <v>50</v>
      </c>
      <c r="U36" s="235" t="s">
        <v>50</v>
      </c>
      <c r="V36" s="40" t="s">
        <v>50</v>
      </c>
      <c r="W36" s="40" t="s">
        <v>50</v>
      </c>
      <c r="X36" s="235" t="s">
        <v>50</v>
      </c>
      <c r="Y36" s="35" t="s">
        <v>3375</v>
      </c>
    </row>
    <row r="37" spans="1:25" s="27" customFormat="1" x14ac:dyDescent="0.25">
      <c r="A37" s="26">
        <v>43651</v>
      </c>
      <c r="B37" s="27" t="s">
        <v>125</v>
      </c>
      <c r="C37" s="27" t="s">
        <v>106</v>
      </c>
      <c r="D37" s="89">
        <v>38.188400000000001</v>
      </c>
      <c r="E37" s="89">
        <v>-121.65893</v>
      </c>
      <c r="F37" s="27" t="s">
        <v>3376</v>
      </c>
      <c r="G37" s="27" t="s">
        <v>90</v>
      </c>
      <c r="H37" s="27" t="s">
        <v>362</v>
      </c>
      <c r="I37" s="602">
        <v>0.46666666666666662</v>
      </c>
      <c r="J37" s="31">
        <v>120.2</v>
      </c>
      <c r="K37" s="31">
        <v>21.8</v>
      </c>
      <c r="L37" s="31">
        <v>10.4</v>
      </c>
      <c r="M37" s="31">
        <v>1.2</v>
      </c>
      <c r="N37" s="31">
        <v>8.1</v>
      </c>
      <c r="O37" s="27" t="s">
        <v>48</v>
      </c>
      <c r="P37" s="27">
        <v>4</v>
      </c>
      <c r="Q37" s="27">
        <v>10</v>
      </c>
      <c r="R37" s="34" t="s">
        <v>49</v>
      </c>
      <c r="S37" s="49" t="s">
        <v>50</v>
      </c>
      <c r="T37" s="49" t="s">
        <v>50</v>
      </c>
      <c r="U37" s="34" t="s">
        <v>50</v>
      </c>
      <c r="V37" s="49" t="s">
        <v>50</v>
      </c>
      <c r="W37" s="49" t="s">
        <v>50</v>
      </c>
      <c r="X37" s="34" t="s">
        <v>50</v>
      </c>
      <c r="Y37" s="35"/>
    </row>
    <row r="38" spans="1:25" s="205" customFormat="1" x14ac:dyDescent="0.25">
      <c r="A38" s="204">
        <v>43651</v>
      </c>
      <c r="B38" s="205" t="s">
        <v>125</v>
      </c>
      <c r="C38" s="205" t="s">
        <v>78</v>
      </c>
      <c r="D38" s="206">
        <v>38.073360000000001</v>
      </c>
      <c r="E38" s="206">
        <v>-122.00134</v>
      </c>
      <c r="F38" s="205" t="s">
        <v>3377</v>
      </c>
      <c r="G38" s="205" t="s">
        <v>27</v>
      </c>
      <c r="H38" s="214" t="s">
        <v>86</v>
      </c>
      <c r="I38" s="613">
        <v>0.34236111111111112</v>
      </c>
      <c r="J38" s="564">
        <v>8448.75</v>
      </c>
      <c r="K38" s="564">
        <v>20.6</v>
      </c>
      <c r="L38" s="564">
        <v>46.85</v>
      </c>
      <c r="M38" s="564">
        <v>0.2475</v>
      </c>
      <c r="N38" s="564">
        <v>3.625</v>
      </c>
      <c r="O38" s="205" t="s">
        <v>48</v>
      </c>
      <c r="P38" s="205">
        <v>4</v>
      </c>
      <c r="Q38" s="205">
        <v>10</v>
      </c>
      <c r="R38" s="565" t="s">
        <v>49</v>
      </c>
      <c r="S38" s="553" t="s">
        <v>31</v>
      </c>
      <c r="T38" s="549">
        <v>4</v>
      </c>
      <c r="U38" s="565" t="s">
        <v>3378</v>
      </c>
      <c r="V38" s="566" t="s">
        <v>66</v>
      </c>
      <c r="W38" s="566" t="s">
        <v>50</v>
      </c>
      <c r="X38" s="565" t="s">
        <v>50</v>
      </c>
      <c r="Y38" s="650" t="s">
        <v>3379</v>
      </c>
    </row>
    <row r="39" spans="1:25" s="494" customFormat="1" x14ac:dyDescent="0.25">
      <c r="A39" s="760">
        <v>43651</v>
      </c>
      <c r="B39" s="591" t="s">
        <v>125</v>
      </c>
      <c r="C39" s="591" t="s">
        <v>78</v>
      </c>
      <c r="D39" s="592">
        <v>38.072920000000003</v>
      </c>
      <c r="E39" s="592">
        <v>-121.97254</v>
      </c>
      <c r="F39" s="591" t="s">
        <v>3380</v>
      </c>
      <c r="G39" s="591" t="s">
        <v>27</v>
      </c>
      <c r="H39" s="591" t="s">
        <v>86</v>
      </c>
      <c r="I39" s="619">
        <v>0.39444444444444443</v>
      </c>
      <c r="J39" s="593">
        <v>5271.5</v>
      </c>
      <c r="K39" s="593">
        <v>20.9</v>
      </c>
      <c r="L39" s="593">
        <v>53.7</v>
      </c>
      <c r="M39" s="593">
        <v>0.255</v>
      </c>
      <c r="N39" s="594">
        <v>14.35</v>
      </c>
      <c r="O39" s="591" t="s">
        <v>48</v>
      </c>
      <c r="P39" s="591">
        <v>2</v>
      </c>
      <c r="Q39" s="591">
        <v>10</v>
      </c>
      <c r="R39" s="591" t="s">
        <v>49</v>
      </c>
      <c r="S39" s="559" t="s">
        <v>323</v>
      </c>
      <c r="T39" s="560">
        <v>1</v>
      </c>
      <c r="U39" s="561">
        <v>45</v>
      </c>
      <c r="V39" s="560" t="s">
        <v>50</v>
      </c>
      <c r="W39" s="560" t="s">
        <v>50</v>
      </c>
      <c r="X39" s="561" t="s">
        <v>50</v>
      </c>
      <c r="Y39" s="595"/>
    </row>
    <row r="40" spans="1:25" s="27" customFormat="1" x14ac:dyDescent="0.25">
      <c r="A40" s="20">
        <v>43651</v>
      </c>
      <c r="B40" s="27" t="s">
        <v>125</v>
      </c>
      <c r="C40" s="27" t="s">
        <v>78</v>
      </c>
      <c r="D40" s="89">
        <v>38.031730000000003</v>
      </c>
      <c r="E40" s="89">
        <v>-121.86709</v>
      </c>
      <c r="F40" s="27" t="s">
        <v>3381</v>
      </c>
      <c r="G40" s="27" t="s">
        <v>27</v>
      </c>
      <c r="H40" s="27" t="s">
        <v>101</v>
      </c>
      <c r="I40" s="602">
        <v>0.48402777777777778</v>
      </c>
      <c r="J40" s="82">
        <v>518.35</v>
      </c>
      <c r="K40" s="82">
        <v>21.675000000000001</v>
      </c>
      <c r="L40" s="82">
        <v>16.95</v>
      </c>
      <c r="M40" s="82">
        <v>0.60499999999999998</v>
      </c>
      <c r="N40" s="4">
        <v>12.324999999999999</v>
      </c>
      <c r="O40" s="27" t="s">
        <v>48</v>
      </c>
      <c r="P40" s="27">
        <v>4</v>
      </c>
      <c r="Q40" s="27">
        <v>10</v>
      </c>
      <c r="R40" s="27" t="s">
        <v>49</v>
      </c>
      <c r="S40" s="40" t="s">
        <v>50</v>
      </c>
      <c r="T40" s="40" t="s">
        <v>50</v>
      </c>
      <c r="U40" s="235" t="s">
        <v>50</v>
      </c>
      <c r="V40" s="40" t="s">
        <v>50</v>
      </c>
      <c r="W40" s="40" t="s">
        <v>50</v>
      </c>
      <c r="X40" s="235" t="s">
        <v>50</v>
      </c>
      <c r="Y40" s="35" t="s">
        <v>3382</v>
      </c>
    </row>
    <row r="41" spans="1:25" s="27" customFormat="1" x14ac:dyDescent="0.25">
      <c r="A41" s="20">
        <v>43651</v>
      </c>
      <c r="B41" s="27" t="s">
        <v>125</v>
      </c>
      <c r="C41" s="27" t="s">
        <v>62</v>
      </c>
      <c r="D41" s="89">
        <v>38.094380000000001</v>
      </c>
      <c r="E41" s="89">
        <v>-121.88806</v>
      </c>
      <c r="F41" s="27" t="s">
        <v>3383</v>
      </c>
      <c r="G41" s="27" t="s">
        <v>27</v>
      </c>
      <c r="H41" s="27" t="s">
        <v>62</v>
      </c>
      <c r="I41" s="602">
        <v>0.33888888888888885</v>
      </c>
      <c r="J41" s="82">
        <v>721.5</v>
      </c>
      <c r="K41" s="82">
        <v>21.8</v>
      </c>
      <c r="L41" s="82">
        <v>64.349999999999994</v>
      </c>
      <c r="M41" s="82">
        <v>0.24249999999999999</v>
      </c>
      <c r="N41" s="4">
        <v>7.125</v>
      </c>
      <c r="O41" s="27" t="s">
        <v>48</v>
      </c>
      <c r="P41" s="27">
        <v>4</v>
      </c>
      <c r="Q41" s="27">
        <v>10</v>
      </c>
      <c r="R41" s="27" t="s">
        <v>64</v>
      </c>
      <c r="S41" s="40" t="s">
        <v>50</v>
      </c>
      <c r="T41" s="40" t="s">
        <v>50</v>
      </c>
      <c r="U41" s="235" t="s">
        <v>50</v>
      </c>
      <c r="V41" s="40" t="s">
        <v>50</v>
      </c>
      <c r="W41" s="40" t="s">
        <v>50</v>
      </c>
      <c r="X41" s="235" t="s">
        <v>50</v>
      </c>
      <c r="Y41" s="35" t="s">
        <v>2805</v>
      </c>
    </row>
    <row r="42" spans="1:25" s="27" customFormat="1" x14ac:dyDescent="0.25">
      <c r="A42" s="20">
        <v>43651</v>
      </c>
      <c r="B42" s="27" t="s">
        <v>125</v>
      </c>
      <c r="C42" s="27" t="s">
        <v>62</v>
      </c>
      <c r="D42" s="89">
        <v>38.198320000000002</v>
      </c>
      <c r="E42" s="89">
        <v>-122.04361</v>
      </c>
      <c r="F42" s="27" t="s">
        <v>3384</v>
      </c>
      <c r="G42" s="27" t="s">
        <v>27</v>
      </c>
      <c r="H42" s="27" t="s">
        <v>62</v>
      </c>
      <c r="I42" s="602">
        <v>0.43958333333333338</v>
      </c>
      <c r="J42" s="82">
        <v>1801</v>
      </c>
      <c r="K42" s="82">
        <v>20.774999999999999</v>
      </c>
      <c r="L42" s="82">
        <v>79.349999999999994</v>
      </c>
      <c r="M42" s="82">
        <v>0.15</v>
      </c>
      <c r="N42" s="4">
        <v>5.2249999999999996</v>
      </c>
      <c r="O42" s="27" t="s">
        <v>48</v>
      </c>
      <c r="P42" s="27">
        <v>4</v>
      </c>
      <c r="Q42" s="27">
        <v>10</v>
      </c>
      <c r="R42" s="27" t="s">
        <v>49</v>
      </c>
      <c r="S42" s="40" t="s">
        <v>50</v>
      </c>
      <c r="T42" s="40" t="s">
        <v>50</v>
      </c>
      <c r="U42" s="235" t="s">
        <v>50</v>
      </c>
      <c r="V42" s="40" t="s">
        <v>50</v>
      </c>
      <c r="W42" s="40" t="s">
        <v>50</v>
      </c>
      <c r="X42" s="235" t="s">
        <v>50</v>
      </c>
      <c r="Y42" s="35" t="s">
        <v>3385</v>
      </c>
    </row>
    <row r="43" spans="1:25" s="581" customFormat="1" x14ac:dyDescent="0.25">
      <c r="A43" s="580">
        <v>43651</v>
      </c>
      <c r="B43" s="283" t="s">
        <v>125</v>
      </c>
      <c r="C43" s="581" t="s">
        <v>62</v>
      </c>
      <c r="D43" s="582">
        <v>38.117229999999999</v>
      </c>
      <c r="E43" s="582">
        <v>-122.05714</v>
      </c>
      <c r="F43" s="581" t="s">
        <v>3386</v>
      </c>
      <c r="G43" s="581" t="s">
        <v>27</v>
      </c>
      <c r="H43" s="581" t="s">
        <v>173</v>
      </c>
      <c r="I43" s="616">
        <v>0.51458333333333328</v>
      </c>
      <c r="J43" s="583" t="s">
        <v>50</v>
      </c>
      <c r="K43" s="583" t="s">
        <v>50</v>
      </c>
      <c r="L43" s="583" t="s">
        <v>50</v>
      </c>
      <c r="M43" s="583" t="s">
        <v>50</v>
      </c>
      <c r="N43" s="583" t="s">
        <v>50</v>
      </c>
      <c r="O43" s="584" t="s">
        <v>48</v>
      </c>
      <c r="P43" s="584">
        <v>0</v>
      </c>
      <c r="Q43" s="585" t="s">
        <v>50</v>
      </c>
      <c r="R43" s="586" t="s">
        <v>50</v>
      </c>
      <c r="S43" s="587" t="s">
        <v>50</v>
      </c>
      <c r="T43" s="587" t="s">
        <v>50</v>
      </c>
      <c r="U43" s="586" t="s">
        <v>50</v>
      </c>
      <c r="V43" s="587" t="s">
        <v>50</v>
      </c>
      <c r="W43" s="587" t="s">
        <v>50</v>
      </c>
      <c r="X43" s="586" t="s">
        <v>50</v>
      </c>
      <c r="Y43" s="588" t="s">
        <v>734</v>
      </c>
    </row>
    <row r="44" spans="1:25" s="27" customFormat="1" x14ac:dyDescent="0.25">
      <c r="A44" s="20">
        <v>43654</v>
      </c>
      <c r="B44" s="27" t="s">
        <v>43</v>
      </c>
      <c r="C44" s="27" t="s">
        <v>88</v>
      </c>
      <c r="D44" s="89">
        <v>38.055590000000002</v>
      </c>
      <c r="E44" s="89">
        <v>-121.80421</v>
      </c>
      <c r="F44" s="27" t="s">
        <v>3387</v>
      </c>
      <c r="G44" s="27" t="s">
        <v>27</v>
      </c>
      <c r="H44" s="27" t="s">
        <v>25</v>
      </c>
      <c r="I44" s="602">
        <v>0.34583333333333338</v>
      </c>
      <c r="J44" s="82">
        <v>612.25</v>
      </c>
      <c r="K44" s="82">
        <v>21.5</v>
      </c>
      <c r="L44" s="82">
        <v>20.65</v>
      </c>
      <c r="M44" s="82">
        <v>0.57250000000000001</v>
      </c>
      <c r="N44" s="4">
        <v>9.2249999999999996</v>
      </c>
      <c r="O44" s="27" t="s">
        <v>48</v>
      </c>
      <c r="P44" s="27">
        <v>4</v>
      </c>
      <c r="Q44" s="27">
        <v>10</v>
      </c>
      <c r="R44" s="27" t="s">
        <v>64</v>
      </c>
      <c r="S44" s="40" t="s">
        <v>50</v>
      </c>
      <c r="T44" s="40" t="s">
        <v>50</v>
      </c>
      <c r="U44" s="235" t="s">
        <v>50</v>
      </c>
      <c r="V44" s="40" t="s">
        <v>50</v>
      </c>
      <c r="W44" s="40" t="s">
        <v>50</v>
      </c>
      <c r="X44" s="235" t="s">
        <v>50</v>
      </c>
      <c r="Y44" s="35"/>
    </row>
    <row r="45" spans="1:25" s="27" customFormat="1" x14ac:dyDescent="0.25">
      <c r="A45" s="20">
        <v>43654</v>
      </c>
      <c r="B45" s="27" t="s">
        <v>43</v>
      </c>
      <c r="C45" s="27" t="s">
        <v>88</v>
      </c>
      <c r="D45" s="89">
        <v>38.115299999999998</v>
      </c>
      <c r="E45" s="89">
        <v>-121.69775</v>
      </c>
      <c r="F45" s="27" t="s">
        <v>3388</v>
      </c>
      <c r="G45" s="27" t="s">
        <v>90</v>
      </c>
      <c r="H45" s="27" t="s">
        <v>91</v>
      </c>
      <c r="I45" s="602">
        <v>0.40277777777777773</v>
      </c>
      <c r="J45" s="82">
        <v>120.55</v>
      </c>
      <c r="K45" s="82">
        <v>21.875</v>
      </c>
      <c r="L45" s="82">
        <v>11.262499999999999</v>
      </c>
      <c r="M45" s="82">
        <v>0.99</v>
      </c>
      <c r="N45" s="4">
        <v>3.8250000000000002</v>
      </c>
      <c r="O45" s="27" t="s">
        <v>48</v>
      </c>
      <c r="P45" s="27">
        <v>4</v>
      </c>
      <c r="Q45" s="27">
        <v>10</v>
      </c>
      <c r="R45" s="27" t="s">
        <v>64</v>
      </c>
      <c r="S45" s="40" t="s">
        <v>50</v>
      </c>
      <c r="T45" s="40" t="s">
        <v>50</v>
      </c>
      <c r="U45" s="235" t="s">
        <v>50</v>
      </c>
      <c r="V45" s="40" t="s">
        <v>50</v>
      </c>
      <c r="W45" s="40" t="s">
        <v>50</v>
      </c>
      <c r="X45" s="235" t="s">
        <v>50</v>
      </c>
      <c r="Y45" s="35"/>
    </row>
    <row r="46" spans="1:25" s="27" customFormat="1" x14ac:dyDescent="0.25">
      <c r="A46" s="20">
        <v>43654</v>
      </c>
      <c r="B46" s="27" t="s">
        <v>43</v>
      </c>
      <c r="C46" s="27" t="s">
        <v>88</v>
      </c>
      <c r="D46" s="89">
        <v>38.156619999999997</v>
      </c>
      <c r="E46" s="89">
        <v>-121.68259999999999</v>
      </c>
      <c r="F46" s="27" t="s">
        <v>3389</v>
      </c>
      <c r="G46" s="27" t="s">
        <v>90</v>
      </c>
      <c r="H46" s="27" t="s">
        <v>91</v>
      </c>
      <c r="I46" s="602">
        <v>0.45694444444444443</v>
      </c>
      <c r="J46" s="82">
        <v>116.77500000000001</v>
      </c>
      <c r="K46" s="82">
        <v>21.824999999999999</v>
      </c>
      <c r="L46" s="82">
        <v>10.1075</v>
      </c>
      <c r="M46" s="82">
        <v>1.085</v>
      </c>
      <c r="N46" s="4">
        <v>6</v>
      </c>
      <c r="O46" s="27" t="s">
        <v>48</v>
      </c>
      <c r="P46" s="27">
        <v>4</v>
      </c>
      <c r="Q46" s="27">
        <v>10</v>
      </c>
      <c r="R46" s="27" t="s">
        <v>49</v>
      </c>
      <c r="S46" s="40" t="s">
        <v>50</v>
      </c>
      <c r="T46" s="40" t="s">
        <v>50</v>
      </c>
      <c r="U46" s="235" t="s">
        <v>50</v>
      </c>
      <c r="V46" s="40" t="s">
        <v>50</v>
      </c>
      <c r="W46" s="40" t="s">
        <v>50</v>
      </c>
      <c r="X46" s="235" t="s">
        <v>50</v>
      </c>
      <c r="Y46" s="35"/>
    </row>
    <row r="47" spans="1:25" s="494" customFormat="1" x14ac:dyDescent="0.25">
      <c r="A47" s="348">
        <v>43654</v>
      </c>
      <c r="B47" s="494" t="s">
        <v>43</v>
      </c>
      <c r="C47" s="494" t="s">
        <v>106</v>
      </c>
      <c r="D47" s="496">
        <v>38.37482</v>
      </c>
      <c r="E47" s="496">
        <v>-121.62952</v>
      </c>
      <c r="F47" s="494" t="s">
        <v>3390</v>
      </c>
      <c r="G47" s="494" t="s">
        <v>90</v>
      </c>
      <c r="H47" s="494" t="s">
        <v>362</v>
      </c>
      <c r="I47" s="615">
        <v>0.35138888888888892</v>
      </c>
      <c r="J47" s="498">
        <v>232.65</v>
      </c>
      <c r="K47" s="498">
        <v>22.05</v>
      </c>
      <c r="L47" s="498">
        <v>21.5</v>
      </c>
      <c r="M47" s="498">
        <v>0.745</v>
      </c>
      <c r="N47" s="499">
        <v>8.0500000000000007</v>
      </c>
      <c r="O47" s="494" t="s">
        <v>48</v>
      </c>
      <c r="P47" s="494">
        <v>2</v>
      </c>
      <c r="Q47" s="494">
        <v>10</v>
      </c>
      <c r="R47" s="494" t="s">
        <v>64</v>
      </c>
      <c r="S47" s="559" t="s">
        <v>323</v>
      </c>
      <c r="T47" s="642">
        <v>7</v>
      </c>
      <c r="U47" s="561" t="s">
        <v>3391</v>
      </c>
      <c r="V47" s="560" t="s">
        <v>66</v>
      </c>
      <c r="W47" s="560" t="s">
        <v>50</v>
      </c>
      <c r="X47" s="561" t="s">
        <v>50</v>
      </c>
      <c r="Y47" s="477" t="s">
        <v>3392</v>
      </c>
    </row>
    <row r="48" spans="1:25" s="494" customFormat="1" x14ac:dyDescent="0.25">
      <c r="A48" s="495">
        <v>43654</v>
      </c>
      <c r="B48" s="494" t="s">
        <v>43</v>
      </c>
      <c r="C48" s="494" t="s">
        <v>106</v>
      </c>
      <c r="D48" s="496">
        <v>38.315530000000003</v>
      </c>
      <c r="E48" s="496">
        <v>-121.65139000000001</v>
      </c>
      <c r="F48" s="494" t="s">
        <v>3393</v>
      </c>
      <c r="G48" s="494" t="s">
        <v>90</v>
      </c>
      <c r="H48" s="494" t="s">
        <v>362</v>
      </c>
      <c r="I48" s="615">
        <v>0.42152777777777778</v>
      </c>
      <c r="J48" s="540">
        <v>232.65</v>
      </c>
      <c r="K48" s="540">
        <v>22.05</v>
      </c>
      <c r="L48" s="540">
        <v>21.5</v>
      </c>
      <c r="M48" s="540">
        <v>0.745</v>
      </c>
      <c r="N48" s="540">
        <v>8.0500000000000007</v>
      </c>
      <c r="O48" s="494" t="s">
        <v>48</v>
      </c>
      <c r="P48" s="494">
        <v>2</v>
      </c>
      <c r="Q48" s="494">
        <v>10</v>
      </c>
      <c r="R48" s="568" t="s">
        <v>64</v>
      </c>
      <c r="S48" s="570" t="s">
        <v>323</v>
      </c>
      <c r="T48" s="569">
        <v>4</v>
      </c>
      <c r="U48" s="568" t="s">
        <v>3394</v>
      </c>
      <c r="V48" s="569" t="s">
        <v>50</v>
      </c>
      <c r="W48" s="569" t="s">
        <v>50</v>
      </c>
      <c r="X48" s="568" t="s">
        <v>50</v>
      </c>
      <c r="Y48" s="455" t="s">
        <v>3395</v>
      </c>
    </row>
    <row r="49" spans="1:25" s="27" customFormat="1" x14ac:dyDescent="0.25">
      <c r="A49" s="20">
        <v>43654</v>
      </c>
      <c r="B49" s="27" t="s">
        <v>43</v>
      </c>
      <c r="C49" s="27" t="s">
        <v>106</v>
      </c>
      <c r="D49" s="89">
        <v>38.18506</v>
      </c>
      <c r="E49" s="89">
        <v>-121.66061999999999</v>
      </c>
      <c r="F49" s="27" t="s">
        <v>3396</v>
      </c>
      <c r="G49" s="27" t="s">
        <v>90</v>
      </c>
      <c r="H49" s="27" t="s">
        <v>362</v>
      </c>
      <c r="I49" s="602">
        <v>0.47500000000000003</v>
      </c>
      <c r="J49" s="82">
        <v>120.6</v>
      </c>
      <c r="K49" s="82">
        <v>21.725000000000001</v>
      </c>
      <c r="L49" s="82">
        <v>9.4250000000000007</v>
      </c>
      <c r="M49" s="82">
        <v>1.2625</v>
      </c>
      <c r="N49" s="4">
        <v>21.024999999999999</v>
      </c>
      <c r="O49" s="27" t="s">
        <v>48</v>
      </c>
      <c r="P49" s="27">
        <v>4</v>
      </c>
      <c r="Q49" s="27">
        <v>10</v>
      </c>
      <c r="R49" s="27" t="s">
        <v>49</v>
      </c>
      <c r="S49" s="40" t="s">
        <v>50</v>
      </c>
      <c r="T49" s="40" t="s">
        <v>50</v>
      </c>
      <c r="U49" s="235" t="s">
        <v>50</v>
      </c>
      <c r="V49" s="40" t="s">
        <v>50</v>
      </c>
      <c r="W49" s="40" t="s">
        <v>50</v>
      </c>
      <c r="X49" s="235" t="s">
        <v>50</v>
      </c>
      <c r="Y49" s="35"/>
    </row>
    <row r="50" spans="1:25" s="27" customFormat="1" x14ac:dyDescent="0.25">
      <c r="A50" s="20">
        <v>43654</v>
      </c>
      <c r="B50" s="27" t="s">
        <v>43</v>
      </c>
      <c r="C50" s="27" t="s">
        <v>62</v>
      </c>
      <c r="D50" s="89">
        <v>38.105339999999998</v>
      </c>
      <c r="E50" s="89">
        <v>-122.05401000000001</v>
      </c>
      <c r="F50" s="27" t="s">
        <v>3397</v>
      </c>
      <c r="G50" s="27" t="s">
        <v>27</v>
      </c>
      <c r="H50" s="27" t="s">
        <v>173</v>
      </c>
      <c r="I50" s="602">
        <v>0.35000000000000003</v>
      </c>
      <c r="J50" s="82">
        <v>8836</v>
      </c>
      <c r="K50" s="82">
        <v>20.274999999999999</v>
      </c>
      <c r="L50" s="82">
        <v>33.299999999999997</v>
      </c>
      <c r="M50" s="82">
        <v>0.3075</v>
      </c>
      <c r="N50" s="4">
        <v>3.7</v>
      </c>
      <c r="O50" s="27" t="s">
        <v>48</v>
      </c>
      <c r="P50" s="27">
        <v>4</v>
      </c>
      <c r="Q50" s="27">
        <v>10</v>
      </c>
      <c r="R50" s="27" t="s">
        <v>64</v>
      </c>
      <c r="S50" s="40" t="s">
        <v>50</v>
      </c>
      <c r="T50" s="40" t="s">
        <v>50</v>
      </c>
      <c r="U50" s="235" t="s">
        <v>50</v>
      </c>
      <c r="V50" s="40" t="s">
        <v>50</v>
      </c>
      <c r="W50" s="40" t="s">
        <v>50</v>
      </c>
      <c r="X50" s="235" t="s">
        <v>50</v>
      </c>
      <c r="Y50" s="35"/>
    </row>
    <row r="51" spans="1:25" s="27" customFormat="1" x14ac:dyDescent="0.25">
      <c r="A51" s="26">
        <v>43654</v>
      </c>
      <c r="B51" s="27" t="s">
        <v>43</v>
      </c>
      <c r="C51" s="27" t="s">
        <v>62</v>
      </c>
      <c r="D51" s="89">
        <v>38.135849999999998</v>
      </c>
      <c r="E51" s="89">
        <v>-122.08266999999999</v>
      </c>
      <c r="F51" s="27" t="s">
        <v>3398</v>
      </c>
      <c r="G51" s="27" t="s">
        <v>27</v>
      </c>
      <c r="H51" s="27" t="s">
        <v>62</v>
      </c>
      <c r="I51" s="602">
        <v>0.41944444444444445</v>
      </c>
      <c r="J51" s="31">
        <v>5510.5</v>
      </c>
      <c r="K51" s="31">
        <v>21.55</v>
      </c>
      <c r="L51" s="31">
        <v>103.47499999999999</v>
      </c>
      <c r="M51" s="31">
        <v>0.185</v>
      </c>
      <c r="N51" s="31">
        <v>6</v>
      </c>
      <c r="O51" s="27" t="s">
        <v>48</v>
      </c>
      <c r="P51" s="27">
        <v>4</v>
      </c>
      <c r="Q51" s="27">
        <v>10</v>
      </c>
      <c r="R51" s="34" t="s">
        <v>49</v>
      </c>
      <c r="S51" s="49" t="s">
        <v>50</v>
      </c>
      <c r="T51" s="49" t="s">
        <v>50</v>
      </c>
      <c r="U51" s="34" t="s">
        <v>50</v>
      </c>
      <c r="V51" s="49" t="s">
        <v>50</v>
      </c>
      <c r="W51" s="49" t="s">
        <v>50</v>
      </c>
      <c r="X51" s="34" t="s">
        <v>50</v>
      </c>
      <c r="Y51" s="35"/>
    </row>
    <row r="52" spans="1:25" s="27" customFormat="1" x14ac:dyDescent="0.25">
      <c r="A52" s="26">
        <v>43654</v>
      </c>
      <c r="B52" s="27" t="s">
        <v>43</v>
      </c>
      <c r="C52" s="27" t="s">
        <v>62</v>
      </c>
      <c r="D52" s="89">
        <v>38.18627</v>
      </c>
      <c r="E52" s="89">
        <v>-121.98063999999999</v>
      </c>
      <c r="F52" s="27" t="s">
        <v>3399</v>
      </c>
      <c r="G52" s="27" t="s">
        <v>27</v>
      </c>
      <c r="H52" s="27" t="s">
        <v>62</v>
      </c>
      <c r="I52" s="602">
        <v>0.4861111111111111</v>
      </c>
      <c r="J52" s="31">
        <v>2178</v>
      </c>
      <c r="K52" s="31">
        <v>21.774999999999999</v>
      </c>
      <c r="L52" s="31">
        <v>128.75</v>
      </c>
      <c r="M52" s="31">
        <v>0.11</v>
      </c>
      <c r="N52" s="31">
        <v>4.55</v>
      </c>
      <c r="O52" s="27" t="s">
        <v>48</v>
      </c>
      <c r="P52" s="27">
        <v>4</v>
      </c>
      <c r="Q52" s="27">
        <v>10</v>
      </c>
      <c r="R52" s="34" t="s">
        <v>49</v>
      </c>
      <c r="S52" s="49" t="s">
        <v>50</v>
      </c>
      <c r="T52" s="49" t="s">
        <v>50</v>
      </c>
      <c r="U52" s="34" t="s">
        <v>50</v>
      </c>
      <c r="V52" s="49" t="s">
        <v>50</v>
      </c>
      <c r="W52" s="49" t="s">
        <v>50</v>
      </c>
      <c r="X52" s="34" t="s">
        <v>50</v>
      </c>
      <c r="Y52" s="35"/>
    </row>
    <row r="53" spans="1:25" s="27" customFormat="1" x14ac:dyDescent="0.25">
      <c r="A53" s="26">
        <v>43655</v>
      </c>
      <c r="B53" s="27" t="s">
        <v>70</v>
      </c>
      <c r="C53" s="27" t="s">
        <v>88</v>
      </c>
      <c r="D53" s="89">
        <v>38.113160000000001</v>
      </c>
      <c r="E53" s="89">
        <v>-121.69965000000001</v>
      </c>
      <c r="F53" s="27" t="s">
        <v>3400</v>
      </c>
      <c r="G53" s="27" t="s">
        <v>90</v>
      </c>
      <c r="H53" s="27" t="s">
        <v>91</v>
      </c>
      <c r="I53" s="602">
        <v>0.31944444444444448</v>
      </c>
      <c r="J53" s="82">
        <v>118.575</v>
      </c>
      <c r="K53" s="82">
        <v>21.6</v>
      </c>
      <c r="L53" s="82">
        <v>10.2125</v>
      </c>
      <c r="M53" s="82">
        <v>1.03</v>
      </c>
      <c r="N53" s="4">
        <v>4.9749999999999996</v>
      </c>
      <c r="O53" s="27" t="s">
        <v>48</v>
      </c>
      <c r="P53" s="27">
        <v>4</v>
      </c>
      <c r="Q53" s="27">
        <v>10</v>
      </c>
      <c r="R53" s="27" t="s">
        <v>64</v>
      </c>
      <c r="S53" s="40" t="s">
        <v>50</v>
      </c>
      <c r="T53" s="40" t="s">
        <v>50</v>
      </c>
      <c r="U53" s="235" t="s">
        <v>50</v>
      </c>
      <c r="V53" s="40" t="s">
        <v>50</v>
      </c>
      <c r="W53" s="40" t="s">
        <v>50</v>
      </c>
      <c r="X53" s="235" t="s">
        <v>50</v>
      </c>
      <c r="Y53" s="35"/>
    </row>
    <row r="54" spans="1:25" s="27" customFormat="1" x14ac:dyDescent="0.25">
      <c r="A54" s="26">
        <v>43655</v>
      </c>
      <c r="B54" s="27" t="s">
        <v>70</v>
      </c>
      <c r="C54" s="27" t="s">
        <v>88</v>
      </c>
      <c r="D54" s="89">
        <v>38.070770000000003</v>
      </c>
      <c r="E54" s="89">
        <v>-121.77285999999999</v>
      </c>
      <c r="F54" s="27" t="s">
        <v>3401</v>
      </c>
      <c r="G54" s="27" t="s">
        <v>90</v>
      </c>
      <c r="H54" s="27" t="s">
        <v>25</v>
      </c>
      <c r="I54" s="602">
        <v>0.3756944444444445</v>
      </c>
      <c r="J54" s="82">
        <v>163.1</v>
      </c>
      <c r="K54" s="82">
        <v>21.625</v>
      </c>
      <c r="L54" s="82">
        <v>15.525</v>
      </c>
      <c r="M54" s="82">
        <v>0.66</v>
      </c>
      <c r="N54" s="4">
        <v>9.4499999999999993</v>
      </c>
      <c r="O54" s="27" t="s">
        <v>48</v>
      </c>
      <c r="P54" s="27">
        <v>4</v>
      </c>
      <c r="Q54" s="27">
        <v>10</v>
      </c>
      <c r="R54" s="27" t="s">
        <v>64</v>
      </c>
      <c r="S54" s="40" t="s">
        <v>50</v>
      </c>
      <c r="T54" s="40" t="s">
        <v>50</v>
      </c>
      <c r="U54" s="235" t="s">
        <v>50</v>
      </c>
      <c r="V54" s="40" t="s">
        <v>50</v>
      </c>
      <c r="W54" s="40" t="s">
        <v>50</v>
      </c>
      <c r="X54" s="235" t="s">
        <v>50</v>
      </c>
      <c r="Y54" s="35"/>
    </row>
    <row r="55" spans="1:25" s="27" customFormat="1" x14ac:dyDescent="0.25">
      <c r="A55" s="26">
        <v>43655</v>
      </c>
      <c r="B55" s="27" t="s">
        <v>70</v>
      </c>
      <c r="C55" s="27" t="s">
        <v>88</v>
      </c>
      <c r="D55" s="89">
        <v>38.059570000000001</v>
      </c>
      <c r="E55" s="89">
        <v>-121.81535</v>
      </c>
      <c r="F55" s="27" t="s">
        <v>3402</v>
      </c>
      <c r="G55" s="27" t="s">
        <v>90</v>
      </c>
      <c r="H55" s="27" t="s">
        <v>25</v>
      </c>
      <c r="I55" s="602">
        <v>0.42430555555555555</v>
      </c>
      <c r="J55" s="82">
        <v>540</v>
      </c>
      <c r="K55" s="82">
        <v>21.574999999999999</v>
      </c>
      <c r="L55" s="82">
        <v>24.5</v>
      </c>
      <c r="M55" s="82">
        <v>0.51749999999999996</v>
      </c>
      <c r="N55" s="4">
        <v>10</v>
      </c>
      <c r="O55" s="27" t="s">
        <v>48</v>
      </c>
      <c r="P55" s="27">
        <v>4</v>
      </c>
      <c r="Q55" s="27">
        <v>10</v>
      </c>
      <c r="R55" s="27" t="s">
        <v>64</v>
      </c>
      <c r="S55" s="40" t="s">
        <v>50</v>
      </c>
      <c r="T55" s="40" t="s">
        <v>50</v>
      </c>
      <c r="U55" s="235" t="s">
        <v>50</v>
      </c>
      <c r="V55" s="40" t="s">
        <v>50</v>
      </c>
      <c r="W55" s="40" t="s">
        <v>50</v>
      </c>
      <c r="X55" s="235" t="s">
        <v>50</v>
      </c>
      <c r="Y55" s="35"/>
    </row>
    <row r="56" spans="1:25" s="27" customFormat="1" x14ac:dyDescent="0.25">
      <c r="A56" s="26">
        <v>43655</v>
      </c>
      <c r="B56" s="27" t="s">
        <v>70</v>
      </c>
      <c r="C56" s="27" t="s">
        <v>106</v>
      </c>
      <c r="D56" s="89">
        <v>38.507800000000003</v>
      </c>
      <c r="E56" s="89">
        <v>-121.58454999999999</v>
      </c>
      <c r="F56" s="27" t="s">
        <v>3403</v>
      </c>
      <c r="G56" s="27" t="s">
        <v>90</v>
      </c>
      <c r="H56" s="27" t="s">
        <v>1787</v>
      </c>
      <c r="I56" s="602">
        <v>0.34027777777777773</v>
      </c>
      <c r="J56" s="82">
        <v>877.75</v>
      </c>
      <c r="K56" s="82">
        <v>23.1</v>
      </c>
      <c r="L56" s="82">
        <v>18.074999999999999</v>
      </c>
      <c r="M56" s="82">
        <v>0.79249999999999998</v>
      </c>
      <c r="N56" s="4">
        <v>11.375</v>
      </c>
      <c r="O56" s="27" t="s">
        <v>48</v>
      </c>
      <c r="P56" s="27">
        <v>4</v>
      </c>
      <c r="Q56" s="27">
        <v>10</v>
      </c>
      <c r="R56" s="27" t="s">
        <v>64</v>
      </c>
      <c r="S56" s="40" t="s">
        <v>50</v>
      </c>
      <c r="T56" s="40" t="s">
        <v>50</v>
      </c>
      <c r="U56" s="235" t="s">
        <v>50</v>
      </c>
      <c r="V56" s="40" t="s">
        <v>50</v>
      </c>
      <c r="W56" s="40" t="s">
        <v>50</v>
      </c>
      <c r="X56" s="235" t="s">
        <v>50</v>
      </c>
      <c r="Y56" s="35" t="s">
        <v>3404</v>
      </c>
    </row>
    <row r="57" spans="1:25" s="494" customFormat="1" x14ac:dyDescent="0.25">
      <c r="A57" s="495">
        <v>43655</v>
      </c>
      <c r="B57" s="494" t="s">
        <v>70</v>
      </c>
      <c r="C57" s="494" t="s">
        <v>106</v>
      </c>
      <c r="D57" s="496">
        <v>38.367719999999998</v>
      </c>
      <c r="E57" s="496">
        <v>-121.63281000000001</v>
      </c>
      <c r="F57" s="494" t="s">
        <v>3405</v>
      </c>
      <c r="G57" s="494" t="s">
        <v>90</v>
      </c>
      <c r="H57" s="494" t="s">
        <v>362</v>
      </c>
      <c r="I57" s="615">
        <v>0.4152777777777778</v>
      </c>
      <c r="J57" s="498">
        <v>494</v>
      </c>
      <c r="K57" s="498">
        <v>22.2</v>
      </c>
      <c r="L57" s="498">
        <v>39</v>
      </c>
      <c r="M57" s="498">
        <v>0.52</v>
      </c>
      <c r="N57" s="499">
        <v>10</v>
      </c>
      <c r="O57" s="494" t="s">
        <v>48</v>
      </c>
      <c r="P57" s="494">
        <v>2</v>
      </c>
      <c r="Q57" s="494">
        <v>10</v>
      </c>
      <c r="R57" s="494" t="s">
        <v>64</v>
      </c>
      <c r="S57" s="559" t="s">
        <v>323</v>
      </c>
      <c r="T57" s="642">
        <v>2</v>
      </c>
      <c r="U57" s="561">
        <v>48</v>
      </c>
      <c r="V57" s="560" t="s">
        <v>50</v>
      </c>
      <c r="W57" s="560" t="s">
        <v>50</v>
      </c>
      <c r="X57" s="561" t="s">
        <v>50</v>
      </c>
      <c r="Y57" s="455" t="s">
        <v>3406</v>
      </c>
    </row>
    <row r="58" spans="1:25" s="27" customFormat="1" x14ac:dyDescent="0.25">
      <c r="A58" s="26">
        <v>43655</v>
      </c>
      <c r="B58" s="27" t="s">
        <v>70</v>
      </c>
      <c r="C58" s="27" t="s">
        <v>106</v>
      </c>
      <c r="D58" s="89">
        <v>38.234279999999998</v>
      </c>
      <c r="E58" s="89">
        <v>-121.67368</v>
      </c>
      <c r="F58" s="27" t="s">
        <v>3407</v>
      </c>
      <c r="G58" s="27" t="s">
        <v>90</v>
      </c>
      <c r="H58" s="27" t="s">
        <v>362</v>
      </c>
      <c r="I58" s="602">
        <v>0.47152777777777777</v>
      </c>
      <c r="J58" s="82">
        <v>126.175</v>
      </c>
      <c r="K58" s="82">
        <v>21.4</v>
      </c>
      <c r="L58" s="82">
        <v>12.515000000000001</v>
      </c>
      <c r="M58" s="82">
        <v>1.3049999999999999</v>
      </c>
      <c r="N58" s="4">
        <v>8.85</v>
      </c>
      <c r="O58" s="27" t="s">
        <v>48</v>
      </c>
      <c r="P58" s="27">
        <v>4</v>
      </c>
      <c r="Q58" s="27">
        <v>10</v>
      </c>
      <c r="R58" s="27" t="s">
        <v>64</v>
      </c>
      <c r="S58" s="40" t="s">
        <v>50</v>
      </c>
      <c r="T58" s="40" t="s">
        <v>50</v>
      </c>
      <c r="U58" s="235" t="s">
        <v>50</v>
      </c>
      <c r="V58" s="40" t="s">
        <v>50</v>
      </c>
      <c r="W58" s="40" t="s">
        <v>50</v>
      </c>
      <c r="X58" s="235" t="s">
        <v>50</v>
      </c>
      <c r="Y58" s="35"/>
    </row>
    <row r="59" spans="1:25" s="27" customFormat="1" x14ac:dyDescent="0.25">
      <c r="A59" s="26">
        <v>43655</v>
      </c>
      <c r="B59" s="27" t="s">
        <v>70</v>
      </c>
      <c r="C59" s="27" t="s">
        <v>62</v>
      </c>
      <c r="D59" s="89">
        <v>38.19744</v>
      </c>
      <c r="E59" s="89">
        <v>-121.92404999999999</v>
      </c>
      <c r="F59" s="27" t="s">
        <v>3408</v>
      </c>
      <c r="G59" s="27" t="s">
        <v>27</v>
      </c>
      <c r="H59" s="27" t="s">
        <v>62</v>
      </c>
      <c r="I59" s="602">
        <v>0.36249999999999999</v>
      </c>
      <c r="J59" s="82">
        <v>1394</v>
      </c>
      <c r="K59" s="82">
        <v>20.6</v>
      </c>
      <c r="L59" s="82">
        <v>91.85</v>
      </c>
      <c r="M59" s="82">
        <v>0.1575</v>
      </c>
      <c r="N59" s="4">
        <v>3.75</v>
      </c>
      <c r="O59" s="27" t="s">
        <v>48</v>
      </c>
      <c r="P59" s="27">
        <v>4</v>
      </c>
      <c r="Q59" s="27">
        <v>10</v>
      </c>
      <c r="R59" s="27" t="s">
        <v>64</v>
      </c>
      <c r="S59" s="40" t="s">
        <v>50</v>
      </c>
      <c r="T59" s="40" t="s">
        <v>50</v>
      </c>
      <c r="U59" s="235" t="s">
        <v>50</v>
      </c>
      <c r="V59" s="40" t="s">
        <v>50</v>
      </c>
      <c r="W59" s="40" t="s">
        <v>50</v>
      </c>
      <c r="X59" s="235" t="s">
        <v>50</v>
      </c>
      <c r="Y59" s="35" t="s">
        <v>3409</v>
      </c>
    </row>
    <row r="60" spans="1:25" s="205" customFormat="1" x14ac:dyDescent="0.25">
      <c r="A60" s="204">
        <v>43655</v>
      </c>
      <c r="B60" s="205" t="s">
        <v>70</v>
      </c>
      <c r="C60" s="205" t="s">
        <v>62</v>
      </c>
      <c r="D60" s="206">
        <v>38.13015</v>
      </c>
      <c r="E60" s="206">
        <v>-122.05647</v>
      </c>
      <c r="F60" s="205" t="s">
        <v>3410</v>
      </c>
      <c r="G60" s="205" t="s">
        <v>27</v>
      </c>
      <c r="H60" s="205" t="s">
        <v>62</v>
      </c>
      <c r="I60" s="613">
        <v>0.47916666666666669</v>
      </c>
      <c r="J60" s="564">
        <v>5269.75</v>
      </c>
      <c r="K60" s="564">
        <v>21.1</v>
      </c>
      <c r="L60" s="564">
        <v>74.45</v>
      </c>
      <c r="M60" s="564">
        <v>0.185</v>
      </c>
      <c r="N60" s="564">
        <v>2.9750000000000001</v>
      </c>
      <c r="O60" s="205" t="s">
        <v>48</v>
      </c>
      <c r="P60" s="205">
        <v>4</v>
      </c>
      <c r="Q60" s="205">
        <v>10</v>
      </c>
      <c r="R60" s="565" t="s">
        <v>49</v>
      </c>
      <c r="S60" s="572" t="s">
        <v>31</v>
      </c>
      <c r="T60" s="566">
        <v>1</v>
      </c>
      <c r="U60" s="565">
        <v>42</v>
      </c>
      <c r="V60" s="566" t="s">
        <v>50</v>
      </c>
      <c r="W60" s="566" t="s">
        <v>50</v>
      </c>
      <c r="X60" s="565" t="s">
        <v>50</v>
      </c>
      <c r="Y60" s="210"/>
    </row>
    <row r="61" spans="1:25" s="494" customFormat="1" x14ac:dyDescent="0.25">
      <c r="A61" s="495">
        <v>43655</v>
      </c>
      <c r="B61" s="494" t="s">
        <v>70</v>
      </c>
      <c r="C61" s="494" t="s">
        <v>62</v>
      </c>
      <c r="D61" s="496">
        <v>38.161290000000001</v>
      </c>
      <c r="E61" s="496">
        <v>-122.04743000000001</v>
      </c>
      <c r="F61" s="494" t="s">
        <v>3411</v>
      </c>
      <c r="G61" s="494" t="s">
        <v>27</v>
      </c>
      <c r="H61" s="494" t="s">
        <v>62</v>
      </c>
      <c r="I61" s="615">
        <v>0.53402777777777777</v>
      </c>
      <c r="J61" s="540">
        <v>4087</v>
      </c>
      <c r="K61" s="540">
        <v>22.35</v>
      </c>
      <c r="L61" s="540">
        <v>73.7</v>
      </c>
      <c r="M61" s="540">
        <v>0.17749999999999999</v>
      </c>
      <c r="N61" s="540">
        <v>5.7249999999999996</v>
      </c>
      <c r="O61" s="494" t="s">
        <v>48</v>
      </c>
      <c r="P61" s="494">
        <v>4</v>
      </c>
      <c r="Q61" s="494">
        <v>10</v>
      </c>
      <c r="R61" s="568" t="s">
        <v>49</v>
      </c>
      <c r="S61" s="570" t="s">
        <v>323</v>
      </c>
      <c r="T61" s="569">
        <v>1</v>
      </c>
      <c r="U61" s="568">
        <v>36</v>
      </c>
      <c r="V61" s="569" t="s">
        <v>50</v>
      </c>
      <c r="W61" s="569" t="s">
        <v>50</v>
      </c>
      <c r="X61" s="568" t="s">
        <v>50</v>
      </c>
      <c r="Y61" s="455" t="s">
        <v>3412</v>
      </c>
    </row>
    <row r="62" spans="1:25" s="27" customFormat="1" x14ac:dyDescent="0.25">
      <c r="A62" s="26">
        <v>43656</v>
      </c>
      <c r="B62" s="27" t="s">
        <v>87</v>
      </c>
      <c r="C62" s="27" t="s">
        <v>95</v>
      </c>
      <c r="D62" s="89">
        <v>38.020740000000004</v>
      </c>
      <c r="E62" s="89">
        <v>-121.81243000000001</v>
      </c>
      <c r="F62" s="27" t="s">
        <v>3413</v>
      </c>
      <c r="G62" s="27" t="s">
        <v>27</v>
      </c>
      <c r="H62" s="27" t="s">
        <v>95</v>
      </c>
      <c r="I62" s="602">
        <v>0.33055555555555555</v>
      </c>
      <c r="J62" s="31">
        <v>244.42500000000001</v>
      </c>
      <c r="K62" s="31">
        <v>22.4</v>
      </c>
      <c r="L62" s="31">
        <v>11.3</v>
      </c>
      <c r="M62" s="31">
        <v>0.77249999999999996</v>
      </c>
      <c r="N62" s="31">
        <v>11.324999999999999</v>
      </c>
      <c r="O62" s="27" t="s">
        <v>48</v>
      </c>
      <c r="P62" s="32">
        <v>4</v>
      </c>
      <c r="Q62" s="281">
        <v>10</v>
      </c>
      <c r="R62" s="34" t="s">
        <v>64</v>
      </c>
      <c r="S62" s="49" t="s">
        <v>50</v>
      </c>
      <c r="T62" s="49" t="s">
        <v>50</v>
      </c>
      <c r="U62" s="34" t="s">
        <v>50</v>
      </c>
      <c r="V62" s="49" t="s">
        <v>50</v>
      </c>
      <c r="W62" s="49" t="s">
        <v>50</v>
      </c>
      <c r="X62" s="34" t="s">
        <v>50</v>
      </c>
      <c r="Y62" s="35"/>
    </row>
    <row r="63" spans="1:25" s="27" customFormat="1" x14ac:dyDescent="0.25">
      <c r="A63" s="26">
        <v>43656</v>
      </c>
      <c r="B63" s="27" t="s">
        <v>87</v>
      </c>
      <c r="C63" s="27" t="s">
        <v>95</v>
      </c>
      <c r="D63" s="89">
        <v>38.07273</v>
      </c>
      <c r="E63" s="89">
        <v>-121.57016</v>
      </c>
      <c r="F63" s="27" t="s">
        <v>3414</v>
      </c>
      <c r="G63" s="27" t="s">
        <v>46</v>
      </c>
      <c r="H63" s="27" t="s">
        <v>115</v>
      </c>
      <c r="I63" s="602">
        <v>0.3923611111111111</v>
      </c>
      <c r="J63" s="82">
        <v>113.175</v>
      </c>
      <c r="K63" s="82">
        <v>22.824999999999999</v>
      </c>
      <c r="L63" s="82">
        <v>5.7149999999999999</v>
      </c>
      <c r="M63" s="82">
        <v>1.4</v>
      </c>
      <c r="N63" s="4">
        <v>4.2249999999999996</v>
      </c>
      <c r="O63" s="27" t="s">
        <v>48</v>
      </c>
      <c r="P63" s="27">
        <v>4</v>
      </c>
      <c r="Q63" s="281">
        <v>10</v>
      </c>
      <c r="R63" s="27" t="s">
        <v>64</v>
      </c>
      <c r="S63" s="40" t="s">
        <v>50</v>
      </c>
      <c r="T63" s="40" t="s">
        <v>50</v>
      </c>
      <c r="U63" s="235" t="s">
        <v>50</v>
      </c>
      <c r="V63" s="40" t="s">
        <v>50</v>
      </c>
      <c r="W63" s="40" t="s">
        <v>50</v>
      </c>
      <c r="X63" s="235" t="s">
        <v>50</v>
      </c>
      <c r="Y63" s="35"/>
    </row>
    <row r="64" spans="1:25" s="27" customFormat="1" x14ac:dyDescent="0.25">
      <c r="A64" s="26">
        <v>43656</v>
      </c>
      <c r="B64" s="27" t="s">
        <v>87</v>
      </c>
      <c r="C64" s="27" t="s">
        <v>95</v>
      </c>
      <c r="D64" s="89">
        <v>38.097900000000003</v>
      </c>
      <c r="E64" s="89">
        <v>-121.66382</v>
      </c>
      <c r="F64" s="27" t="s">
        <v>3415</v>
      </c>
      <c r="G64" s="27" t="s">
        <v>46</v>
      </c>
      <c r="H64" s="27" t="s">
        <v>908</v>
      </c>
      <c r="I64" s="602">
        <v>0.45277777777777778</v>
      </c>
      <c r="J64" s="82">
        <v>123.15</v>
      </c>
      <c r="K64" s="82">
        <v>22.7</v>
      </c>
      <c r="L64" s="82">
        <v>8.6349999999999998</v>
      </c>
      <c r="M64" s="82">
        <v>1.1850000000000001</v>
      </c>
      <c r="N64" s="4">
        <v>12.425000000000001</v>
      </c>
      <c r="O64" s="27" t="s">
        <v>48</v>
      </c>
      <c r="P64" s="27">
        <v>4</v>
      </c>
      <c r="Q64" s="27">
        <v>10</v>
      </c>
      <c r="R64" s="27" t="s">
        <v>64</v>
      </c>
      <c r="S64" s="40" t="s">
        <v>50</v>
      </c>
      <c r="T64" s="40" t="s">
        <v>50</v>
      </c>
      <c r="U64" s="235" t="s">
        <v>50</v>
      </c>
      <c r="V64" s="40" t="s">
        <v>50</v>
      </c>
      <c r="W64" s="40" t="s">
        <v>50</v>
      </c>
      <c r="X64" s="235" t="s">
        <v>50</v>
      </c>
      <c r="Y64" s="35"/>
    </row>
    <row r="65" spans="1:25" s="149" customFormat="1" x14ac:dyDescent="0.25">
      <c r="A65" s="178">
        <v>43656</v>
      </c>
      <c r="B65" s="149" t="s">
        <v>87</v>
      </c>
      <c r="C65" s="149" t="s">
        <v>126</v>
      </c>
      <c r="D65" s="150">
        <v>38.2727</v>
      </c>
      <c r="E65" s="150">
        <v>-121.70628000000001</v>
      </c>
      <c r="F65" s="149" t="s">
        <v>3416</v>
      </c>
      <c r="G65" s="149" t="s">
        <v>90</v>
      </c>
      <c r="H65" s="149" t="s">
        <v>845</v>
      </c>
      <c r="I65" s="614">
        <v>0.32777777777777778</v>
      </c>
      <c r="J65" s="197" t="s">
        <v>50</v>
      </c>
      <c r="K65" s="197" t="s">
        <v>50</v>
      </c>
      <c r="L65" s="197" t="s">
        <v>50</v>
      </c>
      <c r="M65" s="197" t="s">
        <v>50</v>
      </c>
      <c r="N65" s="197" t="s">
        <v>50</v>
      </c>
      <c r="O65" s="149" t="s">
        <v>48</v>
      </c>
      <c r="P65" s="149">
        <v>0</v>
      </c>
      <c r="Q65" s="149" t="s">
        <v>50</v>
      </c>
      <c r="R65" s="149" t="s">
        <v>50</v>
      </c>
      <c r="S65" s="158" t="s">
        <v>50</v>
      </c>
      <c r="T65" s="158" t="s">
        <v>50</v>
      </c>
      <c r="U65" s="157" t="s">
        <v>50</v>
      </c>
      <c r="V65" s="158" t="s">
        <v>50</v>
      </c>
      <c r="W65" s="158" t="s">
        <v>50</v>
      </c>
      <c r="X65" s="157" t="s">
        <v>50</v>
      </c>
      <c r="Y65" s="152" t="s">
        <v>3417</v>
      </c>
    </row>
    <row r="66" spans="1:25" s="27" customFormat="1" x14ac:dyDescent="0.25">
      <c r="A66" s="26">
        <v>43656</v>
      </c>
      <c r="B66" s="27" t="s">
        <v>87</v>
      </c>
      <c r="C66" s="27" t="s">
        <v>126</v>
      </c>
      <c r="D66" s="89">
        <v>38.257190000000001</v>
      </c>
      <c r="E66" s="89">
        <v>-121.73251999999999</v>
      </c>
      <c r="F66" s="27" t="s">
        <v>3418</v>
      </c>
      <c r="G66" s="27" t="s">
        <v>90</v>
      </c>
      <c r="H66" s="27" t="s">
        <v>845</v>
      </c>
      <c r="I66" s="602">
        <v>0.3430555555555555</v>
      </c>
      <c r="J66" s="82">
        <v>182.52500000000001</v>
      </c>
      <c r="K66" s="82">
        <v>21.274999999999999</v>
      </c>
      <c r="L66" s="82">
        <v>5.98</v>
      </c>
      <c r="M66" s="82">
        <v>1.59</v>
      </c>
      <c r="N66" s="4">
        <v>4.75</v>
      </c>
      <c r="O66" s="27" t="s">
        <v>48</v>
      </c>
      <c r="P66" s="27">
        <v>4</v>
      </c>
      <c r="Q66" s="27">
        <v>10</v>
      </c>
      <c r="R66" s="27" t="s">
        <v>49</v>
      </c>
      <c r="S66" s="27" t="s">
        <v>50</v>
      </c>
      <c r="T66" s="27" t="s">
        <v>50</v>
      </c>
      <c r="U66" s="27" t="s">
        <v>50</v>
      </c>
      <c r="V66" s="27" t="s">
        <v>50</v>
      </c>
      <c r="W66" s="27" t="s">
        <v>50</v>
      </c>
      <c r="X66" s="27" t="s">
        <v>50</v>
      </c>
      <c r="Y66" s="35" t="s">
        <v>3419</v>
      </c>
    </row>
    <row r="67" spans="1:25" s="149" customFormat="1" x14ac:dyDescent="0.25">
      <c r="A67" s="178">
        <v>43656</v>
      </c>
      <c r="B67" s="149" t="s">
        <v>87</v>
      </c>
      <c r="C67" s="149" t="s">
        <v>126</v>
      </c>
      <c r="D67" s="150">
        <v>38.244259999999997</v>
      </c>
      <c r="E67" s="150">
        <v>-121.67400000000001</v>
      </c>
      <c r="F67" s="149" t="s">
        <v>3420</v>
      </c>
      <c r="G67" s="149" t="s">
        <v>90</v>
      </c>
      <c r="H67" s="149" t="s">
        <v>845</v>
      </c>
      <c r="I67" s="614">
        <v>0.45</v>
      </c>
      <c r="J67" s="197" t="s">
        <v>50</v>
      </c>
      <c r="K67" s="197" t="s">
        <v>50</v>
      </c>
      <c r="L67" s="197" t="s">
        <v>50</v>
      </c>
      <c r="M67" s="197" t="s">
        <v>50</v>
      </c>
      <c r="N67" s="197" t="s">
        <v>50</v>
      </c>
      <c r="O67" s="149" t="s">
        <v>48</v>
      </c>
      <c r="P67" s="149">
        <v>0</v>
      </c>
      <c r="Q67" s="149" t="s">
        <v>50</v>
      </c>
      <c r="R67" s="149" t="s">
        <v>50</v>
      </c>
      <c r="S67" s="158" t="s">
        <v>50</v>
      </c>
      <c r="T67" s="158" t="s">
        <v>50</v>
      </c>
      <c r="U67" s="157" t="s">
        <v>50</v>
      </c>
      <c r="V67" s="158" t="s">
        <v>50</v>
      </c>
      <c r="W67" s="158" t="s">
        <v>50</v>
      </c>
      <c r="X67" s="157" t="s">
        <v>50</v>
      </c>
      <c r="Y67" s="152" t="s">
        <v>3417</v>
      </c>
    </row>
    <row r="68" spans="1:25" s="494" customFormat="1" x14ac:dyDescent="0.25">
      <c r="A68" s="495">
        <v>43656</v>
      </c>
      <c r="B68" s="494" t="s">
        <v>87</v>
      </c>
      <c r="C68" s="494" t="s">
        <v>126</v>
      </c>
      <c r="D68" s="496">
        <v>38.247799999999998</v>
      </c>
      <c r="E68" s="496">
        <v>-121.67534000000001</v>
      </c>
      <c r="F68" s="494" t="s">
        <v>3421</v>
      </c>
      <c r="G68" s="494" t="s">
        <v>90</v>
      </c>
      <c r="H68" s="494" t="s">
        <v>845</v>
      </c>
      <c r="I68" s="615">
        <v>0.4597222222222222</v>
      </c>
      <c r="J68" s="498">
        <v>141.75</v>
      </c>
      <c r="K68" s="498">
        <v>21.25</v>
      </c>
      <c r="L68" s="498">
        <v>12.95</v>
      </c>
      <c r="M68" s="498">
        <v>1.1399999999999999</v>
      </c>
      <c r="N68" s="499">
        <v>10.45</v>
      </c>
      <c r="O68" s="494" t="s">
        <v>48</v>
      </c>
      <c r="P68" s="494">
        <v>2</v>
      </c>
      <c r="Q68" s="494">
        <v>10</v>
      </c>
      <c r="R68" s="494" t="s">
        <v>64</v>
      </c>
      <c r="S68" s="372" t="s">
        <v>323</v>
      </c>
      <c r="T68" s="494">
        <v>1</v>
      </c>
      <c r="U68" s="494">
        <v>37</v>
      </c>
      <c r="V68" s="494" t="s">
        <v>50</v>
      </c>
      <c r="W68" s="494" t="s">
        <v>50</v>
      </c>
      <c r="X68" s="494" t="s">
        <v>50</v>
      </c>
      <c r="Y68" s="455"/>
    </row>
    <row r="69" spans="1:25" s="27" customFormat="1" x14ac:dyDescent="0.25">
      <c r="A69" s="26">
        <v>43656</v>
      </c>
      <c r="B69" s="27" t="s">
        <v>87</v>
      </c>
      <c r="C69" s="27" t="s">
        <v>126</v>
      </c>
      <c r="D69" s="89">
        <v>38.232640000000004</v>
      </c>
      <c r="E69" s="89">
        <v>-121.67692</v>
      </c>
      <c r="F69" s="27" t="s">
        <v>3422</v>
      </c>
      <c r="G69" s="27" t="s">
        <v>90</v>
      </c>
      <c r="H69" s="27" t="s">
        <v>845</v>
      </c>
      <c r="I69" s="602">
        <v>0.49791666666666662</v>
      </c>
      <c r="J69" s="82">
        <v>130.25</v>
      </c>
      <c r="K69" s="82">
        <v>21.4</v>
      </c>
      <c r="L69" s="82">
        <v>11.6</v>
      </c>
      <c r="M69" s="82">
        <v>1.2224999999999999</v>
      </c>
      <c r="N69" s="4">
        <v>13.55</v>
      </c>
      <c r="O69" s="27" t="s">
        <v>48</v>
      </c>
      <c r="P69" s="27">
        <v>4</v>
      </c>
      <c r="Q69" s="27">
        <v>10</v>
      </c>
      <c r="R69" s="27" t="s">
        <v>64</v>
      </c>
      <c r="S69" s="40" t="s">
        <v>50</v>
      </c>
      <c r="T69" s="40" t="s">
        <v>50</v>
      </c>
      <c r="U69" s="235" t="s">
        <v>50</v>
      </c>
      <c r="V69" s="40" t="s">
        <v>50</v>
      </c>
      <c r="W69" s="40" t="s">
        <v>50</v>
      </c>
      <c r="X69" s="235" t="s">
        <v>50</v>
      </c>
      <c r="Y69" s="35"/>
    </row>
    <row r="70" spans="1:25" s="27" customFormat="1" x14ac:dyDescent="0.25">
      <c r="A70" s="26">
        <v>43656</v>
      </c>
      <c r="B70" s="27" t="s">
        <v>87</v>
      </c>
      <c r="C70" s="27" t="s">
        <v>78</v>
      </c>
      <c r="D70" s="89">
        <v>38.053710000000002</v>
      </c>
      <c r="E70" s="89">
        <v>-122.09465</v>
      </c>
      <c r="F70" s="27" t="s">
        <v>3423</v>
      </c>
      <c r="G70" s="27" t="s">
        <v>80</v>
      </c>
      <c r="H70" s="27" t="s">
        <v>81</v>
      </c>
      <c r="I70" s="602">
        <v>0.35555555555555557</v>
      </c>
      <c r="J70" s="31">
        <v>11866.75</v>
      </c>
      <c r="K70" s="31">
        <v>20.2</v>
      </c>
      <c r="L70" s="31">
        <v>34.975000000000001</v>
      </c>
      <c r="M70" s="31">
        <v>0.435</v>
      </c>
      <c r="N70" s="31">
        <v>7.75</v>
      </c>
      <c r="O70" s="27" t="s">
        <v>48</v>
      </c>
      <c r="P70" s="32">
        <v>4</v>
      </c>
      <c r="Q70" s="281">
        <v>10</v>
      </c>
      <c r="R70" s="34" t="s">
        <v>64</v>
      </c>
      <c r="S70" s="49" t="s">
        <v>50</v>
      </c>
      <c r="T70" s="49" t="s">
        <v>50</v>
      </c>
      <c r="U70" s="34" t="s">
        <v>50</v>
      </c>
      <c r="V70" s="49" t="s">
        <v>50</v>
      </c>
      <c r="W70" s="49" t="s">
        <v>50</v>
      </c>
      <c r="X70" s="34" t="s">
        <v>50</v>
      </c>
      <c r="Y70" s="35"/>
    </row>
    <row r="71" spans="1:25" s="27" customFormat="1" x14ac:dyDescent="0.25">
      <c r="A71" s="26">
        <v>43656</v>
      </c>
      <c r="B71" s="27" t="s">
        <v>87</v>
      </c>
      <c r="C71" s="27" t="s">
        <v>78</v>
      </c>
      <c r="D71" s="89">
        <v>38.081690000000002</v>
      </c>
      <c r="E71" s="89">
        <v>-122.06063</v>
      </c>
      <c r="F71" s="27" t="s">
        <v>3424</v>
      </c>
      <c r="G71" s="27" t="s">
        <v>80</v>
      </c>
      <c r="H71" s="27" t="s">
        <v>81</v>
      </c>
      <c r="I71" s="602">
        <v>0.41666666666666669</v>
      </c>
      <c r="J71" s="82">
        <v>9071.5</v>
      </c>
      <c r="K71" s="82">
        <v>20.25</v>
      </c>
      <c r="L71" s="82">
        <v>49.674999999999997</v>
      </c>
      <c r="M71" s="82">
        <v>0.23250000000000001</v>
      </c>
      <c r="N71" s="4">
        <v>6.9</v>
      </c>
      <c r="O71" s="27" t="s">
        <v>48</v>
      </c>
      <c r="P71" s="27">
        <v>4</v>
      </c>
      <c r="Q71" s="27">
        <v>10</v>
      </c>
      <c r="R71" s="27" t="s">
        <v>64</v>
      </c>
      <c r="S71" s="40" t="s">
        <v>50</v>
      </c>
      <c r="T71" s="40" t="s">
        <v>50</v>
      </c>
      <c r="U71" s="235" t="s">
        <v>50</v>
      </c>
      <c r="V71" s="40" t="s">
        <v>50</v>
      </c>
      <c r="W71" s="40" t="s">
        <v>50</v>
      </c>
      <c r="X71" s="235" t="s">
        <v>50</v>
      </c>
      <c r="Y71" s="35"/>
    </row>
    <row r="72" spans="1:25" s="494" customFormat="1" x14ac:dyDescent="0.25">
      <c r="A72" s="495">
        <v>43656</v>
      </c>
      <c r="B72" s="494" t="s">
        <v>87</v>
      </c>
      <c r="C72" s="494" t="s">
        <v>78</v>
      </c>
      <c r="D72" s="496">
        <v>38.099730000000001</v>
      </c>
      <c r="E72" s="496">
        <v>-122.02773999999999</v>
      </c>
      <c r="F72" s="494" t="s">
        <v>3425</v>
      </c>
      <c r="G72" s="494" t="s">
        <v>27</v>
      </c>
      <c r="H72" s="494" t="s">
        <v>86</v>
      </c>
      <c r="I72" s="615">
        <v>0.47361111111111115</v>
      </c>
      <c r="J72" s="540">
        <v>7094.5</v>
      </c>
      <c r="K72" s="540">
        <v>20.75</v>
      </c>
      <c r="L72" s="540">
        <v>60.35</v>
      </c>
      <c r="M72" s="540">
        <v>0.22</v>
      </c>
      <c r="N72" s="540">
        <v>8.1</v>
      </c>
      <c r="O72" s="573" t="s">
        <v>48</v>
      </c>
      <c r="P72" s="573">
        <v>2</v>
      </c>
      <c r="Q72" s="574">
        <v>10</v>
      </c>
      <c r="R72" s="568" t="s">
        <v>49</v>
      </c>
      <c r="S72" s="570" t="s">
        <v>323</v>
      </c>
      <c r="T72" s="569">
        <v>1</v>
      </c>
      <c r="U72" s="568">
        <v>54</v>
      </c>
      <c r="V72" s="569" t="s">
        <v>66</v>
      </c>
      <c r="W72" s="569" t="s">
        <v>50</v>
      </c>
      <c r="X72" s="568" t="s">
        <v>50</v>
      </c>
      <c r="Y72" s="455"/>
    </row>
    <row r="73" spans="1:25" s="27" customFormat="1" x14ac:dyDescent="0.25">
      <c r="A73" s="26">
        <v>43656</v>
      </c>
      <c r="B73" s="27" t="s">
        <v>87</v>
      </c>
      <c r="C73" s="97" t="s">
        <v>118</v>
      </c>
      <c r="D73" s="98">
        <v>38.066740000000003</v>
      </c>
      <c r="E73" s="98">
        <v>-122.2484</v>
      </c>
      <c r="F73" s="97" t="s">
        <v>3426</v>
      </c>
      <c r="G73" s="97" t="s">
        <v>80</v>
      </c>
      <c r="H73" s="97" t="s">
        <v>3332</v>
      </c>
      <c r="I73" s="602">
        <v>0.61388888888888882</v>
      </c>
      <c r="J73" s="31">
        <v>19732.75</v>
      </c>
      <c r="K73" s="31">
        <v>20.3</v>
      </c>
      <c r="L73" s="31">
        <v>37.450000000000003</v>
      </c>
      <c r="M73" s="31">
        <v>0.45500000000000002</v>
      </c>
      <c r="N73" s="31">
        <v>17.425000000000001</v>
      </c>
      <c r="O73" s="32" t="s">
        <v>48</v>
      </c>
      <c r="P73" s="32">
        <v>4</v>
      </c>
      <c r="Q73" s="281">
        <v>10</v>
      </c>
      <c r="R73" s="34" t="s">
        <v>49</v>
      </c>
      <c r="S73" s="49" t="s">
        <v>50</v>
      </c>
      <c r="T73" s="49" t="s">
        <v>50</v>
      </c>
      <c r="U73" s="34" t="s">
        <v>50</v>
      </c>
      <c r="V73" s="49" t="s">
        <v>50</v>
      </c>
      <c r="W73" s="49" t="s">
        <v>50</v>
      </c>
      <c r="X73" s="34" t="s">
        <v>50</v>
      </c>
      <c r="Y73" s="35" t="s">
        <v>3427</v>
      </c>
    </row>
    <row r="74" spans="1:25" s="27" customFormat="1" x14ac:dyDescent="0.25">
      <c r="A74" s="26">
        <v>43657</v>
      </c>
      <c r="B74" s="27" t="s">
        <v>105</v>
      </c>
      <c r="C74" s="32" t="s">
        <v>78</v>
      </c>
      <c r="D74" s="32">
        <v>38.048079999999999</v>
      </c>
      <c r="E74" s="32">
        <v>-121.90224000000001</v>
      </c>
      <c r="F74" s="32" t="s">
        <v>3428</v>
      </c>
      <c r="G74" s="32" t="s">
        <v>27</v>
      </c>
      <c r="H74" s="32" t="s">
        <v>101</v>
      </c>
      <c r="I74" s="602">
        <v>0.34375</v>
      </c>
      <c r="J74" s="31">
        <v>580.75</v>
      </c>
      <c r="K74" s="31">
        <v>21.7</v>
      </c>
      <c r="L74" s="31">
        <v>26.725000000000001</v>
      </c>
      <c r="M74" s="31">
        <v>0.42249999999999999</v>
      </c>
      <c r="N74" s="31">
        <v>10.775</v>
      </c>
      <c r="O74" s="32" t="s">
        <v>48</v>
      </c>
      <c r="P74" s="32">
        <v>4</v>
      </c>
      <c r="Q74" s="281">
        <v>10</v>
      </c>
      <c r="R74" s="34" t="s">
        <v>64</v>
      </c>
      <c r="S74" s="49" t="s">
        <v>50</v>
      </c>
      <c r="T74" s="49" t="s">
        <v>50</v>
      </c>
      <c r="U74" s="34" t="s">
        <v>50</v>
      </c>
      <c r="V74" s="49" t="s">
        <v>50</v>
      </c>
      <c r="W74" s="49" t="s">
        <v>50</v>
      </c>
      <c r="X74" s="34" t="s">
        <v>50</v>
      </c>
      <c r="Y74" s="35"/>
    </row>
    <row r="75" spans="1:25" s="27" customFormat="1" x14ac:dyDescent="0.25">
      <c r="A75" s="26">
        <v>43657</v>
      </c>
      <c r="B75" s="27" t="s">
        <v>105</v>
      </c>
      <c r="C75" s="32" t="s">
        <v>78</v>
      </c>
      <c r="D75" s="32">
        <v>38.097209999999997</v>
      </c>
      <c r="E75" s="32">
        <v>-122.03303</v>
      </c>
      <c r="F75" s="32" t="s">
        <v>3429</v>
      </c>
      <c r="G75" s="32" t="s">
        <v>27</v>
      </c>
      <c r="H75" s="32" t="s">
        <v>86</v>
      </c>
      <c r="I75" s="602">
        <v>0.39999999999999997</v>
      </c>
      <c r="J75" s="31">
        <v>7211</v>
      </c>
      <c r="K75" s="31">
        <v>20.95</v>
      </c>
      <c r="L75" s="31">
        <v>47.274999999999999</v>
      </c>
      <c r="M75" s="31">
        <v>0.29249999999999998</v>
      </c>
      <c r="N75" s="31">
        <v>6.4</v>
      </c>
      <c r="O75" s="32" t="s">
        <v>48</v>
      </c>
      <c r="P75" s="32">
        <v>4</v>
      </c>
      <c r="Q75" s="281">
        <v>10</v>
      </c>
      <c r="R75" s="34" t="s">
        <v>64</v>
      </c>
      <c r="S75" s="49" t="s">
        <v>50</v>
      </c>
      <c r="T75" s="49" t="s">
        <v>50</v>
      </c>
      <c r="U75" s="34" t="s">
        <v>50</v>
      </c>
      <c r="V75" s="49" t="s">
        <v>50</v>
      </c>
      <c r="W75" s="49" t="s">
        <v>50</v>
      </c>
      <c r="X75" s="34" t="s">
        <v>50</v>
      </c>
      <c r="Y75" s="35"/>
    </row>
    <row r="76" spans="1:25" s="27" customFormat="1" x14ac:dyDescent="0.25">
      <c r="A76" s="26">
        <v>43657</v>
      </c>
      <c r="B76" s="27" t="s">
        <v>105</v>
      </c>
      <c r="C76" s="32" t="s">
        <v>78</v>
      </c>
      <c r="D76" s="32">
        <v>38.07846</v>
      </c>
      <c r="E76" s="32">
        <v>-122.03440000000001</v>
      </c>
      <c r="F76" s="32" t="s">
        <v>3430</v>
      </c>
      <c r="G76" s="32" t="s">
        <v>27</v>
      </c>
      <c r="H76" s="32" t="s">
        <v>86</v>
      </c>
      <c r="I76" s="602">
        <v>0.45277777777777778</v>
      </c>
      <c r="J76" s="31">
        <v>7939</v>
      </c>
      <c r="K76" s="31">
        <v>21.225000000000001</v>
      </c>
      <c r="L76" s="31">
        <v>35.424999999999997</v>
      </c>
      <c r="M76" s="31">
        <v>0.26</v>
      </c>
      <c r="N76" s="31">
        <v>7.6</v>
      </c>
      <c r="O76" s="32" t="s">
        <v>48</v>
      </c>
      <c r="P76" s="32">
        <v>4</v>
      </c>
      <c r="Q76" s="281">
        <v>10</v>
      </c>
      <c r="R76" s="34" t="s">
        <v>64</v>
      </c>
      <c r="S76" s="49" t="s">
        <v>50</v>
      </c>
      <c r="T76" s="49" t="s">
        <v>50</v>
      </c>
      <c r="U76" s="34" t="s">
        <v>50</v>
      </c>
      <c r="V76" s="49" t="s">
        <v>50</v>
      </c>
      <c r="W76" s="49" t="s">
        <v>50</v>
      </c>
      <c r="X76" s="34" t="s">
        <v>50</v>
      </c>
      <c r="Y76" s="35"/>
    </row>
    <row r="77" spans="1:25" s="199" customFormat="1" x14ac:dyDescent="0.25">
      <c r="A77" s="198">
        <v>43657</v>
      </c>
      <c r="B77" s="199" t="s">
        <v>105</v>
      </c>
      <c r="C77" s="545" t="s">
        <v>126</v>
      </c>
      <c r="D77" s="545">
        <v>38.277009999999997</v>
      </c>
      <c r="E77" s="545">
        <v>-121.70947</v>
      </c>
      <c r="F77" s="545" t="s">
        <v>3431</v>
      </c>
      <c r="G77" s="545" t="s">
        <v>90</v>
      </c>
      <c r="H77" s="545" t="s">
        <v>845</v>
      </c>
      <c r="I77" s="617">
        <v>0.33333333333333331</v>
      </c>
      <c r="J77" s="562" t="s">
        <v>50</v>
      </c>
      <c r="K77" s="562" t="s">
        <v>50</v>
      </c>
      <c r="L77" s="562" t="s">
        <v>50</v>
      </c>
      <c r="M77" s="562" t="s">
        <v>50</v>
      </c>
      <c r="N77" s="562" t="s">
        <v>50</v>
      </c>
      <c r="O77" s="545" t="s">
        <v>48</v>
      </c>
      <c r="P77" s="545">
        <v>0</v>
      </c>
      <c r="Q77" s="551" t="s">
        <v>50</v>
      </c>
      <c r="R77" s="552" t="s">
        <v>50</v>
      </c>
      <c r="S77" s="544" t="s">
        <v>50</v>
      </c>
      <c r="T77" s="544" t="s">
        <v>50</v>
      </c>
      <c r="U77" s="552" t="s">
        <v>50</v>
      </c>
      <c r="V77" s="544" t="s">
        <v>50</v>
      </c>
      <c r="W77" s="544" t="s">
        <v>50</v>
      </c>
      <c r="X77" s="552" t="s">
        <v>50</v>
      </c>
      <c r="Y77" s="200" t="s">
        <v>3417</v>
      </c>
    </row>
    <row r="78" spans="1:25" s="27" customFormat="1" x14ac:dyDescent="0.25">
      <c r="A78" s="194">
        <v>43657</v>
      </c>
      <c r="B78" s="97" t="s">
        <v>105</v>
      </c>
      <c r="C78" s="32" t="s">
        <v>126</v>
      </c>
      <c r="D78" s="32">
        <v>38.257460000000002</v>
      </c>
      <c r="E78" s="32">
        <v>-121.7375</v>
      </c>
      <c r="F78" s="32" t="s">
        <v>3432</v>
      </c>
      <c r="G78" s="32" t="s">
        <v>90</v>
      </c>
      <c r="H78" s="32" t="s">
        <v>845</v>
      </c>
      <c r="I78" s="621">
        <v>0.34930555555555554</v>
      </c>
      <c r="J78" s="31">
        <v>181.15</v>
      </c>
      <c r="K78" s="31">
        <v>21.5</v>
      </c>
      <c r="L78" s="31">
        <v>6.2024999999999997</v>
      </c>
      <c r="M78" s="31">
        <v>1.5725</v>
      </c>
      <c r="N78" s="31">
        <v>4.6749999999999998</v>
      </c>
      <c r="O78" s="32" t="s">
        <v>48</v>
      </c>
      <c r="P78" s="32">
        <v>4</v>
      </c>
      <c r="Q78" s="281">
        <v>10</v>
      </c>
      <c r="R78" s="34" t="s">
        <v>64</v>
      </c>
      <c r="S78" s="49" t="s">
        <v>50</v>
      </c>
      <c r="T78" s="49" t="s">
        <v>50</v>
      </c>
      <c r="U78" s="34" t="s">
        <v>50</v>
      </c>
      <c r="V78" s="49" t="s">
        <v>50</v>
      </c>
      <c r="W78" s="49" t="s">
        <v>50</v>
      </c>
      <c r="X78" s="34" t="s">
        <v>50</v>
      </c>
      <c r="Y78" s="102" t="s">
        <v>3433</v>
      </c>
    </row>
    <row r="79" spans="1:25" s="27" customFormat="1" x14ac:dyDescent="0.25">
      <c r="A79" s="26">
        <v>43657</v>
      </c>
      <c r="B79" s="27" t="s">
        <v>105</v>
      </c>
      <c r="C79" s="32" t="s">
        <v>126</v>
      </c>
      <c r="D79" s="32">
        <v>38.426560000000002</v>
      </c>
      <c r="E79" s="32">
        <v>-121.61098</v>
      </c>
      <c r="F79" s="32" t="s">
        <v>3434</v>
      </c>
      <c r="G79" s="32" t="s">
        <v>90</v>
      </c>
      <c r="H79" s="32" t="s">
        <v>845</v>
      </c>
      <c r="I79" s="602">
        <v>0.45347222222222222</v>
      </c>
      <c r="J79" s="31">
        <v>637.66669999999999</v>
      </c>
      <c r="K79" s="31">
        <v>23.966670000000001</v>
      </c>
      <c r="L79" s="31">
        <v>57.033329999999999</v>
      </c>
      <c r="M79" s="31">
        <v>0.25333299999999997</v>
      </c>
      <c r="N79" s="31">
        <v>2.9333300000000002</v>
      </c>
      <c r="O79" s="32" t="s">
        <v>48</v>
      </c>
      <c r="P79" s="32">
        <v>3</v>
      </c>
      <c r="Q79" s="281">
        <v>10</v>
      </c>
      <c r="R79" s="34" t="s">
        <v>64</v>
      </c>
      <c r="S79" s="49" t="s">
        <v>50</v>
      </c>
      <c r="T79" s="49" t="s">
        <v>50</v>
      </c>
      <c r="U79" s="34" t="s">
        <v>50</v>
      </c>
      <c r="V79" s="49" t="s">
        <v>50</v>
      </c>
      <c r="W79" s="49" t="s">
        <v>50</v>
      </c>
      <c r="X79" s="34" t="s">
        <v>50</v>
      </c>
      <c r="Y79" s="35" t="s">
        <v>3435</v>
      </c>
    </row>
    <row r="80" spans="1:25" s="27" customFormat="1" x14ac:dyDescent="0.25">
      <c r="A80" s="26">
        <v>43657</v>
      </c>
      <c r="B80" s="27" t="s">
        <v>105</v>
      </c>
      <c r="C80" s="32" t="s">
        <v>126</v>
      </c>
      <c r="D80" s="32">
        <v>38.270600000000002</v>
      </c>
      <c r="E80" s="32">
        <v>-121.66703</v>
      </c>
      <c r="F80" s="32" t="s">
        <v>3436</v>
      </c>
      <c r="G80" s="32" t="s">
        <v>90</v>
      </c>
      <c r="H80" s="32" t="s">
        <v>845</v>
      </c>
      <c r="I80" s="602">
        <v>0.56458333333333333</v>
      </c>
      <c r="J80" s="31">
        <v>149</v>
      </c>
      <c r="K80" s="31">
        <v>21.824999999999999</v>
      </c>
      <c r="L80" s="31">
        <v>22.524999999999999</v>
      </c>
      <c r="M80" s="31">
        <v>0.93500000000000005</v>
      </c>
      <c r="N80" s="31">
        <v>6.1749999999999998</v>
      </c>
      <c r="O80" s="32" t="s">
        <v>48</v>
      </c>
      <c r="P80" s="32">
        <v>4</v>
      </c>
      <c r="Q80" s="281">
        <v>10</v>
      </c>
      <c r="R80" s="34" t="s">
        <v>64</v>
      </c>
      <c r="S80" s="49" t="s">
        <v>50</v>
      </c>
      <c r="T80" s="49" t="s">
        <v>50</v>
      </c>
      <c r="U80" s="34" t="s">
        <v>50</v>
      </c>
      <c r="V80" s="49" t="s">
        <v>50</v>
      </c>
      <c r="W80" s="49" t="s">
        <v>50</v>
      </c>
      <c r="X80" s="34" t="s">
        <v>50</v>
      </c>
      <c r="Y80" s="35"/>
    </row>
    <row r="81" spans="1:25" s="27" customFormat="1" x14ac:dyDescent="0.25">
      <c r="A81" s="26">
        <v>43657</v>
      </c>
      <c r="B81" s="27" t="s">
        <v>105</v>
      </c>
      <c r="C81" s="32" t="s">
        <v>118</v>
      </c>
      <c r="D81" s="32">
        <v>38.161799999999999</v>
      </c>
      <c r="E81" s="32">
        <v>-122.29572</v>
      </c>
      <c r="F81" s="32" t="s">
        <v>3437</v>
      </c>
      <c r="G81" s="32" t="s">
        <v>80</v>
      </c>
      <c r="H81" s="32" t="s">
        <v>191</v>
      </c>
      <c r="I81" s="602">
        <v>0.32013888888888892</v>
      </c>
      <c r="J81" s="31">
        <v>18272</v>
      </c>
      <c r="K81" s="31">
        <v>20.350000000000001</v>
      </c>
      <c r="L81" s="31">
        <v>35</v>
      </c>
      <c r="M81" s="31">
        <v>0.31</v>
      </c>
      <c r="N81" s="31">
        <v>5.85</v>
      </c>
      <c r="O81" s="32" t="s">
        <v>48</v>
      </c>
      <c r="P81" s="32">
        <v>4</v>
      </c>
      <c r="Q81" s="281">
        <v>10</v>
      </c>
      <c r="R81" s="34" t="s">
        <v>64</v>
      </c>
      <c r="S81" s="49" t="s">
        <v>50</v>
      </c>
      <c r="T81" s="49" t="s">
        <v>50</v>
      </c>
      <c r="U81" s="34" t="s">
        <v>50</v>
      </c>
      <c r="V81" s="49" t="s">
        <v>50</v>
      </c>
      <c r="W81" s="49" t="s">
        <v>50</v>
      </c>
      <c r="X81" s="34" t="s">
        <v>50</v>
      </c>
      <c r="Y81" s="35"/>
    </row>
    <row r="82" spans="1:25" s="27" customFormat="1" x14ac:dyDescent="0.25">
      <c r="A82" s="26">
        <v>43657</v>
      </c>
      <c r="B82" s="27" t="s">
        <v>105</v>
      </c>
      <c r="C82" s="32" t="s">
        <v>118</v>
      </c>
      <c r="D82" s="32">
        <v>38.060510000000001</v>
      </c>
      <c r="E82" s="32">
        <v>-122.32528000000001</v>
      </c>
      <c r="F82" s="32" t="s">
        <v>3438</v>
      </c>
      <c r="G82" s="32" t="s">
        <v>80</v>
      </c>
      <c r="H82" s="32" t="s">
        <v>123</v>
      </c>
      <c r="I82" s="602">
        <v>0.39166666666666666</v>
      </c>
      <c r="J82" s="31">
        <v>26534.5</v>
      </c>
      <c r="K82" s="31">
        <v>19.375</v>
      </c>
      <c r="L82" s="31">
        <v>26.975000000000001</v>
      </c>
      <c r="M82" s="31">
        <v>0.3775</v>
      </c>
      <c r="N82" s="31">
        <v>5.0999999999999996</v>
      </c>
      <c r="O82" s="32" t="s">
        <v>48</v>
      </c>
      <c r="P82" s="32">
        <v>4</v>
      </c>
      <c r="Q82" s="281">
        <v>10</v>
      </c>
      <c r="R82" s="34" t="s">
        <v>64</v>
      </c>
      <c r="S82" s="49" t="s">
        <v>50</v>
      </c>
      <c r="T82" s="49" t="s">
        <v>50</v>
      </c>
      <c r="U82" s="34" t="s">
        <v>50</v>
      </c>
      <c r="V82" s="49" t="s">
        <v>50</v>
      </c>
      <c r="W82" s="49" t="s">
        <v>50</v>
      </c>
      <c r="X82" s="34" t="s">
        <v>50</v>
      </c>
      <c r="Y82" s="35"/>
    </row>
    <row r="83" spans="1:25" s="27" customFormat="1" x14ac:dyDescent="0.25">
      <c r="A83" s="26">
        <v>43657</v>
      </c>
      <c r="B83" s="27" t="s">
        <v>105</v>
      </c>
      <c r="C83" s="32" t="s">
        <v>118</v>
      </c>
      <c r="D83" s="32">
        <v>38.046750000000003</v>
      </c>
      <c r="E83" s="32">
        <v>-122.301</v>
      </c>
      <c r="F83" s="32" t="s">
        <v>3439</v>
      </c>
      <c r="G83" s="32" t="s">
        <v>80</v>
      </c>
      <c r="H83" s="32" t="s">
        <v>123</v>
      </c>
      <c r="I83" s="602">
        <v>0.44722222222222219</v>
      </c>
      <c r="J83" s="31">
        <v>28778.5</v>
      </c>
      <c r="K83" s="31">
        <v>19.375</v>
      </c>
      <c r="L83" s="31">
        <v>14.1</v>
      </c>
      <c r="M83" s="31">
        <v>0.63749999999999996</v>
      </c>
      <c r="N83" s="31">
        <v>9.3249999999999993</v>
      </c>
      <c r="O83" s="32" t="s">
        <v>48</v>
      </c>
      <c r="P83" s="32">
        <v>4</v>
      </c>
      <c r="Q83" s="281">
        <v>10</v>
      </c>
      <c r="R83" s="34" t="s">
        <v>64</v>
      </c>
      <c r="S83" s="49" t="s">
        <v>50</v>
      </c>
      <c r="T83" s="49" t="s">
        <v>50</v>
      </c>
      <c r="U83" s="34" t="s">
        <v>50</v>
      </c>
      <c r="V83" s="49" t="s">
        <v>50</v>
      </c>
      <c r="W83" s="49" t="s">
        <v>50</v>
      </c>
      <c r="X83" s="34" t="s">
        <v>50</v>
      </c>
      <c r="Y83" s="35"/>
    </row>
    <row r="84" spans="1:25" s="361" customFormat="1" x14ac:dyDescent="0.25">
      <c r="A84" s="360">
        <v>43657</v>
      </c>
      <c r="B84" s="361" t="s">
        <v>105</v>
      </c>
      <c r="C84" s="575" t="s">
        <v>118</v>
      </c>
      <c r="D84" s="575">
        <v>38.040990000000001</v>
      </c>
      <c r="E84" s="575">
        <v>-122.29713</v>
      </c>
      <c r="F84" s="575" t="s">
        <v>3440</v>
      </c>
      <c r="G84" s="575" t="s">
        <v>80</v>
      </c>
      <c r="H84" s="575" t="s">
        <v>123</v>
      </c>
      <c r="I84" s="618">
        <v>0.49374999999999997</v>
      </c>
      <c r="J84" s="576">
        <v>31039.25</v>
      </c>
      <c r="K84" s="576">
        <v>19.274999999999999</v>
      </c>
      <c r="L84" s="576">
        <v>10.45</v>
      </c>
      <c r="M84" s="576">
        <v>0.76249999999999996</v>
      </c>
      <c r="N84" s="576">
        <v>3.7</v>
      </c>
      <c r="O84" s="575" t="s">
        <v>48</v>
      </c>
      <c r="P84" s="575">
        <v>4</v>
      </c>
      <c r="Q84" s="577">
        <v>10</v>
      </c>
      <c r="R84" s="578" t="s">
        <v>64</v>
      </c>
      <c r="S84" s="579" t="s">
        <v>50</v>
      </c>
      <c r="T84" s="579" t="s">
        <v>50</v>
      </c>
      <c r="U84" s="578" t="s">
        <v>50</v>
      </c>
      <c r="V84" s="579" t="s">
        <v>50</v>
      </c>
      <c r="W84" s="579" t="s">
        <v>50</v>
      </c>
      <c r="X84" s="578" t="s">
        <v>50</v>
      </c>
      <c r="Y84" s="366"/>
    </row>
    <row r="85" spans="1:25" s="26" customFormat="1" x14ac:dyDescent="0.25">
      <c r="A85" s="26">
        <v>43661</v>
      </c>
      <c r="B85" s="26" t="s">
        <v>43</v>
      </c>
      <c r="C85" s="26" t="s">
        <v>118</v>
      </c>
      <c r="D85" s="89">
        <v>38.038029999999999</v>
      </c>
      <c r="E85" s="89">
        <v>-122.30759</v>
      </c>
      <c r="F85" s="26" t="s">
        <v>3441</v>
      </c>
      <c r="G85" s="26" t="s">
        <v>80</v>
      </c>
      <c r="H85" s="26" t="s">
        <v>123</v>
      </c>
      <c r="I85" s="602">
        <v>0.43263888888888885</v>
      </c>
      <c r="J85" s="82">
        <v>24158</v>
      </c>
      <c r="K85" s="82">
        <v>20.675000000000001</v>
      </c>
      <c r="L85" s="82">
        <v>24.5</v>
      </c>
      <c r="M85" s="82">
        <v>0.47749999999999998</v>
      </c>
      <c r="N85" s="82">
        <v>3.35</v>
      </c>
      <c r="O85" s="26" t="s">
        <v>48</v>
      </c>
      <c r="P85" s="89">
        <v>4</v>
      </c>
      <c r="Q85" s="98">
        <v>10</v>
      </c>
      <c r="R85" s="26" t="s">
        <v>64</v>
      </c>
      <c r="S85" s="26" t="s">
        <v>50</v>
      </c>
      <c r="T85" s="26" t="s">
        <v>50</v>
      </c>
      <c r="U85" s="26" t="s">
        <v>50</v>
      </c>
      <c r="V85" s="26" t="s">
        <v>50</v>
      </c>
      <c r="W85" s="26" t="s">
        <v>50</v>
      </c>
      <c r="X85" s="26" t="s">
        <v>50</v>
      </c>
    </row>
    <row r="86" spans="1:25" s="27" customFormat="1" x14ac:dyDescent="0.25">
      <c r="A86" s="26">
        <v>43661</v>
      </c>
      <c r="B86" s="26" t="s">
        <v>43</v>
      </c>
      <c r="C86" s="26" t="s">
        <v>118</v>
      </c>
      <c r="D86" s="89">
        <v>38.052289999999999</v>
      </c>
      <c r="E86" s="89">
        <v>-122.32011</v>
      </c>
      <c r="F86" s="26" t="s">
        <v>3442</v>
      </c>
      <c r="G86" s="26" t="s">
        <v>80</v>
      </c>
      <c r="H86" s="26" t="s">
        <v>123</v>
      </c>
      <c r="I86" s="602">
        <v>0.37916666666666665</v>
      </c>
      <c r="J86" s="82">
        <v>19642</v>
      </c>
      <c r="K86" s="82">
        <v>20.375</v>
      </c>
      <c r="L86" s="82">
        <v>34.524999999999999</v>
      </c>
      <c r="M86" s="82">
        <v>0.37249999999999994</v>
      </c>
      <c r="N86" s="4">
        <v>9.8000000000000007</v>
      </c>
      <c r="O86" s="27" t="s">
        <v>48</v>
      </c>
      <c r="P86" s="27">
        <v>4</v>
      </c>
      <c r="Q86" s="27">
        <v>10</v>
      </c>
      <c r="R86" s="27" t="s">
        <v>49</v>
      </c>
      <c r="S86" s="26" t="s">
        <v>50</v>
      </c>
      <c r="T86" s="26" t="s">
        <v>50</v>
      </c>
      <c r="U86" s="26" t="s">
        <v>50</v>
      </c>
      <c r="V86" s="26" t="s">
        <v>50</v>
      </c>
      <c r="W86" s="26" t="s">
        <v>50</v>
      </c>
      <c r="X86" s="26" t="s">
        <v>50</v>
      </c>
      <c r="Y86" s="35"/>
    </row>
    <row r="87" spans="1:25" s="27" customFormat="1" x14ac:dyDescent="0.25">
      <c r="A87" s="26">
        <v>43661</v>
      </c>
      <c r="B87" s="26" t="s">
        <v>43</v>
      </c>
      <c r="C87" s="26" t="s">
        <v>118</v>
      </c>
      <c r="D87" s="89">
        <v>38.035800000000002</v>
      </c>
      <c r="E87" s="89">
        <v>-122.31274999999999</v>
      </c>
      <c r="F87" s="26" t="s">
        <v>3443</v>
      </c>
      <c r="G87" s="26" t="s">
        <v>80</v>
      </c>
      <c r="H87" s="26" t="s">
        <v>123</v>
      </c>
      <c r="I87" s="602">
        <v>0.48125000000000001</v>
      </c>
      <c r="J87" s="31">
        <v>25324.5</v>
      </c>
      <c r="K87" s="31">
        <v>20.65</v>
      </c>
      <c r="L87" s="31">
        <v>18.5</v>
      </c>
      <c r="M87" s="31">
        <v>0.51750000000000007</v>
      </c>
      <c r="N87" s="31">
        <v>3.7250000000000005</v>
      </c>
      <c r="O87" s="32" t="s">
        <v>48</v>
      </c>
      <c r="P87" s="32">
        <v>4</v>
      </c>
      <c r="Q87" s="281">
        <v>10</v>
      </c>
      <c r="R87" s="34" t="s">
        <v>64</v>
      </c>
      <c r="S87" s="26" t="s">
        <v>50</v>
      </c>
      <c r="T87" s="26" t="s">
        <v>50</v>
      </c>
      <c r="U87" s="26" t="s">
        <v>50</v>
      </c>
      <c r="V87" s="26" t="s">
        <v>50</v>
      </c>
      <c r="W87" s="26" t="s">
        <v>50</v>
      </c>
      <c r="X87" s="26" t="s">
        <v>50</v>
      </c>
      <c r="Y87" s="35"/>
    </row>
    <row r="88" spans="1:25" s="27" customFormat="1" x14ac:dyDescent="0.25">
      <c r="A88" s="26">
        <v>43661</v>
      </c>
      <c r="B88" s="26" t="s">
        <v>43</v>
      </c>
      <c r="C88" s="26" t="s">
        <v>118</v>
      </c>
      <c r="D88" s="89">
        <v>38.060130000000001</v>
      </c>
      <c r="E88" s="89">
        <v>-122.25407</v>
      </c>
      <c r="F88" s="27" t="s">
        <v>3444</v>
      </c>
      <c r="G88" s="27" t="s">
        <v>80</v>
      </c>
      <c r="H88" s="27" t="s">
        <v>3332</v>
      </c>
      <c r="I88" s="602">
        <v>0.54166666666666663</v>
      </c>
      <c r="J88" s="82">
        <v>24470</v>
      </c>
      <c r="K88" s="82">
        <v>20.824999999999999</v>
      </c>
      <c r="L88" s="82">
        <v>20.425000000000001</v>
      </c>
      <c r="M88" s="82">
        <v>0.58250000000000002</v>
      </c>
      <c r="N88" s="4">
        <v>14.55</v>
      </c>
      <c r="O88" s="27" t="s">
        <v>48</v>
      </c>
      <c r="P88" s="27">
        <v>4</v>
      </c>
      <c r="Q88" s="27">
        <v>10</v>
      </c>
      <c r="R88" s="27" t="s">
        <v>64</v>
      </c>
      <c r="S88" s="26" t="s">
        <v>50</v>
      </c>
      <c r="T88" s="26" t="s">
        <v>50</v>
      </c>
      <c r="U88" s="26" t="s">
        <v>50</v>
      </c>
      <c r="V88" s="26" t="s">
        <v>50</v>
      </c>
      <c r="W88" s="26" t="s">
        <v>50</v>
      </c>
      <c r="X88" s="26" t="s">
        <v>50</v>
      </c>
      <c r="Y88" s="35"/>
    </row>
    <row r="89" spans="1:25" s="27" customFormat="1" x14ac:dyDescent="0.25">
      <c r="A89" s="26">
        <v>43661</v>
      </c>
      <c r="B89" s="26" t="s">
        <v>43</v>
      </c>
      <c r="C89" s="26" t="s">
        <v>118</v>
      </c>
      <c r="D89" s="89">
        <v>38.034300000000002</v>
      </c>
      <c r="E89" s="89">
        <v>-122.15387</v>
      </c>
      <c r="F89" s="27" t="s">
        <v>3445</v>
      </c>
      <c r="G89" s="27" t="s">
        <v>80</v>
      </c>
      <c r="H89" s="27" t="s">
        <v>3332</v>
      </c>
      <c r="I89" s="602">
        <v>0.63958333333333328</v>
      </c>
      <c r="J89" s="100">
        <v>19039</v>
      </c>
      <c r="K89" s="100">
        <v>21.400000000000002</v>
      </c>
      <c r="L89" s="100">
        <v>26.125</v>
      </c>
      <c r="M89" s="100">
        <v>0.45250000000000001</v>
      </c>
      <c r="N89" s="101">
        <v>11.1</v>
      </c>
      <c r="O89" s="97" t="s">
        <v>48</v>
      </c>
      <c r="P89" s="97">
        <v>4</v>
      </c>
      <c r="Q89" s="97">
        <v>10</v>
      </c>
      <c r="R89" s="27" t="s">
        <v>49</v>
      </c>
      <c r="S89" s="26" t="s">
        <v>50</v>
      </c>
      <c r="T89" s="26" t="s">
        <v>50</v>
      </c>
      <c r="U89" s="26" t="s">
        <v>50</v>
      </c>
      <c r="V89" s="26" t="s">
        <v>50</v>
      </c>
      <c r="W89" s="26" t="s">
        <v>50</v>
      </c>
      <c r="X89" s="26" t="s">
        <v>50</v>
      </c>
      <c r="Y89" s="35"/>
    </row>
    <row r="90" spans="1:25" s="494" customFormat="1" x14ac:dyDescent="0.25">
      <c r="A90" s="495">
        <v>43661</v>
      </c>
      <c r="B90" s="495" t="s">
        <v>43</v>
      </c>
      <c r="C90" s="495" t="s">
        <v>78</v>
      </c>
      <c r="D90" s="496">
        <v>38.049349999999997</v>
      </c>
      <c r="E90" s="496">
        <v>-121.95854</v>
      </c>
      <c r="F90" s="494" t="s">
        <v>3446</v>
      </c>
      <c r="G90" s="494" t="s">
        <v>27</v>
      </c>
      <c r="H90" s="494" t="s">
        <v>170</v>
      </c>
      <c r="I90" s="615">
        <v>0.37083333333333335</v>
      </c>
      <c r="J90" s="498">
        <v>4518</v>
      </c>
      <c r="K90" s="498">
        <v>21.6</v>
      </c>
      <c r="L90" s="498">
        <v>27.700000000000003</v>
      </c>
      <c r="M90" s="498">
        <v>0.39500000000000002</v>
      </c>
      <c r="N90" s="499">
        <v>3</v>
      </c>
      <c r="O90" s="494" t="s">
        <v>48</v>
      </c>
      <c r="P90" s="494">
        <v>2</v>
      </c>
      <c r="Q90" s="494">
        <v>10</v>
      </c>
      <c r="R90" s="494" t="s">
        <v>49</v>
      </c>
      <c r="S90" s="559" t="s">
        <v>323</v>
      </c>
      <c r="T90" s="560">
        <v>1</v>
      </c>
      <c r="U90" s="561">
        <v>56</v>
      </c>
      <c r="V90" s="560" t="s">
        <v>66</v>
      </c>
      <c r="W90" s="560" t="s">
        <v>50</v>
      </c>
      <c r="X90" s="561" t="s">
        <v>50</v>
      </c>
      <c r="Y90" s="455" t="s">
        <v>3447</v>
      </c>
    </row>
    <row r="91" spans="1:25" s="27" customFormat="1" x14ac:dyDescent="0.25">
      <c r="A91" s="26">
        <v>43661</v>
      </c>
      <c r="B91" s="26" t="s">
        <v>43</v>
      </c>
      <c r="C91" s="26" t="s">
        <v>78</v>
      </c>
      <c r="D91" s="89">
        <v>38.031309999999998</v>
      </c>
      <c r="E91" s="89">
        <v>-121.85389000000001</v>
      </c>
      <c r="F91" s="27" t="s">
        <v>3448</v>
      </c>
      <c r="G91" s="27" t="s">
        <v>27</v>
      </c>
      <c r="H91" s="27" t="s">
        <v>101</v>
      </c>
      <c r="I91" s="602">
        <v>0.42083333333333334</v>
      </c>
      <c r="J91" s="31">
        <v>478.875</v>
      </c>
      <c r="K91" s="31">
        <v>22.7</v>
      </c>
      <c r="L91" s="31">
        <v>21.450000000000003</v>
      </c>
      <c r="M91" s="31">
        <v>0.68</v>
      </c>
      <c r="N91" s="31">
        <v>10.4</v>
      </c>
      <c r="O91" s="32" t="s">
        <v>48</v>
      </c>
      <c r="P91" s="32">
        <v>4</v>
      </c>
      <c r="Q91" s="281">
        <v>10</v>
      </c>
      <c r="R91" s="34" t="s">
        <v>49</v>
      </c>
      <c r="S91" s="26" t="s">
        <v>50</v>
      </c>
      <c r="T91" s="26" t="s">
        <v>50</v>
      </c>
      <c r="U91" s="26" t="s">
        <v>50</v>
      </c>
      <c r="V91" s="26" t="s">
        <v>50</v>
      </c>
      <c r="W91" s="26" t="s">
        <v>50</v>
      </c>
      <c r="X91" s="26" t="s">
        <v>50</v>
      </c>
      <c r="Y91" s="35"/>
    </row>
    <row r="92" spans="1:25" s="494" customFormat="1" x14ac:dyDescent="0.25">
      <c r="A92" s="495">
        <v>43661</v>
      </c>
      <c r="B92" s="495" t="s">
        <v>43</v>
      </c>
      <c r="C92" s="495" t="s">
        <v>78</v>
      </c>
      <c r="D92" s="496">
        <v>38.093890000000002</v>
      </c>
      <c r="E92" s="496">
        <v>-122.05507</v>
      </c>
      <c r="F92" s="494" t="s">
        <v>3449</v>
      </c>
      <c r="G92" s="494" t="s">
        <v>27</v>
      </c>
      <c r="H92" s="494" t="s">
        <v>86</v>
      </c>
      <c r="I92" s="615">
        <v>0.50972222222222219</v>
      </c>
      <c r="J92" s="498">
        <v>4872.5</v>
      </c>
      <c r="K92" s="498">
        <v>21.95</v>
      </c>
      <c r="L92" s="498">
        <v>46.150000000000006</v>
      </c>
      <c r="M92" s="498">
        <v>0.35499999999999998</v>
      </c>
      <c r="N92" s="499">
        <v>3.9</v>
      </c>
      <c r="O92" s="494" t="s">
        <v>48</v>
      </c>
      <c r="P92" s="494">
        <v>2</v>
      </c>
      <c r="Q92" s="494">
        <v>10</v>
      </c>
      <c r="R92" s="494" t="s">
        <v>64</v>
      </c>
      <c r="S92" s="559" t="s">
        <v>323</v>
      </c>
      <c r="T92" s="560">
        <v>1</v>
      </c>
      <c r="U92" s="561">
        <v>37</v>
      </c>
      <c r="V92" s="560" t="s">
        <v>50</v>
      </c>
      <c r="W92" s="560" t="s">
        <v>50</v>
      </c>
      <c r="X92" s="561" t="s">
        <v>50</v>
      </c>
      <c r="Y92" s="455" t="s">
        <v>868</v>
      </c>
    </row>
    <row r="93" spans="1:25" s="149" customFormat="1" x14ac:dyDescent="0.25">
      <c r="A93" s="178">
        <v>43661</v>
      </c>
      <c r="B93" s="178" t="s">
        <v>43</v>
      </c>
      <c r="C93" s="178" t="s">
        <v>78</v>
      </c>
      <c r="D93" s="150">
        <v>38.074680000000001</v>
      </c>
      <c r="E93" s="150">
        <v>-122.10307</v>
      </c>
      <c r="F93" s="149" t="s">
        <v>3450</v>
      </c>
      <c r="G93" s="149" t="s">
        <v>80</v>
      </c>
      <c r="H93" s="149" t="s">
        <v>81</v>
      </c>
      <c r="I93" s="614">
        <v>0.50069444444444444</v>
      </c>
      <c r="J93" s="163" t="s">
        <v>50</v>
      </c>
      <c r="K93" s="163" t="s">
        <v>50</v>
      </c>
      <c r="L93" s="163" t="s">
        <v>50</v>
      </c>
      <c r="M93" s="163" t="s">
        <v>50</v>
      </c>
      <c r="N93" s="163" t="s">
        <v>50</v>
      </c>
      <c r="O93" s="161" t="s">
        <v>48</v>
      </c>
      <c r="P93" s="161">
        <v>0</v>
      </c>
      <c r="Q93" s="279" t="s">
        <v>50</v>
      </c>
      <c r="R93" s="157" t="s">
        <v>50</v>
      </c>
      <c r="S93" s="158" t="s">
        <v>50</v>
      </c>
      <c r="T93" s="158" t="s">
        <v>50</v>
      </c>
      <c r="U93" s="157" t="s">
        <v>50</v>
      </c>
      <c r="V93" s="158" t="s">
        <v>50</v>
      </c>
      <c r="W93" s="158" t="s">
        <v>50</v>
      </c>
      <c r="X93" s="157" t="s">
        <v>50</v>
      </c>
      <c r="Y93" s="152" t="s">
        <v>734</v>
      </c>
    </row>
    <row r="94" spans="1:25" s="27" customFormat="1" x14ac:dyDescent="0.25">
      <c r="A94" s="26">
        <v>43661</v>
      </c>
      <c r="B94" s="26" t="s">
        <v>43</v>
      </c>
      <c r="C94" s="27" t="s">
        <v>106</v>
      </c>
      <c r="D94" s="89">
        <v>38.561509999999998</v>
      </c>
      <c r="E94" s="89">
        <v>-121.55279</v>
      </c>
      <c r="F94" s="27" t="s">
        <v>3451</v>
      </c>
      <c r="G94" s="27" t="s">
        <v>90</v>
      </c>
      <c r="H94" s="27" t="s">
        <v>1787</v>
      </c>
      <c r="I94" s="602">
        <v>0.35625000000000001</v>
      </c>
      <c r="J94" s="82">
        <v>941</v>
      </c>
      <c r="K94" s="82">
        <v>25.975000000000001</v>
      </c>
      <c r="L94" s="82">
        <v>3.29</v>
      </c>
      <c r="M94" s="82">
        <v>1.78</v>
      </c>
      <c r="N94" s="4">
        <v>10.8</v>
      </c>
      <c r="O94" s="27" t="s">
        <v>48</v>
      </c>
      <c r="P94" s="27">
        <v>4</v>
      </c>
      <c r="Q94" s="27">
        <v>10</v>
      </c>
      <c r="R94" s="27" t="s">
        <v>49</v>
      </c>
      <c r="S94" s="40" t="s">
        <v>50</v>
      </c>
      <c r="T94" s="40" t="s">
        <v>50</v>
      </c>
      <c r="U94" s="235" t="s">
        <v>50</v>
      </c>
      <c r="V94" s="40" t="s">
        <v>50</v>
      </c>
      <c r="W94" s="40" t="s">
        <v>50</v>
      </c>
      <c r="X94" s="235" t="s">
        <v>50</v>
      </c>
      <c r="Y94" s="35"/>
    </row>
    <row r="95" spans="1:25" s="494" customFormat="1" x14ac:dyDescent="0.25">
      <c r="A95" s="495">
        <v>43661</v>
      </c>
      <c r="B95" s="495" t="s">
        <v>43</v>
      </c>
      <c r="C95" s="494" t="s">
        <v>106</v>
      </c>
      <c r="D95" s="496">
        <v>38.465589999999999</v>
      </c>
      <c r="E95" s="496">
        <v>-121.58684</v>
      </c>
      <c r="F95" s="494" t="s">
        <v>3452</v>
      </c>
      <c r="G95" s="494" t="s">
        <v>90</v>
      </c>
      <c r="H95" s="494" t="s">
        <v>362</v>
      </c>
      <c r="I95" s="615">
        <v>0.42222222222222222</v>
      </c>
      <c r="J95" s="498">
        <v>839.75</v>
      </c>
      <c r="K95" s="498">
        <v>24.024999999999999</v>
      </c>
      <c r="L95" s="498">
        <v>15.824999999999999</v>
      </c>
      <c r="M95" s="498">
        <v>0.495</v>
      </c>
      <c r="N95" s="499">
        <v>9.4975000000000005</v>
      </c>
      <c r="O95" s="494" t="s">
        <v>48</v>
      </c>
      <c r="P95" s="494">
        <v>4</v>
      </c>
      <c r="Q95" s="494">
        <v>10</v>
      </c>
      <c r="R95" s="494" t="s">
        <v>49</v>
      </c>
      <c r="S95" s="559" t="s">
        <v>323</v>
      </c>
      <c r="T95" s="560">
        <v>1</v>
      </c>
      <c r="U95" s="561">
        <v>42</v>
      </c>
      <c r="V95" s="560" t="s">
        <v>50</v>
      </c>
      <c r="W95" s="560" t="s">
        <v>50</v>
      </c>
      <c r="X95" s="561" t="s">
        <v>50</v>
      </c>
      <c r="Y95" s="455" t="s">
        <v>3453</v>
      </c>
    </row>
    <row r="96" spans="1:25" s="27" customFormat="1" x14ac:dyDescent="0.25">
      <c r="A96" s="26">
        <v>43661</v>
      </c>
      <c r="B96" s="26" t="s">
        <v>43</v>
      </c>
      <c r="C96" s="27" t="s">
        <v>106</v>
      </c>
      <c r="D96" s="89">
        <v>38.182409999999997</v>
      </c>
      <c r="E96" s="89">
        <v>-121.6635</v>
      </c>
      <c r="F96" s="27" t="s">
        <v>3454</v>
      </c>
      <c r="G96" s="27" t="s">
        <v>90</v>
      </c>
      <c r="H96" s="27" t="s">
        <v>362</v>
      </c>
      <c r="I96" s="602">
        <v>0.51250000000000007</v>
      </c>
      <c r="J96" s="82">
        <v>135.82499999999999</v>
      </c>
      <c r="K96" s="82">
        <v>22.6</v>
      </c>
      <c r="L96" s="82">
        <v>7.4275000000000002</v>
      </c>
      <c r="M96" s="82">
        <v>1.1600000000000001</v>
      </c>
      <c r="N96" s="4">
        <v>11.7</v>
      </c>
      <c r="O96" s="27" t="s">
        <v>48</v>
      </c>
      <c r="P96" s="27">
        <v>4</v>
      </c>
      <c r="Q96" s="27">
        <v>10</v>
      </c>
      <c r="R96" s="27" t="s">
        <v>49</v>
      </c>
      <c r="S96" s="40" t="s">
        <v>50</v>
      </c>
      <c r="T96" s="40" t="s">
        <v>50</v>
      </c>
      <c r="U96" s="235" t="s">
        <v>50</v>
      </c>
      <c r="V96" s="40" t="s">
        <v>50</v>
      </c>
      <c r="W96" s="40" t="s">
        <v>50</v>
      </c>
      <c r="X96" s="235" t="s">
        <v>50</v>
      </c>
      <c r="Y96" s="35"/>
    </row>
    <row r="97" spans="1:25" s="494" customFormat="1" x14ac:dyDescent="0.25">
      <c r="A97" s="495">
        <v>43662</v>
      </c>
      <c r="B97" s="494" t="s">
        <v>70</v>
      </c>
      <c r="C97" s="494" t="s">
        <v>78</v>
      </c>
      <c r="D97" s="496">
        <v>38.062579999999997</v>
      </c>
      <c r="E97" s="496">
        <v>-122.11157</v>
      </c>
      <c r="F97" s="494" t="s">
        <v>3455</v>
      </c>
      <c r="G97" s="494" t="s">
        <v>80</v>
      </c>
      <c r="H97" s="494" t="s">
        <v>81</v>
      </c>
      <c r="I97" s="615">
        <v>0.38472222222222219</v>
      </c>
      <c r="J97" s="498">
        <v>10675.5</v>
      </c>
      <c r="K97" s="498">
        <v>21.2</v>
      </c>
      <c r="L97" s="498">
        <v>138</v>
      </c>
      <c r="M97" s="498">
        <v>0.23499999999999999</v>
      </c>
      <c r="N97" s="499">
        <v>6.25</v>
      </c>
      <c r="O97" s="494" t="s">
        <v>48</v>
      </c>
      <c r="P97" s="494">
        <v>2</v>
      </c>
      <c r="Q97" s="494">
        <v>10</v>
      </c>
      <c r="R97" s="494" t="s">
        <v>49</v>
      </c>
      <c r="S97" s="559" t="s">
        <v>323</v>
      </c>
      <c r="T97" s="560">
        <v>1</v>
      </c>
      <c r="U97" s="561">
        <v>45</v>
      </c>
      <c r="V97" s="560" t="s">
        <v>50</v>
      </c>
      <c r="W97" s="560" t="s">
        <v>50</v>
      </c>
      <c r="X97" s="561" t="s">
        <v>50</v>
      </c>
      <c r="Y97" s="455" t="s">
        <v>868</v>
      </c>
    </row>
    <row r="98" spans="1:25" s="27" customFormat="1" x14ac:dyDescent="0.25">
      <c r="A98" s="26">
        <v>43662</v>
      </c>
      <c r="B98" s="27" t="s">
        <v>70</v>
      </c>
      <c r="C98" s="27" t="s">
        <v>78</v>
      </c>
      <c r="D98" s="89">
        <v>38.060090000000002</v>
      </c>
      <c r="E98" s="89">
        <v>-121.96915</v>
      </c>
      <c r="F98" s="27" t="s">
        <v>3446</v>
      </c>
      <c r="G98" s="27" t="s">
        <v>27</v>
      </c>
      <c r="H98" s="27" t="s">
        <v>170</v>
      </c>
      <c r="I98" s="602">
        <v>0.4375</v>
      </c>
      <c r="J98" s="82">
        <v>2367</v>
      </c>
      <c r="K98" s="82">
        <v>22.125</v>
      </c>
      <c r="L98" s="82">
        <v>101.97499999999999</v>
      </c>
      <c r="M98" s="82">
        <v>0.3</v>
      </c>
      <c r="N98" s="4">
        <v>7.0250000000000004</v>
      </c>
      <c r="O98" s="27" t="s">
        <v>48</v>
      </c>
      <c r="P98" s="27">
        <v>4</v>
      </c>
      <c r="Q98" s="27">
        <v>10</v>
      </c>
      <c r="R98" s="27" t="s">
        <v>49</v>
      </c>
      <c r="S98" s="40" t="s">
        <v>50</v>
      </c>
      <c r="T98" s="40" t="s">
        <v>50</v>
      </c>
      <c r="U98" s="235" t="s">
        <v>50</v>
      </c>
      <c r="V98" s="40" t="s">
        <v>50</v>
      </c>
      <c r="W98" s="40" t="s">
        <v>50</v>
      </c>
      <c r="X98" s="235" t="s">
        <v>50</v>
      </c>
      <c r="Y98" s="35"/>
    </row>
    <row r="99" spans="1:25" s="27" customFormat="1" x14ac:dyDescent="0.25">
      <c r="A99" s="26">
        <v>43662</v>
      </c>
      <c r="B99" s="27" t="s">
        <v>70</v>
      </c>
      <c r="C99" s="27" t="s">
        <v>78</v>
      </c>
      <c r="D99" s="89">
        <v>38.030949999999997</v>
      </c>
      <c r="E99" s="89">
        <v>-121.85713</v>
      </c>
      <c r="F99" s="27" t="s">
        <v>3456</v>
      </c>
      <c r="G99" s="27" t="s">
        <v>27</v>
      </c>
      <c r="H99" s="27" t="s">
        <v>101</v>
      </c>
      <c r="I99" s="602">
        <v>0.51111111111111118</v>
      </c>
      <c r="J99" s="82">
        <v>432.17500000000001</v>
      </c>
      <c r="K99" s="82">
        <v>23.024999999999999</v>
      </c>
      <c r="L99" s="82">
        <v>20.824999999999999</v>
      </c>
      <c r="M99" s="82">
        <v>0.66500000000000004</v>
      </c>
      <c r="N99" s="4">
        <v>10.525</v>
      </c>
      <c r="O99" s="27" t="s">
        <v>48</v>
      </c>
      <c r="P99" s="27">
        <v>4</v>
      </c>
      <c r="Q99" s="27">
        <v>10</v>
      </c>
      <c r="R99" s="27" t="s">
        <v>49</v>
      </c>
      <c r="S99" s="40" t="s">
        <v>50</v>
      </c>
      <c r="T99" s="40" t="s">
        <v>50</v>
      </c>
      <c r="U99" s="235" t="s">
        <v>50</v>
      </c>
      <c r="V99" s="40" t="s">
        <v>50</v>
      </c>
      <c r="W99" s="40" t="s">
        <v>50</v>
      </c>
      <c r="X99" s="235" t="s">
        <v>50</v>
      </c>
      <c r="Y99" s="35" t="s">
        <v>3457</v>
      </c>
    </row>
    <row r="100" spans="1:25" s="27" customFormat="1" x14ac:dyDescent="0.25">
      <c r="A100" s="26">
        <v>43662</v>
      </c>
      <c r="B100" s="27" t="s">
        <v>70</v>
      </c>
      <c r="C100" s="27" t="s">
        <v>88</v>
      </c>
      <c r="D100" s="89">
        <v>38.135469999999998</v>
      </c>
      <c r="E100" s="89">
        <v>-121.68916</v>
      </c>
      <c r="F100" s="27" t="s">
        <v>3458</v>
      </c>
      <c r="G100" s="27" t="s">
        <v>90</v>
      </c>
      <c r="H100" s="27" t="s">
        <v>91</v>
      </c>
      <c r="I100" s="602">
        <v>0.33958333333333335</v>
      </c>
      <c r="J100" s="82">
        <v>127.12</v>
      </c>
      <c r="K100" s="4">
        <v>22.640000000000004</v>
      </c>
      <c r="L100" s="82">
        <v>11.78</v>
      </c>
      <c r="M100" s="82">
        <v>1.014</v>
      </c>
      <c r="N100" s="4">
        <v>3.76</v>
      </c>
      <c r="O100" s="27" t="s">
        <v>48</v>
      </c>
      <c r="P100" s="27">
        <v>5</v>
      </c>
      <c r="Q100" s="27">
        <v>10</v>
      </c>
      <c r="R100" s="27" t="s">
        <v>49</v>
      </c>
      <c r="S100" s="40" t="s">
        <v>50</v>
      </c>
      <c r="T100" s="40" t="s">
        <v>50</v>
      </c>
      <c r="U100" s="235" t="s">
        <v>50</v>
      </c>
      <c r="V100" s="40" t="s">
        <v>50</v>
      </c>
      <c r="W100" s="40" t="s">
        <v>50</v>
      </c>
      <c r="X100" s="235" t="s">
        <v>50</v>
      </c>
      <c r="Y100" s="35" t="s">
        <v>3459</v>
      </c>
    </row>
    <row r="101" spans="1:25" s="27" customFormat="1" x14ac:dyDescent="0.25">
      <c r="A101" s="26">
        <v>43662</v>
      </c>
      <c r="B101" s="27" t="s">
        <v>70</v>
      </c>
      <c r="C101" s="27" t="s">
        <v>88</v>
      </c>
      <c r="D101" s="89">
        <v>38.111040000000003</v>
      </c>
      <c r="E101" s="89">
        <v>-121.7015</v>
      </c>
      <c r="F101" s="27" t="s">
        <v>3460</v>
      </c>
      <c r="G101" s="27" t="s">
        <v>90</v>
      </c>
      <c r="H101" s="27" t="s">
        <v>91</v>
      </c>
      <c r="I101" s="602">
        <v>0.4145833333333333</v>
      </c>
      <c r="J101" s="82">
        <v>128.05000000000001</v>
      </c>
      <c r="K101" s="82">
        <v>22.725000000000001</v>
      </c>
      <c r="L101" s="82">
        <v>42.5</v>
      </c>
      <c r="M101" s="82">
        <v>1.0049999999999999</v>
      </c>
      <c r="N101" s="4">
        <v>5.4</v>
      </c>
      <c r="O101" s="27" t="s">
        <v>48</v>
      </c>
      <c r="P101" s="27">
        <v>4</v>
      </c>
      <c r="Q101" s="27">
        <v>10</v>
      </c>
      <c r="R101" s="27" t="s">
        <v>49</v>
      </c>
      <c r="S101" s="40" t="s">
        <v>50</v>
      </c>
      <c r="T101" s="40" t="s">
        <v>50</v>
      </c>
      <c r="U101" s="235" t="s">
        <v>50</v>
      </c>
      <c r="V101" s="40" t="s">
        <v>50</v>
      </c>
      <c r="W101" s="40" t="s">
        <v>50</v>
      </c>
      <c r="X101" s="235" t="s">
        <v>50</v>
      </c>
      <c r="Y101" s="35"/>
    </row>
    <row r="102" spans="1:25" s="27" customFormat="1" x14ac:dyDescent="0.25">
      <c r="A102" s="26">
        <v>43662</v>
      </c>
      <c r="B102" s="27" t="s">
        <v>70</v>
      </c>
      <c r="C102" s="27" t="s">
        <v>88</v>
      </c>
      <c r="D102" s="89">
        <v>38.075279999999999</v>
      </c>
      <c r="E102" s="89">
        <v>-121.76336000000001</v>
      </c>
      <c r="F102" s="27" t="s">
        <v>3461</v>
      </c>
      <c r="G102" s="27" t="s">
        <v>27</v>
      </c>
      <c r="H102" s="27" t="s">
        <v>25</v>
      </c>
      <c r="I102" s="602">
        <v>0.4694444444444445</v>
      </c>
      <c r="J102" s="82">
        <v>130.375</v>
      </c>
      <c r="K102" s="82">
        <v>22.574999999999999</v>
      </c>
      <c r="L102" s="82">
        <v>18.574999999999999</v>
      </c>
      <c r="M102" s="82">
        <v>0.92749999999999999</v>
      </c>
      <c r="N102" s="4">
        <v>8.2249999999999996</v>
      </c>
      <c r="O102" s="27" t="s">
        <v>48</v>
      </c>
      <c r="P102" s="27">
        <v>4</v>
      </c>
      <c r="Q102" s="27">
        <v>10</v>
      </c>
      <c r="R102" s="27" t="s">
        <v>49</v>
      </c>
      <c r="S102" s="40" t="s">
        <v>50</v>
      </c>
      <c r="T102" s="40" t="s">
        <v>50</v>
      </c>
      <c r="U102" s="235" t="s">
        <v>50</v>
      </c>
      <c r="V102" s="40" t="s">
        <v>50</v>
      </c>
      <c r="W102" s="40" t="s">
        <v>50</v>
      </c>
      <c r="X102" s="235" t="s">
        <v>50</v>
      </c>
      <c r="Y102" s="35"/>
    </row>
    <row r="103" spans="1:25" s="27" customFormat="1" x14ac:dyDescent="0.25">
      <c r="A103" s="26">
        <v>43662</v>
      </c>
      <c r="B103" s="27" t="s">
        <v>70</v>
      </c>
      <c r="C103" s="27" t="s">
        <v>106</v>
      </c>
      <c r="D103" s="89">
        <v>38.203510000000001</v>
      </c>
      <c r="E103" s="89">
        <v>-121.65604999999999</v>
      </c>
      <c r="F103" s="27" t="s">
        <v>3462</v>
      </c>
      <c r="G103" s="27" t="s">
        <v>90</v>
      </c>
      <c r="H103" s="27" t="s">
        <v>362</v>
      </c>
      <c r="I103" s="602">
        <v>0.31666666666666665</v>
      </c>
      <c r="J103" s="82">
        <v>119.35</v>
      </c>
      <c r="K103" s="82">
        <v>22.574999999999999</v>
      </c>
      <c r="L103" s="82">
        <v>9.8825000000000003</v>
      </c>
      <c r="M103" s="82">
        <v>1.3025</v>
      </c>
      <c r="N103" s="4">
        <v>12.925000000000001</v>
      </c>
      <c r="O103" s="27" t="s">
        <v>48</v>
      </c>
      <c r="P103" s="27">
        <v>4</v>
      </c>
      <c r="Q103" s="27">
        <v>10</v>
      </c>
      <c r="R103" s="27" t="s">
        <v>49</v>
      </c>
      <c r="S103" s="40" t="s">
        <v>50</v>
      </c>
      <c r="T103" s="40" t="s">
        <v>50</v>
      </c>
      <c r="U103" s="235" t="s">
        <v>50</v>
      </c>
      <c r="V103" s="40" t="s">
        <v>50</v>
      </c>
      <c r="W103" s="40" t="s">
        <v>50</v>
      </c>
      <c r="X103" s="235" t="s">
        <v>50</v>
      </c>
      <c r="Y103" s="5" t="s">
        <v>3463</v>
      </c>
    </row>
    <row r="104" spans="1:25" s="27" customFormat="1" x14ac:dyDescent="0.25">
      <c r="A104" s="26">
        <v>43663</v>
      </c>
      <c r="B104" s="27" t="s">
        <v>87</v>
      </c>
      <c r="C104" s="27" t="s">
        <v>126</v>
      </c>
      <c r="D104" s="89">
        <v>38.25882</v>
      </c>
      <c r="E104" s="89">
        <v>-121.74414</v>
      </c>
      <c r="F104" s="27" t="s">
        <v>3464</v>
      </c>
      <c r="G104" s="27" t="s">
        <v>90</v>
      </c>
      <c r="H104" s="27" t="s">
        <v>845</v>
      </c>
      <c r="I104" s="602">
        <v>0.3263888888888889</v>
      </c>
      <c r="J104" s="82">
        <v>170.875</v>
      </c>
      <c r="K104" s="82">
        <v>22.575000000000003</v>
      </c>
      <c r="L104" s="82">
        <v>5.7524999999999995</v>
      </c>
      <c r="M104" s="82">
        <v>1.52</v>
      </c>
      <c r="N104" s="4">
        <v>4.8499999999999996</v>
      </c>
      <c r="O104" s="27" t="s">
        <v>48</v>
      </c>
      <c r="P104" s="27">
        <v>4</v>
      </c>
      <c r="Q104" s="27">
        <v>10</v>
      </c>
      <c r="R104" s="27" t="s">
        <v>49</v>
      </c>
      <c r="S104" s="40" t="s">
        <v>50</v>
      </c>
      <c r="T104" s="40" t="s">
        <v>50</v>
      </c>
      <c r="U104" s="235" t="s">
        <v>50</v>
      </c>
      <c r="V104" s="40" t="s">
        <v>50</v>
      </c>
      <c r="W104" s="40" t="s">
        <v>50</v>
      </c>
      <c r="X104" s="235" t="s">
        <v>50</v>
      </c>
      <c r="Y104" s="35" t="s">
        <v>3465</v>
      </c>
    </row>
    <row r="105" spans="1:25" s="27" customFormat="1" x14ac:dyDescent="0.25">
      <c r="A105" s="26">
        <v>43663</v>
      </c>
      <c r="B105" s="27" t="s">
        <v>87</v>
      </c>
      <c r="C105" s="27" t="s">
        <v>126</v>
      </c>
      <c r="D105" s="89">
        <v>38.253189999999996</v>
      </c>
      <c r="E105" s="89">
        <v>-121.72534</v>
      </c>
      <c r="F105" s="27" t="s">
        <v>3466</v>
      </c>
      <c r="G105" s="27" t="s">
        <v>90</v>
      </c>
      <c r="H105" s="27" t="s">
        <v>845</v>
      </c>
      <c r="I105" s="602">
        <v>0.37986111111111115</v>
      </c>
      <c r="J105" s="82">
        <v>162.82499999999999</v>
      </c>
      <c r="K105" s="82">
        <v>22.75</v>
      </c>
      <c r="L105" s="82">
        <v>5.9574999999999996</v>
      </c>
      <c r="M105" s="82">
        <v>1.7224999999999999</v>
      </c>
      <c r="N105" s="4">
        <v>4.9000000000000004</v>
      </c>
      <c r="O105" s="27" t="s">
        <v>48</v>
      </c>
      <c r="P105" s="27">
        <v>4</v>
      </c>
      <c r="Q105" s="27">
        <v>10</v>
      </c>
      <c r="R105" s="27" t="s">
        <v>49</v>
      </c>
      <c r="S105" s="40" t="s">
        <v>50</v>
      </c>
      <c r="T105" s="40" t="s">
        <v>50</v>
      </c>
      <c r="U105" s="235" t="s">
        <v>50</v>
      </c>
      <c r="V105" s="40" t="s">
        <v>50</v>
      </c>
      <c r="W105" s="40" t="s">
        <v>50</v>
      </c>
      <c r="X105" s="235" t="s">
        <v>50</v>
      </c>
      <c r="Y105" s="35" t="s">
        <v>3467</v>
      </c>
    </row>
    <row r="106" spans="1:25" s="27" customFormat="1" x14ac:dyDescent="0.25">
      <c r="A106" s="26">
        <v>43663</v>
      </c>
      <c r="B106" s="27" t="s">
        <v>87</v>
      </c>
      <c r="C106" s="27" t="s">
        <v>126</v>
      </c>
      <c r="D106" s="89">
        <v>38.25564</v>
      </c>
      <c r="E106" s="89">
        <v>-121.67131000000001</v>
      </c>
      <c r="F106" s="27" t="s">
        <v>3468</v>
      </c>
      <c r="G106" s="27" t="s">
        <v>90</v>
      </c>
      <c r="H106" s="27" t="s">
        <v>845</v>
      </c>
      <c r="I106" s="602">
        <v>0.41666666666666669</v>
      </c>
      <c r="J106" s="82">
        <v>160.82499999999999</v>
      </c>
      <c r="K106" s="82">
        <v>22.475000000000001</v>
      </c>
      <c r="L106" s="82">
        <v>12.45</v>
      </c>
      <c r="M106" s="82">
        <v>0.89999999999999991</v>
      </c>
      <c r="N106" s="4">
        <v>8.6000000000000014</v>
      </c>
      <c r="O106" s="27" t="s">
        <v>48</v>
      </c>
      <c r="P106" s="27">
        <v>4</v>
      </c>
      <c r="Q106" s="27">
        <v>10</v>
      </c>
      <c r="R106" s="27" t="s">
        <v>49</v>
      </c>
      <c r="S106" s="40" t="s">
        <v>50</v>
      </c>
      <c r="T106" s="40" t="s">
        <v>50</v>
      </c>
      <c r="U106" s="235" t="s">
        <v>50</v>
      </c>
      <c r="V106" s="40" t="s">
        <v>50</v>
      </c>
      <c r="W106" s="40" t="s">
        <v>50</v>
      </c>
      <c r="X106" s="235" t="s">
        <v>50</v>
      </c>
      <c r="Y106" s="35"/>
    </row>
    <row r="107" spans="1:25" s="149" customFormat="1" x14ac:dyDescent="0.25">
      <c r="A107" s="178">
        <v>43663</v>
      </c>
      <c r="B107" s="149" t="s">
        <v>87</v>
      </c>
      <c r="C107" s="149" t="s">
        <v>126</v>
      </c>
      <c r="D107" s="150">
        <v>38.28875</v>
      </c>
      <c r="E107" s="150">
        <v>-121.72280000000001</v>
      </c>
      <c r="F107" s="149" t="s">
        <v>3469</v>
      </c>
      <c r="G107" s="149" t="s">
        <v>90</v>
      </c>
      <c r="H107" s="149" t="s">
        <v>845</v>
      </c>
      <c r="I107" s="614">
        <v>0.44375000000000003</v>
      </c>
      <c r="J107" s="197" t="s">
        <v>50</v>
      </c>
      <c r="K107" s="197" t="s">
        <v>50</v>
      </c>
      <c r="L107" s="197" t="s">
        <v>50</v>
      </c>
      <c r="M107" s="197" t="s">
        <v>50</v>
      </c>
      <c r="N107" s="197" t="s">
        <v>50</v>
      </c>
      <c r="O107" s="149" t="s">
        <v>48</v>
      </c>
      <c r="P107" s="149">
        <v>0</v>
      </c>
      <c r="Q107" s="149" t="s">
        <v>50</v>
      </c>
      <c r="R107" s="149" t="s">
        <v>50</v>
      </c>
      <c r="S107" s="149" t="s">
        <v>50</v>
      </c>
      <c r="T107" s="149" t="s">
        <v>50</v>
      </c>
      <c r="U107" s="149" t="s">
        <v>50</v>
      </c>
      <c r="V107" s="149" t="s">
        <v>50</v>
      </c>
      <c r="W107" s="149" t="s">
        <v>50</v>
      </c>
      <c r="X107" s="149" t="s">
        <v>50</v>
      </c>
      <c r="Y107" s="152" t="s">
        <v>734</v>
      </c>
    </row>
    <row r="108" spans="1:25" s="27" customFormat="1" x14ac:dyDescent="0.25">
      <c r="A108" s="26">
        <v>43663</v>
      </c>
      <c r="B108" s="27" t="s">
        <v>87</v>
      </c>
      <c r="C108" s="27" t="s">
        <v>88</v>
      </c>
      <c r="D108" s="89">
        <v>38.118139999999997</v>
      </c>
      <c r="E108" s="89">
        <v>-121.70587</v>
      </c>
      <c r="F108" s="27" t="s">
        <v>3470</v>
      </c>
      <c r="G108" s="27" t="s">
        <v>90</v>
      </c>
      <c r="H108" s="27" t="s">
        <v>91</v>
      </c>
      <c r="I108" s="602">
        <v>0.32777777777777778</v>
      </c>
      <c r="J108" s="82">
        <v>125.07499999999999</v>
      </c>
      <c r="K108" s="82">
        <v>22.650000000000002</v>
      </c>
      <c r="L108" s="82">
        <v>26.324999999999999</v>
      </c>
      <c r="M108" s="82">
        <v>0.63</v>
      </c>
      <c r="N108" s="4">
        <v>5.65</v>
      </c>
      <c r="O108" s="27" t="s">
        <v>48</v>
      </c>
      <c r="P108" s="27">
        <v>4</v>
      </c>
      <c r="Q108" s="27">
        <v>10</v>
      </c>
      <c r="R108" s="27" t="s">
        <v>49</v>
      </c>
      <c r="S108" s="27" t="s">
        <v>50</v>
      </c>
      <c r="T108" s="27" t="s">
        <v>50</v>
      </c>
      <c r="U108" s="27" t="s">
        <v>50</v>
      </c>
      <c r="V108" s="27" t="s">
        <v>50</v>
      </c>
      <c r="W108" s="27" t="s">
        <v>50</v>
      </c>
      <c r="X108" s="27" t="s">
        <v>50</v>
      </c>
      <c r="Y108" s="35"/>
    </row>
    <row r="109" spans="1:25" s="27" customFormat="1" x14ac:dyDescent="0.25">
      <c r="A109" s="26">
        <v>43663</v>
      </c>
      <c r="B109" s="27" t="s">
        <v>87</v>
      </c>
      <c r="C109" s="27" t="s">
        <v>88</v>
      </c>
      <c r="D109" s="89">
        <v>38.096739999999997</v>
      </c>
      <c r="E109" s="89">
        <v>-121.72074000000001</v>
      </c>
      <c r="F109" s="27" t="s">
        <v>3471</v>
      </c>
      <c r="G109" s="27" t="s">
        <v>90</v>
      </c>
      <c r="H109" s="27" t="s">
        <v>91</v>
      </c>
      <c r="I109" s="602">
        <v>0.37638888888888888</v>
      </c>
      <c r="J109" s="82">
        <v>136.6</v>
      </c>
      <c r="K109" s="82">
        <v>22.524999999999999</v>
      </c>
      <c r="L109" s="82">
        <v>29.274999999999999</v>
      </c>
      <c r="M109" s="82">
        <v>0.79250000000000009</v>
      </c>
      <c r="N109" s="4">
        <v>4.8499999999999996</v>
      </c>
      <c r="O109" s="27" t="s">
        <v>48</v>
      </c>
      <c r="P109" s="27">
        <v>4</v>
      </c>
      <c r="Q109" s="27">
        <v>10</v>
      </c>
      <c r="R109" s="27" t="s">
        <v>49</v>
      </c>
      <c r="S109" s="27" t="s">
        <v>50</v>
      </c>
      <c r="T109" s="27" t="s">
        <v>50</v>
      </c>
      <c r="U109" s="27" t="s">
        <v>50</v>
      </c>
      <c r="V109" s="27" t="s">
        <v>50</v>
      </c>
      <c r="W109" s="27" t="s">
        <v>50</v>
      </c>
      <c r="X109" s="27" t="s">
        <v>50</v>
      </c>
      <c r="Y109" s="35"/>
    </row>
    <row r="110" spans="1:25" s="591" customFormat="1" x14ac:dyDescent="0.25">
      <c r="A110" s="590">
        <v>43663</v>
      </c>
      <c r="B110" s="591" t="s">
        <v>87</v>
      </c>
      <c r="C110" s="591" t="s">
        <v>88</v>
      </c>
      <c r="D110" s="592">
        <v>38.062820000000002</v>
      </c>
      <c r="E110" s="592">
        <v>-121.80734</v>
      </c>
      <c r="F110" s="591" t="s">
        <v>3472</v>
      </c>
      <c r="G110" s="591" t="s">
        <v>27</v>
      </c>
      <c r="H110" s="591" t="s">
        <v>25</v>
      </c>
      <c r="I110" s="619">
        <v>0.42708333333333331</v>
      </c>
      <c r="J110" s="593">
        <v>208.55</v>
      </c>
      <c r="K110" s="593">
        <v>22.3</v>
      </c>
      <c r="L110" s="593">
        <v>73.75</v>
      </c>
      <c r="M110" s="593">
        <v>0.33500000000000002</v>
      </c>
      <c r="N110" s="594">
        <v>3.9000000000000004</v>
      </c>
      <c r="O110" s="591" t="s">
        <v>48</v>
      </c>
      <c r="P110" s="591">
        <v>2</v>
      </c>
      <c r="Q110" s="591">
        <v>10</v>
      </c>
      <c r="R110" s="591" t="s">
        <v>49</v>
      </c>
      <c r="S110" s="591" t="s">
        <v>323</v>
      </c>
      <c r="T110" s="591">
        <v>2</v>
      </c>
      <c r="U110" s="591" t="s">
        <v>3473</v>
      </c>
      <c r="V110" s="591" t="s">
        <v>66</v>
      </c>
      <c r="W110" s="591" t="s">
        <v>50</v>
      </c>
      <c r="X110" s="591" t="s">
        <v>50</v>
      </c>
      <c r="Y110" s="595" t="s">
        <v>3474</v>
      </c>
    </row>
    <row r="111" spans="1:25" s="591" customFormat="1" x14ac:dyDescent="0.25">
      <c r="A111" s="590">
        <v>43663</v>
      </c>
      <c r="B111" s="591" t="s">
        <v>87</v>
      </c>
      <c r="C111" s="591" t="s">
        <v>88</v>
      </c>
      <c r="D111" s="592">
        <v>38.075620000000001</v>
      </c>
      <c r="E111" s="592">
        <v>-121.77027</v>
      </c>
      <c r="F111" s="591" t="s">
        <v>3475</v>
      </c>
      <c r="G111" s="591" t="s">
        <v>27</v>
      </c>
      <c r="H111" s="591" t="s">
        <v>25</v>
      </c>
      <c r="I111" s="619">
        <v>0.45833333333333331</v>
      </c>
      <c r="J111" s="596">
        <v>125.30000000000001</v>
      </c>
      <c r="K111" s="596">
        <v>22.799999999999997</v>
      </c>
      <c r="L111" s="596">
        <v>48.274999999999999</v>
      </c>
      <c r="M111" s="596">
        <v>0.62749999999999995</v>
      </c>
      <c r="N111" s="596">
        <v>8.7250000000000014</v>
      </c>
      <c r="O111" s="568" t="s">
        <v>48</v>
      </c>
      <c r="P111" s="568">
        <v>4</v>
      </c>
      <c r="Q111" s="568">
        <v>10</v>
      </c>
      <c r="R111" s="568" t="s">
        <v>49</v>
      </c>
      <c r="S111" s="570" t="s">
        <v>323</v>
      </c>
      <c r="T111" s="569">
        <v>1</v>
      </c>
      <c r="U111" s="568">
        <v>54</v>
      </c>
      <c r="V111" s="569" t="s">
        <v>66</v>
      </c>
      <c r="W111" s="569" t="s">
        <v>50</v>
      </c>
      <c r="X111" s="568" t="s">
        <v>50</v>
      </c>
      <c r="Y111" s="595"/>
    </row>
    <row r="112" spans="1:25" s="27" customFormat="1" x14ac:dyDescent="0.25">
      <c r="A112" s="26">
        <v>43663</v>
      </c>
      <c r="B112" s="27" t="s">
        <v>87</v>
      </c>
      <c r="C112" s="27" t="s">
        <v>62</v>
      </c>
      <c r="D112" s="89">
        <v>38.179250000000003</v>
      </c>
      <c r="E112" s="89">
        <v>-122.05477999999999</v>
      </c>
      <c r="F112" s="27" t="s">
        <v>3476</v>
      </c>
      <c r="G112" s="27" t="s">
        <v>27</v>
      </c>
      <c r="H112" s="27" t="s">
        <v>62</v>
      </c>
      <c r="I112" s="602">
        <v>0.35486111111111113</v>
      </c>
      <c r="J112" s="121">
        <v>3715.75</v>
      </c>
      <c r="K112" s="121">
        <v>22.1</v>
      </c>
      <c r="L112" s="121">
        <v>67.349999999999994</v>
      </c>
      <c r="M112" s="121">
        <v>0.20250000000000001</v>
      </c>
      <c r="N112" s="121">
        <v>2.9750000000000001</v>
      </c>
      <c r="O112" s="33" t="s">
        <v>48</v>
      </c>
      <c r="P112" s="33">
        <v>4</v>
      </c>
      <c r="Q112" s="589">
        <v>10</v>
      </c>
      <c r="R112" s="34" t="s">
        <v>49</v>
      </c>
      <c r="S112" s="49" t="s">
        <v>50</v>
      </c>
      <c r="T112" s="49" t="s">
        <v>50</v>
      </c>
      <c r="U112" s="34" t="s">
        <v>50</v>
      </c>
      <c r="V112" s="49" t="s">
        <v>50</v>
      </c>
      <c r="W112" s="49" t="s">
        <v>50</v>
      </c>
      <c r="X112" s="34" t="s">
        <v>50</v>
      </c>
      <c r="Y112" s="35" t="s">
        <v>3477</v>
      </c>
    </row>
    <row r="113" spans="1:25" s="27" customFormat="1" x14ac:dyDescent="0.25">
      <c r="A113" s="26">
        <v>43663</v>
      </c>
      <c r="B113" s="27" t="s">
        <v>87</v>
      </c>
      <c r="C113" s="27" t="s">
        <v>62</v>
      </c>
      <c r="D113" s="89">
        <v>38.159829999999999</v>
      </c>
      <c r="E113" s="89">
        <v>-122.04935999999999</v>
      </c>
      <c r="F113" s="27" t="s">
        <v>3478</v>
      </c>
      <c r="G113" s="27" t="s">
        <v>27</v>
      </c>
      <c r="H113" s="27" t="s">
        <v>62</v>
      </c>
      <c r="I113" s="602">
        <v>0.41319444444444442</v>
      </c>
      <c r="J113" s="31">
        <v>5655.25</v>
      </c>
      <c r="K113" s="31">
        <v>22.5</v>
      </c>
      <c r="L113" s="31">
        <v>45.075000000000003</v>
      </c>
      <c r="M113" s="31">
        <v>0.26</v>
      </c>
      <c r="N113" s="31">
        <v>6.1999999999999993</v>
      </c>
      <c r="O113" s="32" t="s">
        <v>48</v>
      </c>
      <c r="P113" s="32">
        <v>4</v>
      </c>
      <c r="Q113" s="281">
        <v>10</v>
      </c>
      <c r="R113" s="34" t="s">
        <v>49</v>
      </c>
      <c r="S113" s="49" t="s">
        <v>50</v>
      </c>
      <c r="T113" s="49" t="s">
        <v>50</v>
      </c>
      <c r="U113" s="34" t="s">
        <v>50</v>
      </c>
      <c r="V113" s="49" t="s">
        <v>50</v>
      </c>
      <c r="W113" s="49" t="s">
        <v>50</v>
      </c>
      <c r="X113" s="34" t="s">
        <v>50</v>
      </c>
      <c r="Y113" s="35"/>
    </row>
    <row r="114" spans="1:25" s="27" customFormat="1" x14ac:dyDescent="0.25">
      <c r="A114" s="26">
        <v>43663</v>
      </c>
      <c r="B114" s="27" t="s">
        <v>87</v>
      </c>
      <c r="C114" s="27" t="s">
        <v>62</v>
      </c>
      <c r="D114" s="89">
        <v>38.170999999999999</v>
      </c>
      <c r="E114" s="89">
        <v>-121.96044000000001</v>
      </c>
      <c r="F114" s="27" t="s">
        <v>3479</v>
      </c>
      <c r="G114" s="27" t="s">
        <v>27</v>
      </c>
      <c r="H114" s="27" t="s">
        <v>62</v>
      </c>
      <c r="I114" s="602">
        <v>0.47500000000000003</v>
      </c>
      <c r="J114" s="82">
        <v>2580.25</v>
      </c>
      <c r="K114" s="82">
        <v>22.275000000000002</v>
      </c>
      <c r="L114" s="82">
        <v>66.349999999999994</v>
      </c>
      <c r="M114" s="82">
        <v>0.21250000000000002</v>
      </c>
      <c r="N114" s="4">
        <v>8.6</v>
      </c>
      <c r="O114" s="27" t="s">
        <v>48</v>
      </c>
      <c r="P114" s="27">
        <v>4</v>
      </c>
      <c r="Q114" s="27">
        <v>10</v>
      </c>
      <c r="R114" s="27" t="s">
        <v>49</v>
      </c>
      <c r="S114" s="27" t="s">
        <v>50</v>
      </c>
      <c r="T114" s="27" t="s">
        <v>50</v>
      </c>
      <c r="U114" s="27" t="s">
        <v>50</v>
      </c>
      <c r="V114" s="27" t="s">
        <v>50</v>
      </c>
      <c r="W114" s="27" t="s">
        <v>50</v>
      </c>
      <c r="X114" s="27" t="s">
        <v>50</v>
      </c>
      <c r="Y114" s="35" t="s">
        <v>3480</v>
      </c>
    </row>
    <row r="115" spans="1:25" s="27" customFormat="1" x14ac:dyDescent="0.25">
      <c r="A115" s="26">
        <v>43664</v>
      </c>
      <c r="B115" s="27" t="s">
        <v>105</v>
      </c>
      <c r="C115" s="27" t="s">
        <v>95</v>
      </c>
      <c r="D115" s="89">
        <v>38.029400000000003</v>
      </c>
      <c r="E115" s="89">
        <v>-121.73875</v>
      </c>
      <c r="F115" s="27" t="s">
        <v>3481</v>
      </c>
      <c r="G115" s="27" t="s">
        <v>27</v>
      </c>
      <c r="H115" s="27" t="s">
        <v>863</v>
      </c>
      <c r="I115" s="602">
        <v>0.30624999999999997</v>
      </c>
      <c r="J115" s="82">
        <v>621.02499999999998</v>
      </c>
      <c r="K115" s="82">
        <v>23.075000000000003</v>
      </c>
      <c r="L115" s="82">
        <v>12.907499999999999</v>
      </c>
      <c r="M115" s="82">
        <v>0.9225000000000001</v>
      </c>
      <c r="N115" s="4">
        <v>9.75</v>
      </c>
      <c r="O115" s="27" t="s">
        <v>48</v>
      </c>
      <c r="P115" s="27">
        <v>4</v>
      </c>
      <c r="Q115" s="27">
        <v>10</v>
      </c>
      <c r="R115" s="27" t="s">
        <v>49</v>
      </c>
      <c r="S115" s="27" t="s">
        <v>50</v>
      </c>
      <c r="T115" s="27" t="s">
        <v>50</v>
      </c>
      <c r="U115" s="27" t="s">
        <v>50</v>
      </c>
      <c r="V115" s="27" t="s">
        <v>50</v>
      </c>
      <c r="W115" s="27" t="s">
        <v>50</v>
      </c>
      <c r="X115" s="27" t="s">
        <v>50</v>
      </c>
      <c r="Y115" s="35"/>
    </row>
    <row r="116" spans="1:25" x14ac:dyDescent="0.25">
      <c r="A116" s="26">
        <v>43664</v>
      </c>
      <c r="B116" s="89" t="s">
        <v>105</v>
      </c>
      <c r="C116" s="89" t="s">
        <v>95</v>
      </c>
      <c r="D116" s="89">
        <v>38.07602</v>
      </c>
      <c r="E116" s="89">
        <v>-121.68205</v>
      </c>
      <c r="F116" s="89" t="s">
        <v>3482</v>
      </c>
      <c r="G116" s="89" t="s">
        <v>46</v>
      </c>
      <c r="H116" s="89" t="s">
        <v>908</v>
      </c>
      <c r="I116" s="602">
        <v>0.42222222222222222</v>
      </c>
      <c r="J116" s="82">
        <v>190.9</v>
      </c>
      <c r="K116" s="82">
        <v>23.6</v>
      </c>
      <c r="L116" s="82">
        <v>13.675000000000001</v>
      </c>
      <c r="M116" s="82">
        <v>0.97750000000000004</v>
      </c>
      <c r="N116" s="82">
        <v>3.55</v>
      </c>
      <c r="O116" s="89" t="s">
        <v>48</v>
      </c>
      <c r="P116" s="89">
        <v>4</v>
      </c>
      <c r="Q116" s="89">
        <v>10</v>
      </c>
      <c r="R116" s="89" t="s">
        <v>49</v>
      </c>
      <c r="S116" s="27" t="s">
        <v>50</v>
      </c>
      <c r="T116" s="27" t="s">
        <v>50</v>
      </c>
      <c r="U116" s="27" t="s">
        <v>50</v>
      </c>
      <c r="V116" s="27" t="s">
        <v>50</v>
      </c>
      <c r="W116" s="27" t="s">
        <v>50</v>
      </c>
      <c r="X116" s="27" t="s">
        <v>50</v>
      </c>
      <c r="Y116" s="89"/>
    </row>
    <row r="117" spans="1:25" x14ac:dyDescent="0.25">
      <c r="A117" s="194">
        <v>43664</v>
      </c>
      <c r="B117" s="97" t="s">
        <v>105</v>
      </c>
      <c r="C117" s="97" t="s">
        <v>95</v>
      </c>
      <c r="D117" s="98">
        <v>38.023650000000004</v>
      </c>
      <c r="E117" s="98">
        <v>-121.72711</v>
      </c>
      <c r="F117" s="98" t="s">
        <v>3483</v>
      </c>
      <c r="G117" s="98" t="s">
        <v>27</v>
      </c>
      <c r="H117" s="98" t="s">
        <v>863</v>
      </c>
      <c r="I117" s="621">
        <v>0.35833333333333334</v>
      </c>
      <c r="J117" s="100">
        <v>349.625</v>
      </c>
      <c r="K117" s="100">
        <v>23.15</v>
      </c>
      <c r="L117" s="100">
        <v>7.4049999999999994</v>
      </c>
      <c r="M117" s="100">
        <v>1.4400000000000002</v>
      </c>
      <c r="N117" s="100">
        <v>4.4249999999999998</v>
      </c>
      <c r="O117" s="98" t="s">
        <v>48</v>
      </c>
      <c r="P117" s="98">
        <v>4</v>
      </c>
      <c r="Q117" s="98">
        <v>10</v>
      </c>
      <c r="R117" s="98" t="s">
        <v>49</v>
      </c>
      <c r="S117" s="98" t="s">
        <v>50</v>
      </c>
      <c r="T117" s="98" t="s">
        <v>50</v>
      </c>
      <c r="U117" s="98" t="s">
        <v>50</v>
      </c>
      <c r="V117" s="98" t="s">
        <v>50</v>
      </c>
      <c r="W117" s="98" t="s">
        <v>50</v>
      </c>
      <c r="X117" s="98" t="s">
        <v>50</v>
      </c>
      <c r="Y117" s="638" t="s">
        <v>3484</v>
      </c>
    </row>
    <row r="118" spans="1:25" s="206" customFormat="1" x14ac:dyDescent="0.25">
      <c r="A118" s="204">
        <v>43664</v>
      </c>
      <c r="B118" s="206" t="s">
        <v>105</v>
      </c>
      <c r="C118" s="206" t="s">
        <v>62</v>
      </c>
      <c r="D118" s="206">
        <v>38.108600000000003</v>
      </c>
      <c r="E118" s="206">
        <v>-122.05434</v>
      </c>
      <c r="F118" s="206" t="s">
        <v>3485</v>
      </c>
      <c r="G118" s="206" t="s">
        <v>27</v>
      </c>
      <c r="H118" s="206" t="s">
        <v>173</v>
      </c>
      <c r="I118" s="613">
        <v>0.3576388888888889</v>
      </c>
      <c r="J118" s="208">
        <v>8410</v>
      </c>
      <c r="K118" s="208">
        <v>22.075000000000003</v>
      </c>
      <c r="L118" s="208">
        <v>70.45</v>
      </c>
      <c r="M118" s="208">
        <v>0.2525</v>
      </c>
      <c r="N118" s="208">
        <v>2.8</v>
      </c>
      <c r="O118" s="206" t="s">
        <v>48</v>
      </c>
      <c r="P118" s="206">
        <v>4</v>
      </c>
      <c r="Q118" s="206">
        <v>10</v>
      </c>
      <c r="R118" s="206" t="s">
        <v>49</v>
      </c>
      <c r="S118" s="206" t="s">
        <v>31</v>
      </c>
      <c r="T118" s="206">
        <v>3</v>
      </c>
      <c r="U118" s="206" t="s">
        <v>3486</v>
      </c>
      <c r="V118" s="206" t="s">
        <v>50</v>
      </c>
      <c r="W118" s="206" t="s">
        <v>50</v>
      </c>
      <c r="X118" s="206" t="s">
        <v>50</v>
      </c>
      <c r="Y118" s="598" t="s">
        <v>3487</v>
      </c>
    </row>
    <row r="119" spans="1:25" x14ac:dyDescent="0.25">
      <c r="A119" s="26">
        <v>43664</v>
      </c>
      <c r="B119" s="89" t="s">
        <v>105</v>
      </c>
      <c r="C119" s="89" t="s">
        <v>62</v>
      </c>
      <c r="D119" s="89">
        <v>38.14087</v>
      </c>
      <c r="E119" s="89">
        <v>-122.06176000000001</v>
      </c>
      <c r="F119" s="89" t="s">
        <v>3488</v>
      </c>
      <c r="G119" s="89" t="s">
        <v>27</v>
      </c>
      <c r="H119" s="89" t="s">
        <v>62</v>
      </c>
      <c r="I119" s="602">
        <v>0.41388888888888892</v>
      </c>
      <c r="J119" s="82">
        <v>6635.5</v>
      </c>
      <c r="K119" s="82">
        <v>22.799999999999997</v>
      </c>
      <c r="L119" s="82">
        <v>47.275000000000006</v>
      </c>
      <c r="M119" s="82">
        <v>0.32</v>
      </c>
      <c r="N119" s="82">
        <v>12.149999999999999</v>
      </c>
      <c r="O119" s="89" t="s">
        <v>48</v>
      </c>
      <c r="P119" s="89">
        <v>4</v>
      </c>
      <c r="Q119" s="89">
        <v>10</v>
      </c>
      <c r="R119" s="89" t="s">
        <v>49</v>
      </c>
      <c r="S119" s="89" t="s">
        <v>50</v>
      </c>
      <c r="T119" s="89" t="s">
        <v>50</v>
      </c>
      <c r="U119" s="89" t="s">
        <v>50</v>
      </c>
      <c r="V119" s="89" t="s">
        <v>50</v>
      </c>
      <c r="W119" s="89" t="s">
        <v>50</v>
      </c>
      <c r="X119" s="89" t="s">
        <v>50</v>
      </c>
      <c r="Y119" s="597" t="s">
        <v>3489</v>
      </c>
    </row>
    <row r="120" spans="1:25" x14ac:dyDescent="0.25">
      <c r="A120" s="26">
        <v>43664</v>
      </c>
      <c r="B120" s="89" t="s">
        <v>105</v>
      </c>
      <c r="C120" s="89" t="s">
        <v>62</v>
      </c>
      <c r="D120" s="89">
        <v>38.170639999999999</v>
      </c>
      <c r="E120" s="89">
        <v>-122.03118000000001</v>
      </c>
      <c r="F120" s="89" t="s">
        <v>3490</v>
      </c>
      <c r="G120" s="89" t="s">
        <v>27</v>
      </c>
      <c r="H120" s="89" t="s">
        <v>62</v>
      </c>
      <c r="I120" s="602">
        <v>0.47361111111111115</v>
      </c>
      <c r="J120" s="82">
        <v>4017.5</v>
      </c>
      <c r="K120" s="82">
        <v>22.625</v>
      </c>
      <c r="L120" s="82">
        <v>62.650000000000006</v>
      </c>
      <c r="M120" s="82">
        <v>0.23249999999999998</v>
      </c>
      <c r="N120" s="82">
        <v>6.4250000000000007</v>
      </c>
      <c r="O120" s="89" t="s">
        <v>48</v>
      </c>
      <c r="P120" s="89">
        <v>4</v>
      </c>
      <c r="Q120" s="89">
        <v>10</v>
      </c>
      <c r="R120" s="89" t="s">
        <v>49</v>
      </c>
      <c r="S120" s="89" t="s">
        <v>50</v>
      </c>
      <c r="T120" s="89" t="s">
        <v>50</v>
      </c>
      <c r="U120" s="89" t="s">
        <v>50</v>
      </c>
      <c r="V120" s="89" t="s">
        <v>50</v>
      </c>
      <c r="W120" s="89" t="s">
        <v>50</v>
      </c>
      <c r="X120" s="89" t="s">
        <v>50</v>
      </c>
      <c r="Y120" s="597" t="s">
        <v>3491</v>
      </c>
    </row>
    <row r="121" spans="1:25" x14ac:dyDescent="0.25">
      <c r="A121" s="26">
        <v>43664</v>
      </c>
      <c r="B121" s="89" t="s">
        <v>105</v>
      </c>
      <c r="C121" s="89" t="s">
        <v>126</v>
      </c>
      <c r="D121" s="89">
        <v>38.286560000000001</v>
      </c>
      <c r="E121" s="89">
        <v>-121.69252</v>
      </c>
      <c r="F121" s="89" t="s">
        <v>3492</v>
      </c>
      <c r="G121" s="89" t="s">
        <v>90</v>
      </c>
      <c r="H121" s="89" t="s">
        <v>845</v>
      </c>
      <c r="I121" s="602">
        <v>0.31805555555555554</v>
      </c>
      <c r="J121" s="82">
        <v>169</v>
      </c>
      <c r="K121" s="82">
        <v>22.675000000000001</v>
      </c>
      <c r="L121" s="82">
        <v>5.5500000000000007</v>
      </c>
      <c r="M121" s="82">
        <v>1.61</v>
      </c>
      <c r="N121" s="82">
        <v>6.4250000000000007</v>
      </c>
      <c r="O121" s="89" t="s">
        <v>48</v>
      </c>
      <c r="P121" s="89">
        <v>4</v>
      </c>
      <c r="Q121" s="89">
        <v>10</v>
      </c>
      <c r="R121" s="89" t="s">
        <v>49</v>
      </c>
      <c r="S121" s="89" t="s">
        <v>50</v>
      </c>
      <c r="T121" s="89" t="s">
        <v>50</v>
      </c>
      <c r="U121" s="89" t="s">
        <v>50</v>
      </c>
      <c r="V121" s="89" t="s">
        <v>50</v>
      </c>
      <c r="W121" s="89" t="s">
        <v>50</v>
      </c>
      <c r="X121" s="89" t="s">
        <v>50</v>
      </c>
      <c r="Y121" s="597" t="s">
        <v>3493</v>
      </c>
    </row>
    <row r="122" spans="1:25" x14ac:dyDescent="0.25">
      <c r="A122" s="26">
        <v>43664</v>
      </c>
      <c r="B122" s="89" t="s">
        <v>105</v>
      </c>
      <c r="C122" s="89" t="s">
        <v>126</v>
      </c>
      <c r="D122" s="89">
        <v>38.26191</v>
      </c>
      <c r="E122" s="89">
        <v>-121.69268</v>
      </c>
      <c r="F122" s="89" t="s">
        <v>3494</v>
      </c>
      <c r="G122" s="89" t="s">
        <v>90</v>
      </c>
      <c r="H122" s="89" t="s">
        <v>845</v>
      </c>
      <c r="I122" s="602">
        <v>0.36805555555555558</v>
      </c>
      <c r="J122" s="82">
        <v>144.14999999999998</v>
      </c>
      <c r="K122" s="82">
        <v>22.524999999999999</v>
      </c>
      <c r="L122" s="82">
        <v>7.7575000000000003</v>
      </c>
      <c r="M122" s="82">
        <v>1.1649999999999998</v>
      </c>
      <c r="N122" s="82">
        <v>5.5749999999999993</v>
      </c>
      <c r="O122" s="89" t="s">
        <v>48</v>
      </c>
      <c r="P122" s="89">
        <v>4</v>
      </c>
      <c r="Q122" s="89">
        <v>10</v>
      </c>
      <c r="R122" s="89" t="s">
        <v>49</v>
      </c>
      <c r="S122" s="89" t="s">
        <v>50</v>
      </c>
      <c r="T122" s="89" t="s">
        <v>50</v>
      </c>
      <c r="U122" s="89" t="s">
        <v>50</v>
      </c>
      <c r="V122" s="89" t="s">
        <v>50</v>
      </c>
      <c r="W122" s="89" t="s">
        <v>50</v>
      </c>
      <c r="X122" s="89" t="s">
        <v>50</v>
      </c>
      <c r="Y122" s="597" t="s">
        <v>3493</v>
      </c>
    </row>
    <row r="123" spans="1:25" x14ac:dyDescent="0.25">
      <c r="A123" s="26">
        <v>43664</v>
      </c>
      <c r="B123" s="89" t="s">
        <v>105</v>
      </c>
      <c r="C123" s="89" t="s">
        <v>126</v>
      </c>
      <c r="D123" s="89">
        <v>38.249160000000003</v>
      </c>
      <c r="E123" s="89">
        <v>-121.68765999999999</v>
      </c>
      <c r="F123" s="89" t="s">
        <v>3495</v>
      </c>
      <c r="G123" s="89" t="s">
        <v>90</v>
      </c>
      <c r="H123" s="89" t="s">
        <v>845</v>
      </c>
      <c r="I123" s="602">
        <v>0.4236111111111111</v>
      </c>
      <c r="J123" s="82">
        <v>142.5</v>
      </c>
      <c r="K123" s="82">
        <v>22.675000000000001</v>
      </c>
      <c r="L123" s="82">
        <v>8.5625</v>
      </c>
      <c r="M123" s="82">
        <v>1.08</v>
      </c>
      <c r="N123" s="82">
        <v>9.15</v>
      </c>
      <c r="O123" s="89" t="s">
        <v>48</v>
      </c>
      <c r="P123" s="89">
        <v>4</v>
      </c>
      <c r="Q123" s="89">
        <v>10</v>
      </c>
      <c r="R123" s="89" t="s">
        <v>49</v>
      </c>
      <c r="S123" s="89" t="s">
        <v>50</v>
      </c>
      <c r="T123" s="89" t="s">
        <v>50</v>
      </c>
      <c r="U123" s="89" t="s">
        <v>50</v>
      </c>
      <c r="V123" s="89" t="s">
        <v>50</v>
      </c>
      <c r="W123" s="89" t="s">
        <v>50</v>
      </c>
      <c r="X123" s="89" t="s">
        <v>50</v>
      </c>
      <c r="Y123" s="597" t="s">
        <v>3496</v>
      </c>
    </row>
    <row r="124" spans="1:25" s="150" customFormat="1" x14ac:dyDescent="0.25">
      <c r="A124" s="178">
        <v>43664</v>
      </c>
      <c r="B124" s="150" t="s">
        <v>105</v>
      </c>
      <c r="C124" s="150" t="s">
        <v>126</v>
      </c>
      <c r="D124" s="150">
        <v>38.283799999999999</v>
      </c>
      <c r="E124" s="150">
        <v>-121.66616</v>
      </c>
      <c r="F124" s="150" t="s">
        <v>3497</v>
      </c>
      <c r="G124" s="150" t="s">
        <v>90</v>
      </c>
      <c r="H124" s="150" t="s">
        <v>845</v>
      </c>
      <c r="I124" s="614">
        <v>0.47916666666666669</v>
      </c>
      <c r="J124" s="197" t="s">
        <v>50</v>
      </c>
      <c r="K124" s="197" t="s">
        <v>50</v>
      </c>
      <c r="L124" s="197" t="s">
        <v>50</v>
      </c>
      <c r="M124" s="197" t="s">
        <v>50</v>
      </c>
      <c r="N124" s="197" t="s">
        <v>50</v>
      </c>
      <c r="O124" s="149" t="s">
        <v>48</v>
      </c>
      <c r="P124" s="149">
        <v>0</v>
      </c>
      <c r="Q124" s="149" t="s">
        <v>50</v>
      </c>
      <c r="R124" s="149" t="s">
        <v>50</v>
      </c>
      <c r="S124" s="149" t="s">
        <v>50</v>
      </c>
      <c r="T124" s="149" t="s">
        <v>50</v>
      </c>
      <c r="U124" s="149" t="s">
        <v>50</v>
      </c>
      <c r="V124" s="149" t="s">
        <v>50</v>
      </c>
      <c r="W124" s="149" t="s">
        <v>50</v>
      </c>
      <c r="X124" s="149" t="s">
        <v>50</v>
      </c>
      <c r="Y124" s="152" t="s">
        <v>3498</v>
      </c>
    </row>
    <row r="125" spans="1:25" x14ac:dyDescent="0.25">
      <c r="A125" s="26">
        <v>43665</v>
      </c>
      <c r="B125" s="89" t="s">
        <v>125</v>
      </c>
      <c r="C125" s="89" t="s">
        <v>106</v>
      </c>
      <c r="D125" s="89">
        <v>38.323590000000003</v>
      </c>
      <c r="E125" s="89">
        <v>-121.64192</v>
      </c>
      <c r="F125" s="89" t="s">
        <v>3499</v>
      </c>
      <c r="G125" s="89" t="s">
        <v>90</v>
      </c>
      <c r="H125" s="89" t="s">
        <v>362</v>
      </c>
      <c r="I125" s="602">
        <v>0.33819444444444446</v>
      </c>
      <c r="J125" s="82">
        <v>261.52499999999998</v>
      </c>
      <c r="K125" s="82">
        <v>23.274999999999999</v>
      </c>
      <c r="L125" s="82">
        <v>14.45</v>
      </c>
      <c r="M125" s="82">
        <v>0.60750000000000004</v>
      </c>
      <c r="N125" s="82">
        <v>8.9250000000000007</v>
      </c>
      <c r="O125" s="89" t="s">
        <v>48</v>
      </c>
      <c r="P125" s="89">
        <v>4</v>
      </c>
      <c r="Q125" s="89">
        <v>10</v>
      </c>
      <c r="R125" s="89" t="s">
        <v>49</v>
      </c>
      <c r="S125" s="89" t="s">
        <v>50</v>
      </c>
      <c r="T125" s="89" t="s">
        <v>50</v>
      </c>
      <c r="U125" s="89" t="s">
        <v>50</v>
      </c>
      <c r="V125" s="89" t="s">
        <v>50</v>
      </c>
      <c r="W125" s="89" t="s">
        <v>50</v>
      </c>
      <c r="X125" s="89" t="s">
        <v>50</v>
      </c>
      <c r="Y125" s="89"/>
    </row>
    <row r="126" spans="1:25" s="362" customFormat="1" x14ac:dyDescent="0.25">
      <c r="A126" s="360">
        <v>43665</v>
      </c>
      <c r="B126" s="362" t="s">
        <v>125</v>
      </c>
      <c r="C126" s="362" t="s">
        <v>106</v>
      </c>
      <c r="D126" s="362">
        <v>38.497019999999999</v>
      </c>
      <c r="E126" s="362">
        <v>-121.58431</v>
      </c>
      <c r="F126" s="362" t="s">
        <v>3500</v>
      </c>
      <c r="G126" s="362" t="s">
        <v>90</v>
      </c>
      <c r="H126" s="362" t="s">
        <v>1787</v>
      </c>
      <c r="I126" s="618">
        <v>0.41111111111111115</v>
      </c>
      <c r="J126" s="364">
        <v>854.75</v>
      </c>
      <c r="K126" s="364">
        <v>24.3</v>
      </c>
      <c r="L126" s="364">
        <v>14.1</v>
      </c>
      <c r="M126" s="364">
        <v>0.57750000000000001</v>
      </c>
      <c r="N126" s="364">
        <v>10.625</v>
      </c>
      <c r="O126" s="362" t="s">
        <v>48</v>
      </c>
      <c r="P126" s="362">
        <v>4</v>
      </c>
      <c r="Q126" s="362">
        <v>10</v>
      </c>
      <c r="R126" s="362" t="s">
        <v>49</v>
      </c>
      <c r="S126" s="362" t="s">
        <v>50</v>
      </c>
      <c r="T126" s="362" t="s">
        <v>50</v>
      </c>
      <c r="U126" s="362" t="s">
        <v>50</v>
      </c>
      <c r="V126" s="362" t="s">
        <v>50</v>
      </c>
      <c r="W126" s="362" t="s">
        <v>50</v>
      </c>
      <c r="X126" s="362" t="s">
        <v>50</v>
      </c>
      <c r="Y126" s="599"/>
    </row>
    <row r="127" spans="1:25" x14ac:dyDescent="0.25">
      <c r="A127" s="26">
        <v>43668</v>
      </c>
      <c r="B127" s="89" t="s">
        <v>43</v>
      </c>
      <c r="C127" s="89" t="s">
        <v>126</v>
      </c>
      <c r="D127" s="89">
        <v>38.315950000000001</v>
      </c>
      <c r="E127" s="89">
        <v>-121.69280999999999</v>
      </c>
      <c r="F127" s="89" t="s">
        <v>3501</v>
      </c>
      <c r="G127" s="89" t="s">
        <v>90</v>
      </c>
      <c r="H127" s="89" t="s">
        <v>845</v>
      </c>
      <c r="I127" s="602">
        <v>0.34861111111111115</v>
      </c>
      <c r="J127" s="82">
        <v>268.625</v>
      </c>
      <c r="K127" s="82">
        <v>23.024999999999999</v>
      </c>
      <c r="L127" s="82">
        <v>6.7599999999999989</v>
      </c>
      <c r="M127" s="82">
        <v>1.3675000000000002</v>
      </c>
      <c r="N127" s="82">
        <v>5.6000000000000005</v>
      </c>
      <c r="O127" s="89" t="s">
        <v>48</v>
      </c>
      <c r="P127" s="89">
        <v>4</v>
      </c>
      <c r="Q127" s="89">
        <v>10</v>
      </c>
      <c r="R127" s="89" t="s">
        <v>64</v>
      </c>
      <c r="S127" s="89" t="s">
        <v>50</v>
      </c>
      <c r="T127" s="89" t="s">
        <v>50</v>
      </c>
      <c r="U127" s="89" t="s">
        <v>50</v>
      </c>
      <c r="V127" s="89" t="s">
        <v>50</v>
      </c>
      <c r="W127" s="89" t="s">
        <v>50</v>
      </c>
      <c r="X127" s="89" t="s">
        <v>50</v>
      </c>
    </row>
    <row r="128" spans="1:25" x14ac:dyDescent="0.25">
      <c r="A128" s="26">
        <v>43668</v>
      </c>
      <c r="B128" s="89" t="s">
        <v>43</v>
      </c>
      <c r="C128" s="89" t="s">
        <v>126</v>
      </c>
      <c r="D128" s="89">
        <v>38.263950000000001</v>
      </c>
      <c r="E128" s="89">
        <v>-121.69071</v>
      </c>
      <c r="F128" s="89" t="s">
        <v>3502</v>
      </c>
      <c r="G128" s="89" t="s">
        <v>90</v>
      </c>
      <c r="H128" s="89" t="s">
        <v>845</v>
      </c>
      <c r="I128" s="602">
        <v>0.40069444444444446</v>
      </c>
      <c r="J128" s="82">
        <v>141.80000000000001</v>
      </c>
      <c r="K128" s="82">
        <v>22.524999999999999</v>
      </c>
      <c r="L128" s="82">
        <v>5.7650000000000006</v>
      </c>
      <c r="M128" s="82">
        <v>1.3825000000000001</v>
      </c>
      <c r="N128" s="82">
        <v>6.5249999999999995</v>
      </c>
      <c r="O128" s="89" t="s">
        <v>48</v>
      </c>
      <c r="P128" s="89">
        <v>4</v>
      </c>
      <c r="Q128" s="89">
        <v>10</v>
      </c>
      <c r="R128" s="89" t="s">
        <v>49</v>
      </c>
      <c r="S128" s="89" t="s">
        <v>50</v>
      </c>
      <c r="T128" s="89" t="s">
        <v>50</v>
      </c>
      <c r="U128" s="89" t="s">
        <v>50</v>
      </c>
      <c r="V128" s="89" t="s">
        <v>50</v>
      </c>
      <c r="W128" s="89" t="s">
        <v>50</v>
      </c>
      <c r="X128" s="89" t="s">
        <v>50</v>
      </c>
    </row>
    <row r="129" spans="1:25" x14ac:dyDescent="0.25">
      <c r="A129" s="26">
        <v>43668</v>
      </c>
      <c r="B129" s="89" t="s">
        <v>43</v>
      </c>
      <c r="C129" s="89" t="s">
        <v>126</v>
      </c>
      <c r="D129" s="89">
        <v>38.251919999999998</v>
      </c>
      <c r="E129" s="89">
        <v>-121.68709</v>
      </c>
      <c r="F129" s="89" t="s">
        <v>3503</v>
      </c>
      <c r="G129" s="89" t="s">
        <v>90</v>
      </c>
      <c r="H129" s="89" t="s">
        <v>845</v>
      </c>
      <c r="I129" s="602">
        <v>0.45833333333333331</v>
      </c>
      <c r="J129" s="82">
        <v>141.17500000000001</v>
      </c>
      <c r="K129" s="82">
        <v>22.675000000000001</v>
      </c>
      <c r="L129" s="82">
        <v>6.2750000000000004</v>
      </c>
      <c r="M129" s="82">
        <v>1.325</v>
      </c>
      <c r="N129" s="82">
        <v>7.8500000000000005</v>
      </c>
      <c r="O129" s="89" t="s">
        <v>48</v>
      </c>
      <c r="P129" s="89">
        <v>4</v>
      </c>
      <c r="Q129" s="89">
        <v>10</v>
      </c>
      <c r="R129" s="89" t="s">
        <v>49</v>
      </c>
      <c r="S129" s="89" t="s">
        <v>50</v>
      </c>
      <c r="T129" s="89" t="s">
        <v>50</v>
      </c>
      <c r="U129" s="89" t="s">
        <v>50</v>
      </c>
      <c r="V129" s="89" t="s">
        <v>50</v>
      </c>
      <c r="W129" s="89" t="s">
        <v>50</v>
      </c>
      <c r="X129" s="89" t="s">
        <v>50</v>
      </c>
      <c r="Y129" s="600" t="s">
        <v>124</v>
      </c>
    </row>
    <row r="130" spans="1:25" x14ac:dyDescent="0.25">
      <c r="A130" s="26">
        <v>43668</v>
      </c>
      <c r="B130" s="89" t="s">
        <v>43</v>
      </c>
      <c r="C130" s="89" t="s">
        <v>95</v>
      </c>
      <c r="D130" s="89">
        <v>38.036110000000001</v>
      </c>
      <c r="E130" s="89">
        <v>-121.70594</v>
      </c>
      <c r="F130" s="89" t="s">
        <v>3504</v>
      </c>
      <c r="G130" s="89" t="s">
        <v>27</v>
      </c>
      <c r="H130" s="89" t="s">
        <v>863</v>
      </c>
      <c r="I130" s="602">
        <v>0.32777777777777778</v>
      </c>
      <c r="J130" s="82">
        <v>466.25</v>
      </c>
      <c r="K130" s="82">
        <v>22.5</v>
      </c>
      <c r="L130" s="82">
        <v>10.81</v>
      </c>
      <c r="M130" s="82">
        <v>1.0549999999999999</v>
      </c>
      <c r="N130" s="82">
        <v>11.725</v>
      </c>
      <c r="O130" s="89" t="s">
        <v>48</v>
      </c>
      <c r="P130" s="89">
        <v>4</v>
      </c>
      <c r="Q130" s="89">
        <v>10</v>
      </c>
      <c r="R130" s="89" t="s">
        <v>64</v>
      </c>
      <c r="S130" s="89" t="s">
        <v>50</v>
      </c>
      <c r="T130" s="89" t="s">
        <v>50</v>
      </c>
      <c r="U130" s="89" t="s">
        <v>50</v>
      </c>
      <c r="V130" s="89" t="s">
        <v>50</v>
      </c>
      <c r="W130" s="89" t="s">
        <v>50</v>
      </c>
      <c r="X130" s="89" t="s">
        <v>50</v>
      </c>
    </row>
    <row r="131" spans="1:25" x14ac:dyDescent="0.25">
      <c r="A131" s="26">
        <v>43668</v>
      </c>
      <c r="B131" s="89" t="s">
        <v>43</v>
      </c>
      <c r="C131" s="89" t="s">
        <v>78</v>
      </c>
      <c r="D131" s="89">
        <v>38.047040000000003</v>
      </c>
      <c r="E131" s="89">
        <v>-121.91213999999999</v>
      </c>
      <c r="F131" s="89" t="s">
        <v>3505</v>
      </c>
      <c r="G131" s="89" t="s">
        <v>27</v>
      </c>
      <c r="H131" s="89" t="s">
        <v>101</v>
      </c>
      <c r="I131" s="602">
        <v>0.39166666666666666</v>
      </c>
      <c r="J131" s="82">
        <v>4535.5</v>
      </c>
      <c r="K131" s="82">
        <v>21.875</v>
      </c>
      <c r="L131" s="82">
        <v>18.899999999999999</v>
      </c>
      <c r="M131" s="82">
        <v>0.4425</v>
      </c>
      <c r="N131" s="82">
        <v>12.875</v>
      </c>
      <c r="O131" s="89" t="s">
        <v>48</v>
      </c>
      <c r="P131" s="89">
        <v>4</v>
      </c>
      <c r="Q131" s="89">
        <v>10</v>
      </c>
      <c r="R131" s="89" t="s">
        <v>49</v>
      </c>
      <c r="S131" s="89" t="s">
        <v>50</v>
      </c>
      <c r="T131" s="89" t="s">
        <v>50</v>
      </c>
      <c r="U131" s="89" t="s">
        <v>50</v>
      </c>
      <c r="V131" s="89" t="s">
        <v>50</v>
      </c>
      <c r="W131" s="89" t="s">
        <v>50</v>
      </c>
      <c r="X131" s="89" t="s">
        <v>50</v>
      </c>
      <c r="Y131" s="600" t="s">
        <v>3506</v>
      </c>
    </row>
    <row r="132" spans="1:25" x14ac:dyDescent="0.25">
      <c r="A132" s="26">
        <v>43668</v>
      </c>
      <c r="B132" s="89" t="s">
        <v>43</v>
      </c>
      <c r="C132" s="89" t="s">
        <v>78</v>
      </c>
      <c r="D132" s="89">
        <v>38.072490000000002</v>
      </c>
      <c r="E132" s="89">
        <v>-122.00509</v>
      </c>
      <c r="F132" s="89" t="s">
        <v>3507</v>
      </c>
      <c r="G132" s="89" t="s">
        <v>27</v>
      </c>
      <c r="H132" s="89" t="s">
        <v>86</v>
      </c>
      <c r="I132" s="602">
        <v>0.45277777777777778</v>
      </c>
      <c r="J132" s="82">
        <v>7873.25</v>
      </c>
      <c r="K132" s="82">
        <v>21.574999999999999</v>
      </c>
      <c r="L132" s="82">
        <v>44.05</v>
      </c>
      <c r="M132" s="82">
        <v>0.33250000000000002</v>
      </c>
      <c r="N132" s="82">
        <v>3</v>
      </c>
      <c r="O132" s="89" t="s">
        <v>48</v>
      </c>
      <c r="P132" s="89">
        <v>4</v>
      </c>
      <c r="Q132" s="89">
        <v>10</v>
      </c>
      <c r="R132" s="89" t="s">
        <v>49</v>
      </c>
      <c r="S132" s="89" t="s">
        <v>50</v>
      </c>
      <c r="T132" s="89" t="s">
        <v>50</v>
      </c>
      <c r="U132" s="89" t="s">
        <v>50</v>
      </c>
      <c r="V132" s="89" t="s">
        <v>50</v>
      </c>
      <c r="W132" s="89" t="s">
        <v>50</v>
      </c>
      <c r="X132" s="89" t="s">
        <v>50</v>
      </c>
    </row>
    <row r="133" spans="1:25" x14ac:dyDescent="0.25">
      <c r="A133" s="26">
        <v>43668</v>
      </c>
      <c r="B133" s="89" t="s">
        <v>43</v>
      </c>
      <c r="C133" s="89" t="s">
        <v>62</v>
      </c>
      <c r="D133" s="89">
        <v>38.182879999999997</v>
      </c>
      <c r="E133" s="89">
        <v>-121.92625</v>
      </c>
      <c r="F133" s="89" t="s">
        <v>3508</v>
      </c>
      <c r="G133" s="89" t="s">
        <v>27</v>
      </c>
      <c r="H133" s="89" t="s">
        <v>62</v>
      </c>
      <c r="I133" s="602">
        <v>0.37916666666666665</v>
      </c>
      <c r="J133" s="82">
        <v>2620.5</v>
      </c>
      <c r="K133" s="82">
        <v>21.700000000000003</v>
      </c>
      <c r="L133" s="82">
        <v>54.275000000000006</v>
      </c>
      <c r="M133" s="82">
        <v>0.22</v>
      </c>
      <c r="N133" s="82">
        <v>4.2249999999999996</v>
      </c>
      <c r="O133" s="89" t="s">
        <v>48</v>
      </c>
      <c r="P133" s="89">
        <v>4</v>
      </c>
      <c r="Q133" s="89">
        <v>10</v>
      </c>
      <c r="R133" s="89" t="s">
        <v>49</v>
      </c>
      <c r="S133" s="89" t="s">
        <v>50</v>
      </c>
      <c r="T133" s="89" t="s">
        <v>50</v>
      </c>
      <c r="U133" s="89" t="s">
        <v>50</v>
      </c>
      <c r="V133" s="89" t="s">
        <v>50</v>
      </c>
      <c r="W133" s="89" t="s">
        <v>50</v>
      </c>
      <c r="X133" s="89" t="s">
        <v>50</v>
      </c>
      <c r="Y133" s="600" t="s">
        <v>3509</v>
      </c>
    </row>
    <row r="134" spans="1:25" x14ac:dyDescent="0.25">
      <c r="A134" s="194">
        <v>43668</v>
      </c>
      <c r="B134" s="98" t="s">
        <v>43</v>
      </c>
      <c r="C134" s="98" t="s">
        <v>62</v>
      </c>
      <c r="D134" s="98">
        <v>38.168979999999998</v>
      </c>
      <c r="E134" s="98">
        <v>-122.02441</v>
      </c>
      <c r="F134" s="98" t="s">
        <v>3510</v>
      </c>
      <c r="G134" s="98" t="s">
        <v>27</v>
      </c>
      <c r="H134" s="98" t="s">
        <v>62</v>
      </c>
      <c r="I134" s="621">
        <v>0.44791666666666669</v>
      </c>
      <c r="J134" s="100">
        <v>4733</v>
      </c>
      <c r="K134" s="100">
        <v>22.65</v>
      </c>
      <c r="L134" s="100">
        <v>38.700000000000003</v>
      </c>
      <c r="M134" s="100">
        <v>0.3075</v>
      </c>
      <c r="N134" s="100">
        <v>8.0250000000000004</v>
      </c>
      <c r="O134" s="98" t="s">
        <v>48</v>
      </c>
      <c r="P134" s="98">
        <v>4</v>
      </c>
      <c r="Q134" s="98">
        <v>10</v>
      </c>
      <c r="R134" s="98" t="s">
        <v>49</v>
      </c>
      <c r="S134" s="98" t="s">
        <v>50</v>
      </c>
      <c r="T134" s="98" t="s">
        <v>50</v>
      </c>
      <c r="U134" s="98" t="s">
        <v>50</v>
      </c>
      <c r="V134" s="98" t="s">
        <v>50</v>
      </c>
      <c r="W134" s="98" t="s">
        <v>50</v>
      </c>
      <c r="X134" s="98" t="s">
        <v>50</v>
      </c>
      <c r="Y134" s="622" t="s">
        <v>3511</v>
      </c>
    </row>
    <row r="135" spans="1:25" x14ac:dyDescent="0.25">
      <c r="A135" s="26">
        <v>43668</v>
      </c>
      <c r="B135" s="89" t="s">
        <v>43</v>
      </c>
      <c r="C135" s="89" t="s">
        <v>62</v>
      </c>
      <c r="D135" s="89">
        <v>38.140070000000001</v>
      </c>
      <c r="E135" s="89">
        <v>-122.06048</v>
      </c>
      <c r="F135" s="89" t="s">
        <v>3512</v>
      </c>
      <c r="G135" s="89" t="s">
        <v>27</v>
      </c>
      <c r="H135" s="89" t="s">
        <v>62</v>
      </c>
      <c r="I135" s="602">
        <v>0.50208333333333333</v>
      </c>
      <c r="J135" s="82">
        <v>6707</v>
      </c>
      <c r="K135" s="82">
        <v>22.975000000000001</v>
      </c>
      <c r="L135" s="82">
        <v>41.2</v>
      </c>
      <c r="M135" s="82">
        <v>0.3125</v>
      </c>
      <c r="N135" s="82">
        <v>5.4749999999999996</v>
      </c>
      <c r="O135" s="89" t="s">
        <v>48</v>
      </c>
      <c r="P135" s="89">
        <v>4</v>
      </c>
      <c r="Q135" s="89">
        <v>10</v>
      </c>
      <c r="R135" s="89" t="s">
        <v>49</v>
      </c>
      <c r="S135" s="89" t="s">
        <v>50</v>
      </c>
      <c r="T135" s="89" t="s">
        <v>50</v>
      </c>
      <c r="U135" s="89" t="s">
        <v>50</v>
      </c>
      <c r="V135" s="89" t="s">
        <v>50</v>
      </c>
      <c r="W135" s="89" t="s">
        <v>50</v>
      </c>
      <c r="X135" s="89" t="s">
        <v>50</v>
      </c>
      <c r="Y135" s="600" t="s">
        <v>3513</v>
      </c>
    </row>
    <row r="136" spans="1:25" x14ac:dyDescent="0.25">
      <c r="A136" s="26">
        <v>43669</v>
      </c>
      <c r="B136" s="89" t="s">
        <v>70</v>
      </c>
      <c r="C136" s="89" t="s">
        <v>126</v>
      </c>
      <c r="D136" s="89">
        <v>38.259819999999998</v>
      </c>
      <c r="E136" s="89">
        <v>-121.74785</v>
      </c>
      <c r="F136" s="89" t="s">
        <v>3514</v>
      </c>
      <c r="G136" s="89" t="s">
        <v>90</v>
      </c>
      <c r="H136" s="89" t="s">
        <v>845</v>
      </c>
      <c r="I136" s="602">
        <v>0.3215277777777778</v>
      </c>
      <c r="J136" s="82">
        <v>162.25</v>
      </c>
      <c r="K136" s="82">
        <v>22.9</v>
      </c>
      <c r="L136" s="82">
        <v>4.0500000000000007</v>
      </c>
      <c r="M136" s="82">
        <v>1.7849999999999999</v>
      </c>
      <c r="N136" s="82">
        <v>5.0500000000000007</v>
      </c>
      <c r="O136" s="89" t="s">
        <v>48</v>
      </c>
      <c r="P136" s="89">
        <v>4</v>
      </c>
      <c r="Q136" s="89">
        <v>10</v>
      </c>
      <c r="R136" s="89" t="s">
        <v>64</v>
      </c>
      <c r="S136" s="89" t="s">
        <v>50</v>
      </c>
      <c r="T136" s="89" t="s">
        <v>50</v>
      </c>
      <c r="U136" s="89" t="s">
        <v>50</v>
      </c>
      <c r="V136" s="89" t="s">
        <v>50</v>
      </c>
      <c r="W136" s="89" t="s">
        <v>50</v>
      </c>
      <c r="X136" s="89" t="s">
        <v>50</v>
      </c>
    </row>
    <row r="137" spans="1:25" x14ac:dyDescent="0.25">
      <c r="A137" s="26">
        <v>43669</v>
      </c>
      <c r="B137" s="89" t="s">
        <v>70</v>
      </c>
      <c r="C137" s="89" t="s">
        <v>126</v>
      </c>
      <c r="D137" s="89">
        <v>38.241280000000003</v>
      </c>
      <c r="E137" s="89">
        <v>-121.68652</v>
      </c>
      <c r="F137" s="89" t="s">
        <v>3515</v>
      </c>
      <c r="G137" s="89" t="s">
        <v>90</v>
      </c>
      <c r="H137" s="89" t="s">
        <v>845</v>
      </c>
      <c r="I137" s="602">
        <v>0.3756944444444445</v>
      </c>
      <c r="J137" s="82">
        <v>133.32500000000002</v>
      </c>
      <c r="K137" s="82">
        <v>22.95</v>
      </c>
      <c r="L137" s="82">
        <v>6.1275000000000004</v>
      </c>
      <c r="M137" s="82">
        <v>1.5999999999999999</v>
      </c>
      <c r="N137" s="82">
        <v>12.475000000000001</v>
      </c>
      <c r="O137" s="89" t="s">
        <v>48</v>
      </c>
      <c r="P137" s="89">
        <v>4</v>
      </c>
      <c r="Q137" s="89">
        <v>10</v>
      </c>
      <c r="R137" s="89" t="s">
        <v>64</v>
      </c>
      <c r="S137" s="89" t="s">
        <v>50</v>
      </c>
      <c r="T137" s="89" t="s">
        <v>50</v>
      </c>
      <c r="U137" s="89" t="s">
        <v>50</v>
      </c>
      <c r="V137" s="89" t="s">
        <v>50</v>
      </c>
      <c r="W137" s="89" t="s">
        <v>50</v>
      </c>
      <c r="X137" s="89" t="s">
        <v>50</v>
      </c>
    </row>
    <row r="138" spans="1:25" x14ac:dyDescent="0.25">
      <c r="A138" s="26">
        <v>43669</v>
      </c>
      <c r="B138" s="89" t="s">
        <v>70</v>
      </c>
      <c r="C138" s="89" t="s">
        <v>126</v>
      </c>
      <c r="D138" s="89">
        <v>38.273099999999999</v>
      </c>
      <c r="E138" s="89">
        <v>-121.66555</v>
      </c>
      <c r="F138" s="89" t="s">
        <v>3516</v>
      </c>
      <c r="G138" s="89" t="s">
        <v>90</v>
      </c>
      <c r="H138" s="89" t="s">
        <v>845</v>
      </c>
      <c r="I138" s="602">
        <v>0.42708333333333331</v>
      </c>
      <c r="J138" s="82">
        <v>156</v>
      </c>
      <c r="K138" s="82">
        <v>23.1</v>
      </c>
      <c r="L138" s="82">
        <v>7.5525000000000002</v>
      </c>
      <c r="M138" s="82">
        <v>1.25</v>
      </c>
      <c r="N138" s="82">
        <v>6</v>
      </c>
      <c r="O138" s="89" t="s">
        <v>48</v>
      </c>
      <c r="P138" s="89">
        <v>4</v>
      </c>
      <c r="Q138" s="89">
        <v>10</v>
      </c>
      <c r="R138" s="89" t="s">
        <v>49</v>
      </c>
      <c r="S138" s="89" t="s">
        <v>50</v>
      </c>
      <c r="T138" s="89" t="s">
        <v>50</v>
      </c>
      <c r="U138" s="89" t="s">
        <v>50</v>
      </c>
      <c r="V138" s="89" t="s">
        <v>50</v>
      </c>
      <c r="W138" s="89" t="s">
        <v>50</v>
      </c>
      <c r="X138" s="89" t="s">
        <v>50</v>
      </c>
      <c r="Y138" s="600" t="s">
        <v>3491</v>
      </c>
    </row>
    <row r="139" spans="1:25" x14ac:dyDescent="0.25">
      <c r="A139" s="26">
        <v>43669</v>
      </c>
      <c r="B139" s="89" t="s">
        <v>70</v>
      </c>
      <c r="C139" s="89" t="s">
        <v>95</v>
      </c>
      <c r="D139" s="89">
        <v>38.083120000000001</v>
      </c>
      <c r="E139" s="89">
        <v>-121.67867</v>
      </c>
      <c r="F139" s="89" t="s">
        <v>3517</v>
      </c>
      <c r="G139" s="89" t="s">
        <v>46</v>
      </c>
      <c r="H139" s="89" t="s">
        <v>908</v>
      </c>
      <c r="I139" s="602">
        <v>0.30763888888888891</v>
      </c>
      <c r="J139" s="82">
        <v>205.39999999999998</v>
      </c>
      <c r="K139" s="82">
        <v>23.4</v>
      </c>
      <c r="L139" s="82">
        <v>8.8475000000000001</v>
      </c>
      <c r="M139" s="82">
        <v>1.1624999999999999</v>
      </c>
      <c r="N139" s="82">
        <v>12.775</v>
      </c>
      <c r="O139" s="89" t="s">
        <v>48</v>
      </c>
      <c r="P139" s="89">
        <v>4</v>
      </c>
      <c r="Q139" s="89">
        <v>10</v>
      </c>
      <c r="R139" s="89" t="s">
        <v>64</v>
      </c>
      <c r="S139" s="89" t="s">
        <v>50</v>
      </c>
      <c r="T139" s="89" t="s">
        <v>50</v>
      </c>
      <c r="U139" s="89" t="s">
        <v>50</v>
      </c>
      <c r="V139" s="89" t="s">
        <v>50</v>
      </c>
      <c r="W139" s="89" t="s">
        <v>50</v>
      </c>
      <c r="X139" s="89" t="s">
        <v>50</v>
      </c>
      <c r="Y139" s="600" t="s">
        <v>3518</v>
      </c>
    </row>
    <row r="140" spans="1:25" x14ac:dyDescent="0.25">
      <c r="A140" s="26">
        <v>43669</v>
      </c>
      <c r="B140" s="89" t="s">
        <v>70</v>
      </c>
      <c r="C140" s="89" t="s">
        <v>95</v>
      </c>
      <c r="D140" s="89">
        <v>38.099209999999999</v>
      </c>
      <c r="E140" s="89">
        <v>-121.59352</v>
      </c>
      <c r="F140" s="89" t="s">
        <v>3519</v>
      </c>
      <c r="G140" s="89" t="s">
        <v>46</v>
      </c>
      <c r="H140" s="89" t="s">
        <v>115</v>
      </c>
      <c r="I140" s="602">
        <v>0.36458333333333331</v>
      </c>
      <c r="J140" s="82">
        <v>125.32499999999999</v>
      </c>
      <c r="K140" s="82">
        <v>23.625000000000004</v>
      </c>
      <c r="L140" s="82">
        <v>7.6825000000000001</v>
      </c>
      <c r="M140" s="82">
        <v>1.27</v>
      </c>
      <c r="N140" s="82">
        <v>13.225</v>
      </c>
      <c r="O140" s="89" t="s">
        <v>48</v>
      </c>
      <c r="P140" s="89">
        <v>4</v>
      </c>
      <c r="Q140" s="89">
        <v>10</v>
      </c>
      <c r="R140" s="89" t="s">
        <v>64</v>
      </c>
      <c r="S140" s="89" t="s">
        <v>50</v>
      </c>
      <c r="T140" s="89" t="s">
        <v>50</v>
      </c>
      <c r="U140" s="89" t="s">
        <v>50</v>
      </c>
      <c r="V140" s="89" t="s">
        <v>50</v>
      </c>
      <c r="W140" s="89" t="s">
        <v>50</v>
      </c>
      <c r="X140" s="89" t="s">
        <v>50</v>
      </c>
    </row>
    <row r="141" spans="1:25" x14ac:dyDescent="0.25">
      <c r="A141" s="26">
        <v>43669</v>
      </c>
      <c r="B141" s="89" t="s">
        <v>70</v>
      </c>
      <c r="C141" s="89" t="s">
        <v>95</v>
      </c>
      <c r="D141" s="89">
        <v>38.056789999999999</v>
      </c>
      <c r="E141" s="89">
        <v>-121.54331000000001</v>
      </c>
      <c r="F141" s="89" t="s">
        <v>3520</v>
      </c>
      <c r="G141" s="89" t="s">
        <v>46</v>
      </c>
      <c r="H141" s="89" t="s">
        <v>115</v>
      </c>
      <c r="I141" s="602">
        <v>0.42569444444444443</v>
      </c>
      <c r="J141" s="82">
        <v>117.64999999999999</v>
      </c>
      <c r="K141" s="82">
        <v>23.9</v>
      </c>
      <c r="L141" s="82">
        <v>5.0125000000000002</v>
      </c>
      <c r="M141" s="82" t="s">
        <v>1233</v>
      </c>
      <c r="N141" s="82">
        <v>12.474999999999998</v>
      </c>
      <c r="O141" s="89" t="s">
        <v>48</v>
      </c>
      <c r="P141" s="89">
        <v>4</v>
      </c>
      <c r="Q141" s="89">
        <v>10</v>
      </c>
      <c r="R141" s="89" t="s">
        <v>64</v>
      </c>
      <c r="S141" s="89" t="s">
        <v>50</v>
      </c>
      <c r="T141" s="89" t="s">
        <v>50</v>
      </c>
      <c r="U141" s="89" t="s">
        <v>50</v>
      </c>
      <c r="V141" s="89" t="s">
        <v>50</v>
      </c>
      <c r="W141" s="89" t="s">
        <v>50</v>
      </c>
      <c r="X141" s="89" t="s">
        <v>50</v>
      </c>
    </row>
    <row r="142" spans="1:25" x14ac:dyDescent="0.25">
      <c r="A142" s="26">
        <v>43669</v>
      </c>
      <c r="B142" s="89" t="s">
        <v>70</v>
      </c>
      <c r="C142" s="89" t="s">
        <v>95</v>
      </c>
      <c r="D142" s="89">
        <v>38.056489999999997</v>
      </c>
      <c r="E142" s="89">
        <v>-121.54998000000001</v>
      </c>
      <c r="F142" s="89" t="s">
        <v>3521</v>
      </c>
      <c r="G142" s="89" t="s">
        <v>46</v>
      </c>
      <c r="H142" s="89" t="s">
        <v>115</v>
      </c>
      <c r="I142" s="602">
        <v>0.47847222222222219</v>
      </c>
      <c r="J142" s="82">
        <v>118.15</v>
      </c>
      <c r="K142" s="82">
        <v>24.05</v>
      </c>
      <c r="L142" s="82">
        <v>4.5250000000000004</v>
      </c>
      <c r="M142" s="82">
        <v>1.6125</v>
      </c>
      <c r="N142" s="82">
        <v>10.8</v>
      </c>
      <c r="O142" s="89" t="s">
        <v>48</v>
      </c>
      <c r="P142" s="89">
        <v>4</v>
      </c>
      <c r="Q142" s="89">
        <v>10</v>
      </c>
      <c r="R142" s="89" t="s">
        <v>49</v>
      </c>
      <c r="S142" s="89" t="s">
        <v>50</v>
      </c>
      <c r="T142" s="89" t="s">
        <v>50</v>
      </c>
      <c r="U142" s="89" t="s">
        <v>50</v>
      </c>
      <c r="V142" s="89" t="s">
        <v>50</v>
      </c>
      <c r="W142" s="89" t="s">
        <v>50</v>
      </c>
      <c r="X142" s="89" t="s">
        <v>50</v>
      </c>
    </row>
    <row r="143" spans="1:25" x14ac:dyDescent="0.25">
      <c r="A143" s="26">
        <v>43669</v>
      </c>
      <c r="B143" s="89" t="s">
        <v>70</v>
      </c>
      <c r="C143" s="89" t="s">
        <v>62</v>
      </c>
      <c r="D143" s="89">
        <v>38.179900000000004</v>
      </c>
      <c r="E143" s="89">
        <v>-121.99854999999999</v>
      </c>
      <c r="F143" s="89" t="s">
        <v>3522</v>
      </c>
      <c r="G143" s="89" t="s">
        <v>27</v>
      </c>
      <c r="H143" s="89" t="s">
        <v>62</v>
      </c>
      <c r="I143" s="602">
        <v>0.35416666666666669</v>
      </c>
      <c r="J143" s="82">
        <v>5151.5</v>
      </c>
      <c r="K143" s="82">
        <v>22.549999999999997</v>
      </c>
      <c r="L143" s="82">
        <v>29.025000000000002</v>
      </c>
      <c r="M143" s="82">
        <v>0.36750000000000005</v>
      </c>
      <c r="N143" s="82">
        <v>8.1</v>
      </c>
      <c r="O143" s="89" t="s">
        <v>48</v>
      </c>
      <c r="P143" s="89">
        <v>4</v>
      </c>
      <c r="Q143" s="89">
        <v>10</v>
      </c>
      <c r="R143" s="89" t="s">
        <v>49</v>
      </c>
      <c r="S143" s="89" t="s">
        <v>50</v>
      </c>
      <c r="T143" s="89" t="s">
        <v>50</v>
      </c>
      <c r="U143" s="89" t="s">
        <v>50</v>
      </c>
      <c r="V143" s="89" t="s">
        <v>50</v>
      </c>
      <c r="W143" s="89" t="s">
        <v>50</v>
      </c>
      <c r="X143" s="89" t="s">
        <v>50</v>
      </c>
    </row>
    <row r="144" spans="1:25" x14ac:dyDescent="0.25">
      <c r="A144" s="26">
        <v>43669</v>
      </c>
      <c r="B144" s="89" t="s">
        <v>70</v>
      </c>
      <c r="C144" s="89" t="s">
        <v>62</v>
      </c>
      <c r="D144" s="89">
        <v>38.142600000000002</v>
      </c>
      <c r="E144" s="89">
        <v>-122.06056</v>
      </c>
      <c r="F144" s="89" t="s">
        <v>3523</v>
      </c>
      <c r="G144" s="89" t="s">
        <v>27</v>
      </c>
      <c r="H144" s="89" t="s">
        <v>62</v>
      </c>
      <c r="I144" s="602">
        <v>0.41319444444444442</v>
      </c>
      <c r="J144" s="82">
        <v>8083</v>
      </c>
      <c r="K144" s="82">
        <v>23</v>
      </c>
      <c r="L144" s="82">
        <v>22.924999999999997</v>
      </c>
      <c r="M144" s="82">
        <v>0.45</v>
      </c>
      <c r="N144" s="82">
        <v>10.1</v>
      </c>
      <c r="O144" s="89" t="s">
        <v>48</v>
      </c>
      <c r="P144" s="89">
        <v>4</v>
      </c>
      <c r="Q144" s="89">
        <v>10</v>
      </c>
      <c r="R144" s="89" t="s">
        <v>49</v>
      </c>
      <c r="S144" s="89" t="s">
        <v>50</v>
      </c>
      <c r="T144" s="89" t="s">
        <v>50</v>
      </c>
      <c r="U144" s="89" t="s">
        <v>50</v>
      </c>
      <c r="V144" s="89" t="s">
        <v>50</v>
      </c>
      <c r="W144" s="89" t="s">
        <v>50</v>
      </c>
      <c r="X144" s="89" t="s">
        <v>50</v>
      </c>
      <c r="Y144" s="600" t="s">
        <v>3524</v>
      </c>
    </row>
    <row r="145" spans="1:25" x14ac:dyDescent="0.25">
      <c r="A145" s="26">
        <v>43669</v>
      </c>
      <c r="B145" s="89" t="s">
        <v>70</v>
      </c>
      <c r="C145" s="89" t="s">
        <v>62</v>
      </c>
      <c r="D145" s="89">
        <v>38.124859999999998</v>
      </c>
      <c r="E145" s="89">
        <v>-122.0583</v>
      </c>
      <c r="F145" s="89" t="s">
        <v>3525</v>
      </c>
      <c r="G145" s="89" t="s">
        <v>27</v>
      </c>
      <c r="H145" s="89" t="s">
        <v>62</v>
      </c>
      <c r="I145" s="602">
        <v>0.46249999999999997</v>
      </c>
      <c r="J145" s="82">
        <v>8223</v>
      </c>
      <c r="K145" s="82">
        <v>22.9</v>
      </c>
      <c r="L145" s="82">
        <v>31.524999999999999</v>
      </c>
      <c r="M145" s="82">
        <v>0.42999999999999994</v>
      </c>
      <c r="N145" s="82">
        <v>3.6500000000000004</v>
      </c>
      <c r="O145" s="89" t="s">
        <v>48</v>
      </c>
      <c r="P145" s="89">
        <v>4</v>
      </c>
      <c r="Q145" s="89">
        <v>10</v>
      </c>
      <c r="R145" s="89" t="s">
        <v>49</v>
      </c>
      <c r="S145" s="89" t="s">
        <v>50</v>
      </c>
      <c r="T145" s="89" t="s">
        <v>50</v>
      </c>
      <c r="U145" s="89" t="s">
        <v>50</v>
      </c>
      <c r="V145" s="89" t="s">
        <v>50</v>
      </c>
      <c r="W145" s="89" t="s">
        <v>50</v>
      </c>
      <c r="X145" s="89" t="s">
        <v>50</v>
      </c>
    </row>
    <row r="146" spans="1:25" x14ac:dyDescent="0.25">
      <c r="A146" s="26">
        <v>43670</v>
      </c>
      <c r="B146" s="26" t="s">
        <v>87</v>
      </c>
      <c r="C146" s="89" t="s">
        <v>106</v>
      </c>
      <c r="D146" s="89">
        <v>38.491720000000001</v>
      </c>
      <c r="E146" s="89">
        <v>-121.58459999999999</v>
      </c>
      <c r="F146" s="89" t="s">
        <v>3526</v>
      </c>
      <c r="G146" s="89" t="s">
        <v>90</v>
      </c>
      <c r="H146" s="89" t="s">
        <v>1787</v>
      </c>
      <c r="I146" s="602">
        <v>0.33819444444444446</v>
      </c>
      <c r="J146" s="89">
        <v>840.5</v>
      </c>
      <c r="K146" s="89">
        <v>24.3</v>
      </c>
      <c r="L146" s="89">
        <v>21.574999999999999</v>
      </c>
      <c r="M146" s="82">
        <v>0.46749999999999997</v>
      </c>
      <c r="N146" s="89">
        <v>10.45</v>
      </c>
      <c r="O146" s="89" t="s">
        <v>48</v>
      </c>
      <c r="P146" s="89">
        <v>4</v>
      </c>
      <c r="Q146" s="89">
        <v>10</v>
      </c>
      <c r="R146" s="89" t="s">
        <v>64</v>
      </c>
      <c r="S146" s="89" t="s">
        <v>50</v>
      </c>
      <c r="T146" s="89" t="s">
        <v>50</v>
      </c>
      <c r="U146" s="89" t="s">
        <v>50</v>
      </c>
      <c r="V146" s="89" t="s">
        <v>50</v>
      </c>
      <c r="W146" s="89" t="s">
        <v>50</v>
      </c>
      <c r="X146" s="89" t="s">
        <v>50</v>
      </c>
      <c r="Y146" s="600" t="s">
        <v>3527</v>
      </c>
    </row>
    <row r="147" spans="1:25" s="496" customFormat="1" x14ac:dyDescent="0.25">
      <c r="A147" s="495">
        <v>43670</v>
      </c>
      <c r="B147" s="495" t="s">
        <v>87</v>
      </c>
      <c r="C147" s="496" t="s">
        <v>106</v>
      </c>
      <c r="D147" s="496">
        <v>38.383470000000003</v>
      </c>
      <c r="E147" s="496">
        <v>-121.62564999999999</v>
      </c>
      <c r="F147" s="496" t="s">
        <v>3528</v>
      </c>
      <c r="G147" s="496" t="s">
        <v>90</v>
      </c>
      <c r="H147" s="496" t="s">
        <v>362</v>
      </c>
      <c r="I147" s="615">
        <v>0.39513888888888887</v>
      </c>
      <c r="J147" s="496">
        <v>525.5</v>
      </c>
      <c r="K147" s="496">
        <v>23.55</v>
      </c>
      <c r="L147" s="496">
        <v>34</v>
      </c>
      <c r="M147" s="498">
        <v>0.35499999999999998</v>
      </c>
      <c r="N147" s="496">
        <v>10.25</v>
      </c>
      <c r="O147" s="496" t="s">
        <v>48</v>
      </c>
      <c r="P147" s="496">
        <v>2</v>
      </c>
      <c r="Q147" s="496">
        <v>10</v>
      </c>
      <c r="R147" s="496" t="s">
        <v>64</v>
      </c>
      <c r="S147" s="496" t="s">
        <v>323</v>
      </c>
      <c r="T147" s="496">
        <v>7</v>
      </c>
      <c r="U147" s="496" t="s">
        <v>3529</v>
      </c>
      <c r="V147" s="496" t="s">
        <v>50</v>
      </c>
      <c r="W147" s="496" t="s">
        <v>50</v>
      </c>
      <c r="X147" s="496" t="s">
        <v>50</v>
      </c>
      <c r="Y147" s="601" t="s">
        <v>3530</v>
      </c>
    </row>
    <row r="148" spans="1:25" x14ac:dyDescent="0.25">
      <c r="A148" s="26">
        <v>43670</v>
      </c>
      <c r="B148" s="89" t="s">
        <v>87</v>
      </c>
      <c r="C148" s="89" t="s">
        <v>106</v>
      </c>
      <c r="D148" s="89">
        <v>38.233319999999999</v>
      </c>
      <c r="E148" s="89">
        <v>-121.67437</v>
      </c>
      <c r="F148" s="89" t="s">
        <v>3531</v>
      </c>
      <c r="G148" s="89" t="s">
        <v>90</v>
      </c>
      <c r="H148" s="89" t="s">
        <v>362</v>
      </c>
      <c r="I148" s="602">
        <v>0.4597222222222222</v>
      </c>
      <c r="J148" s="89">
        <v>133.65</v>
      </c>
      <c r="K148" s="89">
        <v>23.299999999999997</v>
      </c>
      <c r="L148" s="89">
        <v>7.3025000000000002</v>
      </c>
      <c r="M148" s="82">
        <v>1.5874999999999999</v>
      </c>
      <c r="N148" s="89">
        <v>10.75</v>
      </c>
      <c r="O148" s="89" t="s">
        <v>48</v>
      </c>
      <c r="P148" s="89">
        <v>4</v>
      </c>
      <c r="Q148" s="89">
        <v>10</v>
      </c>
      <c r="R148" s="89" t="s">
        <v>49</v>
      </c>
      <c r="S148" s="89" t="s">
        <v>50</v>
      </c>
      <c r="T148" s="89" t="s">
        <v>50</v>
      </c>
      <c r="U148" s="89" t="s">
        <v>50</v>
      </c>
      <c r="V148" s="89" t="s">
        <v>50</v>
      </c>
      <c r="W148" s="89" t="s">
        <v>50</v>
      </c>
      <c r="X148" s="89" t="s">
        <v>50</v>
      </c>
    </row>
    <row r="149" spans="1:25" s="496" customFormat="1" x14ac:dyDescent="0.25">
      <c r="A149" s="495">
        <v>43670</v>
      </c>
      <c r="B149" s="496" t="s">
        <v>87</v>
      </c>
      <c r="C149" s="496" t="s">
        <v>88</v>
      </c>
      <c r="D149" s="496">
        <v>38.070010000000003</v>
      </c>
      <c r="E149" s="496">
        <v>-121.83855</v>
      </c>
      <c r="F149" s="496" t="s">
        <v>3532</v>
      </c>
      <c r="G149" s="496" t="s">
        <v>27</v>
      </c>
      <c r="H149" s="496" t="s">
        <v>88</v>
      </c>
      <c r="I149" s="615">
        <v>0.33194444444444443</v>
      </c>
      <c r="J149" s="496">
        <v>916</v>
      </c>
      <c r="K149" s="496">
        <v>22.35</v>
      </c>
      <c r="L149" s="496">
        <v>75.45</v>
      </c>
      <c r="M149" s="498">
        <v>0.44</v>
      </c>
      <c r="N149" s="496">
        <v>6.5</v>
      </c>
      <c r="O149" s="496" t="s">
        <v>48</v>
      </c>
      <c r="P149" s="496">
        <v>2</v>
      </c>
      <c r="Q149" s="496">
        <v>10</v>
      </c>
      <c r="R149" s="496" t="s">
        <v>64</v>
      </c>
      <c r="S149" s="496" t="s">
        <v>323</v>
      </c>
      <c r="T149" s="496">
        <v>1</v>
      </c>
      <c r="U149" s="496">
        <v>42</v>
      </c>
      <c r="V149" s="496" t="s">
        <v>50</v>
      </c>
      <c r="W149" s="496" t="s">
        <v>50</v>
      </c>
      <c r="X149" s="496" t="s">
        <v>50</v>
      </c>
      <c r="Y149" s="601" t="s">
        <v>3533</v>
      </c>
    </row>
    <row r="150" spans="1:25" x14ac:dyDescent="0.25">
      <c r="A150" s="26">
        <v>43670</v>
      </c>
      <c r="B150" s="89" t="s">
        <v>87</v>
      </c>
      <c r="C150" s="89" t="s">
        <v>88</v>
      </c>
      <c r="D150" s="89">
        <v>38.065710000000003</v>
      </c>
      <c r="E150" s="89">
        <v>-121.78012</v>
      </c>
      <c r="F150" s="89" t="s">
        <v>3534</v>
      </c>
      <c r="G150" s="89" t="s">
        <v>27</v>
      </c>
      <c r="H150" s="89" t="s">
        <v>88</v>
      </c>
      <c r="I150" s="602">
        <v>0.36527777777777781</v>
      </c>
      <c r="J150" s="82">
        <v>246.125</v>
      </c>
      <c r="K150" s="82">
        <v>22.775000000000002</v>
      </c>
      <c r="L150" s="82">
        <v>83.575000000000003</v>
      </c>
      <c r="M150" s="82">
        <v>0.56499999999999995</v>
      </c>
      <c r="N150" s="82">
        <v>8.9175000000000004</v>
      </c>
      <c r="O150" s="89" t="s">
        <v>48</v>
      </c>
      <c r="P150" s="89">
        <v>4</v>
      </c>
      <c r="Q150" s="89">
        <v>10</v>
      </c>
      <c r="R150" s="89" t="s">
        <v>64</v>
      </c>
      <c r="S150" s="89" t="s">
        <v>50</v>
      </c>
      <c r="T150" s="89" t="s">
        <v>50</v>
      </c>
      <c r="U150" s="89" t="s">
        <v>50</v>
      </c>
      <c r="V150" s="89" t="s">
        <v>50</v>
      </c>
      <c r="W150" s="89" t="s">
        <v>50</v>
      </c>
      <c r="X150" s="89" t="s">
        <v>50</v>
      </c>
    </row>
    <row r="151" spans="1:25" x14ac:dyDescent="0.25">
      <c r="A151" s="26">
        <v>43670</v>
      </c>
      <c r="B151" s="89" t="s">
        <v>87</v>
      </c>
      <c r="C151" s="89" t="s">
        <v>88</v>
      </c>
      <c r="D151" s="89">
        <v>38.10313</v>
      </c>
      <c r="E151" s="89">
        <v>-121.68492000000001</v>
      </c>
      <c r="F151" s="89" t="s">
        <v>3535</v>
      </c>
      <c r="G151" s="89" t="s">
        <v>90</v>
      </c>
      <c r="H151" s="89" t="s">
        <v>91</v>
      </c>
      <c r="I151" s="602">
        <v>0.4291666666666667</v>
      </c>
      <c r="J151" s="82">
        <v>174.85</v>
      </c>
      <c r="K151" s="82">
        <v>23.424999999999997</v>
      </c>
      <c r="L151" s="82">
        <v>85.65</v>
      </c>
      <c r="M151" s="82">
        <v>1.2875000000000001</v>
      </c>
      <c r="N151" s="82">
        <v>8.9749999999999996</v>
      </c>
      <c r="O151" s="89" t="s">
        <v>48</v>
      </c>
      <c r="P151" s="89">
        <v>4</v>
      </c>
      <c r="Q151" s="89">
        <v>10</v>
      </c>
      <c r="R151" s="89" t="s">
        <v>49</v>
      </c>
      <c r="S151" s="89" t="s">
        <v>50</v>
      </c>
      <c r="T151" s="89" t="s">
        <v>50</v>
      </c>
      <c r="U151" s="89" t="s">
        <v>50</v>
      </c>
      <c r="V151" s="89" t="s">
        <v>50</v>
      </c>
      <c r="W151" s="89" t="s">
        <v>50</v>
      </c>
      <c r="X151" s="89" t="s">
        <v>50</v>
      </c>
      <c r="Y151" s="600" t="s">
        <v>3536</v>
      </c>
    </row>
    <row r="152" spans="1:25" x14ac:dyDescent="0.25">
      <c r="A152" s="26">
        <v>43670</v>
      </c>
      <c r="B152" s="89" t="s">
        <v>87</v>
      </c>
      <c r="C152" s="89" t="s">
        <v>88</v>
      </c>
      <c r="D152" s="89">
        <v>38.135840000000002</v>
      </c>
      <c r="E152" s="89">
        <v>-121.69056999999999</v>
      </c>
      <c r="F152" s="89" t="s">
        <v>3537</v>
      </c>
      <c r="G152" s="89" t="s">
        <v>90</v>
      </c>
      <c r="H152" s="89" t="s">
        <v>91</v>
      </c>
      <c r="I152" s="602">
        <v>0.4861111111111111</v>
      </c>
      <c r="J152" s="82">
        <v>125.5</v>
      </c>
      <c r="K152" s="82">
        <v>23.3</v>
      </c>
      <c r="L152" s="82">
        <v>19</v>
      </c>
      <c r="M152" s="82">
        <v>1.76</v>
      </c>
      <c r="N152" s="82">
        <v>4.09</v>
      </c>
      <c r="O152" s="89" t="s">
        <v>48</v>
      </c>
      <c r="P152" s="89">
        <v>4</v>
      </c>
      <c r="Q152" s="89">
        <v>10</v>
      </c>
      <c r="R152" s="89" t="s">
        <v>49</v>
      </c>
      <c r="S152" s="89" t="s">
        <v>50</v>
      </c>
      <c r="T152" s="89" t="s">
        <v>50</v>
      </c>
      <c r="U152" s="89" t="s">
        <v>50</v>
      </c>
      <c r="V152" s="89" t="s">
        <v>50</v>
      </c>
      <c r="W152" s="89" t="s">
        <v>50</v>
      </c>
      <c r="X152" s="89" t="s">
        <v>50</v>
      </c>
    </row>
    <row r="153" spans="1:25" x14ac:dyDescent="0.25">
      <c r="A153" s="26">
        <v>43670</v>
      </c>
      <c r="B153" s="89" t="s">
        <v>87</v>
      </c>
      <c r="C153" s="89" t="s">
        <v>78</v>
      </c>
      <c r="D153" s="89">
        <v>38.054340000000003</v>
      </c>
      <c r="E153" s="89">
        <v>-122.06775</v>
      </c>
      <c r="F153" s="89" t="s">
        <v>3538</v>
      </c>
      <c r="G153" s="89" t="s">
        <v>80</v>
      </c>
      <c r="H153" s="89" t="s">
        <v>81</v>
      </c>
      <c r="I153" s="602">
        <v>0.33611111111111108</v>
      </c>
      <c r="J153" s="82">
        <v>11292</v>
      </c>
      <c r="K153" s="82">
        <v>21.1</v>
      </c>
      <c r="L153" s="82">
        <v>9.92</v>
      </c>
      <c r="M153" s="82">
        <v>0.71750000000000003</v>
      </c>
      <c r="N153" s="82">
        <v>11.574999999999999</v>
      </c>
      <c r="O153" s="89" t="s">
        <v>48</v>
      </c>
      <c r="P153" s="89">
        <v>4</v>
      </c>
      <c r="Q153" s="89">
        <v>10</v>
      </c>
      <c r="R153" s="89" t="s">
        <v>64</v>
      </c>
      <c r="S153" s="89" t="s">
        <v>50</v>
      </c>
      <c r="T153" s="89" t="s">
        <v>50</v>
      </c>
      <c r="U153" s="89" t="s">
        <v>50</v>
      </c>
      <c r="V153" s="89" t="s">
        <v>50</v>
      </c>
      <c r="W153" s="89" t="s">
        <v>50</v>
      </c>
      <c r="X153" s="89" t="s">
        <v>50</v>
      </c>
    </row>
    <row r="154" spans="1:25" x14ac:dyDescent="0.25">
      <c r="A154" s="26">
        <v>43670</v>
      </c>
      <c r="B154" s="89" t="s">
        <v>87</v>
      </c>
      <c r="C154" s="89" t="s">
        <v>78</v>
      </c>
      <c r="D154" s="89">
        <v>38.038539999999998</v>
      </c>
      <c r="E154" s="89">
        <v>-122.14063</v>
      </c>
      <c r="F154" s="89" t="s">
        <v>3539</v>
      </c>
      <c r="G154" s="89" t="s">
        <v>80</v>
      </c>
      <c r="H154" s="89" t="s">
        <v>81</v>
      </c>
      <c r="I154" s="602">
        <v>0.38819444444444445</v>
      </c>
      <c r="J154" s="82">
        <v>17970.25</v>
      </c>
      <c r="K154" s="82">
        <v>20.9</v>
      </c>
      <c r="L154" s="82">
        <v>9.3375000000000004</v>
      </c>
      <c r="M154" s="82">
        <v>0.84</v>
      </c>
      <c r="N154" s="82">
        <v>12.625</v>
      </c>
      <c r="O154" s="89" t="s">
        <v>48</v>
      </c>
      <c r="P154" s="89">
        <v>4</v>
      </c>
      <c r="Q154" s="89">
        <v>10</v>
      </c>
      <c r="R154" s="89" t="s">
        <v>49</v>
      </c>
      <c r="S154" s="89" t="s">
        <v>50</v>
      </c>
      <c r="T154" s="89" t="s">
        <v>50</v>
      </c>
      <c r="U154" s="89" t="s">
        <v>50</v>
      </c>
      <c r="V154" s="89" t="s">
        <v>50</v>
      </c>
      <c r="W154" s="89" t="s">
        <v>50</v>
      </c>
      <c r="X154" s="89" t="s">
        <v>50</v>
      </c>
    </row>
    <row r="155" spans="1:25" x14ac:dyDescent="0.25">
      <c r="A155" s="194">
        <v>43670</v>
      </c>
      <c r="B155" s="98" t="s">
        <v>87</v>
      </c>
      <c r="C155" s="98" t="s">
        <v>78</v>
      </c>
      <c r="D155" s="98">
        <v>38.098550000000003</v>
      </c>
      <c r="E155" s="98">
        <v>-122.04927000000001</v>
      </c>
      <c r="F155" s="98" t="s">
        <v>3540</v>
      </c>
      <c r="G155" s="98" t="s">
        <v>27</v>
      </c>
      <c r="H155" s="98" t="s">
        <v>86</v>
      </c>
      <c r="I155" s="621">
        <v>0.4465277777777778</v>
      </c>
      <c r="J155" s="100">
        <v>10037.75</v>
      </c>
      <c r="K155" s="100">
        <v>21.999999999999996</v>
      </c>
      <c r="L155" s="100">
        <v>14.725000000000001</v>
      </c>
      <c r="M155" s="100">
        <v>0.53499999999999992</v>
      </c>
      <c r="N155" s="100">
        <v>5.9750000000000005</v>
      </c>
      <c r="O155" s="98" t="s">
        <v>48</v>
      </c>
      <c r="P155" s="98">
        <v>4</v>
      </c>
      <c r="Q155" s="98">
        <v>10</v>
      </c>
      <c r="R155" s="98" t="s">
        <v>49</v>
      </c>
      <c r="S155" s="98" t="s">
        <v>50</v>
      </c>
      <c r="T155" s="98" t="s">
        <v>50</v>
      </c>
      <c r="U155" s="98" t="s">
        <v>50</v>
      </c>
      <c r="V155" s="98" t="s">
        <v>50</v>
      </c>
      <c r="W155" s="98" t="s">
        <v>50</v>
      </c>
      <c r="X155" s="98" t="s">
        <v>50</v>
      </c>
      <c r="Y155" s="622" t="s">
        <v>3491</v>
      </c>
    </row>
    <row r="156" spans="1:25" x14ac:dyDescent="0.25">
      <c r="A156" s="26">
        <v>43670</v>
      </c>
      <c r="B156" s="89" t="s">
        <v>87</v>
      </c>
      <c r="C156" s="89" t="s">
        <v>78</v>
      </c>
      <c r="D156" s="89">
        <v>38.060830000000003</v>
      </c>
      <c r="E156" s="89">
        <v>-122.10684000000001</v>
      </c>
      <c r="F156" s="89" t="s">
        <v>3541</v>
      </c>
      <c r="G156" s="89" t="s">
        <v>80</v>
      </c>
      <c r="H156" s="89" t="s">
        <v>81</v>
      </c>
      <c r="I156" s="602">
        <v>0.5</v>
      </c>
      <c r="J156" s="82">
        <v>11700.5</v>
      </c>
      <c r="K156" s="82">
        <v>22.200000000000003</v>
      </c>
      <c r="L156" s="82">
        <v>12.85</v>
      </c>
      <c r="M156" s="82">
        <v>0.63500000000000001</v>
      </c>
      <c r="N156" s="82">
        <v>10.275</v>
      </c>
      <c r="O156" s="89" t="s">
        <v>48</v>
      </c>
      <c r="P156" s="89">
        <v>4</v>
      </c>
      <c r="Q156" s="89">
        <v>10</v>
      </c>
      <c r="R156" s="89" t="s">
        <v>49</v>
      </c>
      <c r="S156" s="89" t="s">
        <v>50</v>
      </c>
      <c r="T156" s="89" t="s">
        <v>50</v>
      </c>
      <c r="U156" s="89" t="s">
        <v>50</v>
      </c>
      <c r="V156" s="89" t="s">
        <v>50</v>
      </c>
      <c r="W156" s="89" t="s">
        <v>50</v>
      </c>
      <c r="X156" s="89" t="s">
        <v>50</v>
      </c>
    </row>
    <row r="157" spans="1:25" x14ac:dyDescent="0.25">
      <c r="A157" s="26">
        <v>43671</v>
      </c>
      <c r="B157" s="89" t="s">
        <v>105</v>
      </c>
      <c r="C157" s="89" t="s">
        <v>106</v>
      </c>
      <c r="D157" s="89">
        <v>38.560110000000002</v>
      </c>
      <c r="E157" s="89">
        <v>-121.56604</v>
      </c>
      <c r="F157" s="89" t="s">
        <v>3542</v>
      </c>
      <c r="G157" s="89" t="s">
        <v>90</v>
      </c>
      <c r="H157" s="89" t="s">
        <v>1787</v>
      </c>
      <c r="I157" s="602">
        <v>0.33819444444444446</v>
      </c>
      <c r="J157" s="82">
        <v>1015.75</v>
      </c>
      <c r="K157" s="82">
        <v>26.2</v>
      </c>
      <c r="L157" s="82">
        <v>2.3374999999999999</v>
      </c>
      <c r="M157" s="82" t="s">
        <v>2882</v>
      </c>
      <c r="N157" s="82">
        <v>10.875</v>
      </c>
      <c r="O157" s="89" t="s">
        <v>48</v>
      </c>
      <c r="P157" s="89">
        <v>4</v>
      </c>
      <c r="Q157" s="89">
        <v>10</v>
      </c>
      <c r="R157" s="89" t="s">
        <v>64</v>
      </c>
      <c r="S157" s="89" t="s">
        <v>50</v>
      </c>
      <c r="T157" s="89" t="s">
        <v>50</v>
      </c>
      <c r="U157" s="89" t="s">
        <v>50</v>
      </c>
      <c r="V157" s="89" t="s">
        <v>50</v>
      </c>
      <c r="W157" s="89" t="s">
        <v>50</v>
      </c>
      <c r="X157" s="89" t="s">
        <v>50</v>
      </c>
    </row>
    <row r="158" spans="1:25" s="496" customFormat="1" x14ac:dyDescent="0.25">
      <c r="A158" s="495">
        <v>43671</v>
      </c>
      <c r="B158" s="496" t="s">
        <v>105</v>
      </c>
      <c r="C158" s="496" t="s">
        <v>106</v>
      </c>
      <c r="D158" s="496">
        <v>38.457389999999997</v>
      </c>
      <c r="E158" s="496">
        <v>-121.59083</v>
      </c>
      <c r="F158" s="496" t="s">
        <v>3543</v>
      </c>
      <c r="G158" s="496" t="s">
        <v>90</v>
      </c>
      <c r="H158" s="496" t="s">
        <v>362</v>
      </c>
      <c r="I158" s="615">
        <v>0.39652777777777781</v>
      </c>
      <c r="J158" s="498">
        <v>784</v>
      </c>
      <c r="K158" s="498">
        <v>24.6</v>
      </c>
      <c r="L158" s="498">
        <v>18.799999999999997</v>
      </c>
      <c r="M158" s="498">
        <v>0.48499999999999999</v>
      </c>
      <c r="N158" s="498">
        <v>9.75</v>
      </c>
      <c r="O158" s="496" t="s">
        <v>48</v>
      </c>
      <c r="P158" s="496">
        <v>2</v>
      </c>
      <c r="Q158" s="496">
        <v>10</v>
      </c>
      <c r="R158" s="496" t="s">
        <v>64</v>
      </c>
      <c r="S158" s="496" t="s">
        <v>323</v>
      </c>
      <c r="T158" s="496">
        <v>4</v>
      </c>
      <c r="U158" s="496" t="s">
        <v>3544</v>
      </c>
      <c r="V158" s="496" t="s">
        <v>50</v>
      </c>
      <c r="W158" s="496" t="s">
        <v>50</v>
      </c>
      <c r="X158" s="496" t="s">
        <v>50</v>
      </c>
      <c r="Y158" s="601" t="s">
        <v>3545</v>
      </c>
    </row>
    <row r="159" spans="1:25" x14ac:dyDescent="0.25">
      <c r="A159" s="194">
        <v>43671</v>
      </c>
      <c r="B159" s="98" t="s">
        <v>105</v>
      </c>
      <c r="C159" s="98" t="s">
        <v>106</v>
      </c>
      <c r="D159" s="98">
        <v>38.227330000000002</v>
      </c>
      <c r="E159" s="98">
        <v>-121.67412</v>
      </c>
      <c r="F159" s="98" t="s">
        <v>3546</v>
      </c>
      <c r="G159" s="98" t="s">
        <v>90</v>
      </c>
      <c r="H159" s="98" t="s">
        <v>362</v>
      </c>
      <c r="I159" s="621">
        <v>0.45069444444444445</v>
      </c>
      <c r="J159" s="100">
        <v>131.625</v>
      </c>
      <c r="K159" s="100">
        <v>23.5</v>
      </c>
      <c r="L159" s="100">
        <v>5.0274999999999999</v>
      </c>
      <c r="M159" s="100">
        <v>1.69</v>
      </c>
      <c r="N159" s="100">
        <v>11.324999999999999</v>
      </c>
      <c r="O159" s="98" t="s">
        <v>48</v>
      </c>
      <c r="P159" s="98">
        <v>4</v>
      </c>
      <c r="Q159" s="98">
        <v>10</v>
      </c>
      <c r="R159" s="98" t="s">
        <v>64</v>
      </c>
      <c r="S159" s="98" t="s">
        <v>50</v>
      </c>
      <c r="T159" s="98" t="s">
        <v>50</v>
      </c>
      <c r="U159" s="98" t="s">
        <v>50</v>
      </c>
      <c r="V159" s="98" t="s">
        <v>50</v>
      </c>
      <c r="W159" s="98" t="s">
        <v>50</v>
      </c>
      <c r="X159" s="98" t="s">
        <v>50</v>
      </c>
      <c r="Y159" s="622"/>
    </row>
    <row r="160" spans="1:25" x14ac:dyDescent="0.25">
      <c r="A160" s="26">
        <v>43671</v>
      </c>
      <c r="B160" s="89" t="s">
        <v>105</v>
      </c>
      <c r="C160" s="89" t="s">
        <v>88</v>
      </c>
      <c r="D160" s="89">
        <v>38.031860000000002</v>
      </c>
      <c r="E160" s="89">
        <v>-121.78475</v>
      </c>
      <c r="F160" s="89" t="s">
        <v>3547</v>
      </c>
      <c r="G160" s="89" t="s">
        <v>27</v>
      </c>
      <c r="H160" s="89" t="s">
        <v>25</v>
      </c>
      <c r="I160" s="602">
        <v>0.33680555555555558</v>
      </c>
      <c r="J160" s="82">
        <v>538.25</v>
      </c>
      <c r="K160" s="82">
        <v>22.950000000000003</v>
      </c>
      <c r="L160" s="82">
        <v>13.75</v>
      </c>
      <c r="M160" s="82">
        <v>0.71749999999999992</v>
      </c>
      <c r="N160" s="82">
        <v>6.8</v>
      </c>
      <c r="O160" s="89" t="s">
        <v>48</v>
      </c>
      <c r="P160" s="89">
        <v>4</v>
      </c>
      <c r="Q160" s="89">
        <v>10</v>
      </c>
      <c r="R160" s="89" t="s">
        <v>49</v>
      </c>
      <c r="S160" s="89" t="s">
        <v>50</v>
      </c>
      <c r="T160" s="89" t="s">
        <v>50</v>
      </c>
      <c r="U160" s="89" t="s">
        <v>50</v>
      </c>
      <c r="V160" s="89" t="s">
        <v>50</v>
      </c>
      <c r="W160" s="89" t="s">
        <v>50</v>
      </c>
      <c r="X160" s="89" t="s">
        <v>50</v>
      </c>
      <c r="Y160" s="600" t="s">
        <v>3548</v>
      </c>
    </row>
    <row r="161" spans="1:25" x14ac:dyDescent="0.25">
      <c r="A161" s="26">
        <v>43671</v>
      </c>
      <c r="B161" s="89" t="s">
        <v>105</v>
      </c>
      <c r="C161" s="89" t="s">
        <v>88</v>
      </c>
      <c r="D161" s="89">
        <v>38.062159999999999</v>
      </c>
      <c r="E161" s="89">
        <v>-121.80951</v>
      </c>
      <c r="F161" s="89" t="s">
        <v>3549</v>
      </c>
      <c r="G161" s="89" t="s">
        <v>27</v>
      </c>
      <c r="H161" s="89" t="s">
        <v>25</v>
      </c>
      <c r="I161" s="602">
        <v>0.38958333333333334</v>
      </c>
      <c r="J161" s="82">
        <v>398.625</v>
      </c>
      <c r="K161" s="82">
        <v>22.9</v>
      </c>
      <c r="L161" s="82">
        <v>20.350000000000001</v>
      </c>
      <c r="M161" s="82">
        <v>0.44499999999999995</v>
      </c>
      <c r="N161" s="82">
        <v>9.1000000000000014</v>
      </c>
      <c r="O161" s="89" t="s">
        <v>48</v>
      </c>
      <c r="P161" s="89">
        <v>4</v>
      </c>
      <c r="Q161" s="89">
        <v>10</v>
      </c>
      <c r="R161" s="89" t="s">
        <v>49</v>
      </c>
      <c r="S161" s="89" t="s">
        <v>50</v>
      </c>
      <c r="T161" s="89" t="s">
        <v>50</v>
      </c>
      <c r="U161" s="89" t="s">
        <v>50</v>
      </c>
      <c r="V161" s="89" t="s">
        <v>50</v>
      </c>
      <c r="W161" s="89" t="s">
        <v>50</v>
      </c>
      <c r="X161" s="89" t="s">
        <v>50</v>
      </c>
    </row>
    <row r="162" spans="1:25" x14ac:dyDescent="0.25">
      <c r="A162" s="26">
        <v>43671</v>
      </c>
      <c r="B162" s="89" t="s">
        <v>105</v>
      </c>
      <c r="C162" s="89" t="s">
        <v>88</v>
      </c>
      <c r="D162" s="89">
        <v>38.073360000000001</v>
      </c>
      <c r="E162" s="89">
        <v>-121.76114</v>
      </c>
      <c r="F162" s="89" t="s">
        <v>3550</v>
      </c>
      <c r="G162" s="89" t="s">
        <v>27</v>
      </c>
      <c r="H162" s="89" t="s">
        <v>25</v>
      </c>
      <c r="I162" s="602">
        <v>0.44027777777777777</v>
      </c>
      <c r="J162" s="82">
        <v>168.47499999999999</v>
      </c>
      <c r="K162" s="82">
        <v>23.274999999999999</v>
      </c>
      <c r="L162" s="82">
        <v>11.024999999999999</v>
      </c>
      <c r="M162" s="82">
        <v>0.83</v>
      </c>
      <c r="N162" s="82">
        <v>11.3</v>
      </c>
      <c r="O162" s="89" t="s">
        <v>48</v>
      </c>
      <c r="P162" s="89">
        <v>4</v>
      </c>
      <c r="Q162" s="89">
        <v>10</v>
      </c>
      <c r="R162" s="89" t="s">
        <v>64</v>
      </c>
      <c r="S162" s="89" t="s">
        <v>50</v>
      </c>
      <c r="T162" s="89" t="s">
        <v>50</v>
      </c>
      <c r="U162" s="89" t="s">
        <v>50</v>
      </c>
      <c r="V162" s="89" t="s">
        <v>50</v>
      </c>
      <c r="W162" s="89" t="s">
        <v>50</v>
      </c>
      <c r="X162" s="89" t="s">
        <v>50</v>
      </c>
      <c r="Y162" s="600" t="s">
        <v>3551</v>
      </c>
    </row>
    <row r="163" spans="1:25" x14ac:dyDescent="0.25">
      <c r="A163" s="26">
        <v>43671</v>
      </c>
      <c r="B163" s="89" t="s">
        <v>105</v>
      </c>
      <c r="C163" s="89" t="s">
        <v>118</v>
      </c>
      <c r="D163" s="89">
        <v>38.045400000000001</v>
      </c>
      <c r="E163" s="89">
        <v>-122.31010000000001</v>
      </c>
      <c r="F163" s="89" t="s">
        <v>3552</v>
      </c>
      <c r="G163" s="89" t="s">
        <v>80</v>
      </c>
      <c r="H163" s="89" t="s">
        <v>123</v>
      </c>
      <c r="I163" s="602">
        <v>0.31527777777777777</v>
      </c>
      <c r="J163" s="82">
        <v>27653</v>
      </c>
      <c r="K163" s="82">
        <v>20.3</v>
      </c>
      <c r="L163" s="82">
        <v>7.1550000000000002</v>
      </c>
      <c r="M163" s="82">
        <v>0.77749999999999997</v>
      </c>
      <c r="N163" s="82">
        <v>9.4250000000000007</v>
      </c>
      <c r="O163" s="89" t="s">
        <v>48</v>
      </c>
      <c r="P163" s="89">
        <v>4</v>
      </c>
      <c r="Q163" s="89">
        <v>10</v>
      </c>
      <c r="R163" s="89" t="s">
        <v>64</v>
      </c>
      <c r="S163" s="89" t="s">
        <v>50</v>
      </c>
      <c r="T163" s="89" t="s">
        <v>50</v>
      </c>
      <c r="U163" s="89" t="s">
        <v>50</v>
      </c>
      <c r="V163" s="89" t="s">
        <v>50</v>
      </c>
      <c r="W163" s="89" t="s">
        <v>50</v>
      </c>
      <c r="X163" s="89" t="s">
        <v>50</v>
      </c>
      <c r="Y163" s="600" t="s">
        <v>3551</v>
      </c>
    </row>
    <row r="164" spans="1:25" x14ac:dyDescent="0.25">
      <c r="A164" s="26">
        <v>43671</v>
      </c>
      <c r="B164" s="89" t="s">
        <v>105</v>
      </c>
      <c r="C164" s="89" t="s">
        <v>118</v>
      </c>
      <c r="D164" s="89">
        <v>38.039319999999996</v>
      </c>
      <c r="E164" s="89">
        <v>-122.30968</v>
      </c>
      <c r="F164" s="89" t="s">
        <v>3553</v>
      </c>
      <c r="G164" s="89" t="s">
        <v>80</v>
      </c>
      <c r="H164" s="89" t="s">
        <v>123</v>
      </c>
      <c r="I164" s="602">
        <v>0.36874999999999997</v>
      </c>
      <c r="J164" s="82">
        <v>29352</v>
      </c>
      <c r="K164" s="82">
        <v>19.8</v>
      </c>
      <c r="L164" s="82">
        <v>3.0949999999999998</v>
      </c>
      <c r="M164" s="82">
        <v>1.0150000000000001</v>
      </c>
      <c r="N164" s="82">
        <v>5.2</v>
      </c>
      <c r="O164" s="89" t="s">
        <v>48</v>
      </c>
      <c r="P164" s="89">
        <v>4</v>
      </c>
      <c r="Q164" s="89">
        <v>10</v>
      </c>
      <c r="R164" s="89" t="s">
        <v>49</v>
      </c>
      <c r="S164" s="89" t="s">
        <v>50</v>
      </c>
      <c r="T164" s="89" t="s">
        <v>50</v>
      </c>
      <c r="U164" s="89" t="s">
        <v>50</v>
      </c>
      <c r="V164" s="89" t="s">
        <v>50</v>
      </c>
      <c r="W164" s="89" t="s">
        <v>50</v>
      </c>
      <c r="X164" s="89" t="s">
        <v>50</v>
      </c>
    </row>
    <row r="165" spans="1:25" x14ac:dyDescent="0.25">
      <c r="A165" s="26">
        <v>43671</v>
      </c>
      <c r="B165" s="89" t="s">
        <v>105</v>
      </c>
      <c r="C165" s="98" t="s">
        <v>118</v>
      </c>
      <c r="D165" s="98">
        <v>38.066339999999997</v>
      </c>
      <c r="E165" s="98">
        <v>-122.24684999999999</v>
      </c>
      <c r="F165" s="98" t="s">
        <v>3554</v>
      </c>
      <c r="G165" s="98" t="s">
        <v>80</v>
      </c>
      <c r="H165" s="98" t="s">
        <v>3332</v>
      </c>
      <c r="I165" s="602">
        <v>0.42569444444444443</v>
      </c>
      <c r="J165" s="100">
        <v>24311.25</v>
      </c>
      <c r="K165" s="100">
        <v>20.55</v>
      </c>
      <c r="L165" s="100">
        <v>7.9325000000000001</v>
      </c>
      <c r="M165" s="100">
        <v>0.70499999999999996</v>
      </c>
      <c r="N165" s="100">
        <v>15.875</v>
      </c>
      <c r="O165" s="98" t="s">
        <v>48</v>
      </c>
      <c r="P165" s="98">
        <v>4</v>
      </c>
      <c r="Q165" s="98">
        <v>10</v>
      </c>
      <c r="R165" s="89" t="s">
        <v>49</v>
      </c>
      <c r="S165" s="89" t="s">
        <v>50</v>
      </c>
      <c r="T165" s="89" t="s">
        <v>50</v>
      </c>
      <c r="U165" s="89" t="s">
        <v>50</v>
      </c>
      <c r="V165" s="89" t="s">
        <v>50</v>
      </c>
      <c r="W165" s="89" t="s">
        <v>50</v>
      </c>
      <c r="X165" s="89" t="s">
        <v>50</v>
      </c>
    </row>
    <row r="166" spans="1:25" s="362" customFormat="1" x14ac:dyDescent="0.25">
      <c r="A166" s="360">
        <v>43671</v>
      </c>
      <c r="B166" s="362" t="s">
        <v>105</v>
      </c>
      <c r="C166" s="362" t="s">
        <v>118</v>
      </c>
      <c r="D166" s="362">
        <v>38.145479999999999</v>
      </c>
      <c r="E166" s="362">
        <v>-122.28599</v>
      </c>
      <c r="F166" s="362" t="s">
        <v>3555</v>
      </c>
      <c r="G166" s="362" t="s">
        <v>80</v>
      </c>
      <c r="H166" s="362" t="s">
        <v>191</v>
      </c>
      <c r="I166" s="618">
        <v>0.48958333333333331</v>
      </c>
      <c r="J166" s="364">
        <v>21484.5</v>
      </c>
      <c r="K166" s="364">
        <v>21.774999999999999</v>
      </c>
      <c r="L166" s="364">
        <v>14.8</v>
      </c>
      <c r="M166" s="364">
        <v>0.63249999999999995</v>
      </c>
      <c r="N166" s="364">
        <v>9.875</v>
      </c>
      <c r="O166" s="362" t="s">
        <v>48</v>
      </c>
      <c r="P166" s="362">
        <v>4</v>
      </c>
      <c r="Q166" s="362">
        <v>10</v>
      </c>
      <c r="R166" s="362" t="s">
        <v>49</v>
      </c>
      <c r="S166" s="362" t="s">
        <v>50</v>
      </c>
      <c r="T166" s="362" t="s">
        <v>50</v>
      </c>
      <c r="U166" s="362" t="s">
        <v>50</v>
      </c>
      <c r="V166" s="362" t="s">
        <v>50</v>
      </c>
      <c r="W166" s="362" t="s">
        <v>50</v>
      </c>
      <c r="X166" s="362" t="s">
        <v>50</v>
      </c>
      <c r="Y166" s="603"/>
    </row>
    <row r="167" spans="1:25" x14ac:dyDescent="0.25">
      <c r="A167" s="26">
        <v>43675</v>
      </c>
      <c r="B167" s="89" t="s">
        <v>43</v>
      </c>
      <c r="C167" s="89" t="s">
        <v>88</v>
      </c>
      <c r="D167" s="89">
        <v>38.057009999999998</v>
      </c>
      <c r="E167" s="89">
        <v>-121.79713</v>
      </c>
      <c r="F167" s="89" t="s">
        <v>3556</v>
      </c>
      <c r="G167" s="89" t="s">
        <v>27</v>
      </c>
      <c r="H167" s="89" t="s">
        <v>25</v>
      </c>
      <c r="I167" s="602">
        <v>0.3347222222222222</v>
      </c>
      <c r="J167" s="82">
        <v>900.75</v>
      </c>
      <c r="K167" s="82">
        <v>22.975000000000001</v>
      </c>
      <c r="L167" s="82">
        <v>23.074999999999996</v>
      </c>
      <c r="M167" s="82">
        <v>0.59499999999999997</v>
      </c>
      <c r="N167" s="82">
        <v>7.4749999999999996</v>
      </c>
      <c r="O167" s="89" t="s">
        <v>48</v>
      </c>
      <c r="P167" s="89">
        <v>4</v>
      </c>
      <c r="Q167" s="89">
        <v>10</v>
      </c>
      <c r="R167" s="89" t="s">
        <v>49</v>
      </c>
      <c r="S167" s="89" t="s">
        <v>50</v>
      </c>
      <c r="T167" s="89" t="s">
        <v>50</v>
      </c>
      <c r="U167" s="89" t="s">
        <v>50</v>
      </c>
      <c r="V167" s="89" t="s">
        <v>50</v>
      </c>
      <c r="W167" s="89" t="s">
        <v>50</v>
      </c>
      <c r="X167" s="89" t="s">
        <v>50</v>
      </c>
      <c r="Y167" s="600" t="s">
        <v>3551</v>
      </c>
    </row>
    <row r="168" spans="1:25" x14ac:dyDescent="0.25">
      <c r="A168" s="26">
        <v>43675</v>
      </c>
      <c r="B168" s="89" t="s">
        <v>43</v>
      </c>
      <c r="C168" s="89" t="s">
        <v>88</v>
      </c>
      <c r="D168" s="89">
        <v>38.064929999999997</v>
      </c>
      <c r="E168" s="89">
        <v>-121.77683</v>
      </c>
      <c r="F168" s="89" t="s">
        <v>3557</v>
      </c>
      <c r="G168" s="89" t="s">
        <v>27</v>
      </c>
      <c r="H168" s="89" t="s">
        <v>25</v>
      </c>
      <c r="I168" s="602">
        <v>0.3923611111111111</v>
      </c>
      <c r="J168" s="82">
        <v>199.22499999999999</v>
      </c>
      <c r="K168" s="82">
        <v>23.7</v>
      </c>
      <c r="L168" s="82">
        <v>23.174999999999997</v>
      </c>
      <c r="M168" s="82">
        <v>0.625</v>
      </c>
      <c r="N168" s="82">
        <v>5.6000000000000005</v>
      </c>
      <c r="O168" s="89" t="s">
        <v>48</v>
      </c>
      <c r="P168" s="89">
        <v>4</v>
      </c>
      <c r="Q168" s="89">
        <v>10</v>
      </c>
      <c r="R168" s="89" t="s">
        <v>49</v>
      </c>
      <c r="S168" s="89" t="s">
        <v>50</v>
      </c>
      <c r="T168" s="89" t="s">
        <v>50</v>
      </c>
      <c r="U168" s="89" t="s">
        <v>50</v>
      </c>
      <c r="V168" s="89" t="s">
        <v>50</v>
      </c>
      <c r="W168" s="89" t="s">
        <v>50</v>
      </c>
      <c r="X168" s="89" t="s">
        <v>50</v>
      </c>
      <c r="Y168" s="600" t="s">
        <v>3558</v>
      </c>
    </row>
    <row r="169" spans="1:25" x14ac:dyDescent="0.25">
      <c r="A169" s="26">
        <v>43675</v>
      </c>
      <c r="B169" s="89" t="s">
        <v>43</v>
      </c>
      <c r="C169" s="89" t="s">
        <v>88</v>
      </c>
      <c r="D169" s="89">
        <v>38.100810000000003</v>
      </c>
      <c r="E169" s="89">
        <v>-121.72378</v>
      </c>
      <c r="F169" s="89" t="s">
        <v>3559</v>
      </c>
      <c r="G169" s="89" t="s">
        <v>90</v>
      </c>
      <c r="H169" s="89" t="s">
        <v>91</v>
      </c>
      <c r="I169" s="602">
        <v>0.44513888888888892</v>
      </c>
      <c r="J169" s="82">
        <v>125.675</v>
      </c>
      <c r="K169" s="82">
        <v>23.825000000000003</v>
      </c>
      <c r="L169" s="82">
        <v>11.75</v>
      </c>
      <c r="M169" s="82">
        <v>1.1125</v>
      </c>
      <c r="N169" s="82">
        <v>6.4</v>
      </c>
      <c r="O169" s="89" t="s">
        <v>48</v>
      </c>
      <c r="P169" s="89">
        <v>4</v>
      </c>
      <c r="Q169" s="89">
        <v>10</v>
      </c>
      <c r="R169" s="89" t="s">
        <v>49</v>
      </c>
      <c r="S169" s="89" t="s">
        <v>50</v>
      </c>
      <c r="T169" s="89" t="s">
        <v>50</v>
      </c>
      <c r="U169" s="89" t="s">
        <v>50</v>
      </c>
      <c r="V169" s="89" t="s">
        <v>50</v>
      </c>
      <c r="W169" s="89" t="s">
        <v>50</v>
      </c>
      <c r="X169" s="89" t="s">
        <v>50</v>
      </c>
      <c r="Y169" s="600" t="s">
        <v>3560</v>
      </c>
    </row>
    <row r="170" spans="1:25" x14ac:dyDescent="0.25">
      <c r="A170" s="26">
        <v>43675</v>
      </c>
      <c r="B170" s="89" t="s">
        <v>43</v>
      </c>
      <c r="C170" s="89" t="s">
        <v>106</v>
      </c>
      <c r="D170" s="89">
        <v>38.47983</v>
      </c>
      <c r="E170" s="89">
        <v>-121.584</v>
      </c>
      <c r="F170" s="89" t="s">
        <v>3561</v>
      </c>
      <c r="G170" s="89" t="s">
        <v>90</v>
      </c>
      <c r="H170" s="89" t="s">
        <v>1787</v>
      </c>
      <c r="I170" s="602">
        <v>0.36180555555555555</v>
      </c>
      <c r="J170" s="82">
        <v>834.25</v>
      </c>
      <c r="K170" s="82">
        <v>24.625000000000004</v>
      </c>
      <c r="L170" s="82">
        <v>16.574999999999999</v>
      </c>
      <c r="M170" s="82">
        <v>0.61750000000000005</v>
      </c>
      <c r="N170" s="82">
        <v>8.7249999999999996</v>
      </c>
      <c r="O170" s="89" t="s">
        <v>48</v>
      </c>
      <c r="P170" s="89">
        <v>4</v>
      </c>
      <c r="Q170" s="89">
        <v>10</v>
      </c>
      <c r="R170" s="89" t="s">
        <v>49</v>
      </c>
      <c r="S170" s="89" t="s">
        <v>50</v>
      </c>
      <c r="T170" s="89" t="s">
        <v>50</v>
      </c>
      <c r="U170" s="89" t="s">
        <v>50</v>
      </c>
      <c r="V170" s="89" t="s">
        <v>50</v>
      </c>
      <c r="W170" s="89" t="s">
        <v>50</v>
      </c>
      <c r="X170" s="89" t="s">
        <v>50</v>
      </c>
      <c r="Y170" s="600" t="s">
        <v>3562</v>
      </c>
    </row>
    <row r="171" spans="1:25" s="496" customFormat="1" x14ac:dyDescent="0.25">
      <c r="A171" s="495">
        <v>43675</v>
      </c>
      <c r="B171" s="496" t="s">
        <v>43</v>
      </c>
      <c r="C171" s="496" t="s">
        <v>106</v>
      </c>
      <c r="D171" s="496">
        <v>38.414679999999997</v>
      </c>
      <c r="E171" s="496">
        <v>-121.61077</v>
      </c>
      <c r="F171" s="496" t="s">
        <v>3563</v>
      </c>
      <c r="G171" s="496" t="s">
        <v>90</v>
      </c>
      <c r="H171" s="496" t="s">
        <v>362</v>
      </c>
      <c r="I171" s="615">
        <v>0.43958333333333338</v>
      </c>
      <c r="J171" s="498">
        <v>700</v>
      </c>
      <c r="K171" s="498">
        <v>24.4</v>
      </c>
      <c r="L171" s="498">
        <v>24.5</v>
      </c>
      <c r="M171" s="498">
        <v>0.46499999999999997</v>
      </c>
      <c r="N171" s="498">
        <v>9.8000000000000007</v>
      </c>
      <c r="O171" s="496" t="s">
        <v>48</v>
      </c>
      <c r="P171" s="496">
        <v>2</v>
      </c>
      <c r="Q171" s="496">
        <v>10</v>
      </c>
      <c r="R171" s="496" t="s">
        <v>49</v>
      </c>
      <c r="S171" s="496" t="s">
        <v>323</v>
      </c>
      <c r="T171" s="496">
        <v>5</v>
      </c>
      <c r="U171" s="496" t="s">
        <v>3564</v>
      </c>
      <c r="V171" s="496" t="s">
        <v>50</v>
      </c>
      <c r="W171" s="496" t="s">
        <v>50</v>
      </c>
      <c r="X171" s="496" t="s">
        <v>50</v>
      </c>
      <c r="Y171" s="601" t="s">
        <v>3565</v>
      </c>
    </row>
    <row r="172" spans="1:25" s="496" customFormat="1" x14ac:dyDescent="0.25">
      <c r="A172" s="495">
        <v>43675</v>
      </c>
      <c r="B172" s="496" t="s">
        <v>43</v>
      </c>
      <c r="C172" s="496" t="s">
        <v>106</v>
      </c>
      <c r="D172" s="496">
        <v>38.288499999999999</v>
      </c>
      <c r="E172" s="496">
        <v>-121.65786</v>
      </c>
      <c r="F172" s="496" t="s">
        <v>3566</v>
      </c>
      <c r="G172" s="496" t="s">
        <v>90</v>
      </c>
      <c r="H172" s="496" t="s">
        <v>362</v>
      </c>
      <c r="I172" s="615">
        <v>0.51180555555555551</v>
      </c>
      <c r="J172" s="498">
        <v>287.42500000000001</v>
      </c>
      <c r="K172" s="498">
        <v>24.5</v>
      </c>
      <c r="L172" s="498">
        <v>12.434999999999999</v>
      </c>
      <c r="M172" s="498">
        <v>0.85749999999999993</v>
      </c>
      <c r="N172" s="498">
        <v>10.375</v>
      </c>
      <c r="O172" s="496" t="s">
        <v>48</v>
      </c>
      <c r="P172" s="496">
        <v>4</v>
      </c>
      <c r="Q172" s="496">
        <v>10</v>
      </c>
      <c r="R172" s="496" t="s">
        <v>64</v>
      </c>
      <c r="S172" s="496" t="s">
        <v>323</v>
      </c>
      <c r="T172" s="496">
        <v>1</v>
      </c>
      <c r="U172" s="496" t="s">
        <v>3567</v>
      </c>
      <c r="V172" s="496" t="s">
        <v>66</v>
      </c>
      <c r="W172" s="496" t="s">
        <v>50</v>
      </c>
      <c r="X172" s="496" t="s">
        <v>50</v>
      </c>
      <c r="Y172" s="601" t="s">
        <v>3568</v>
      </c>
    </row>
    <row r="173" spans="1:25" x14ac:dyDescent="0.25">
      <c r="A173" s="26">
        <v>43675</v>
      </c>
      <c r="B173" s="89" t="s">
        <v>43</v>
      </c>
      <c r="C173" s="89" t="s">
        <v>118</v>
      </c>
      <c r="D173" s="89">
        <v>38.05359</v>
      </c>
      <c r="E173" s="89">
        <v>-122.30488</v>
      </c>
      <c r="F173" s="89" t="s">
        <v>3569</v>
      </c>
      <c r="G173" s="89" t="s">
        <v>80</v>
      </c>
      <c r="H173" s="89" t="s">
        <v>123</v>
      </c>
      <c r="I173" s="602">
        <v>0.38750000000000001</v>
      </c>
      <c r="J173" s="82">
        <v>32359.5</v>
      </c>
      <c r="K173" s="82">
        <v>19.875</v>
      </c>
      <c r="L173" s="82">
        <v>16.649999999999999</v>
      </c>
      <c r="M173" s="82">
        <v>0.70000000000000007</v>
      </c>
      <c r="N173" s="82">
        <v>3.1749999999999998</v>
      </c>
      <c r="O173" s="89" t="s">
        <v>48</v>
      </c>
      <c r="P173" s="89">
        <v>4</v>
      </c>
      <c r="Q173" s="89">
        <v>10</v>
      </c>
      <c r="R173" s="89" t="s">
        <v>64</v>
      </c>
      <c r="S173" s="89" t="s">
        <v>50</v>
      </c>
      <c r="T173" s="89" t="s">
        <v>50</v>
      </c>
      <c r="U173" s="89" t="s">
        <v>50</v>
      </c>
      <c r="V173" s="89" t="s">
        <v>50</v>
      </c>
      <c r="W173" s="89" t="s">
        <v>50</v>
      </c>
      <c r="X173" s="89" t="s">
        <v>50</v>
      </c>
    </row>
    <row r="174" spans="1:25" x14ac:dyDescent="0.25">
      <c r="A174" s="26">
        <v>43675</v>
      </c>
      <c r="B174" s="89" t="s">
        <v>43</v>
      </c>
      <c r="C174" s="89" t="s">
        <v>118</v>
      </c>
      <c r="D174" s="89">
        <v>38.053100000000001</v>
      </c>
      <c r="E174" s="89">
        <v>-122.28717</v>
      </c>
      <c r="F174" s="89" t="s">
        <v>3570</v>
      </c>
      <c r="G174" s="89" t="s">
        <v>80</v>
      </c>
      <c r="H174" s="89" t="s">
        <v>123</v>
      </c>
      <c r="I174" s="602">
        <v>0.44166666666666665</v>
      </c>
      <c r="J174" s="100">
        <v>28378.75</v>
      </c>
      <c r="K174" s="100">
        <v>20.75</v>
      </c>
      <c r="L174" s="100">
        <v>19.149999999999999</v>
      </c>
      <c r="M174" s="100">
        <v>0.73749999999999993</v>
      </c>
      <c r="N174" s="100">
        <v>15.225</v>
      </c>
      <c r="O174" s="89" t="s">
        <v>48</v>
      </c>
      <c r="P174" s="89">
        <v>4</v>
      </c>
      <c r="Q174" s="89">
        <v>10</v>
      </c>
      <c r="R174" s="89" t="s">
        <v>64</v>
      </c>
      <c r="S174" s="89" t="s">
        <v>50</v>
      </c>
      <c r="T174" s="89" t="s">
        <v>50</v>
      </c>
      <c r="U174" s="89" t="s">
        <v>50</v>
      </c>
      <c r="V174" s="89" t="s">
        <v>50</v>
      </c>
      <c r="W174" s="89" t="s">
        <v>50</v>
      </c>
      <c r="X174" s="89" t="s">
        <v>50</v>
      </c>
      <c r="Y174" s="600" t="s">
        <v>3571</v>
      </c>
    </row>
    <row r="175" spans="1:25" s="150" customFormat="1" x14ac:dyDescent="0.25">
      <c r="A175" s="178">
        <v>43675</v>
      </c>
      <c r="B175" s="150" t="s">
        <v>43</v>
      </c>
      <c r="C175" s="150" t="s">
        <v>118</v>
      </c>
      <c r="D175" s="150">
        <v>38.055030000000002</v>
      </c>
      <c r="E175" s="150">
        <v>-122.26045999999999</v>
      </c>
      <c r="F175" s="150" t="s">
        <v>3572</v>
      </c>
      <c r="G175" s="150" t="s">
        <v>80</v>
      </c>
      <c r="H175" s="150" t="s">
        <v>123</v>
      </c>
      <c r="I175" s="614">
        <v>0.36805555555555558</v>
      </c>
      <c r="J175" s="197" t="s">
        <v>50</v>
      </c>
      <c r="K175" s="197" t="s">
        <v>50</v>
      </c>
      <c r="L175" s="197" t="s">
        <v>50</v>
      </c>
      <c r="M175" s="197" t="s">
        <v>50</v>
      </c>
      <c r="N175" s="197" t="s">
        <v>50</v>
      </c>
      <c r="O175" s="149" t="s">
        <v>48</v>
      </c>
      <c r="P175" s="149">
        <v>0</v>
      </c>
      <c r="Q175" s="149" t="s">
        <v>50</v>
      </c>
      <c r="R175" s="149" t="s">
        <v>50</v>
      </c>
      <c r="S175" s="149" t="s">
        <v>50</v>
      </c>
      <c r="T175" s="149" t="s">
        <v>50</v>
      </c>
      <c r="U175" s="149" t="s">
        <v>50</v>
      </c>
      <c r="V175" s="149" t="s">
        <v>50</v>
      </c>
      <c r="W175" s="149" t="s">
        <v>50</v>
      </c>
      <c r="X175" s="149" t="s">
        <v>50</v>
      </c>
      <c r="Y175" s="152" t="s">
        <v>3573</v>
      </c>
    </row>
    <row r="176" spans="1:25" x14ac:dyDescent="0.25">
      <c r="A176" s="26">
        <v>43675</v>
      </c>
      <c r="B176" s="89" t="s">
        <v>43</v>
      </c>
      <c r="C176" s="89" t="s">
        <v>118</v>
      </c>
      <c r="D176" s="89">
        <v>38.039870000000001</v>
      </c>
      <c r="E176" s="89">
        <v>-122.15912</v>
      </c>
      <c r="F176" s="89" t="s">
        <v>3574</v>
      </c>
      <c r="G176" s="89" t="s">
        <v>80</v>
      </c>
      <c r="H176" s="89" t="s">
        <v>3332</v>
      </c>
      <c r="I176" s="602">
        <v>0.54305555555555551</v>
      </c>
      <c r="J176" s="100">
        <v>22406</v>
      </c>
      <c r="K176" s="100">
        <v>21.4</v>
      </c>
      <c r="L176" s="100">
        <v>35.4</v>
      </c>
      <c r="M176" s="100">
        <v>0.48</v>
      </c>
      <c r="N176" s="100">
        <v>7.1</v>
      </c>
      <c r="O176" s="89" t="s">
        <v>48</v>
      </c>
      <c r="P176" s="98">
        <v>4</v>
      </c>
      <c r="Q176" s="98">
        <v>10</v>
      </c>
      <c r="R176" s="89" t="s">
        <v>64</v>
      </c>
      <c r="S176" s="89" t="s">
        <v>50</v>
      </c>
      <c r="T176" s="89" t="s">
        <v>50</v>
      </c>
      <c r="U176" s="89" t="s">
        <v>50</v>
      </c>
      <c r="V176" s="89" t="s">
        <v>50</v>
      </c>
      <c r="W176" s="89" t="s">
        <v>50</v>
      </c>
      <c r="X176" s="89" t="s">
        <v>50</v>
      </c>
    </row>
    <row r="177" spans="1:25" x14ac:dyDescent="0.25">
      <c r="A177" s="26">
        <v>43675</v>
      </c>
      <c r="B177" s="89" t="s">
        <v>43</v>
      </c>
      <c r="C177" s="89" t="s">
        <v>118</v>
      </c>
      <c r="D177" s="89">
        <v>38.035679999999999</v>
      </c>
      <c r="E177" s="89">
        <v>-122.17189</v>
      </c>
      <c r="F177" s="89" t="s">
        <v>3575</v>
      </c>
      <c r="G177" s="89" t="s">
        <v>80</v>
      </c>
      <c r="H177" s="89" t="s">
        <v>3332</v>
      </c>
      <c r="I177" s="602">
        <v>0.59652777777777777</v>
      </c>
      <c r="J177" s="82">
        <v>24644.5</v>
      </c>
      <c r="K177" s="82">
        <v>20.875</v>
      </c>
      <c r="L177" s="82">
        <v>18.8</v>
      </c>
      <c r="M177" s="82">
        <v>0.7024999999999999</v>
      </c>
      <c r="N177" s="82">
        <v>17.074999999999999</v>
      </c>
      <c r="O177" s="89" t="s">
        <v>48</v>
      </c>
      <c r="P177" s="89">
        <v>4</v>
      </c>
      <c r="Q177" s="89">
        <v>10</v>
      </c>
      <c r="R177" s="89" t="s">
        <v>64</v>
      </c>
      <c r="S177" s="89" t="s">
        <v>50</v>
      </c>
      <c r="T177" s="89" t="s">
        <v>50</v>
      </c>
      <c r="U177" s="89" t="s">
        <v>50</v>
      </c>
      <c r="V177" s="89" t="s">
        <v>50</v>
      </c>
      <c r="W177" s="89" t="s">
        <v>50</v>
      </c>
      <c r="X177" s="89" t="s">
        <v>50</v>
      </c>
    </row>
    <row r="178" spans="1:25" s="496" customFormat="1" x14ac:dyDescent="0.25">
      <c r="A178" s="495">
        <v>43676</v>
      </c>
      <c r="B178" s="496" t="s">
        <v>70</v>
      </c>
      <c r="C178" s="496" t="s">
        <v>78</v>
      </c>
      <c r="D178" s="496">
        <v>38.064410000000002</v>
      </c>
      <c r="E178" s="496">
        <v>-122.11136999999999</v>
      </c>
      <c r="F178" s="496" t="s">
        <v>3576</v>
      </c>
      <c r="G178" s="496" t="s">
        <v>80</v>
      </c>
      <c r="H178" s="496" t="s">
        <v>81</v>
      </c>
      <c r="I178" s="615">
        <v>0.31736111111111115</v>
      </c>
      <c r="J178" s="498">
        <v>15936.5</v>
      </c>
      <c r="K178" s="498">
        <v>20.950000000000003</v>
      </c>
      <c r="L178" s="498">
        <v>250.5</v>
      </c>
      <c r="M178" s="498">
        <v>0.16</v>
      </c>
      <c r="N178" s="498">
        <v>4.3499999999999996</v>
      </c>
      <c r="O178" s="496" t="s">
        <v>48</v>
      </c>
      <c r="P178" s="496">
        <v>2</v>
      </c>
      <c r="Q178" s="496">
        <v>10</v>
      </c>
      <c r="R178" s="496" t="s">
        <v>49</v>
      </c>
      <c r="S178" s="496" t="s">
        <v>323</v>
      </c>
      <c r="T178" s="496">
        <v>1</v>
      </c>
      <c r="U178" s="496">
        <v>46</v>
      </c>
      <c r="V178" s="496" t="s">
        <v>50</v>
      </c>
      <c r="W178" s="496" t="s">
        <v>50</v>
      </c>
      <c r="X178" s="496" t="s">
        <v>50</v>
      </c>
      <c r="Y178" s="601" t="s">
        <v>894</v>
      </c>
    </row>
    <row r="179" spans="1:25" s="206" customFormat="1" x14ac:dyDescent="0.25">
      <c r="A179" s="204">
        <v>43676</v>
      </c>
      <c r="B179" s="206" t="s">
        <v>70</v>
      </c>
      <c r="C179" s="206" t="s">
        <v>78</v>
      </c>
      <c r="D179" s="206">
        <v>38.064410000000002</v>
      </c>
      <c r="E179" s="206">
        <v>-122.11136999999999</v>
      </c>
      <c r="F179" s="206" t="s">
        <v>3576</v>
      </c>
      <c r="G179" s="206" t="s">
        <v>80</v>
      </c>
      <c r="H179" s="206" t="s">
        <v>81</v>
      </c>
      <c r="I179" s="613">
        <v>0.31736111111111115</v>
      </c>
      <c r="J179" s="208">
        <v>15936.5</v>
      </c>
      <c r="K179" s="208">
        <v>20.950000000000003</v>
      </c>
      <c r="L179" s="208">
        <v>250.5</v>
      </c>
      <c r="M179" s="208">
        <v>0.16</v>
      </c>
      <c r="N179" s="208">
        <v>4.3499999999999996</v>
      </c>
      <c r="O179" s="206" t="s">
        <v>48</v>
      </c>
      <c r="P179" s="206">
        <v>2</v>
      </c>
      <c r="Q179" s="206">
        <v>10</v>
      </c>
      <c r="R179" s="206" t="s">
        <v>49</v>
      </c>
      <c r="S179" s="206" t="s">
        <v>31</v>
      </c>
      <c r="T179" s="206">
        <v>4</v>
      </c>
      <c r="U179" s="206" t="s">
        <v>3577</v>
      </c>
      <c r="V179" s="206" t="s">
        <v>50</v>
      </c>
      <c r="W179" s="206" t="s">
        <v>50</v>
      </c>
      <c r="X179" s="206" t="s">
        <v>50</v>
      </c>
      <c r="Y179" s="605" t="s">
        <v>3578</v>
      </c>
    </row>
    <row r="180" spans="1:25" s="496" customFormat="1" x14ac:dyDescent="0.25">
      <c r="A180" s="495">
        <v>43676</v>
      </c>
      <c r="B180" s="496" t="s">
        <v>70</v>
      </c>
      <c r="C180" s="496" t="s">
        <v>78</v>
      </c>
      <c r="D180" s="496">
        <v>38.091380000000001</v>
      </c>
      <c r="E180" s="496">
        <v>-122.00839999999999</v>
      </c>
      <c r="F180" s="496" t="s">
        <v>3579</v>
      </c>
      <c r="G180" s="496" t="s">
        <v>27</v>
      </c>
      <c r="H180" s="496" t="s">
        <v>86</v>
      </c>
      <c r="I180" s="615">
        <v>0.37291666666666662</v>
      </c>
      <c r="J180" s="498">
        <v>60515</v>
      </c>
      <c r="K180" s="498">
        <v>21.7</v>
      </c>
      <c r="L180" s="498">
        <v>40.099999999999994</v>
      </c>
      <c r="M180" s="498">
        <v>0.43000000000000005</v>
      </c>
      <c r="N180" s="498">
        <v>6.5</v>
      </c>
      <c r="O180" s="496" t="s">
        <v>48</v>
      </c>
      <c r="P180" s="496">
        <v>2</v>
      </c>
      <c r="Q180" s="496">
        <v>10</v>
      </c>
      <c r="R180" s="496" t="s">
        <v>49</v>
      </c>
      <c r="S180" s="496" t="s">
        <v>323</v>
      </c>
      <c r="T180" s="496">
        <v>2</v>
      </c>
      <c r="U180" s="496" t="s">
        <v>3580</v>
      </c>
      <c r="V180" s="496" t="s">
        <v>66</v>
      </c>
      <c r="W180" s="496" t="s">
        <v>50</v>
      </c>
      <c r="X180" s="496" t="s">
        <v>50</v>
      </c>
      <c r="Y180" s="601" t="s">
        <v>3581</v>
      </c>
    </row>
    <row r="181" spans="1:25" x14ac:dyDescent="0.25">
      <c r="A181" s="26">
        <v>43676</v>
      </c>
      <c r="B181" s="89" t="s">
        <v>70</v>
      </c>
      <c r="C181" s="89" t="s">
        <v>78</v>
      </c>
      <c r="D181" s="89">
        <v>38.044110000000003</v>
      </c>
      <c r="E181" s="89">
        <v>-121.89805</v>
      </c>
      <c r="F181" s="89" t="s">
        <v>3582</v>
      </c>
      <c r="G181" s="89" t="s">
        <v>27</v>
      </c>
      <c r="H181" s="89" t="s">
        <v>101</v>
      </c>
      <c r="I181" s="602">
        <v>0.43611111111111112</v>
      </c>
      <c r="J181" s="82">
        <v>2053.5</v>
      </c>
      <c r="K181" s="82">
        <v>23.025000000000002</v>
      </c>
      <c r="L181" s="82">
        <v>20.149999999999999</v>
      </c>
      <c r="M181" s="82">
        <v>0.77500000000000002</v>
      </c>
      <c r="N181" s="82">
        <v>15.975000000000001</v>
      </c>
      <c r="O181" s="89" t="s">
        <v>48</v>
      </c>
      <c r="P181" s="89">
        <v>4</v>
      </c>
      <c r="Q181" s="89">
        <v>10</v>
      </c>
      <c r="R181" s="89" t="s">
        <v>49</v>
      </c>
      <c r="S181" s="89" t="s">
        <v>50</v>
      </c>
      <c r="T181" s="89" t="s">
        <v>50</v>
      </c>
      <c r="U181" s="89" t="s">
        <v>50</v>
      </c>
      <c r="V181" s="89" t="s">
        <v>50</v>
      </c>
      <c r="W181" s="89" t="s">
        <v>50</v>
      </c>
      <c r="X181" s="89" t="s">
        <v>50</v>
      </c>
    </row>
    <row r="182" spans="1:25" x14ac:dyDescent="0.25">
      <c r="A182" s="26">
        <v>43676</v>
      </c>
      <c r="B182" s="89" t="s">
        <v>70</v>
      </c>
      <c r="C182" s="89" t="s">
        <v>78</v>
      </c>
      <c r="D182" s="89">
        <v>38.054020000000001</v>
      </c>
      <c r="E182" s="89">
        <v>-121.85356</v>
      </c>
      <c r="F182" s="89" t="s">
        <v>3583</v>
      </c>
      <c r="G182" s="89" t="s">
        <v>27</v>
      </c>
      <c r="H182" s="89" t="s">
        <v>101</v>
      </c>
      <c r="I182" s="602">
        <v>0.52361111111111114</v>
      </c>
      <c r="J182" s="82">
        <v>2558.25</v>
      </c>
      <c r="K182" s="82">
        <v>23.175000000000001</v>
      </c>
      <c r="L182" s="82">
        <v>23.524999999999999</v>
      </c>
      <c r="M182" s="82">
        <v>0.55499999999999994</v>
      </c>
      <c r="N182" s="82">
        <v>10.8</v>
      </c>
      <c r="O182" s="89" t="s">
        <v>48</v>
      </c>
      <c r="P182" s="89">
        <v>4</v>
      </c>
      <c r="Q182" s="89">
        <v>10</v>
      </c>
      <c r="R182" s="89" t="s">
        <v>64</v>
      </c>
      <c r="S182" s="89" t="s">
        <v>50</v>
      </c>
      <c r="T182" s="89" t="s">
        <v>50</v>
      </c>
      <c r="U182" s="89" t="s">
        <v>50</v>
      </c>
      <c r="V182" s="89" t="s">
        <v>50</v>
      </c>
      <c r="W182" s="89" t="s">
        <v>50</v>
      </c>
      <c r="X182" s="89" t="s">
        <v>50</v>
      </c>
    </row>
    <row r="183" spans="1:25" s="496" customFormat="1" x14ac:dyDescent="0.25">
      <c r="A183" s="495">
        <v>43676</v>
      </c>
      <c r="B183" s="496" t="s">
        <v>70</v>
      </c>
      <c r="C183" s="496" t="s">
        <v>106</v>
      </c>
      <c r="D183" s="496">
        <v>38.436160000000001</v>
      </c>
      <c r="E183" s="496">
        <v>-121.60023</v>
      </c>
      <c r="F183" s="496" t="s">
        <v>3584</v>
      </c>
      <c r="G183" s="496" t="s">
        <v>90</v>
      </c>
      <c r="H183" s="496" t="s">
        <v>362</v>
      </c>
      <c r="I183" s="615">
        <v>0.35486111111111113</v>
      </c>
      <c r="J183" s="498">
        <v>720</v>
      </c>
      <c r="K183" s="498">
        <v>24</v>
      </c>
      <c r="L183" s="498">
        <v>60.3</v>
      </c>
      <c r="M183" s="498">
        <v>0.27500000000000002</v>
      </c>
      <c r="N183" s="498">
        <v>10.65</v>
      </c>
      <c r="O183" s="496" t="s">
        <v>48</v>
      </c>
      <c r="P183" s="496">
        <v>4</v>
      </c>
      <c r="Q183" s="496">
        <v>10</v>
      </c>
      <c r="R183" s="496" t="s">
        <v>49</v>
      </c>
      <c r="S183" s="670" t="s">
        <v>323</v>
      </c>
      <c r="T183" s="628">
        <v>1</v>
      </c>
      <c r="U183" s="496">
        <v>50</v>
      </c>
      <c r="V183" s="496" t="s">
        <v>50</v>
      </c>
      <c r="W183" s="496" t="s">
        <v>50</v>
      </c>
      <c r="X183" s="496" t="s">
        <v>50</v>
      </c>
      <c r="Y183" s="601" t="s">
        <v>3585</v>
      </c>
    </row>
    <row r="184" spans="1:25" s="496" customFormat="1" x14ac:dyDescent="0.25">
      <c r="A184" s="495">
        <v>43676</v>
      </c>
      <c r="B184" s="496" t="s">
        <v>70</v>
      </c>
      <c r="C184" s="496" t="s">
        <v>106</v>
      </c>
      <c r="D184" s="496">
        <v>38.25215</v>
      </c>
      <c r="E184" s="496">
        <v>-121.6683</v>
      </c>
      <c r="F184" s="496" t="s">
        <v>3586</v>
      </c>
      <c r="G184" s="496" t="s">
        <v>90</v>
      </c>
      <c r="H184" s="496" t="s">
        <v>362</v>
      </c>
      <c r="I184" s="615">
        <v>0.46388888888888885</v>
      </c>
      <c r="J184" s="498">
        <v>212.9</v>
      </c>
      <c r="K184" s="498">
        <v>23.8</v>
      </c>
      <c r="L184" s="498">
        <v>56.333333333333336</v>
      </c>
      <c r="M184" s="498">
        <v>0.67333333333333334</v>
      </c>
      <c r="N184" s="498">
        <v>6.753333333333333</v>
      </c>
      <c r="O184" s="496" t="s">
        <v>48</v>
      </c>
      <c r="P184" s="496">
        <v>3</v>
      </c>
      <c r="Q184" s="496">
        <v>10</v>
      </c>
      <c r="R184" s="496" t="s">
        <v>64</v>
      </c>
      <c r="S184" s="496" t="s">
        <v>323</v>
      </c>
      <c r="T184" s="628">
        <v>2</v>
      </c>
      <c r="U184" s="496" t="s">
        <v>3587</v>
      </c>
      <c r="V184" s="496" t="s">
        <v>50</v>
      </c>
      <c r="W184" s="496" t="s">
        <v>50</v>
      </c>
      <c r="X184" s="496" t="s">
        <v>50</v>
      </c>
      <c r="Y184" s="643" t="s">
        <v>3588</v>
      </c>
    </row>
    <row r="185" spans="1:25" x14ac:dyDescent="0.25">
      <c r="A185" s="26">
        <v>43676</v>
      </c>
      <c r="B185" s="89" t="s">
        <v>70</v>
      </c>
      <c r="C185" s="89" t="s">
        <v>106</v>
      </c>
      <c r="D185" s="89">
        <v>38.182279999999999</v>
      </c>
      <c r="E185" s="89">
        <v>-121.66337</v>
      </c>
      <c r="F185" s="89" t="s">
        <v>3589</v>
      </c>
      <c r="G185" s="89" t="s">
        <v>90</v>
      </c>
      <c r="H185" s="89" t="s">
        <v>362</v>
      </c>
      <c r="I185" s="602">
        <v>0.53194444444444444</v>
      </c>
      <c r="J185" s="82">
        <v>120.9</v>
      </c>
      <c r="K185" s="82">
        <v>22.975000000000001</v>
      </c>
      <c r="L185" s="82">
        <v>60.7</v>
      </c>
      <c r="M185" s="82">
        <v>1.4624999999999999</v>
      </c>
      <c r="N185" s="82">
        <v>18.809999999999999</v>
      </c>
      <c r="O185" s="89" t="s">
        <v>48</v>
      </c>
      <c r="P185" s="89">
        <v>4</v>
      </c>
      <c r="Q185" s="89">
        <v>10</v>
      </c>
      <c r="R185" s="89" t="s">
        <v>64</v>
      </c>
      <c r="S185" s="89" t="s">
        <v>50</v>
      </c>
      <c r="T185" s="89" t="s">
        <v>50</v>
      </c>
      <c r="U185" s="89" t="s">
        <v>50</v>
      </c>
      <c r="V185" s="89" t="s">
        <v>50</v>
      </c>
      <c r="W185" s="89" t="s">
        <v>50</v>
      </c>
      <c r="X185" s="89" t="s">
        <v>50</v>
      </c>
      <c r="Y185" s="600" t="s">
        <v>3590</v>
      </c>
    </row>
    <row r="186" spans="1:25" x14ac:dyDescent="0.25">
      <c r="A186" s="26">
        <v>43677</v>
      </c>
      <c r="B186" s="89" t="s">
        <v>87</v>
      </c>
      <c r="C186" s="89" t="s">
        <v>62</v>
      </c>
      <c r="D186" s="89">
        <v>38.175449999999998</v>
      </c>
      <c r="E186" s="89">
        <v>-121.95278</v>
      </c>
      <c r="F186" s="89" t="s">
        <v>3591</v>
      </c>
      <c r="G186" s="89" t="s">
        <v>27</v>
      </c>
      <c r="H186" s="89" t="s">
        <v>62</v>
      </c>
      <c r="I186" s="602">
        <v>0.3611111111111111</v>
      </c>
      <c r="J186" s="82">
        <v>4143</v>
      </c>
      <c r="K186" s="82">
        <v>22.374999999999996</v>
      </c>
      <c r="L186" s="82">
        <v>80.849999999999994</v>
      </c>
      <c r="M186" s="82">
        <v>0.23249999999999998</v>
      </c>
      <c r="N186" s="82">
        <v>7.75</v>
      </c>
      <c r="O186" s="89" t="s">
        <v>48</v>
      </c>
      <c r="P186" s="89">
        <v>4</v>
      </c>
      <c r="Q186" s="89">
        <v>10</v>
      </c>
      <c r="R186" s="89" t="s">
        <v>49</v>
      </c>
      <c r="S186" s="89" t="s">
        <v>50</v>
      </c>
      <c r="T186" s="89" t="s">
        <v>50</v>
      </c>
      <c r="U186" s="89" t="s">
        <v>50</v>
      </c>
      <c r="V186" s="89" t="s">
        <v>50</v>
      </c>
      <c r="W186" s="89" t="s">
        <v>50</v>
      </c>
      <c r="X186" s="89" t="s">
        <v>50</v>
      </c>
    </row>
    <row r="187" spans="1:25" x14ac:dyDescent="0.25">
      <c r="A187" s="26">
        <v>43677</v>
      </c>
      <c r="B187" s="89" t="s">
        <v>87</v>
      </c>
      <c r="C187" s="89" t="s">
        <v>62</v>
      </c>
      <c r="D187" s="89">
        <v>38.179430000000004</v>
      </c>
      <c r="E187" s="89">
        <v>-122.00201</v>
      </c>
      <c r="F187" s="89" t="s">
        <v>3592</v>
      </c>
      <c r="G187" s="89" t="s">
        <v>27</v>
      </c>
      <c r="H187" s="89" t="s">
        <v>62</v>
      </c>
      <c r="I187" s="602">
        <v>0.42708333333333331</v>
      </c>
      <c r="J187" s="82">
        <v>4313</v>
      </c>
      <c r="K187" s="82">
        <v>22.5</v>
      </c>
      <c r="L187" s="82">
        <v>56.625</v>
      </c>
      <c r="M187" s="82">
        <v>0.215</v>
      </c>
      <c r="N187" s="82">
        <v>6.1749999999999989</v>
      </c>
      <c r="O187" s="89" t="s">
        <v>48</v>
      </c>
      <c r="P187" s="89">
        <v>4</v>
      </c>
      <c r="Q187" s="89">
        <v>10</v>
      </c>
      <c r="R187" s="89" t="s">
        <v>49</v>
      </c>
      <c r="S187" s="89" t="s">
        <v>50</v>
      </c>
      <c r="T187" s="89" t="s">
        <v>50</v>
      </c>
      <c r="U187" s="89" t="s">
        <v>50</v>
      </c>
      <c r="V187" s="89" t="s">
        <v>50</v>
      </c>
      <c r="W187" s="89" t="s">
        <v>50</v>
      </c>
      <c r="X187" s="89" t="s">
        <v>50</v>
      </c>
    </row>
    <row r="188" spans="1:25" s="496" customFormat="1" x14ac:dyDescent="0.25">
      <c r="A188" s="495">
        <v>43677</v>
      </c>
      <c r="B188" s="496" t="s">
        <v>87</v>
      </c>
      <c r="C188" s="496" t="s">
        <v>62</v>
      </c>
      <c r="D188" s="496">
        <v>38.108870000000003</v>
      </c>
      <c r="E188" s="496">
        <v>-122.05837</v>
      </c>
      <c r="F188" s="496" t="s">
        <v>3593</v>
      </c>
      <c r="G188" s="496" t="s">
        <v>27</v>
      </c>
      <c r="H188" s="496" t="s">
        <v>173</v>
      </c>
      <c r="I188" s="615">
        <v>0.49722222222222223</v>
      </c>
      <c r="J188" s="498">
        <v>12484.5</v>
      </c>
      <c r="K188" s="498">
        <v>21.8</v>
      </c>
      <c r="L188" s="498">
        <v>38.200000000000003</v>
      </c>
      <c r="M188" s="498">
        <v>0.36</v>
      </c>
      <c r="N188" s="498">
        <v>2.75</v>
      </c>
      <c r="O188" s="496" t="s">
        <v>48</v>
      </c>
      <c r="P188" s="496">
        <v>2</v>
      </c>
      <c r="Q188" s="496">
        <v>10</v>
      </c>
      <c r="R188" s="496" t="s">
        <v>64</v>
      </c>
      <c r="S188" s="496" t="s">
        <v>323</v>
      </c>
      <c r="T188" s="496">
        <v>1</v>
      </c>
      <c r="U188" s="496">
        <v>46</v>
      </c>
      <c r="V188" s="496" t="s">
        <v>50</v>
      </c>
      <c r="W188" s="496" t="s">
        <v>50</v>
      </c>
      <c r="X188" s="496" t="s">
        <v>50</v>
      </c>
      <c r="Y188" s="601" t="s">
        <v>894</v>
      </c>
    </row>
    <row r="189" spans="1:25" s="150" customFormat="1" x14ac:dyDescent="0.25">
      <c r="A189" s="178">
        <v>43677</v>
      </c>
      <c r="B189" s="150" t="s">
        <v>87</v>
      </c>
      <c r="C189" s="150" t="s">
        <v>62</v>
      </c>
      <c r="D189" s="150">
        <v>38.139139999999998</v>
      </c>
      <c r="E189" s="150">
        <v>-121.95286</v>
      </c>
      <c r="F189" s="150" t="s">
        <v>3594</v>
      </c>
      <c r="G189" s="150" t="s">
        <v>27</v>
      </c>
      <c r="H189" s="150" t="s">
        <v>62</v>
      </c>
      <c r="I189" s="614">
        <v>0.4861111111111111</v>
      </c>
      <c r="J189" s="197" t="s">
        <v>50</v>
      </c>
      <c r="K189" s="197" t="s">
        <v>50</v>
      </c>
      <c r="L189" s="197" t="s">
        <v>50</v>
      </c>
      <c r="M189" s="197" t="s">
        <v>50</v>
      </c>
      <c r="N189" s="197" t="s">
        <v>50</v>
      </c>
      <c r="O189" s="149" t="s">
        <v>48</v>
      </c>
      <c r="P189" s="149">
        <v>0</v>
      </c>
      <c r="Q189" s="149" t="s">
        <v>50</v>
      </c>
      <c r="R189" s="149" t="s">
        <v>50</v>
      </c>
      <c r="S189" s="149" t="s">
        <v>50</v>
      </c>
      <c r="T189" s="149" t="s">
        <v>50</v>
      </c>
      <c r="U189" s="149" t="s">
        <v>50</v>
      </c>
      <c r="V189" s="149" t="s">
        <v>50</v>
      </c>
      <c r="W189" s="149" t="s">
        <v>50</v>
      </c>
      <c r="X189" s="149" t="s">
        <v>50</v>
      </c>
      <c r="Y189" s="152" t="s">
        <v>3595</v>
      </c>
    </row>
    <row r="190" spans="1:25" x14ac:dyDescent="0.25">
      <c r="A190" s="26">
        <v>43677</v>
      </c>
      <c r="B190" s="89" t="s">
        <v>87</v>
      </c>
      <c r="C190" s="89" t="s">
        <v>126</v>
      </c>
      <c r="D190" s="89">
        <v>38.304690000000001</v>
      </c>
      <c r="E190" s="89">
        <v>-121.72964</v>
      </c>
      <c r="F190" s="89" t="s">
        <v>3596</v>
      </c>
      <c r="G190" s="89" t="s">
        <v>90</v>
      </c>
      <c r="H190" s="89" t="s">
        <v>845</v>
      </c>
      <c r="I190" s="602">
        <v>0.3298611111111111</v>
      </c>
      <c r="J190" s="82">
        <v>164.96666666666667</v>
      </c>
      <c r="K190" s="82">
        <v>22.100000000000005</v>
      </c>
      <c r="L190" s="82">
        <v>6.5933333333333337</v>
      </c>
      <c r="M190" s="82">
        <v>1.3233333333333335</v>
      </c>
      <c r="N190" s="82">
        <v>5.78</v>
      </c>
      <c r="O190" s="89" t="s">
        <v>48</v>
      </c>
      <c r="P190" s="89">
        <v>3</v>
      </c>
      <c r="Q190" s="89">
        <v>10</v>
      </c>
      <c r="R190" s="89" t="s">
        <v>49</v>
      </c>
      <c r="S190" s="89" t="s">
        <v>50</v>
      </c>
      <c r="T190" s="89" t="s">
        <v>50</v>
      </c>
      <c r="U190" s="89" t="s">
        <v>50</v>
      </c>
      <c r="V190" s="89" t="s">
        <v>50</v>
      </c>
      <c r="W190" s="89" t="s">
        <v>50</v>
      </c>
      <c r="X190" s="89" t="s">
        <v>50</v>
      </c>
      <c r="Y190" s="600" t="s">
        <v>3597</v>
      </c>
    </row>
    <row r="191" spans="1:25" x14ac:dyDescent="0.25">
      <c r="A191" s="26">
        <v>43677</v>
      </c>
      <c r="B191" s="89" t="s">
        <v>87</v>
      </c>
      <c r="C191" s="89" t="s">
        <v>126</v>
      </c>
      <c r="D191" s="89">
        <v>38.246810000000004</v>
      </c>
      <c r="E191" s="89">
        <v>-121.70104000000001</v>
      </c>
      <c r="F191" s="89" t="s">
        <v>3598</v>
      </c>
      <c r="G191" s="89" t="s">
        <v>90</v>
      </c>
      <c r="H191" s="89" t="s">
        <v>845</v>
      </c>
      <c r="I191" s="602">
        <v>0.40486111111111112</v>
      </c>
      <c r="J191" s="82">
        <v>140.9</v>
      </c>
      <c r="K191" s="82">
        <v>22.740000000000002</v>
      </c>
      <c r="L191" s="82">
        <v>5.75</v>
      </c>
      <c r="M191" s="82">
        <v>1.5780000000000001</v>
      </c>
      <c r="N191" s="82">
        <v>4.4979999999999993</v>
      </c>
      <c r="O191" s="89" t="s">
        <v>48</v>
      </c>
      <c r="P191" s="89">
        <v>5</v>
      </c>
      <c r="Q191" s="89">
        <v>10</v>
      </c>
      <c r="R191" s="89" t="s">
        <v>49</v>
      </c>
      <c r="S191" s="89" t="s">
        <v>50</v>
      </c>
      <c r="T191" s="89" t="s">
        <v>50</v>
      </c>
      <c r="U191" s="89" t="s">
        <v>50</v>
      </c>
      <c r="V191" s="89" t="s">
        <v>50</v>
      </c>
      <c r="W191" s="89" t="s">
        <v>50</v>
      </c>
      <c r="X191" s="89" t="s">
        <v>50</v>
      </c>
      <c r="Y191" s="600" t="s">
        <v>3599</v>
      </c>
    </row>
    <row r="192" spans="1:25" x14ac:dyDescent="0.25">
      <c r="A192" s="26">
        <v>43677</v>
      </c>
      <c r="B192" s="89" t="s">
        <v>87</v>
      </c>
      <c r="C192" s="89" t="s">
        <v>126</v>
      </c>
      <c r="D192" s="89">
        <v>38.256689999999999</v>
      </c>
      <c r="E192" s="89">
        <v>-121.73398</v>
      </c>
      <c r="F192" s="89" t="s">
        <v>3600</v>
      </c>
      <c r="G192" s="89" t="s">
        <v>90</v>
      </c>
      <c r="H192" s="89" t="s">
        <v>845</v>
      </c>
      <c r="I192" s="602">
        <v>6.3194444444444442E-2</v>
      </c>
      <c r="J192" s="82">
        <v>157.32500000000002</v>
      </c>
      <c r="K192" s="82">
        <v>22.8</v>
      </c>
      <c r="L192" s="82">
        <v>5.01</v>
      </c>
      <c r="M192" s="82">
        <v>1.7550000000000001</v>
      </c>
      <c r="N192" s="82">
        <v>5.5600000000000005</v>
      </c>
      <c r="O192" s="89" t="s">
        <v>48</v>
      </c>
      <c r="P192" s="89">
        <v>4</v>
      </c>
      <c r="Q192" s="89">
        <v>10</v>
      </c>
      <c r="R192" s="89" t="s">
        <v>49</v>
      </c>
      <c r="S192" s="89" t="s">
        <v>50</v>
      </c>
      <c r="T192" s="89" t="s">
        <v>50</v>
      </c>
      <c r="U192" s="89" t="s">
        <v>50</v>
      </c>
      <c r="V192" s="89" t="s">
        <v>50</v>
      </c>
      <c r="W192" s="89" t="s">
        <v>50</v>
      </c>
      <c r="X192" s="89" t="s">
        <v>50</v>
      </c>
      <c r="Y192" s="600" t="s">
        <v>3601</v>
      </c>
    </row>
    <row r="193" spans="1:25" x14ac:dyDescent="0.25">
      <c r="A193" s="26">
        <v>43677</v>
      </c>
      <c r="B193" s="89" t="s">
        <v>87</v>
      </c>
      <c r="C193" s="89" t="s">
        <v>95</v>
      </c>
      <c r="D193" s="89">
        <v>38.025329999999997</v>
      </c>
      <c r="E193" s="89">
        <v>-121.79115</v>
      </c>
      <c r="F193" s="89" t="s">
        <v>3602</v>
      </c>
      <c r="G193" s="89" t="s">
        <v>27</v>
      </c>
      <c r="H193" s="89" t="s">
        <v>863</v>
      </c>
      <c r="I193" s="602">
        <v>0.33194444444444443</v>
      </c>
      <c r="J193" s="82">
        <v>1434.75</v>
      </c>
      <c r="K193" s="82">
        <v>22.975000000000001</v>
      </c>
      <c r="L193" s="82">
        <v>19.325000000000003</v>
      </c>
      <c r="M193" s="82">
        <v>0.64250000000000007</v>
      </c>
      <c r="N193" s="82">
        <v>9.75</v>
      </c>
      <c r="O193" s="89" t="s">
        <v>48</v>
      </c>
      <c r="P193" s="89">
        <v>4</v>
      </c>
      <c r="Q193" s="89">
        <v>10</v>
      </c>
      <c r="R193" s="89" t="s">
        <v>49</v>
      </c>
      <c r="S193" s="89" t="s">
        <v>50</v>
      </c>
      <c r="T193" s="89" t="s">
        <v>50</v>
      </c>
      <c r="U193" s="89" t="s">
        <v>50</v>
      </c>
      <c r="V193" s="89" t="s">
        <v>50</v>
      </c>
      <c r="W193" s="89" t="s">
        <v>50</v>
      </c>
      <c r="X193" s="89" t="s">
        <v>50</v>
      </c>
      <c r="Y193" s="600" t="s">
        <v>3603</v>
      </c>
    </row>
    <row r="194" spans="1:25" x14ac:dyDescent="0.25">
      <c r="A194" s="26">
        <v>43677</v>
      </c>
      <c r="B194" s="89" t="s">
        <v>87</v>
      </c>
      <c r="C194" s="89" t="s">
        <v>95</v>
      </c>
      <c r="D194" s="89">
        <v>38.036729999999999</v>
      </c>
      <c r="E194" s="89">
        <v>-121.71077</v>
      </c>
      <c r="F194" s="89" t="s">
        <v>3604</v>
      </c>
      <c r="G194" s="89" t="s">
        <v>27</v>
      </c>
      <c r="H194" s="89" t="s">
        <v>863</v>
      </c>
      <c r="I194" s="602">
        <v>0.39027777777777778</v>
      </c>
      <c r="J194" s="100">
        <v>462.875</v>
      </c>
      <c r="K194" s="100">
        <v>23.650000000000002</v>
      </c>
      <c r="L194" s="100">
        <v>12.650000000000002</v>
      </c>
      <c r="M194" s="100">
        <v>0.97750000000000004</v>
      </c>
      <c r="N194" s="100">
        <v>5.0249999999999995</v>
      </c>
      <c r="O194" s="89" t="s">
        <v>48</v>
      </c>
      <c r="P194" s="89">
        <v>4</v>
      </c>
      <c r="Q194" s="89">
        <v>10</v>
      </c>
      <c r="R194" s="89" t="s">
        <v>49</v>
      </c>
      <c r="S194" s="89" t="s">
        <v>50</v>
      </c>
      <c r="T194" s="89" t="s">
        <v>50</v>
      </c>
      <c r="U194" s="89" t="s">
        <v>50</v>
      </c>
      <c r="V194" s="89" t="s">
        <v>50</v>
      </c>
      <c r="W194" s="89" t="s">
        <v>50</v>
      </c>
      <c r="X194" s="89" t="s">
        <v>50</v>
      </c>
      <c r="Y194" s="600" t="s">
        <v>3605</v>
      </c>
    </row>
    <row r="195" spans="1:25" x14ac:dyDescent="0.25">
      <c r="A195" s="26">
        <v>43677</v>
      </c>
      <c r="B195" s="89" t="s">
        <v>87</v>
      </c>
      <c r="C195" s="89" t="s">
        <v>95</v>
      </c>
      <c r="D195" s="89">
        <v>38.087919999999997</v>
      </c>
      <c r="E195" s="89">
        <v>-121.68567</v>
      </c>
      <c r="F195" s="89" t="s">
        <v>3606</v>
      </c>
      <c r="G195" s="89" t="s">
        <v>46</v>
      </c>
      <c r="H195" s="89" t="s">
        <v>908</v>
      </c>
      <c r="I195" s="602">
        <v>0.44930555555555557</v>
      </c>
      <c r="J195" s="82">
        <v>249.77500000000001</v>
      </c>
      <c r="K195" s="82">
        <v>24.150000000000002</v>
      </c>
      <c r="L195" s="82">
        <v>11.762499999999999</v>
      </c>
      <c r="M195" s="82">
        <v>1.02</v>
      </c>
      <c r="N195" s="82">
        <v>5.3249999999999993</v>
      </c>
      <c r="O195" s="89" t="s">
        <v>48</v>
      </c>
      <c r="P195" s="89">
        <v>4</v>
      </c>
      <c r="Q195" s="89">
        <v>10</v>
      </c>
      <c r="R195" s="89" t="s">
        <v>64</v>
      </c>
      <c r="S195" s="89" t="s">
        <v>50</v>
      </c>
      <c r="T195" s="89" t="s">
        <v>50</v>
      </c>
      <c r="U195" s="89" t="s">
        <v>50</v>
      </c>
      <c r="V195" s="89" t="s">
        <v>50</v>
      </c>
      <c r="W195" s="89" t="s">
        <v>50</v>
      </c>
      <c r="X195" s="89" t="s">
        <v>50</v>
      </c>
    </row>
    <row r="196" spans="1:25" x14ac:dyDescent="0.25">
      <c r="A196" s="26">
        <v>43678</v>
      </c>
      <c r="B196" s="89" t="s">
        <v>105</v>
      </c>
      <c r="C196" s="89" t="s">
        <v>62</v>
      </c>
      <c r="D196" s="89">
        <v>38.112630000000003</v>
      </c>
      <c r="E196" s="89">
        <v>-121.89081</v>
      </c>
      <c r="F196" s="89" t="s">
        <v>3607</v>
      </c>
      <c r="G196" s="89" t="s">
        <v>27</v>
      </c>
      <c r="H196" s="89" t="s">
        <v>62</v>
      </c>
      <c r="I196" s="602">
        <v>0.3444444444444445</v>
      </c>
      <c r="J196" s="82">
        <v>3239.75</v>
      </c>
      <c r="K196" s="82">
        <v>22.7</v>
      </c>
      <c r="L196" s="82">
        <v>41.575000000000003</v>
      </c>
      <c r="M196" s="82">
        <v>0.315</v>
      </c>
      <c r="N196" s="82">
        <v>3.9249999999999998</v>
      </c>
      <c r="O196" s="89" t="s">
        <v>48</v>
      </c>
      <c r="P196" s="89">
        <v>4</v>
      </c>
      <c r="Q196" s="89">
        <v>10</v>
      </c>
      <c r="R196" s="89" t="s">
        <v>49</v>
      </c>
      <c r="S196" s="89" t="s">
        <v>50</v>
      </c>
      <c r="T196" s="89" t="s">
        <v>50</v>
      </c>
      <c r="U196" s="89" t="s">
        <v>50</v>
      </c>
      <c r="V196" s="89" t="s">
        <v>50</v>
      </c>
      <c r="W196" s="89" t="s">
        <v>50</v>
      </c>
      <c r="X196" s="89" t="s">
        <v>50</v>
      </c>
    </row>
    <row r="197" spans="1:25" x14ac:dyDescent="0.25">
      <c r="A197" s="26">
        <v>43678</v>
      </c>
      <c r="B197" s="89" t="s">
        <v>105</v>
      </c>
      <c r="C197" s="89" t="s">
        <v>62</v>
      </c>
      <c r="D197" s="89">
        <v>38.150469999999999</v>
      </c>
      <c r="E197" s="89">
        <v>-122.05479</v>
      </c>
      <c r="F197" s="89" t="s">
        <v>3608</v>
      </c>
      <c r="G197" s="89" t="s">
        <v>27</v>
      </c>
      <c r="H197" s="89" t="s">
        <v>62</v>
      </c>
      <c r="I197" s="602">
        <v>0.42708333333333331</v>
      </c>
      <c r="J197" s="82">
        <v>8328.25</v>
      </c>
      <c r="K197" s="82">
        <v>22.5</v>
      </c>
      <c r="L197" s="82">
        <v>52.074999999999996</v>
      </c>
      <c r="M197" s="82">
        <v>0.28000000000000003</v>
      </c>
      <c r="N197" s="82">
        <v>5.3249999999999993</v>
      </c>
      <c r="O197" s="89" t="s">
        <v>48</v>
      </c>
      <c r="P197" s="89">
        <v>4</v>
      </c>
      <c r="Q197" s="89">
        <v>10</v>
      </c>
      <c r="R197" s="89" t="s">
        <v>49</v>
      </c>
      <c r="S197" s="89" t="s">
        <v>50</v>
      </c>
      <c r="T197" s="89" t="s">
        <v>50</v>
      </c>
      <c r="U197" s="89" t="s">
        <v>50</v>
      </c>
      <c r="V197" s="89" t="s">
        <v>50</v>
      </c>
      <c r="W197" s="89" t="s">
        <v>50</v>
      </c>
      <c r="X197" s="89" t="s">
        <v>50</v>
      </c>
    </row>
    <row r="198" spans="1:25" x14ac:dyDescent="0.25">
      <c r="A198" s="26">
        <v>43678</v>
      </c>
      <c r="B198" s="89" t="s">
        <v>105</v>
      </c>
      <c r="C198" s="89" t="s">
        <v>62</v>
      </c>
      <c r="D198" s="89">
        <v>38.195129999999999</v>
      </c>
      <c r="E198" s="89">
        <v>-122.04306</v>
      </c>
      <c r="F198" s="89" t="s">
        <v>3609</v>
      </c>
      <c r="G198" s="89" t="s">
        <v>27</v>
      </c>
      <c r="H198" s="89" t="s">
        <v>62</v>
      </c>
      <c r="I198" s="602">
        <v>0.48888888888888887</v>
      </c>
      <c r="J198" s="82">
        <v>3788</v>
      </c>
      <c r="K198" s="82">
        <v>21.5</v>
      </c>
      <c r="L198" s="82">
        <v>63.15</v>
      </c>
      <c r="M198" s="82">
        <v>0.23749999999999999</v>
      </c>
      <c r="N198" s="82">
        <v>5.3</v>
      </c>
      <c r="O198" s="89" t="s">
        <v>48</v>
      </c>
      <c r="P198" s="89">
        <v>4</v>
      </c>
      <c r="Q198" s="89">
        <v>10</v>
      </c>
      <c r="R198" s="89" t="s">
        <v>64</v>
      </c>
      <c r="S198" s="89" t="s">
        <v>50</v>
      </c>
      <c r="T198" s="89" t="s">
        <v>50</v>
      </c>
      <c r="U198" s="89" t="s">
        <v>50</v>
      </c>
      <c r="V198" s="89" t="s">
        <v>50</v>
      </c>
      <c r="W198" s="89" t="s">
        <v>50</v>
      </c>
      <c r="X198" s="89" t="s">
        <v>50</v>
      </c>
      <c r="Y198" s="600" t="s">
        <v>3610</v>
      </c>
    </row>
    <row r="199" spans="1:25" x14ac:dyDescent="0.25">
      <c r="A199" s="26">
        <v>43678</v>
      </c>
      <c r="B199" s="89" t="s">
        <v>105</v>
      </c>
      <c r="C199" s="89" t="s">
        <v>78</v>
      </c>
      <c r="D199" s="89">
        <v>38.023719999999997</v>
      </c>
      <c r="E199" s="89">
        <v>-121.8222</v>
      </c>
      <c r="F199" s="89" t="s">
        <v>3611</v>
      </c>
      <c r="G199" s="89" t="s">
        <v>27</v>
      </c>
      <c r="H199" s="89" t="s">
        <v>101</v>
      </c>
      <c r="I199" s="602">
        <v>0.3354166666666667</v>
      </c>
      <c r="J199" s="82">
        <v>2396.75</v>
      </c>
      <c r="K199" s="82">
        <v>22.725000000000001</v>
      </c>
      <c r="L199" s="82">
        <v>49.7</v>
      </c>
      <c r="M199" s="82">
        <v>0.82250000000000001</v>
      </c>
      <c r="N199" s="82">
        <v>17.649999999999999</v>
      </c>
      <c r="O199" s="89" t="s">
        <v>48</v>
      </c>
      <c r="P199" s="89">
        <v>4</v>
      </c>
      <c r="Q199" s="89">
        <v>10</v>
      </c>
      <c r="R199" s="89" t="s">
        <v>49</v>
      </c>
      <c r="S199" s="89" t="s">
        <v>50</v>
      </c>
      <c r="T199" s="89" t="s">
        <v>50</v>
      </c>
      <c r="U199" s="89" t="s">
        <v>50</v>
      </c>
      <c r="V199" s="89" t="s">
        <v>50</v>
      </c>
      <c r="W199" s="89" t="s">
        <v>50</v>
      </c>
      <c r="X199" s="89" t="s">
        <v>50</v>
      </c>
      <c r="Y199" s="600" t="s">
        <v>3548</v>
      </c>
    </row>
    <row r="200" spans="1:25" x14ac:dyDescent="0.25">
      <c r="A200" s="26">
        <v>43678</v>
      </c>
      <c r="B200" s="89" t="s">
        <v>105</v>
      </c>
      <c r="C200" s="89" t="s">
        <v>78</v>
      </c>
      <c r="D200" s="89">
        <v>38.04983</v>
      </c>
      <c r="E200" s="89">
        <v>-121.97161</v>
      </c>
      <c r="F200" s="89" t="s">
        <v>3612</v>
      </c>
      <c r="G200" s="89" t="s">
        <v>27</v>
      </c>
      <c r="H200" s="89" t="s">
        <v>86</v>
      </c>
      <c r="I200" s="602">
        <v>0.4201388888888889</v>
      </c>
      <c r="J200" s="82">
        <v>7061</v>
      </c>
      <c r="K200" s="82">
        <v>22.150000000000002</v>
      </c>
      <c r="L200" s="82">
        <v>59.9</v>
      </c>
      <c r="M200" s="82">
        <v>0.87</v>
      </c>
      <c r="N200" s="82">
        <v>3.1999999999999997</v>
      </c>
      <c r="O200" s="89" t="s">
        <v>48</v>
      </c>
      <c r="P200" s="89">
        <v>4</v>
      </c>
      <c r="Q200" s="89">
        <v>10</v>
      </c>
      <c r="R200" s="89" t="s">
        <v>49</v>
      </c>
      <c r="S200" s="89" t="s">
        <v>50</v>
      </c>
      <c r="T200" s="89" t="s">
        <v>50</v>
      </c>
      <c r="U200" s="89" t="s">
        <v>50</v>
      </c>
      <c r="V200" s="89" t="s">
        <v>50</v>
      </c>
      <c r="W200" s="89" t="s">
        <v>50</v>
      </c>
      <c r="X200" s="89" t="s">
        <v>50</v>
      </c>
    </row>
    <row r="201" spans="1:25" x14ac:dyDescent="0.25">
      <c r="A201" s="26">
        <v>43678</v>
      </c>
      <c r="B201" s="89" t="s">
        <v>105</v>
      </c>
      <c r="C201" s="89" t="s">
        <v>78</v>
      </c>
      <c r="D201" s="89">
        <v>38.063630000000003</v>
      </c>
      <c r="E201" s="89">
        <v>-122.02491000000001</v>
      </c>
      <c r="F201" s="89" t="s">
        <v>3613</v>
      </c>
      <c r="G201" s="89" t="s">
        <v>27</v>
      </c>
      <c r="H201" s="89" t="s">
        <v>86</v>
      </c>
      <c r="I201" s="602">
        <v>0.47361111111111115</v>
      </c>
      <c r="J201" s="82">
        <v>7373.75</v>
      </c>
      <c r="K201" s="82">
        <v>22.324999999999999</v>
      </c>
      <c r="L201" s="82">
        <v>53.6</v>
      </c>
      <c r="M201" s="82">
        <v>0.9</v>
      </c>
      <c r="N201" s="82">
        <v>8.25</v>
      </c>
      <c r="O201" s="89" t="s">
        <v>48</v>
      </c>
      <c r="P201" s="89">
        <v>4</v>
      </c>
      <c r="Q201" s="89">
        <v>10</v>
      </c>
      <c r="R201" s="89" t="s">
        <v>49</v>
      </c>
      <c r="S201" s="89" t="s">
        <v>50</v>
      </c>
      <c r="T201" s="89" t="s">
        <v>50</v>
      </c>
      <c r="U201" s="89" t="s">
        <v>50</v>
      </c>
      <c r="V201" s="89" t="s">
        <v>50</v>
      </c>
      <c r="W201" s="89" t="s">
        <v>50</v>
      </c>
      <c r="X201" s="89" t="s">
        <v>50</v>
      </c>
    </row>
    <row r="202" spans="1:25" x14ac:dyDescent="0.25">
      <c r="A202" s="26">
        <v>43678</v>
      </c>
      <c r="B202" s="89" t="s">
        <v>105</v>
      </c>
      <c r="C202" s="89" t="s">
        <v>126</v>
      </c>
      <c r="D202" s="89">
        <v>38.273719999999997</v>
      </c>
      <c r="E202" s="89">
        <v>-121.69414999999999</v>
      </c>
      <c r="F202" s="89" t="s">
        <v>3614</v>
      </c>
      <c r="G202" s="89" t="s">
        <v>90</v>
      </c>
      <c r="H202" s="89" t="s">
        <v>845</v>
      </c>
      <c r="I202" s="602">
        <v>0.35972222222222222</v>
      </c>
      <c r="J202" s="82">
        <v>143.07499999999999</v>
      </c>
      <c r="K202" s="82">
        <v>22.074999999999999</v>
      </c>
      <c r="L202" s="82">
        <v>6.7875000000000005</v>
      </c>
      <c r="M202" s="82">
        <v>1.2575000000000001</v>
      </c>
      <c r="N202" s="82">
        <v>8.4</v>
      </c>
      <c r="O202" s="89" t="s">
        <v>48</v>
      </c>
      <c r="P202" s="89">
        <v>4</v>
      </c>
      <c r="Q202" s="89">
        <v>10</v>
      </c>
      <c r="R202" s="89" t="s">
        <v>49</v>
      </c>
      <c r="S202" s="89" t="s">
        <v>50</v>
      </c>
      <c r="T202" s="89" t="s">
        <v>50</v>
      </c>
      <c r="U202" s="89" t="s">
        <v>50</v>
      </c>
      <c r="V202" s="89" t="s">
        <v>50</v>
      </c>
      <c r="W202" s="89" t="s">
        <v>50</v>
      </c>
      <c r="X202" s="89" t="s">
        <v>50</v>
      </c>
      <c r="Y202" s="600" t="s">
        <v>3615</v>
      </c>
    </row>
    <row r="203" spans="1:25" s="150" customFormat="1" x14ac:dyDescent="0.25">
      <c r="A203" s="178">
        <v>43678</v>
      </c>
      <c r="B203" s="150" t="s">
        <v>105</v>
      </c>
      <c r="C203" s="150" t="s">
        <v>126</v>
      </c>
      <c r="D203" s="150">
        <v>38.282780000000002</v>
      </c>
      <c r="E203" s="150">
        <v>-121.71395</v>
      </c>
      <c r="F203" s="150" t="s">
        <v>3616</v>
      </c>
      <c r="G203" s="150" t="s">
        <v>90</v>
      </c>
      <c r="H203" s="150" t="s">
        <v>845</v>
      </c>
      <c r="I203" s="614">
        <v>0.32847222222222222</v>
      </c>
      <c r="J203" s="197">
        <v>152.60000000000002</v>
      </c>
      <c r="K203" s="197">
        <v>22.05</v>
      </c>
      <c r="L203" s="197">
        <v>3.21</v>
      </c>
      <c r="M203" s="197">
        <v>1.52</v>
      </c>
      <c r="N203" s="197">
        <v>3.5</v>
      </c>
      <c r="O203" s="150" t="s">
        <v>48</v>
      </c>
      <c r="P203" s="150">
        <v>2</v>
      </c>
      <c r="Q203" s="150">
        <v>10</v>
      </c>
      <c r="R203" s="150" t="s">
        <v>49</v>
      </c>
      <c r="S203" s="150" t="s">
        <v>50</v>
      </c>
      <c r="T203" s="150" t="s">
        <v>50</v>
      </c>
      <c r="U203" s="150" t="s">
        <v>50</v>
      </c>
      <c r="V203" s="150" t="s">
        <v>50</v>
      </c>
      <c r="W203" s="150" t="s">
        <v>50</v>
      </c>
      <c r="X203" s="150" t="s">
        <v>50</v>
      </c>
      <c r="Y203" s="604" t="s">
        <v>3617</v>
      </c>
    </row>
    <row r="204" spans="1:25" x14ac:dyDescent="0.25">
      <c r="A204" s="26">
        <v>43678</v>
      </c>
      <c r="B204" s="89" t="s">
        <v>105</v>
      </c>
      <c r="C204" s="89" t="s">
        <v>126</v>
      </c>
      <c r="D204" s="89">
        <v>38.258319999999998</v>
      </c>
      <c r="E204" s="89">
        <v>-121.67122000000001</v>
      </c>
      <c r="F204" s="89" t="s">
        <v>3618</v>
      </c>
      <c r="G204" s="89" t="s">
        <v>90</v>
      </c>
      <c r="H204" s="89" t="s">
        <v>845</v>
      </c>
      <c r="I204" s="602">
        <v>0.41597222222222219</v>
      </c>
      <c r="J204" s="82">
        <v>153.47500000000002</v>
      </c>
      <c r="K204" s="82">
        <v>22.2</v>
      </c>
      <c r="L204" s="82">
        <v>15.225000000000001</v>
      </c>
      <c r="M204" s="82">
        <v>0.75750000000000006</v>
      </c>
      <c r="N204" s="82">
        <v>10.075000000000001</v>
      </c>
      <c r="O204" s="89" t="s">
        <v>48</v>
      </c>
      <c r="P204" s="89">
        <v>4</v>
      </c>
      <c r="Q204" s="89">
        <v>10</v>
      </c>
      <c r="R204" s="89" t="s">
        <v>49</v>
      </c>
      <c r="S204" s="89" t="s">
        <v>50</v>
      </c>
      <c r="T204" s="89" t="s">
        <v>50</v>
      </c>
      <c r="U204" s="89" t="s">
        <v>50</v>
      </c>
      <c r="V204" s="89" t="s">
        <v>50</v>
      </c>
      <c r="W204" s="89" t="s">
        <v>50</v>
      </c>
      <c r="X204" s="89" t="s">
        <v>50</v>
      </c>
      <c r="Y204" s="600" t="s">
        <v>3619</v>
      </c>
    </row>
    <row r="205" spans="1:25" x14ac:dyDescent="0.25">
      <c r="A205" s="26">
        <v>43678</v>
      </c>
      <c r="B205" s="89" t="s">
        <v>105</v>
      </c>
      <c r="C205" s="89" t="s">
        <v>126</v>
      </c>
      <c r="D205" s="89">
        <v>38.293460000000003</v>
      </c>
      <c r="E205" s="89">
        <v>-121.66719000000001</v>
      </c>
      <c r="F205" s="89" t="s">
        <v>3620</v>
      </c>
      <c r="G205" s="89" t="s">
        <v>90</v>
      </c>
      <c r="H205" s="89" t="s">
        <v>845</v>
      </c>
      <c r="I205" s="602">
        <v>0.47083333333333338</v>
      </c>
      <c r="J205" s="82">
        <v>179.27500000000003</v>
      </c>
      <c r="K205" s="82">
        <v>22.599999999999998</v>
      </c>
      <c r="L205" s="82">
        <v>14.399999999999999</v>
      </c>
      <c r="M205" s="82">
        <v>0.70750000000000002</v>
      </c>
      <c r="N205" s="82">
        <v>8.3249999999999993</v>
      </c>
      <c r="O205" s="89" t="s">
        <v>48</v>
      </c>
      <c r="P205" s="89">
        <v>4</v>
      </c>
      <c r="Q205" s="89">
        <v>10</v>
      </c>
      <c r="R205" s="89" t="s">
        <v>49</v>
      </c>
      <c r="S205" s="89" t="s">
        <v>50</v>
      </c>
      <c r="T205" s="89" t="s">
        <v>50</v>
      </c>
      <c r="U205" s="89" t="s">
        <v>50</v>
      </c>
      <c r="V205" s="89" t="s">
        <v>50</v>
      </c>
      <c r="W205" s="89" t="s">
        <v>50</v>
      </c>
      <c r="X205" s="89" t="s">
        <v>50</v>
      </c>
      <c r="Y205" s="600" t="s">
        <v>3621</v>
      </c>
    </row>
    <row r="206" spans="1:25" s="150" customFormat="1" x14ac:dyDescent="0.25">
      <c r="A206" s="178">
        <v>43678</v>
      </c>
      <c r="B206" s="150" t="s">
        <v>105</v>
      </c>
      <c r="C206" s="150" t="s">
        <v>126</v>
      </c>
      <c r="D206" s="150">
        <v>38.261319999999998</v>
      </c>
      <c r="E206" s="150">
        <v>-121.76904</v>
      </c>
      <c r="F206" s="150" t="s">
        <v>3622</v>
      </c>
      <c r="G206" s="150" t="s">
        <v>90</v>
      </c>
      <c r="H206" s="150" t="s">
        <v>845</v>
      </c>
      <c r="I206" s="614">
        <v>0.46527777777777773</v>
      </c>
      <c r="J206" s="197" t="s">
        <v>50</v>
      </c>
      <c r="K206" s="197" t="s">
        <v>50</v>
      </c>
      <c r="L206" s="197" t="s">
        <v>50</v>
      </c>
      <c r="M206" s="197" t="s">
        <v>50</v>
      </c>
      <c r="N206" s="197" t="s">
        <v>50</v>
      </c>
      <c r="O206" s="149" t="s">
        <v>48</v>
      </c>
      <c r="P206" s="149">
        <v>0</v>
      </c>
      <c r="Q206" s="149" t="s">
        <v>50</v>
      </c>
      <c r="R206" s="149" t="s">
        <v>50</v>
      </c>
      <c r="S206" s="149" t="s">
        <v>50</v>
      </c>
      <c r="T206" s="149" t="s">
        <v>50</v>
      </c>
      <c r="U206" s="149" t="s">
        <v>50</v>
      </c>
      <c r="V206" s="149" t="s">
        <v>50</v>
      </c>
      <c r="W206" s="149" t="s">
        <v>50</v>
      </c>
      <c r="X206" s="149" t="s">
        <v>50</v>
      </c>
      <c r="Y206" s="152" t="s">
        <v>3623</v>
      </c>
    </row>
    <row r="207" spans="1:25" x14ac:dyDescent="0.25">
      <c r="A207" s="26">
        <v>43679</v>
      </c>
      <c r="B207" s="89" t="s">
        <v>125</v>
      </c>
      <c r="C207" s="89" t="s">
        <v>88</v>
      </c>
      <c r="D207" s="89">
        <v>38.094889999999999</v>
      </c>
      <c r="E207" s="89">
        <v>-121.72521999999999</v>
      </c>
      <c r="F207" s="89" t="s">
        <v>3624</v>
      </c>
      <c r="G207" s="89" t="s">
        <v>90</v>
      </c>
      <c r="H207" s="89" t="s">
        <v>91</v>
      </c>
      <c r="I207" s="602">
        <v>0.34652777777777777</v>
      </c>
      <c r="J207" s="82">
        <v>214.3</v>
      </c>
      <c r="K207" s="82">
        <v>22.9</v>
      </c>
      <c r="L207" s="82">
        <v>16.975000000000001</v>
      </c>
      <c r="M207" s="82">
        <v>0.71499999999999997</v>
      </c>
      <c r="N207" s="82">
        <v>4.7</v>
      </c>
      <c r="O207" s="89" t="s">
        <v>48</v>
      </c>
      <c r="P207" s="89">
        <v>4</v>
      </c>
      <c r="Q207" s="89">
        <v>10</v>
      </c>
      <c r="R207" s="89" t="s">
        <v>49</v>
      </c>
      <c r="S207" s="89" t="s">
        <v>50</v>
      </c>
      <c r="T207" s="89" t="s">
        <v>50</v>
      </c>
      <c r="U207" s="89" t="s">
        <v>50</v>
      </c>
      <c r="V207" s="89" t="s">
        <v>50</v>
      </c>
      <c r="W207" s="89" t="s">
        <v>50</v>
      </c>
      <c r="X207" s="89" t="s">
        <v>50</v>
      </c>
    </row>
    <row r="208" spans="1:25" x14ac:dyDescent="0.25">
      <c r="A208" s="26">
        <v>43679</v>
      </c>
      <c r="B208" s="89" t="s">
        <v>125</v>
      </c>
      <c r="C208" s="89" t="s">
        <v>88</v>
      </c>
      <c r="D208" s="89">
        <v>38.141399999999997</v>
      </c>
      <c r="E208" s="89">
        <v>-121.68865</v>
      </c>
      <c r="F208" s="89" t="s">
        <v>3625</v>
      </c>
      <c r="G208" s="89" t="s">
        <v>90</v>
      </c>
      <c r="H208" s="89" t="s">
        <v>91</v>
      </c>
      <c r="I208" s="602">
        <v>0.40069444444444446</v>
      </c>
      <c r="J208" s="82">
        <v>124.02500000000001</v>
      </c>
      <c r="K208" s="82">
        <v>22.75</v>
      </c>
      <c r="L208" s="82">
        <v>12.0975</v>
      </c>
      <c r="M208" s="82">
        <v>1.1125</v>
      </c>
      <c r="N208" s="82">
        <v>5.375</v>
      </c>
      <c r="O208" s="89" t="s">
        <v>48</v>
      </c>
      <c r="P208" s="89">
        <v>4</v>
      </c>
      <c r="Q208" s="89">
        <v>10</v>
      </c>
      <c r="R208" s="89" t="s">
        <v>49</v>
      </c>
      <c r="S208" s="89" t="s">
        <v>50</v>
      </c>
      <c r="T208" s="89" t="s">
        <v>50</v>
      </c>
      <c r="U208" s="89" t="s">
        <v>50</v>
      </c>
      <c r="V208" s="89" t="s">
        <v>50</v>
      </c>
      <c r="W208" s="89" t="s">
        <v>50</v>
      </c>
      <c r="X208" s="89" t="s">
        <v>50</v>
      </c>
    </row>
    <row r="209" spans="1:25" s="362" customFormat="1" x14ac:dyDescent="0.25">
      <c r="A209" s="360">
        <v>43679</v>
      </c>
      <c r="B209" s="362" t="s">
        <v>125</v>
      </c>
      <c r="C209" s="362" t="s">
        <v>88</v>
      </c>
      <c r="D209" s="362">
        <v>38.166440000000001</v>
      </c>
      <c r="E209" s="362">
        <v>-121.67483</v>
      </c>
      <c r="F209" s="362" t="s">
        <v>3626</v>
      </c>
      <c r="G209" s="362" t="s">
        <v>90</v>
      </c>
      <c r="H209" s="362" t="s">
        <v>91</v>
      </c>
      <c r="I209" s="618">
        <v>0.45069444444444445</v>
      </c>
      <c r="J209" s="364">
        <v>126.45</v>
      </c>
      <c r="K209" s="364">
        <v>22.45</v>
      </c>
      <c r="L209" s="364">
        <v>9.56</v>
      </c>
      <c r="M209" s="364">
        <v>1.2675000000000001</v>
      </c>
      <c r="N209" s="364">
        <v>4.7249999999999996</v>
      </c>
      <c r="O209" s="362" t="s">
        <v>48</v>
      </c>
      <c r="P209" s="362">
        <v>4</v>
      </c>
      <c r="Q209" s="362">
        <v>10</v>
      </c>
      <c r="R209" s="362" t="s">
        <v>49</v>
      </c>
      <c r="S209" s="362" t="s">
        <v>50</v>
      </c>
      <c r="T209" s="362" t="s">
        <v>50</v>
      </c>
      <c r="U209" s="362" t="s">
        <v>50</v>
      </c>
      <c r="V209" s="362" t="s">
        <v>50</v>
      </c>
      <c r="W209" s="362" t="s">
        <v>50</v>
      </c>
      <c r="X209" s="362" t="s">
        <v>50</v>
      </c>
      <c r="Y209" s="603"/>
    </row>
    <row r="210" spans="1:25" x14ac:dyDescent="0.25">
      <c r="A210" s="26">
        <v>43682</v>
      </c>
      <c r="B210" s="89" t="s">
        <v>43</v>
      </c>
      <c r="C210" s="89" t="s">
        <v>62</v>
      </c>
      <c r="D210" s="89">
        <v>38.131309999999999</v>
      </c>
      <c r="E210" s="89">
        <v>-121.91529</v>
      </c>
      <c r="F210" s="89" t="s">
        <v>3627</v>
      </c>
      <c r="G210" s="89" t="s">
        <v>27</v>
      </c>
      <c r="H210" s="89" t="s">
        <v>62</v>
      </c>
      <c r="I210" s="602">
        <v>0.3520833333333333</v>
      </c>
      <c r="J210" s="82">
        <v>5093.5</v>
      </c>
      <c r="K210" s="82">
        <v>22.75</v>
      </c>
      <c r="L210" s="82">
        <v>37.375</v>
      </c>
      <c r="M210" s="82">
        <v>0.28500000000000003</v>
      </c>
      <c r="N210" s="82">
        <v>6.6750000000000007</v>
      </c>
      <c r="O210" s="89" t="s">
        <v>48</v>
      </c>
      <c r="P210" s="89">
        <v>4</v>
      </c>
      <c r="Q210" s="89">
        <v>10</v>
      </c>
      <c r="R210" s="89" t="s">
        <v>49</v>
      </c>
      <c r="S210" s="89" t="s">
        <v>50</v>
      </c>
      <c r="T210" s="89" t="s">
        <v>50</v>
      </c>
      <c r="U210" s="89" t="s">
        <v>50</v>
      </c>
      <c r="V210" s="89" t="s">
        <v>50</v>
      </c>
      <c r="W210" s="89" t="s">
        <v>50</v>
      </c>
      <c r="X210" s="89" t="s">
        <v>50</v>
      </c>
      <c r="Y210" s="600" t="s">
        <v>3548</v>
      </c>
    </row>
    <row r="211" spans="1:25" x14ac:dyDescent="0.25">
      <c r="A211" s="26">
        <v>43682</v>
      </c>
      <c r="B211" s="89" t="s">
        <v>43</v>
      </c>
      <c r="C211" s="89" t="s">
        <v>62</v>
      </c>
      <c r="D211" s="89">
        <v>38.177599999999998</v>
      </c>
      <c r="E211" s="89">
        <v>-122.01134999999999</v>
      </c>
      <c r="F211" s="89" t="s">
        <v>3628</v>
      </c>
      <c r="G211" s="89" t="s">
        <v>27</v>
      </c>
      <c r="H211" s="89" t="s">
        <v>62</v>
      </c>
      <c r="I211" s="602">
        <v>0.42222222222222222</v>
      </c>
      <c r="J211" s="82">
        <v>8454</v>
      </c>
      <c r="K211" s="82">
        <v>23.1</v>
      </c>
      <c r="L211" s="82">
        <v>38.049999999999997</v>
      </c>
      <c r="M211" s="82">
        <v>0.29499999999999998</v>
      </c>
      <c r="N211" s="82">
        <v>5.75</v>
      </c>
      <c r="O211" s="89" t="s">
        <v>48</v>
      </c>
      <c r="P211" s="89">
        <v>4</v>
      </c>
      <c r="Q211" s="89">
        <v>10</v>
      </c>
      <c r="R211" s="89" t="s">
        <v>49</v>
      </c>
      <c r="S211" s="89" t="s">
        <v>50</v>
      </c>
      <c r="T211" s="89" t="s">
        <v>50</v>
      </c>
      <c r="U211" s="89" t="s">
        <v>50</v>
      </c>
      <c r="V211" s="89" t="s">
        <v>50</v>
      </c>
      <c r="W211" s="89" t="s">
        <v>50</v>
      </c>
      <c r="X211" s="89" t="s">
        <v>50</v>
      </c>
      <c r="Y211" s="600" t="s">
        <v>3629</v>
      </c>
    </row>
    <row r="212" spans="1:25" x14ac:dyDescent="0.25">
      <c r="A212" s="26">
        <v>43682</v>
      </c>
      <c r="B212" s="89" t="s">
        <v>43</v>
      </c>
      <c r="C212" s="89" t="s">
        <v>62</v>
      </c>
      <c r="D212" s="89">
        <v>38.11544</v>
      </c>
      <c r="E212" s="89">
        <v>-122.06010000000001</v>
      </c>
      <c r="F212" s="89" t="s">
        <v>3630</v>
      </c>
      <c r="G212" s="89" t="s">
        <v>27</v>
      </c>
      <c r="H212" s="89" t="s">
        <v>62</v>
      </c>
      <c r="I212" s="602">
        <v>0.48333333333333334</v>
      </c>
      <c r="J212" s="82">
        <v>11956.75</v>
      </c>
      <c r="K212" s="82">
        <v>23.6</v>
      </c>
      <c r="L212" s="82">
        <v>56.525000000000006</v>
      </c>
      <c r="M212" s="82">
        <v>0.27250000000000002</v>
      </c>
      <c r="N212" s="82">
        <v>3.7</v>
      </c>
      <c r="O212" s="89" t="s">
        <v>48</v>
      </c>
      <c r="P212" s="89">
        <v>4</v>
      </c>
      <c r="Q212" s="89">
        <v>10</v>
      </c>
      <c r="R212" s="89" t="s">
        <v>49</v>
      </c>
      <c r="S212" s="89" t="s">
        <v>50</v>
      </c>
      <c r="T212" s="89" t="s">
        <v>50</v>
      </c>
      <c r="U212" s="89" t="s">
        <v>50</v>
      </c>
      <c r="V212" s="89" t="s">
        <v>50</v>
      </c>
      <c r="W212" s="89" t="s">
        <v>50</v>
      </c>
      <c r="X212" s="89" t="s">
        <v>50</v>
      </c>
      <c r="Y212" s="600" t="s">
        <v>3631</v>
      </c>
    </row>
    <row r="213" spans="1:25" x14ac:dyDescent="0.25">
      <c r="A213" s="26">
        <v>43682</v>
      </c>
      <c r="B213" s="89" t="s">
        <v>43</v>
      </c>
      <c r="C213" s="89" t="s">
        <v>126</v>
      </c>
      <c r="D213" s="89">
        <v>38.236699999999999</v>
      </c>
      <c r="E213" s="89">
        <v>-121.68299</v>
      </c>
      <c r="F213" s="89" t="s">
        <v>3632</v>
      </c>
      <c r="G213" s="89" t="s">
        <v>90</v>
      </c>
      <c r="H213" s="89" t="s">
        <v>845</v>
      </c>
      <c r="I213" s="602">
        <v>0.30833333333333335</v>
      </c>
      <c r="J213" s="82">
        <v>130.22500000000002</v>
      </c>
      <c r="K213" s="82">
        <v>22.8</v>
      </c>
      <c r="L213" s="82">
        <v>7.9375</v>
      </c>
      <c r="M213" s="82">
        <v>1.3525</v>
      </c>
      <c r="N213" s="82">
        <v>10.792499999999999</v>
      </c>
      <c r="O213" s="89" t="s">
        <v>48</v>
      </c>
      <c r="P213" s="89">
        <v>4</v>
      </c>
      <c r="Q213" s="89">
        <v>10</v>
      </c>
      <c r="R213" s="89" t="s">
        <v>64</v>
      </c>
      <c r="S213" s="89" t="s">
        <v>50</v>
      </c>
      <c r="T213" s="89" t="s">
        <v>50</v>
      </c>
      <c r="U213" s="89" t="s">
        <v>50</v>
      </c>
      <c r="V213" s="89" t="s">
        <v>50</v>
      </c>
      <c r="W213" s="89" t="s">
        <v>50</v>
      </c>
      <c r="X213" s="89" t="s">
        <v>50</v>
      </c>
    </row>
    <row r="214" spans="1:25" s="150" customFormat="1" x14ac:dyDescent="0.25">
      <c r="A214" s="178">
        <v>43682</v>
      </c>
      <c r="B214" s="150" t="s">
        <v>43</v>
      </c>
      <c r="C214" s="150" t="s">
        <v>126</v>
      </c>
      <c r="D214" s="150">
        <v>38.247909999999997</v>
      </c>
      <c r="E214" s="150">
        <v>-121.70491</v>
      </c>
      <c r="F214" s="150" t="s">
        <v>3633</v>
      </c>
      <c r="G214" s="150" t="s">
        <v>90</v>
      </c>
      <c r="H214" s="150" t="s">
        <v>845</v>
      </c>
      <c r="I214" s="614">
        <v>0.33402777777777781</v>
      </c>
      <c r="J214" s="197" t="s">
        <v>50</v>
      </c>
      <c r="K214" s="197" t="s">
        <v>50</v>
      </c>
      <c r="L214" s="197" t="s">
        <v>50</v>
      </c>
      <c r="M214" s="197" t="s">
        <v>50</v>
      </c>
      <c r="N214" s="197" t="s">
        <v>50</v>
      </c>
      <c r="O214" s="149" t="s">
        <v>48</v>
      </c>
      <c r="P214" s="149">
        <v>0</v>
      </c>
      <c r="Q214" s="149" t="s">
        <v>50</v>
      </c>
      <c r="R214" s="149" t="s">
        <v>50</v>
      </c>
      <c r="S214" s="149" t="s">
        <v>50</v>
      </c>
      <c r="T214" s="149" t="s">
        <v>50</v>
      </c>
      <c r="U214" s="149" t="s">
        <v>50</v>
      </c>
      <c r="V214" s="149" t="s">
        <v>50</v>
      </c>
      <c r="W214" s="149" t="s">
        <v>50</v>
      </c>
      <c r="X214" s="149" t="s">
        <v>50</v>
      </c>
      <c r="Y214" s="152" t="s">
        <v>3634</v>
      </c>
    </row>
    <row r="215" spans="1:25" s="150" customFormat="1" x14ac:dyDescent="0.25">
      <c r="A215" s="178">
        <v>43682</v>
      </c>
      <c r="B215" s="150" t="s">
        <v>43</v>
      </c>
      <c r="C215" s="150" t="s">
        <v>126</v>
      </c>
      <c r="D215" s="150">
        <v>38.272100000000002</v>
      </c>
      <c r="E215" s="150">
        <v>-121.70386999999999</v>
      </c>
      <c r="F215" s="150" t="s">
        <v>3635</v>
      </c>
      <c r="G215" s="150" t="s">
        <v>90</v>
      </c>
      <c r="H215" s="150" t="s">
        <v>845</v>
      </c>
      <c r="I215" s="614">
        <v>0.39027777777777778</v>
      </c>
      <c r="J215" s="197">
        <v>149</v>
      </c>
      <c r="K215" s="197">
        <v>22.8</v>
      </c>
      <c r="L215" s="197">
        <v>5.28</v>
      </c>
      <c r="M215" s="197">
        <v>1.1000000000000001</v>
      </c>
      <c r="N215" s="197">
        <v>4.8</v>
      </c>
      <c r="O215" s="150" t="s">
        <v>48</v>
      </c>
      <c r="P215" s="150">
        <v>1</v>
      </c>
      <c r="Q215" s="150">
        <v>8</v>
      </c>
      <c r="R215" s="150" t="s">
        <v>49</v>
      </c>
      <c r="S215" s="150" t="s">
        <v>50</v>
      </c>
      <c r="T215" s="150" t="s">
        <v>50</v>
      </c>
      <c r="U215" s="150" t="s">
        <v>50</v>
      </c>
      <c r="V215" s="150" t="s">
        <v>50</v>
      </c>
      <c r="W215" s="150" t="s">
        <v>50</v>
      </c>
      <c r="X215" s="150" t="s">
        <v>50</v>
      </c>
      <c r="Y215" s="604" t="s">
        <v>3636</v>
      </c>
    </row>
    <row r="216" spans="1:25" x14ac:dyDescent="0.25">
      <c r="A216" s="26">
        <v>43682</v>
      </c>
      <c r="B216" s="89" t="s">
        <v>43</v>
      </c>
      <c r="C216" s="89" t="s">
        <v>126</v>
      </c>
      <c r="D216" s="89">
        <v>38.314100000000003</v>
      </c>
      <c r="E216" s="89">
        <v>-121.65527</v>
      </c>
      <c r="F216" s="89" t="s">
        <v>3637</v>
      </c>
      <c r="G216" s="89" t="s">
        <v>90</v>
      </c>
      <c r="H216" s="89" t="s">
        <v>845</v>
      </c>
      <c r="I216" s="602">
        <v>0.42499999999999999</v>
      </c>
      <c r="J216" s="82">
        <v>165.22499999999999</v>
      </c>
      <c r="K216" s="82">
        <v>23.324999999999999</v>
      </c>
      <c r="L216" s="82">
        <v>13.824999999999999</v>
      </c>
      <c r="M216" s="82">
        <v>0.77</v>
      </c>
      <c r="N216" s="82">
        <v>3.9325000000000001</v>
      </c>
      <c r="O216" s="89" t="s">
        <v>48</v>
      </c>
      <c r="P216" s="89">
        <v>4</v>
      </c>
      <c r="Q216" s="89">
        <v>10</v>
      </c>
      <c r="R216" s="89" t="s">
        <v>49</v>
      </c>
      <c r="S216" s="89" t="s">
        <v>50</v>
      </c>
      <c r="T216" s="89" t="s">
        <v>50</v>
      </c>
      <c r="U216" s="89" t="s">
        <v>50</v>
      </c>
      <c r="V216" s="89" t="s">
        <v>50</v>
      </c>
      <c r="W216" s="89" t="s">
        <v>50</v>
      </c>
      <c r="X216" s="89" t="s">
        <v>50</v>
      </c>
      <c r="Y216" s="600" t="s">
        <v>3638</v>
      </c>
    </row>
    <row r="217" spans="1:25" x14ac:dyDescent="0.25">
      <c r="A217" s="26">
        <v>43682</v>
      </c>
      <c r="B217" s="89" t="s">
        <v>43</v>
      </c>
      <c r="C217" s="89" t="s">
        <v>126</v>
      </c>
      <c r="D217" s="89">
        <v>38.27863</v>
      </c>
      <c r="E217" s="89">
        <v>-121.66464000000001</v>
      </c>
      <c r="F217" s="89" t="s">
        <v>3639</v>
      </c>
      <c r="G217" s="89" t="s">
        <v>90</v>
      </c>
      <c r="H217" s="89" t="s">
        <v>845</v>
      </c>
      <c r="I217" s="602">
        <v>0.47916666666666669</v>
      </c>
      <c r="J217" s="82">
        <v>158.75</v>
      </c>
      <c r="K217" s="82">
        <v>23.450000000000003</v>
      </c>
      <c r="L217" s="82">
        <v>15.225</v>
      </c>
      <c r="M217" s="82">
        <v>0.85750000000000004</v>
      </c>
      <c r="N217" s="82">
        <v>8.4149999999999991</v>
      </c>
      <c r="O217" s="89" t="s">
        <v>48</v>
      </c>
      <c r="P217" s="89">
        <v>4</v>
      </c>
      <c r="Q217" s="89">
        <v>10</v>
      </c>
      <c r="R217" s="89" t="s">
        <v>49</v>
      </c>
      <c r="S217" s="89" t="s">
        <v>50</v>
      </c>
      <c r="T217" s="89" t="s">
        <v>50</v>
      </c>
      <c r="U217" s="89" t="s">
        <v>50</v>
      </c>
      <c r="V217" s="89" t="s">
        <v>50</v>
      </c>
      <c r="W217" s="89" t="s">
        <v>50</v>
      </c>
      <c r="X217" s="89" t="s">
        <v>50</v>
      </c>
      <c r="Y217" s="600" t="s">
        <v>3640</v>
      </c>
    </row>
    <row r="218" spans="1:25" x14ac:dyDescent="0.25">
      <c r="A218" s="26">
        <v>43682</v>
      </c>
      <c r="B218" s="89" t="s">
        <v>43</v>
      </c>
      <c r="C218" s="89" t="s">
        <v>95</v>
      </c>
      <c r="D218" s="89">
        <v>38.045670000000001</v>
      </c>
      <c r="E218" s="89">
        <v>-121.69361000000001</v>
      </c>
      <c r="F218" s="89" t="s">
        <v>3641</v>
      </c>
      <c r="G218" s="89" t="s">
        <v>27</v>
      </c>
      <c r="H218" s="89" t="s">
        <v>863</v>
      </c>
      <c r="I218" s="602">
        <v>0.32708333333333334</v>
      </c>
      <c r="J218" s="82">
        <v>741.75</v>
      </c>
      <c r="K218" s="82">
        <v>23.75</v>
      </c>
      <c r="L218" s="82">
        <v>8.1624999999999996</v>
      </c>
      <c r="M218" s="82">
        <v>1.355</v>
      </c>
      <c r="N218" s="82">
        <v>10.950000000000001</v>
      </c>
      <c r="O218" s="89" t="s">
        <v>48</v>
      </c>
      <c r="P218" s="89">
        <v>4</v>
      </c>
      <c r="Q218" s="89">
        <v>10</v>
      </c>
      <c r="R218" s="89" t="s">
        <v>64</v>
      </c>
      <c r="S218" s="89" t="s">
        <v>50</v>
      </c>
      <c r="T218" s="89" t="s">
        <v>50</v>
      </c>
      <c r="U218" s="89" t="s">
        <v>50</v>
      </c>
      <c r="V218" s="89" t="s">
        <v>50</v>
      </c>
      <c r="W218" s="89" t="s">
        <v>50</v>
      </c>
      <c r="X218" s="89" t="s">
        <v>50</v>
      </c>
      <c r="Y218" s="600" t="s">
        <v>3642</v>
      </c>
    </row>
    <row r="219" spans="1:25" x14ac:dyDescent="0.25">
      <c r="A219" s="26">
        <v>43682</v>
      </c>
      <c r="B219" s="89" t="s">
        <v>43</v>
      </c>
      <c r="C219" s="89" t="s">
        <v>95</v>
      </c>
      <c r="D219" s="89">
        <v>38.074330000000003</v>
      </c>
      <c r="E219" s="89">
        <v>-121.6767</v>
      </c>
      <c r="F219" s="89" t="s">
        <v>3643</v>
      </c>
      <c r="G219" s="89" t="s">
        <v>46</v>
      </c>
      <c r="H219" s="89" t="s">
        <v>908</v>
      </c>
      <c r="I219" s="602">
        <v>0.3756944444444445</v>
      </c>
      <c r="J219" s="82">
        <v>630.5</v>
      </c>
      <c r="K219" s="82">
        <v>23.85</v>
      </c>
      <c r="L219" s="82">
        <v>9.5425000000000004</v>
      </c>
      <c r="M219" s="82">
        <v>1.3625</v>
      </c>
      <c r="N219" s="82">
        <v>12.600000000000001</v>
      </c>
      <c r="O219" s="89" t="s">
        <v>48</v>
      </c>
      <c r="P219" s="89">
        <v>4</v>
      </c>
      <c r="Q219" s="89">
        <v>10</v>
      </c>
      <c r="R219" s="89" t="s">
        <v>64</v>
      </c>
      <c r="S219" s="89" t="s">
        <v>50</v>
      </c>
      <c r="T219" s="89" t="s">
        <v>50</v>
      </c>
      <c r="U219" s="89" t="s">
        <v>50</v>
      </c>
      <c r="V219" s="89" t="s">
        <v>50</v>
      </c>
      <c r="W219" s="89" t="s">
        <v>50</v>
      </c>
      <c r="X219" s="89" t="s">
        <v>50</v>
      </c>
      <c r="Y219" s="600" t="s">
        <v>3644</v>
      </c>
    </row>
    <row r="220" spans="1:25" x14ac:dyDescent="0.25">
      <c r="A220" s="26">
        <v>43682</v>
      </c>
      <c r="B220" s="89" t="s">
        <v>43</v>
      </c>
      <c r="C220" s="89" t="s">
        <v>95</v>
      </c>
      <c r="D220" s="89">
        <v>38.100549999999998</v>
      </c>
      <c r="E220" s="89">
        <v>-121.58582</v>
      </c>
      <c r="F220" s="89" t="s">
        <v>3645</v>
      </c>
      <c r="G220" s="89" t="s">
        <v>46</v>
      </c>
      <c r="H220" s="89" t="s">
        <v>3646</v>
      </c>
      <c r="I220" s="602">
        <v>0.43541666666666662</v>
      </c>
      <c r="J220" s="82">
        <v>175</v>
      </c>
      <c r="K220" s="82">
        <v>24.150000000000002</v>
      </c>
      <c r="L220" s="82">
        <v>7.0875000000000004</v>
      </c>
      <c r="M220" s="82">
        <v>1.4649999999999999</v>
      </c>
      <c r="N220" s="82">
        <v>4.8</v>
      </c>
      <c r="O220" s="89" t="s">
        <v>48</v>
      </c>
      <c r="P220" s="89">
        <v>4</v>
      </c>
      <c r="Q220" s="89">
        <v>10</v>
      </c>
      <c r="R220" s="89" t="s">
        <v>49</v>
      </c>
      <c r="S220" s="89" t="s">
        <v>50</v>
      </c>
      <c r="T220" s="89" t="s">
        <v>50</v>
      </c>
      <c r="U220" s="89" t="s">
        <v>50</v>
      </c>
      <c r="V220" s="89" t="s">
        <v>50</v>
      </c>
      <c r="W220" s="89" t="s">
        <v>50</v>
      </c>
      <c r="X220" s="89" t="s">
        <v>50</v>
      </c>
    </row>
    <row r="221" spans="1:25" x14ac:dyDescent="0.25">
      <c r="A221" s="26">
        <v>43683</v>
      </c>
      <c r="B221" s="89" t="s">
        <v>70</v>
      </c>
      <c r="C221" s="89" t="s">
        <v>62</v>
      </c>
      <c r="D221" s="89">
        <v>38.171680000000002</v>
      </c>
      <c r="E221" s="89">
        <v>-121.94752</v>
      </c>
      <c r="F221" s="89" t="s">
        <v>3647</v>
      </c>
      <c r="G221" s="89" t="s">
        <v>27</v>
      </c>
      <c r="H221" s="89" t="s">
        <v>62</v>
      </c>
      <c r="I221" s="602">
        <v>0.34722222222222227</v>
      </c>
      <c r="J221" s="82">
        <v>5846.25</v>
      </c>
      <c r="K221" s="82">
        <v>22.875</v>
      </c>
      <c r="L221" s="82">
        <v>34.099999999999994</v>
      </c>
      <c r="M221" s="82">
        <v>0.29250000000000004</v>
      </c>
      <c r="N221" s="82">
        <v>8.4499999999999993</v>
      </c>
      <c r="O221" s="89" t="s">
        <v>48</v>
      </c>
      <c r="P221" s="89">
        <v>4</v>
      </c>
      <c r="Q221" s="89">
        <v>10</v>
      </c>
      <c r="R221" s="89" t="s">
        <v>49</v>
      </c>
      <c r="S221" s="89" t="s">
        <v>50</v>
      </c>
      <c r="T221" s="89" t="s">
        <v>50</v>
      </c>
      <c r="U221" s="89" t="s">
        <v>50</v>
      </c>
      <c r="V221" s="89" t="s">
        <v>50</v>
      </c>
      <c r="W221" s="89" t="s">
        <v>50</v>
      </c>
      <c r="X221" s="89" t="s">
        <v>50</v>
      </c>
      <c r="Y221" s="600" t="s">
        <v>3648</v>
      </c>
    </row>
    <row r="222" spans="1:25" x14ac:dyDescent="0.25">
      <c r="A222" s="26">
        <v>43683</v>
      </c>
      <c r="B222" s="89" t="s">
        <v>70</v>
      </c>
      <c r="C222" s="89" t="s">
        <v>62</v>
      </c>
      <c r="D222" s="89">
        <v>38.190420000000003</v>
      </c>
      <c r="E222" s="196">
        <v>-122.04031999999999</v>
      </c>
      <c r="F222" s="89" t="s">
        <v>3649</v>
      </c>
      <c r="G222" s="89" t="s">
        <v>27</v>
      </c>
      <c r="H222" s="89" t="s">
        <v>62</v>
      </c>
      <c r="I222" s="602">
        <v>0.4291666666666667</v>
      </c>
      <c r="J222" s="82">
        <v>5806.75</v>
      </c>
      <c r="K222" s="82">
        <v>22.200000000000003</v>
      </c>
      <c r="L222" s="82">
        <v>80.875</v>
      </c>
      <c r="M222" s="82">
        <v>0.22249999999999998</v>
      </c>
      <c r="N222" s="82">
        <v>7.5</v>
      </c>
      <c r="O222" s="89" t="s">
        <v>48</v>
      </c>
      <c r="P222" s="89">
        <v>4</v>
      </c>
      <c r="Q222" s="89">
        <v>10</v>
      </c>
      <c r="R222" s="89" t="s">
        <v>49</v>
      </c>
      <c r="S222" s="89" t="s">
        <v>50</v>
      </c>
      <c r="T222" s="89" t="s">
        <v>50</v>
      </c>
      <c r="U222" s="89" t="s">
        <v>50</v>
      </c>
      <c r="V222" s="89" t="s">
        <v>50</v>
      </c>
      <c r="W222" s="89" t="s">
        <v>50</v>
      </c>
      <c r="X222" s="89" t="s">
        <v>50</v>
      </c>
      <c r="Y222" s="600" t="s">
        <v>3650</v>
      </c>
    </row>
    <row r="223" spans="1:25" s="496" customFormat="1" x14ac:dyDescent="0.25">
      <c r="A223" s="495">
        <v>43683</v>
      </c>
      <c r="B223" s="89" t="s">
        <v>70</v>
      </c>
      <c r="C223" s="496" t="s">
        <v>62</v>
      </c>
      <c r="D223" s="496">
        <v>38.136189999999999</v>
      </c>
      <c r="E223" s="496">
        <v>-122.05983000000001</v>
      </c>
      <c r="F223" s="496" t="s">
        <v>3651</v>
      </c>
      <c r="G223" s="496" t="s">
        <v>27</v>
      </c>
      <c r="H223" s="496" t="s">
        <v>62</v>
      </c>
      <c r="I223" s="615">
        <v>0.49652777777777773</v>
      </c>
      <c r="J223" s="498">
        <v>11216.5</v>
      </c>
      <c r="K223" s="498">
        <v>23.6</v>
      </c>
      <c r="L223" s="498">
        <v>60.15</v>
      </c>
      <c r="M223" s="498">
        <v>0.27</v>
      </c>
      <c r="N223" s="498">
        <v>2.4500000000000002</v>
      </c>
      <c r="O223" s="496" t="s">
        <v>48</v>
      </c>
      <c r="P223" s="496">
        <v>2</v>
      </c>
      <c r="Q223" s="496">
        <v>10</v>
      </c>
      <c r="R223" s="496" t="s">
        <v>49</v>
      </c>
      <c r="S223" s="496" t="s">
        <v>323</v>
      </c>
      <c r="T223" s="496">
        <v>1</v>
      </c>
      <c r="U223" s="496">
        <v>57</v>
      </c>
      <c r="V223" s="496" t="s">
        <v>66</v>
      </c>
      <c r="W223" s="496" t="s">
        <v>50</v>
      </c>
      <c r="X223" s="496" t="s">
        <v>50</v>
      </c>
      <c r="Y223" s="601" t="s">
        <v>894</v>
      </c>
    </row>
    <row r="224" spans="1:25" s="150" customFormat="1" x14ac:dyDescent="0.25">
      <c r="A224" s="178">
        <v>43683</v>
      </c>
      <c r="B224" s="89" t="s">
        <v>70</v>
      </c>
      <c r="C224" s="150" t="s">
        <v>126</v>
      </c>
      <c r="D224" s="150">
        <v>38.297490000000003</v>
      </c>
      <c r="E224" s="150">
        <v>-121.72939</v>
      </c>
      <c r="F224" s="150" t="s">
        <v>3652</v>
      </c>
      <c r="G224" s="150" t="s">
        <v>90</v>
      </c>
      <c r="H224" s="150" t="s">
        <v>845</v>
      </c>
      <c r="I224" s="614">
        <v>0.32569444444444445</v>
      </c>
      <c r="J224" s="197">
        <v>167.5</v>
      </c>
      <c r="K224" s="197">
        <v>22.9</v>
      </c>
      <c r="L224" s="197">
        <v>5.08</v>
      </c>
      <c r="M224" s="197">
        <v>1.29</v>
      </c>
      <c r="N224" s="197">
        <v>5.5</v>
      </c>
      <c r="O224" s="150" t="s">
        <v>48</v>
      </c>
      <c r="P224" s="150">
        <v>1</v>
      </c>
      <c r="Q224" s="150">
        <v>10</v>
      </c>
      <c r="R224" s="150" t="s">
        <v>64</v>
      </c>
      <c r="S224" s="150" t="s">
        <v>50</v>
      </c>
      <c r="T224" s="150" t="s">
        <v>50</v>
      </c>
      <c r="U224" s="150" t="s">
        <v>50</v>
      </c>
      <c r="V224" s="150" t="s">
        <v>50</v>
      </c>
      <c r="W224" s="150" t="s">
        <v>50</v>
      </c>
      <c r="X224" s="150" t="s">
        <v>50</v>
      </c>
      <c r="Y224" s="604" t="s">
        <v>3636</v>
      </c>
    </row>
    <row r="225" spans="1:25" s="150" customFormat="1" x14ac:dyDescent="0.25">
      <c r="A225" s="178">
        <v>43683</v>
      </c>
      <c r="B225" s="89" t="s">
        <v>70</v>
      </c>
      <c r="C225" s="150" t="s">
        <v>126</v>
      </c>
      <c r="D225" s="150">
        <v>38.270090000000003</v>
      </c>
      <c r="E225" s="150">
        <v>-121.70408</v>
      </c>
      <c r="F225" s="150" t="s">
        <v>3653</v>
      </c>
      <c r="G225" s="150" t="s">
        <v>90</v>
      </c>
      <c r="H225" s="150" t="s">
        <v>845</v>
      </c>
      <c r="I225" s="614">
        <v>0.36041666666666666</v>
      </c>
      <c r="J225" s="197" t="s">
        <v>50</v>
      </c>
      <c r="K225" s="197" t="s">
        <v>50</v>
      </c>
      <c r="L225" s="197" t="s">
        <v>50</v>
      </c>
      <c r="M225" s="197" t="s">
        <v>50</v>
      </c>
      <c r="N225" s="197" t="s">
        <v>50</v>
      </c>
      <c r="O225" s="149" t="s">
        <v>48</v>
      </c>
      <c r="P225" s="149">
        <v>0</v>
      </c>
      <c r="Q225" s="149" t="s">
        <v>50</v>
      </c>
      <c r="R225" s="149" t="s">
        <v>50</v>
      </c>
      <c r="S225" s="149" t="s">
        <v>50</v>
      </c>
      <c r="T225" s="149" t="s">
        <v>50</v>
      </c>
      <c r="U225" s="149" t="s">
        <v>50</v>
      </c>
      <c r="V225" s="149" t="s">
        <v>50</v>
      </c>
      <c r="W225" s="149" t="s">
        <v>50</v>
      </c>
      <c r="X225" s="149" t="s">
        <v>50</v>
      </c>
      <c r="Y225" s="152" t="s">
        <v>965</v>
      </c>
    </row>
    <row r="226" spans="1:25" s="150" customFormat="1" x14ac:dyDescent="0.25">
      <c r="A226" s="178">
        <v>43683</v>
      </c>
      <c r="B226" s="89" t="s">
        <v>70</v>
      </c>
      <c r="C226" s="150" t="s">
        <v>126</v>
      </c>
      <c r="D226" s="150">
        <v>38.287489999999998</v>
      </c>
      <c r="E226" s="150">
        <v>-121.71845999999999</v>
      </c>
      <c r="F226" s="150" t="s">
        <v>3654</v>
      </c>
      <c r="G226" s="150" t="s">
        <v>90</v>
      </c>
      <c r="H226" s="150" t="s">
        <v>845</v>
      </c>
      <c r="I226" s="614">
        <v>0.36458333333333331</v>
      </c>
      <c r="J226" s="197" t="s">
        <v>50</v>
      </c>
      <c r="K226" s="197" t="s">
        <v>50</v>
      </c>
      <c r="L226" s="197" t="s">
        <v>50</v>
      </c>
      <c r="M226" s="197" t="s">
        <v>50</v>
      </c>
      <c r="N226" s="197" t="s">
        <v>50</v>
      </c>
      <c r="O226" s="149" t="s">
        <v>48</v>
      </c>
      <c r="P226" s="149">
        <v>0</v>
      </c>
      <c r="Q226" s="149" t="s">
        <v>50</v>
      </c>
      <c r="R226" s="149" t="s">
        <v>50</v>
      </c>
      <c r="S226" s="149" t="s">
        <v>50</v>
      </c>
      <c r="T226" s="149" t="s">
        <v>50</v>
      </c>
      <c r="U226" s="149" t="s">
        <v>50</v>
      </c>
      <c r="V226" s="149" t="s">
        <v>50</v>
      </c>
      <c r="W226" s="149" t="s">
        <v>50</v>
      </c>
      <c r="X226" s="149" t="s">
        <v>50</v>
      </c>
      <c r="Y226" s="152" t="s">
        <v>965</v>
      </c>
    </row>
    <row r="227" spans="1:25" x14ac:dyDescent="0.25">
      <c r="A227" s="26">
        <v>43683</v>
      </c>
      <c r="B227" s="89" t="s">
        <v>70</v>
      </c>
      <c r="C227" s="89" t="s">
        <v>126</v>
      </c>
      <c r="D227" s="89">
        <v>38.26211</v>
      </c>
      <c r="E227" s="89">
        <v>-121.69088000000001</v>
      </c>
      <c r="F227" s="89" t="s">
        <v>3655</v>
      </c>
      <c r="G227" s="89" t="s">
        <v>90</v>
      </c>
      <c r="H227" s="89" t="s">
        <v>845</v>
      </c>
      <c r="I227" s="602">
        <v>0.37013888888888885</v>
      </c>
      <c r="J227" s="82">
        <v>134.52499999999998</v>
      </c>
      <c r="K227" s="82">
        <v>22.85</v>
      </c>
      <c r="L227" s="82">
        <v>9.0975000000000001</v>
      </c>
      <c r="M227" s="82">
        <v>1.2249999999999999</v>
      </c>
      <c r="N227" s="82">
        <v>8.35</v>
      </c>
      <c r="O227" s="89" t="s">
        <v>48</v>
      </c>
      <c r="P227" s="89">
        <v>4</v>
      </c>
      <c r="Q227" s="89">
        <v>10</v>
      </c>
      <c r="R227" s="89" t="s">
        <v>64</v>
      </c>
      <c r="S227" s="89" t="s">
        <v>50</v>
      </c>
      <c r="T227" s="89" t="s">
        <v>50</v>
      </c>
      <c r="U227" s="89" t="s">
        <v>50</v>
      </c>
      <c r="V227" s="89" t="s">
        <v>50</v>
      </c>
      <c r="W227" s="89" t="s">
        <v>50</v>
      </c>
      <c r="X227" s="89" t="s">
        <v>50</v>
      </c>
    </row>
    <row r="228" spans="1:25" x14ac:dyDescent="0.25">
      <c r="A228" s="26">
        <v>43683</v>
      </c>
      <c r="B228" s="89" t="s">
        <v>70</v>
      </c>
      <c r="C228" s="89" t="s">
        <v>126</v>
      </c>
      <c r="D228" s="89">
        <v>38.254669999999997</v>
      </c>
      <c r="E228" s="89">
        <v>-121.68534</v>
      </c>
      <c r="F228" s="89" t="s">
        <v>3656</v>
      </c>
      <c r="G228" s="89" t="s">
        <v>90</v>
      </c>
      <c r="H228" s="89" t="s">
        <v>845</v>
      </c>
      <c r="I228" s="602">
        <v>0.42222222222222222</v>
      </c>
      <c r="J228" s="82">
        <v>127.42500000000001</v>
      </c>
      <c r="K228" s="82">
        <v>22.875</v>
      </c>
      <c r="L228" s="82">
        <v>7.0775000000000006</v>
      </c>
      <c r="M228" s="82">
        <v>1.31</v>
      </c>
      <c r="N228" s="82">
        <v>8.5749999999999993</v>
      </c>
      <c r="O228" s="89" t="s">
        <v>48</v>
      </c>
      <c r="P228" s="89">
        <v>4</v>
      </c>
      <c r="Q228" s="89">
        <v>10</v>
      </c>
      <c r="R228" s="89" t="s">
        <v>49</v>
      </c>
      <c r="S228" s="89" t="s">
        <v>50</v>
      </c>
      <c r="T228" s="89" t="s">
        <v>50</v>
      </c>
      <c r="U228" s="89" t="s">
        <v>50</v>
      </c>
      <c r="V228" s="89" t="s">
        <v>50</v>
      </c>
      <c r="W228" s="89" t="s">
        <v>50</v>
      </c>
      <c r="X228" s="89" t="s">
        <v>50</v>
      </c>
      <c r="Y228" s="600" t="s">
        <v>3629</v>
      </c>
    </row>
    <row r="229" spans="1:25" x14ac:dyDescent="0.25">
      <c r="A229" s="26">
        <v>43683</v>
      </c>
      <c r="B229" s="89" t="s">
        <v>70</v>
      </c>
      <c r="C229" s="89" t="s">
        <v>126</v>
      </c>
      <c r="D229" s="89">
        <v>38.304079999999999</v>
      </c>
      <c r="E229" s="89">
        <v>-121.69282</v>
      </c>
      <c r="F229" s="89" t="s">
        <v>3657</v>
      </c>
      <c r="G229" s="89" t="s">
        <v>90</v>
      </c>
      <c r="H229" s="89" t="s">
        <v>845</v>
      </c>
      <c r="I229" s="602">
        <v>0.4861111111111111</v>
      </c>
      <c r="J229" s="82">
        <v>210.25</v>
      </c>
      <c r="K229" s="82">
        <v>24.15</v>
      </c>
      <c r="L229" s="82">
        <v>6.4375</v>
      </c>
      <c r="M229" s="82">
        <v>1.7949999999999999</v>
      </c>
      <c r="N229" s="82">
        <v>6.7249999999999996</v>
      </c>
      <c r="O229" s="89" t="s">
        <v>48</v>
      </c>
      <c r="P229" s="89">
        <v>2</v>
      </c>
      <c r="Q229" s="89">
        <v>10</v>
      </c>
      <c r="R229" s="89" t="s">
        <v>49</v>
      </c>
      <c r="S229" s="89" t="s">
        <v>50</v>
      </c>
      <c r="T229" s="89" t="s">
        <v>50</v>
      </c>
      <c r="U229" s="89" t="s">
        <v>50</v>
      </c>
      <c r="V229" s="89" t="s">
        <v>50</v>
      </c>
      <c r="W229" s="89" t="s">
        <v>50</v>
      </c>
      <c r="X229" s="89" t="s">
        <v>50</v>
      </c>
      <c r="Y229" s="600" t="s">
        <v>3629</v>
      </c>
    </row>
    <row r="230" spans="1:25" s="150" customFormat="1" x14ac:dyDescent="0.25">
      <c r="A230" s="178">
        <v>43683</v>
      </c>
      <c r="B230" s="89" t="s">
        <v>70</v>
      </c>
      <c r="C230" s="150" t="s">
        <v>126</v>
      </c>
      <c r="D230" s="150">
        <v>38.28105</v>
      </c>
      <c r="E230" s="150">
        <v>-121.68464</v>
      </c>
      <c r="F230" s="150" t="s">
        <v>3658</v>
      </c>
      <c r="G230" s="150" t="s">
        <v>90</v>
      </c>
      <c r="H230" s="150" t="s">
        <v>845</v>
      </c>
      <c r="I230" s="614">
        <v>0.4777777777777778</v>
      </c>
      <c r="J230" s="197" t="s">
        <v>50</v>
      </c>
      <c r="K230" s="197" t="s">
        <v>50</v>
      </c>
      <c r="L230" s="197" t="s">
        <v>50</v>
      </c>
      <c r="M230" s="197" t="s">
        <v>50</v>
      </c>
      <c r="N230" s="197" t="s">
        <v>50</v>
      </c>
      <c r="O230" s="149" t="s">
        <v>48</v>
      </c>
      <c r="P230" s="149">
        <v>0</v>
      </c>
      <c r="Q230" s="149" t="s">
        <v>50</v>
      </c>
      <c r="R230" s="149" t="s">
        <v>50</v>
      </c>
      <c r="S230" s="149" t="s">
        <v>50</v>
      </c>
      <c r="T230" s="149" t="s">
        <v>50</v>
      </c>
      <c r="U230" s="149" t="s">
        <v>50</v>
      </c>
      <c r="V230" s="149" t="s">
        <v>50</v>
      </c>
      <c r="W230" s="149" t="s">
        <v>50</v>
      </c>
      <c r="X230" s="149" t="s">
        <v>50</v>
      </c>
      <c r="Y230" s="152" t="s">
        <v>3659</v>
      </c>
    </row>
    <row r="231" spans="1:25" s="150" customFormat="1" x14ac:dyDescent="0.25">
      <c r="A231" s="178">
        <v>43683</v>
      </c>
      <c r="B231" s="89" t="s">
        <v>70</v>
      </c>
      <c r="C231" s="150" t="s">
        <v>126</v>
      </c>
      <c r="D231" s="150">
        <v>38.26117</v>
      </c>
      <c r="E231" s="150">
        <v>-121.68491</v>
      </c>
      <c r="F231" s="150" t="s">
        <v>3660</v>
      </c>
      <c r="G231" s="150" t="s">
        <v>90</v>
      </c>
      <c r="H231" s="150" t="s">
        <v>845</v>
      </c>
      <c r="I231" s="614">
        <v>0.47847222222222219</v>
      </c>
      <c r="J231" s="197" t="s">
        <v>50</v>
      </c>
      <c r="K231" s="197" t="s">
        <v>50</v>
      </c>
      <c r="L231" s="197" t="s">
        <v>50</v>
      </c>
      <c r="M231" s="197" t="s">
        <v>50</v>
      </c>
      <c r="N231" s="197" t="s">
        <v>50</v>
      </c>
      <c r="O231" s="149" t="s">
        <v>48</v>
      </c>
      <c r="P231" s="149">
        <v>0</v>
      </c>
      <c r="Q231" s="149" t="s">
        <v>50</v>
      </c>
      <c r="R231" s="149" t="s">
        <v>50</v>
      </c>
      <c r="S231" s="149" t="s">
        <v>50</v>
      </c>
      <c r="T231" s="149" t="s">
        <v>50</v>
      </c>
      <c r="U231" s="149" t="s">
        <v>50</v>
      </c>
      <c r="V231" s="149" t="s">
        <v>50</v>
      </c>
      <c r="W231" s="149" t="s">
        <v>50</v>
      </c>
      <c r="X231" s="149" t="s">
        <v>50</v>
      </c>
      <c r="Y231" s="152" t="s">
        <v>3659</v>
      </c>
    </row>
    <row r="232" spans="1:25" s="150" customFormat="1" x14ac:dyDescent="0.25">
      <c r="A232" s="178">
        <v>43683</v>
      </c>
      <c r="B232" s="89" t="s">
        <v>70</v>
      </c>
      <c r="C232" s="150" t="s">
        <v>126</v>
      </c>
      <c r="D232" s="150">
        <v>38.242609999999999</v>
      </c>
      <c r="E232" s="150">
        <v>-121.67442</v>
      </c>
      <c r="F232" s="150" t="s">
        <v>3661</v>
      </c>
      <c r="G232" s="150" t="s">
        <v>90</v>
      </c>
      <c r="H232" s="150" t="s">
        <v>845</v>
      </c>
      <c r="I232" s="614">
        <v>0.47916666666666669</v>
      </c>
      <c r="J232" s="197" t="s">
        <v>50</v>
      </c>
      <c r="K232" s="197" t="s">
        <v>50</v>
      </c>
      <c r="L232" s="197" t="s">
        <v>50</v>
      </c>
      <c r="M232" s="197" t="s">
        <v>50</v>
      </c>
      <c r="N232" s="197" t="s">
        <v>50</v>
      </c>
      <c r="O232" s="149" t="s">
        <v>48</v>
      </c>
      <c r="P232" s="149">
        <v>0</v>
      </c>
      <c r="Q232" s="149" t="s">
        <v>50</v>
      </c>
      <c r="R232" s="149" t="s">
        <v>50</v>
      </c>
      <c r="S232" s="149" t="s">
        <v>50</v>
      </c>
      <c r="T232" s="149" t="s">
        <v>50</v>
      </c>
      <c r="U232" s="149" t="s">
        <v>50</v>
      </c>
      <c r="V232" s="149" t="s">
        <v>50</v>
      </c>
      <c r="W232" s="149" t="s">
        <v>50</v>
      </c>
      <c r="X232" s="149" t="s">
        <v>50</v>
      </c>
      <c r="Y232" s="152" t="s">
        <v>3662</v>
      </c>
    </row>
    <row r="233" spans="1:25" x14ac:dyDescent="0.25">
      <c r="A233" s="194">
        <v>43683</v>
      </c>
      <c r="B233" s="98" t="s">
        <v>70</v>
      </c>
      <c r="C233" s="98" t="s">
        <v>78</v>
      </c>
      <c r="D233" s="98">
        <v>38.052680000000002</v>
      </c>
      <c r="E233" s="98">
        <v>-122.08305</v>
      </c>
      <c r="F233" s="98" t="s">
        <v>3663</v>
      </c>
      <c r="G233" s="98" t="s">
        <v>80</v>
      </c>
      <c r="H233" s="98" t="s">
        <v>81</v>
      </c>
      <c r="I233" s="621">
        <v>0.35416666666666669</v>
      </c>
      <c r="J233" s="100">
        <v>18487.75</v>
      </c>
      <c r="K233" s="100">
        <v>21</v>
      </c>
      <c r="L233" s="100">
        <v>28.074999999999999</v>
      </c>
      <c r="M233" s="100">
        <v>0.46749999999999997</v>
      </c>
      <c r="N233" s="100">
        <v>10.9</v>
      </c>
      <c r="O233" s="98" t="s">
        <v>48</v>
      </c>
      <c r="P233" s="98">
        <v>4</v>
      </c>
      <c r="Q233" s="98">
        <v>10</v>
      </c>
      <c r="R233" s="98" t="s">
        <v>49</v>
      </c>
      <c r="S233" s="98" t="s">
        <v>50</v>
      </c>
      <c r="T233" s="98" t="s">
        <v>50</v>
      </c>
      <c r="U233" s="98" t="s">
        <v>50</v>
      </c>
      <c r="V233" s="98" t="s">
        <v>50</v>
      </c>
      <c r="W233" s="98" t="s">
        <v>50</v>
      </c>
      <c r="X233" s="98" t="s">
        <v>50</v>
      </c>
      <c r="Y233" s="622"/>
    </row>
    <row r="234" spans="1:25" x14ac:dyDescent="0.25">
      <c r="A234" s="26">
        <v>43683</v>
      </c>
      <c r="B234" s="89" t="s">
        <v>70</v>
      </c>
      <c r="C234" s="89" t="s">
        <v>78</v>
      </c>
      <c r="D234" s="89">
        <v>38.055430000000001</v>
      </c>
      <c r="E234" s="89">
        <v>-121.9714</v>
      </c>
      <c r="F234" s="89" t="s">
        <v>3664</v>
      </c>
      <c r="G234" s="89" t="s">
        <v>27</v>
      </c>
      <c r="H234" s="89" t="s">
        <v>170</v>
      </c>
      <c r="I234" s="602">
        <v>0.42986111111111108</v>
      </c>
      <c r="J234" s="82">
        <v>9457</v>
      </c>
      <c r="K234" s="82">
        <v>22.2</v>
      </c>
      <c r="L234" s="82">
        <v>18.125</v>
      </c>
      <c r="M234" s="82">
        <v>0.625</v>
      </c>
      <c r="N234" s="82">
        <v>8.25</v>
      </c>
      <c r="O234" s="89" t="s">
        <v>48</v>
      </c>
      <c r="P234" s="89">
        <v>4</v>
      </c>
      <c r="Q234" s="89">
        <v>10</v>
      </c>
      <c r="R234" s="89" t="s">
        <v>64</v>
      </c>
      <c r="S234" s="89" t="s">
        <v>50</v>
      </c>
      <c r="T234" s="89" t="s">
        <v>50</v>
      </c>
      <c r="U234" s="89" t="s">
        <v>50</v>
      </c>
      <c r="V234" s="89" t="s">
        <v>50</v>
      </c>
      <c r="W234" s="89" t="s">
        <v>50</v>
      </c>
      <c r="X234" s="89" t="s">
        <v>50</v>
      </c>
      <c r="Y234" s="600" t="s">
        <v>3665</v>
      </c>
    </row>
    <row r="235" spans="1:25" x14ac:dyDescent="0.25">
      <c r="A235" s="26">
        <v>43683</v>
      </c>
      <c r="B235" s="89" t="s">
        <v>70</v>
      </c>
      <c r="C235" s="89" t="s">
        <v>78</v>
      </c>
      <c r="D235" s="89">
        <v>38.050249999999998</v>
      </c>
      <c r="E235" s="89">
        <v>-121.87097</v>
      </c>
      <c r="F235" s="89" t="s">
        <v>3666</v>
      </c>
      <c r="G235" s="89" t="s">
        <v>27</v>
      </c>
      <c r="H235" s="89" t="s">
        <v>101</v>
      </c>
      <c r="I235" s="602">
        <v>0.49652777777777773</v>
      </c>
      <c r="J235" s="82">
        <v>3827.25</v>
      </c>
      <c r="K235" s="82">
        <v>22.824999999999999</v>
      </c>
      <c r="L235" s="82">
        <v>16.8</v>
      </c>
      <c r="M235" s="82">
        <v>0.64249999999999996</v>
      </c>
      <c r="N235" s="82">
        <v>6.3249999999999993</v>
      </c>
      <c r="O235" s="89" t="s">
        <v>48</v>
      </c>
      <c r="P235" s="89">
        <v>4</v>
      </c>
      <c r="Q235" s="89">
        <v>10</v>
      </c>
      <c r="R235" s="89" t="s">
        <v>49</v>
      </c>
      <c r="S235" s="89" t="s">
        <v>50</v>
      </c>
      <c r="T235" s="89" t="s">
        <v>50</v>
      </c>
      <c r="U235" s="89" t="s">
        <v>50</v>
      </c>
      <c r="V235" s="89" t="s">
        <v>50</v>
      </c>
      <c r="W235" s="89" t="s">
        <v>50</v>
      </c>
      <c r="X235" s="89" t="s">
        <v>50</v>
      </c>
    </row>
    <row r="236" spans="1:25" x14ac:dyDescent="0.25">
      <c r="A236" s="26">
        <v>43684</v>
      </c>
      <c r="B236" s="89" t="s">
        <v>87</v>
      </c>
      <c r="C236" s="89" t="s">
        <v>78</v>
      </c>
      <c r="D236" s="89">
        <v>38.065559999999998</v>
      </c>
      <c r="E236" s="89">
        <v>-122.09153000000001</v>
      </c>
      <c r="F236" s="89" t="s">
        <v>3667</v>
      </c>
      <c r="G236" s="89" t="s">
        <v>80</v>
      </c>
      <c r="H236" s="89" t="s">
        <v>81</v>
      </c>
      <c r="I236" s="602">
        <v>0.36458333333333331</v>
      </c>
      <c r="J236" s="82">
        <v>18424</v>
      </c>
      <c r="K236" s="82">
        <v>21.4</v>
      </c>
      <c r="L236" s="82">
        <v>21.324999999999999</v>
      </c>
      <c r="M236" s="82">
        <v>0.54249999999999998</v>
      </c>
      <c r="N236" s="82">
        <v>6.5749999999999993</v>
      </c>
      <c r="O236" s="89" t="s">
        <v>48</v>
      </c>
      <c r="P236" s="89">
        <v>4</v>
      </c>
      <c r="Q236" s="89">
        <v>10</v>
      </c>
      <c r="R236" s="89" t="s">
        <v>64</v>
      </c>
      <c r="S236" s="89" t="s">
        <v>50</v>
      </c>
      <c r="T236" s="89" t="s">
        <v>50</v>
      </c>
      <c r="U236" s="89" t="s">
        <v>50</v>
      </c>
      <c r="V236" s="89" t="s">
        <v>50</v>
      </c>
      <c r="W236" s="89" t="s">
        <v>50</v>
      </c>
      <c r="X236" s="89" t="s">
        <v>50</v>
      </c>
    </row>
    <row r="237" spans="1:25" s="150" customFormat="1" x14ac:dyDescent="0.25">
      <c r="A237" s="178">
        <v>43684</v>
      </c>
      <c r="B237" s="150" t="s">
        <v>87</v>
      </c>
      <c r="C237" s="150" t="s">
        <v>78</v>
      </c>
      <c r="D237" s="150">
        <v>38.059469999999997</v>
      </c>
      <c r="E237" s="150">
        <v>-122.02858000000001</v>
      </c>
      <c r="F237" s="150" t="s">
        <v>3668</v>
      </c>
      <c r="G237" s="150" t="s">
        <v>27</v>
      </c>
      <c r="H237" s="150" t="s">
        <v>86</v>
      </c>
      <c r="I237" s="614">
        <v>0.34722222222222227</v>
      </c>
      <c r="J237" s="197" t="s">
        <v>50</v>
      </c>
      <c r="K237" s="197" t="s">
        <v>50</v>
      </c>
      <c r="L237" s="197" t="s">
        <v>50</v>
      </c>
      <c r="M237" s="197" t="s">
        <v>50</v>
      </c>
      <c r="N237" s="197" t="s">
        <v>50</v>
      </c>
      <c r="O237" s="149" t="s">
        <v>48</v>
      </c>
      <c r="P237" s="149">
        <v>0</v>
      </c>
      <c r="Q237" s="149" t="s">
        <v>50</v>
      </c>
      <c r="R237" s="149" t="s">
        <v>50</v>
      </c>
      <c r="S237" s="149" t="s">
        <v>50</v>
      </c>
      <c r="T237" s="149" t="s">
        <v>50</v>
      </c>
      <c r="U237" s="149" t="s">
        <v>50</v>
      </c>
      <c r="V237" s="149" t="s">
        <v>50</v>
      </c>
      <c r="W237" s="149" t="s">
        <v>50</v>
      </c>
      <c r="X237" s="149" t="s">
        <v>50</v>
      </c>
      <c r="Y237" s="152" t="s">
        <v>3669</v>
      </c>
    </row>
    <row r="238" spans="1:25" x14ac:dyDescent="0.25">
      <c r="A238" s="26">
        <v>43684</v>
      </c>
      <c r="B238" s="89" t="s">
        <v>87</v>
      </c>
      <c r="C238" s="89" t="s">
        <v>78</v>
      </c>
      <c r="D238" s="89">
        <v>38.04806</v>
      </c>
      <c r="E238" s="89">
        <v>-121.92322</v>
      </c>
      <c r="F238" s="89" t="s">
        <v>3670</v>
      </c>
      <c r="G238" s="89" t="s">
        <v>27</v>
      </c>
      <c r="H238" s="89" t="s">
        <v>101</v>
      </c>
      <c r="I238" s="602">
        <v>0.43124999999999997</v>
      </c>
      <c r="J238" s="82">
        <v>6338</v>
      </c>
      <c r="K238" s="82">
        <v>22.075000000000003</v>
      </c>
      <c r="L238" s="82">
        <v>26.774999999999999</v>
      </c>
      <c r="M238" s="82">
        <v>0.42499999999999999</v>
      </c>
      <c r="N238" s="82">
        <v>13.5</v>
      </c>
      <c r="O238" s="89" t="s">
        <v>48</v>
      </c>
      <c r="P238" s="89">
        <v>4</v>
      </c>
      <c r="Q238" s="89">
        <v>10</v>
      </c>
      <c r="R238" s="89" t="s">
        <v>64</v>
      </c>
      <c r="S238" s="89" t="s">
        <v>50</v>
      </c>
      <c r="T238" s="89" t="s">
        <v>50</v>
      </c>
      <c r="U238" s="89" t="s">
        <v>50</v>
      </c>
      <c r="V238" s="89" t="s">
        <v>50</v>
      </c>
      <c r="W238" s="89" t="s">
        <v>50</v>
      </c>
      <c r="X238" s="89" t="s">
        <v>50</v>
      </c>
    </row>
    <row r="239" spans="1:25" x14ac:dyDescent="0.25">
      <c r="A239" s="26">
        <v>43684</v>
      </c>
      <c r="B239" s="89" t="s">
        <v>87</v>
      </c>
      <c r="C239" s="89" t="s">
        <v>78</v>
      </c>
      <c r="D239" s="89">
        <v>38.030709999999999</v>
      </c>
      <c r="E239" s="89">
        <v>-121.85872000000001</v>
      </c>
      <c r="F239" s="89" t="s">
        <v>3671</v>
      </c>
      <c r="G239" s="89" t="s">
        <v>27</v>
      </c>
      <c r="H239" s="89" t="s">
        <v>101</v>
      </c>
      <c r="I239" s="602">
        <v>0.4909722222222222</v>
      </c>
      <c r="J239" s="100">
        <v>2617</v>
      </c>
      <c r="K239" s="100">
        <v>22.9</v>
      </c>
      <c r="L239" s="100">
        <v>15.924999999999999</v>
      </c>
      <c r="M239" s="100">
        <v>0.61249999999999993</v>
      </c>
      <c r="N239" s="100">
        <v>11.350000000000001</v>
      </c>
      <c r="O239" s="89" t="s">
        <v>48</v>
      </c>
      <c r="P239" s="89">
        <v>4</v>
      </c>
      <c r="Q239" s="89">
        <v>10</v>
      </c>
      <c r="R239" s="89" t="s">
        <v>49</v>
      </c>
      <c r="S239" s="89" t="s">
        <v>50</v>
      </c>
      <c r="T239" s="89" t="s">
        <v>50</v>
      </c>
      <c r="U239" s="89" t="s">
        <v>50</v>
      </c>
      <c r="V239" s="89" t="s">
        <v>50</v>
      </c>
      <c r="W239" s="89" t="s">
        <v>50</v>
      </c>
      <c r="X239" s="89" t="s">
        <v>50</v>
      </c>
    </row>
    <row r="240" spans="1:25" x14ac:dyDescent="0.25">
      <c r="A240" s="26">
        <v>43684</v>
      </c>
      <c r="B240" s="89" t="s">
        <v>87</v>
      </c>
      <c r="C240" s="98" t="s">
        <v>118</v>
      </c>
      <c r="D240" s="98">
        <v>38.062649999999998</v>
      </c>
      <c r="E240" s="98">
        <v>-122.22953</v>
      </c>
      <c r="F240" s="98" t="s">
        <v>3672</v>
      </c>
      <c r="G240" s="98" t="s">
        <v>80</v>
      </c>
      <c r="H240" s="98" t="s">
        <v>3332</v>
      </c>
      <c r="I240" s="602">
        <v>0.59722222222222221</v>
      </c>
      <c r="J240" s="100">
        <v>22433.5</v>
      </c>
      <c r="K240" s="100">
        <v>21.7</v>
      </c>
      <c r="L240" s="100">
        <v>18.625</v>
      </c>
      <c r="M240" s="100">
        <v>0.54749999999999999</v>
      </c>
      <c r="N240" s="100">
        <v>25.849999999999998</v>
      </c>
      <c r="O240" s="98" t="s">
        <v>48</v>
      </c>
      <c r="P240" s="98">
        <v>4</v>
      </c>
      <c r="Q240" s="98">
        <v>10</v>
      </c>
      <c r="R240" s="89" t="s">
        <v>49</v>
      </c>
      <c r="S240" s="89" t="s">
        <v>50</v>
      </c>
      <c r="T240" s="89" t="s">
        <v>50</v>
      </c>
      <c r="U240" s="89" t="s">
        <v>50</v>
      </c>
      <c r="V240" s="89" t="s">
        <v>50</v>
      </c>
      <c r="W240" s="89" t="s">
        <v>50</v>
      </c>
      <c r="X240" s="89" t="s">
        <v>50</v>
      </c>
    </row>
    <row r="241" spans="1:25" x14ac:dyDescent="0.25">
      <c r="A241" s="26">
        <v>43684</v>
      </c>
      <c r="B241" s="89" t="s">
        <v>87</v>
      </c>
      <c r="C241" s="89" t="s">
        <v>106</v>
      </c>
      <c r="D241" s="89">
        <v>38.182079999999999</v>
      </c>
      <c r="E241" s="89">
        <v>-121.6639</v>
      </c>
      <c r="F241" s="89" t="s">
        <v>3673</v>
      </c>
      <c r="G241" s="89" t="s">
        <v>90</v>
      </c>
      <c r="H241" s="89" t="s">
        <v>362</v>
      </c>
      <c r="I241" s="602">
        <v>0.3215277777777778</v>
      </c>
      <c r="J241" s="82">
        <v>125.575</v>
      </c>
      <c r="K241" s="82">
        <v>22.650000000000002</v>
      </c>
      <c r="L241" s="82">
        <v>5.8350000000000009</v>
      </c>
      <c r="M241" s="82">
        <v>1.4775</v>
      </c>
      <c r="N241" s="82">
        <v>11.975</v>
      </c>
      <c r="O241" s="89" t="s">
        <v>48</v>
      </c>
      <c r="P241" s="89">
        <v>4</v>
      </c>
      <c r="Q241" s="89">
        <v>10</v>
      </c>
      <c r="R241" s="89" t="s">
        <v>64</v>
      </c>
      <c r="S241" s="89" t="s">
        <v>50</v>
      </c>
      <c r="T241" s="89" t="s">
        <v>50</v>
      </c>
      <c r="U241" s="89" t="s">
        <v>50</v>
      </c>
      <c r="V241" s="89" t="s">
        <v>50</v>
      </c>
      <c r="W241" s="89" t="s">
        <v>50</v>
      </c>
      <c r="X241" s="89" t="s">
        <v>50</v>
      </c>
    </row>
    <row r="242" spans="1:25" x14ac:dyDescent="0.25">
      <c r="A242" s="26">
        <v>43684</v>
      </c>
      <c r="B242" s="89" t="s">
        <v>87</v>
      </c>
      <c r="C242" s="89" t="s">
        <v>106</v>
      </c>
      <c r="D242" s="89">
        <v>38.521239999999999</v>
      </c>
      <c r="E242" s="89">
        <v>-121.58411</v>
      </c>
      <c r="F242" s="89" t="s">
        <v>3674</v>
      </c>
      <c r="G242" s="89" t="s">
        <v>90</v>
      </c>
      <c r="H242" s="89" t="s">
        <v>1787</v>
      </c>
      <c r="I242" s="602">
        <v>0.40069444444444446</v>
      </c>
      <c r="J242" s="82">
        <v>843</v>
      </c>
      <c r="K242" s="82">
        <v>24.7</v>
      </c>
      <c r="L242" s="82">
        <v>11.475</v>
      </c>
      <c r="M242" s="82">
        <v>0.75249999999999995</v>
      </c>
      <c r="N242" s="82">
        <v>7.7750000000000004</v>
      </c>
      <c r="O242" s="89" t="s">
        <v>48</v>
      </c>
      <c r="P242" s="89">
        <v>4</v>
      </c>
      <c r="Q242" s="89">
        <v>10</v>
      </c>
      <c r="R242" s="89" t="s">
        <v>64</v>
      </c>
      <c r="S242" s="89" t="s">
        <v>50</v>
      </c>
      <c r="T242" s="89" t="s">
        <v>50</v>
      </c>
      <c r="U242" s="89" t="s">
        <v>50</v>
      </c>
      <c r="V242" s="89" t="s">
        <v>50</v>
      </c>
      <c r="W242" s="89" t="s">
        <v>50</v>
      </c>
      <c r="X242" s="89" t="s">
        <v>50</v>
      </c>
      <c r="Y242" s="600" t="s">
        <v>3675</v>
      </c>
    </row>
    <row r="243" spans="1:25" x14ac:dyDescent="0.25">
      <c r="A243" s="26">
        <v>43684</v>
      </c>
      <c r="B243" s="89" t="s">
        <v>87</v>
      </c>
      <c r="C243" s="89" t="s">
        <v>106</v>
      </c>
      <c r="D243" s="89">
        <v>38.561799999999998</v>
      </c>
      <c r="E243" s="89">
        <v>-121.54715</v>
      </c>
      <c r="F243" s="89" t="s">
        <v>3676</v>
      </c>
      <c r="G243" s="89" t="s">
        <v>90</v>
      </c>
      <c r="H243" s="89" t="s">
        <v>1787</v>
      </c>
      <c r="I243" s="602">
        <v>0.45555555555555555</v>
      </c>
      <c r="J243" s="82">
        <v>1000.5</v>
      </c>
      <c r="K243" s="82">
        <v>26.400000000000002</v>
      </c>
      <c r="L243" s="82">
        <v>2.5825</v>
      </c>
      <c r="M243" s="82" t="s">
        <v>2882</v>
      </c>
      <c r="N243" s="82">
        <v>12.125</v>
      </c>
      <c r="O243" s="89" t="s">
        <v>48</v>
      </c>
      <c r="P243" s="89">
        <v>4</v>
      </c>
      <c r="Q243" s="89">
        <v>10</v>
      </c>
      <c r="R243" s="89" t="s">
        <v>64</v>
      </c>
      <c r="S243" s="89" t="s">
        <v>50</v>
      </c>
      <c r="T243" s="89" t="s">
        <v>50</v>
      </c>
      <c r="U243" s="89" t="s">
        <v>50</v>
      </c>
      <c r="V243" s="89" t="s">
        <v>50</v>
      </c>
      <c r="W243" s="89" t="s">
        <v>50</v>
      </c>
      <c r="X243" s="89" t="s">
        <v>50</v>
      </c>
    </row>
    <row r="244" spans="1:25" x14ac:dyDescent="0.25">
      <c r="A244" s="194">
        <v>43684</v>
      </c>
      <c r="B244" s="98" t="s">
        <v>87</v>
      </c>
      <c r="C244" s="98" t="s">
        <v>88</v>
      </c>
      <c r="D244" s="98">
        <v>38.161140000000003</v>
      </c>
      <c r="E244" s="98">
        <v>-121.68011</v>
      </c>
      <c r="F244" s="98" t="s">
        <v>3677</v>
      </c>
      <c r="G244" s="98" t="s">
        <v>90</v>
      </c>
      <c r="H244" s="98" t="s">
        <v>91</v>
      </c>
      <c r="I244" s="621">
        <v>0.3430555555555555</v>
      </c>
      <c r="J244" s="100">
        <v>122.02500000000001</v>
      </c>
      <c r="K244" s="100">
        <v>22.625000000000004</v>
      </c>
      <c r="L244" s="100">
        <v>6.7675000000000001</v>
      </c>
      <c r="M244" s="100">
        <v>1.5075000000000001</v>
      </c>
      <c r="N244" s="100">
        <v>7.125</v>
      </c>
      <c r="O244" s="98" t="s">
        <v>48</v>
      </c>
      <c r="P244" s="98">
        <v>4</v>
      </c>
      <c r="Q244" s="98">
        <v>10</v>
      </c>
      <c r="R244" s="98" t="s">
        <v>64</v>
      </c>
      <c r="S244" s="98" t="s">
        <v>50</v>
      </c>
      <c r="T244" s="98" t="s">
        <v>50</v>
      </c>
      <c r="U244" s="98" t="s">
        <v>50</v>
      </c>
      <c r="V244" s="98" t="s">
        <v>50</v>
      </c>
      <c r="W244" s="98" t="s">
        <v>50</v>
      </c>
      <c r="X244" s="98" t="s">
        <v>50</v>
      </c>
      <c r="Y244" s="622" t="s">
        <v>3548</v>
      </c>
    </row>
    <row r="245" spans="1:25" x14ac:dyDescent="0.25">
      <c r="A245" s="26">
        <v>43684</v>
      </c>
      <c r="B245" s="89" t="s">
        <v>87</v>
      </c>
      <c r="C245" s="89" t="s">
        <v>88</v>
      </c>
      <c r="D245" s="89">
        <v>38.145940000000003</v>
      </c>
      <c r="E245" s="89">
        <v>-121.69113</v>
      </c>
      <c r="F245" s="89" t="s">
        <v>3678</v>
      </c>
      <c r="G245" s="89" t="s">
        <v>90</v>
      </c>
      <c r="H245" s="89" t="s">
        <v>91</v>
      </c>
      <c r="I245" s="602">
        <v>0.39513888888888887</v>
      </c>
      <c r="J245" s="82">
        <v>124.02500000000001</v>
      </c>
      <c r="K245" s="82">
        <v>22.9</v>
      </c>
      <c r="L245" s="82">
        <v>8.8550000000000004</v>
      </c>
      <c r="M245" s="82">
        <v>1.2549999999999999</v>
      </c>
      <c r="N245" s="82">
        <v>11.125</v>
      </c>
      <c r="O245" s="89" t="s">
        <v>48</v>
      </c>
      <c r="P245" s="89">
        <v>4</v>
      </c>
      <c r="Q245" s="89">
        <v>10</v>
      </c>
      <c r="R245" s="89" t="s">
        <v>64</v>
      </c>
      <c r="S245" s="89" t="s">
        <v>50</v>
      </c>
      <c r="T245" s="89" t="s">
        <v>50</v>
      </c>
      <c r="U245" s="89" t="s">
        <v>50</v>
      </c>
      <c r="V245" s="89" t="s">
        <v>50</v>
      </c>
      <c r="W245" s="89" t="s">
        <v>50</v>
      </c>
      <c r="X245" s="89" t="s">
        <v>50</v>
      </c>
    </row>
    <row r="246" spans="1:25" x14ac:dyDescent="0.25">
      <c r="A246" s="26">
        <v>43684</v>
      </c>
      <c r="B246" s="89" t="s">
        <v>87</v>
      </c>
      <c r="C246" s="89" t="s">
        <v>88</v>
      </c>
      <c r="D246" s="89">
        <v>38.082790000000003</v>
      </c>
      <c r="E246" s="89">
        <v>-121.71933</v>
      </c>
      <c r="F246" s="89" t="s">
        <v>3679</v>
      </c>
      <c r="G246" s="89" t="s">
        <v>90</v>
      </c>
      <c r="H246" s="89" t="s">
        <v>91</v>
      </c>
      <c r="I246" s="602">
        <v>0.45902777777777781</v>
      </c>
      <c r="J246" s="82">
        <v>181.29999999999998</v>
      </c>
      <c r="K246" s="82">
        <v>23.35</v>
      </c>
      <c r="L246" s="82">
        <v>10.824999999999999</v>
      </c>
      <c r="M246" s="82">
        <v>0.8274999999999999</v>
      </c>
      <c r="N246" s="82">
        <v>7.8250000000000002</v>
      </c>
      <c r="O246" s="89" t="s">
        <v>48</v>
      </c>
      <c r="P246" s="89">
        <v>4</v>
      </c>
      <c r="Q246" s="89">
        <v>10</v>
      </c>
      <c r="R246" s="89" t="s">
        <v>64</v>
      </c>
      <c r="S246" s="89" t="s">
        <v>50</v>
      </c>
      <c r="T246" s="89" t="s">
        <v>50</v>
      </c>
      <c r="U246" s="89" t="s">
        <v>50</v>
      </c>
      <c r="V246" s="89" t="s">
        <v>50</v>
      </c>
      <c r="W246" s="89" t="s">
        <v>50</v>
      </c>
      <c r="X246" s="89" t="s">
        <v>50</v>
      </c>
    </row>
    <row r="247" spans="1:25" x14ac:dyDescent="0.25">
      <c r="A247" s="26">
        <v>43685</v>
      </c>
      <c r="B247" s="89" t="s">
        <v>105</v>
      </c>
      <c r="C247" s="89" t="s">
        <v>106</v>
      </c>
      <c r="D247" s="89">
        <v>38.559930000000001</v>
      </c>
      <c r="E247" s="89">
        <v>-121.56706</v>
      </c>
      <c r="F247" s="89" t="s">
        <v>3680</v>
      </c>
      <c r="G247" s="89" t="s">
        <v>90</v>
      </c>
      <c r="H247" s="89" t="s">
        <v>1787</v>
      </c>
      <c r="I247" s="602">
        <v>0.3611111111111111</v>
      </c>
      <c r="J247" s="82">
        <v>1060.5</v>
      </c>
      <c r="K247" s="82">
        <v>25.475000000000001</v>
      </c>
      <c r="L247" s="82">
        <v>6.5649999999999995</v>
      </c>
      <c r="M247" s="82">
        <v>1.4549999999999998</v>
      </c>
      <c r="N247" s="82">
        <v>9.5</v>
      </c>
      <c r="O247" s="89" t="s">
        <v>48</v>
      </c>
      <c r="P247" s="89">
        <v>4</v>
      </c>
      <c r="Q247" s="89">
        <v>10</v>
      </c>
      <c r="R247" s="89" t="s">
        <v>64</v>
      </c>
      <c r="S247" s="89" t="s">
        <v>50</v>
      </c>
      <c r="T247" s="89" t="s">
        <v>50</v>
      </c>
      <c r="U247" s="89" t="s">
        <v>50</v>
      </c>
      <c r="V247" s="89" t="s">
        <v>50</v>
      </c>
      <c r="W247" s="89" t="s">
        <v>50</v>
      </c>
      <c r="X247" s="89" t="s">
        <v>50</v>
      </c>
    </row>
    <row r="248" spans="1:25" s="496" customFormat="1" x14ac:dyDescent="0.25">
      <c r="A248" s="495">
        <v>43685</v>
      </c>
      <c r="B248" s="496" t="s">
        <v>105</v>
      </c>
      <c r="C248" s="496" t="s">
        <v>106</v>
      </c>
      <c r="D248" s="496">
        <v>38.332479999999997</v>
      </c>
      <c r="E248" s="496">
        <v>-121.64778</v>
      </c>
      <c r="F248" s="496" t="s">
        <v>3681</v>
      </c>
      <c r="G248" s="496" t="s">
        <v>90</v>
      </c>
      <c r="H248" s="496" t="s">
        <v>362</v>
      </c>
      <c r="I248" s="615">
        <v>0.44166666666666665</v>
      </c>
      <c r="J248" s="498">
        <v>320.56666666666666</v>
      </c>
      <c r="K248" s="498">
        <v>23.399999999999995</v>
      </c>
      <c r="L248" s="498">
        <v>20.333333333333332</v>
      </c>
      <c r="M248" s="498">
        <v>0.56999999999999995</v>
      </c>
      <c r="N248" s="498">
        <v>9.9</v>
      </c>
      <c r="O248" s="496" t="s">
        <v>48</v>
      </c>
      <c r="P248" s="496">
        <v>3</v>
      </c>
      <c r="Q248" s="496">
        <v>10</v>
      </c>
      <c r="R248" s="496" t="s">
        <v>64</v>
      </c>
      <c r="S248" s="496" t="s">
        <v>323</v>
      </c>
      <c r="T248" s="496">
        <v>1</v>
      </c>
      <c r="U248" s="496">
        <v>51</v>
      </c>
      <c r="V248" s="496" t="s">
        <v>66</v>
      </c>
      <c r="W248" s="496" t="s">
        <v>50</v>
      </c>
      <c r="X248" s="496" t="s">
        <v>50</v>
      </c>
      <c r="Y248" s="601" t="s">
        <v>3682</v>
      </c>
    </row>
    <row r="249" spans="1:25" x14ac:dyDescent="0.25">
      <c r="A249" s="26">
        <v>43685</v>
      </c>
      <c r="B249" s="89" t="s">
        <v>105</v>
      </c>
      <c r="C249" s="89" t="s">
        <v>106</v>
      </c>
      <c r="D249" s="89">
        <v>38.194119999999998</v>
      </c>
      <c r="E249" s="89">
        <v>-121.65607</v>
      </c>
      <c r="F249" s="89" t="s">
        <v>3683</v>
      </c>
      <c r="G249" s="89" t="s">
        <v>90</v>
      </c>
      <c r="H249" s="89" t="s">
        <v>362</v>
      </c>
      <c r="I249" s="602">
        <v>0.50555555555555554</v>
      </c>
      <c r="J249" s="82">
        <v>125.82499999999999</v>
      </c>
      <c r="K249" s="82">
        <v>22.45</v>
      </c>
      <c r="L249" s="82">
        <v>8.120000000000001</v>
      </c>
      <c r="M249" s="82">
        <v>1.4875</v>
      </c>
      <c r="N249" s="82">
        <v>16.05</v>
      </c>
      <c r="O249" s="89" t="s">
        <v>48</v>
      </c>
      <c r="P249" s="89">
        <v>4</v>
      </c>
      <c r="Q249" s="89">
        <v>10</v>
      </c>
      <c r="R249" s="89" t="s">
        <v>64</v>
      </c>
      <c r="S249" s="89" t="s">
        <v>50</v>
      </c>
      <c r="T249" s="89" t="s">
        <v>50</v>
      </c>
      <c r="U249" s="89" t="s">
        <v>50</v>
      </c>
      <c r="V249" s="89" t="s">
        <v>50</v>
      </c>
      <c r="W249" s="89" t="s">
        <v>50</v>
      </c>
      <c r="X249" s="89" t="s">
        <v>50</v>
      </c>
      <c r="Y249" s="600" t="s">
        <v>3684</v>
      </c>
    </row>
    <row r="250" spans="1:25" x14ac:dyDescent="0.25">
      <c r="A250" s="26">
        <v>43685</v>
      </c>
      <c r="B250" s="89" t="s">
        <v>105</v>
      </c>
      <c r="C250" s="89" t="s">
        <v>118</v>
      </c>
      <c r="D250" s="89">
        <v>38.077390000000001</v>
      </c>
      <c r="E250" s="89">
        <v>-122.33238</v>
      </c>
      <c r="F250" s="89" t="s">
        <v>3685</v>
      </c>
      <c r="G250" s="89" t="s">
        <v>80</v>
      </c>
      <c r="H250" s="89" t="s">
        <v>123</v>
      </c>
      <c r="I250" s="602">
        <v>0.32430555555555557</v>
      </c>
      <c r="J250" s="82">
        <v>31801</v>
      </c>
      <c r="K250" s="82">
        <v>19.849999999999998</v>
      </c>
      <c r="L250" s="82">
        <v>43.774999999999999</v>
      </c>
      <c r="M250" s="82">
        <v>0.35499999999999998</v>
      </c>
      <c r="N250" s="82">
        <v>2.8000000000000003</v>
      </c>
      <c r="O250" s="89" t="s">
        <v>48</v>
      </c>
      <c r="P250" s="89">
        <v>4</v>
      </c>
      <c r="Q250" s="89">
        <v>10</v>
      </c>
      <c r="R250" s="89" t="s">
        <v>64</v>
      </c>
      <c r="S250" s="89" t="s">
        <v>50</v>
      </c>
      <c r="T250" s="89" t="s">
        <v>50</v>
      </c>
      <c r="U250" s="89" t="s">
        <v>50</v>
      </c>
      <c r="V250" s="89" t="s">
        <v>50</v>
      </c>
      <c r="W250" s="89" t="s">
        <v>50</v>
      </c>
      <c r="X250" s="89" t="s">
        <v>50</v>
      </c>
    </row>
    <row r="251" spans="1:25" x14ac:dyDescent="0.25">
      <c r="A251" s="26">
        <v>43685</v>
      </c>
      <c r="B251" s="89" t="s">
        <v>105</v>
      </c>
      <c r="C251" s="89" t="s">
        <v>118</v>
      </c>
      <c r="D251" s="89">
        <v>38.063850000000002</v>
      </c>
      <c r="E251" s="89">
        <v>-122.26833999999999</v>
      </c>
      <c r="F251" s="89" t="s">
        <v>3686</v>
      </c>
      <c r="G251" s="89" t="s">
        <v>80</v>
      </c>
      <c r="H251" s="89" t="s">
        <v>123</v>
      </c>
      <c r="I251" s="602">
        <v>0.43124999999999997</v>
      </c>
      <c r="J251" s="82">
        <v>30224</v>
      </c>
      <c r="K251" s="82">
        <v>20.45</v>
      </c>
      <c r="L251" s="82">
        <v>22.224999999999998</v>
      </c>
      <c r="M251" s="82">
        <v>0.52500000000000002</v>
      </c>
      <c r="N251" s="82">
        <v>9</v>
      </c>
      <c r="O251" s="89" t="s">
        <v>48</v>
      </c>
      <c r="P251" s="89">
        <v>4</v>
      </c>
      <c r="Q251" s="89">
        <v>10</v>
      </c>
      <c r="R251" s="89" t="s">
        <v>64</v>
      </c>
      <c r="S251" s="89" t="s">
        <v>50</v>
      </c>
      <c r="T251" s="89" t="s">
        <v>50</v>
      </c>
      <c r="U251" s="89" t="s">
        <v>50</v>
      </c>
      <c r="V251" s="89" t="s">
        <v>50</v>
      </c>
      <c r="W251" s="89" t="s">
        <v>50</v>
      </c>
      <c r="X251" s="89" t="s">
        <v>50</v>
      </c>
    </row>
    <row r="252" spans="1:25" x14ac:dyDescent="0.25">
      <c r="A252" s="26">
        <v>43685</v>
      </c>
      <c r="B252" s="89" t="s">
        <v>105</v>
      </c>
      <c r="C252" s="89" t="s">
        <v>118</v>
      </c>
      <c r="D252" s="89">
        <v>38.038829999999997</v>
      </c>
      <c r="E252" s="89">
        <v>-122.31717</v>
      </c>
      <c r="F252" s="89" t="s">
        <v>3687</v>
      </c>
      <c r="G252" s="89" t="s">
        <v>80</v>
      </c>
      <c r="H252" s="89" t="s">
        <v>123</v>
      </c>
      <c r="I252" s="602">
        <v>0.37708333333333338</v>
      </c>
      <c r="J252" s="100">
        <v>34325</v>
      </c>
      <c r="K252" s="100">
        <v>19.8</v>
      </c>
      <c r="L252" s="100">
        <v>14.850000000000001</v>
      </c>
      <c r="M252" s="100">
        <v>0.77249999999999996</v>
      </c>
      <c r="N252" s="100">
        <v>6.25</v>
      </c>
      <c r="O252" s="98" t="s">
        <v>48</v>
      </c>
      <c r="P252" s="98">
        <v>4</v>
      </c>
      <c r="Q252" s="98">
        <v>10</v>
      </c>
      <c r="R252" s="89" t="s">
        <v>64</v>
      </c>
      <c r="S252" s="89" t="s">
        <v>50</v>
      </c>
      <c r="T252" s="89" t="s">
        <v>50</v>
      </c>
      <c r="U252" s="89" t="s">
        <v>50</v>
      </c>
      <c r="V252" s="89" t="s">
        <v>50</v>
      </c>
      <c r="W252" s="89" t="s">
        <v>50</v>
      </c>
      <c r="X252" s="89" t="s">
        <v>50</v>
      </c>
    </row>
    <row r="253" spans="1:25" x14ac:dyDescent="0.25">
      <c r="A253" s="26">
        <v>43685</v>
      </c>
      <c r="B253" s="89" t="s">
        <v>105</v>
      </c>
      <c r="C253" s="89" t="s">
        <v>88</v>
      </c>
      <c r="D253" s="89">
        <v>38.058909999999997</v>
      </c>
      <c r="E253" s="89">
        <v>-121.80298999999999</v>
      </c>
      <c r="F253" s="89" t="s">
        <v>3688</v>
      </c>
      <c r="G253" s="89" t="s">
        <v>27</v>
      </c>
      <c r="H253" s="89" t="s">
        <v>25</v>
      </c>
      <c r="I253" s="602">
        <v>0.32430555555555557</v>
      </c>
      <c r="J253" s="82">
        <v>177.7</v>
      </c>
      <c r="K253" s="82">
        <v>22.775000000000002</v>
      </c>
      <c r="L253" s="82">
        <v>19.424999999999997</v>
      </c>
      <c r="M253" s="82">
        <v>0.64750000000000008</v>
      </c>
      <c r="N253" s="82">
        <v>10.649999999999999</v>
      </c>
      <c r="O253" s="89" t="s">
        <v>48</v>
      </c>
      <c r="P253" s="89">
        <v>4</v>
      </c>
      <c r="Q253" s="89">
        <v>10</v>
      </c>
      <c r="R253" s="89" t="s">
        <v>64</v>
      </c>
      <c r="S253" s="89" t="s">
        <v>50</v>
      </c>
      <c r="T253" s="89" t="s">
        <v>50</v>
      </c>
      <c r="U253" s="89" t="s">
        <v>50</v>
      </c>
      <c r="V253" s="89" t="s">
        <v>50</v>
      </c>
      <c r="W253" s="89" t="s">
        <v>50</v>
      </c>
      <c r="X253" s="89" t="s">
        <v>50</v>
      </c>
    </row>
    <row r="254" spans="1:25" x14ac:dyDescent="0.25">
      <c r="A254" s="26">
        <v>43685</v>
      </c>
      <c r="B254" s="89" t="s">
        <v>105</v>
      </c>
      <c r="C254" s="89" t="s">
        <v>88</v>
      </c>
      <c r="D254" s="89">
        <v>38.078409999999998</v>
      </c>
      <c r="E254" s="89">
        <v>-121.75955999999999</v>
      </c>
      <c r="F254" s="89" t="s">
        <v>3689</v>
      </c>
      <c r="G254" s="89" t="s">
        <v>27</v>
      </c>
      <c r="H254" s="89" t="s">
        <v>25</v>
      </c>
      <c r="I254" s="602">
        <v>0.37708333333333338</v>
      </c>
      <c r="J254" s="82">
        <v>147.64999999999998</v>
      </c>
      <c r="K254" s="82">
        <v>22.7</v>
      </c>
      <c r="L254" s="82">
        <v>13.024999999999999</v>
      </c>
      <c r="M254" s="82">
        <v>0.99249999999999994</v>
      </c>
      <c r="N254" s="82">
        <v>9.5500000000000007</v>
      </c>
      <c r="O254" s="89" t="s">
        <v>48</v>
      </c>
      <c r="P254" s="89">
        <v>4</v>
      </c>
      <c r="Q254" s="89">
        <v>10</v>
      </c>
      <c r="R254" s="89" t="s">
        <v>64</v>
      </c>
      <c r="S254" s="89" t="s">
        <v>50</v>
      </c>
      <c r="T254" s="89" t="s">
        <v>50</v>
      </c>
      <c r="U254" s="89" t="s">
        <v>50</v>
      </c>
      <c r="V254" s="89" t="s">
        <v>50</v>
      </c>
      <c r="W254" s="89" t="s">
        <v>50</v>
      </c>
      <c r="X254" s="89" t="s">
        <v>50</v>
      </c>
    </row>
    <row r="255" spans="1:25" s="362" customFormat="1" x14ac:dyDescent="0.25">
      <c r="A255" s="360">
        <v>43685</v>
      </c>
      <c r="B255" s="362" t="s">
        <v>105</v>
      </c>
      <c r="C255" s="362" t="s">
        <v>88</v>
      </c>
      <c r="D255" s="362">
        <v>38.154789999999998</v>
      </c>
      <c r="E255" s="362">
        <v>-121.68675</v>
      </c>
      <c r="F255" s="362" t="s">
        <v>3690</v>
      </c>
      <c r="G255" s="362" t="s">
        <v>90</v>
      </c>
      <c r="H255" s="362" t="s">
        <v>91</v>
      </c>
      <c r="I255" s="618">
        <v>0.43402777777777773</v>
      </c>
      <c r="J255" s="364">
        <v>120.5</v>
      </c>
      <c r="K255" s="364">
        <v>22.45</v>
      </c>
      <c r="L255" s="364">
        <v>7.0775000000000006</v>
      </c>
      <c r="M255" s="364">
        <v>1.54</v>
      </c>
      <c r="N255" s="364">
        <v>9.6999999999999993</v>
      </c>
      <c r="O255" s="362" t="s">
        <v>48</v>
      </c>
      <c r="P255" s="362">
        <v>4</v>
      </c>
      <c r="Q255" s="362">
        <v>10</v>
      </c>
      <c r="R255" s="362" t="s">
        <v>64</v>
      </c>
      <c r="S255" s="362" t="s">
        <v>50</v>
      </c>
      <c r="T255" s="362" t="s">
        <v>50</v>
      </c>
      <c r="U255" s="362" t="s">
        <v>50</v>
      </c>
      <c r="V255" s="362" t="s">
        <v>50</v>
      </c>
      <c r="W255" s="362" t="s">
        <v>50</v>
      </c>
      <c r="X255" s="362" t="s">
        <v>50</v>
      </c>
      <c r="Y255" s="603"/>
    </row>
    <row r="256" spans="1:25" x14ac:dyDescent="0.25">
      <c r="A256" s="26">
        <v>43689</v>
      </c>
      <c r="B256" s="89" t="s">
        <v>43</v>
      </c>
      <c r="C256" s="89" t="s">
        <v>88</v>
      </c>
      <c r="D256" s="89">
        <v>38.065959999999997</v>
      </c>
      <c r="E256" s="89">
        <v>-121.83132000000001</v>
      </c>
      <c r="F256" s="89" t="s">
        <v>3691</v>
      </c>
      <c r="G256" s="89" t="s">
        <v>27</v>
      </c>
      <c r="H256" s="89" t="s">
        <v>25</v>
      </c>
      <c r="I256" s="602">
        <v>0.33055555555555555</v>
      </c>
      <c r="J256" s="82">
        <v>296.07499999999999</v>
      </c>
      <c r="K256" s="82">
        <v>22.15</v>
      </c>
      <c r="L256" s="82">
        <v>20.75</v>
      </c>
      <c r="M256" s="82">
        <v>0.57499999999999996</v>
      </c>
      <c r="N256" s="82">
        <v>7.3500000000000005</v>
      </c>
      <c r="O256" s="89" t="s">
        <v>48</v>
      </c>
      <c r="P256" s="89">
        <v>4</v>
      </c>
      <c r="Q256" s="89">
        <v>10</v>
      </c>
      <c r="R256" s="89" t="s">
        <v>49</v>
      </c>
      <c r="S256" s="89" t="s">
        <v>50</v>
      </c>
      <c r="T256" s="89" t="s">
        <v>50</v>
      </c>
      <c r="U256" s="89" t="s">
        <v>50</v>
      </c>
      <c r="V256" s="89" t="s">
        <v>50</v>
      </c>
      <c r="W256" s="89" t="s">
        <v>50</v>
      </c>
      <c r="X256" s="89" t="s">
        <v>50</v>
      </c>
    </row>
    <row r="257" spans="1:25" x14ac:dyDescent="0.25">
      <c r="A257" s="26">
        <v>43689</v>
      </c>
      <c r="B257" s="89" t="s">
        <v>43</v>
      </c>
      <c r="C257" s="89" t="s">
        <v>88</v>
      </c>
      <c r="D257" s="89">
        <v>38.06897</v>
      </c>
      <c r="E257" s="89">
        <v>-121.77791000000001</v>
      </c>
      <c r="F257" s="89" t="s">
        <v>3692</v>
      </c>
      <c r="G257" s="89" t="s">
        <v>27</v>
      </c>
      <c r="H257" s="89" t="s">
        <v>25</v>
      </c>
      <c r="I257" s="602">
        <v>0.38472222222222219</v>
      </c>
      <c r="J257" s="82">
        <v>139.22499999999999</v>
      </c>
      <c r="K257" s="82">
        <v>22.175000000000001</v>
      </c>
      <c r="L257" s="82">
        <v>15.05</v>
      </c>
      <c r="M257" s="82">
        <v>0.95</v>
      </c>
      <c r="N257" s="82">
        <v>8.625</v>
      </c>
      <c r="O257" s="89" t="s">
        <v>48</v>
      </c>
      <c r="P257" s="89">
        <v>4</v>
      </c>
      <c r="Q257" s="89">
        <v>10</v>
      </c>
      <c r="R257" s="89" t="s">
        <v>49</v>
      </c>
      <c r="S257" s="89" t="s">
        <v>50</v>
      </c>
      <c r="T257" s="89" t="s">
        <v>50</v>
      </c>
      <c r="U257" s="89" t="s">
        <v>50</v>
      </c>
      <c r="V257" s="89" t="s">
        <v>50</v>
      </c>
      <c r="W257" s="89" t="s">
        <v>50</v>
      </c>
      <c r="X257" s="89" t="s">
        <v>50</v>
      </c>
    </row>
    <row r="258" spans="1:25" x14ac:dyDescent="0.25">
      <c r="A258" s="26">
        <v>43689</v>
      </c>
      <c r="B258" s="89" t="s">
        <v>43</v>
      </c>
      <c r="C258" s="89" t="s">
        <v>88</v>
      </c>
      <c r="D258" s="89">
        <v>38.082450000000001</v>
      </c>
      <c r="E258" s="89">
        <v>-121.72566999999999</v>
      </c>
      <c r="F258" s="89" t="s">
        <v>3693</v>
      </c>
      <c r="G258" s="89" t="s">
        <v>90</v>
      </c>
      <c r="H258" s="98" t="s">
        <v>91</v>
      </c>
      <c r="I258" s="602">
        <v>0.4368055555555555</v>
      </c>
      <c r="J258" s="82">
        <v>291.375</v>
      </c>
      <c r="K258" s="82">
        <v>23.150000000000002</v>
      </c>
      <c r="L258" s="82">
        <v>8.8725000000000005</v>
      </c>
      <c r="M258" s="82">
        <v>1.2399999999999998</v>
      </c>
      <c r="N258" s="82">
        <v>5.05</v>
      </c>
      <c r="O258" s="89" t="s">
        <v>48</v>
      </c>
      <c r="P258" s="89">
        <v>4</v>
      </c>
      <c r="Q258" s="89">
        <v>10</v>
      </c>
      <c r="R258" s="89" t="s">
        <v>49</v>
      </c>
      <c r="S258" s="89" t="s">
        <v>50</v>
      </c>
      <c r="T258" s="89" t="s">
        <v>50</v>
      </c>
      <c r="U258" s="89" t="s">
        <v>50</v>
      </c>
      <c r="V258" s="89" t="s">
        <v>50</v>
      </c>
      <c r="W258" s="89" t="s">
        <v>50</v>
      </c>
      <c r="X258" s="89" t="s">
        <v>50</v>
      </c>
      <c r="Y258" s="600" t="s">
        <v>3694</v>
      </c>
    </row>
    <row r="259" spans="1:25" x14ac:dyDescent="0.25">
      <c r="A259" s="26">
        <v>43689</v>
      </c>
      <c r="B259" s="89" t="s">
        <v>43</v>
      </c>
      <c r="C259" s="89" t="s">
        <v>118</v>
      </c>
      <c r="D259" s="89">
        <v>38.050600000000003</v>
      </c>
      <c r="E259" s="89">
        <v>-122.32679</v>
      </c>
      <c r="F259" s="89" t="s">
        <v>3695</v>
      </c>
      <c r="G259" s="89" t="s">
        <v>80</v>
      </c>
      <c r="H259" s="89" t="s">
        <v>123</v>
      </c>
      <c r="I259" s="602">
        <v>0.36736111111111108</v>
      </c>
      <c r="J259" s="82">
        <v>25441.5</v>
      </c>
      <c r="K259" s="82">
        <v>21</v>
      </c>
      <c r="L259" s="82">
        <v>19.850000000000001</v>
      </c>
      <c r="M259" s="82">
        <v>0.54249999999999998</v>
      </c>
      <c r="N259" s="82">
        <v>10.074999999999999</v>
      </c>
      <c r="O259" s="89" t="s">
        <v>48</v>
      </c>
      <c r="P259" s="89">
        <v>4</v>
      </c>
      <c r="Q259" s="89">
        <v>10</v>
      </c>
      <c r="R259" s="89" t="s">
        <v>49</v>
      </c>
      <c r="S259" s="89" t="s">
        <v>50</v>
      </c>
      <c r="T259" s="89" t="s">
        <v>50</v>
      </c>
      <c r="U259" s="89" t="s">
        <v>50</v>
      </c>
      <c r="V259" s="89" t="s">
        <v>50</v>
      </c>
      <c r="W259" s="89" t="s">
        <v>50</v>
      </c>
      <c r="X259" s="89" t="s">
        <v>50</v>
      </c>
    </row>
    <row r="260" spans="1:25" s="150" customFormat="1" x14ac:dyDescent="0.25">
      <c r="A260" s="178">
        <v>43689</v>
      </c>
      <c r="B260" s="150" t="s">
        <v>43</v>
      </c>
      <c r="C260" s="150" t="s">
        <v>118</v>
      </c>
      <c r="D260" s="150">
        <v>38.076219999999999</v>
      </c>
      <c r="E260" s="150">
        <v>-122.32807</v>
      </c>
      <c r="F260" s="150" t="s">
        <v>3696</v>
      </c>
      <c r="G260" s="150" t="s">
        <v>80</v>
      </c>
      <c r="H260" s="150" t="s">
        <v>123</v>
      </c>
      <c r="I260" s="614">
        <v>0.43263888888888885</v>
      </c>
      <c r="J260" s="156" t="s">
        <v>50</v>
      </c>
      <c r="K260" s="156" t="s">
        <v>50</v>
      </c>
      <c r="L260" s="156" t="s">
        <v>50</v>
      </c>
      <c r="M260" s="156" t="s">
        <v>50</v>
      </c>
      <c r="N260" s="156" t="s">
        <v>50</v>
      </c>
      <c r="O260" s="153" t="s">
        <v>48</v>
      </c>
      <c r="P260" s="153">
        <v>0</v>
      </c>
      <c r="Q260" s="153" t="s">
        <v>50</v>
      </c>
      <c r="R260" s="149" t="s">
        <v>50</v>
      </c>
      <c r="S260" s="149" t="s">
        <v>50</v>
      </c>
      <c r="T260" s="149" t="s">
        <v>50</v>
      </c>
      <c r="U260" s="149" t="s">
        <v>50</v>
      </c>
      <c r="V260" s="149" t="s">
        <v>50</v>
      </c>
      <c r="W260" s="149" t="s">
        <v>50</v>
      </c>
      <c r="X260" s="149" t="s">
        <v>50</v>
      </c>
      <c r="Y260" s="604" t="s">
        <v>3595</v>
      </c>
    </row>
    <row r="261" spans="1:25" s="150" customFormat="1" x14ac:dyDescent="0.25">
      <c r="A261" s="178">
        <v>43689</v>
      </c>
      <c r="B261" s="150" t="s">
        <v>43</v>
      </c>
      <c r="C261" s="150" t="s">
        <v>118</v>
      </c>
      <c r="D261" s="150">
        <v>38.054029999999997</v>
      </c>
      <c r="E261" s="150">
        <v>-122.25861999999999</v>
      </c>
      <c r="F261" s="150" t="s">
        <v>3697</v>
      </c>
      <c r="G261" s="150" t="s">
        <v>80</v>
      </c>
      <c r="H261" s="150" t="s">
        <v>3332</v>
      </c>
      <c r="I261" s="614">
        <v>0.44375000000000003</v>
      </c>
      <c r="J261" s="197" t="s">
        <v>50</v>
      </c>
      <c r="K261" s="197" t="s">
        <v>50</v>
      </c>
      <c r="L261" s="197" t="s">
        <v>50</v>
      </c>
      <c r="M261" s="197" t="s">
        <v>50</v>
      </c>
      <c r="N261" s="197" t="s">
        <v>50</v>
      </c>
      <c r="O261" s="149" t="s">
        <v>48</v>
      </c>
      <c r="P261" s="149">
        <v>0</v>
      </c>
      <c r="Q261" s="149" t="s">
        <v>50</v>
      </c>
      <c r="R261" s="149" t="s">
        <v>50</v>
      </c>
      <c r="S261" s="149" t="s">
        <v>50</v>
      </c>
      <c r="T261" s="149" t="s">
        <v>50</v>
      </c>
      <c r="U261" s="149" t="s">
        <v>50</v>
      </c>
      <c r="V261" s="149" t="s">
        <v>50</v>
      </c>
      <c r="W261" s="149" t="s">
        <v>50</v>
      </c>
      <c r="X261" s="149" t="s">
        <v>50</v>
      </c>
      <c r="Y261" s="604" t="s">
        <v>3698</v>
      </c>
    </row>
    <row r="262" spans="1:25" x14ac:dyDescent="0.25">
      <c r="A262" s="26">
        <v>43689</v>
      </c>
      <c r="B262" s="89" t="s">
        <v>43</v>
      </c>
      <c r="C262" s="89" t="s">
        <v>118</v>
      </c>
      <c r="D262" s="89">
        <v>38.067</v>
      </c>
      <c r="E262" s="89">
        <v>-122.26588</v>
      </c>
      <c r="F262" s="89" t="s">
        <v>3699</v>
      </c>
      <c r="G262" s="89" t="s">
        <v>80</v>
      </c>
      <c r="H262" s="89" t="s">
        <v>123</v>
      </c>
      <c r="I262" s="602">
        <v>0.45</v>
      </c>
      <c r="J262" s="82">
        <v>20304.5</v>
      </c>
      <c r="K262" s="82">
        <v>21.45</v>
      </c>
      <c r="L262" s="82">
        <v>24.574999999999999</v>
      </c>
      <c r="M262" s="82">
        <v>0.46750000000000003</v>
      </c>
      <c r="N262" s="82">
        <v>7.7249999999999996</v>
      </c>
      <c r="O262" s="89" t="s">
        <v>48</v>
      </c>
      <c r="P262" s="89">
        <v>4</v>
      </c>
      <c r="Q262" s="89">
        <v>10</v>
      </c>
      <c r="R262" s="89" t="s">
        <v>64</v>
      </c>
      <c r="S262" s="89" t="s">
        <v>50</v>
      </c>
      <c r="T262" s="89" t="s">
        <v>50</v>
      </c>
      <c r="U262" s="89" t="s">
        <v>50</v>
      </c>
      <c r="V262" s="89" t="s">
        <v>50</v>
      </c>
      <c r="W262" s="89" t="s">
        <v>50</v>
      </c>
      <c r="X262" s="89" t="s">
        <v>50</v>
      </c>
    </row>
    <row r="263" spans="1:25" x14ac:dyDescent="0.25">
      <c r="A263" s="26">
        <v>43689</v>
      </c>
      <c r="B263" s="89" t="s">
        <v>43</v>
      </c>
      <c r="C263" s="89" t="s">
        <v>118</v>
      </c>
      <c r="D263" s="89">
        <v>38.036990000000003</v>
      </c>
      <c r="E263" s="89">
        <v>-122.14490000000001</v>
      </c>
      <c r="F263" s="89" t="s">
        <v>3700</v>
      </c>
      <c r="G263" s="89" t="s">
        <v>80</v>
      </c>
      <c r="H263" s="89" t="s">
        <v>3332</v>
      </c>
      <c r="I263" s="602">
        <v>0.5083333333333333</v>
      </c>
      <c r="J263" s="100">
        <v>14969.5</v>
      </c>
      <c r="K263" s="100">
        <v>21.925000000000004</v>
      </c>
      <c r="L263" s="100">
        <v>43.575000000000003</v>
      </c>
      <c r="M263" s="100">
        <v>0.28750000000000003</v>
      </c>
      <c r="N263" s="100">
        <v>10.350000000000001</v>
      </c>
      <c r="O263" s="89" t="s">
        <v>48</v>
      </c>
      <c r="P263" s="89">
        <v>4</v>
      </c>
      <c r="Q263" s="89">
        <v>10</v>
      </c>
      <c r="R263" s="89" t="s">
        <v>49</v>
      </c>
      <c r="S263" s="89" t="s">
        <v>50</v>
      </c>
      <c r="T263" s="89" t="s">
        <v>50</v>
      </c>
      <c r="U263" s="89" t="s">
        <v>50</v>
      </c>
      <c r="V263" s="89" t="s">
        <v>50</v>
      </c>
      <c r="W263" s="89" t="s">
        <v>50</v>
      </c>
      <c r="X263" s="89" t="s">
        <v>50</v>
      </c>
    </row>
    <row r="264" spans="1:25" x14ac:dyDescent="0.25">
      <c r="A264" s="26">
        <v>43689</v>
      </c>
      <c r="B264" s="89" t="s">
        <v>43</v>
      </c>
      <c r="C264" s="89" t="s">
        <v>118</v>
      </c>
      <c r="D264" s="89">
        <v>38.026499999999999</v>
      </c>
      <c r="E264" s="89">
        <v>-122.15595</v>
      </c>
      <c r="F264" s="89" t="s">
        <v>3701</v>
      </c>
      <c r="G264" s="89" t="s">
        <v>80</v>
      </c>
      <c r="H264" s="89" t="s">
        <v>3332</v>
      </c>
      <c r="I264" s="602">
        <v>0.55902777777777779</v>
      </c>
      <c r="J264" s="82">
        <v>17530.75</v>
      </c>
      <c r="K264" s="82">
        <v>21.775000000000002</v>
      </c>
      <c r="L264" s="82">
        <v>21.550000000000004</v>
      </c>
      <c r="M264" s="82">
        <v>0.45600000000000002</v>
      </c>
      <c r="N264" s="82">
        <v>14.425000000000001</v>
      </c>
      <c r="O264" s="89" t="s">
        <v>48</v>
      </c>
      <c r="P264" s="89">
        <v>4</v>
      </c>
      <c r="Q264" s="89">
        <v>10</v>
      </c>
      <c r="R264" s="89" t="s">
        <v>64</v>
      </c>
      <c r="S264" s="89" t="s">
        <v>50</v>
      </c>
      <c r="T264" s="89" t="s">
        <v>50</v>
      </c>
      <c r="U264" s="89" t="s">
        <v>50</v>
      </c>
      <c r="V264" s="89" t="s">
        <v>50</v>
      </c>
      <c r="W264" s="89" t="s">
        <v>50</v>
      </c>
      <c r="X264" s="89" t="s">
        <v>50</v>
      </c>
    </row>
    <row r="265" spans="1:25" x14ac:dyDescent="0.25">
      <c r="A265" s="26">
        <v>43689</v>
      </c>
      <c r="B265" s="89" t="s">
        <v>43</v>
      </c>
      <c r="C265" s="89" t="s">
        <v>126</v>
      </c>
      <c r="D265" s="89">
        <v>38.385179999999998</v>
      </c>
      <c r="E265" s="89">
        <v>-121.62838000000001</v>
      </c>
      <c r="F265" s="89" t="s">
        <v>3702</v>
      </c>
      <c r="G265" s="89" t="s">
        <v>90</v>
      </c>
      <c r="H265" s="89" t="s">
        <v>845</v>
      </c>
      <c r="I265" s="602">
        <v>0.33124999999999999</v>
      </c>
      <c r="J265" s="82">
        <v>200.97500000000002</v>
      </c>
      <c r="K265" s="82">
        <v>23.65</v>
      </c>
      <c r="L265" s="82">
        <v>38.375</v>
      </c>
      <c r="M265" s="82">
        <v>0.39</v>
      </c>
      <c r="N265" s="82">
        <v>3.95</v>
      </c>
      <c r="O265" s="89" t="s">
        <v>48</v>
      </c>
      <c r="P265" s="89">
        <v>4</v>
      </c>
      <c r="Q265" s="89">
        <v>10</v>
      </c>
      <c r="R265" s="89" t="s">
        <v>49</v>
      </c>
      <c r="S265" s="89" t="s">
        <v>50</v>
      </c>
      <c r="T265" s="89" t="s">
        <v>50</v>
      </c>
      <c r="U265" s="89" t="s">
        <v>50</v>
      </c>
      <c r="V265" s="89" t="s">
        <v>50</v>
      </c>
      <c r="W265" s="89" t="s">
        <v>50</v>
      </c>
      <c r="X265" s="89" t="s">
        <v>50</v>
      </c>
      <c r="Y265" s="600" t="s">
        <v>3703</v>
      </c>
    </row>
    <row r="266" spans="1:25" x14ac:dyDescent="0.25">
      <c r="A266" s="26">
        <v>43689</v>
      </c>
      <c r="B266" s="89" t="s">
        <v>43</v>
      </c>
      <c r="C266" s="89" t="s">
        <v>126</v>
      </c>
      <c r="D266" s="89">
        <v>38.295769999999997</v>
      </c>
      <c r="E266" s="89">
        <v>-121.69277</v>
      </c>
      <c r="F266" s="89" t="s">
        <v>3704</v>
      </c>
      <c r="G266" s="89" t="s">
        <v>90</v>
      </c>
      <c r="H266" s="89" t="s">
        <v>845</v>
      </c>
      <c r="I266" s="602">
        <v>0.45</v>
      </c>
      <c r="J266" s="82">
        <v>242</v>
      </c>
      <c r="K266" s="82">
        <v>22.975000000000001</v>
      </c>
      <c r="L266" s="82">
        <v>10.074999999999999</v>
      </c>
      <c r="M266" s="82">
        <v>1.4500000000000002</v>
      </c>
      <c r="N266" s="82">
        <v>6.05</v>
      </c>
      <c r="O266" s="89" t="s">
        <v>48</v>
      </c>
      <c r="P266" s="89">
        <v>4</v>
      </c>
      <c r="Q266" s="89">
        <v>10</v>
      </c>
      <c r="R266" s="89" t="s">
        <v>49</v>
      </c>
      <c r="S266" s="89" t="s">
        <v>50</v>
      </c>
      <c r="T266" s="89" t="s">
        <v>50</v>
      </c>
      <c r="U266" s="89" t="s">
        <v>50</v>
      </c>
      <c r="V266" s="89" t="s">
        <v>50</v>
      </c>
      <c r="W266" s="89" t="s">
        <v>50</v>
      </c>
      <c r="X266" s="89" t="s">
        <v>50</v>
      </c>
    </row>
    <row r="267" spans="1:25" x14ac:dyDescent="0.25">
      <c r="A267" s="26">
        <v>43689</v>
      </c>
      <c r="B267" s="89" t="s">
        <v>43</v>
      </c>
      <c r="C267" s="89" t="s">
        <v>126</v>
      </c>
      <c r="D267" s="89">
        <v>38.25911</v>
      </c>
      <c r="E267" s="89">
        <v>-121.69436</v>
      </c>
      <c r="F267" s="89" t="s">
        <v>3705</v>
      </c>
      <c r="G267" s="89" t="s">
        <v>90</v>
      </c>
      <c r="H267" s="89" t="s">
        <v>845</v>
      </c>
      <c r="I267" s="602">
        <v>0.50763888888888886</v>
      </c>
      <c r="J267" s="82">
        <v>152.14999999999998</v>
      </c>
      <c r="K267" s="82">
        <v>22.25</v>
      </c>
      <c r="L267" s="82">
        <v>6.7350000000000003</v>
      </c>
      <c r="M267" s="82">
        <v>1.7749999999999999</v>
      </c>
      <c r="N267" s="82">
        <v>3.1749999999999998</v>
      </c>
      <c r="O267" s="89" t="s">
        <v>48</v>
      </c>
      <c r="P267" s="89">
        <v>4</v>
      </c>
      <c r="Q267" s="89">
        <v>10</v>
      </c>
      <c r="R267" s="89" t="s">
        <v>49</v>
      </c>
      <c r="S267" s="89" t="s">
        <v>50</v>
      </c>
      <c r="T267" s="89" t="s">
        <v>50</v>
      </c>
      <c r="U267" s="89" t="s">
        <v>50</v>
      </c>
      <c r="V267" s="89" t="s">
        <v>50</v>
      </c>
      <c r="W267" s="89" t="s">
        <v>50</v>
      </c>
      <c r="X267" s="89" t="s">
        <v>50</v>
      </c>
    </row>
    <row r="268" spans="1:25" s="206" customFormat="1" x14ac:dyDescent="0.25">
      <c r="A268" s="204">
        <v>43690</v>
      </c>
      <c r="B268" s="206" t="s">
        <v>70</v>
      </c>
      <c r="C268" s="206" t="s">
        <v>78</v>
      </c>
      <c r="D268" s="206">
        <v>38.068330000000003</v>
      </c>
      <c r="E268" s="206">
        <v>-122.08175</v>
      </c>
      <c r="F268" s="206" t="s">
        <v>3706</v>
      </c>
      <c r="G268" s="206" t="s">
        <v>80</v>
      </c>
      <c r="H268" s="206" t="s">
        <v>81</v>
      </c>
      <c r="I268" s="613">
        <v>0.33611111111111108</v>
      </c>
      <c r="J268" s="208">
        <v>10472.5</v>
      </c>
      <c r="K268" s="208">
        <v>21.724999999999998</v>
      </c>
      <c r="L268" s="208">
        <v>52.2</v>
      </c>
      <c r="M268" s="208">
        <v>0.25</v>
      </c>
      <c r="N268" s="208">
        <v>4.25</v>
      </c>
      <c r="O268" s="206" t="s">
        <v>48</v>
      </c>
      <c r="P268" s="206">
        <v>4</v>
      </c>
      <c r="Q268" s="206">
        <v>10</v>
      </c>
      <c r="R268" s="206" t="s">
        <v>49</v>
      </c>
      <c r="S268" s="206" t="s">
        <v>31</v>
      </c>
      <c r="T268" s="206">
        <v>1</v>
      </c>
      <c r="U268" s="206">
        <v>50</v>
      </c>
      <c r="V268" s="206" t="s">
        <v>50</v>
      </c>
      <c r="W268" s="206" t="s">
        <v>50</v>
      </c>
      <c r="X268" s="206" t="s">
        <v>50</v>
      </c>
      <c r="Y268" s="605"/>
    </row>
    <row r="269" spans="1:25" s="496" customFormat="1" x14ac:dyDescent="0.25">
      <c r="A269" s="495">
        <v>43690</v>
      </c>
      <c r="B269" s="496" t="s">
        <v>70</v>
      </c>
      <c r="C269" s="496" t="s">
        <v>78</v>
      </c>
      <c r="D269" s="496">
        <v>38.057560000000002</v>
      </c>
      <c r="E269" s="496">
        <v>-121.95056</v>
      </c>
      <c r="F269" s="496" t="s">
        <v>3707</v>
      </c>
      <c r="G269" s="496" t="s">
        <v>27</v>
      </c>
      <c r="H269" s="496" t="s">
        <v>170</v>
      </c>
      <c r="I269" s="615">
        <v>0.40833333333333338</v>
      </c>
      <c r="J269" s="498">
        <v>1552.5</v>
      </c>
      <c r="K269" s="498">
        <v>22.55</v>
      </c>
      <c r="L269" s="498">
        <v>26.2</v>
      </c>
      <c r="M269" s="498">
        <v>0.38</v>
      </c>
      <c r="N269" s="498">
        <v>10.95</v>
      </c>
      <c r="O269" s="496" t="s">
        <v>48</v>
      </c>
      <c r="P269" s="496">
        <v>2</v>
      </c>
      <c r="Q269" s="496">
        <v>10</v>
      </c>
      <c r="R269" s="496" t="s">
        <v>49</v>
      </c>
      <c r="S269" s="606" t="s">
        <v>323</v>
      </c>
      <c r="T269" s="496">
        <v>1</v>
      </c>
      <c r="U269" s="496">
        <v>47</v>
      </c>
      <c r="V269" s="496" t="s">
        <v>50</v>
      </c>
      <c r="W269" s="496" t="s">
        <v>50</v>
      </c>
      <c r="X269" s="496" t="s">
        <v>50</v>
      </c>
      <c r="Y269" s="601" t="s">
        <v>894</v>
      </c>
    </row>
    <row r="270" spans="1:25" x14ac:dyDescent="0.25">
      <c r="A270" s="26">
        <v>43690</v>
      </c>
      <c r="B270" s="89" t="s">
        <v>70</v>
      </c>
      <c r="C270" s="89" t="s">
        <v>78</v>
      </c>
      <c r="D270" s="89">
        <v>38.05762</v>
      </c>
      <c r="E270" s="89">
        <v>-121.8455</v>
      </c>
      <c r="F270" s="89" t="s">
        <v>3708</v>
      </c>
      <c r="G270" s="89" t="s">
        <v>27</v>
      </c>
      <c r="H270" s="89" t="s">
        <v>101</v>
      </c>
      <c r="I270" s="602">
        <v>0.47291666666666665</v>
      </c>
      <c r="J270" s="82">
        <v>551</v>
      </c>
      <c r="K270" s="82">
        <v>23.524999999999999</v>
      </c>
      <c r="L270" s="82">
        <v>10.1</v>
      </c>
      <c r="M270" s="82">
        <v>0.82499999999999996</v>
      </c>
      <c r="N270" s="82">
        <v>4.375</v>
      </c>
      <c r="O270" s="89" t="s">
        <v>48</v>
      </c>
      <c r="P270" s="89">
        <v>4</v>
      </c>
      <c r="Q270" s="89">
        <v>10</v>
      </c>
      <c r="R270" s="89" t="s">
        <v>64</v>
      </c>
      <c r="S270" s="89" t="s">
        <v>50</v>
      </c>
      <c r="T270" s="89" t="s">
        <v>50</v>
      </c>
      <c r="U270" s="89" t="s">
        <v>50</v>
      </c>
      <c r="V270" s="89" t="s">
        <v>50</v>
      </c>
      <c r="W270" s="89" t="s">
        <v>50</v>
      </c>
      <c r="X270" s="89" t="s">
        <v>50</v>
      </c>
      <c r="Y270" s="600" t="s">
        <v>3709</v>
      </c>
    </row>
    <row r="271" spans="1:25" x14ac:dyDescent="0.25">
      <c r="A271" s="26">
        <v>43690</v>
      </c>
      <c r="B271" s="89" t="s">
        <v>70</v>
      </c>
      <c r="C271" s="89" t="s">
        <v>126</v>
      </c>
      <c r="D271" s="89">
        <v>38.289070000000002</v>
      </c>
      <c r="E271" s="89">
        <v>-121.66618</v>
      </c>
      <c r="F271" s="89" t="s">
        <v>3710</v>
      </c>
      <c r="G271" s="89" t="s">
        <v>90</v>
      </c>
      <c r="H271" s="89" t="s">
        <v>845</v>
      </c>
      <c r="I271" s="602">
        <v>0.33263888888888887</v>
      </c>
      <c r="J271" s="82">
        <v>159.25</v>
      </c>
      <c r="K271" s="82">
        <v>22.650000000000002</v>
      </c>
      <c r="L271" s="82">
        <v>14.425000000000001</v>
      </c>
      <c r="M271" s="82">
        <v>0.77750000000000008</v>
      </c>
      <c r="N271" s="82">
        <v>7.9250000000000007</v>
      </c>
      <c r="O271" s="89" t="s">
        <v>48</v>
      </c>
      <c r="P271" s="89">
        <v>4</v>
      </c>
      <c r="Q271" s="89">
        <v>10</v>
      </c>
      <c r="R271" s="89" t="s">
        <v>49</v>
      </c>
      <c r="S271" s="89" t="s">
        <v>50</v>
      </c>
      <c r="T271" s="89" t="s">
        <v>50</v>
      </c>
      <c r="U271" s="89" t="s">
        <v>50</v>
      </c>
      <c r="V271" s="89" t="s">
        <v>50</v>
      </c>
      <c r="W271" s="89" t="s">
        <v>50</v>
      </c>
      <c r="X271" s="89" t="s">
        <v>50</v>
      </c>
    </row>
    <row r="272" spans="1:25" x14ac:dyDescent="0.25">
      <c r="A272" s="26">
        <v>43690</v>
      </c>
      <c r="B272" s="89" t="s">
        <v>70</v>
      </c>
      <c r="C272" s="89" t="s">
        <v>126</v>
      </c>
      <c r="D272" s="89">
        <v>38.270389999999999</v>
      </c>
      <c r="E272" s="89">
        <v>-121.69363</v>
      </c>
      <c r="F272" s="89" t="s">
        <v>3711</v>
      </c>
      <c r="G272" s="89" t="s">
        <v>90</v>
      </c>
      <c r="H272" s="89" t="s">
        <v>845</v>
      </c>
      <c r="I272" s="602">
        <v>0.39861111111111108</v>
      </c>
      <c r="J272" s="82">
        <v>160.32499999999999</v>
      </c>
      <c r="K272" s="82">
        <v>22.35</v>
      </c>
      <c r="L272" s="82">
        <v>5.4024999999999999</v>
      </c>
      <c r="M272" s="82">
        <v>1.75</v>
      </c>
      <c r="N272" s="82">
        <v>5.9999999999999991</v>
      </c>
      <c r="O272" s="89" t="s">
        <v>48</v>
      </c>
      <c r="P272" s="89">
        <v>4</v>
      </c>
      <c r="Q272" s="89">
        <v>10</v>
      </c>
      <c r="R272" s="89" t="s">
        <v>49</v>
      </c>
      <c r="S272" s="89" t="s">
        <v>50</v>
      </c>
      <c r="T272" s="89" t="s">
        <v>50</v>
      </c>
      <c r="U272" s="89" t="s">
        <v>50</v>
      </c>
      <c r="V272" s="89" t="s">
        <v>50</v>
      </c>
      <c r="W272" s="89" t="s">
        <v>50</v>
      </c>
      <c r="X272" s="89" t="s">
        <v>50</v>
      </c>
    </row>
    <row r="273" spans="1:25" s="150" customFormat="1" x14ac:dyDescent="0.25">
      <c r="A273" s="178">
        <v>43690</v>
      </c>
      <c r="B273" s="150" t="s">
        <v>70</v>
      </c>
      <c r="C273" s="150" t="s">
        <v>126</v>
      </c>
      <c r="D273" s="150">
        <v>38.286790000000003</v>
      </c>
      <c r="E273" s="150">
        <v>-121.71831</v>
      </c>
      <c r="F273" s="150" t="s">
        <v>3712</v>
      </c>
      <c r="G273" s="150" t="s">
        <v>90</v>
      </c>
      <c r="H273" s="150" t="s">
        <v>845</v>
      </c>
      <c r="I273" s="614">
        <v>0.45416666666666666</v>
      </c>
      <c r="J273" s="197" t="s">
        <v>50</v>
      </c>
      <c r="K273" s="197" t="s">
        <v>50</v>
      </c>
      <c r="L273" s="197" t="s">
        <v>50</v>
      </c>
      <c r="M273" s="197" t="s">
        <v>50</v>
      </c>
      <c r="N273" s="197" t="s">
        <v>50</v>
      </c>
      <c r="O273" s="149" t="s">
        <v>48</v>
      </c>
      <c r="P273" s="149">
        <v>0</v>
      </c>
      <c r="Q273" s="149" t="s">
        <v>50</v>
      </c>
      <c r="R273" s="149" t="s">
        <v>50</v>
      </c>
      <c r="S273" s="149" t="s">
        <v>50</v>
      </c>
      <c r="T273" s="149" t="s">
        <v>50</v>
      </c>
      <c r="U273" s="149" t="s">
        <v>50</v>
      </c>
      <c r="V273" s="149" t="s">
        <v>50</v>
      </c>
      <c r="W273" s="149" t="s">
        <v>50</v>
      </c>
      <c r="X273" s="149" t="s">
        <v>50</v>
      </c>
      <c r="Y273" s="604" t="s">
        <v>784</v>
      </c>
    </row>
    <row r="274" spans="1:25" x14ac:dyDescent="0.25">
      <c r="A274" s="26">
        <v>43690</v>
      </c>
      <c r="B274" s="89" t="s">
        <v>70</v>
      </c>
      <c r="C274" s="89" t="s">
        <v>126</v>
      </c>
      <c r="D274" s="89">
        <v>38.315579999999997</v>
      </c>
      <c r="E274" s="89">
        <v>-121.655</v>
      </c>
      <c r="F274" s="89" t="s">
        <v>3713</v>
      </c>
      <c r="G274" s="89" t="s">
        <v>90</v>
      </c>
      <c r="H274" s="89" t="s">
        <v>845</v>
      </c>
      <c r="I274" s="602">
        <v>0.48194444444444445</v>
      </c>
      <c r="J274" s="82">
        <v>186.62499999999997</v>
      </c>
      <c r="K274" s="82">
        <v>24.425000000000001</v>
      </c>
      <c r="L274" s="82">
        <v>34.525000000000006</v>
      </c>
      <c r="M274" s="82">
        <v>0.39500000000000002</v>
      </c>
      <c r="N274" s="82">
        <v>4.55</v>
      </c>
      <c r="O274" s="89" t="s">
        <v>48</v>
      </c>
      <c r="P274" s="89">
        <v>4</v>
      </c>
      <c r="Q274" s="89">
        <v>10</v>
      </c>
      <c r="R274" s="89" t="s">
        <v>49</v>
      </c>
      <c r="S274" s="89" t="s">
        <v>50</v>
      </c>
      <c r="T274" s="89" t="s">
        <v>50</v>
      </c>
      <c r="U274" s="89" t="s">
        <v>50</v>
      </c>
      <c r="V274" s="89" t="s">
        <v>50</v>
      </c>
      <c r="W274" s="89" t="s">
        <v>50</v>
      </c>
      <c r="X274" s="89" t="s">
        <v>50</v>
      </c>
    </row>
    <row r="275" spans="1:25" x14ac:dyDescent="0.25">
      <c r="A275" s="26">
        <v>43690</v>
      </c>
      <c r="B275" s="89" t="s">
        <v>70</v>
      </c>
      <c r="C275" s="89" t="s">
        <v>88</v>
      </c>
      <c r="D275" s="89">
        <v>38.06362</v>
      </c>
      <c r="E275" s="89">
        <v>-121.79002</v>
      </c>
      <c r="F275" s="89" t="s">
        <v>3714</v>
      </c>
      <c r="G275" s="89" t="s">
        <v>27</v>
      </c>
      <c r="H275" s="89" t="s">
        <v>25</v>
      </c>
      <c r="I275" s="602">
        <v>0.32569444444444445</v>
      </c>
      <c r="J275" s="82">
        <v>183.89999999999998</v>
      </c>
      <c r="K275" s="82">
        <v>22.3</v>
      </c>
      <c r="L275" s="82">
        <v>15.5</v>
      </c>
      <c r="M275" s="82">
        <v>0.63249999999999995</v>
      </c>
      <c r="N275" s="82">
        <v>10.700000000000001</v>
      </c>
      <c r="O275" s="89" t="s">
        <v>48</v>
      </c>
      <c r="P275" s="89">
        <v>4</v>
      </c>
      <c r="Q275" s="89">
        <v>10</v>
      </c>
      <c r="R275" s="89" t="s">
        <v>49</v>
      </c>
      <c r="S275" s="89" t="s">
        <v>50</v>
      </c>
      <c r="T275" s="89" t="s">
        <v>50</v>
      </c>
      <c r="U275" s="89" t="s">
        <v>50</v>
      </c>
      <c r="V275" s="89" t="s">
        <v>50</v>
      </c>
      <c r="W275" s="89" t="s">
        <v>50</v>
      </c>
      <c r="X275" s="89" t="s">
        <v>50</v>
      </c>
    </row>
    <row r="276" spans="1:25" x14ac:dyDescent="0.25">
      <c r="A276" s="26">
        <v>43690</v>
      </c>
      <c r="B276" s="89" t="s">
        <v>70</v>
      </c>
      <c r="C276" s="89" t="s">
        <v>88</v>
      </c>
      <c r="D276" s="89">
        <v>38.095529999999997</v>
      </c>
      <c r="E276" s="89">
        <v>-121.73542999999999</v>
      </c>
      <c r="F276" s="89" t="s">
        <v>3715</v>
      </c>
      <c r="G276" s="89" t="s">
        <v>90</v>
      </c>
      <c r="H276" s="89" t="s">
        <v>91</v>
      </c>
      <c r="I276" s="602">
        <v>0.38055555555555554</v>
      </c>
      <c r="J276" s="82">
        <v>128.05000000000001</v>
      </c>
      <c r="K276" s="82">
        <v>22.2</v>
      </c>
      <c r="L276" s="82">
        <v>15.150000000000002</v>
      </c>
      <c r="M276" s="82">
        <v>0.80500000000000005</v>
      </c>
      <c r="N276" s="82">
        <v>8.2249999999999996</v>
      </c>
      <c r="O276" s="89" t="s">
        <v>48</v>
      </c>
      <c r="P276" s="89">
        <v>4</v>
      </c>
      <c r="Q276" s="89">
        <v>10</v>
      </c>
      <c r="R276" s="89" t="s">
        <v>49</v>
      </c>
      <c r="S276" s="89" t="s">
        <v>50</v>
      </c>
      <c r="T276" s="89" t="s">
        <v>50</v>
      </c>
      <c r="U276" s="89" t="s">
        <v>50</v>
      </c>
      <c r="V276" s="89" t="s">
        <v>50</v>
      </c>
      <c r="W276" s="89" t="s">
        <v>50</v>
      </c>
      <c r="X276" s="89" t="s">
        <v>50</v>
      </c>
    </row>
    <row r="277" spans="1:25" x14ac:dyDescent="0.25">
      <c r="A277" s="26">
        <v>43690</v>
      </c>
      <c r="B277" s="89" t="s">
        <v>70</v>
      </c>
      <c r="C277" s="89" t="s">
        <v>88</v>
      </c>
      <c r="D277" s="89">
        <v>38.12585</v>
      </c>
      <c r="E277" s="89">
        <v>-121.69875</v>
      </c>
      <c r="F277" s="89" t="s">
        <v>3716</v>
      </c>
      <c r="G277" s="89" t="s">
        <v>90</v>
      </c>
      <c r="H277" s="89" t="s">
        <v>91</v>
      </c>
      <c r="I277" s="602">
        <v>0.43402777777777773</v>
      </c>
      <c r="J277" s="82">
        <v>126.4</v>
      </c>
      <c r="K277" s="82">
        <v>22.1</v>
      </c>
      <c r="L277" s="82">
        <v>9.5625</v>
      </c>
      <c r="M277" s="82">
        <v>1.23</v>
      </c>
      <c r="N277" s="82">
        <v>7.7750000000000004</v>
      </c>
      <c r="O277" s="89" t="s">
        <v>48</v>
      </c>
      <c r="P277" s="89">
        <v>4</v>
      </c>
      <c r="Q277" s="89">
        <v>10</v>
      </c>
      <c r="R277" s="89" t="s">
        <v>49</v>
      </c>
      <c r="S277" s="89" t="s">
        <v>50</v>
      </c>
      <c r="T277" s="89" t="s">
        <v>50</v>
      </c>
      <c r="U277" s="89" t="s">
        <v>50</v>
      </c>
      <c r="V277" s="89" t="s">
        <v>50</v>
      </c>
      <c r="W277" s="89" t="s">
        <v>50</v>
      </c>
      <c r="X277" s="89" t="s">
        <v>50</v>
      </c>
    </row>
    <row r="278" spans="1:25" x14ac:dyDescent="0.25">
      <c r="A278" s="26">
        <v>43691</v>
      </c>
      <c r="B278" s="89" t="s">
        <v>87</v>
      </c>
      <c r="C278" s="89" t="s">
        <v>106</v>
      </c>
      <c r="D278" s="89">
        <v>38.501100000000001</v>
      </c>
      <c r="E278" s="89">
        <v>-121.5847</v>
      </c>
      <c r="F278" s="89" t="s">
        <v>3717</v>
      </c>
      <c r="G278" s="89" t="s">
        <v>90</v>
      </c>
      <c r="H278" s="89" t="s">
        <v>1787</v>
      </c>
      <c r="I278" s="602">
        <v>0.33680555555555558</v>
      </c>
      <c r="J278" s="82">
        <v>892</v>
      </c>
      <c r="K278" s="82">
        <v>25.375</v>
      </c>
      <c r="L278" s="82">
        <v>9.42</v>
      </c>
      <c r="M278" s="82">
        <v>0.86250000000000004</v>
      </c>
      <c r="N278" s="82">
        <v>11</v>
      </c>
      <c r="O278" s="89" t="s">
        <v>48</v>
      </c>
      <c r="P278" s="89">
        <v>4</v>
      </c>
      <c r="Q278" s="89">
        <v>10</v>
      </c>
      <c r="R278" s="89" t="s">
        <v>49</v>
      </c>
      <c r="S278" s="89" t="s">
        <v>50</v>
      </c>
      <c r="T278" s="89" t="s">
        <v>50</v>
      </c>
      <c r="U278" s="89" t="s">
        <v>50</v>
      </c>
      <c r="V278" s="89" t="s">
        <v>50</v>
      </c>
      <c r="W278" s="89" t="s">
        <v>50</v>
      </c>
      <c r="X278" s="89" t="s">
        <v>50</v>
      </c>
      <c r="Y278" s="600" t="s">
        <v>3718</v>
      </c>
    </row>
    <row r="279" spans="1:25" x14ac:dyDescent="0.25">
      <c r="A279" s="26">
        <v>43691</v>
      </c>
      <c r="B279" s="89" t="s">
        <v>87</v>
      </c>
      <c r="C279" s="89" t="s">
        <v>106</v>
      </c>
      <c r="D279" s="89">
        <v>38.434139999999999</v>
      </c>
      <c r="E279" s="89">
        <v>-121.60136</v>
      </c>
      <c r="F279" s="89" t="s">
        <v>3719</v>
      </c>
      <c r="G279" s="89" t="s">
        <v>90</v>
      </c>
      <c r="H279" s="89" t="s">
        <v>362</v>
      </c>
      <c r="I279" s="602">
        <v>0.39930555555555558</v>
      </c>
      <c r="J279" s="82">
        <v>709.75</v>
      </c>
      <c r="K279" s="82">
        <v>24.4</v>
      </c>
      <c r="L279" s="82">
        <v>21.650000000000002</v>
      </c>
      <c r="M279" s="82">
        <v>0.49249999999999999</v>
      </c>
      <c r="N279" s="82">
        <v>8.7999999999999989</v>
      </c>
      <c r="O279" s="89" t="s">
        <v>48</v>
      </c>
      <c r="P279" s="89">
        <v>4</v>
      </c>
      <c r="Q279" s="89">
        <v>10</v>
      </c>
      <c r="R279" s="89" t="s">
        <v>49</v>
      </c>
      <c r="S279" s="89" t="s">
        <v>50</v>
      </c>
      <c r="T279" s="89" t="s">
        <v>50</v>
      </c>
      <c r="U279" s="89" t="s">
        <v>50</v>
      </c>
      <c r="V279" s="89" t="s">
        <v>50</v>
      </c>
      <c r="W279" s="89" t="s">
        <v>50</v>
      </c>
      <c r="X279" s="89" t="s">
        <v>50</v>
      </c>
      <c r="Y279" s="600" t="s">
        <v>3720</v>
      </c>
    </row>
    <row r="280" spans="1:25" x14ac:dyDescent="0.25">
      <c r="A280" s="26">
        <v>43691</v>
      </c>
      <c r="B280" s="89" t="s">
        <v>87</v>
      </c>
      <c r="C280" s="89" t="s">
        <v>106</v>
      </c>
      <c r="D280" s="89">
        <v>38.233179999999997</v>
      </c>
      <c r="E280" s="89">
        <v>-121.67412</v>
      </c>
      <c r="F280" s="89" t="s">
        <v>3721</v>
      </c>
      <c r="G280" s="89" t="s">
        <v>90</v>
      </c>
      <c r="H280" s="89" t="s">
        <v>362</v>
      </c>
      <c r="I280" s="602">
        <v>0.47361111111111115</v>
      </c>
      <c r="J280" s="82">
        <v>175.95000000000002</v>
      </c>
      <c r="K280" s="82">
        <v>23.275000000000002</v>
      </c>
      <c r="L280" s="82">
        <v>9.2274999999999991</v>
      </c>
      <c r="M280" s="82">
        <v>1.5625</v>
      </c>
      <c r="N280" s="82">
        <v>10.7</v>
      </c>
      <c r="O280" s="89" t="s">
        <v>48</v>
      </c>
      <c r="P280" s="89">
        <v>4</v>
      </c>
      <c r="Q280" s="89">
        <v>10</v>
      </c>
      <c r="R280" s="89" t="s">
        <v>49</v>
      </c>
      <c r="S280" s="89" t="s">
        <v>50</v>
      </c>
      <c r="T280" s="89" t="s">
        <v>50</v>
      </c>
      <c r="U280" s="89" t="s">
        <v>50</v>
      </c>
      <c r="V280" s="89" t="s">
        <v>50</v>
      </c>
      <c r="W280" s="89" t="s">
        <v>50</v>
      </c>
      <c r="X280" s="89" t="s">
        <v>50</v>
      </c>
    </row>
    <row r="281" spans="1:25" x14ac:dyDescent="0.25">
      <c r="A281" s="26">
        <v>43691</v>
      </c>
      <c r="B281" s="89" t="s">
        <v>87</v>
      </c>
      <c r="C281" s="89" t="s">
        <v>62</v>
      </c>
      <c r="D281" s="89">
        <v>38.18036</v>
      </c>
      <c r="E281" s="89">
        <v>-121.92072</v>
      </c>
      <c r="F281" s="89" t="s">
        <v>3722</v>
      </c>
      <c r="G281" s="89" t="s">
        <v>27</v>
      </c>
      <c r="H281" s="89" t="s">
        <v>62</v>
      </c>
      <c r="I281" s="602">
        <v>0.35972222222222222</v>
      </c>
      <c r="J281" s="82">
        <v>5248</v>
      </c>
      <c r="K281" s="82">
        <v>23.2</v>
      </c>
      <c r="L281" s="82">
        <v>33.299999999999997</v>
      </c>
      <c r="M281" s="82">
        <v>0.3</v>
      </c>
      <c r="N281" s="82">
        <v>4.45</v>
      </c>
      <c r="O281" s="89" t="s">
        <v>48</v>
      </c>
      <c r="P281" s="89">
        <v>4</v>
      </c>
      <c r="Q281" s="89">
        <v>10</v>
      </c>
      <c r="R281" s="89" t="s">
        <v>49</v>
      </c>
      <c r="S281" s="89" t="s">
        <v>50</v>
      </c>
      <c r="T281" s="89" t="s">
        <v>50</v>
      </c>
      <c r="U281" s="89" t="s">
        <v>50</v>
      </c>
      <c r="V281" s="89" t="s">
        <v>50</v>
      </c>
      <c r="W281" s="89" t="s">
        <v>50</v>
      </c>
      <c r="X281" s="89" t="s">
        <v>50</v>
      </c>
      <c r="Y281" s="600" t="s">
        <v>3723</v>
      </c>
    </row>
    <row r="282" spans="1:25" x14ac:dyDescent="0.25">
      <c r="A282" s="26">
        <v>43691</v>
      </c>
      <c r="B282" s="89" t="s">
        <v>87</v>
      </c>
      <c r="C282" s="89" t="s">
        <v>62</v>
      </c>
      <c r="D282" s="89">
        <v>38.170430000000003</v>
      </c>
      <c r="E282" s="89">
        <v>-122.02195</v>
      </c>
      <c r="F282" s="89" t="s">
        <v>3724</v>
      </c>
      <c r="G282" s="89" t="s">
        <v>27</v>
      </c>
      <c r="H282" s="89" t="s">
        <v>62</v>
      </c>
      <c r="I282" s="602">
        <v>0.44166666666666665</v>
      </c>
      <c r="J282" s="82">
        <v>7224.25</v>
      </c>
      <c r="K282" s="82">
        <v>23.525000000000002</v>
      </c>
      <c r="L282" s="82">
        <v>28.675000000000001</v>
      </c>
      <c r="M282" s="82">
        <v>0.33</v>
      </c>
      <c r="N282" s="82">
        <v>6.7249999999999996</v>
      </c>
      <c r="O282" s="89" t="s">
        <v>48</v>
      </c>
      <c r="P282" s="89">
        <v>4</v>
      </c>
      <c r="Q282" s="89">
        <v>10</v>
      </c>
      <c r="R282" s="89" t="s">
        <v>64</v>
      </c>
      <c r="S282" s="89" t="s">
        <v>50</v>
      </c>
      <c r="T282" s="89" t="s">
        <v>50</v>
      </c>
      <c r="U282" s="89" t="s">
        <v>50</v>
      </c>
      <c r="V282" s="89" t="s">
        <v>50</v>
      </c>
      <c r="W282" s="89" t="s">
        <v>50</v>
      </c>
      <c r="X282" s="89" t="s">
        <v>50</v>
      </c>
    </row>
    <row r="283" spans="1:25" x14ac:dyDescent="0.25">
      <c r="A283" s="194">
        <v>43691</v>
      </c>
      <c r="B283" s="98" t="s">
        <v>87</v>
      </c>
      <c r="C283" s="98" t="s">
        <v>62</v>
      </c>
      <c r="D283" s="98">
        <v>38.18139</v>
      </c>
      <c r="E283" s="98">
        <v>-122.05117</v>
      </c>
      <c r="F283" s="98" t="s">
        <v>3725</v>
      </c>
      <c r="G283" s="98" t="s">
        <v>27</v>
      </c>
      <c r="H283" s="98" t="s">
        <v>62</v>
      </c>
      <c r="I283" s="621">
        <v>0.51041666666666663</v>
      </c>
      <c r="J283" s="100">
        <v>7859</v>
      </c>
      <c r="K283" s="100">
        <v>23.599999999999998</v>
      </c>
      <c r="L283" s="100">
        <v>77.924999999999997</v>
      </c>
      <c r="M283" s="100">
        <v>0.2475</v>
      </c>
      <c r="N283" s="100">
        <v>4.8499999999999996</v>
      </c>
      <c r="O283" s="98" t="s">
        <v>48</v>
      </c>
      <c r="P283" s="98">
        <v>4</v>
      </c>
      <c r="Q283" s="98">
        <v>10</v>
      </c>
      <c r="R283" s="98" t="s">
        <v>64</v>
      </c>
      <c r="S283" s="98" t="s">
        <v>50</v>
      </c>
      <c r="T283" s="98" t="s">
        <v>50</v>
      </c>
      <c r="U283" s="98" t="s">
        <v>50</v>
      </c>
      <c r="V283" s="98" t="s">
        <v>50</v>
      </c>
      <c r="W283" s="98" t="s">
        <v>50</v>
      </c>
      <c r="X283" s="98" t="s">
        <v>50</v>
      </c>
      <c r="Y283" s="622" t="s">
        <v>3726</v>
      </c>
    </row>
    <row r="284" spans="1:25" x14ac:dyDescent="0.25">
      <c r="A284" s="26">
        <v>43691</v>
      </c>
      <c r="B284" s="89" t="s">
        <v>87</v>
      </c>
      <c r="C284" s="89" t="s">
        <v>78</v>
      </c>
      <c r="D284" s="89">
        <v>38.054540000000003</v>
      </c>
      <c r="E284" s="89">
        <v>-121.86681</v>
      </c>
      <c r="F284" s="89" t="s">
        <v>3727</v>
      </c>
      <c r="G284" s="89" t="s">
        <v>27</v>
      </c>
      <c r="H284" s="89" t="s">
        <v>101</v>
      </c>
      <c r="I284" s="602">
        <v>0.32569444444444445</v>
      </c>
      <c r="J284" s="82">
        <v>2114.25</v>
      </c>
      <c r="K284" s="82">
        <v>22.9</v>
      </c>
      <c r="L284" s="82">
        <v>24.975000000000001</v>
      </c>
      <c r="M284" s="82">
        <v>0.52500000000000002</v>
      </c>
      <c r="N284" s="82">
        <v>8.5500000000000007</v>
      </c>
      <c r="O284" s="89" t="s">
        <v>48</v>
      </c>
      <c r="P284" s="89">
        <v>4</v>
      </c>
      <c r="Q284" s="89">
        <v>10</v>
      </c>
      <c r="R284" s="89" t="s">
        <v>49</v>
      </c>
      <c r="S284" s="89" t="s">
        <v>50</v>
      </c>
      <c r="T284" s="89" t="s">
        <v>50</v>
      </c>
      <c r="U284" s="89" t="s">
        <v>50</v>
      </c>
      <c r="V284" s="89" t="s">
        <v>50</v>
      </c>
      <c r="W284" s="89" t="s">
        <v>50</v>
      </c>
      <c r="X284" s="89" t="s">
        <v>50</v>
      </c>
    </row>
    <row r="285" spans="1:25" x14ac:dyDescent="0.25">
      <c r="A285" s="26">
        <v>43691</v>
      </c>
      <c r="B285" s="89" t="s">
        <v>87</v>
      </c>
      <c r="C285" s="89" t="s">
        <v>78</v>
      </c>
      <c r="D285" s="89">
        <v>38.066000000000003</v>
      </c>
      <c r="E285" s="89">
        <v>-121.97278</v>
      </c>
      <c r="F285" s="89" t="s">
        <v>3728</v>
      </c>
      <c r="G285" s="89" t="s">
        <v>27</v>
      </c>
      <c r="H285" s="89" t="s">
        <v>86</v>
      </c>
      <c r="I285" s="602">
        <v>0.37986111111111115</v>
      </c>
      <c r="J285" s="82">
        <v>3627.25</v>
      </c>
      <c r="K285" s="82">
        <v>22.975000000000001</v>
      </c>
      <c r="L285" s="82">
        <v>38.274999999999999</v>
      </c>
      <c r="M285" s="82">
        <v>0.44750000000000001</v>
      </c>
      <c r="N285" s="82">
        <v>4.9249999999999998</v>
      </c>
      <c r="O285" s="89" t="s">
        <v>48</v>
      </c>
      <c r="P285" s="89">
        <v>4</v>
      </c>
      <c r="Q285" s="89">
        <v>10</v>
      </c>
      <c r="R285" s="89" t="s">
        <v>49</v>
      </c>
      <c r="S285" s="89" t="s">
        <v>50</v>
      </c>
      <c r="T285" s="89" t="s">
        <v>50</v>
      </c>
      <c r="U285" s="89" t="s">
        <v>50</v>
      </c>
      <c r="V285" s="89" t="s">
        <v>50</v>
      </c>
      <c r="W285" s="89" t="s">
        <v>50</v>
      </c>
      <c r="X285" s="89" t="s">
        <v>50</v>
      </c>
    </row>
    <row r="286" spans="1:25" x14ac:dyDescent="0.25">
      <c r="A286" s="26">
        <v>43691</v>
      </c>
      <c r="B286" s="89" t="s">
        <v>87</v>
      </c>
      <c r="C286" s="89" t="s">
        <v>78</v>
      </c>
      <c r="D286" s="89">
        <v>38.08381</v>
      </c>
      <c r="E286" s="89">
        <v>-122.05839</v>
      </c>
      <c r="F286" s="89" t="s">
        <v>3729</v>
      </c>
      <c r="G286" s="89" t="s">
        <v>80</v>
      </c>
      <c r="H286" s="89" t="s">
        <v>81</v>
      </c>
      <c r="I286" s="602">
        <v>0.47083333333333338</v>
      </c>
      <c r="J286" s="82">
        <v>7833.75</v>
      </c>
      <c r="K286" s="82">
        <v>22.875</v>
      </c>
      <c r="L286" s="82">
        <v>25.7</v>
      </c>
      <c r="M286" s="82">
        <v>0.44</v>
      </c>
      <c r="N286" s="82">
        <v>4.375</v>
      </c>
      <c r="O286" s="89" t="s">
        <v>48</v>
      </c>
      <c r="P286" s="89">
        <v>4</v>
      </c>
      <c r="Q286" s="89">
        <v>10</v>
      </c>
      <c r="R286" s="89" t="s">
        <v>49</v>
      </c>
      <c r="S286" s="89" t="s">
        <v>50</v>
      </c>
      <c r="T286" s="89" t="s">
        <v>50</v>
      </c>
      <c r="U286" s="89" t="s">
        <v>50</v>
      </c>
      <c r="V286" s="89" t="s">
        <v>50</v>
      </c>
      <c r="W286" s="89" t="s">
        <v>50</v>
      </c>
      <c r="X286" s="89" t="s">
        <v>50</v>
      </c>
    </row>
    <row r="287" spans="1:25" s="496" customFormat="1" x14ac:dyDescent="0.25">
      <c r="A287" s="495">
        <v>43693</v>
      </c>
      <c r="B287" s="496" t="s">
        <v>125</v>
      </c>
      <c r="C287" s="496" t="s">
        <v>106</v>
      </c>
      <c r="D287" s="496">
        <v>38.412239999999997</v>
      </c>
      <c r="E287" s="496">
        <v>-121.61212</v>
      </c>
      <c r="F287" s="496" t="s">
        <v>3730</v>
      </c>
      <c r="G287" s="496" t="s">
        <v>90</v>
      </c>
      <c r="H287" s="496" t="s">
        <v>362</v>
      </c>
      <c r="I287" s="615">
        <v>0.3527777777777778</v>
      </c>
      <c r="J287" s="498">
        <v>576</v>
      </c>
      <c r="K287" s="498">
        <v>24.8</v>
      </c>
      <c r="L287" s="498">
        <v>25.05</v>
      </c>
      <c r="M287" s="498">
        <v>0.45499999999999996</v>
      </c>
      <c r="N287" s="498">
        <v>10.945</v>
      </c>
      <c r="O287" s="496" t="s">
        <v>48</v>
      </c>
      <c r="P287" s="496">
        <v>2</v>
      </c>
      <c r="Q287" s="496">
        <v>10</v>
      </c>
      <c r="R287" s="496" t="s">
        <v>49</v>
      </c>
      <c r="S287" s="496" t="s">
        <v>323</v>
      </c>
      <c r="T287" s="496">
        <v>6</v>
      </c>
      <c r="U287" s="496" t="s">
        <v>3731</v>
      </c>
      <c r="V287" s="496" t="s">
        <v>66</v>
      </c>
      <c r="W287" s="496" t="s">
        <v>50</v>
      </c>
      <c r="X287" s="496" t="s">
        <v>50</v>
      </c>
      <c r="Y287" s="601" t="s">
        <v>3732</v>
      </c>
    </row>
    <row r="288" spans="1:25" x14ac:dyDescent="0.25">
      <c r="A288" s="26">
        <v>43693</v>
      </c>
      <c r="B288" s="89" t="s">
        <v>125</v>
      </c>
      <c r="C288" s="89" t="s">
        <v>106</v>
      </c>
      <c r="D288" s="89">
        <v>38.24877</v>
      </c>
      <c r="E288" s="89">
        <v>-121.66996</v>
      </c>
      <c r="F288" s="89" t="s">
        <v>3733</v>
      </c>
      <c r="G288" s="89" t="s">
        <v>90</v>
      </c>
      <c r="H288" s="89" t="s">
        <v>362</v>
      </c>
      <c r="I288" s="602">
        <v>0.40902777777777777</v>
      </c>
      <c r="J288" s="82">
        <v>155.07499999999999</v>
      </c>
      <c r="K288" s="82">
        <v>23.55</v>
      </c>
      <c r="L288" s="82">
        <v>7.2974999999999994</v>
      </c>
      <c r="M288" s="82">
        <v>1.5375000000000001</v>
      </c>
      <c r="N288" s="82">
        <v>4.0625</v>
      </c>
      <c r="O288" s="89" t="s">
        <v>48</v>
      </c>
      <c r="P288" s="89">
        <v>4</v>
      </c>
      <c r="Q288" s="89">
        <v>10</v>
      </c>
      <c r="R288" s="89" t="s">
        <v>49</v>
      </c>
      <c r="S288" s="89" t="s">
        <v>50</v>
      </c>
      <c r="T288" s="89" t="s">
        <v>50</v>
      </c>
      <c r="U288" s="89" t="s">
        <v>50</v>
      </c>
      <c r="V288" s="89" t="s">
        <v>50</v>
      </c>
      <c r="W288" s="89" t="s">
        <v>50</v>
      </c>
      <c r="X288" s="89" t="s">
        <v>50</v>
      </c>
    </row>
    <row r="289" spans="1:25" x14ac:dyDescent="0.25">
      <c r="A289" s="26">
        <v>43693</v>
      </c>
      <c r="B289" s="89" t="s">
        <v>125</v>
      </c>
      <c r="C289" s="89" t="s">
        <v>106</v>
      </c>
      <c r="D289" s="89">
        <v>38.214770000000001</v>
      </c>
      <c r="E289" s="89">
        <v>-121.66986</v>
      </c>
      <c r="F289" s="89" t="s">
        <v>3734</v>
      </c>
      <c r="G289" s="89" t="s">
        <v>90</v>
      </c>
      <c r="H289" s="89" t="s">
        <v>362</v>
      </c>
      <c r="I289" s="602">
        <v>0.46597222222222223</v>
      </c>
      <c r="J289" s="82">
        <v>142.75</v>
      </c>
      <c r="K289" s="82">
        <v>23.35</v>
      </c>
      <c r="L289" s="82">
        <v>6.91</v>
      </c>
      <c r="M289" s="82">
        <v>1.4675</v>
      </c>
      <c r="N289" s="82">
        <v>10.456666666666665</v>
      </c>
      <c r="O289" s="89" t="s">
        <v>48</v>
      </c>
      <c r="P289" s="89">
        <v>4</v>
      </c>
      <c r="Q289" s="89">
        <v>10</v>
      </c>
      <c r="R289" s="89" t="s">
        <v>49</v>
      </c>
      <c r="S289" s="89" t="s">
        <v>50</v>
      </c>
      <c r="T289" s="89" t="s">
        <v>50</v>
      </c>
      <c r="U289" s="89" t="s">
        <v>50</v>
      </c>
      <c r="V289" s="89" t="s">
        <v>50</v>
      </c>
      <c r="W289" s="89" t="s">
        <v>50</v>
      </c>
      <c r="X289" s="89" t="s">
        <v>50</v>
      </c>
    </row>
    <row r="290" spans="1:25" s="206" customFormat="1" x14ac:dyDescent="0.25">
      <c r="A290" s="204">
        <v>43693</v>
      </c>
      <c r="B290" s="206" t="s">
        <v>125</v>
      </c>
      <c r="C290" s="206" t="s">
        <v>62</v>
      </c>
      <c r="D290" s="206">
        <v>38.150820000000003</v>
      </c>
      <c r="E290" s="206">
        <v>-121.9177</v>
      </c>
      <c r="F290" s="206" t="s">
        <v>3735</v>
      </c>
      <c r="G290" s="206" t="s">
        <v>27</v>
      </c>
      <c r="H290" s="206" t="s">
        <v>62</v>
      </c>
      <c r="I290" s="613">
        <v>0.35416666666666669</v>
      </c>
      <c r="J290" s="208">
        <v>6355.25</v>
      </c>
      <c r="K290" s="208">
        <v>24.275000000000002</v>
      </c>
      <c r="L290" s="208">
        <v>32.775000000000006</v>
      </c>
      <c r="M290" s="208">
        <v>0.32250000000000001</v>
      </c>
      <c r="N290" s="208">
        <v>3.65</v>
      </c>
      <c r="O290" s="206" t="s">
        <v>48</v>
      </c>
      <c r="P290" s="206">
        <v>4</v>
      </c>
      <c r="Q290" s="206">
        <v>10</v>
      </c>
      <c r="R290" s="206" t="s">
        <v>49</v>
      </c>
      <c r="S290" s="206" t="s">
        <v>31</v>
      </c>
      <c r="T290" s="206">
        <v>1</v>
      </c>
      <c r="U290" s="206">
        <v>50</v>
      </c>
      <c r="V290" s="206" t="s">
        <v>50</v>
      </c>
      <c r="W290" s="206" t="s">
        <v>50</v>
      </c>
      <c r="X290" s="206" t="s">
        <v>50</v>
      </c>
      <c r="Y290" s="605" t="s">
        <v>3736</v>
      </c>
    </row>
    <row r="291" spans="1:25" x14ac:dyDescent="0.25">
      <c r="A291" s="26">
        <v>43693</v>
      </c>
      <c r="B291" s="89" t="s">
        <v>125</v>
      </c>
      <c r="C291" s="89" t="s">
        <v>62</v>
      </c>
      <c r="D291" s="89">
        <v>38.124130000000001</v>
      </c>
      <c r="E291" s="89">
        <v>-122.05652000000001</v>
      </c>
      <c r="F291" s="89" t="s">
        <v>3737</v>
      </c>
      <c r="G291" s="89" t="s">
        <v>27</v>
      </c>
      <c r="H291" s="89" t="s">
        <v>62</v>
      </c>
      <c r="I291" s="602">
        <v>0.43472222222222223</v>
      </c>
      <c r="J291" s="82">
        <v>8551.25</v>
      </c>
      <c r="K291" s="82">
        <v>24.675000000000001</v>
      </c>
      <c r="L291" s="82">
        <v>46.349999999999994</v>
      </c>
      <c r="M291" s="82">
        <v>0.29000000000000004</v>
      </c>
      <c r="N291" s="82">
        <v>2.75</v>
      </c>
      <c r="O291" s="89" t="s">
        <v>48</v>
      </c>
      <c r="P291" s="89">
        <v>4</v>
      </c>
      <c r="Q291" s="89">
        <v>10</v>
      </c>
      <c r="R291" s="89" t="s">
        <v>49</v>
      </c>
      <c r="S291" s="89" t="s">
        <v>50</v>
      </c>
      <c r="T291" s="89" t="s">
        <v>50</v>
      </c>
      <c r="U291" s="89" t="s">
        <v>50</v>
      </c>
      <c r="V291" s="89" t="s">
        <v>50</v>
      </c>
      <c r="W291" s="89" t="s">
        <v>50</v>
      </c>
      <c r="X291" s="89" t="s">
        <v>50</v>
      </c>
    </row>
    <row r="292" spans="1:25" s="496" customFormat="1" x14ac:dyDescent="0.25">
      <c r="A292" s="495">
        <v>43693</v>
      </c>
      <c r="B292" s="496" t="s">
        <v>125</v>
      </c>
      <c r="C292" s="496" t="s">
        <v>62</v>
      </c>
      <c r="D292" s="496">
        <v>38.131950000000003</v>
      </c>
      <c r="E292" s="496">
        <v>-122.08215</v>
      </c>
      <c r="F292" s="496" t="s">
        <v>3738</v>
      </c>
      <c r="G292" s="496" t="s">
        <v>27</v>
      </c>
      <c r="H292" s="496" t="s">
        <v>62</v>
      </c>
      <c r="I292" s="615">
        <v>0.48888888888888887</v>
      </c>
      <c r="J292" s="498">
        <v>8886.25</v>
      </c>
      <c r="K292" s="498">
        <v>25.6</v>
      </c>
      <c r="L292" s="498">
        <v>26.65</v>
      </c>
      <c r="M292" s="498">
        <v>0.3075</v>
      </c>
      <c r="N292" s="498">
        <v>4.95</v>
      </c>
      <c r="O292" s="496" t="s">
        <v>48</v>
      </c>
      <c r="P292" s="496">
        <v>4</v>
      </c>
      <c r="Q292" s="496">
        <v>10</v>
      </c>
      <c r="R292" s="496" t="s">
        <v>49</v>
      </c>
      <c r="S292" s="496" t="s">
        <v>323</v>
      </c>
      <c r="T292" s="496">
        <v>1</v>
      </c>
      <c r="U292" s="496">
        <v>50</v>
      </c>
      <c r="V292" s="496" t="s">
        <v>66</v>
      </c>
      <c r="W292" s="496" t="s">
        <v>50</v>
      </c>
      <c r="X292" s="496" t="s">
        <v>50</v>
      </c>
      <c r="Y292" s="601" t="s">
        <v>3739</v>
      </c>
    </row>
    <row r="293" spans="1:25" x14ac:dyDescent="0.25">
      <c r="A293" s="26">
        <v>43693</v>
      </c>
      <c r="B293" s="89" t="s">
        <v>125</v>
      </c>
      <c r="C293" s="89" t="s">
        <v>95</v>
      </c>
      <c r="D293" s="89">
        <v>38.059429999999999</v>
      </c>
      <c r="E293" s="89">
        <v>-121.54705</v>
      </c>
      <c r="F293" s="89" t="s">
        <v>3740</v>
      </c>
      <c r="G293" s="89" t="s">
        <v>46</v>
      </c>
      <c r="H293" s="89" t="s">
        <v>3646</v>
      </c>
      <c r="I293" s="602">
        <v>0.45277777777777778</v>
      </c>
      <c r="J293" s="82">
        <v>150.72499999999999</v>
      </c>
      <c r="K293" s="82">
        <v>24.849999999999998</v>
      </c>
      <c r="L293" s="82">
        <v>7.6074999999999999</v>
      </c>
      <c r="M293" s="82">
        <v>1.5199999999999998</v>
      </c>
      <c r="N293" s="82">
        <v>4.4000000000000004</v>
      </c>
      <c r="O293" s="89" t="s">
        <v>48</v>
      </c>
      <c r="P293" s="89">
        <v>4</v>
      </c>
      <c r="Q293" s="89">
        <v>10</v>
      </c>
      <c r="R293" s="89" t="s">
        <v>49</v>
      </c>
      <c r="S293" s="89" t="s">
        <v>50</v>
      </c>
      <c r="T293" s="89" t="s">
        <v>50</v>
      </c>
      <c r="U293" s="89" t="s">
        <v>50</v>
      </c>
      <c r="V293" s="89" t="s">
        <v>50</v>
      </c>
      <c r="W293" s="89" t="s">
        <v>50</v>
      </c>
      <c r="X293" s="89" t="s">
        <v>50</v>
      </c>
    </row>
    <row r="294" spans="1:25" x14ac:dyDescent="0.25">
      <c r="A294" s="26">
        <v>43693</v>
      </c>
      <c r="B294" s="89" t="s">
        <v>125</v>
      </c>
      <c r="C294" s="89" t="s">
        <v>95</v>
      </c>
      <c r="D294" s="89">
        <v>38.0824</v>
      </c>
      <c r="E294" s="89">
        <v>-121.67798000000001</v>
      </c>
      <c r="F294" s="89" t="s">
        <v>3741</v>
      </c>
      <c r="G294" s="89" t="s">
        <v>46</v>
      </c>
      <c r="H294" s="89" t="s">
        <v>908</v>
      </c>
      <c r="I294" s="602">
        <v>0.38958333333333334</v>
      </c>
      <c r="J294" s="82">
        <v>215.2</v>
      </c>
      <c r="K294" s="82">
        <v>24.5</v>
      </c>
      <c r="L294" s="82">
        <v>10.9625</v>
      </c>
      <c r="M294" s="82">
        <v>1.2150000000000001</v>
      </c>
      <c r="N294" s="82">
        <v>7.7249999999999996</v>
      </c>
      <c r="O294" s="89" t="s">
        <v>48</v>
      </c>
      <c r="P294" s="89">
        <v>4</v>
      </c>
      <c r="Q294" s="89">
        <v>10</v>
      </c>
      <c r="R294" s="89" t="s">
        <v>49</v>
      </c>
      <c r="S294" s="89" t="s">
        <v>50</v>
      </c>
      <c r="T294" s="89" t="s">
        <v>50</v>
      </c>
      <c r="U294" s="89" t="s">
        <v>50</v>
      </c>
      <c r="V294" s="89" t="s">
        <v>50</v>
      </c>
      <c r="W294" s="89" t="s">
        <v>50</v>
      </c>
      <c r="X294" s="89" t="s">
        <v>50</v>
      </c>
    </row>
    <row r="295" spans="1:25" s="607" customFormat="1" x14ac:dyDescent="0.25">
      <c r="A295" s="360">
        <v>43693</v>
      </c>
      <c r="B295" s="362" t="s">
        <v>125</v>
      </c>
      <c r="C295" s="362" t="s">
        <v>95</v>
      </c>
      <c r="D295" s="362">
        <v>38.026679999999999</v>
      </c>
      <c r="E295" s="362">
        <v>-121.75618</v>
      </c>
      <c r="F295" s="362" t="s">
        <v>3742</v>
      </c>
      <c r="G295" s="362" t="s">
        <v>27</v>
      </c>
      <c r="H295" s="362" t="s">
        <v>863</v>
      </c>
      <c r="I295" s="618">
        <v>0.3298611111111111</v>
      </c>
      <c r="J295" s="364">
        <v>592.5</v>
      </c>
      <c r="K295" s="364">
        <v>24.3</v>
      </c>
      <c r="L295" s="364">
        <v>10.322500000000002</v>
      </c>
      <c r="M295" s="364">
        <v>0.98750000000000004</v>
      </c>
      <c r="N295" s="364">
        <v>10.725</v>
      </c>
      <c r="O295" s="362" t="s">
        <v>48</v>
      </c>
      <c r="P295" s="362">
        <v>4</v>
      </c>
      <c r="Q295" s="362">
        <v>10</v>
      </c>
      <c r="R295" s="362" t="s">
        <v>49</v>
      </c>
      <c r="S295" s="362" t="s">
        <v>50</v>
      </c>
      <c r="T295" s="362" t="s">
        <v>50</v>
      </c>
      <c r="U295" s="362" t="s">
        <v>50</v>
      </c>
      <c r="V295" s="362" t="s">
        <v>50</v>
      </c>
      <c r="W295" s="362" t="s">
        <v>50</v>
      </c>
      <c r="X295" s="362" t="s">
        <v>50</v>
      </c>
      <c r="Y295" s="603" t="s">
        <v>67</v>
      </c>
    </row>
    <row r="296" spans="1:25" x14ac:dyDescent="0.25">
      <c r="A296" s="26">
        <v>43696</v>
      </c>
      <c r="B296" s="89" t="s">
        <v>43</v>
      </c>
      <c r="C296" s="89" t="s">
        <v>88</v>
      </c>
      <c r="D296" s="89">
        <v>38.062429999999999</v>
      </c>
      <c r="E296" s="89">
        <v>-121.80828</v>
      </c>
      <c r="F296" s="89" t="s">
        <v>3743</v>
      </c>
      <c r="G296" s="89" t="s">
        <v>27</v>
      </c>
      <c r="H296" s="608" t="s">
        <v>863</v>
      </c>
      <c r="I296" s="602">
        <v>0.3347222222222222</v>
      </c>
      <c r="J296" s="82">
        <v>683.5</v>
      </c>
      <c r="K296" s="82">
        <v>22.375</v>
      </c>
      <c r="L296" s="82">
        <v>17.8</v>
      </c>
      <c r="M296" s="82">
        <v>0.67499999999999993</v>
      </c>
      <c r="N296" s="82">
        <v>10.525</v>
      </c>
      <c r="O296" s="89" t="s">
        <v>48</v>
      </c>
      <c r="P296" s="89">
        <v>4</v>
      </c>
      <c r="Q296" s="89">
        <v>10</v>
      </c>
      <c r="R296" s="89" t="s">
        <v>49</v>
      </c>
      <c r="S296" s="89" t="s">
        <v>50</v>
      </c>
      <c r="T296" s="89" t="s">
        <v>50</v>
      </c>
      <c r="U296" s="89" t="s">
        <v>50</v>
      </c>
      <c r="V296" s="89" t="s">
        <v>50</v>
      </c>
      <c r="W296" s="89" t="s">
        <v>50</v>
      </c>
      <c r="X296" s="89" t="s">
        <v>50</v>
      </c>
      <c r="Y296" s="609" t="s">
        <v>67</v>
      </c>
    </row>
    <row r="297" spans="1:25" x14ac:dyDescent="0.25">
      <c r="A297" s="26">
        <v>43696</v>
      </c>
      <c r="B297" s="89" t="s">
        <v>43</v>
      </c>
      <c r="C297" s="89" t="s">
        <v>88</v>
      </c>
      <c r="D297" s="89">
        <v>38.123719999999999</v>
      </c>
      <c r="E297" s="89">
        <v>-121.69143</v>
      </c>
      <c r="F297" s="89" t="s">
        <v>3744</v>
      </c>
      <c r="G297" s="89" t="s">
        <v>90</v>
      </c>
      <c r="H297" s="89" t="s">
        <v>91</v>
      </c>
      <c r="I297" s="602">
        <v>0.40972222222222227</v>
      </c>
      <c r="J297" s="82">
        <v>135.39999999999998</v>
      </c>
      <c r="K297" s="82">
        <v>22.15</v>
      </c>
      <c r="L297" s="82">
        <v>8.7925000000000004</v>
      </c>
      <c r="M297" s="82">
        <v>1.3625</v>
      </c>
      <c r="N297" s="82">
        <v>3.3</v>
      </c>
      <c r="O297" s="89" t="s">
        <v>48</v>
      </c>
      <c r="P297" s="89">
        <v>4</v>
      </c>
      <c r="Q297" s="89">
        <v>10</v>
      </c>
      <c r="R297" s="89" t="s">
        <v>49</v>
      </c>
      <c r="S297" s="89" t="s">
        <v>50</v>
      </c>
      <c r="T297" s="89" t="s">
        <v>50</v>
      </c>
      <c r="U297" s="89" t="s">
        <v>50</v>
      </c>
      <c r="V297" s="89" t="s">
        <v>50</v>
      </c>
      <c r="W297" s="89" t="s">
        <v>50</v>
      </c>
      <c r="X297" s="89" t="s">
        <v>50</v>
      </c>
    </row>
    <row r="298" spans="1:25" x14ac:dyDescent="0.25">
      <c r="A298" s="26">
        <v>43696</v>
      </c>
      <c r="B298" s="89" t="s">
        <v>43</v>
      </c>
      <c r="C298" s="89" t="s">
        <v>88</v>
      </c>
      <c r="D298" s="89">
        <v>38.111800000000002</v>
      </c>
      <c r="E298" s="89">
        <v>-121.70316</v>
      </c>
      <c r="F298" s="89" t="s">
        <v>3745</v>
      </c>
      <c r="G298" s="89" t="s">
        <v>90</v>
      </c>
      <c r="H298" s="89" t="s">
        <v>91</v>
      </c>
      <c r="I298" s="602">
        <v>0.4597222222222222</v>
      </c>
      <c r="J298" s="82">
        <v>126.30000000000001</v>
      </c>
      <c r="K298" s="82">
        <v>22.25</v>
      </c>
      <c r="L298" s="82">
        <v>8.6524999999999999</v>
      </c>
      <c r="M298" s="82">
        <v>1.3574999999999999</v>
      </c>
      <c r="N298" s="82">
        <v>4.7249999999999996</v>
      </c>
      <c r="O298" s="89" t="s">
        <v>48</v>
      </c>
      <c r="P298" s="89">
        <v>4</v>
      </c>
      <c r="Q298" s="89">
        <v>10</v>
      </c>
      <c r="R298" s="89" t="s">
        <v>49</v>
      </c>
      <c r="S298" s="89" t="s">
        <v>50</v>
      </c>
      <c r="T298" s="89" t="s">
        <v>50</v>
      </c>
      <c r="U298" s="89" t="s">
        <v>50</v>
      </c>
      <c r="V298" s="89" t="s">
        <v>50</v>
      </c>
      <c r="W298" s="89" t="s">
        <v>50</v>
      </c>
      <c r="X298" s="89" t="s">
        <v>50</v>
      </c>
    </row>
    <row r="299" spans="1:25" s="496" customFormat="1" x14ac:dyDescent="0.25">
      <c r="A299" s="590">
        <v>43696</v>
      </c>
      <c r="B299" s="592" t="s">
        <v>43</v>
      </c>
      <c r="C299" s="592" t="s">
        <v>106</v>
      </c>
      <c r="D299" s="592">
        <v>38.413400000000003</v>
      </c>
      <c r="E299" s="592">
        <v>-121.61082</v>
      </c>
      <c r="F299" s="592" t="s">
        <v>3746</v>
      </c>
      <c r="G299" s="592" t="s">
        <v>90</v>
      </c>
      <c r="H299" s="592" t="s">
        <v>362</v>
      </c>
      <c r="I299" s="619">
        <v>0.33680555555555558</v>
      </c>
      <c r="J299" s="593">
        <v>514.5</v>
      </c>
      <c r="K299" s="593">
        <v>23.4</v>
      </c>
      <c r="L299" s="593">
        <v>20.5</v>
      </c>
      <c r="M299" s="593">
        <v>0.56499999999999995</v>
      </c>
      <c r="N299" s="593">
        <v>6.5</v>
      </c>
      <c r="O299" s="592" t="s">
        <v>48</v>
      </c>
      <c r="P299" s="592">
        <v>2</v>
      </c>
      <c r="Q299" s="592">
        <v>10</v>
      </c>
      <c r="R299" s="592" t="s">
        <v>64</v>
      </c>
      <c r="S299" s="592" t="s">
        <v>323</v>
      </c>
      <c r="T299" s="592">
        <v>1</v>
      </c>
      <c r="U299" s="592">
        <v>49</v>
      </c>
      <c r="V299" s="592" t="s">
        <v>50</v>
      </c>
      <c r="W299" s="592" t="s">
        <v>50</v>
      </c>
      <c r="X299" s="592" t="s">
        <v>50</v>
      </c>
      <c r="Y299" s="669" t="s">
        <v>3747</v>
      </c>
    </row>
    <row r="300" spans="1:25" x14ac:dyDescent="0.25">
      <c r="A300" s="194">
        <v>43696</v>
      </c>
      <c r="B300" s="98" t="s">
        <v>43</v>
      </c>
      <c r="C300" s="98" t="s">
        <v>106</v>
      </c>
      <c r="D300" s="98">
        <v>38.26061</v>
      </c>
      <c r="E300" s="98">
        <v>-121.66558999999999</v>
      </c>
      <c r="F300" s="98" t="s">
        <v>3748</v>
      </c>
      <c r="G300" s="98" t="s">
        <v>90</v>
      </c>
      <c r="H300" s="98" t="s">
        <v>362</v>
      </c>
      <c r="I300" s="621">
        <v>0.3833333333333333</v>
      </c>
      <c r="J300" s="100">
        <v>143.69999999999999</v>
      </c>
      <c r="K300" s="100">
        <v>22.15</v>
      </c>
      <c r="L300" s="100">
        <v>6.7675000000000001</v>
      </c>
      <c r="M300" s="100">
        <v>1.6025</v>
      </c>
      <c r="N300" s="100">
        <v>9.2750000000000004</v>
      </c>
      <c r="O300" s="98" t="s">
        <v>48</v>
      </c>
      <c r="P300" s="98">
        <v>4</v>
      </c>
      <c r="Q300" s="98">
        <v>10</v>
      </c>
      <c r="R300" s="98" t="s">
        <v>49</v>
      </c>
      <c r="S300" s="98" t="s">
        <v>50</v>
      </c>
      <c r="T300" s="98" t="s">
        <v>50</v>
      </c>
      <c r="U300" s="98" t="s">
        <v>50</v>
      </c>
      <c r="V300" s="98" t="s">
        <v>50</v>
      </c>
      <c r="W300" s="98" t="s">
        <v>50</v>
      </c>
      <c r="X300" s="98" t="s">
        <v>50</v>
      </c>
      <c r="Y300" s="622"/>
    </row>
    <row r="301" spans="1:25" x14ac:dyDescent="0.25">
      <c r="A301" s="26">
        <v>43696</v>
      </c>
      <c r="B301" s="89" t="s">
        <v>43</v>
      </c>
      <c r="C301" s="89" t="s">
        <v>106</v>
      </c>
      <c r="D301" s="89">
        <v>38.230670000000003</v>
      </c>
      <c r="E301" s="89">
        <v>-121.67308</v>
      </c>
      <c r="F301" s="89" t="s">
        <v>3749</v>
      </c>
      <c r="G301" s="89" t="s">
        <v>90</v>
      </c>
      <c r="H301" s="89" t="s">
        <v>362</v>
      </c>
      <c r="I301" s="602">
        <v>0.43263888888888885</v>
      </c>
      <c r="J301" s="82">
        <v>132.05000000000001</v>
      </c>
      <c r="K301" s="82">
        <v>21.524999999999999</v>
      </c>
      <c r="L301" s="82">
        <v>6.5024999999999995</v>
      </c>
      <c r="M301" s="82">
        <v>1.6975</v>
      </c>
      <c r="N301" s="82">
        <v>6.4499999999999993</v>
      </c>
      <c r="O301" s="89" t="s">
        <v>48</v>
      </c>
      <c r="P301" s="89">
        <v>4</v>
      </c>
      <c r="Q301" s="89">
        <v>10</v>
      </c>
      <c r="R301" s="89" t="s">
        <v>49</v>
      </c>
      <c r="S301" s="89" t="s">
        <v>50</v>
      </c>
      <c r="T301" s="89" t="s">
        <v>50</v>
      </c>
      <c r="U301" s="89" t="s">
        <v>50</v>
      </c>
      <c r="V301" s="89" t="s">
        <v>50</v>
      </c>
      <c r="W301" s="89" t="s">
        <v>50</v>
      </c>
      <c r="X301" s="89" t="s">
        <v>50</v>
      </c>
    </row>
    <row r="302" spans="1:25" x14ac:dyDescent="0.25">
      <c r="A302" s="26">
        <v>43696</v>
      </c>
      <c r="B302" s="89" t="s">
        <v>43</v>
      </c>
      <c r="C302" s="89" t="s">
        <v>62</v>
      </c>
      <c r="D302" s="89">
        <v>38.174019999999999</v>
      </c>
      <c r="E302" s="89">
        <v>-121.97459000000001</v>
      </c>
      <c r="F302" s="89" t="s">
        <v>3750</v>
      </c>
      <c r="G302" s="89" t="s">
        <v>27</v>
      </c>
      <c r="H302" s="89" t="s">
        <v>62</v>
      </c>
      <c r="I302" s="602">
        <v>0.37083333333333335</v>
      </c>
      <c r="J302" s="82">
        <v>6269.75</v>
      </c>
      <c r="K302" s="82">
        <v>22.35</v>
      </c>
      <c r="L302" s="82">
        <v>55.499999999999993</v>
      </c>
      <c r="M302" s="82">
        <v>0.38500000000000001</v>
      </c>
      <c r="N302" s="82">
        <v>6.4499999999999993</v>
      </c>
      <c r="O302" s="89" t="s">
        <v>48</v>
      </c>
      <c r="P302" s="89">
        <v>4</v>
      </c>
      <c r="Q302" s="89">
        <v>10</v>
      </c>
      <c r="R302" s="89" t="s">
        <v>49</v>
      </c>
      <c r="S302" s="89" t="s">
        <v>50</v>
      </c>
      <c r="T302" s="89" t="s">
        <v>50</v>
      </c>
      <c r="U302" s="89" t="s">
        <v>50</v>
      </c>
      <c r="V302" s="89" t="s">
        <v>50</v>
      </c>
      <c r="W302" s="89" t="s">
        <v>50</v>
      </c>
      <c r="X302" s="89" t="s">
        <v>50</v>
      </c>
    </row>
    <row r="303" spans="1:25" x14ac:dyDescent="0.25">
      <c r="A303" s="26">
        <v>43696</v>
      </c>
      <c r="B303" s="89" t="s">
        <v>43</v>
      </c>
      <c r="C303" s="89" t="s">
        <v>62</v>
      </c>
      <c r="D303" s="89">
        <v>38.161490000000001</v>
      </c>
      <c r="E303" s="89">
        <v>-122.0472</v>
      </c>
      <c r="F303" s="89" t="s">
        <v>3751</v>
      </c>
      <c r="G303" s="89" t="s">
        <v>27</v>
      </c>
      <c r="H303" s="89" t="s">
        <v>62</v>
      </c>
      <c r="I303" s="602">
        <v>0.44305555555555554</v>
      </c>
      <c r="J303" s="82">
        <v>8046.75</v>
      </c>
      <c r="K303" s="82">
        <v>23.5</v>
      </c>
      <c r="L303" s="82">
        <v>59.825000000000003</v>
      </c>
      <c r="M303" s="82">
        <v>0.33750000000000002</v>
      </c>
      <c r="N303" s="82">
        <v>4.6499999999999995</v>
      </c>
      <c r="O303" s="89" t="s">
        <v>48</v>
      </c>
      <c r="P303" s="89">
        <v>4</v>
      </c>
      <c r="Q303" s="89">
        <v>10</v>
      </c>
      <c r="R303" s="89" t="s">
        <v>49</v>
      </c>
      <c r="S303" s="89" t="s">
        <v>50</v>
      </c>
      <c r="T303" s="89" t="s">
        <v>50</v>
      </c>
      <c r="U303" s="89" t="s">
        <v>50</v>
      </c>
      <c r="V303" s="89" t="s">
        <v>50</v>
      </c>
      <c r="W303" s="89" t="s">
        <v>50</v>
      </c>
      <c r="X303" s="89" t="s">
        <v>50</v>
      </c>
      <c r="Y303" s="600" t="s">
        <v>3752</v>
      </c>
    </row>
    <row r="304" spans="1:25" s="98" customFormat="1" x14ac:dyDescent="0.25">
      <c r="A304" s="194">
        <v>43696</v>
      </c>
      <c r="B304" s="98" t="s">
        <v>43</v>
      </c>
      <c r="C304" s="98" t="s">
        <v>62</v>
      </c>
      <c r="D304" s="98">
        <v>38.146740000000001</v>
      </c>
      <c r="E304" s="98">
        <v>-122.05794</v>
      </c>
      <c r="F304" s="98" t="s">
        <v>3753</v>
      </c>
      <c r="G304" s="98" t="s">
        <v>27</v>
      </c>
      <c r="H304" s="98" t="s">
        <v>62</v>
      </c>
      <c r="I304" s="621">
        <v>0.49861111111111112</v>
      </c>
      <c r="J304" s="100">
        <v>8100.5</v>
      </c>
      <c r="K304" s="100">
        <v>23.700000000000003</v>
      </c>
      <c r="L304" s="100">
        <v>46.15</v>
      </c>
      <c r="M304" s="100">
        <v>0.3075</v>
      </c>
      <c r="N304" s="100">
        <v>7.0749999999999993</v>
      </c>
      <c r="O304" s="98" t="s">
        <v>48</v>
      </c>
      <c r="P304" s="98">
        <v>4</v>
      </c>
      <c r="Q304" s="98">
        <v>10</v>
      </c>
      <c r="R304" s="98" t="s">
        <v>49</v>
      </c>
      <c r="S304" s="98" t="s">
        <v>50</v>
      </c>
      <c r="T304" s="98" t="s">
        <v>50</v>
      </c>
      <c r="U304" s="98" t="s">
        <v>50</v>
      </c>
      <c r="V304" s="98" t="s">
        <v>50</v>
      </c>
      <c r="W304" s="98" t="s">
        <v>50</v>
      </c>
      <c r="X304" s="98" t="s">
        <v>50</v>
      </c>
      <c r="Y304" s="622"/>
    </row>
    <row r="305" spans="1:25" x14ac:dyDescent="0.25">
      <c r="A305" s="26">
        <v>43697</v>
      </c>
      <c r="B305" s="89" t="s">
        <v>70</v>
      </c>
      <c r="C305" s="89" t="s">
        <v>88</v>
      </c>
      <c r="D305" s="89">
        <v>38.06485</v>
      </c>
      <c r="E305" s="89">
        <v>-121.82671000000001</v>
      </c>
      <c r="F305" s="89" t="s">
        <v>3754</v>
      </c>
      <c r="G305" s="89" t="s">
        <v>27</v>
      </c>
      <c r="H305" s="89" t="s">
        <v>25</v>
      </c>
      <c r="I305" s="602">
        <v>0.3263888888888889</v>
      </c>
      <c r="J305" s="82">
        <v>1133.75</v>
      </c>
      <c r="K305" s="82">
        <v>22.4</v>
      </c>
      <c r="L305" s="82">
        <v>19.025000000000002</v>
      </c>
      <c r="M305" s="82">
        <v>0.63500000000000001</v>
      </c>
      <c r="N305" s="82">
        <v>9.0250000000000004</v>
      </c>
      <c r="O305" s="89" t="s">
        <v>48</v>
      </c>
      <c r="P305" s="89">
        <v>4</v>
      </c>
      <c r="Q305" s="89">
        <v>10</v>
      </c>
      <c r="R305" s="89" t="s">
        <v>49</v>
      </c>
      <c r="S305" s="89" t="s">
        <v>50</v>
      </c>
      <c r="T305" s="89" t="s">
        <v>50</v>
      </c>
      <c r="U305" s="89" t="s">
        <v>50</v>
      </c>
      <c r="V305" s="89" t="s">
        <v>50</v>
      </c>
      <c r="W305" s="89" t="s">
        <v>50</v>
      </c>
      <c r="X305" s="89" t="s">
        <v>50</v>
      </c>
    </row>
    <row r="306" spans="1:25" x14ac:dyDescent="0.25">
      <c r="A306" s="26">
        <v>43697</v>
      </c>
      <c r="B306" s="89" t="s">
        <v>70</v>
      </c>
      <c r="C306" s="89" t="s">
        <v>88</v>
      </c>
      <c r="D306" s="89">
        <v>38.090560000000004</v>
      </c>
      <c r="E306" s="89">
        <v>-121.72951</v>
      </c>
      <c r="F306" s="89" t="s">
        <v>3755</v>
      </c>
      <c r="G306" s="89" t="s">
        <v>90</v>
      </c>
      <c r="H306" s="89" t="s">
        <v>91</v>
      </c>
      <c r="I306" s="602">
        <v>0.38472222222222219</v>
      </c>
      <c r="J306" s="82">
        <v>152.30000000000001</v>
      </c>
      <c r="K306" s="82">
        <v>22.275000000000002</v>
      </c>
      <c r="L306" s="82">
        <v>9.8674999999999997</v>
      </c>
      <c r="M306" s="82">
        <v>1.18</v>
      </c>
      <c r="N306" s="82">
        <v>5.1749999999999998</v>
      </c>
      <c r="O306" s="89" t="s">
        <v>48</v>
      </c>
      <c r="P306" s="89">
        <v>4</v>
      </c>
      <c r="Q306" s="89">
        <v>10</v>
      </c>
      <c r="R306" s="89" t="s">
        <v>49</v>
      </c>
      <c r="S306" s="89" t="s">
        <v>50</v>
      </c>
      <c r="T306" s="89" t="s">
        <v>50</v>
      </c>
      <c r="U306" s="89" t="s">
        <v>50</v>
      </c>
      <c r="V306" s="89" t="s">
        <v>50</v>
      </c>
      <c r="W306" s="89" t="s">
        <v>50</v>
      </c>
      <c r="X306" s="89" t="s">
        <v>50</v>
      </c>
    </row>
    <row r="307" spans="1:25" x14ac:dyDescent="0.25">
      <c r="A307" s="26">
        <v>43697</v>
      </c>
      <c r="B307" s="89" t="s">
        <v>70</v>
      </c>
      <c r="C307" s="89" t="s">
        <v>88</v>
      </c>
      <c r="D307" s="89">
        <v>38.165399999999998</v>
      </c>
      <c r="E307" s="89">
        <v>-121.67858</v>
      </c>
      <c r="F307" s="89" t="s">
        <v>3756</v>
      </c>
      <c r="G307" s="89" t="s">
        <v>90</v>
      </c>
      <c r="H307" s="89" t="s">
        <v>91</v>
      </c>
      <c r="I307" s="602">
        <v>0.4513888888888889</v>
      </c>
      <c r="J307" s="82">
        <v>130.17500000000001</v>
      </c>
      <c r="K307" s="82">
        <v>21.875</v>
      </c>
      <c r="L307" s="82">
        <v>6.4725000000000001</v>
      </c>
      <c r="M307" s="82">
        <v>1.595</v>
      </c>
      <c r="N307" s="82">
        <v>8.875</v>
      </c>
      <c r="O307" s="89" t="s">
        <v>48</v>
      </c>
      <c r="P307" s="89">
        <v>4</v>
      </c>
      <c r="Q307" s="89">
        <v>10</v>
      </c>
      <c r="R307" s="89" t="s">
        <v>49</v>
      </c>
      <c r="S307" s="89" t="s">
        <v>50</v>
      </c>
      <c r="T307" s="89" t="s">
        <v>50</v>
      </c>
      <c r="U307" s="89" t="s">
        <v>50</v>
      </c>
      <c r="V307" s="89" t="s">
        <v>50</v>
      </c>
      <c r="W307" s="89" t="s">
        <v>50</v>
      </c>
      <c r="X307" s="89" t="s">
        <v>50</v>
      </c>
    </row>
    <row r="308" spans="1:25" x14ac:dyDescent="0.25">
      <c r="A308" s="194">
        <v>43697</v>
      </c>
      <c r="B308" s="98" t="s">
        <v>70</v>
      </c>
      <c r="C308" s="98" t="s">
        <v>106</v>
      </c>
      <c r="D308" s="98">
        <v>38.484340000000003</v>
      </c>
      <c r="E308" s="98">
        <v>-121.58425</v>
      </c>
      <c r="F308" s="98" t="s">
        <v>3757</v>
      </c>
      <c r="G308" s="98" t="s">
        <v>90</v>
      </c>
      <c r="H308" s="98" t="s">
        <v>1787</v>
      </c>
      <c r="I308" s="621">
        <v>0.33611111111111108</v>
      </c>
      <c r="J308" s="100">
        <v>791.5</v>
      </c>
      <c r="K308" s="100">
        <v>23.8</v>
      </c>
      <c r="L308" s="100">
        <v>15.675000000000001</v>
      </c>
      <c r="M308" s="100">
        <v>0.64500000000000002</v>
      </c>
      <c r="N308" s="100">
        <v>10.424999999999999</v>
      </c>
      <c r="O308" s="98" t="s">
        <v>48</v>
      </c>
      <c r="P308" s="98">
        <v>4</v>
      </c>
      <c r="Q308" s="98">
        <v>10</v>
      </c>
      <c r="R308" s="98" t="s">
        <v>64</v>
      </c>
      <c r="S308" s="98" t="s">
        <v>50</v>
      </c>
      <c r="T308" s="98" t="s">
        <v>50</v>
      </c>
      <c r="U308" s="98" t="s">
        <v>50</v>
      </c>
      <c r="V308" s="98" t="s">
        <v>50</v>
      </c>
      <c r="W308" s="98" t="s">
        <v>50</v>
      </c>
      <c r="X308" s="98" t="s">
        <v>50</v>
      </c>
      <c r="Y308" s="622"/>
    </row>
    <row r="309" spans="1:25" x14ac:dyDescent="0.25">
      <c r="A309" s="26">
        <v>43697</v>
      </c>
      <c r="B309" s="89" t="s">
        <v>70</v>
      </c>
      <c r="C309" s="89" t="s">
        <v>106</v>
      </c>
      <c r="D309" s="89">
        <v>38.447429999999997</v>
      </c>
      <c r="E309" s="89">
        <v>-121.59529999999999</v>
      </c>
      <c r="F309" s="89" t="s">
        <v>3758</v>
      </c>
      <c r="G309" s="89" t="s">
        <v>90</v>
      </c>
      <c r="H309" s="89" t="s">
        <v>362</v>
      </c>
      <c r="I309" s="602">
        <v>0.39444444444444443</v>
      </c>
      <c r="J309" s="82">
        <v>679.25</v>
      </c>
      <c r="K309" s="82">
        <v>23.7</v>
      </c>
      <c r="L309" s="82">
        <v>19.375</v>
      </c>
      <c r="M309" s="82">
        <v>0.435</v>
      </c>
      <c r="N309" s="82">
        <v>9.7999999999999989</v>
      </c>
      <c r="O309" s="89" t="s">
        <v>48</v>
      </c>
      <c r="P309" s="89">
        <v>4</v>
      </c>
      <c r="Q309" s="89">
        <v>10</v>
      </c>
      <c r="R309" s="89" t="s">
        <v>49</v>
      </c>
      <c r="S309" s="89" t="s">
        <v>50</v>
      </c>
      <c r="T309" s="89" t="s">
        <v>50</v>
      </c>
      <c r="U309" s="89" t="s">
        <v>50</v>
      </c>
      <c r="V309" s="89" t="s">
        <v>50</v>
      </c>
      <c r="W309" s="89" t="s">
        <v>50</v>
      </c>
      <c r="X309" s="89" t="s">
        <v>50</v>
      </c>
    </row>
    <row r="310" spans="1:25" x14ac:dyDescent="0.25">
      <c r="A310" s="26">
        <v>43697</v>
      </c>
      <c r="B310" s="89" t="s">
        <v>70</v>
      </c>
      <c r="C310" s="89" t="s">
        <v>106</v>
      </c>
      <c r="D310" s="89">
        <v>38.223320000000001</v>
      </c>
      <c r="E310" s="89">
        <v>-121.67289</v>
      </c>
      <c r="F310" s="89" t="s">
        <v>3759</v>
      </c>
      <c r="G310" s="89" t="s">
        <v>90</v>
      </c>
      <c r="H310" s="89" t="s">
        <v>362</v>
      </c>
      <c r="I310" s="602">
        <v>0.47569444444444442</v>
      </c>
      <c r="J310" s="82">
        <v>135.29999999999998</v>
      </c>
      <c r="K310" s="82">
        <v>21.625</v>
      </c>
      <c r="L310" s="82">
        <v>11.525</v>
      </c>
      <c r="M310" s="82">
        <v>0.78250000000000008</v>
      </c>
      <c r="N310" s="82">
        <v>10.725</v>
      </c>
      <c r="O310" s="89" t="s">
        <v>48</v>
      </c>
      <c r="P310" s="89">
        <v>4</v>
      </c>
      <c r="Q310" s="89">
        <v>10</v>
      </c>
      <c r="R310" s="89" t="s">
        <v>49</v>
      </c>
      <c r="S310" s="89" t="s">
        <v>50</v>
      </c>
      <c r="T310" s="89" t="s">
        <v>50</v>
      </c>
      <c r="U310" s="89" t="s">
        <v>50</v>
      </c>
      <c r="V310" s="89" t="s">
        <v>50</v>
      </c>
      <c r="W310" s="89" t="s">
        <v>50</v>
      </c>
      <c r="X310" s="89" t="s">
        <v>50</v>
      </c>
    </row>
    <row r="311" spans="1:25" x14ac:dyDescent="0.25">
      <c r="A311" s="26">
        <v>43697</v>
      </c>
      <c r="B311" s="89" t="s">
        <v>70</v>
      </c>
      <c r="C311" s="89" t="s">
        <v>62</v>
      </c>
      <c r="D311" s="89">
        <v>38.122280000000003</v>
      </c>
      <c r="E311" s="89">
        <v>-122.05589000000001</v>
      </c>
      <c r="F311" s="89" t="s">
        <v>3760</v>
      </c>
      <c r="G311" s="89" t="s">
        <v>27</v>
      </c>
      <c r="H311" s="89" t="s">
        <v>62</v>
      </c>
      <c r="I311" s="602">
        <v>0.49236111111111108</v>
      </c>
      <c r="J311" s="82">
        <v>8589.75</v>
      </c>
      <c r="K311" s="82">
        <v>23.05</v>
      </c>
      <c r="L311" s="82">
        <v>340.625</v>
      </c>
      <c r="M311" s="82">
        <v>0.3175</v>
      </c>
      <c r="N311" s="82">
        <v>3.0325000000000002</v>
      </c>
      <c r="O311" s="89" t="s">
        <v>48</v>
      </c>
      <c r="P311" s="89">
        <v>4</v>
      </c>
      <c r="Q311" s="89">
        <v>10</v>
      </c>
      <c r="R311" s="89" t="s">
        <v>49</v>
      </c>
      <c r="S311" s="89" t="s">
        <v>50</v>
      </c>
      <c r="T311" s="89" t="s">
        <v>50</v>
      </c>
      <c r="U311" s="89" t="s">
        <v>50</v>
      </c>
      <c r="V311" s="89" t="s">
        <v>50</v>
      </c>
      <c r="W311" s="89" t="s">
        <v>50</v>
      </c>
      <c r="X311" s="89" t="s">
        <v>50</v>
      </c>
      <c r="Y311" s="600" t="s">
        <v>644</v>
      </c>
    </row>
    <row r="312" spans="1:25" x14ac:dyDescent="0.25">
      <c r="A312" s="26">
        <v>43697</v>
      </c>
      <c r="B312" s="89" t="s">
        <v>70</v>
      </c>
      <c r="C312" s="89" t="s">
        <v>62</v>
      </c>
      <c r="D312" s="89">
        <v>38.134419999999999</v>
      </c>
      <c r="E312" s="89">
        <v>-122.05893</v>
      </c>
      <c r="F312" s="89" t="s">
        <v>3761</v>
      </c>
      <c r="G312" s="89" t="s">
        <v>27</v>
      </c>
      <c r="H312" s="89" t="s">
        <v>62</v>
      </c>
      <c r="I312" s="602">
        <v>0.4368055555555555</v>
      </c>
      <c r="J312" s="82">
        <v>8586</v>
      </c>
      <c r="K312" s="82">
        <v>22.95</v>
      </c>
      <c r="L312" s="82">
        <v>52.575000000000003</v>
      </c>
      <c r="M312" s="82">
        <v>0.375</v>
      </c>
      <c r="N312" s="82">
        <v>9.2874999999999996</v>
      </c>
      <c r="O312" s="89" t="s">
        <v>48</v>
      </c>
      <c r="P312" s="89">
        <v>4</v>
      </c>
      <c r="Q312" s="89">
        <v>10</v>
      </c>
      <c r="R312" s="89" t="s">
        <v>49</v>
      </c>
      <c r="S312" s="89" t="s">
        <v>50</v>
      </c>
      <c r="T312" s="89" t="s">
        <v>50</v>
      </c>
      <c r="U312" s="89" t="s">
        <v>50</v>
      </c>
      <c r="V312" s="89" t="s">
        <v>50</v>
      </c>
      <c r="W312" s="89" t="s">
        <v>50</v>
      </c>
      <c r="X312" s="89" t="s">
        <v>50</v>
      </c>
      <c r="Y312" s="600" t="s">
        <v>3762</v>
      </c>
    </row>
    <row r="313" spans="1:25" s="98" customFormat="1" x14ac:dyDescent="0.25">
      <c r="A313" s="194">
        <v>43697</v>
      </c>
      <c r="B313" s="98" t="s">
        <v>70</v>
      </c>
      <c r="C313" s="98" t="s">
        <v>62</v>
      </c>
      <c r="D313" s="98">
        <v>38.187220000000003</v>
      </c>
      <c r="E313" s="98">
        <v>-121.97584999999999</v>
      </c>
      <c r="F313" s="98" t="s">
        <v>3763</v>
      </c>
      <c r="G313" s="98" t="s">
        <v>27</v>
      </c>
      <c r="H313" s="98" t="s">
        <v>62</v>
      </c>
      <c r="I313" s="621">
        <v>0.36319444444444443</v>
      </c>
      <c r="J313" s="100">
        <v>7448.5</v>
      </c>
      <c r="K313" s="100">
        <v>22.950000000000003</v>
      </c>
      <c r="L313" s="100">
        <v>32.900000000000006</v>
      </c>
      <c r="M313" s="100">
        <v>0.48249999999999998</v>
      </c>
      <c r="N313" s="100">
        <v>7.6849999999999996</v>
      </c>
      <c r="O313" s="98" t="s">
        <v>48</v>
      </c>
      <c r="P313" s="98">
        <v>4</v>
      </c>
      <c r="Q313" s="98">
        <v>10</v>
      </c>
      <c r="R313" s="98" t="s">
        <v>49</v>
      </c>
      <c r="S313" s="98" t="s">
        <v>50</v>
      </c>
      <c r="T313" s="98" t="s">
        <v>50</v>
      </c>
      <c r="U313" s="98" t="s">
        <v>50</v>
      </c>
      <c r="V313" s="98" t="s">
        <v>50</v>
      </c>
      <c r="W313" s="98" t="s">
        <v>50</v>
      </c>
      <c r="X313" s="98" t="s">
        <v>50</v>
      </c>
      <c r="Y313" s="622"/>
    </row>
    <row r="314" spans="1:25" x14ac:dyDescent="0.25">
      <c r="A314" s="26">
        <v>43698</v>
      </c>
      <c r="B314" s="89" t="s">
        <v>87</v>
      </c>
      <c r="C314" s="89" t="s">
        <v>78</v>
      </c>
      <c r="D314" s="89">
        <v>38.067689999999999</v>
      </c>
      <c r="E314" s="89">
        <v>-122.04562</v>
      </c>
      <c r="F314" s="89" t="s">
        <v>3764</v>
      </c>
      <c r="G314" s="89" t="s">
        <v>27</v>
      </c>
      <c r="H314" s="89" t="s">
        <v>86</v>
      </c>
      <c r="I314" s="602">
        <v>0.34583333333333338</v>
      </c>
      <c r="J314" s="82">
        <v>6975</v>
      </c>
      <c r="K314" s="82">
        <v>21.724999999999998</v>
      </c>
      <c r="L314" s="82">
        <v>11.8475</v>
      </c>
      <c r="M314" s="82">
        <v>0.73249999999999993</v>
      </c>
      <c r="N314" s="82">
        <v>3.95</v>
      </c>
      <c r="O314" s="89" t="s">
        <v>48</v>
      </c>
      <c r="P314" s="89">
        <v>4</v>
      </c>
      <c r="Q314" s="89">
        <v>10</v>
      </c>
      <c r="R314" s="89" t="s">
        <v>49</v>
      </c>
      <c r="S314" s="89" t="s">
        <v>50</v>
      </c>
      <c r="T314" s="89" t="s">
        <v>50</v>
      </c>
      <c r="U314" s="89" t="s">
        <v>50</v>
      </c>
      <c r="V314" s="89" t="s">
        <v>50</v>
      </c>
      <c r="W314" s="89" t="s">
        <v>50</v>
      </c>
      <c r="X314" s="89" t="s">
        <v>50</v>
      </c>
    </row>
    <row r="315" spans="1:25" x14ac:dyDescent="0.25">
      <c r="A315" s="26">
        <v>43698</v>
      </c>
      <c r="B315" s="89" t="s">
        <v>87</v>
      </c>
      <c r="C315" s="89" t="s">
        <v>78</v>
      </c>
      <c r="D315" s="89">
        <v>38.091529999999999</v>
      </c>
      <c r="E315" s="89">
        <v>-122.06229</v>
      </c>
      <c r="F315" s="89" t="s">
        <v>3765</v>
      </c>
      <c r="G315" s="89" t="s">
        <v>27</v>
      </c>
      <c r="H315" s="89" t="s">
        <v>86</v>
      </c>
      <c r="I315" s="602">
        <v>0.4055555555555555</v>
      </c>
      <c r="J315" s="82">
        <v>10359</v>
      </c>
      <c r="K315" s="82">
        <v>21.4</v>
      </c>
      <c r="L315" s="82">
        <v>17.75</v>
      </c>
      <c r="M315" s="82">
        <v>0.47249999999999998</v>
      </c>
      <c r="N315" s="82">
        <v>4.5</v>
      </c>
      <c r="O315" s="89" t="s">
        <v>48</v>
      </c>
      <c r="P315" s="89">
        <v>4</v>
      </c>
      <c r="Q315" s="89">
        <v>10</v>
      </c>
      <c r="R315" s="89" t="s">
        <v>49</v>
      </c>
      <c r="S315" s="89" t="s">
        <v>50</v>
      </c>
      <c r="T315" s="89" t="s">
        <v>50</v>
      </c>
      <c r="U315" s="89" t="s">
        <v>50</v>
      </c>
      <c r="V315" s="89" t="s">
        <v>50</v>
      </c>
      <c r="W315" s="89" t="s">
        <v>50</v>
      </c>
      <c r="X315" s="89" t="s">
        <v>50</v>
      </c>
    </row>
    <row r="316" spans="1:25" s="496" customFormat="1" x14ac:dyDescent="0.25">
      <c r="A316" s="495">
        <v>43698</v>
      </c>
      <c r="B316" s="496" t="s">
        <v>87</v>
      </c>
      <c r="C316" s="496" t="s">
        <v>78</v>
      </c>
      <c r="D316" s="496">
        <v>38.051879999999997</v>
      </c>
      <c r="E316" s="496">
        <v>-121.96907</v>
      </c>
      <c r="F316" s="496" t="s">
        <v>3766</v>
      </c>
      <c r="G316" s="496" t="s">
        <v>27</v>
      </c>
      <c r="H316" s="496" t="s">
        <v>170</v>
      </c>
      <c r="I316" s="615">
        <v>0.46666666666666662</v>
      </c>
      <c r="J316" s="498">
        <v>3530.25</v>
      </c>
      <c r="K316" s="498">
        <v>22.4</v>
      </c>
      <c r="L316" s="498">
        <v>26.85</v>
      </c>
      <c r="M316" s="498">
        <v>0.45499999999999996</v>
      </c>
      <c r="N316" s="498">
        <v>3.65</v>
      </c>
      <c r="O316" s="496" t="s">
        <v>48</v>
      </c>
      <c r="P316" s="496">
        <v>4</v>
      </c>
      <c r="Q316" s="496">
        <v>10</v>
      </c>
      <c r="R316" s="496" t="s">
        <v>49</v>
      </c>
      <c r="S316" s="496" t="s">
        <v>323</v>
      </c>
      <c r="T316" s="496">
        <v>1</v>
      </c>
      <c r="U316" s="496">
        <v>54</v>
      </c>
      <c r="V316" s="496" t="s">
        <v>66</v>
      </c>
      <c r="W316" s="496" t="s">
        <v>50</v>
      </c>
      <c r="X316" s="496" t="s">
        <v>50</v>
      </c>
      <c r="Y316" s="601" t="s">
        <v>3747</v>
      </c>
    </row>
    <row r="317" spans="1:25" s="150" customFormat="1" x14ac:dyDescent="0.25">
      <c r="A317" s="178">
        <v>43698</v>
      </c>
      <c r="B317" s="150" t="s">
        <v>87</v>
      </c>
      <c r="C317" s="150" t="s">
        <v>126</v>
      </c>
      <c r="D317" s="150">
        <v>38.28783</v>
      </c>
      <c r="E317" s="150">
        <v>-121.72193</v>
      </c>
      <c r="F317" s="150" t="s">
        <v>3767</v>
      </c>
      <c r="G317" s="150" t="s">
        <v>90</v>
      </c>
      <c r="H317" s="150" t="s">
        <v>845</v>
      </c>
      <c r="I317" s="614">
        <v>0.32847222222222222</v>
      </c>
      <c r="J317" s="197" t="s">
        <v>50</v>
      </c>
      <c r="K317" s="197" t="s">
        <v>50</v>
      </c>
      <c r="L317" s="197" t="s">
        <v>50</v>
      </c>
      <c r="M317" s="197" t="s">
        <v>50</v>
      </c>
      <c r="N317" s="197" t="s">
        <v>50</v>
      </c>
      <c r="O317" s="149" t="s">
        <v>48</v>
      </c>
      <c r="P317" s="149">
        <v>0</v>
      </c>
      <c r="Q317" s="149" t="s">
        <v>50</v>
      </c>
      <c r="R317" s="149" t="s">
        <v>50</v>
      </c>
      <c r="S317" s="149" t="s">
        <v>50</v>
      </c>
      <c r="T317" s="149" t="s">
        <v>50</v>
      </c>
      <c r="U317" s="149" t="s">
        <v>50</v>
      </c>
      <c r="V317" s="149" t="s">
        <v>50</v>
      </c>
      <c r="W317" s="149" t="s">
        <v>50</v>
      </c>
      <c r="X317" s="149" t="s">
        <v>50</v>
      </c>
      <c r="Y317" s="604" t="s">
        <v>734</v>
      </c>
    </row>
    <row r="318" spans="1:25" x14ac:dyDescent="0.25">
      <c r="A318" s="26">
        <v>43698</v>
      </c>
      <c r="B318" s="89" t="s">
        <v>87</v>
      </c>
      <c r="C318" s="89" t="s">
        <v>126</v>
      </c>
      <c r="D318" s="89">
        <v>38.281889999999997</v>
      </c>
      <c r="E318" s="89">
        <v>-121.71339</v>
      </c>
      <c r="F318" s="89" t="s">
        <v>3768</v>
      </c>
      <c r="G318" s="89" t="s">
        <v>90</v>
      </c>
      <c r="H318" s="89" t="s">
        <v>845</v>
      </c>
      <c r="I318" s="602">
        <v>0.33611111111111108</v>
      </c>
      <c r="J318" s="82">
        <v>150.6</v>
      </c>
      <c r="K318" s="82">
        <v>21.5</v>
      </c>
      <c r="L318" s="82">
        <v>3.71</v>
      </c>
      <c r="M318" s="82" t="s">
        <v>1233</v>
      </c>
      <c r="N318" s="82">
        <v>2.8</v>
      </c>
      <c r="O318" s="89" t="s">
        <v>48</v>
      </c>
      <c r="P318" s="89">
        <v>3</v>
      </c>
      <c r="Q318" s="89">
        <v>10</v>
      </c>
      <c r="R318" s="89" t="s">
        <v>64</v>
      </c>
      <c r="S318" s="89" t="s">
        <v>50</v>
      </c>
      <c r="T318" s="89" t="s">
        <v>50</v>
      </c>
      <c r="U318" s="89" t="s">
        <v>50</v>
      </c>
      <c r="V318" s="89" t="s">
        <v>50</v>
      </c>
      <c r="W318" s="89" t="s">
        <v>50</v>
      </c>
      <c r="X318" s="89" t="s">
        <v>50</v>
      </c>
      <c r="Y318" s="600" t="s">
        <v>3769</v>
      </c>
    </row>
    <row r="319" spans="1:25" s="150" customFormat="1" x14ac:dyDescent="0.25">
      <c r="A319" s="178">
        <v>43698</v>
      </c>
      <c r="B319" s="150" t="s">
        <v>87</v>
      </c>
      <c r="C319" s="150" t="s">
        <v>126</v>
      </c>
      <c r="D319" s="150">
        <v>38.27496</v>
      </c>
      <c r="E319" s="150">
        <v>-121.70649</v>
      </c>
      <c r="F319" s="150" t="s">
        <v>3770</v>
      </c>
      <c r="G319" s="150" t="s">
        <v>90</v>
      </c>
      <c r="H319" s="150" t="s">
        <v>845</v>
      </c>
      <c r="I319" s="614">
        <v>0.38263888888888892</v>
      </c>
      <c r="J319" s="197" t="s">
        <v>50</v>
      </c>
      <c r="K319" s="197" t="s">
        <v>50</v>
      </c>
      <c r="L319" s="197" t="s">
        <v>50</v>
      </c>
      <c r="M319" s="197" t="s">
        <v>50</v>
      </c>
      <c r="N319" s="197" t="s">
        <v>50</v>
      </c>
      <c r="O319" s="149" t="s">
        <v>48</v>
      </c>
      <c r="P319" s="149">
        <v>0</v>
      </c>
      <c r="Q319" s="149" t="s">
        <v>50</v>
      </c>
      <c r="R319" s="149" t="s">
        <v>50</v>
      </c>
      <c r="S319" s="149" t="s">
        <v>50</v>
      </c>
      <c r="T319" s="149" t="s">
        <v>50</v>
      </c>
      <c r="U319" s="149" t="s">
        <v>50</v>
      </c>
      <c r="V319" s="149" t="s">
        <v>50</v>
      </c>
      <c r="W319" s="149" t="s">
        <v>50</v>
      </c>
      <c r="X319" s="149" t="s">
        <v>50</v>
      </c>
      <c r="Y319" s="604" t="s">
        <v>3771</v>
      </c>
    </row>
    <row r="320" spans="1:25" x14ac:dyDescent="0.25">
      <c r="A320" s="26">
        <v>43698</v>
      </c>
      <c r="B320" s="89" t="s">
        <v>87</v>
      </c>
      <c r="C320" s="89" t="s">
        <v>126</v>
      </c>
      <c r="D320" s="89">
        <v>38.235509999999998</v>
      </c>
      <c r="E320" s="89">
        <v>-121.67881</v>
      </c>
      <c r="F320" s="89" t="s">
        <v>3772</v>
      </c>
      <c r="G320" s="89" t="s">
        <v>90</v>
      </c>
      <c r="H320" s="89" t="s">
        <v>845</v>
      </c>
      <c r="I320" s="602">
        <v>0.3923611111111111</v>
      </c>
      <c r="J320" s="82">
        <v>128.15</v>
      </c>
      <c r="K320" s="82">
        <v>21.6</v>
      </c>
      <c r="L320" s="82">
        <v>5.6400000000000006</v>
      </c>
      <c r="M320" s="82">
        <v>1.7124999999999999</v>
      </c>
      <c r="N320" s="82">
        <v>8.875</v>
      </c>
      <c r="O320" s="89" t="s">
        <v>48</v>
      </c>
      <c r="P320" s="89">
        <v>4</v>
      </c>
      <c r="Q320" s="89">
        <v>10</v>
      </c>
      <c r="R320" s="89" t="s">
        <v>49</v>
      </c>
      <c r="S320" s="89" t="s">
        <v>50</v>
      </c>
      <c r="T320" s="89" t="s">
        <v>50</v>
      </c>
      <c r="U320" s="89" t="s">
        <v>50</v>
      </c>
      <c r="V320" s="89" t="s">
        <v>50</v>
      </c>
      <c r="W320" s="89" t="s">
        <v>50</v>
      </c>
      <c r="X320" s="89" t="s">
        <v>50</v>
      </c>
      <c r="Y320" s="600" t="s">
        <v>3773</v>
      </c>
    </row>
    <row r="321" spans="1:25" x14ac:dyDescent="0.25">
      <c r="A321" s="26">
        <v>43698</v>
      </c>
      <c r="B321" s="89" t="s">
        <v>87</v>
      </c>
      <c r="C321" s="89" t="s">
        <v>126</v>
      </c>
      <c r="D321" s="89">
        <v>38.415779999999998</v>
      </c>
      <c r="E321" s="89">
        <v>-121.61426</v>
      </c>
      <c r="F321" s="89" t="s">
        <v>3774</v>
      </c>
      <c r="G321" s="89" t="s">
        <v>90</v>
      </c>
      <c r="H321" s="89" t="s">
        <v>845</v>
      </c>
      <c r="I321" s="602">
        <v>0.48055555555555557</v>
      </c>
      <c r="J321" s="82">
        <v>213.7</v>
      </c>
      <c r="K321" s="82">
        <v>24.375</v>
      </c>
      <c r="L321" s="82">
        <v>56.349999999999994</v>
      </c>
      <c r="M321" s="82">
        <v>0.3075</v>
      </c>
      <c r="N321" s="82">
        <v>4.5999999999999996</v>
      </c>
      <c r="O321" s="89" t="s">
        <v>48</v>
      </c>
      <c r="P321" s="89">
        <v>4</v>
      </c>
      <c r="Q321" s="89">
        <v>10</v>
      </c>
      <c r="R321" s="89" t="s">
        <v>49</v>
      </c>
      <c r="S321" s="89" t="s">
        <v>50</v>
      </c>
      <c r="T321" s="89" t="s">
        <v>50</v>
      </c>
      <c r="U321" s="89" t="s">
        <v>50</v>
      </c>
      <c r="V321" s="89" t="s">
        <v>50</v>
      </c>
      <c r="W321" s="89" t="s">
        <v>50</v>
      </c>
      <c r="X321" s="89" t="s">
        <v>50</v>
      </c>
      <c r="Y321" s="600" t="s">
        <v>3775</v>
      </c>
    </row>
    <row r="322" spans="1:25" x14ac:dyDescent="0.25">
      <c r="A322" s="26">
        <v>43698</v>
      </c>
      <c r="B322" s="89" t="s">
        <v>87</v>
      </c>
      <c r="C322" s="89" t="s">
        <v>78</v>
      </c>
      <c r="D322" s="89">
        <v>38.050739999999998</v>
      </c>
      <c r="E322" s="89">
        <v>-122.10483000000001</v>
      </c>
      <c r="F322" s="89" t="s">
        <v>3776</v>
      </c>
      <c r="G322" s="89" t="s">
        <v>80</v>
      </c>
      <c r="H322" s="89" t="s">
        <v>81</v>
      </c>
      <c r="I322" s="602">
        <v>0.3979166666666667</v>
      </c>
      <c r="J322" s="82">
        <v>11332.5</v>
      </c>
      <c r="K322" s="82">
        <v>21.6</v>
      </c>
      <c r="L322" s="82">
        <v>13.15</v>
      </c>
      <c r="M322" s="82">
        <v>0.66249999999999998</v>
      </c>
      <c r="N322" s="82">
        <v>7.4625000000000004</v>
      </c>
      <c r="O322" s="89" t="s">
        <v>48</v>
      </c>
      <c r="P322" s="89">
        <v>4</v>
      </c>
      <c r="Q322" s="89">
        <v>10</v>
      </c>
      <c r="R322" s="89" t="s">
        <v>49</v>
      </c>
      <c r="S322" s="89" t="s">
        <v>50</v>
      </c>
      <c r="T322" s="89" t="s">
        <v>50</v>
      </c>
      <c r="U322" s="89" t="s">
        <v>50</v>
      </c>
      <c r="V322" s="89" t="s">
        <v>50</v>
      </c>
      <c r="W322" s="89" t="s">
        <v>50</v>
      </c>
      <c r="X322" s="89" t="s">
        <v>50</v>
      </c>
    </row>
    <row r="323" spans="1:25" x14ac:dyDescent="0.25">
      <c r="A323" s="26">
        <v>43698</v>
      </c>
      <c r="B323" s="89" t="s">
        <v>87</v>
      </c>
      <c r="C323" s="89" t="s">
        <v>78</v>
      </c>
      <c r="D323" s="89">
        <v>38.04627</v>
      </c>
      <c r="E323" s="89">
        <v>-122.09759</v>
      </c>
      <c r="F323" s="89" t="s">
        <v>3777</v>
      </c>
      <c r="G323" s="89" t="s">
        <v>80</v>
      </c>
      <c r="H323" s="89" t="s">
        <v>81</v>
      </c>
      <c r="I323" s="602">
        <v>0.45763888888888887</v>
      </c>
      <c r="J323" s="100">
        <v>9316</v>
      </c>
      <c r="K323" s="100">
        <v>22.224999999999998</v>
      </c>
      <c r="L323" s="100">
        <v>13.149999999999999</v>
      </c>
      <c r="M323" s="100">
        <v>0.67499999999999993</v>
      </c>
      <c r="N323" s="100">
        <v>9.620000000000001</v>
      </c>
      <c r="O323" s="98" t="s">
        <v>48</v>
      </c>
      <c r="P323" s="98">
        <v>4</v>
      </c>
      <c r="Q323" s="98">
        <v>10</v>
      </c>
      <c r="R323" s="89" t="s">
        <v>49</v>
      </c>
      <c r="S323" s="89" t="s">
        <v>50</v>
      </c>
      <c r="T323" s="89" t="s">
        <v>50</v>
      </c>
      <c r="U323" s="89" t="s">
        <v>50</v>
      </c>
      <c r="V323" s="89" t="s">
        <v>50</v>
      </c>
      <c r="W323" s="89" t="s">
        <v>50</v>
      </c>
      <c r="X323" s="89" t="s">
        <v>50</v>
      </c>
    </row>
    <row r="324" spans="1:25" x14ac:dyDescent="0.25">
      <c r="A324" s="26">
        <v>43698</v>
      </c>
      <c r="B324" s="89" t="s">
        <v>87</v>
      </c>
      <c r="C324" s="89" t="s">
        <v>78</v>
      </c>
      <c r="D324" s="89">
        <v>38.055030000000002</v>
      </c>
      <c r="E324" s="89">
        <v>-122.06140000000001</v>
      </c>
      <c r="F324" s="89" t="s">
        <v>3778</v>
      </c>
      <c r="G324" s="89" t="s">
        <v>80</v>
      </c>
      <c r="H324" s="89" t="s">
        <v>81</v>
      </c>
      <c r="I324" s="602">
        <v>0.52152777777777781</v>
      </c>
      <c r="J324" s="82">
        <v>8002.5</v>
      </c>
      <c r="K324" s="82">
        <v>22.575000000000003</v>
      </c>
      <c r="L324" s="82">
        <v>17.974999999999998</v>
      </c>
      <c r="M324" s="82">
        <v>0.58250000000000002</v>
      </c>
      <c r="N324" s="82">
        <v>7.65</v>
      </c>
      <c r="O324" s="89" t="s">
        <v>48</v>
      </c>
      <c r="P324" s="89">
        <v>4</v>
      </c>
      <c r="Q324" s="89">
        <v>10</v>
      </c>
      <c r="R324" s="89" t="s">
        <v>49</v>
      </c>
      <c r="S324" s="89" t="s">
        <v>50</v>
      </c>
      <c r="T324" s="89" t="s">
        <v>50</v>
      </c>
      <c r="U324" s="89" t="s">
        <v>50</v>
      </c>
      <c r="V324" s="89" t="s">
        <v>50</v>
      </c>
      <c r="W324" s="89" t="s">
        <v>50</v>
      </c>
      <c r="X324" s="89" t="s">
        <v>50</v>
      </c>
    </row>
    <row r="325" spans="1:25" s="98" customFormat="1" x14ac:dyDescent="0.25">
      <c r="A325" s="194">
        <v>43698</v>
      </c>
      <c r="B325" s="98" t="s">
        <v>87</v>
      </c>
      <c r="C325" s="98" t="s">
        <v>118</v>
      </c>
      <c r="D325" s="98">
        <v>38.061070000000001</v>
      </c>
      <c r="E325" s="98">
        <v>-122.23374</v>
      </c>
      <c r="F325" s="98" t="s">
        <v>3779</v>
      </c>
      <c r="G325" s="98" t="s">
        <v>80</v>
      </c>
      <c r="H325" s="98" t="s">
        <v>3332</v>
      </c>
      <c r="I325" s="621">
        <v>0.60277777777777775</v>
      </c>
      <c r="J325" s="100">
        <v>17626.25</v>
      </c>
      <c r="K325" s="100">
        <v>21.900000000000002</v>
      </c>
      <c r="L325" s="100">
        <v>11.649999999999999</v>
      </c>
      <c r="M325" s="100">
        <v>0.67500000000000004</v>
      </c>
      <c r="N325" s="100">
        <v>19.967500000000001</v>
      </c>
      <c r="O325" s="98" t="s">
        <v>48</v>
      </c>
      <c r="P325" s="98">
        <v>4</v>
      </c>
      <c r="Q325" s="98">
        <v>10</v>
      </c>
      <c r="R325" s="98" t="s">
        <v>64</v>
      </c>
      <c r="S325" s="98" t="s">
        <v>50</v>
      </c>
      <c r="T325" s="98" t="s">
        <v>50</v>
      </c>
      <c r="U325" s="98" t="s">
        <v>50</v>
      </c>
      <c r="V325" s="98" t="s">
        <v>50</v>
      </c>
      <c r="W325" s="98" t="s">
        <v>50</v>
      </c>
      <c r="X325" s="98" t="s">
        <v>50</v>
      </c>
      <c r="Y325" s="622"/>
    </row>
    <row r="326" spans="1:25" x14ac:dyDescent="0.25">
      <c r="A326" s="26">
        <v>43699</v>
      </c>
      <c r="B326" s="89" t="s">
        <v>105</v>
      </c>
      <c r="C326" s="98" t="s">
        <v>95</v>
      </c>
      <c r="D326" s="98">
        <v>38.042430000000003</v>
      </c>
      <c r="E326" s="98">
        <v>-121.49821</v>
      </c>
      <c r="F326" s="98" t="s">
        <v>3780</v>
      </c>
      <c r="G326" s="98" t="s">
        <v>46</v>
      </c>
      <c r="H326" s="98" t="s">
        <v>115</v>
      </c>
      <c r="I326" s="602">
        <v>0.33124999999999999</v>
      </c>
      <c r="J326" s="98">
        <v>178.72500000000002</v>
      </c>
      <c r="K326" s="98">
        <v>24.5</v>
      </c>
      <c r="L326" s="98">
        <v>3.5500000000000003</v>
      </c>
      <c r="M326" s="100" t="s">
        <v>1233</v>
      </c>
      <c r="N326" s="98">
        <v>11.475</v>
      </c>
      <c r="O326" s="98" t="s">
        <v>48</v>
      </c>
      <c r="P326" s="98">
        <v>4</v>
      </c>
      <c r="Q326" s="98">
        <v>10</v>
      </c>
      <c r="R326" s="89" t="s">
        <v>64</v>
      </c>
      <c r="S326" s="89" t="s">
        <v>50</v>
      </c>
      <c r="T326" s="89" t="s">
        <v>50</v>
      </c>
      <c r="U326" s="89" t="s">
        <v>50</v>
      </c>
      <c r="V326" s="89" t="s">
        <v>50</v>
      </c>
      <c r="W326" s="89" t="s">
        <v>50</v>
      </c>
      <c r="X326" s="89" t="s">
        <v>50</v>
      </c>
    </row>
    <row r="327" spans="1:25" x14ac:dyDescent="0.25">
      <c r="A327" s="26">
        <v>43699</v>
      </c>
      <c r="B327" s="89" t="s">
        <v>105</v>
      </c>
      <c r="C327" s="89" t="s">
        <v>95</v>
      </c>
      <c r="D327" s="89">
        <v>38.086889999999997</v>
      </c>
      <c r="E327" s="89">
        <v>-121.67834999999999</v>
      </c>
      <c r="F327" s="89" t="s">
        <v>3781</v>
      </c>
      <c r="G327" s="89" t="s">
        <v>46</v>
      </c>
      <c r="H327" s="89" t="s">
        <v>908</v>
      </c>
      <c r="I327" s="602">
        <v>0.39861111111111108</v>
      </c>
      <c r="J327" s="82">
        <v>201.05</v>
      </c>
      <c r="K327" s="82">
        <v>23.475000000000001</v>
      </c>
      <c r="L327" s="82">
        <v>7.5</v>
      </c>
      <c r="M327" s="82">
        <v>1.4662500000000001</v>
      </c>
      <c r="N327" s="82">
        <v>15.75</v>
      </c>
      <c r="O327" s="89" t="s">
        <v>48</v>
      </c>
      <c r="P327" s="89">
        <v>4</v>
      </c>
      <c r="Q327" s="89">
        <v>10</v>
      </c>
      <c r="R327" s="89" t="s">
        <v>64</v>
      </c>
      <c r="S327" s="89" t="s">
        <v>50</v>
      </c>
      <c r="T327" s="89" t="s">
        <v>50</v>
      </c>
      <c r="U327" s="89" t="s">
        <v>50</v>
      </c>
      <c r="V327" s="89" t="s">
        <v>50</v>
      </c>
      <c r="W327" s="89" t="s">
        <v>50</v>
      </c>
      <c r="X327" s="89" t="s">
        <v>50</v>
      </c>
    </row>
    <row r="328" spans="1:25" x14ac:dyDescent="0.25">
      <c r="A328" s="26">
        <v>43699</v>
      </c>
      <c r="B328" s="89" t="s">
        <v>105</v>
      </c>
      <c r="C328" s="89" t="s">
        <v>95</v>
      </c>
      <c r="D328" s="89">
        <v>38.019460000000002</v>
      </c>
      <c r="E328" s="89">
        <v>-121.78277</v>
      </c>
      <c r="F328" s="89" t="s">
        <v>3782</v>
      </c>
      <c r="G328" s="89" t="s">
        <v>27</v>
      </c>
      <c r="H328" s="89" t="s">
        <v>863</v>
      </c>
      <c r="I328" s="602">
        <v>0.46388888888888885</v>
      </c>
      <c r="J328" s="100">
        <v>1458.9</v>
      </c>
      <c r="K328" s="100">
        <v>23.6</v>
      </c>
      <c r="L328" s="100">
        <v>9.2375000000000007</v>
      </c>
      <c r="M328" s="100">
        <v>0.99750000000000005</v>
      </c>
      <c r="N328" s="100">
        <v>3.5749999999999997</v>
      </c>
      <c r="O328" s="98" t="s">
        <v>48</v>
      </c>
      <c r="P328" s="98">
        <v>4</v>
      </c>
      <c r="Q328" s="98">
        <v>10</v>
      </c>
      <c r="R328" s="89" t="s">
        <v>49</v>
      </c>
      <c r="S328" s="89" t="s">
        <v>50</v>
      </c>
      <c r="T328" s="89" t="s">
        <v>50</v>
      </c>
      <c r="U328" s="89" t="s">
        <v>50</v>
      </c>
      <c r="V328" s="89" t="s">
        <v>50</v>
      </c>
      <c r="W328" s="89" t="s">
        <v>50</v>
      </c>
      <c r="X328" s="89" t="s">
        <v>50</v>
      </c>
    </row>
    <row r="329" spans="1:25" s="150" customFormat="1" x14ac:dyDescent="0.25">
      <c r="A329" s="178">
        <v>43699</v>
      </c>
      <c r="B329" s="150" t="s">
        <v>105</v>
      </c>
      <c r="C329" s="150" t="s">
        <v>126</v>
      </c>
      <c r="D329" s="150">
        <v>38.26247</v>
      </c>
      <c r="E329" s="150">
        <v>-121.69328</v>
      </c>
      <c r="F329" s="150" t="s">
        <v>3783</v>
      </c>
      <c r="G329" s="150" t="s">
        <v>90</v>
      </c>
      <c r="H329" s="150" t="s">
        <v>845</v>
      </c>
      <c r="I329" s="614">
        <v>0.33888888888888885</v>
      </c>
      <c r="J329" s="197" t="s">
        <v>50</v>
      </c>
      <c r="K329" s="197" t="s">
        <v>50</v>
      </c>
      <c r="L329" s="197" t="s">
        <v>50</v>
      </c>
      <c r="M329" s="197" t="s">
        <v>50</v>
      </c>
      <c r="N329" s="197" t="s">
        <v>50</v>
      </c>
      <c r="O329" s="149" t="s">
        <v>48</v>
      </c>
      <c r="P329" s="149">
        <v>0</v>
      </c>
      <c r="Q329" s="149" t="s">
        <v>50</v>
      </c>
      <c r="R329" s="149" t="s">
        <v>50</v>
      </c>
      <c r="S329" s="149" t="s">
        <v>50</v>
      </c>
      <c r="T329" s="149" t="s">
        <v>50</v>
      </c>
      <c r="U329" s="149" t="s">
        <v>50</v>
      </c>
      <c r="V329" s="149" t="s">
        <v>50</v>
      </c>
      <c r="W329" s="149" t="s">
        <v>50</v>
      </c>
      <c r="X329" s="149" t="s">
        <v>50</v>
      </c>
      <c r="Y329" s="604" t="s">
        <v>3784</v>
      </c>
    </row>
    <row r="330" spans="1:25" x14ac:dyDescent="0.25">
      <c r="A330" s="26">
        <v>43699</v>
      </c>
      <c r="B330" s="89" t="s">
        <v>105</v>
      </c>
      <c r="C330" s="89" t="s">
        <v>126</v>
      </c>
      <c r="D330" s="89">
        <v>38.310189999999999</v>
      </c>
      <c r="E330" s="89">
        <v>-121.66737000000001</v>
      </c>
      <c r="F330" s="89" t="s">
        <v>3785</v>
      </c>
      <c r="G330" s="89" t="s">
        <v>90</v>
      </c>
      <c r="H330" s="89" t="s">
        <v>845</v>
      </c>
      <c r="I330" s="602">
        <v>0.39861111111111108</v>
      </c>
      <c r="J330" s="82">
        <v>174.17499999999998</v>
      </c>
      <c r="K330" s="82">
        <v>22.674999999999997</v>
      </c>
      <c r="L330" s="82">
        <v>11.234999999999999</v>
      </c>
      <c r="M330" s="82">
        <v>0.95750000000000002</v>
      </c>
      <c r="N330" s="82">
        <v>6.2000000000000011</v>
      </c>
      <c r="O330" s="89" t="s">
        <v>48</v>
      </c>
      <c r="P330" s="89">
        <v>4</v>
      </c>
      <c r="Q330" s="89">
        <v>10</v>
      </c>
      <c r="R330" s="89" t="s">
        <v>64</v>
      </c>
      <c r="S330" s="89" t="s">
        <v>50</v>
      </c>
      <c r="T330" s="89" t="s">
        <v>50</v>
      </c>
      <c r="U330" s="89" t="s">
        <v>50</v>
      </c>
      <c r="V330" s="89" t="s">
        <v>50</v>
      </c>
      <c r="W330" s="89" t="s">
        <v>50</v>
      </c>
      <c r="X330" s="89" t="s">
        <v>50</v>
      </c>
      <c r="Y330" s="600" t="s">
        <v>3786</v>
      </c>
    </row>
    <row r="331" spans="1:25" x14ac:dyDescent="0.25">
      <c r="A331" s="26">
        <v>43699</v>
      </c>
      <c r="B331" s="89" t="s">
        <v>105</v>
      </c>
      <c r="C331" s="89" t="s">
        <v>126</v>
      </c>
      <c r="D331" s="89">
        <v>38.25788</v>
      </c>
      <c r="E331" s="89">
        <v>-121.69173000000001</v>
      </c>
      <c r="F331" s="89" t="s">
        <v>3787</v>
      </c>
      <c r="G331" s="89" t="s">
        <v>90</v>
      </c>
      <c r="H331" s="89" t="s">
        <v>845</v>
      </c>
      <c r="I331" s="602">
        <v>0.34513888888888888</v>
      </c>
      <c r="J331" s="82">
        <v>143.375</v>
      </c>
      <c r="K331" s="82">
        <v>21.950000000000003</v>
      </c>
      <c r="L331" s="82">
        <v>7.9675000000000011</v>
      </c>
      <c r="M331" s="82">
        <v>1.3525</v>
      </c>
      <c r="N331" s="82">
        <v>8.625</v>
      </c>
      <c r="O331" s="89" t="s">
        <v>48</v>
      </c>
      <c r="P331" s="89">
        <v>4</v>
      </c>
      <c r="Q331" s="89">
        <v>10</v>
      </c>
      <c r="R331" s="89" t="s">
        <v>64</v>
      </c>
      <c r="S331" s="89" t="s">
        <v>50</v>
      </c>
      <c r="T331" s="89" t="s">
        <v>50</v>
      </c>
      <c r="U331" s="89" t="s">
        <v>50</v>
      </c>
      <c r="V331" s="89" t="s">
        <v>50</v>
      </c>
      <c r="W331" s="89" t="s">
        <v>50</v>
      </c>
      <c r="X331" s="89" t="s">
        <v>50</v>
      </c>
    </row>
    <row r="332" spans="1:25" x14ac:dyDescent="0.25">
      <c r="A332" s="26">
        <v>43699</v>
      </c>
      <c r="B332" s="89" t="s">
        <v>105</v>
      </c>
      <c r="C332" s="89" t="s">
        <v>126</v>
      </c>
      <c r="D332" s="89">
        <v>38.323</v>
      </c>
      <c r="E332" s="89">
        <v>-121.65325</v>
      </c>
      <c r="F332" s="89" t="s">
        <v>3788</v>
      </c>
      <c r="G332" s="89" t="s">
        <v>90</v>
      </c>
      <c r="H332" s="89" t="s">
        <v>845</v>
      </c>
      <c r="I332" s="602">
        <v>0.4694444444444445</v>
      </c>
      <c r="J332" s="82">
        <v>168.625</v>
      </c>
      <c r="K332" s="82">
        <v>22.950000000000003</v>
      </c>
      <c r="L332" s="82">
        <v>12.425000000000001</v>
      </c>
      <c r="M332" s="82">
        <v>0.96750000000000003</v>
      </c>
      <c r="N332" s="82">
        <v>4.7</v>
      </c>
      <c r="O332" s="89" t="s">
        <v>48</v>
      </c>
      <c r="P332" s="89">
        <v>4</v>
      </c>
      <c r="Q332" s="89">
        <v>10</v>
      </c>
      <c r="R332" s="89" t="s">
        <v>49</v>
      </c>
      <c r="S332" s="89" t="s">
        <v>50</v>
      </c>
      <c r="T332" s="89" t="s">
        <v>50</v>
      </c>
      <c r="U332" s="89" t="s">
        <v>50</v>
      </c>
      <c r="V332" s="89" t="s">
        <v>50</v>
      </c>
      <c r="W332" s="89" t="s">
        <v>50</v>
      </c>
      <c r="X332" s="89" t="s">
        <v>50</v>
      </c>
      <c r="Y332" s="600" t="s">
        <v>3789</v>
      </c>
    </row>
    <row r="333" spans="1:25" x14ac:dyDescent="0.25">
      <c r="A333" s="26">
        <v>43699</v>
      </c>
      <c r="B333" s="89" t="s">
        <v>105</v>
      </c>
      <c r="C333" s="89" t="s">
        <v>118</v>
      </c>
      <c r="D333" s="89">
        <v>38.034309999999998</v>
      </c>
      <c r="E333" s="89">
        <v>-122.292</v>
      </c>
      <c r="F333" s="89" t="s">
        <v>3790</v>
      </c>
      <c r="G333" s="89" t="s">
        <v>80</v>
      </c>
      <c r="H333" s="89" t="s">
        <v>123</v>
      </c>
      <c r="I333" s="602">
        <v>0.33611111111111108</v>
      </c>
      <c r="J333" s="100">
        <v>30704.75</v>
      </c>
      <c r="K333" s="100">
        <v>21.1</v>
      </c>
      <c r="L333" s="100">
        <v>8.5849999999999991</v>
      </c>
      <c r="M333" s="100">
        <v>0.98750000000000004</v>
      </c>
      <c r="N333" s="100">
        <v>2.6749999999999998</v>
      </c>
      <c r="O333" s="89" t="s">
        <v>48</v>
      </c>
      <c r="P333" s="89">
        <v>4</v>
      </c>
      <c r="Q333" s="89">
        <v>10</v>
      </c>
      <c r="R333" s="89" t="s">
        <v>49</v>
      </c>
      <c r="S333" s="89" t="s">
        <v>50</v>
      </c>
      <c r="T333" s="89" t="s">
        <v>50</v>
      </c>
      <c r="U333" s="89" t="s">
        <v>50</v>
      </c>
      <c r="V333" s="89" t="s">
        <v>50</v>
      </c>
      <c r="W333" s="89" t="s">
        <v>50</v>
      </c>
      <c r="X333" s="89" t="s">
        <v>50</v>
      </c>
    </row>
    <row r="334" spans="1:25" x14ac:dyDescent="0.25">
      <c r="A334" s="26">
        <v>43699</v>
      </c>
      <c r="B334" s="89" t="s">
        <v>105</v>
      </c>
      <c r="C334" s="89" t="s">
        <v>118</v>
      </c>
      <c r="D334" s="89">
        <v>38.0259</v>
      </c>
      <c r="E334" s="89">
        <v>-122.29892</v>
      </c>
      <c r="F334" s="89" t="s">
        <v>3791</v>
      </c>
      <c r="G334" s="89" t="s">
        <v>80</v>
      </c>
      <c r="H334" s="89" t="s">
        <v>123</v>
      </c>
      <c r="I334" s="602">
        <v>0.40138888888888885</v>
      </c>
      <c r="J334" s="82">
        <v>31084</v>
      </c>
      <c r="K334" s="82">
        <v>21.525000000000002</v>
      </c>
      <c r="L334" s="82">
        <v>10.765000000000001</v>
      </c>
      <c r="M334" s="82">
        <v>0.88750000000000007</v>
      </c>
      <c r="N334" s="82">
        <v>2.625</v>
      </c>
      <c r="O334" s="89" t="s">
        <v>48</v>
      </c>
      <c r="P334" s="89">
        <v>4</v>
      </c>
      <c r="Q334" s="89">
        <v>10</v>
      </c>
      <c r="R334" s="89" t="s">
        <v>49</v>
      </c>
      <c r="S334" s="89" t="s">
        <v>50</v>
      </c>
      <c r="T334" s="89" t="s">
        <v>50</v>
      </c>
      <c r="U334" s="89" t="s">
        <v>50</v>
      </c>
      <c r="V334" s="89" t="s">
        <v>50</v>
      </c>
      <c r="W334" s="89" t="s">
        <v>50</v>
      </c>
      <c r="X334" s="89" t="s">
        <v>50</v>
      </c>
    </row>
    <row r="335" spans="1:25" x14ac:dyDescent="0.25">
      <c r="A335" s="26">
        <v>43699</v>
      </c>
      <c r="B335" s="89" t="s">
        <v>105</v>
      </c>
      <c r="C335" s="89" t="s">
        <v>118</v>
      </c>
      <c r="D335" s="89">
        <v>38.059480000000001</v>
      </c>
      <c r="E335" s="89">
        <v>-122.32709</v>
      </c>
      <c r="F335" s="89" t="s">
        <v>3792</v>
      </c>
      <c r="G335" s="89" t="s">
        <v>80</v>
      </c>
      <c r="H335" s="89" t="s">
        <v>123</v>
      </c>
      <c r="I335" s="602">
        <v>0.46111111111111108</v>
      </c>
      <c r="J335" s="82">
        <v>25889.5</v>
      </c>
      <c r="K335" s="82">
        <v>21.8</v>
      </c>
      <c r="L335" s="82">
        <v>11.717500000000001</v>
      </c>
      <c r="M335" s="82">
        <v>0.66666666666666663</v>
      </c>
      <c r="N335" s="82">
        <v>4.45</v>
      </c>
      <c r="O335" s="89" t="s">
        <v>48</v>
      </c>
      <c r="P335" s="89">
        <v>4</v>
      </c>
      <c r="Q335" s="89">
        <v>10</v>
      </c>
      <c r="R335" s="89" t="s">
        <v>49</v>
      </c>
      <c r="S335" s="89" t="s">
        <v>50</v>
      </c>
      <c r="T335" s="89" t="s">
        <v>50</v>
      </c>
      <c r="U335" s="89" t="s">
        <v>50</v>
      </c>
      <c r="V335" s="89" t="s">
        <v>50</v>
      </c>
      <c r="W335" s="89" t="s">
        <v>50</v>
      </c>
      <c r="X335" s="89" t="s">
        <v>50</v>
      </c>
    </row>
    <row r="336" spans="1:25" s="362" customFormat="1" x14ac:dyDescent="0.25">
      <c r="A336" s="360">
        <v>43699</v>
      </c>
      <c r="B336" s="362" t="s">
        <v>105</v>
      </c>
      <c r="C336" s="362" t="s">
        <v>118</v>
      </c>
      <c r="D336" s="362">
        <v>38.057200000000002</v>
      </c>
      <c r="E336" s="362">
        <v>-122.3077</v>
      </c>
      <c r="F336" s="362" t="s">
        <v>3793</v>
      </c>
      <c r="G336" s="362" t="s">
        <v>80</v>
      </c>
      <c r="H336" s="362" t="s">
        <v>123</v>
      </c>
      <c r="I336" s="618">
        <v>0.51111111111111118</v>
      </c>
      <c r="J336" s="364">
        <v>22600.25</v>
      </c>
      <c r="K336" s="364">
        <v>21.875</v>
      </c>
      <c r="L336" s="364">
        <v>10.86</v>
      </c>
      <c r="M336" s="364">
        <v>0.71750000000000003</v>
      </c>
      <c r="N336" s="364">
        <v>7.0750000000000002</v>
      </c>
      <c r="O336" s="362" t="s">
        <v>48</v>
      </c>
      <c r="P336" s="362">
        <v>4</v>
      </c>
      <c r="Q336" s="362">
        <v>10</v>
      </c>
      <c r="R336" s="362" t="s">
        <v>49</v>
      </c>
      <c r="S336" s="362" t="s">
        <v>50</v>
      </c>
      <c r="T336" s="362" t="s">
        <v>50</v>
      </c>
      <c r="U336" s="362" t="s">
        <v>50</v>
      </c>
      <c r="V336" s="362" t="s">
        <v>50</v>
      </c>
      <c r="W336" s="362" t="s">
        <v>50</v>
      </c>
      <c r="X336" s="362" t="s">
        <v>50</v>
      </c>
      <c r="Y336" s="603" t="s">
        <v>124</v>
      </c>
    </row>
    <row r="337" spans="1:25" x14ac:dyDescent="0.25">
      <c r="A337" s="26">
        <v>43703</v>
      </c>
      <c r="B337" s="89" t="s">
        <v>43</v>
      </c>
      <c r="C337" s="89" t="s">
        <v>95</v>
      </c>
      <c r="D337" s="89">
        <v>38.090200000000003</v>
      </c>
      <c r="E337" s="89">
        <v>-121.57244</v>
      </c>
      <c r="F337" s="89" t="s">
        <v>3794</v>
      </c>
      <c r="G337" s="89" t="s">
        <v>46</v>
      </c>
      <c r="H337" s="89" t="s">
        <v>115</v>
      </c>
      <c r="I337" s="602">
        <v>0.35486111111111113</v>
      </c>
      <c r="J337" s="82">
        <v>962.75</v>
      </c>
      <c r="K337" s="82">
        <v>25.35</v>
      </c>
      <c r="L337" s="82">
        <v>6.67</v>
      </c>
      <c r="M337" s="82">
        <v>1.2524999999999999</v>
      </c>
      <c r="N337" s="82">
        <v>10.175000000000001</v>
      </c>
      <c r="O337" s="89" t="s">
        <v>48</v>
      </c>
      <c r="P337" s="89">
        <v>4</v>
      </c>
      <c r="Q337" s="89">
        <v>10</v>
      </c>
      <c r="R337" s="89" t="s">
        <v>49</v>
      </c>
      <c r="S337" s="89" t="s">
        <v>50</v>
      </c>
      <c r="T337" s="89" t="s">
        <v>50</v>
      </c>
      <c r="U337" s="89" t="s">
        <v>50</v>
      </c>
      <c r="V337" s="89" t="s">
        <v>50</v>
      </c>
      <c r="W337" s="89" t="s">
        <v>50</v>
      </c>
      <c r="X337" s="89" t="s">
        <v>50</v>
      </c>
    </row>
    <row r="338" spans="1:25" x14ac:dyDescent="0.25">
      <c r="A338" s="26">
        <v>43703</v>
      </c>
      <c r="B338" s="89" t="s">
        <v>43</v>
      </c>
      <c r="C338" s="89" t="s">
        <v>95</v>
      </c>
      <c r="D338" s="89">
        <v>38.101550000000003</v>
      </c>
      <c r="E338" s="89">
        <v>-121.61645</v>
      </c>
      <c r="F338" s="89" t="s">
        <v>3795</v>
      </c>
      <c r="G338" s="89" t="s">
        <v>46</v>
      </c>
      <c r="H338" s="89" t="s">
        <v>908</v>
      </c>
      <c r="I338" s="602">
        <v>0.40208333333333335</v>
      </c>
      <c r="J338" s="82">
        <v>136.5</v>
      </c>
      <c r="K338" s="82">
        <v>23.424999999999997</v>
      </c>
      <c r="L338" s="82">
        <v>4.4800000000000004</v>
      </c>
      <c r="M338" s="82" t="s">
        <v>1233</v>
      </c>
      <c r="N338" s="82">
        <v>7.9</v>
      </c>
      <c r="O338" s="89" t="s">
        <v>48</v>
      </c>
      <c r="P338" s="89">
        <v>4</v>
      </c>
      <c r="Q338" s="89">
        <v>10</v>
      </c>
      <c r="R338" s="89" t="s">
        <v>49</v>
      </c>
      <c r="S338" s="89" t="s">
        <v>50</v>
      </c>
      <c r="T338" s="89" t="s">
        <v>50</v>
      </c>
      <c r="U338" s="89" t="s">
        <v>50</v>
      </c>
      <c r="V338" s="89" t="s">
        <v>50</v>
      </c>
      <c r="W338" s="89" t="s">
        <v>50</v>
      </c>
      <c r="X338" s="89" t="s">
        <v>50</v>
      </c>
    </row>
    <row r="339" spans="1:25" x14ac:dyDescent="0.25">
      <c r="A339" s="26">
        <v>43703</v>
      </c>
      <c r="B339" s="89" t="s">
        <v>43</v>
      </c>
      <c r="C339" s="89" t="s">
        <v>95</v>
      </c>
      <c r="D339" s="89">
        <v>38.073979999999999</v>
      </c>
      <c r="E339" s="89">
        <v>-121.67901999999999</v>
      </c>
      <c r="F339" s="89" t="s">
        <v>3796</v>
      </c>
      <c r="G339" s="89" t="s">
        <v>46</v>
      </c>
      <c r="H339" s="89" t="s">
        <v>908</v>
      </c>
      <c r="I339" s="602">
        <v>0.46180555555555558</v>
      </c>
      <c r="J339" s="82">
        <v>165.67500000000001</v>
      </c>
      <c r="K339" s="82">
        <v>23.675000000000001</v>
      </c>
      <c r="L339" s="82">
        <v>6.23</v>
      </c>
      <c r="M339" s="82">
        <v>1.6</v>
      </c>
      <c r="N339" s="82">
        <v>7.5750000000000002</v>
      </c>
      <c r="O339" s="89" t="s">
        <v>48</v>
      </c>
      <c r="P339" s="89">
        <v>4</v>
      </c>
      <c r="Q339" s="89">
        <v>10</v>
      </c>
      <c r="R339" s="89" t="s">
        <v>49</v>
      </c>
      <c r="S339" s="89" t="s">
        <v>50</v>
      </c>
      <c r="T339" s="89" t="s">
        <v>50</v>
      </c>
      <c r="U339" s="89" t="s">
        <v>50</v>
      </c>
      <c r="V339" s="89" t="s">
        <v>50</v>
      </c>
      <c r="W339" s="89" t="s">
        <v>50</v>
      </c>
      <c r="X339" s="89" t="s">
        <v>50</v>
      </c>
    </row>
    <row r="340" spans="1:25" x14ac:dyDescent="0.25">
      <c r="A340" s="26">
        <v>43703</v>
      </c>
      <c r="B340" s="89" t="s">
        <v>43</v>
      </c>
      <c r="C340" s="89" t="s">
        <v>118</v>
      </c>
      <c r="D340" s="89">
        <v>38.024839999999998</v>
      </c>
      <c r="E340" s="89">
        <v>-122.29689999999999</v>
      </c>
      <c r="F340" s="89" t="s">
        <v>3797</v>
      </c>
      <c r="G340" s="89" t="s">
        <v>80</v>
      </c>
      <c r="H340" s="89" t="s">
        <v>123</v>
      </c>
      <c r="I340" s="602">
        <v>0.57152777777777775</v>
      </c>
      <c r="J340" s="82">
        <v>30719.25</v>
      </c>
      <c r="K340" s="82">
        <v>22.074999999999999</v>
      </c>
      <c r="L340" s="82">
        <v>18.049999999999997</v>
      </c>
      <c r="M340" s="82">
        <v>0.72250000000000003</v>
      </c>
      <c r="N340" s="82">
        <v>2.9000000000000004</v>
      </c>
      <c r="O340" s="89" t="s">
        <v>48</v>
      </c>
      <c r="P340" s="89">
        <v>4</v>
      </c>
      <c r="Q340" s="89">
        <v>10</v>
      </c>
      <c r="R340" s="89" t="s">
        <v>49</v>
      </c>
      <c r="S340" s="89" t="s">
        <v>50</v>
      </c>
      <c r="T340" s="89" t="s">
        <v>50</v>
      </c>
      <c r="U340" s="89" t="s">
        <v>50</v>
      </c>
      <c r="V340" s="89" t="s">
        <v>50</v>
      </c>
      <c r="W340" s="89" t="s">
        <v>50</v>
      </c>
      <c r="X340" s="89" t="s">
        <v>50</v>
      </c>
    </row>
    <row r="341" spans="1:25" x14ac:dyDescent="0.25">
      <c r="A341" s="26">
        <v>43703</v>
      </c>
      <c r="B341" s="89" t="s">
        <v>43</v>
      </c>
      <c r="C341" s="89" t="s">
        <v>118</v>
      </c>
      <c r="D341" s="89">
        <v>38.053199999999997</v>
      </c>
      <c r="E341" s="89">
        <v>-122.28567</v>
      </c>
      <c r="F341" s="89" t="s">
        <v>3798</v>
      </c>
      <c r="G341" s="89" t="s">
        <v>80</v>
      </c>
      <c r="H341" s="89" t="s">
        <v>123</v>
      </c>
      <c r="I341" s="602">
        <v>0.44375000000000003</v>
      </c>
      <c r="J341" s="82">
        <v>26842.5</v>
      </c>
      <c r="K341" s="82">
        <v>21.5</v>
      </c>
      <c r="L341" s="82">
        <v>15.049999999999999</v>
      </c>
      <c r="M341" s="82">
        <v>0.77249999999999996</v>
      </c>
      <c r="N341" s="82">
        <v>11.7</v>
      </c>
      <c r="O341" s="89" t="s">
        <v>48</v>
      </c>
      <c r="P341" s="89">
        <v>4</v>
      </c>
      <c r="Q341" s="89">
        <v>10</v>
      </c>
      <c r="R341" s="89" t="s">
        <v>64</v>
      </c>
      <c r="S341" s="89" t="s">
        <v>50</v>
      </c>
      <c r="T341" s="89" t="s">
        <v>50</v>
      </c>
      <c r="U341" s="89" t="s">
        <v>50</v>
      </c>
      <c r="V341" s="89" t="s">
        <v>50</v>
      </c>
      <c r="W341" s="89" t="s">
        <v>50</v>
      </c>
      <c r="X341" s="89" t="s">
        <v>50</v>
      </c>
    </row>
    <row r="342" spans="1:25" s="206" customFormat="1" x14ac:dyDescent="0.25">
      <c r="A342" s="645">
        <v>43703</v>
      </c>
      <c r="B342" s="206" t="s">
        <v>43</v>
      </c>
      <c r="C342" s="206" t="s">
        <v>118</v>
      </c>
      <c r="D342" s="224">
        <v>38.070619999999998</v>
      </c>
      <c r="E342" s="206">
        <v>-122.3293</v>
      </c>
      <c r="F342" s="206" t="s">
        <v>3799</v>
      </c>
      <c r="G342" s="206" t="s">
        <v>80</v>
      </c>
      <c r="H342" s="206" t="s">
        <v>123</v>
      </c>
      <c r="I342" s="613">
        <v>0.50069444444444444</v>
      </c>
      <c r="J342" s="208">
        <v>29178</v>
      </c>
      <c r="K342" s="208">
        <v>21.274999999999999</v>
      </c>
      <c r="L342" s="208">
        <v>17.125</v>
      </c>
      <c r="M342" s="208">
        <v>0.70750000000000002</v>
      </c>
      <c r="N342" s="208">
        <v>2.95</v>
      </c>
      <c r="O342" s="206" t="s">
        <v>48</v>
      </c>
      <c r="P342" s="206">
        <v>4</v>
      </c>
      <c r="Q342" s="206">
        <v>10</v>
      </c>
      <c r="R342" s="206" t="s">
        <v>64</v>
      </c>
      <c r="S342" s="206" t="s">
        <v>31</v>
      </c>
      <c r="T342" s="206">
        <v>1</v>
      </c>
      <c r="U342" s="206">
        <v>98</v>
      </c>
      <c r="V342" s="206" t="s">
        <v>66</v>
      </c>
      <c r="W342" s="206" t="s">
        <v>50</v>
      </c>
      <c r="X342" s="206" t="s">
        <v>50</v>
      </c>
      <c r="Y342" s="605" t="s">
        <v>3800</v>
      </c>
    </row>
    <row r="343" spans="1:25" x14ac:dyDescent="0.25">
      <c r="A343" s="26">
        <v>43703</v>
      </c>
      <c r="B343" s="89" t="s">
        <v>43</v>
      </c>
      <c r="C343" s="98" t="s">
        <v>118</v>
      </c>
      <c r="D343" s="98">
        <v>38.054110000000001</v>
      </c>
      <c r="E343" s="98">
        <v>-122.18837000000001</v>
      </c>
      <c r="F343" s="98" t="s">
        <v>3801</v>
      </c>
      <c r="G343" s="98" t="s">
        <v>80</v>
      </c>
      <c r="H343" s="98" t="s">
        <v>3332</v>
      </c>
      <c r="I343" s="602">
        <v>0.38125000000000003</v>
      </c>
      <c r="J343" s="100">
        <v>17310.5</v>
      </c>
      <c r="K343" s="100">
        <v>21.7</v>
      </c>
      <c r="L343" s="100">
        <v>25.574999999999996</v>
      </c>
      <c r="M343" s="100">
        <v>0.50249999999999995</v>
      </c>
      <c r="N343" s="100">
        <v>17.425000000000001</v>
      </c>
      <c r="O343" s="98" t="s">
        <v>48</v>
      </c>
      <c r="P343" s="98">
        <v>4</v>
      </c>
      <c r="Q343" s="98">
        <v>10</v>
      </c>
      <c r="R343" s="89" t="s">
        <v>64</v>
      </c>
      <c r="S343" s="89" t="s">
        <v>50</v>
      </c>
      <c r="T343" s="89" t="s">
        <v>50</v>
      </c>
      <c r="U343" s="89" t="s">
        <v>50</v>
      </c>
      <c r="V343" s="89" t="s">
        <v>50</v>
      </c>
      <c r="W343" s="89" t="s">
        <v>50</v>
      </c>
      <c r="X343" s="89" t="s">
        <v>50</v>
      </c>
    </row>
    <row r="344" spans="1:25" x14ac:dyDescent="0.25">
      <c r="A344" s="26">
        <v>43703</v>
      </c>
      <c r="B344" s="89" t="s">
        <v>43</v>
      </c>
      <c r="C344" s="89" t="s">
        <v>106</v>
      </c>
      <c r="D344" s="89">
        <v>38.534289999999999</v>
      </c>
      <c r="E344" s="89">
        <v>-121.58452</v>
      </c>
      <c r="F344" s="89" t="s">
        <v>3802</v>
      </c>
      <c r="G344" s="89" t="s">
        <v>90</v>
      </c>
      <c r="H344" s="89" t="s">
        <v>1787</v>
      </c>
      <c r="I344" s="602">
        <v>0.35486111111111113</v>
      </c>
      <c r="J344" s="82">
        <v>962.75</v>
      </c>
      <c r="K344" s="82">
        <v>25.35</v>
      </c>
      <c r="L344" s="82">
        <v>6.67</v>
      </c>
      <c r="M344" s="82">
        <v>1.2524999999999999</v>
      </c>
      <c r="N344" s="82">
        <v>10.175000000000001</v>
      </c>
      <c r="O344" s="89" t="s">
        <v>48</v>
      </c>
      <c r="P344" s="89">
        <v>4</v>
      </c>
      <c r="Q344" s="89">
        <v>10</v>
      </c>
      <c r="R344" s="89" t="s">
        <v>49</v>
      </c>
      <c r="S344" s="89" t="s">
        <v>50</v>
      </c>
      <c r="T344" s="89" t="s">
        <v>50</v>
      </c>
      <c r="U344" s="89" t="s">
        <v>50</v>
      </c>
      <c r="V344" s="89" t="s">
        <v>50</v>
      </c>
      <c r="W344" s="89" t="s">
        <v>50</v>
      </c>
      <c r="X344" s="89" t="s">
        <v>50</v>
      </c>
    </row>
    <row r="345" spans="1:25" x14ac:dyDescent="0.25">
      <c r="A345" s="26">
        <v>43703</v>
      </c>
      <c r="B345" s="89" t="s">
        <v>43</v>
      </c>
      <c r="C345" s="89" t="s">
        <v>106</v>
      </c>
      <c r="D345" s="89">
        <v>38.563670000000002</v>
      </c>
      <c r="E345" s="89">
        <v>-121.55313</v>
      </c>
      <c r="F345" s="89" t="s">
        <v>3803</v>
      </c>
      <c r="G345" s="89" t="s">
        <v>90</v>
      </c>
      <c r="H345" s="89" t="s">
        <v>1787</v>
      </c>
      <c r="I345" s="602">
        <v>0.41180555555555554</v>
      </c>
      <c r="J345" s="82">
        <v>968.5</v>
      </c>
      <c r="K345" s="82">
        <v>26.550000000000004</v>
      </c>
      <c r="L345" s="82">
        <v>2.79</v>
      </c>
      <c r="M345" s="82" t="s">
        <v>1233</v>
      </c>
      <c r="N345" s="82">
        <v>10.225</v>
      </c>
      <c r="O345" s="89" t="s">
        <v>48</v>
      </c>
      <c r="P345" s="89">
        <v>4</v>
      </c>
      <c r="Q345" s="89">
        <v>10</v>
      </c>
      <c r="R345" s="89" t="s">
        <v>49</v>
      </c>
      <c r="S345" s="89" t="s">
        <v>50</v>
      </c>
      <c r="T345" s="89" t="s">
        <v>50</v>
      </c>
      <c r="U345" s="89" t="s">
        <v>50</v>
      </c>
      <c r="V345" s="89" t="s">
        <v>50</v>
      </c>
      <c r="W345" s="89" t="s">
        <v>50</v>
      </c>
      <c r="X345" s="89" t="s">
        <v>50</v>
      </c>
    </row>
    <row r="346" spans="1:25" x14ac:dyDescent="0.25">
      <c r="A346" s="26">
        <v>43703</v>
      </c>
      <c r="B346" s="89" t="s">
        <v>43</v>
      </c>
      <c r="C346" s="89" t="s">
        <v>106</v>
      </c>
      <c r="D346" s="89">
        <v>38.556330000000003</v>
      </c>
      <c r="E346" s="89">
        <v>-121.57389999999999</v>
      </c>
      <c r="F346" s="89" t="s">
        <v>3804</v>
      </c>
      <c r="G346" s="89" t="s">
        <v>90</v>
      </c>
      <c r="H346" s="89" t="s">
        <v>1787</v>
      </c>
      <c r="I346" s="602">
        <v>0.46180555555555558</v>
      </c>
      <c r="J346" s="82">
        <v>996.5</v>
      </c>
      <c r="K346" s="82">
        <v>26.175000000000001</v>
      </c>
      <c r="L346" s="82">
        <v>3.165</v>
      </c>
      <c r="M346" s="82">
        <v>1.7650000000000001</v>
      </c>
      <c r="N346" s="82">
        <v>10.100000000000001</v>
      </c>
      <c r="O346" s="89" t="s">
        <v>48</v>
      </c>
      <c r="P346" s="89">
        <v>4</v>
      </c>
      <c r="Q346" s="89">
        <v>10</v>
      </c>
      <c r="R346" s="89" t="s">
        <v>49</v>
      </c>
      <c r="S346" s="89" t="s">
        <v>50</v>
      </c>
      <c r="T346" s="89" t="s">
        <v>50</v>
      </c>
      <c r="U346" s="89" t="s">
        <v>50</v>
      </c>
      <c r="V346" s="89" t="s">
        <v>50</v>
      </c>
      <c r="W346" s="89" t="s">
        <v>50</v>
      </c>
      <c r="X346" s="89" t="s">
        <v>50</v>
      </c>
    </row>
    <row r="347" spans="1:25" s="98" customFormat="1" x14ac:dyDescent="0.25">
      <c r="A347" s="194">
        <v>43703</v>
      </c>
      <c r="B347" s="98" t="s">
        <v>43</v>
      </c>
      <c r="C347" s="98" t="s">
        <v>106</v>
      </c>
      <c r="D347" s="98">
        <v>38.546289999999999</v>
      </c>
      <c r="E347" s="98">
        <v>-121.58235000000001</v>
      </c>
      <c r="F347" s="98" t="s">
        <v>3805</v>
      </c>
      <c r="G347" s="98" t="s">
        <v>90</v>
      </c>
      <c r="H347" s="98" t="s">
        <v>1787</v>
      </c>
      <c r="I347" s="621">
        <v>0.51111111111111118</v>
      </c>
      <c r="J347" s="100">
        <v>980.5</v>
      </c>
      <c r="K347" s="100">
        <v>26.3</v>
      </c>
      <c r="L347" s="100">
        <v>4.9399999999999995</v>
      </c>
      <c r="M347" s="100">
        <v>1.4</v>
      </c>
      <c r="N347" s="100">
        <v>9.5749999999999993</v>
      </c>
      <c r="O347" s="98" t="s">
        <v>48</v>
      </c>
      <c r="P347" s="98">
        <v>4</v>
      </c>
      <c r="Q347" s="98">
        <v>10</v>
      </c>
      <c r="R347" s="98" t="s">
        <v>49</v>
      </c>
      <c r="S347" s="98" t="s">
        <v>50</v>
      </c>
      <c r="T347" s="98" t="s">
        <v>50</v>
      </c>
      <c r="U347" s="98" t="s">
        <v>50</v>
      </c>
      <c r="V347" s="98" t="s">
        <v>50</v>
      </c>
      <c r="W347" s="98" t="s">
        <v>50</v>
      </c>
      <c r="X347" s="98" t="s">
        <v>50</v>
      </c>
      <c r="Y347" s="622"/>
    </row>
    <row r="348" spans="1:25" x14ac:dyDescent="0.25">
      <c r="A348" s="26">
        <v>43704</v>
      </c>
      <c r="B348" s="89" t="s">
        <v>70</v>
      </c>
      <c r="C348" s="89" t="s">
        <v>88</v>
      </c>
      <c r="D348" s="89">
        <v>38.075029999999998</v>
      </c>
      <c r="E348" s="85">
        <v>-121.75745999999999</v>
      </c>
      <c r="F348" s="89" t="s">
        <v>3806</v>
      </c>
      <c r="G348" s="89" t="s">
        <v>27</v>
      </c>
      <c r="H348" s="89" t="s">
        <v>25</v>
      </c>
      <c r="I348" s="602">
        <v>0.3430555555555555</v>
      </c>
      <c r="J348" s="82">
        <v>155.97500000000002</v>
      </c>
      <c r="K348" s="82">
        <v>22.625000000000004</v>
      </c>
      <c r="L348" s="82">
        <v>13.324999999999999</v>
      </c>
      <c r="M348" s="82">
        <v>0.75750000000000006</v>
      </c>
      <c r="N348" s="82">
        <v>6.0175000000000001</v>
      </c>
      <c r="O348" s="89" t="s">
        <v>48</v>
      </c>
      <c r="P348" s="89">
        <v>4</v>
      </c>
      <c r="Q348" s="89">
        <v>10</v>
      </c>
      <c r="R348" s="89" t="s">
        <v>49</v>
      </c>
      <c r="S348" s="89" t="s">
        <v>50</v>
      </c>
      <c r="T348" s="89" t="s">
        <v>50</v>
      </c>
      <c r="U348" s="89" t="s">
        <v>50</v>
      </c>
      <c r="V348" s="89" t="s">
        <v>50</v>
      </c>
      <c r="W348" s="89" t="s">
        <v>50</v>
      </c>
      <c r="X348" s="89" t="s">
        <v>50</v>
      </c>
    </row>
    <row r="349" spans="1:25" x14ac:dyDescent="0.25">
      <c r="A349" s="26">
        <v>43704</v>
      </c>
      <c r="B349" s="89" t="s">
        <v>70</v>
      </c>
      <c r="C349" s="89" t="s">
        <v>88</v>
      </c>
      <c r="D349" s="89">
        <v>38.165019999999998</v>
      </c>
      <c r="E349" s="85">
        <v>-121.67935</v>
      </c>
      <c r="F349" s="89" t="s">
        <v>3807</v>
      </c>
      <c r="G349" s="89" t="s">
        <v>90</v>
      </c>
      <c r="H349" s="89" t="s">
        <v>91</v>
      </c>
      <c r="I349" s="602">
        <v>0.48055555555555557</v>
      </c>
      <c r="J349" s="82">
        <v>138.92500000000001</v>
      </c>
      <c r="K349" s="82">
        <v>22.424999999999997</v>
      </c>
      <c r="L349" s="82">
        <v>5.4675000000000002</v>
      </c>
      <c r="M349" s="82">
        <v>1.48</v>
      </c>
      <c r="N349" s="82">
        <v>9.8249999999999993</v>
      </c>
      <c r="O349" s="89" t="s">
        <v>48</v>
      </c>
      <c r="P349" s="89">
        <v>4</v>
      </c>
      <c r="Q349" s="89">
        <v>10</v>
      </c>
      <c r="R349" s="89" t="s">
        <v>49</v>
      </c>
      <c r="S349" s="89" t="s">
        <v>50</v>
      </c>
      <c r="T349" s="89" t="s">
        <v>50</v>
      </c>
      <c r="U349" s="89" t="s">
        <v>50</v>
      </c>
      <c r="V349" s="89" t="s">
        <v>50</v>
      </c>
      <c r="W349" s="89" t="s">
        <v>50</v>
      </c>
      <c r="X349" s="89" t="s">
        <v>50</v>
      </c>
    </row>
    <row r="350" spans="1:25" x14ac:dyDescent="0.25">
      <c r="A350" s="26">
        <v>43704</v>
      </c>
      <c r="B350" s="89" t="s">
        <v>70</v>
      </c>
      <c r="C350" s="89" t="s">
        <v>88</v>
      </c>
      <c r="D350" s="89">
        <v>38.106720000000003</v>
      </c>
      <c r="E350" s="85">
        <v>-121.71541999999999</v>
      </c>
      <c r="F350" s="89" t="s">
        <v>3808</v>
      </c>
      <c r="G350" s="89" t="s">
        <v>90</v>
      </c>
      <c r="H350" s="89" t="s">
        <v>91</v>
      </c>
      <c r="I350" s="602">
        <v>0.39513888888888887</v>
      </c>
      <c r="J350" s="82">
        <v>133.77500000000001</v>
      </c>
      <c r="K350" s="82">
        <v>22.4</v>
      </c>
      <c r="L350" s="82">
        <v>9.2350000000000012</v>
      </c>
      <c r="M350" s="82">
        <v>1.2825000000000002</v>
      </c>
      <c r="N350" s="82">
        <v>6.0175000000000001</v>
      </c>
      <c r="O350" s="89" t="s">
        <v>48</v>
      </c>
      <c r="P350" s="89">
        <v>4</v>
      </c>
      <c r="Q350" s="89">
        <v>10</v>
      </c>
      <c r="R350" s="89" t="s">
        <v>49</v>
      </c>
      <c r="S350" s="89" t="s">
        <v>50</v>
      </c>
      <c r="T350" s="89" t="s">
        <v>50</v>
      </c>
      <c r="U350" s="89" t="s">
        <v>50</v>
      </c>
      <c r="V350" s="89" t="s">
        <v>50</v>
      </c>
      <c r="W350" s="89" t="s">
        <v>50</v>
      </c>
      <c r="X350" s="89" t="s">
        <v>50</v>
      </c>
      <c r="Y350" s="600" t="s">
        <v>3809</v>
      </c>
    </row>
    <row r="351" spans="1:25" x14ac:dyDescent="0.25">
      <c r="A351" s="26">
        <v>43704</v>
      </c>
      <c r="B351" s="89" t="s">
        <v>70</v>
      </c>
      <c r="C351" s="89" t="s">
        <v>106</v>
      </c>
      <c r="D351" s="89">
        <v>38.211179999999999</v>
      </c>
      <c r="E351" s="85">
        <v>-121.66433000000001</v>
      </c>
      <c r="F351" s="89" t="s">
        <v>3810</v>
      </c>
      <c r="G351" s="89" t="s">
        <v>90</v>
      </c>
      <c r="H351" s="89" t="s">
        <v>362</v>
      </c>
      <c r="I351" s="602">
        <v>0.31527777777777777</v>
      </c>
      <c r="J351" s="82">
        <v>141.1</v>
      </c>
      <c r="K351" s="82">
        <v>22.3</v>
      </c>
      <c r="L351" s="82">
        <v>5.8599999999999994</v>
      </c>
      <c r="M351" s="82">
        <v>1.7075</v>
      </c>
      <c r="N351" s="82">
        <v>13.35</v>
      </c>
      <c r="O351" s="89" t="s">
        <v>48</v>
      </c>
      <c r="P351" s="89">
        <v>4</v>
      </c>
      <c r="Q351" s="89">
        <v>10</v>
      </c>
      <c r="R351" s="89" t="s">
        <v>49</v>
      </c>
      <c r="S351" s="89" t="s">
        <v>50</v>
      </c>
      <c r="T351" s="89" t="s">
        <v>50</v>
      </c>
      <c r="U351" s="89" t="s">
        <v>50</v>
      </c>
      <c r="V351" s="89" t="s">
        <v>50</v>
      </c>
      <c r="W351" s="89" t="s">
        <v>50</v>
      </c>
      <c r="X351" s="89" t="s">
        <v>50</v>
      </c>
      <c r="Y351" s="600" t="s">
        <v>3811</v>
      </c>
    </row>
    <row r="352" spans="1:25" s="496" customFormat="1" x14ac:dyDescent="0.25">
      <c r="A352" s="495">
        <v>43704</v>
      </c>
      <c r="B352" s="496" t="s">
        <v>70</v>
      </c>
      <c r="C352" s="496" t="s">
        <v>106</v>
      </c>
      <c r="D352" s="496">
        <v>38.429690000000001</v>
      </c>
      <c r="E352" s="620">
        <v>-121.60380000000001</v>
      </c>
      <c r="F352" s="496" t="s">
        <v>3812</v>
      </c>
      <c r="G352" s="496" t="s">
        <v>90</v>
      </c>
      <c r="H352" s="496" t="s">
        <v>362</v>
      </c>
      <c r="I352" s="615">
        <v>0.38472222222222219</v>
      </c>
      <c r="J352" s="498">
        <v>714.75</v>
      </c>
      <c r="K352" s="498">
        <v>24.475000000000001</v>
      </c>
      <c r="L352" s="498">
        <v>19.425000000000004</v>
      </c>
      <c r="M352" s="498">
        <v>0.48249999999999998</v>
      </c>
      <c r="N352" s="498">
        <v>9.5499999999999989</v>
      </c>
      <c r="O352" s="496" t="s">
        <v>48</v>
      </c>
      <c r="P352" s="496">
        <v>4</v>
      </c>
      <c r="Q352" s="496">
        <v>10</v>
      </c>
      <c r="R352" s="496" t="s">
        <v>49</v>
      </c>
      <c r="S352" s="496" t="s">
        <v>323</v>
      </c>
      <c r="T352" s="496">
        <v>1</v>
      </c>
      <c r="U352" s="496">
        <v>38</v>
      </c>
      <c r="V352" s="496" t="s">
        <v>50</v>
      </c>
      <c r="W352" s="496" t="s">
        <v>50</v>
      </c>
      <c r="X352" s="496" t="s">
        <v>50</v>
      </c>
      <c r="Y352" s="601" t="s">
        <v>3813</v>
      </c>
    </row>
    <row r="353" spans="1:25" x14ac:dyDescent="0.25">
      <c r="A353" s="194">
        <v>43704</v>
      </c>
      <c r="B353" s="98" t="s">
        <v>70</v>
      </c>
      <c r="C353" s="98" t="s">
        <v>106</v>
      </c>
      <c r="D353" s="98">
        <v>38.291899999999998</v>
      </c>
      <c r="E353" s="623">
        <v>-121.65697</v>
      </c>
      <c r="F353" s="98" t="s">
        <v>3814</v>
      </c>
      <c r="G353" s="98" t="s">
        <v>90</v>
      </c>
      <c r="H353" s="98" t="s">
        <v>362</v>
      </c>
      <c r="I353" s="621">
        <v>0.45208333333333334</v>
      </c>
      <c r="J353" s="100">
        <v>301</v>
      </c>
      <c r="K353" s="100">
        <v>24.03</v>
      </c>
      <c r="L353" s="100">
        <v>10.325000000000001</v>
      </c>
      <c r="M353" s="100">
        <v>0.875</v>
      </c>
      <c r="N353" s="100">
        <v>7.5250000000000004</v>
      </c>
      <c r="O353" s="98" t="s">
        <v>48</v>
      </c>
      <c r="P353" s="98">
        <v>4</v>
      </c>
      <c r="Q353" s="98">
        <v>10</v>
      </c>
      <c r="R353" s="98" t="s">
        <v>49</v>
      </c>
      <c r="S353" s="98" t="s">
        <v>50</v>
      </c>
      <c r="T353" s="98" t="s">
        <v>50</v>
      </c>
      <c r="U353" s="98" t="s">
        <v>50</v>
      </c>
      <c r="V353" s="98" t="s">
        <v>50</v>
      </c>
      <c r="W353" s="98" t="s">
        <v>50</v>
      </c>
      <c r="X353" s="98" t="s">
        <v>50</v>
      </c>
      <c r="Y353" s="622"/>
    </row>
    <row r="354" spans="1:25" x14ac:dyDescent="0.25">
      <c r="A354" s="26">
        <v>43704</v>
      </c>
      <c r="B354" s="89" t="s">
        <v>70</v>
      </c>
      <c r="C354" s="89" t="s">
        <v>78</v>
      </c>
      <c r="D354" s="89">
        <v>38.035209999999999</v>
      </c>
      <c r="E354" s="85">
        <v>-122.1292</v>
      </c>
      <c r="F354" s="89" t="s">
        <v>3815</v>
      </c>
      <c r="G354" s="89" t="s">
        <v>80</v>
      </c>
      <c r="H354" s="89" t="s">
        <v>81</v>
      </c>
      <c r="I354" s="602">
        <v>0.31597222222222221</v>
      </c>
      <c r="J354" s="624">
        <v>13102</v>
      </c>
      <c r="K354" s="100">
        <v>22</v>
      </c>
      <c r="L354" s="100">
        <v>37.869999999999997</v>
      </c>
      <c r="M354" s="100">
        <v>0.42249999999999999</v>
      </c>
      <c r="N354" s="100">
        <v>18.399999999999999</v>
      </c>
      <c r="O354" s="89" t="s">
        <v>48</v>
      </c>
      <c r="P354" s="89">
        <v>4</v>
      </c>
      <c r="Q354" s="89">
        <v>10</v>
      </c>
      <c r="R354" s="89" t="s">
        <v>49</v>
      </c>
      <c r="S354" s="89" t="s">
        <v>50</v>
      </c>
      <c r="T354" s="89" t="s">
        <v>50</v>
      </c>
      <c r="U354" s="89" t="s">
        <v>50</v>
      </c>
      <c r="V354" s="89" t="s">
        <v>50</v>
      </c>
      <c r="W354" s="89" t="s">
        <v>50</v>
      </c>
      <c r="X354" s="89" t="s">
        <v>50</v>
      </c>
    </row>
    <row r="355" spans="1:25" x14ac:dyDescent="0.25">
      <c r="A355" s="26">
        <v>43704</v>
      </c>
      <c r="B355" s="89" t="s">
        <v>70</v>
      </c>
      <c r="C355" s="89" t="s">
        <v>78</v>
      </c>
      <c r="D355" s="89">
        <v>38.060160000000003</v>
      </c>
      <c r="E355" s="85">
        <v>-121.98505</v>
      </c>
      <c r="F355" s="89" t="s">
        <v>3816</v>
      </c>
      <c r="G355" s="89" t="s">
        <v>27</v>
      </c>
      <c r="H355" s="89" t="s">
        <v>86</v>
      </c>
      <c r="I355" s="602">
        <v>0.38125000000000003</v>
      </c>
      <c r="J355" s="610">
        <v>2259.25</v>
      </c>
      <c r="K355" s="82">
        <v>22.35</v>
      </c>
      <c r="L355" s="82">
        <v>27.225000000000001</v>
      </c>
      <c r="M355" s="82">
        <v>0.61</v>
      </c>
      <c r="N355" s="82">
        <v>11.824999999999999</v>
      </c>
      <c r="O355" s="89" t="s">
        <v>48</v>
      </c>
      <c r="P355" s="89">
        <v>4</v>
      </c>
      <c r="Q355" s="89">
        <v>10</v>
      </c>
      <c r="R355" s="89" t="s">
        <v>64</v>
      </c>
      <c r="S355" s="89" t="s">
        <v>50</v>
      </c>
      <c r="T355" s="89" t="s">
        <v>50</v>
      </c>
      <c r="U355" s="89" t="s">
        <v>50</v>
      </c>
      <c r="V355" s="89" t="s">
        <v>50</v>
      </c>
      <c r="W355" s="89" t="s">
        <v>50</v>
      </c>
      <c r="X355" s="89" t="s">
        <v>50</v>
      </c>
      <c r="Y355" s="600" t="s">
        <v>3817</v>
      </c>
    </row>
    <row r="356" spans="1:25" x14ac:dyDescent="0.25">
      <c r="A356" s="194">
        <v>43704</v>
      </c>
      <c r="B356" s="98" t="s">
        <v>70</v>
      </c>
      <c r="C356" s="98" t="s">
        <v>78</v>
      </c>
      <c r="D356" s="98">
        <v>38.06962</v>
      </c>
      <c r="E356" s="623">
        <v>-121.96715</v>
      </c>
      <c r="F356" s="98" t="s">
        <v>3818</v>
      </c>
      <c r="G356" s="98" t="s">
        <v>27</v>
      </c>
      <c r="H356" s="98" t="s">
        <v>170</v>
      </c>
      <c r="I356" s="621">
        <v>0.43402777777777773</v>
      </c>
      <c r="J356" s="624">
        <v>2512.5</v>
      </c>
      <c r="K356" s="100">
        <v>22.375</v>
      </c>
      <c r="L356" s="100">
        <v>32.475000000000001</v>
      </c>
      <c r="M356" s="100">
        <v>0.54249999999999998</v>
      </c>
      <c r="N356" s="100">
        <v>2.9000000000000004</v>
      </c>
      <c r="O356" s="98" t="s">
        <v>48</v>
      </c>
      <c r="P356" s="98">
        <v>4</v>
      </c>
      <c r="Q356" s="98">
        <v>10</v>
      </c>
      <c r="R356" s="98" t="s">
        <v>64</v>
      </c>
      <c r="S356" s="98" t="s">
        <v>50</v>
      </c>
      <c r="T356" s="98" t="s">
        <v>50</v>
      </c>
      <c r="U356" s="98" t="s">
        <v>50</v>
      </c>
      <c r="V356" s="98" t="s">
        <v>50</v>
      </c>
      <c r="W356" s="98" t="s">
        <v>50</v>
      </c>
      <c r="X356" s="98" t="s">
        <v>50</v>
      </c>
      <c r="Y356" s="622"/>
    </row>
    <row r="357" spans="1:25" s="98" customFormat="1" x14ac:dyDescent="0.25">
      <c r="A357" s="194">
        <v>43704</v>
      </c>
      <c r="B357" s="98" t="s">
        <v>70</v>
      </c>
      <c r="C357" s="98" t="s">
        <v>78</v>
      </c>
      <c r="D357" s="98">
        <v>38.043610000000001</v>
      </c>
      <c r="E357" s="623">
        <v>-121.85399</v>
      </c>
      <c r="F357" s="98" t="s">
        <v>3819</v>
      </c>
      <c r="G357" s="98" t="s">
        <v>27</v>
      </c>
      <c r="H357" s="98" t="s">
        <v>101</v>
      </c>
      <c r="I357" s="621">
        <v>0.51527777777777783</v>
      </c>
      <c r="J357" s="624">
        <v>802.75</v>
      </c>
      <c r="K357" s="100">
        <v>22.975000000000001</v>
      </c>
      <c r="L357" s="100">
        <v>21.724999999999998</v>
      </c>
      <c r="M357" s="100">
        <v>0.66249999999999998</v>
      </c>
      <c r="N357" s="100">
        <v>15.25</v>
      </c>
      <c r="O357" s="98" t="s">
        <v>48</v>
      </c>
      <c r="P357" s="98">
        <v>4</v>
      </c>
      <c r="Q357" s="98">
        <v>10</v>
      </c>
      <c r="R357" s="98" t="s">
        <v>64</v>
      </c>
      <c r="S357" s="98" t="s">
        <v>50</v>
      </c>
      <c r="T357" s="98" t="s">
        <v>50</v>
      </c>
      <c r="U357" s="98" t="s">
        <v>50</v>
      </c>
      <c r="V357" s="98" t="s">
        <v>50</v>
      </c>
      <c r="W357" s="98" t="s">
        <v>50</v>
      </c>
      <c r="X357" s="98" t="s">
        <v>50</v>
      </c>
      <c r="Y357" s="622"/>
    </row>
    <row r="358" spans="1:25" x14ac:dyDescent="0.25">
      <c r="A358" s="26">
        <v>43705</v>
      </c>
      <c r="B358" s="89" t="s">
        <v>87</v>
      </c>
      <c r="C358" s="89" t="s">
        <v>126</v>
      </c>
      <c r="D358" s="89">
        <v>38.231610000000003</v>
      </c>
      <c r="E358" s="85">
        <v>-121.67591</v>
      </c>
      <c r="F358" s="89" t="s">
        <v>3820</v>
      </c>
      <c r="G358" s="89" t="s">
        <v>90</v>
      </c>
      <c r="H358" s="89" t="s">
        <v>845</v>
      </c>
      <c r="I358" s="602">
        <v>0.3215277777777778</v>
      </c>
      <c r="J358" s="82">
        <v>141.58000000000001</v>
      </c>
      <c r="K358" s="82">
        <v>22.03</v>
      </c>
      <c r="L358" s="82">
        <v>8.09</v>
      </c>
      <c r="M358" s="82">
        <v>1.61</v>
      </c>
      <c r="N358" s="82">
        <v>17.78</v>
      </c>
      <c r="O358" s="89" t="s">
        <v>48</v>
      </c>
      <c r="P358" s="89">
        <v>4</v>
      </c>
      <c r="Q358" s="89">
        <v>10</v>
      </c>
      <c r="R358" s="89" t="s">
        <v>49</v>
      </c>
      <c r="S358" s="89" t="s">
        <v>50</v>
      </c>
      <c r="T358" s="89" t="s">
        <v>50</v>
      </c>
      <c r="U358" s="89" t="s">
        <v>50</v>
      </c>
      <c r="V358" s="89" t="s">
        <v>50</v>
      </c>
      <c r="W358" s="89" t="s">
        <v>50</v>
      </c>
      <c r="X358" s="89" t="s">
        <v>50</v>
      </c>
    </row>
    <row r="359" spans="1:25" x14ac:dyDescent="0.25">
      <c r="A359" s="26">
        <v>43705</v>
      </c>
      <c r="B359" s="89" t="s">
        <v>87</v>
      </c>
      <c r="C359" s="89" t="s">
        <v>126</v>
      </c>
      <c r="D359" s="89">
        <v>38.260359999999999</v>
      </c>
      <c r="E359" s="85">
        <v>-121.669</v>
      </c>
      <c r="F359" s="89" t="s">
        <v>3821</v>
      </c>
      <c r="G359" s="89" t="s">
        <v>90</v>
      </c>
      <c r="H359" s="89" t="s">
        <v>845</v>
      </c>
      <c r="I359" s="602">
        <v>0.37222222222222223</v>
      </c>
      <c r="J359" s="82">
        <v>154.28</v>
      </c>
      <c r="K359" s="82">
        <v>22.4</v>
      </c>
      <c r="L359" s="82">
        <v>9.89</v>
      </c>
      <c r="M359" s="82">
        <v>1.05</v>
      </c>
      <c r="N359" s="82">
        <v>4.2300000000000004</v>
      </c>
      <c r="O359" s="89" t="s">
        <v>48</v>
      </c>
      <c r="P359" s="89">
        <v>4</v>
      </c>
      <c r="Q359" s="89">
        <v>10</v>
      </c>
      <c r="R359" s="89" t="s">
        <v>49</v>
      </c>
      <c r="S359" s="89" t="s">
        <v>50</v>
      </c>
      <c r="T359" s="89" t="s">
        <v>50</v>
      </c>
      <c r="U359" s="89" t="s">
        <v>50</v>
      </c>
      <c r="V359" s="89" t="s">
        <v>50</v>
      </c>
      <c r="W359" s="89" t="s">
        <v>50</v>
      </c>
      <c r="X359" s="89" t="s">
        <v>50</v>
      </c>
    </row>
    <row r="360" spans="1:25" x14ac:dyDescent="0.25">
      <c r="A360" s="26">
        <v>43705</v>
      </c>
      <c r="B360" s="89" t="s">
        <v>87</v>
      </c>
      <c r="C360" s="89" t="s">
        <v>126</v>
      </c>
      <c r="D360" s="89">
        <v>38.027009999999997</v>
      </c>
      <c r="E360" s="85">
        <v>-121.70187</v>
      </c>
      <c r="F360" s="89" t="s">
        <v>3822</v>
      </c>
      <c r="G360" s="89" t="s">
        <v>90</v>
      </c>
      <c r="H360" s="89" t="s">
        <v>845</v>
      </c>
      <c r="I360" s="602">
        <v>0.42777777777777781</v>
      </c>
      <c r="J360" s="82">
        <v>152</v>
      </c>
      <c r="K360" s="82">
        <v>22.13</v>
      </c>
      <c r="L360" s="82">
        <v>3.99</v>
      </c>
      <c r="M360" s="82" t="s">
        <v>1233</v>
      </c>
      <c r="N360" s="82">
        <v>3.45</v>
      </c>
      <c r="O360" s="89" t="s">
        <v>48</v>
      </c>
      <c r="P360" s="89">
        <v>4</v>
      </c>
      <c r="Q360" s="89">
        <v>10</v>
      </c>
      <c r="R360" s="89" t="s">
        <v>49</v>
      </c>
      <c r="S360" s="89" t="s">
        <v>50</v>
      </c>
      <c r="T360" s="89" t="s">
        <v>50</v>
      </c>
      <c r="U360" s="89" t="s">
        <v>50</v>
      </c>
      <c r="V360" s="89" t="s">
        <v>50</v>
      </c>
      <c r="W360" s="89" t="s">
        <v>50</v>
      </c>
      <c r="X360" s="89" t="s">
        <v>50</v>
      </c>
      <c r="Y360" s="600" t="s">
        <v>3823</v>
      </c>
    </row>
    <row r="361" spans="1:25" s="150" customFormat="1" x14ac:dyDescent="0.25">
      <c r="A361" s="178">
        <v>43705</v>
      </c>
      <c r="B361" s="150" t="s">
        <v>87</v>
      </c>
      <c r="C361" s="150" t="s">
        <v>88</v>
      </c>
      <c r="D361" s="150">
        <v>38.02684</v>
      </c>
      <c r="E361" s="150">
        <v>-121.81032999999999</v>
      </c>
      <c r="F361" s="150" t="s">
        <v>3824</v>
      </c>
      <c r="G361" s="150" t="s">
        <v>27</v>
      </c>
      <c r="H361" s="150" t="s">
        <v>25</v>
      </c>
      <c r="I361" s="614">
        <v>0.34097222222222223</v>
      </c>
      <c r="J361" s="150" t="s">
        <v>50</v>
      </c>
      <c r="K361" s="150" t="s">
        <v>50</v>
      </c>
      <c r="L361" s="150" t="s">
        <v>50</v>
      </c>
      <c r="M361" s="150" t="s">
        <v>50</v>
      </c>
      <c r="N361" s="150" t="s">
        <v>50</v>
      </c>
      <c r="O361" s="150" t="s">
        <v>48</v>
      </c>
      <c r="P361" s="150">
        <v>0</v>
      </c>
      <c r="Q361" s="150" t="s">
        <v>50</v>
      </c>
      <c r="R361" s="150" t="s">
        <v>50</v>
      </c>
      <c r="S361" s="150" t="s">
        <v>50</v>
      </c>
      <c r="T361" s="150" t="s">
        <v>50</v>
      </c>
      <c r="U361" s="150" t="s">
        <v>50</v>
      </c>
      <c r="V361" s="150" t="s">
        <v>50</v>
      </c>
      <c r="W361" s="150" t="s">
        <v>50</v>
      </c>
      <c r="X361" s="150" t="s">
        <v>50</v>
      </c>
      <c r="Y361" s="604" t="s">
        <v>3825</v>
      </c>
    </row>
    <row r="362" spans="1:25" x14ac:dyDescent="0.25">
      <c r="A362" s="26">
        <v>43705</v>
      </c>
      <c r="B362" s="89" t="s">
        <v>87</v>
      </c>
      <c r="C362" s="89" t="s">
        <v>88</v>
      </c>
      <c r="D362" s="89">
        <v>38.084130000000002</v>
      </c>
      <c r="E362" s="85">
        <v>-121.73708000000001</v>
      </c>
      <c r="F362" s="89" t="s">
        <v>3826</v>
      </c>
      <c r="G362" s="89" t="s">
        <v>90</v>
      </c>
      <c r="H362" s="89" t="s">
        <v>91</v>
      </c>
      <c r="I362" s="602">
        <v>0.375</v>
      </c>
      <c r="J362" s="82">
        <v>145.75</v>
      </c>
      <c r="K362" s="82">
        <v>22.5</v>
      </c>
      <c r="L362" s="82">
        <v>11.93</v>
      </c>
      <c r="M362" s="82">
        <v>1.07</v>
      </c>
      <c r="N362" s="82">
        <v>6.43</v>
      </c>
      <c r="O362" s="89" t="s">
        <v>48</v>
      </c>
      <c r="P362" s="89">
        <v>4</v>
      </c>
      <c r="Q362" s="89">
        <v>10</v>
      </c>
      <c r="R362" s="89" t="s">
        <v>49</v>
      </c>
      <c r="S362" s="89" t="s">
        <v>50</v>
      </c>
      <c r="T362" s="89" t="s">
        <v>50</v>
      </c>
      <c r="U362" s="89" t="s">
        <v>50</v>
      </c>
      <c r="V362" s="89" t="s">
        <v>50</v>
      </c>
      <c r="W362" s="89" t="s">
        <v>50</v>
      </c>
      <c r="X362" s="89" t="s">
        <v>50</v>
      </c>
    </row>
    <row r="363" spans="1:25" x14ac:dyDescent="0.25">
      <c r="A363" s="26">
        <v>43705</v>
      </c>
      <c r="B363" s="89" t="s">
        <v>87</v>
      </c>
      <c r="C363" s="89" t="s">
        <v>88</v>
      </c>
      <c r="D363" s="89">
        <v>38.095359999999999</v>
      </c>
      <c r="E363" s="85">
        <v>-121.72953</v>
      </c>
      <c r="F363" s="89" t="s">
        <v>3827</v>
      </c>
      <c r="G363" s="89" t="s">
        <v>90</v>
      </c>
      <c r="H363" s="89" t="s">
        <v>91</v>
      </c>
      <c r="I363" s="602">
        <v>0.42777777777777781</v>
      </c>
      <c r="J363" s="82">
        <v>141.38</v>
      </c>
      <c r="K363" s="82">
        <v>22.3</v>
      </c>
      <c r="L363" s="82">
        <v>10.32</v>
      </c>
      <c r="M363" s="82">
        <v>1.01</v>
      </c>
      <c r="N363" s="82">
        <v>6.48</v>
      </c>
      <c r="O363" s="89" t="s">
        <v>48</v>
      </c>
      <c r="P363" s="89">
        <v>4</v>
      </c>
      <c r="Q363" s="89">
        <v>10</v>
      </c>
      <c r="R363" s="89" t="s">
        <v>49</v>
      </c>
      <c r="S363" s="89" t="s">
        <v>50</v>
      </c>
      <c r="T363" s="89" t="s">
        <v>50</v>
      </c>
      <c r="U363" s="89" t="s">
        <v>50</v>
      </c>
      <c r="V363" s="89" t="s">
        <v>50</v>
      </c>
      <c r="W363" s="89" t="s">
        <v>50</v>
      </c>
      <c r="X363" s="89" t="s">
        <v>50</v>
      </c>
    </row>
    <row r="364" spans="1:25" x14ac:dyDescent="0.25">
      <c r="A364" s="26">
        <v>43705</v>
      </c>
      <c r="B364" s="89" t="s">
        <v>87</v>
      </c>
      <c r="C364" s="89" t="s">
        <v>88</v>
      </c>
      <c r="D364" s="89">
        <v>38.177349999999997</v>
      </c>
      <c r="E364" s="85">
        <v>-121.66716</v>
      </c>
      <c r="F364" s="89" t="s">
        <v>3828</v>
      </c>
      <c r="G364" s="89" t="s">
        <v>90</v>
      </c>
      <c r="H364" s="89" t="s">
        <v>91</v>
      </c>
      <c r="I364" s="602">
        <v>0.50069444444444444</v>
      </c>
      <c r="J364" s="82">
        <v>136.75</v>
      </c>
      <c r="K364" s="82">
        <v>22.13</v>
      </c>
      <c r="L364" s="82">
        <v>7.29</v>
      </c>
      <c r="M364" s="82">
        <v>1.33</v>
      </c>
      <c r="N364" s="82">
        <v>14.23</v>
      </c>
      <c r="O364" s="89" t="s">
        <v>48</v>
      </c>
      <c r="P364" s="89">
        <v>4</v>
      </c>
      <c r="Q364" s="89">
        <v>10</v>
      </c>
      <c r="R364" s="89" t="s">
        <v>64</v>
      </c>
      <c r="S364" s="89" t="s">
        <v>50</v>
      </c>
      <c r="T364" s="89" t="s">
        <v>50</v>
      </c>
      <c r="U364" s="89" t="s">
        <v>50</v>
      </c>
      <c r="V364" s="89" t="s">
        <v>50</v>
      </c>
      <c r="W364" s="89" t="s">
        <v>50</v>
      </c>
      <c r="X364" s="89" t="s">
        <v>50</v>
      </c>
    </row>
    <row r="365" spans="1:25" x14ac:dyDescent="0.25">
      <c r="A365" s="26">
        <v>43705</v>
      </c>
      <c r="B365" s="89" t="s">
        <v>87</v>
      </c>
      <c r="C365" s="89" t="s">
        <v>62</v>
      </c>
      <c r="D365" s="89">
        <v>38.185250000000003</v>
      </c>
      <c r="E365" s="85">
        <v>-121.98408999999999</v>
      </c>
      <c r="F365" s="89" t="s">
        <v>3829</v>
      </c>
      <c r="G365" s="89" t="s">
        <v>27</v>
      </c>
      <c r="H365" s="89" t="s">
        <v>62</v>
      </c>
      <c r="I365" s="602">
        <v>0.35416666666666669</v>
      </c>
      <c r="J365" s="82">
        <v>5958.25</v>
      </c>
      <c r="K365" s="82">
        <v>22.9</v>
      </c>
      <c r="L365" s="82">
        <v>40.200000000000003</v>
      </c>
      <c r="M365" s="82">
        <v>0.32</v>
      </c>
      <c r="N365" s="82">
        <v>8.73</v>
      </c>
      <c r="O365" s="89" t="s">
        <v>48</v>
      </c>
      <c r="P365" s="89">
        <v>4</v>
      </c>
      <c r="Q365" s="89">
        <v>10</v>
      </c>
      <c r="R365" s="89" t="s">
        <v>49</v>
      </c>
      <c r="S365" s="89" t="s">
        <v>50</v>
      </c>
      <c r="T365" s="89" t="s">
        <v>50</v>
      </c>
      <c r="U365" s="89" t="s">
        <v>50</v>
      </c>
      <c r="V365" s="89" t="s">
        <v>50</v>
      </c>
      <c r="W365" s="89" t="s">
        <v>50</v>
      </c>
      <c r="X365" s="89" t="s">
        <v>50</v>
      </c>
      <c r="Y365" s="600" t="s">
        <v>3830</v>
      </c>
    </row>
    <row r="366" spans="1:25" x14ac:dyDescent="0.25">
      <c r="A366" s="26">
        <v>43705</v>
      </c>
      <c r="B366" s="89" t="s">
        <v>87</v>
      </c>
      <c r="C366" s="89" t="s">
        <v>62</v>
      </c>
      <c r="D366" s="89">
        <v>38.144489999999998</v>
      </c>
      <c r="E366" s="85">
        <v>-122.0603</v>
      </c>
      <c r="F366" s="89" t="s">
        <v>3831</v>
      </c>
      <c r="G366" s="89" t="s">
        <v>27</v>
      </c>
      <c r="H366" s="89" t="s">
        <v>62</v>
      </c>
      <c r="I366" s="602">
        <v>0.41041666666666665</v>
      </c>
      <c r="J366" s="82">
        <v>8191.75</v>
      </c>
      <c r="K366" s="82">
        <v>22.68</v>
      </c>
      <c r="L366" s="82">
        <v>29.75</v>
      </c>
      <c r="M366" s="82">
        <v>0.35</v>
      </c>
      <c r="N366" s="82">
        <v>9.3800000000000008</v>
      </c>
      <c r="O366" s="89" t="s">
        <v>48</v>
      </c>
      <c r="P366" s="89">
        <v>4</v>
      </c>
      <c r="Q366" s="89">
        <v>10</v>
      </c>
      <c r="R366" s="89" t="s">
        <v>64</v>
      </c>
      <c r="S366" s="89" t="s">
        <v>50</v>
      </c>
      <c r="T366" s="89" t="s">
        <v>50</v>
      </c>
      <c r="U366" s="89" t="s">
        <v>50</v>
      </c>
      <c r="V366" s="89" t="s">
        <v>50</v>
      </c>
      <c r="W366" s="89" t="s">
        <v>50</v>
      </c>
      <c r="X366" s="89" t="s">
        <v>50</v>
      </c>
    </row>
    <row r="367" spans="1:25" s="98" customFormat="1" x14ac:dyDescent="0.25">
      <c r="A367" s="194">
        <v>43705</v>
      </c>
      <c r="B367" s="98" t="s">
        <v>87</v>
      </c>
      <c r="C367" s="98" t="s">
        <v>62</v>
      </c>
      <c r="D367" s="98">
        <v>38.203719999999997</v>
      </c>
      <c r="E367" s="623">
        <v>-122.04121000000001</v>
      </c>
      <c r="F367" s="98" t="s">
        <v>3832</v>
      </c>
      <c r="G367" s="98" t="s">
        <v>27</v>
      </c>
      <c r="H367" s="98" t="s">
        <v>62</v>
      </c>
      <c r="I367" s="621">
        <v>0.4680555555555555</v>
      </c>
      <c r="J367" s="100">
        <v>6660</v>
      </c>
      <c r="K367" s="100">
        <v>22</v>
      </c>
      <c r="L367" s="100">
        <v>69.2</v>
      </c>
      <c r="M367" s="100">
        <v>0.22</v>
      </c>
      <c r="N367" s="100">
        <v>5.55</v>
      </c>
      <c r="O367" s="98" t="s">
        <v>48</v>
      </c>
      <c r="P367" s="98">
        <v>4</v>
      </c>
      <c r="Q367" s="98">
        <v>10</v>
      </c>
      <c r="R367" s="98" t="s">
        <v>64</v>
      </c>
      <c r="S367" s="98" t="s">
        <v>50</v>
      </c>
      <c r="T367" s="98" t="s">
        <v>50</v>
      </c>
      <c r="U367" s="98" t="s">
        <v>50</v>
      </c>
      <c r="V367" s="98" t="s">
        <v>50</v>
      </c>
      <c r="W367" s="98" t="s">
        <v>50</v>
      </c>
      <c r="X367" s="98" t="s">
        <v>50</v>
      </c>
      <c r="Y367" s="622" t="s">
        <v>3833</v>
      </c>
    </row>
    <row r="368" spans="1:25" x14ac:dyDescent="0.25">
      <c r="A368" s="26">
        <v>43706</v>
      </c>
      <c r="B368" s="89" t="s">
        <v>105</v>
      </c>
      <c r="C368" s="89" t="s">
        <v>126</v>
      </c>
      <c r="D368" s="89">
        <v>38.259549999999997</v>
      </c>
      <c r="E368" s="85">
        <v>-121.75487</v>
      </c>
      <c r="F368" s="89" t="s">
        <v>3834</v>
      </c>
      <c r="G368" s="89" t="s">
        <v>90</v>
      </c>
      <c r="H368" s="89" t="s">
        <v>845</v>
      </c>
      <c r="I368" s="602">
        <v>0.32708333333333334</v>
      </c>
      <c r="J368" s="82">
        <v>151.03</v>
      </c>
      <c r="K368" s="82">
        <v>21.6</v>
      </c>
      <c r="L368" s="82">
        <v>6.34</v>
      </c>
      <c r="M368" s="82">
        <v>1.1299999999999999</v>
      </c>
      <c r="N368" s="82">
        <v>3.77</v>
      </c>
      <c r="O368" s="89" t="s">
        <v>48</v>
      </c>
      <c r="P368" s="89">
        <v>3</v>
      </c>
      <c r="Q368" s="89">
        <v>10</v>
      </c>
      <c r="R368" s="89" t="s">
        <v>49</v>
      </c>
      <c r="S368" s="89" t="s">
        <v>50</v>
      </c>
      <c r="T368" s="89" t="s">
        <v>50</v>
      </c>
      <c r="U368" s="89" t="s">
        <v>50</v>
      </c>
      <c r="V368" s="89" t="s">
        <v>50</v>
      </c>
      <c r="W368" s="89" t="s">
        <v>50</v>
      </c>
      <c r="X368" s="89" t="s">
        <v>50</v>
      </c>
      <c r="Y368" s="600" t="s">
        <v>3835</v>
      </c>
    </row>
    <row r="369" spans="1:25" x14ac:dyDescent="0.25">
      <c r="A369" s="26">
        <v>43706</v>
      </c>
      <c r="B369" s="89" t="s">
        <v>105</v>
      </c>
      <c r="C369" s="89" t="s">
        <v>126</v>
      </c>
      <c r="D369" s="89">
        <v>38.243189999999998</v>
      </c>
      <c r="E369" s="85">
        <v>-121.68523</v>
      </c>
      <c r="F369" s="89" t="s">
        <v>3836</v>
      </c>
      <c r="G369" s="89" t="s">
        <v>90</v>
      </c>
      <c r="H369" s="89" t="s">
        <v>845</v>
      </c>
      <c r="I369" s="602">
        <v>0.39583333333333331</v>
      </c>
      <c r="J369" s="82">
        <v>134.6</v>
      </c>
      <c r="K369" s="82">
        <v>21.45</v>
      </c>
      <c r="L369" s="82">
        <v>7.03</v>
      </c>
      <c r="M369" s="82">
        <v>1.24</v>
      </c>
      <c r="N369" s="82">
        <v>7.18</v>
      </c>
      <c r="O369" s="89" t="s">
        <v>48</v>
      </c>
      <c r="P369" s="89">
        <v>4</v>
      </c>
      <c r="Q369" s="89">
        <v>10</v>
      </c>
      <c r="R369" s="89" t="s">
        <v>49</v>
      </c>
      <c r="S369" s="89" t="s">
        <v>50</v>
      </c>
      <c r="T369" s="89" t="s">
        <v>50</v>
      </c>
      <c r="U369" s="89" t="s">
        <v>50</v>
      </c>
      <c r="V369" s="89" t="s">
        <v>50</v>
      </c>
      <c r="W369" s="89" t="s">
        <v>50</v>
      </c>
      <c r="X369" s="89" t="s">
        <v>50</v>
      </c>
    </row>
    <row r="370" spans="1:25" x14ac:dyDescent="0.25">
      <c r="A370" s="26">
        <v>43706</v>
      </c>
      <c r="B370" s="89" t="s">
        <v>105</v>
      </c>
      <c r="C370" s="89" t="s">
        <v>126</v>
      </c>
      <c r="D370" s="89">
        <v>38.235970000000002</v>
      </c>
      <c r="E370" s="85">
        <v>-121.67999</v>
      </c>
      <c r="F370" s="89" t="s">
        <v>3837</v>
      </c>
      <c r="G370" s="89" t="s">
        <v>90</v>
      </c>
      <c r="H370" s="89" t="s">
        <v>845</v>
      </c>
      <c r="I370" s="602">
        <v>0.44444444444444442</v>
      </c>
      <c r="J370" s="82">
        <v>142.80000000000001</v>
      </c>
      <c r="K370" s="82">
        <v>21.56</v>
      </c>
      <c r="L370" s="82">
        <v>26.18</v>
      </c>
      <c r="M370" s="82">
        <v>0.5</v>
      </c>
      <c r="N370" s="82">
        <v>6.95</v>
      </c>
      <c r="O370" s="89" t="s">
        <v>48</v>
      </c>
      <c r="P370" s="89">
        <v>4</v>
      </c>
      <c r="Q370" s="89">
        <v>10</v>
      </c>
      <c r="R370" s="89" t="s">
        <v>49</v>
      </c>
      <c r="S370" s="89" t="s">
        <v>50</v>
      </c>
      <c r="T370" s="89" t="s">
        <v>50</v>
      </c>
      <c r="U370" s="89" t="s">
        <v>50</v>
      </c>
      <c r="V370" s="89" t="s">
        <v>50</v>
      </c>
      <c r="W370" s="89" t="s">
        <v>50</v>
      </c>
      <c r="X370" s="89" t="s">
        <v>50</v>
      </c>
    </row>
    <row r="371" spans="1:25" x14ac:dyDescent="0.25">
      <c r="A371" s="26">
        <v>43706</v>
      </c>
      <c r="B371" s="89" t="s">
        <v>105</v>
      </c>
      <c r="C371" s="98" t="s">
        <v>78</v>
      </c>
      <c r="D371" s="98">
        <v>38.042059999999999</v>
      </c>
      <c r="E371" s="98">
        <v>-121.83953</v>
      </c>
      <c r="F371" s="98" t="s">
        <v>3838</v>
      </c>
      <c r="G371" s="98" t="s">
        <v>27</v>
      </c>
      <c r="H371" s="98" t="s">
        <v>101</v>
      </c>
      <c r="I371" s="602">
        <v>0.35416666666666669</v>
      </c>
      <c r="J371" s="100">
        <v>645.5</v>
      </c>
      <c r="K371" s="100">
        <v>22.23</v>
      </c>
      <c r="L371" s="100">
        <v>23.95</v>
      </c>
      <c r="M371" s="100">
        <v>0.61</v>
      </c>
      <c r="N371" s="100">
        <v>4.05</v>
      </c>
      <c r="O371" s="98" t="s">
        <v>48</v>
      </c>
      <c r="P371" s="98">
        <v>4</v>
      </c>
      <c r="Q371" s="98">
        <v>10</v>
      </c>
      <c r="R371" s="89" t="s">
        <v>49</v>
      </c>
      <c r="S371" s="89" t="s">
        <v>50</v>
      </c>
      <c r="T371" s="89" t="s">
        <v>50</v>
      </c>
      <c r="U371" s="89" t="s">
        <v>50</v>
      </c>
      <c r="V371" s="89" t="s">
        <v>50</v>
      </c>
      <c r="W371" s="89" t="s">
        <v>50</v>
      </c>
      <c r="X371" s="89" t="s">
        <v>50</v>
      </c>
    </row>
    <row r="372" spans="1:25" x14ac:dyDescent="0.25">
      <c r="A372" s="26">
        <v>43706</v>
      </c>
      <c r="B372" s="89" t="s">
        <v>105</v>
      </c>
      <c r="C372" s="89" t="s">
        <v>78</v>
      </c>
      <c r="D372" s="89">
        <v>38.049399999999999</v>
      </c>
      <c r="E372" s="89">
        <v>-121.97056000000001</v>
      </c>
      <c r="F372" s="89" t="s">
        <v>3839</v>
      </c>
      <c r="G372" s="89" t="s">
        <v>27</v>
      </c>
      <c r="H372" s="89" t="s">
        <v>170</v>
      </c>
      <c r="I372" s="602">
        <v>0.43194444444444446</v>
      </c>
      <c r="J372" s="82">
        <v>3153.75</v>
      </c>
      <c r="K372" s="82">
        <v>21.95</v>
      </c>
      <c r="L372" s="82">
        <v>23.3</v>
      </c>
      <c r="M372" s="82">
        <v>0.56999999999999995</v>
      </c>
      <c r="N372" s="82">
        <v>3.35</v>
      </c>
      <c r="O372" s="89" t="s">
        <v>48</v>
      </c>
      <c r="P372" s="89">
        <v>4</v>
      </c>
      <c r="Q372" s="89">
        <v>10</v>
      </c>
      <c r="R372" s="89" t="s">
        <v>64</v>
      </c>
      <c r="S372" s="89" t="s">
        <v>50</v>
      </c>
      <c r="T372" s="89" t="s">
        <v>50</v>
      </c>
      <c r="U372" s="89" t="s">
        <v>50</v>
      </c>
      <c r="V372" s="89" t="s">
        <v>50</v>
      </c>
      <c r="W372" s="89" t="s">
        <v>50</v>
      </c>
      <c r="X372" s="89" t="s">
        <v>50</v>
      </c>
    </row>
    <row r="373" spans="1:25" x14ac:dyDescent="0.25">
      <c r="A373" s="26">
        <v>43706</v>
      </c>
      <c r="B373" s="89" t="s">
        <v>105</v>
      </c>
      <c r="C373" s="89" t="s">
        <v>78</v>
      </c>
      <c r="D373" s="89">
        <v>38.07358</v>
      </c>
      <c r="E373" s="89">
        <v>-122.01698</v>
      </c>
      <c r="F373" s="89" t="s">
        <v>3840</v>
      </c>
      <c r="G373" s="89" t="s">
        <v>27</v>
      </c>
      <c r="H373" s="89" t="s">
        <v>3841</v>
      </c>
      <c r="I373" s="602">
        <v>0.49513888888888885</v>
      </c>
      <c r="J373" s="82">
        <v>6154.5</v>
      </c>
      <c r="K373" s="82">
        <v>22.1</v>
      </c>
      <c r="L373" s="82">
        <v>25.53</v>
      </c>
      <c r="M373" s="82">
        <v>0.57999999999999996</v>
      </c>
      <c r="N373" s="82">
        <v>7.53</v>
      </c>
      <c r="O373" s="89" t="s">
        <v>48</v>
      </c>
      <c r="P373" s="89">
        <v>4</v>
      </c>
      <c r="Q373" s="89">
        <v>10</v>
      </c>
      <c r="R373" s="89" t="s">
        <v>64</v>
      </c>
      <c r="S373" s="89" t="s">
        <v>50</v>
      </c>
      <c r="T373" s="89" t="s">
        <v>50</v>
      </c>
      <c r="U373" s="89" t="s">
        <v>50</v>
      </c>
      <c r="V373" s="89" t="s">
        <v>50</v>
      </c>
      <c r="W373" s="89" t="s">
        <v>50</v>
      </c>
      <c r="X373" s="89" t="s">
        <v>50</v>
      </c>
    </row>
    <row r="374" spans="1:25" x14ac:dyDescent="0.25">
      <c r="A374" s="26">
        <v>43706</v>
      </c>
      <c r="B374" s="89" t="s">
        <v>105</v>
      </c>
      <c r="C374" s="89" t="s">
        <v>62</v>
      </c>
      <c r="D374" s="89">
        <v>38.175449999999998</v>
      </c>
      <c r="E374" s="89">
        <v>-121.95304</v>
      </c>
      <c r="F374" s="89" t="s">
        <v>3842</v>
      </c>
      <c r="G374" s="89" t="s">
        <v>27</v>
      </c>
      <c r="H374" s="89" t="s">
        <v>62</v>
      </c>
      <c r="I374" s="602">
        <v>0.38750000000000001</v>
      </c>
      <c r="J374" s="82">
        <v>5593.5</v>
      </c>
      <c r="K374" s="82">
        <v>22.18</v>
      </c>
      <c r="L374" s="82">
        <v>58.65</v>
      </c>
      <c r="M374" s="82">
        <v>0.23</v>
      </c>
      <c r="N374" s="82">
        <v>8.35</v>
      </c>
      <c r="O374" s="89" t="s">
        <v>48</v>
      </c>
      <c r="P374" s="89">
        <v>4</v>
      </c>
      <c r="Q374" s="89">
        <v>10</v>
      </c>
      <c r="R374" s="89" t="s">
        <v>49</v>
      </c>
      <c r="S374" s="89" t="s">
        <v>50</v>
      </c>
      <c r="T374" s="89" t="s">
        <v>50</v>
      </c>
      <c r="U374" s="89" t="s">
        <v>50</v>
      </c>
      <c r="V374" s="89" t="s">
        <v>50</v>
      </c>
      <c r="W374" s="89" t="s">
        <v>50</v>
      </c>
      <c r="X374" s="89" t="s">
        <v>50</v>
      </c>
      <c r="Y374" s="600" t="s">
        <v>3843</v>
      </c>
    </row>
    <row r="375" spans="1:25" x14ac:dyDescent="0.25">
      <c r="A375" s="26">
        <v>43706</v>
      </c>
      <c r="B375" s="89" t="s">
        <v>105</v>
      </c>
      <c r="C375" s="89" t="s">
        <v>62</v>
      </c>
      <c r="D375" s="89">
        <v>38.147370000000002</v>
      </c>
      <c r="E375" s="89">
        <v>-122.05728999999999</v>
      </c>
      <c r="F375" s="89" t="s">
        <v>3844</v>
      </c>
      <c r="G375" s="89" t="s">
        <v>27</v>
      </c>
      <c r="H375" s="89" t="s">
        <v>62</v>
      </c>
      <c r="I375" s="602">
        <v>0.45347222222222222</v>
      </c>
      <c r="J375" s="82">
        <v>8316.25</v>
      </c>
      <c r="K375" s="82">
        <v>22.45</v>
      </c>
      <c r="L375" s="82">
        <v>42.75</v>
      </c>
      <c r="M375" s="82">
        <v>0.27</v>
      </c>
      <c r="N375" s="82">
        <v>8.8000000000000007</v>
      </c>
      <c r="O375" s="89" t="s">
        <v>48</v>
      </c>
      <c r="P375" s="89">
        <v>4</v>
      </c>
      <c r="Q375" s="89">
        <v>10</v>
      </c>
      <c r="R375" s="89" t="s">
        <v>64</v>
      </c>
      <c r="S375" s="89" t="s">
        <v>50</v>
      </c>
      <c r="T375" s="89" t="s">
        <v>50</v>
      </c>
      <c r="U375" s="89" t="s">
        <v>50</v>
      </c>
      <c r="V375" s="89" t="s">
        <v>50</v>
      </c>
      <c r="W375" s="89" t="s">
        <v>50</v>
      </c>
      <c r="X375" s="89" t="s">
        <v>50</v>
      </c>
    </row>
    <row r="376" spans="1:25" s="625" customFormat="1" x14ac:dyDescent="0.25">
      <c r="A376" s="412">
        <v>43706</v>
      </c>
      <c r="B376" s="414" t="s">
        <v>105</v>
      </c>
      <c r="C376" s="414" t="s">
        <v>62</v>
      </c>
      <c r="D376" s="414">
        <v>38.108510000000003</v>
      </c>
      <c r="E376" s="414">
        <v>-122.05874</v>
      </c>
      <c r="F376" s="414" t="s">
        <v>3845</v>
      </c>
      <c r="G376" s="414" t="s">
        <v>27</v>
      </c>
      <c r="H376" s="414" t="s">
        <v>173</v>
      </c>
      <c r="I376" s="629">
        <v>0.5083333333333333</v>
      </c>
      <c r="J376" s="416">
        <v>10847.25</v>
      </c>
      <c r="K376" s="416">
        <v>21.55</v>
      </c>
      <c r="L376" s="416">
        <v>118.15</v>
      </c>
      <c r="M376" s="416">
        <v>0.17</v>
      </c>
      <c r="N376" s="416">
        <v>2.7</v>
      </c>
      <c r="O376" s="414" t="s">
        <v>48</v>
      </c>
      <c r="P376" s="414">
        <v>4</v>
      </c>
      <c r="Q376" s="414">
        <v>10</v>
      </c>
      <c r="R376" s="414" t="s">
        <v>64</v>
      </c>
      <c r="S376" s="414" t="s">
        <v>31</v>
      </c>
      <c r="T376" s="414">
        <v>1</v>
      </c>
      <c r="U376" s="414">
        <v>47</v>
      </c>
      <c r="V376" s="414" t="s">
        <v>50</v>
      </c>
      <c r="W376" s="414" t="s">
        <v>50</v>
      </c>
      <c r="X376" s="414" t="s">
        <v>50</v>
      </c>
      <c r="Y376" s="630"/>
    </row>
    <row r="377" spans="1:25" x14ac:dyDescent="0.25">
      <c r="A377" s="26">
        <v>43711</v>
      </c>
      <c r="B377" s="89" t="s">
        <v>849</v>
      </c>
      <c r="C377" s="89" t="s">
        <v>95</v>
      </c>
      <c r="D377" s="89">
        <v>38.085880000000003</v>
      </c>
      <c r="E377" s="89">
        <v>-121.64621</v>
      </c>
      <c r="F377" s="89" t="s">
        <v>3846</v>
      </c>
      <c r="G377" s="89" t="s">
        <v>46</v>
      </c>
      <c r="H377" s="89" t="s">
        <v>908</v>
      </c>
      <c r="I377" s="602">
        <v>0.3354166666666667</v>
      </c>
      <c r="J377" s="82">
        <v>178.75</v>
      </c>
      <c r="K377" s="82">
        <v>23.225000000000001</v>
      </c>
      <c r="L377" s="82">
        <v>8.09</v>
      </c>
      <c r="M377" s="82">
        <v>1.23</v>
      </c>
      <c r="N377" s="82">
        <v>11.1</v>
      </c>
      <c r="O377" s="89" t="s">
        <v>48</v>
      </c>
      <c r="P377" s="89">
        <v>4</v>
      </c>
      <c r="Q377" s="89">
        <v>10</v>
      </c>
      <c r="R377" s="89" t="s">
        <v>64</v>
      </c>
      <c r="S377" s="89" t="s">
        <v>50</v>
      </c>
      <c r="T377" s="89" t="s">
        <v>50</v>
      </c>
      <c r="U377" s="89" t="s">
        <v>50</v>
      </c>
      <c r="V377" s="89" t="s">
        <v>50</v>
      </c>
      <c r="W377" s="89" t="s">
        <v>50</v>
      </c>
      <c r="X377" s="89" t="s">
        <v>50</v>
      </c>
    </row>
    <row r="378" spans="1:25" x14ac:dyDescent="0.25">
      <c r="A378" s="26">
        <v>43711</v>
      </c>
      <c r="B378" s="89" t="s">
        <v>849</v>
      </c>
      <c r="C378" s="89" t="s">
        <v>95</v>
      </c>
      <c r="D378" s="89">
        <v>38.026449999999997</v>
      </c>
      <c r="E378" s="89">
        <v>-121.72957</v>
      </c>
      <c r="F378" s="89" t="s">
        <v>3847</v>
      </c>
      <c r="G378" s="89" t="s">
        <v>27</v>
      </c>
      <c r="H378" s="89" t="s">
        <v>863</v>
      </c>
      <c r="I378" s="602">
        <v>0.40902777777777777</v>
      </c>
      <c r="J378" s="82">
        <v>264.17999999999995</v>
      </c>
      <c r="K378" s="82">
        <v>23.08</v>
      </c>
      <c r="L378" s="82">
        <v>6.0439999999999996</v>
      </c>
      <c r="M378" s="82">
        <v>1.6020000000000003</v>
      </c>
      <c r="N378" s="82">
        <v>3.2</v>
      </c>
      <c r="O378" s="89" t="s">
        <v>48</v>
      </c>
      <c r="P378" s="89">
        <v>5</v>
      </c>
      <c r="Q378" s="89">
        <v>10</v>
      </c>
      <c r="R378" s="89" t="s">
        <v>49</v>
      </c>
      <c r="S378" s="89" t="s">
        <v>50</v>
      </c>
      <c r="T378" s="89" t="s">
        <v>50</v>
      </c>
      <c r="U378" s="89" t="s">
        <v>50</v>
      </c>
      <c r="V378" s="89" t="s">
        <v>50</v>
      </c>
      <c r="W378" s="89" t="s">
        <v>50</v>
      </c>
      <c r="X378" s="89" t="s">
        <v>50</v>
      </c>
      <c r="Y378" s="600" t="s">
        <v>3848</v>
      </c>
    </row>
    <row r="379" spans="1:25" x14ac:dyDescent="0.25">
      <c r="A379" s="26">
        <v>43711</v>
      </c>
      <c r="B379" s="89" t="s">
        <v>849</v>
      </c>
      <c r="C379" s="89" t="s">
        <v>95</v>
      </c>
      <c r="D379" s="89">
        <v>38.02478</v>
      </c>
      <c r="E379" s="89">
        <v>-121.81889</v>
      </c>
      <c r="F379" s="89" t="s">
        <v>3849</v>
      </c>
      <c r="G379" s="89" t="s">
        <v>27</v>
      </c>
      <c r="H379" s="89" t="s">
        <v>863</v>
      </c>
      <c r="I379" s="602">
        <v>0.48055555555555557</v>
      </c>
      <c r="J379" s="82">
        <v>461.17500000000001</v>
      </c>
      <c r="K379" s="82">
        <v>22.95</v>
      </c>
      <c r="L379" s="82">
        <v>18.674999999999997</v>
      </c>
      <c r="M379" s="82">
        <v>0.75750000000000006</v>
      </c>
      <c r="N379" s="82">
        <v>4.8249999999999993</v>
      </c>
      <c r="O379" s="89" t="s">
        <v>48</v>
      </c>
      <c r="P379" s="89">
        <v>4</v>
      </c>
      <c r="Q379" s="89">
        <v>10</v>
      </c>
      <c r="R379" s="89" t="s">
        <v>49</v>
      </c>
      <c r="S379" s="89" t="s">
        <v>50</v>
      </c>
      <c r="T379" s="89" t="s">
        <v>50</v>
      </c>
      <c r="U379" s="89" t="s">
        <v>50</v>
      </c>
      <c r="V379" s="89" t="s">
        <v>50</v>
      </c>
      <c r="W379" s="89" t="s">
        <v>50</v>
      </c>
      <c r="X379" s="89" t="s">
        <v>50</v>
      </c>
      <c r="Y379" s="600" t="s">
        <v>3850</v>
      </c>
    </row>
    <row r="380" spans="1:25" x14ac:dyDescent="0.25">
      <c r="A380" s="26">
        <v>43711</v>
      </c>
      <c r="B380" s="89" t="s">
        <v>849</v>
      </c>
      <c r="C380" s="89" t="s">
        <v>126</v>
      </c>
      <c r="D380" s="89">
        <v>38.259729999999998</v>
      </c>
      <c r="E380" s="89">
        <v>-121.74145</v>
      </c>
      <c r="F380" s="89" t="s">
        <v>3851</v>
      </c>
      <c r="G380" s="89" t="s">
        <v>90</v>
      </c>
      <c r="H380" s="89" t="s">
        <v>845</v>
      </c>
      <c r="I380" s="602">
        <v>0.3520833333333333</v>
      </c>
      <c r="J380" s="82">
        <v>161.17499999999998</v>
      </c>
      <c r="K380" s="82">
        <v>22.7</v>
      </c>
      <c r="L380" s="82">
        <v>4.7625000000000002</v>
      </c>
      <c r="M380" s="82">
        <v>1.5024999999999999</v>
      </c>
      <c r="N380" s="82">
        <v>5.7249999999999996</v>
      </c>
      <c r="O380" s="89" t="s">
        <v>48</v>
      </c>
      <c r="P380" s="89">
        <v>4</v>
      </c>
      <c r="Q380" s="89">
        <v>10</v>
      </c>
      <c r="R380" s="89" t="s">
        <v>49</v>
      </c>
      <c r="S380" s="89" t="s">
        <v>50</v>
      </c>
      <c r="T380" s="89" t="s">
        <v>50</v>
      </c>
      <c r="U380" s="89" t="s">
        <v>50</v>
      </c>
      <c r="V380" s="89" t="s">
        <v>50</v>
      </c>
      <c r="W380" s="89" t="s">
        <v>50</v>
      </c>
      <c r="X380" s="89" t="s">
        <v>50</v>
      </c>
      <c r="Y380" s="600" t="s">
        <v>3720</v>
      </c>
    </row>
    <row r="381" spans="1:25" x14ac:dyDescent="0.25">
      <c r="A381" s="26">
        <v>43711</v>
      </c>
      <c r="B381" s="89" t="s">
        <v>849</v>
      </c>
      <c r="C381" s="89" t="s">
        <v>126</v>
      </c>
      <c r="D381" s="89">
        <v>38.24709</v>
      </c>
      <c r="E381" s="89">
        <v>-121.71041</v>
      </c>
      <c r="F381" s="89" t="s">
        <v>3852</v>
      </c>
      <c r="G381" s="89" t="s">
        <v>90</v>
      </c>
      <c r="H381" s="89" t="s">
        <v>845</v>
      </c>
      <c r="I381" s="602">
        <v>0.44375000000000003</v>
      </c>
      <c r="J381" s="82">
        <v>167.82499999999999</v>
      </c>
      <c r="K381" s="82">
        <v>22.675000000000001</v>
      </c>
      <c r="L381" s="82">
        <v>4.7149999999999999</v>
      </c>
      <c r="M381" s="82">
        <v>1.6725000000000001</v>
      </c>
      <c r="N381" s="82">
        <v>4.375</v>
      </c>
      <c r="O381" s="89" t="s">
        <v>48</v>
      </c>
      <c r="P381" s="89">
        <v>4</v>
      </c>
      <c r="Q381" s="89">
        <v>10</v>
      </c>
      <c r="R381" s="89" t="s">
        <v>49</v>
      </c>
      <c r="S381" s="89" t="s">
        <v>50</v>
      </c>
      <c r="T381" s="89" t="s">
        <v>50</v>
      </c>
      <c r="U381" s="89" t="s">
        <v>50</v>
      </c>
      <c r="V381" s="89" t="s">
        <v>50</v>
      </c>
      <c r="W381" s="89" t="s">
        <v>50</v>
      </c>
      <c r="X381" s="89" t="s">
        <v>50</v>
      </c>
    </row>
    <row r="382" spans="1:25" x14ac:dyDescent="0.25">
      <c r="A382" s="26">
        <v>43711</v>
      </c>
      <c r="B382" s="89" t="s">
        <v>849</v>
      </c>
      <c r="C382" s="89" t="s">
        <v>126</v>
      </c>
      <c r="D382" s="89">
        <v>38.241059999999997</v>
      </c>
      <c r="E382" s="89">
        <v>-121.68151</v>
      </c>
      <c r="F382" s="89" t="s">
        <v>3853</v>
      </c>
      <c r="G382" s="89" t="s">
        <v>90</v>
      </c>
      <c r="H382" s="89" t="s">
        <v>845</v>
      </c>
      <c r="I382" s="602">
        <v>0.49652777777777773</v>
      </c>
      <c r="J382" s="82">
        <v>168.82499999999999</v>
      </c>
      <c r="K382" s="82">
        <v>22.650000000000002</v>
      </c>
      <c r="L382" s="82">
        <v>7.5425000000000004</v>
      </c>
      <c r="M382" s="82">
        <v>1.31</v>
      </c>
      <c r="N382" s="82">
        <v>12.775</v>
      </c>
      <c r="O382" s="89" t="s">
        <v>48</v>
      </c>
      <c r="P382" s="89">
        <v>4</v>
      </c>
      <c r="Q382" s="89">
        <v>10</v>
      </c>
      <c r="R382" s="89" t="s">
        <v>49</v>
      </c>
      <c r="S382" s="89" t="s">
        <v>50</v>
      </c>
      <c r="T382" s="89" t="s">
        <v>50</v>
      </c>
      <c r="U382" s="89" t="s">
        <v>50</v>
      </c>
      <c r="V382" s="89" t="s">
        <v>50</v>
      </c>
      <c r="W382" s="89" t="s">
        <v>50</v>
      </c>
      <c r="X382" s="89" t="s">
        <v>50</v>
      </c>
    </row>
    <row r="383" spans="1:25" x14ac:dyDescent="0.25">
      <c r="A383" s="26">
        <v>43711</v>
      </c>
      <c r="B383" s="89" t="s">
        <v>849</v>
      </c>
      <c r="C383" s="89" t="s">
        <v>62</v>
      </c>
      <c r="D383" s="89">
        <v>38.107559999999999</v>
      </c>
      <c r="E383" s="89">
        <v>-121.88906</v>
      </c>
      <c r="F383" s="89" t="s">
        <v>3854</v>
      </c>
      <c r="G383" s="89" t="s">
        <v>27</v>
      </c>
      <c r="H383" s="89" t="s">
        <v>62</v>
      </c>
      <c r="I383" s="602">
        <v>0.35833333333333334</v>
      </c>
      <c r="J383" s="82">
        <v>4372.25</v>
      </c>
      <c r="K383" s="82">
        <v>22.75</v>
      </c>
      <c r="L383" s="82">
        <v>29.425000000000001</v>
      </c>
      <c r="M383" s="82">
        <v>0.47</v>
      </c>
      <c r="N383" s="82">
        <v>4.3499999999999996</v>
      </c>
      <c r="O383" s="89" t="s">
        <v>48</v>
      </c>
      <c r="P383" s="89">
        <v>4</v>
      </c>
      <c r="Q383" s="89">
        <v>10</v>
      </c>
      <c r="R383" s="89" t="s">
        <v>64</v>
      </c>
      <c r="S383" s="89" t="s">
        <v>50</v>
      </c>
      <c r="T383" s="89" t="s">
        <v>50</v>
      </c>
      <c r="U383" s="89" t="s">
        <v>50</v>
      </c>
      <c r="V383" s="89" t="s">
        <v>50</v>
      </c>
      <c r="W383" s="89" t="s">
        <v>50</v>
      </c>
      <c r="X383" s="89" t="s">
        <v>50</v>
      </c>
    </row>
    <row r="384" spans="1:25" x14ac:dyDescent="0.25">
      <c r="A384" s="26">
        <v>43711</v>
      </c>
      <c r="B384" s="89" t="s">
        <v>849</v>
      </c>
      <c r="C384" s="89" t="s">
        <v>62</v>
      </c>
      <c r="D384" s="89">
        <v>38.17465</v>
      </c>
      <c r="E384" s="89">
        <v>-122.05710000000001</v>
      </c>
      <c r="F384" s="89" t="s">
        <v>3855</v>
      </c>
      <c r="G384" s="89" t="s">
        <v>27</v>
      </c>
      <c r="H384" s="89" t="s">
        <v>62</v>
      </c>
      <c r="I384" s="602">
        <v>0.44305555555555554</v>
      </c>
      <c r="J384" s="82">
        <v>7507</v>
      </c>
      <c r="K384" s="82">
        <v>22.6</v>
      </c>
      <c r="L384" s="82">
        <v>70.350000000000009</v>
      </c>
      <c r="M384" s="82">
        <v>0.315</v>
      </c>
      <c r="N384" s="82">
        <v>3.5</v>
      </c>
      <c r="O384" s="89" t="s">
        <v>48</v>
      </c>
      <c r="P384" s="89">
        <v>4</v>
      </c>
      <c r="Q384" s="89">
        <v>10</v>
      </c>
      <c r="R384" s="89" t="s">
        <v>49</v>
      </c>
      <c r="S384" s="89" t="s">
        <v>50</v>
      </c>
      <c r="T384" s="89" t="s">
        <v>50</v>
      </c>
      <c r="U384" s="89" t="s">
        <v>50</v>
      </c>
      <c r="V384" s="89" t="s">
        <v>50</v>
      </c>
      <c r="W384" s="89" t="s">
        <v>50</v>
      </c>
      <c r="X384" s="89" t="s">
        <v>50</v>
      </c>
    </row>
    <row r="385" spans="1:25" x14ac:dyDescent="0.25">
      <c r="A385" s="26">
        <v>43711</v>
      </c>
      <c r="B385" s="89" t="s">
        <v>849</v>
      </c>
      <c r="C385" s="89" t="s">
        <v>62</v>
      </c>
      <c r="D385" s="89">
        <v>38.10548</v>
      </c>
      <c r="E385" s="89">
        <v>-122.05197</v>
      </c>
      <c r="F385" s="89" t="s">
        <v>3856</v>
      </c>
      <c r="G385" s="89" t="s">
        <v>27</v>
      </c>
      <c r="H385" s="89" t="s">
        <v>173</v>
      </c>
      <c r="I385" s="602">
        <v>0.49513888888888885</v>
      </c>
      <c r="J385" s="82">
        <v>7144</v>
      </c>
      <c r="K385" s="82">
        <v>22.024999999999999</v>
      </c>
      <c r="L385" s="82">
        <v>97.525000000000006</v>
      </c>
      <c r="M385" s="82">
        <v>0.33500000000000002</v>
      </c>
      <c r="N385" s="82">
        <v>2.8</v>
      </c>
      <c r="O385" s="89" t="s">
        <v>48</v>
      </c>
      <c r="P385" s="89">
        <v>4</v>
      </c>
      <c r="Q385" s="89">
        <v>10</v>
      </c>
      <c r="R385" s="89" t="s">
        <v>49</v>
      </c>
      <c r="S385" s="89" t="s">
        <v>50</v>
      </c>
      <c r="T385" s="89" t="s">
        <v>50</v>
      </c>
      <c r="U385" s="89" t="s">
        <v>50</v>
      </c>
      <c r="V385" s="89" t="s">
        <v>50</v>
      </c>
      <c r="W385" s="89" t="s">
        <v>50</v>
      </c>
      <c r="X385" s="89" t="s">
        <v>50</v>
      </c>
    </row>
    <row r="386" spans="1:25" x14ac:dyDescent="0.25">
      <c r="A386" s="26">
        <v>43712</v>
      </c>
      <c r="B386" s="89" t="s">
        <v>915</v>
      </c>
      <c r="C386" s="89" t="s">
        <v>78</v>
      </c>
      <c r="D386" s="89">
        <v>38.05724</v>
      </c>
      <c r="E386" s="89">
        <v>-122.10133</v>
      </c>
      <c r="F386" s="89" t="s">
        <v>3857</v>
      </c>
      <c r="G386" s="89" t="s">
        <v>80</v>
      </c>
      <c r="H386" s="89" t="s">
        <v>81</v>
      </c>
      <c r="I386" s="602">
        <v>0.35972222222222222</v>
      </c>
      <c r="J386" s="82">
        <v>13981</v>
      </c>
      <c r="K386" s="82">
        <v>21.625000000000004</v>
      </c>
      <c r="L386" s="82">
        <v>28.25</v>
      </c>
      <c r="M386" s="82">
        <v>0.46750000000000003</v>
      </c>
      <c r="N386" s="82">
        <v>5.8999999999999995</v>
      </c>
      <c r="O386" s="89" t="s">
        <v>48</v>
      </c>
      <c r="P386" s="89">
        <v>4</v>
      </c>
      <c r="Q386" s="89">
        <v>10</v>
      </c>
      <c r="R386" s="89" t="s">
        <v>49</v>
      </c>
      <c r="S386" s="89" t="s">
        <v>50</v>
      </c>
      <c r="T386" s="89" t="s">
        <v>50</v>
      </c>
      <c r="U386" s="89" t="s">
        <v>50</v>
      </c>
      <c r="V386" s="89" t="s">
        <v>50</v>
      </c>
      <c r="W386" s="89" t="s">
        <v>50</v>
      </c>
      <c r="X386" s="89" t="s">
        <v>50</v>
      </c>
    </row>
    <row r="387" spans="1:25" s="206" customFormat="1" x14ac:dyDescent="0.25">
      <c r="A387" s="204">
        <v>43712</v>
      </c>
      <c r="B387" s="206" t="s">
        <v>915</v>
      </c>
      <c r="C387" s="206" t="s">
        <v>78</v>
      </c>
      <c r="D387" s="206">
        <v>38.087249999999997</v>
      </c>
      <c r="E387" s="206">
        <v>-122.08403</v>
      </c>
      <c r="F387" s="206" t="s">
        <v>3858</v>
      </c>
      <c r="G387" s="206" t="s">
        <v>80</v>
      </c>
      <c r="H387" s="206" t="s">
        <v>81</v>
      </c>
      <c r="I387" s="613">
        <v>0.41250000000000003</v>
      </c>
      <c r="J387" s="208">
        <v>9014.5</v>
      </c>
      <c r="K387" s="208">
        <v>21.55</v>
      </c>
      <c r="L387" s="208">
        <v>83.05</v>
      </c>
      <c r="M387" s="208">
        <v>0.23749999999999999</v>
      </c>
      <c r="N387" s="208">
        <v>5.85</v>
      </c>
      <c r="O387" s="206" t="s">
        <v>48</v>
      </c>
      <c r="P387" s="206">
        <v>4</v>
      </c>
      <c r="Q387" s="206">
        <v>10</v>
      </c>
      <c r="R387" s="206" t="s">
        <v>49</v>
      </c>
      <c r="S387" s="206" t="s">
        <v>31</v>
      </c>
      <c r="T387" s="206">
        <v>12</v>
      </c>
      <c r="U387" s="206" t="s">
        <v>3859</v>
      </c>
      <c r="V387" s="206" t="s">
        <v>66</v>
      </c>
      <c r="W387" s="206" t="s">
        <v>50</v>
      </c>
      <c r="X387" s="206" t="s">
        <v>50</v>
      </c>
      <c r="Y387" s="605" t="s">
        <v>3860</v>
      </c>
    </row>
    <row r="388" spans="1:25" x14ac:dyDescent="0.25">
      <c r="A388" s="26">
        <v>43712</v>
      </c>
      <c r="B388" s="89" t="s">
        <v>915</v>
      </c>
      <c r="C388" s="89" t="s">
        <v>78</v>
      </c>
      <c r="D388" s="89">
        <v>38.09187</v>
      </c>
      <c r="E388" s="89">
        <v>-122.02198</v>
      </c>
      <c r="F388" s="89" t="s">
        <v>3861</v>
      </c>
      <c r="G388" s="89" t="s">
        <v>27</v>
      </c>
      <c r="H388" s="89" t="s">
        <v>86</v>
      </c>
      <c r="I388" s="602">
        <v>0.47638888888888892</v>
      </c>
      <c r="J388" s="82">
        <v>7572.75</v>
      </c>
      <c r="K388" s="82">
        <v>22.075000000000003</v>
      </c>
      <c r="L388" s="82">
        <v>28.774999999999999</v>
      </c>
      <c r="M388" s="82">
        <v>0.47250000000000003</v>
      </c>
      <c r="N388" s="82">
        <v>5.0250000000000004</v>
      </c>
      <c r="O388" s="89" t="s">
        <v>48</v>
      </c>
      <c r="P388" s="89">
        <v>4</v>
      </c>
      <c r="Q388" s="89">
        <v>10</v>
      </c>
      <c r="R388" s="89" t="s">
        <v>49</v>
      </c>
      <c r="S388" s="89" t="s">
        <v>50</v>
      </c>
      <c r="T388" s="89" t="s">
        <v>50</v>
      </c>
      <c r="U388" s="89" t="s">
        <v>50</v>
      </c>
      <c r="V388" s="89" t="s">
        <v>50</v>
      </c>
      <c r="W388" s="89" t="s">
        <v>50</v>
      </c>
      <c r="X388" s="89" t="s">
        <v>50</v>
      </c>
      <c r="Y388" s="600" t="s">
        <v>3605</v>
      </c>
    </row>
    <row r="389" spans="1:25" x14ac:dyDescent="0.25">
      <c r="A389" s="26">
        <v>43712</v>
      </c>
      <c r="B389" s="89" t="s">
        <v>915</v>
      </c>
      <c r="C389" s="89" t="s">
        <v>126</v>
      </c>
      <c r="D389" s="89">
        <v>38.259819999999998</v>
      </c>
      <c r="E389" s="89">
        <v>-121.76311</v>
      </c>
      <c r="F389" s="89" t="s">
        <v>3862</v>
      </c>
      <c r="G389" s="89" t="s">
        <v>90</v>
      </c>
      <c r="H389" s="89" t="s">
        <v>845</v>
      </c>
      <c r="I389" s="602">
        <v>0.3354166666666667</v>
      </c>
      <c r="J389" s="82">
        <v>162.07499999999999</v>
      </c>
      <c r="K389" s="82">
        <v>22.450000000000003</v>
      </c>
      <c r="L389" s="82">
        <v>8.125</v>
      </c>
      <c r="M389" s="82">
        <v>1.2175</v>
      </c>
      <c r="N389" s="82">
        <v>3.375</v>
      </c>
      <c r="O389" s="89" t="s">
        <v>48</v>
      </c>
      <c r="P389" s="89">
        <v>4</v>
      </c>
      <c r="Q389" s="89">
        <v>10</v>
      </c>
      <c r="R389" s="89" t="s">
        <v>49</v>
      </c>
      <c r="S389" s="89" t="s">
        <v>50</v>
      </c>
      <c r="T389" s="89" t="s">
        <v>50</v>
      </c>
      <c r="U389" s="89" t="s">
        <v>50</v>
      </c>
      <c r="V389" s="89" t="s">
        <v>50</v>
      </c>
      <c r="W389" s="89" t="s">
        <v>50</v>
      </c>
      <c r="X389" s="89" t="s">
        <v>50</v>
      </c>
      <c r="Y389" s="600" t="s">
        <v>3863</v>
      </c>
    </row>
    <row r="390" spans="1:25" x14ac:dyDescent="0.25">
      <c r="A390" s="26">
        <v>43712</v>
      </c>
      <c r="B390" s="89" t="s">
        <v>915</v>
      </c>
      <c r="C390" s="89" t="s">
        <v>126</v>
      </c>
      <c r="D390" s="89">
        <v>38.28163</v>
      </c>
      <c r="E390" s="89">
        <v>-121.69297</v>
      </c>
      <c r="F390" s="89" t="s">
        <v>3864</v>
      </c>
      <c r="G390" s="89" t="s">
        <v>90</v>
      </c>
      <c r="H390" s="89" t="s">
        <v>845</v>
      </c>
      <c r="I390" s="602">
        <v>0.41041666666666665</v>
      </c>
      <c r="J390" s="82">
        <v>169.02500000000001</v>
      </c>
      <c r="K390" s="82">
        <v>22.424999999999997</v>
      </c>
      <c r="L390" s="82">
        <v>5.8274999999999997</v>
      </c>
      <c r="M390" s="82">
        <v>1.77</v>
      </c>
      <c r="N390" s="82">
        <v>4.9000000000000004</v>
      </c>
      <c r="O390" s="89" t="s">
        <v>48</v>
      </c>
      <c r="P390" s="89">
        <v>4</v>
      </c>
      <c r="Q390" s="89">
        <v>10</v>
      </c>
      <c r="R390" s="89" t="s">
        <v>49</v>
      </c>
      <c r="S390" s="89" t="s">
        <v>50</v>
      </c>
      <c r="T390" s="89" t="s">
        <v>50</v>
      </c>
      <c r="U390" s="89" t="s">
        <v>50</v>
      </c>
      <c r="V390" s="89" t="s">
        <v>50</v>
      </c>
      <c r="W390" s="89" t="s">
        <v>50</v>
      </c>
      <c r="X390" s="89" t="s">
        <v>50</v>
      </c>
    </row>
    <row r="391" spans="1:25" x14ac:dyDescent="0.25">
      <c r="A391" s="26">
        <v>43712</v>
      </c>
      <c r="B391" s="89" t="s">
        <v>915</v>
      </c>
      <c r="C391" s="89" t="s">
        <v>126</v>
      </c>
      <c r="D391" s="89">
        <v>38.254350000000002</v>
      </c>
      <c r="E391" s="89">
        <v>-121.67138</v>
      </c>
      <c r="F391" s="89" t="s">
        <v>3865</v>
      </c>
      <c r="G391" s="89" t="s">
        <v>90</v>
      </c>
      <c r="H391" s="89" t="s">
        <v>845</v>
      </c>
      <c r="I391" s="602">
        <v>0.46736111111111112</v>
      </c>
      <c r="J391" s="82">
        <v>179.77500000000001</v>
      </c>
      <c r="K391" s="82">
        <v>22.475000000000001</v>
      </c>
      <c r="L391" s="82">
        <v>7.1449999999999996</v>
      </c>
      <c r="M391" s="82">
        <v>1.6925000000000001</v>
      </c>
      <c r="N391" s="82">
        <v>10.1</v>
      </c>
      <c r="O391" s="89" t="s">
        <v>48</v>
      </c>
      <c r="P391" s="89">
        <v>4</v>
      </c>
      <c r="Q391" s="89">
        <v>10</v>
      </c>
      <c r="R391" s="89" t="s">
        <v>49</v>
      </c>
      <c r="S391" s="89" t="s">
        <v>50</v>
      </c>
      <c r="T391" s="89" t="s">
        <v>50</v>
      </c>
      <c r="U391" s="89" t="s">
        <v>50</v>
      </c>
      <c r="V391" s="89" t="s">
        <v>50</v>
      </c>
      <c r="W391" s="89" t="s">
        <v>50</v>
      </c>
      <c r="X391" s="89" t="s">
        <v>50</v>
      </c>
    </row>
    <row r="392" spans="1:25" x14ac:dyDescent="0.25">
      <c r="A392" s="26">
        <v>43712</v>
      </c>
      <c r="B392" s="89" t="s">
        <v>915</v>
      </c>
      <c r="C392" s="89" t="s">
        <v>62</v>
      </c>
      <c r="D392" s="89">
        <v>38.104559999999999</v>
      </c>
      <c r="E392" s="89">
        <v>-122.03673999999999</v>
      </c>
      <c r="F392" s="89" t="s">
        <v>3866</v>
      </c>
      <c r="G392" s="89" t="s">
        <v>27</v>
      </c>
      <c r="H392" s="89" t="s">
        <v>173</v>
      </c>
      <c r="I392" s="602">
        <v>0.35902777777777778</v>
      </c>
      <c r="J392" s="82">
        <v>10504</v>
      </c>
      <c r="K392" s="82">
        <v>21.866666666666664</v>
      </c>
      <c r="L392" s="82">
        <v>52.166666666666664</v>
      </c>
      <c r="M392" s="82">
        <v>0.34999999999999992</v>
      </c>
      <c r="N392" s="82">
        <v>3.2333333333333329</v>
      </c>
      <c r="O392" s="89" t="s">
        <v>48</v>
      </c>
      <c r="P392" s="89">
        <v>3</v>
      </c>
      <c r="Q392" s="89">
        <v>10</v>
      </c>
      <c r="R392" s="89" t="s">
        <v>64</v>
      </c>
      <c r="S392" s="89" t="s">
        <v>50</v>
      </c>
      <c r="T392" s="89" t="s">
        <v>50</v>
      </c>
      <c r="U392" s="89" t="s">
        <v>50</v>
      </c>
      <c r="V392" s="89" t="s">
        <v>50</v>
      </c>
      <c r="W392" s="89" t="s">
        <v>50</v>
      </c>
      <c r="X392" s="89" t="s">
        <v>50</v>
      </c>
      <c r="Y392" s="600" t="s">
        <v>3867</v>
      </c>
    </row>
    <row r="393" spans="1:25" x14ac:dyDescent="0.25">
      <c r="A393" s="26">
        <v>43712</v>
      </c>
      <c r="B393" s="89" t="s">
        <v>915</v>
      </c>
      <c r="C393" s="89" t="s">
        <v>62</v>
      </c>
      <c r="D393" s="89">
        <v>38.178289999999997</v>
      </c>
      <c r="E393" s="89">
        <v>-122.00698</v>
      </c>
      <c r="F393" s="89" t="s">
        <v>3868</v>
      </c>
      <c r="G393" s="89" t="s">
        <v>27</v>
      </c>
      <c r="H393" s="89" t="s">
        <v>62</v>
      </c>
      <c r="I393" s="602">
        <v>0.41180555555555554</v>
      </c>
      <c r="J393" s="82">
        <v>7870.5</v>
      </c>
      <c r="K393" s="82">
        <v>23.125000000000004</v>
      </c>
      <c r="L393" s="82">
        <v>40.25</v>
      </c>
      <c r="M393" s="82">
        <v>0.40500000000000003</v>
      </c>
      <c r="N393" s="82">
        <v>6.25</v>
      </c>
      <c r="O393" s="89" t="s">
        <v>48</v>
      </c>
      <c r="P393" s="89">
        <v>4</v>
      </c>
      <c r="Q393" s="89">
        <v>10</v>
      </c>
      <c r="R393" s="89" t="s">
        <v>49</v>
      </c>
      <c r="S393" s="89" t="s">
        <v>50</v>
      </c>
      <c r="T393" s="89" t="s">
        <v>50</v>
      </c>
      <c r="U393" s="89" t="s">
        <v>50</v>
      </c>
      <c r="V393" s="89" t="s">
        <v>50</v>
      </c>
      <c r="W393" s="89" t="s">
        <v>50</v>
      </c>
      <c r="X393" s="89" t="s">
        <v>50</v>
      </c>
    </row>
    <row r="394" spans="1:25" x14ac:dyDescent="0.25">
      <c r="A394" s="26">
        <v>43712</v>
      </c>
      <c r="B394" s="89" t="s">
        <v>915</v>
      </c>
      <c r="C394" s="89" t="s">
        <v>62</v>
      </c>
      <c r="D394" s="89">
        <v>38.106529999999999</v>
      </c>
      <c r="E394" s="89">
        <v>-122.05582</v>
      </c>
      <c r="F394" s="89" t="s">
        <v>3869</v>
      </c>
      <c r="G394" s="89" t="s">
        <v>27</v>
      </c>
      <c r="H394" s="89" t="s">
        <v>173</v>
      </c>
      <c r="I394" s="602">
        <v>0.48402777777777778</v>
      </c>
      <c r="J394" s="82">
        <v>7390</v>
      </c>
      <c r="K394" s="82">
        <v>21.65</v>
      </c>
      <c r="L394" s="82">
        <v>92.9</v>
      </c>
      <c r="M394" s="82">
        <v>0.375</v>
      </c>
      <c r="N394" s="82">
        <v>3.45</v>
      </c>
      <c r="O394" s="89" t="s">
        <v>48</v>
      </c>
      <c r="P394" s="89">
        <v>2</v>
      </c>
      <c r="Q394" s="89">
        <v>10</v>
      </c>
      <c r="R394" s="89" t="s">
        <v>49</v>
      </c>
      <c r="S394" s="89" t="s">
        <v>50</v>
      </c>
      <c r="T394" s="89" t="s">
        <v>50</v>
      </c>
      <c r="U394" s="89" t="s">
        <v>50</v>
      </c>
      <c r="V394" s="89" t="s">
        <v>50</v>
      </c>
      <c r="W394" s="89" t="s">
        <v>50</v>
      </c>
      <c r="X394" s="89" t="s">
        <v>50</v>
      </c>
      <c r="Y394" s="600" t="s">
        <v>3870</v>
      </c>
    </row>
    <row r="395" spans="1:25" x14ac:dyDescent="0.25">
      <c r="A395" s="26">
        <v>43713</v>
      </c>
      <c r="B395" s="89" t="s">
        <v>876</v>
      </c>
      <c r="C395" s="89" t="s">
        <v>106</v>
      </c>
      <c r="D395" s="89">
        <v>38.56373</v>
      </c>
      <c r="E395" s="89">
        <v>-121.55135</v>
      </c>
      <c r="F395" s="89" t="s">
        <v>3871</v>
      </c>
      <c r="G395" s="89" t="s">
        <v>90</v>
      </c>
      <c r="H395" s="89" t="s">
        <v>1787</v>
      </c>
      <c r="I395" s="602">
        <v>0.35833333333333334</v>
      </c>
      <c r="J395" s="82">
        <v>908.5</v>
      </c>
      <c r="K395" s="82">
        <v>25.4</v>
      </c>
      <c r="L395" s="82">
        <v>3.5474999999999999</v>
      </c>
      <c r="M395" s="82">
        <v>1.7550000000000001</v>
      </c>
      <c r="N395" s="82">
        <v>11.25</v>
      </c>
      <c r="O395" s="89" t="s">
        <v>48</v>
      </c>
      <c r="P395" s="89">
        <v>4</v>
      </c>
      <c r="Q395" s="89">
        <v>10</v>
      </c>
      <c r="R395" s="89" t="s">
        <v>64</v>
      </c>
      <c r="S395" s="89" t="s">
        <v>50</v>
      </c>
      <c r="T395" s="89" t="s">
        <v>50</v>
      </c>
      <c r="U395" s="89" t="s">
        <v>50</v>
      </c>
      <c r="V395" s="89" t="s">
        <v>50</v>
      </c>
      <c r="W395" s="89" t="s">
        <v>50</v>
      </c>
      <c r="X395" s="89" t="s">
        <v>50</v>
      </c>
    </row>
    <row r="396" spans="1:25" x14ac:dyDescent="0.25">
      <c r="A396" s="26">
        <v>43713</v>
      </c>
      <c r="B396" s="89" t="s">
        <v>876</v>
      </c>
      <c r="C396" s="89" t="s">
        <v>106</v>
      </c>
      <c r="D396" s="89">
        <v>38.48122</v>
      </c>
      <c r="E396" s="89">
        <v>-121.58416</v>
      </c>
      <c r="F396" s="89" t="s">
        <v>3872</v>
      </c>
      <c r="G396" s="89" t="s">
        <v>90</v>
      </c>
      <c r="H396" s="89" t="s">
        <v>1787</v>
      </c>
      <c r="I396" s="602">
        <v>0.41736111111111113</v>
      </c>
      <c r="J396" s="82">
        <v>769.75</v>
      </c>
      <c r="K396" s="82">
        <v>24.224999999999998</v>
      </c>
      <c r="L396" s="82">
        <v>57.674999999999997</v>
      </c>
      <c r="M396" s="82">
        <v>0.37</v>
      </c>
      <c r="N396" s="82">
        <v>10.625</v>
      </c>
      <c r="O396" s="89" t="s">
        <v>48</v>
      </c>
      <c r="P396" s="89">
        <v>4</v>
      </c>
      <c r="Q396" s="89">
        <v>10</v>
      </c>
      <c r="R396" s="89" t="s">
        <v>64</v>
      </c>
      <c r="S396" s="89" t="s">
        <v>50</v>
      </c>
      <c r="T396" s="89" t="s">
        <v>50</v>
      </c>
      <c r="U396" s="89" t="s">
        <v>50</v>
      </c>
      <c r="V396" s="89" t="s">
        <v>50</v>
      </c>
      <c r="W396" s="89" t="s">
        <v>50</v>
      </c>
      <c r="X396" s="89" t="s">
        <v>50</v>
      </c>
      <c r="Y396" s="600" t="s">
        <v>3873</v>
      </c>
    </row>
    <row r="397" spans="1:25" x14ac:dyDescent="0.25">
      <c r="A397" s="26">
        <v>43713</v>
      </c>
      <c r="B397" s="89" t="s">
        <v>876</v>
      </c>
      <c r="C397" s="89" t="s">
        <v>106</v>
      </c>
      <c r="D397" s="89">
        <v>38.245570000000001</v>
      </c>
      <c r="E397" s="89">
        <v>-121.67001</v>
      </c>
      <c r="F397" s="89" t="s">
        <v>3874</v>
      </c>
      <c r="G397" s="89" t="s">
        <v>90</v>
      </c>
      <c r="H397" s="89" t="s">
        <v>362</v>
      </c>
      <c r="I397" s="602">
        <v>0.52152777777777781</v>
      </c>
      <c r="J397" s="82">
        <v>159.22499999999999</v>
      </c>
      <c r="K397" s="82">
        <v>22.4</v>
      </c>
      <c r="L397" s="82">
        <v>8.0325000000000006</v>
      </c>
      <c r="M397" s="82">
        <v>1.3450000000000002</v>
      </c>
      <c r="N397" s="82">
        <v>7.0250000000000004</v>
      </c>
      <c r="O397" s="89" t="s">
        <v>48</v>
      </c>
      <c r="P397" s="89">
        <v>4</v>
      </c>
      <c r="Q397" s="89">
        <v>10</v>
      </c>
      <c r="R397" s="89" t="s">
        <v>49</v>
      </c>
      <c r="S397" s="89" t="s">
        <v>50</v>
      </c>
      <c r="T397" s="89" t="s">
        <v>50</v>
      </c>
      <c r="U397" s="89" t="s">
        <v>50</v>
      </c>
      <c r="V397" s="89" t="s">
        <v>50</v>
      </c>
      <c r="W397" s="89" t="s">
        <v>50</v>
      </c>
      <c r="X397" s="89" t="s">
        <v>50</v>
      </c>
      <c r="Y397" s="600" t="s">
        <v>3875</v>
      </c>
    </row>
    <row r="398" spans="1:25" x14ac:dyDescent="0.25">
      <c r="A398" s="194">
        <v>43713</v>
      </c>
      <c r="B398" s="98" t="s">
        <v>876</v>
      </c>
      <c r="C398" s="98" t="s">
        <v>78</v>
      </c>
      <c r="D398" s="98">
        <v>38.056399999999996</v>
      </c>
      <c r="E398" s="98">
        <v>-121.96256</v>
      </c>
      <c r="F398" s="98" t="s">
        <v>3876</v>
      </c>
      <c r="G398" s="98" t="s">
        <v>27</v>
      </c>
      <c r="H398" s="98" t="s">
        <v>170</v>
      </c>
      <c r="I398" s="621">
        <v>0.35000000000000003</v>
      </c>
      <c r="J398" s="100">
        <v>4599.25</v>
      </c>
      <c r="K398" s="100">
        <v>22.15</v>
      </c>
      <c r="L398" s="100">
        <v>43.225000000000001</v>
      </c>
      <c r="M398" s="100">
        <v>0.37749999999999995</v>
      </c>
      <c r="N398" s="100">
        <v>14.824999999999999</v>
      </c>
      <c r="O398" s="98" t="s">
        <v>48</v>
      </c>
      <c r="P398" s="98">
        <v>4</v>
      </c>
      <c r="Q398" s="98">
        <v>10</v>
      </c>
      <c r="R398" s="98" t="s">
        <v>64</v>
      </c>
      <c r="S398" s="98" t="s">
        <v>50</v>
      </c>
      <c r="T398" s="98" t="s">
        <v>50</v>
      </c>
      <c r="U398" s="98" t="s">
        <v>50</v>
      </c>
      <c r="V398" s="98" t="s">
        <v>50</v>
      </c>
      <c r="W398" s="98" t="s">
        <v>50</v>
      </c>
      <c r="X398" s="98" t="s">
        <v>50</v>
      </c>
      <c r="Y398" s="622"/>
    </row>
    <row r="399" spans="1:25" x14ac:dyDescent="0.25">
      <c r="A399" s="26">
        <v>43713</v>
      </c>
      <c r="B399" s="89" t="s">
        <v>876</v>
      </c>
      <c r="C399" s="89" t="s">
        <v>78</v>
      </c>
      <c r="D399" s="89">
        <v>38.098309999999998</v>
      </c>
      <c r="E399" s="89">
        <v>-122.05172</v>
      </c>
      <c r="F399" s="89" t="s">
        <v>3877</v>
      </c>
      <c r="G399" s="89" t="s">
        <v>27</v>
      </c>
      <c r="H399" s="89" t="s">
        <v>86</v>
      </c>
      <c r="I399" s="602">
        <v>0.4145833333333333</v>
      </c>
      <c r="J399" s="82">
        <v>12878.75</v>
      </c>
      <c r="K399" s="82">
        <v>21.45</v>
      </c>
      <c r="L399" s="82">
        <v>33.274999999999999</v>
      </c>
      <c r="M399" s="82">
        <v>0.435</v>
      </c>
      <c r="N399" s="82">
        <v>6.7000000000000011</v>
      </c>
      <c r="O399" s="89" t="s">
        <v>48</v>
      </c>
      <c r="P399" s="89">
        <v>4</v>
      </c>
      <c r="Q399" s="89">
        <v>10</v>
      </c>
      <c r="R399" s="89" t="s">
        <v>64</v>
      </c>
      <c r="S399" s="89" t="s">
        <v>50</v>
      </c>
      <c r="T399" s="89" t="s">
        <v>50</v>
      </c>
      <c r="U399" s="89" t="s">
        <v>50</v>
      </c>
      <c r="V399" s="89" t="s">
        <v>50</v>
      </c>
      <c r="W399" s="89" t="s">
        <v>50</v>
      </c>
      <c r="X399" s="89" t="s">
        <v>50</v>
      </c>
      <c r="Y399" s="600" t="s">
        <v>3878</v>
      </c>
    </row>
    <row r="400" spans="1:25" x14ac:dyDescent="0.25">
      <c r="A400" s="26">
        <v>43713</v>
      </c>
      <c r="B400" s="89" t="s">
        <v>876</v>
      </c>
      <c r="C400" s="89" t="s">
        <v>78</v>
      </c>
      <c r="D400" s="89">
        <v>38.082810000000002</v>
      </c>
      <c r="E400" s="89">
        <v>-122.07719</v>
      </c>
      <c r="F400" s="89" t="s">
        <v>3879</v>
      </c>
      <c r="G400" s="89" t="s">
        <v>80</v>
      </c>
      <c r="H400" s="89" t="s">
        <v>81</v>
      </c>
      <c r="I400" s="602">
        <v>0.47916666666666669</v>
      </c>
      <c r="J400" s="82">
        <v>13048</v>
      </c>
      <c r="K400" s="82">
        <v>21.725000000000001</v>
      </c>
      <c r="L400" s="82">
        <v>33.174999999999997</v>
      </c>
      <c r="M400" s="82">
        <v>0.32250000000000001</v>
      </c>
      <c r="N400" s="82">
        <v>7.7</v>
      </c>
      <c r="O400" s="89" t="s">
        <v>48</v>
      </c>
      <c r="P400" s="89">
        <v>4</v>
      </c>
      <c r="Q400" s="89">
        <v>10</v>
      </c>
      <c r="R400" s="89" t="s">
        <v>49</v>
      </c>
      <c r="S400" s="89" t="s">
        <v>50</v>
      </c>
      <c r="T400" s="89" t="s">
        <v>50</v>
      </c>
      <c r="U400" s="89" t="s">
        <v>50</v>
      </c>
      <c r="V400" s="89" t="s">
        <v>50</v>
      </c>
      <c r="W400" s="89" t="s">
        <v>50</v>
      </c>
      <c r="X400" s="89" t="s">
        <v>50</v>
      </c>
    </row>
    <row r="401" spans="1:25" x14ac:dyDescent="0.25">
      <c r="A401" s="26">
        <v>43713</v>
      </c>
      <c r="B401" s="89" t="s">
        <v>876</v>
      </c>
      <c r="C401" s="89" t="s">
        <v>78</v>
      </c>
      <c r="D401" s="89">
        <v>38.057690000000001</v>
      </c>
      <c r="E401" s="89">
        <v>-122.09963999999999</v>
      </c>
      <c r="F401" s="89" t="s">
        <v>3880</v>
      </c>
      <c r="G401" s="89" t="s">
        <v>80</v>
      </c>
      <c r="H401" s="89" t="s">
        <v>81</v>
      </c>
      <c r="I401" s="602">
        <v>0.53611111111111109</v>
      </c>
      <c r="J401" s="100">
        <v>12393.5</v>
      </c>
      <c r="K401" s="100">
        <v>22.05</v>
      </c>
      <c r="L401" s="100">
        <v>35.325000000000003</v>
      </c>
      <c r="M401" s="100">
        <v>0.35750000000000004</v>
      </c>
      <c r="N401" s="100">
        <v>4.625</v>
      </c>
      <c r="O401" s="98" t="s">
        <v>48</v>
      </c>
      <c r="P401" s="98">
        <v>4</v>
      </c>
      <c r="Q401" s="98">
        <v>10</v>
      </c>
      <c r="R401" s="89" t="s">
        <v>49</v>
      </c>
      <c r="S401" s="89" t="s">
        <v>50</v>
      </c>
      <c r="T401" s="89" t="s">
        <v>50</v>
      </c>
      <c r="U401" s="89" t="s">
        <v>50</v>
      </c>
      <c r="V401" s="89" t="s">
        <v>50</v>
      </c>
      <c r="W401" s="89" t="s">
        <v>50</v>
      </c>
      <c r="X401" s="89" t="s">
        <v>50</v>
      </c>
      <c r="Y401" s="600" t="s">
        <v>124</v>
      </c>
    </row>
    <row r="402" spans="1:25" x14ac:dyDescent="0.25">
      <c r="A402" s="26">
        <v>43713</v>
      </c>
      <c r="B402" s="89" t="s">
        <v>876</v>
      </c>
      <c r="C402" s="89" t="s">
        <v>88</v>
      </c>
      <c r="D402" s="89">
        <v>38.160310000000003</v>
      </c>
      <c r="E402" s="89">
        <v>-121.67983</v>
      </c>
      <c r="F402" s="89" t="s">
        <v>3881</v>
      </c>
      <c r="G402" s="89" t="s">
        <v>90</v>
      </c>
      <c r="H402" s="89" t="s">
        <v>91</v>
      </c>
      <c r="I402" s="602">
        <v>0.3430555555555555</v>
      </c>
      <c r="J402" s="82">
        <v>127.75999999999999</v>
      </c>
      <c r="K402" s="82">
        <v>21.880000000000003</v>
      </c>
      <c r="L402" s="82">
        <v>4.74</v>
      </c>
      <c r="M402" s="82">
        <v>1.714</v>
      </c>
      <c r="N402" s="82">
        <v>6.5</v>
      </c>
      <c r="O402" s="89" t="s">
        <v>48</v>
      </c>
      <c r="P402" s="89">
        <v>5</v>
      </c>
      <c r="Q402" s="89">
        <v>10</v>
      </c>
      <c r="R402" s="89" t="s">
        <v>64</v>
      </c>
      <c r="S402" s="89" t="s">
        <v>50</v>
      </c>
      <c r="T402" s="89" t="s">
        <v>50</v>
      </c>
      <c r="U402" s="89" t="s">
        <v>50</v>
      </c>
      <c r="V402" s="89" t="s">
        <v>50</v>
      </c>
      <c r="W402" s="89" t="s">
        <v>50</v>
      </c>
      <c r="X402" s="89" t="s">
        <v>50</v>
      </c>
      <c r="Y402" s="600" t="s">
        <v>3882</v>
      </c>
    </row>
    <row r="403" spans="1:25" x14ac:dyDescent="0.25">
      <c r="A403" s="194">
        <v>43713</v>
      </c>
      <c r="B403" s="98" t="s">
        <v>876</v>
      </c>
      <c r="C403" s="98" t="s">
        <v>88</v>
      </c>
      <c r="D403" s="98">
        <v>38.105260000000001</v>
      </c>
      <c r="E403" s="98">
        <v>-121.70823</v>
      </c>
      <c r="F403" s="98" t="s">
        <v>3883</v>
      </c>
      <c r="G403" s="98" t="s">
        <v>90</v>
      </c>
      <c r="H403" s="98" t="s">
        <v>91</v>
      </c>
      <c r="I403" s="621">
        <v>0.42222222222222222</v>
      </c>
      <c r="J403" s="100">
        <v>139.60000000000002</v>
      </c>
      <c r="K403" s="100">
        <v>22.4</v>
      </c>
      <c r="L403" s="100">
        <v>15.402500000000002</v>
      </c>
      <c r="M403" s="100">
        <v>1.2375</v>
      </c>
      <c r="N403" s="100">
        <v>6.75</v>
      </c>
      <c r="O403" s="98" t="s">
        <v>48</v>
      </c>
      <c r="P403" s="98">
        <v>4</v>
      </c>
      <c r="Q403" s="98">
        <v>10</v>
      </c>
      <c r="R403" s="98" t="s">
        <v>64</v>
      </c>
      <c r="S403" s="98" t="s">
        <v>50</v>
      </c>
      <c r="T403" s="98" t="s">
        <v>50</v>
      </c>
      <c r="U403" s="98" t="s">
        <v>50</v>
      </c>
      <c r="V403" s="98" t="s">
        <v>50</v>
      </c>
      <c r="W403" s="98" t="s">
        <v>50</v>
      </c>
      <c r="X403" s="98" t="s">
        <v>50</v>
      </c>
      <c r="Y403" s="622"/>
    </row>
    <row r="404" spans="1:25" x14ac:dyDescent="0.25">
      <c r="A404" s="26">
        <v>43713</v>
      </c>
      <c r="B404" s="89" t="s">
        <v>876</v>
      </c>
      <c r="C404" s="89" t="s">
        <v>88</v>
      </c>
      <c r="D404" s="89">
        <v>38.076979999999999</v>
      </c>
      <c r="E404" s="89">
        <v>-121.76595</v>
      </c>
      <c r="F404" s="89" t="s">
        <v>3884</v>
      </c>
      <c r="G404" s="89" t="s">
        <v>27</v>
      </c>
      <c r="H404" s="89" t="s">
        <v>25</v>
      </c>
      <c r="I404" s="602">
        <v>0.48333333333333334</v>
      </c>
      <c r="J404" s="82">
        <v>140.25</v>
      </c>
      <c r="K404" s="82">
        <v>22.224999999999998</v>
      </c>
      <c r="L404" s="82">
        <v>58.099999999999994</v>
      </c>
      <c r="M404" s="82">
        <v>0.6775000000000001</v>
      </c>
      <c r="N404" s="82">
        <v>9.6499999999999986</v>
      </c>
      <c r="O404" s="89" t="s">
        <v>48</v>
      </c>
      <c r="P404" s="89">
        <v>4</v>
      </c>
      <c r="Q404" s="89">
        <v>10</v>
      </c>
      <c r="R404" s="89" t="s">
        <v>49</v>
      </c>
      <c r="S404" s="89" t="s">
        <v>50</v>
      </c>
      <c r="T404" s="89" t="s">
        <v>50</v>
      </c>
      <c r="U404" s="89" t="s">
        <v>50</v>
      </c>
      <c r="V404" s="89" t="s">
        <v>50</v>
      </c>
      <c r="W404" s="89" t="s">
        <v>50</v>
      </c>
      <c r="X404" s="89" t="s">
        <v>50</v>
      </c>
    </row>
    <row r="405" spans="1:25" x14ac:dyDescent="0.25">
      <c r="A405" s="194">
        <v>43714</v>
      </c>
      <c r="B405" s="98" t="s">
        <v>125</v>
      </c>
      <c r="C405" s="98" t="s">
        <v>106</v>
      </c>
      <c r="D405" s="98">
        <v>38.471260000000001</v>
      </c>
      <c r="E405" s="98">
        <v>-121.58489</v>
      </c>
      <c r="F405" s="98" t="s">
        <v>3885</v>
      </c>
      <c r="G405" s="98" t="s">
        <v>90</v>
      </c>
      <c r="H405" s="98" t="s">
        <v>362</v>
      </c>
      <c r="I405" s="621">
        <v>0.34027777777777773</v>
      </c>
      <c r="J405" s="100">
        <v>796.75</v>
      </c>
      <c r="K405" s="100">
        <v>23.899999999999995</v>
      </c>
      <c r="L405" s="100">
        <v>25.150000000000002</v>
      </c>
      <c r="M405" s="100">
        <v>0.50750000000000006</v>
      </c>
      <c r="N405" s="100">
        <v>9.9250000000000007</v>
      </c>
      <c r="O405" s="98" t="s">
        <v>48</v>
      </c>
      <c r="P405" s="98">
        <v>4</v>
      </c>
      <c r="Q405" s="98">
        <v>10</v>
      </c>
      <c r="R405" s="98" t="s">
        <v>64</v>
      </c>
      <c r="S405" s="98" t="s">
        <v>50</v>
      </c>
      <c r="T405" s="98" t="s">
        <v>50</v>
      </c>
      <c r="U405" s="98" t="s">
        <v>50</v>
      </c>
      <c r="V405" s="98" t="s">
        <v>50</v>
      </c>
      <c r="W405" s="98" t="s">
        <v>50</v>
      </c>
      <c r="X405" s="98" t="s">
        <v>50</v>
      </c>
      <c r="Y405" s="622" t="s">
        <v>3886</v>
      </c>
    </row>
    <row r="406" spans="1:25" x14ac:dyDescent="0.25">
      <c r="A406" s="26">
        <v>43714</v>
      </c>
      <c r="B406" s="89" t="s">
        <v>125</v>
      </c>
      <c r="C406" s="89" t="s">
        <v>106</v>
      </c>
      <c r="D406" s="89">
        <v>38.357709999999997</v>
      </c>
      <c r="E406" s="89">
        <v>-121.63701</v>
      </c>
      <c r="F406" s="89" t="s">
        <v>3887</v>
      </c>
      <c r="G406" s="89" t="s">
        <v>90</v>
      </c>
      <c r="H406" s="89" t="s">
        <v>362</v>
      </c>
      <c r="I406" s="602">
        <v>0.40416666666666662</v>
      </c>
      <c r="J406" s="82">
        <v>390.77499999999998</v>
      </c>
      <c r="K406" s="82">
        <v>23.175000000000001</v>
      </c>
      <c r="L406" s="82">
        <v>25.774999999999999</v>
      </c>
      <c r="M406" s="82">
        <v>0.51249999999999996</v>
      </c>
      <c r="N406" s="82">
        <v>10.525</v>
      </c>
      <c r="O406" s="89" t="s">
        <v>48</v>
      </c>
      <c r="P406" s="89">
        <v>4</v>
      </c>
      <c r="Q406" s="89">
        <v>10</v>
      </c>
      <c r="R406" s="89" t="s">
        <v>64</v>
      </c>
      <c r="S406" s="89" t="s">
        <v>50</v>
      </c>
      <c r="T406" s="89" t="s">
        <v>50</v>
      </c>
      <c r="U406" s="89" t="s">
        <v>50</v>
      </c>
      <c r="V406" s="89" t="s">
        <v>50</v>
      </c>
      <c r="W406" s="89" t="s">
        <v>50</v>
      </c>
      <c r="X406" s="89" t="s">
        <v>50</v>
      </c>
      <c r="Y406" s="600" t="s">
        <v>3888</v>
      </c>
    </row>
    <row r="407" spans="1:25" x14ac:dyDescent="0.25">
      <c r="A407" s="26">
        <v>43714</v>
      </c>
      <c r="B407" s="89" t="s">
        <v>125</v>
      </c>
      <c r="C407" s="89" t="s">
        <v>106</v>
      </c>
      <c r="D407" s="89">
        <v>38.209699999999998</v>
      </c>
      <c r="E407" s="89">
        <v>-121.66327</v>
      </c>
      <c r="F407" s="89" t="s">
        <v>3889</v>
      </c>
      <c r="G407" s="89" t="s">
        <v>90</v>
      </c>
      <c r="H407" s="89" t="s">
        <v>362</v>
      </c>
      <c r="I407" s="602">
        <v>0.47430555555555554</v>
      </c>
      <c r="J407" s="82">
        <v>142.02500000000001</v>
      </c>
      <c r="K407" s="82">
        <v>21.5</v>
      </c>
      <c r="L407" s="82">
        <v>7.13</v>
      </c>
      <c r="M407" s="82">
        <v>1.4775</v>
      </c>
      <c r="N407" s="82">
        <v>12.599999999999998</v>
      </c>
      <c r="O407" s="89" t="s">
        <v>48</v>
      </c>
      <c r="P407" s="89">
        <v>4</v>
      </c>
      <c r="Q407" s="89">
        <v>10</v>
      </c>
      <c r="R407" s="89" t="s">
        <v>64</v>
      </c>
      <c r="S407" s="89" t="s">
        <v>50</v>
      </c>
      <c r="T407" s="89" t="s">
        <v>50</v>
      </c>
      <c r="U407" s="89" t="s">
        <v>50</v>
      </c>
      <c r="V407" s="89" t="s">
        <v>50</v>
      </c>
      <c r="W407" s="89" t="s">
        <v>50</v>
      </c>
      <c r="X407" s="89" t="s">
        <v>50</v>
      </c>
    </row>
    <row r="408" spans="1:25" x14ac:dyDescent="0.25">
      <c r="A408" s="26">
        <v>43714</v>
      </c>
      <c r="B408" s="89" t="s">
        <v>125</v>
      </c>
      <c r="C408" s="89" t="s">
        <v>118</v>
      </c>
      <c r="D408" s="89">
        <v>38.051169999999999</v>
      </c>
      <c r="E408" s="89">
        <v>-122.17589</v>
      </c>
      <c r="F408" s="89" t="s">
        <v>3890</v>
      </c>
      <c r="G408" s="89" t="s">
        <v>80</v>
      </c>
      <c r="H408" s="89" t="s">
        <v>3332</v>
      </c>
      <c r="I408" s="602">
        <v>0.41736111111111113</v>
      </c>
      <c r="J408" s="82">
        <v>19788</v>
      </c>
      <c r="K408" s="82">
        <v>21.549999999999997</v>
      </c>
      <c r="L408" s="82">
        <v>13.075000000000001</v>
      </c>
      <c r="M408" s="82">
        <v>0.7024999999999999</v>
      </c>
      <c r="N408" s="82">
        <v>29.6</v>
      </c>
      <c r="O408" s="89" t="s">
        <v>48</v>
      </c>
      <c r="P408" s="89">
        <v>4</v>
      </c>
      <c r="Q408" s="89">
        <v>10</v>
      </c>
      <c r="R408" s="89" t="s">
        <v>64</v>
      </c>
      <c r="S408" s="89" t="s">
        <v>50</v>
      </c>
      <c r="T408" s="89" t="s">
        <v>50</v>
      </c>
      <c r="U408" s="89" t="s">
        <v>50</v>
      </c>
      <c r="V408" s="89" t="s">
        <v>50</v>
      </c>
      <c r="W408" s="89" t="s">
        <v>50</v>
      </c>
      <c r="X408" s="89" t="s">
        <v>50</v>
      </c>
    </row>
    <row r="409" spans="1:25" x14ac:dyDescent="0.25">
      <c r="A409" s="26">
        <v>43714</v>
      </c>
      <c r="B409" s="89" t="s">
        <v>125</v>
      </c>
      <c r="C409" s="98" t="s">
        <v>118</v>
      </c>
      <c r="D409" s="98">
        <v>38.060139999999997</v>
      </c>
      <c r="E409" s="98">
        <v>-122.2272</v>
      </c>
      <c r="F409" s="98" t="s">
        <v>3891</v>
      </c>
      <c r="G409" s="98" t="s">
        <v>80</v>
      </c>
      <c r="H409" s="98" t="s">
        <v>3332</v>
      </c>
      <c r="I409" s="602">
        <v>0.36458333333333331</v>
      </c>
      <c r="J409" s="100">
        <v>25352.5</v>
      </c>
      <c r="K409" s="100">
        <v>21.1</v>
      </c>
      <c r="L409" s="100">
        <v>11.9</v>
      </c>
      <c r="M409" s="100">
        <v>0.79999999999999993</v>
      </c>
      <c r="N409" s="100">
        <v>32.275000000000006</v>
      </c>
      <c r="O409" s="98" t="s">
        <v>48</v>
      </c>
      <c r="P409" s="98">
        <v>4</v>
      </c>
      <c r="Q409" s="98">
        <v>10</v>
      </c>
      <c r="R409" s="89" t="s">
        <v>64</v>
      </c>
      <c r="S409" s="89" t="s">
        <v>50</v>
      </c>
      <c r="T409" s="89" t="s">
        <v>50</v>
      </c>
      <c r="U409" s="89" t="s">
        <v>50</v>
      </c>
      <c r="V409" s="89" t="s">
        <v>50</v>
      </c>
      <c r="W409" s="89" t="s">
        <v>50</v>
      </c>
      <c r="X409" s="89" t="s">
        <v>50</v>
      </c>
    </row>
    <row r="410" spans="1:25" x14ac:dyDescent="0.25">
      <c r="A410" s="26">
        <v>43714</v>
      </c>
      <c r="B410" s="89" t="s">
        <v>125</v>
      </c>
      <c r="C410" s="89" t="s">
        <v>118</v>
      </c>
      <c r="D410" s="89">
        <v>38.040100000000002</v>
      </c>
      <c r="E410" s="89">
        <v>-122.29281</v>
      </c>
      <c r="F410" s="89" t="s">
        <v>3892</v>
      </c>
      <c r="G410" s="89" t="s">
        <v>80</v>
      </c>
      <c r="H410" s="89" t="s">
        <v>123</v>
      </c>
      <c r="I410" s="602">
        <v>0.30902777777777779</v>
      </c>
      <c r="J410" s="82">
        <v>29422</v>
      </c>
      <c r="K410" s="82">
        <v>20.975000000000001</v>
      </c>
      <c r="L410" s="82">
        <v>9.5</v>
      </c>
      <c r="M410" s="82">
        <v>0.97749999999999992</v>
      </c>
      <c r="N410" s="82">
        <v>3.5249999999999999</v>
      </c>
      <c r="O410" s="89" t="s">
        <v>48</v>
      </c>
      <c r="P410" s="89">
        <v>4</v>
      </c>
      <c r="Q410" s="89">
        <v>10</v>
      </c>
      <c r="R410" s="89" t="s">
        <v>64</v>
      </c>
      <c r="S410" s="89" t="s">
        <v>50</v>
      </c>
      <c r="T410" s="89" t="s">
        <v>50</v>
      </c>
      <c r="U410" s="89" t="s">
        <v>50</v>
      </c>
      <c r="V410" s="89" t="s">
        <v>50</v>
      </c>
      <c r="W410" s="89" t="s">
        <v>50</v>
      </c>
      <c r="X410" s="89" t="s">
        <v>50</v>
      </c>
    </row>
    <row r="411" spans="1:25" x14ac:dyDescent="0.25">
      <c r="A411" s="26">
        <v>43714</v>
      </c>
      <c r="B411" s="89" t="s">
        <v>125</v>
      </c>
      <c r="C411" s="89" t="s">
        <v>88</v>
      </c>
      <c r="D411" s="89">
        <v>38.063290000000002</v>
      </c>
      <c r="E411" s="89">
        <v>-121.79362999999999</v>
      </c>
      <c r="F411" s="89" t="s">
        <v>3893</v>
      </c>
      <c r="G411" s="89" t="s">
        <v>27</v>
      </c>
      <c r="H411" s="89" t="s">
        <v>25</v>
      </c>
      <c r="I411" s="602">
        <v>0.31944444444444448</v>
      </c>
      <c r="J411" s="82">
        <v>131.97499999999999</v>
      </c>
      <c r="K411" s="82">
        <v>21.975000000000001</v>
      </c>
      <c r="L411" s="82">
        <v>12.127500000000001</v>
      </c>
      <c r="M411" s="82">
        <v>0.86499999999999999</v>
      </c>
      <c r="N411" s="82">
        <v>10.324999999999999</v>
      </c>
      <c r="O411" s="89" t="s">
        <v>48</v>
      </c>
      <c r="P411" s="89">
        <v>4</v>
      </c>
      <c r="Q411" s="89">
        <v>10</v>
      </c>
      <c r="R411" s="89" t="s">
        <v>64</v>
      </c>
      <c r="S411" s="89" t="s">
        <v>50</v>
      </c>
      <c r="T411" s="89" t="s">
        <v>50</v>
      </c>
      <c r="U411" s="89" t="s">
        <v>50</v>
      </c>
      <c r="V411" s="89" t="s">
        <v>50</v>
      </c>
      <c r="W411" s="89" t="s">
        <v>50</v>
      </c>
      <c r="X411" s="89" t="s">
        <v>50</v>
      </c>
    </row>
    <row r="412" spans="1:25" x14ac:dyDescent="0.25">
      <c r="A412" s="26">
        <v>43714</v>
      </c>
      <c r="B412" s="89" t="s">
        <v>125</v>
      </c>
      <c r="C412" s="89" t="s">
        <v>88</v>
      </c>
      <c r="D412" s="89">
        <v>38.097020000000001</v>
      </c>
      <c r="E412" s="89">
        <v>-121.72981</v>
      </c>
      <c r="F412" s="89" t="s">
        <v>3894</v>
      </c>
      <c r="G412" s="89" t="s">
        <v>90</v>
      </c>
      <c r="H412" s="89" t="s">
        <v>91</v>
      </c>
      <c r="I412" s="602">
        <v>0.3743055555555555</v>
      </c>
      <c r="J412" s="82">
        <v>130.75</v>
      </c>
      <c r="K412" s="82">
        <v>21.875</v>
      </c>
      <c r="L412" s="82">
        <v>7.3525</v>
      </c>
      <c r="M412" s="82">
        <v>1.385</v>
      </c>
      <c r="N412" s="82">
        <v>8.3000000000000007</v>
      </c>
      <c r="O412" s="89" t="s">
        <v>48</v>
      </c>
      <c r="P412" s="89">
        <v>4</v>
      </c>
      <c r="Q412" s="89">
        <v>10</v>
      </c>
      <c r="R412" s="89" t="s">
        <v>64</v>
      </c>
      <c r="S412" s="89" t="s">
        <v>50</v>
      </c>
      <c r="T412" s="89" t="s">
        <v>50</v>
      </c>
      <c r="U412" s="89" t="s">
        <v>50</v>
      </c>
      <c r="V412" s="89" t="s">
        <v>50</v>
      </c>
      <c r="W412" s="89" t="s">
        <v>50</v>
      </c>
      <c r="X412" s="89" t="s">
        <v>50</v>
      </c>
    </row>
    <row r="413" spans="1:25" s="607" customFormat="1" x14ac:dyDescent="0.25">
      <c r="A413" s="360">
        <v>43714</v>
      </c>
      <c r="B413" s="362" t="s">
        <v>125</v>
      </c>
      <c r="C413" s="362" t="s">
        <v>88</v>
      </c>
      <c r="D413" s="362">
        <v>38.176070000000003</v>
      </c>
      <c r="E413" s="362">
        <v>-121.66862</v>
      </c>
      <c r="F413" s="362" t="s">
        <v>3895</v>
      </c>
      <c r="G413" s="362" t="s">
        <v>90</v>
      </c>
      <c r="H413" s="362" t="s">
        <v>91</v>
      </c>
      <c r="I413" s="618">
        <v>0.43472222222222223</v>
      </c>
      <c r="J413" s="364">
        <v>134</v>
      </c>
      <c r="K413" s="364">
        <v>21.625</v>
      </c>
      <c r="L413" s="364">
        <v>5.6950000000000003</v>
      </c>
      <c r="M413" s="364">
        <v>1.605</v>
      </c>
      <c r="N413" s="364">
        <v>14.399999999999999</v>
      </c>
      <c r="O413" s="362" t="s">
        <v>48</v>
      </c>
      <c r="P413" s="362">
        <v>4</v>
      </c>
      <c r="Q413" s="362">
        <v>10</v>
      </c>
      <c r="R413" s="362" t="s">
        <v>64</v>
      </c>
      <c r="S413" s="362" t="s">
        <v>50</v>
      </c>
      <c r="T413" s="362" t="s">
        <v>50</v>
      </c>
      <c r="U413" s="362" t="s">
        <v>50</v>
      </c>
      <c r="V413" s="362" t="s">
        <v>50</v>
      </c>
      <c r="W413" s="362" t="s">
        <v>50</v>
      </c>
      <c r="X413" s="362" t="s">
        <v>50</v>
      </c>
      <c r="Y413" s="603"/>
    </row>
    <row r="414" spans="1:25" s="496" customFormat="1" x14ac:dyDescent="0.25">
      <c r="A414" s="495">
        <v>43717</v>
      </c>
      <c r="B414" s="496" t="s">
        <v>43</v>
      </c>
      <c r="C414" s="496" t="s">
        <v>106</v>
      </c>
      <c r="D414" s="496">
        <v>38.410760000000003</v>
      </c>
      <c r="E414" s="496">
        <v>-121.61233</v>
      </c>
      <c r="F414" s="496" t="s">
        <v>3896</v>
      </c>
      <c r="G414" s="496" t="s">
        <v>90</v>
      </c>
      <c r="H414" s="496" t="s">
        <v>362</v>
      </c>
      <c r="I414" s="615">
        <v>0.35972222222222222</v>
      </c>
      <c r="J414" s="498">
        <v>593</v>
      </c>
      <c r="K414" s="498">
        <v>22.85</v>
      </c>
      <c r="L414" s="498">
        <v>24.95</v>
      </c>
      <c r="M414" s="498">
        <v>0.46499999999999997</v>
      </c>
      <c r="N414" s="498">
        <v>8.35</v>
      </c>
      <c r="O414" s="496" t="s">
        <v>48</v>
      </c>
      <c r="P414" s="496">
        <v>2</v>
      </c>
      <c r="Q414" s="496">
        <v>20</v>
      </c>
      <c r="R414" s="496" t="s">
        <v>64</v>
      </c>
      <c r="S414" s="496" t="s">
        <v>323</v>
      </c>
      <c r="T414" s="496">
        <v>1</v>
      </c>
      <c r="U414" s="496">
        <v>37</v>
      </c>
      <c r="V414" s="496" t="s">
        <v>50</v>
      </c>
      <c r="W414" s="496" t="s">
        <v>50</v>
      </c>
      <c r="X414" s="496" t="s">
        <v>50</v>
      </c>
      <c r="Y414" s="601" t="s">
        <v>3747</v>
      </c>
    </row>
    <row r="415" spans="1:25" x14ac:dyDescent="0.25">
      <c r="A415" s="26">
        <v>43717</v>
      </c>
      <c r="B415" s="89" t="s">
        <v>43</v>
      </c>
      <c r="C415" s="89" t="s">
        <v>106</v>
      </c>
      <c r="D415" s="89">
        <v>38.507249999999999</v>
      </c>
      <c r="E415" s="89">
        <v>-121.58472999999999</v>
      </c>
      <c r="F415" s="89" t="s">
        <v>3897</v>
      </c>
      <c r="G415" s="89" t="s">
        <v>90</v>
      </c>
      <c r="H415" s="89" t="s">
        <v>1787</v>
      </c>
      <c r="I415" s="602">
        <v>0.40902777777777777</v>
      </c>
      <c r="J415" s="82">
        <v>869.5</v>
      </c>
      <c r="K415" s="82">
        <v>23.833333333333332</v>
      </c>
      <c r="L415" s="82">
        <v>11.324999999999999</v>
      </c>
      <c r="M415" s="82">
        <v>0.92749999999999999</v>
      </c>
      <c r="N415" s="82">
        <v>10.050000000000001</v>
      </c>
      <c r="O415" s="89" t="s">
        <v>48</v>
      </c>
      <c r="P415" s="89">
        <v>4</v>
      </c>
      <c r="Q415" s="89">
        <v>10</v>
      </c>
      <c r="R415" s="89" t="s">
        <v>49</v>
      </c>
      <c r="S415" s="89" t="s">
        <v>50</v>
      </c>
      <c r="T415" s="89" t="s">
        <v>50</v>
      </c>
      <c r="U415" s="89" t="s">
        <v>50</v>
      </c>
      <c r="V415" s="89" t="s">
        <v>50</v>
      </c>
      <c r="W415" s="89" t="s">
        <v>50</v>
      </c>
      <c r="X415" s="89" t="s">
        <v>50</v>
      </c>
      <c r="Y415" s="600" t="s">
        <v>1211</v>
      </c>
    </row>
    <row r="416" spans="1:25" x14ac:dyDescent="0.25">
      <c r="A416" s="26">
        <v>43717</v>
      </c>
      <c r="B416" s="89" t="s">
        <v>43</v>
      </c>
      <c r="C416" s="89" t="s">
        <v>106</v>
      </c>
      <c r="D416" s="89">
        <v>38.561149999999998</v>
      </c>
      <c r="E416" s="89">
        <v>-121.55977</v>
      </c>
      <c r="F416" s="89" t="s">
        <v>3898</v>
      </c>
      <c r="G416" s="89" t="s">
        <v>90</v>
      </c>
      <c r="H416" s="89" t="s">
        <v>1787</v>
      </c>
      <c r="I416" s="602">
        <v>0.46249999999999997</v>
      </c>
      <c r="J416" s="82">
        <v>886.75</v>
      </c>
      <c r="K416" s="82">
        <v>24.675000000000001</v>
      </c>
      <c r="L416" s="82">
        <v>3.8125</v>
      </c>
      <c r="M416" s="82">
        <v>1.8050000000000002</v>
      </c>
      <c r="N416" s="82">
        <v>10.399999999999999</v>
      </c>
      <c r="O416" s="89" t="s">
        <v>48</v>
      </c>
      <c r="P416" s="89">
        <v>4</v>
      </c>
      <c r="Q416" s="89">
        <v>10</v>
      </c>
      <c r="R416" s="89" t="s">
        <v>49</v>
      </c>
      <c r="S416" s="89" t="s">
        <v>50</v>
      </c>
      <c r="T416" s="89" t="s">
        <v>50</v>
      </c>
      <c r="U416" s="89" t="s">
        <v>50</v>
      </c>
      <c r="V416" s="89" t="s">
        <v>50</v>
      </c>
      <c r="W416" s="89" t="s">
        <v>50</v>
      </c>
      <c r="X416" s="89" t="s">
        <v>50</v>
      </c>
    </row>
    <row r="417" spans="1:25" x14ac:dyDescent="0.25">
      <c r="A417" s="26">
        <v>43717</v>
      </c>
      <c r="B417" s="89" t="s">
        <v>43</v>
      </c>
      <c r="C417" s="89" t="s">
        <v>106</v>
      </c>
      <c r="D417" s="89">
        <v>38.563360000000003</v>
      </c>
      <c r="E417" s="89">
        <v>-121.55092</v>
      </c>
      <c r="F417" s="89" t="s">
        <v>3899</v>
      </c>
      <c r="G417" s="89" t="s">
        <v>90</v>
      </c>
      <c r="H417" s="89" t="s">
        <v>1787</v>
      </c>
      <c r="I417" s="602">
        <v>0.5180555555555556</v>
      </c>
      <c r="J417" s="82">
        <v>855.5</v>
      </c>
      <c r="K417" s="82">
        <v>24.875</v>
      </c>
      <c r="L417" s="82">
        <v>3.7174999999999998</v>
      </c>
      <c r="M417" s="82">
        <v>1.855</v>
      </c>
      <c r="N417" s="82">
        <v>11.25</v>
      </c>
      <c r="O417" s="89" t="s">
        <v>48</v>
      </c>
      <c r="P417" s="89">
        <v>4</v>
      </c>
      <c r="Q417" s="89">
        <v>10</v>
      </c>
      <c r="R417" s="89" t="s">
        <v>64</v>
      </c>
      <c r="S417" s="89" t="s">
        <v>50</v>
      </c>
      <c r="T417" s="89" t="s">
        <v>50</v>
      </c>
      <c r="U417" s="89" t="s">
        <v>50</v>
      </c>
      <c r="V417" s="89" t="s">
        <v>50</v>
      </c>
      <c r="W417" s="89" t="s">
        <v>50</v>
      </c>
      <c r="X417" s="89" t="s">
        <v>50</v>
      </c>
    </row>
    <row r="418" spans="1:25" x14ac:dyDescent="0.25">
      <c r="A418" s="26">
        <v>43717</v>
      </c>
      <c r="B418" s="89" t="s">
        <v>43</v>
      </c>
      <c r="C418" s="89" t="s">
        <v>88</v>
      </c>
      <c r="D418" s="89">
        <v>38.06653</v>
      </c>
      <c r="E418" s="89">
        <v>-121.82993999999999</v>
      </c>
      <c r="F418" s="89" t="s">
        <v>3900</v>
      </c>
      <c r="G418" s="89" t="s">
        <v>27</v>
      </c>
      <c r="H418" s="89" t="s">
        <v>25</v>
      </c>
      <c r="I418" s="602">
        <v>0.3354166666666667</v>
      </c>
      <c r="J418" s="428">
        <v>135.20000000000002</v>
      </c>
      <c r="K418" s="428">
        <v>21.024999999999999</v>
      </c>
      <c r="L418" s="428">
        <v>13.525</v>
      </c>
      <c r="M418" s="428">
        <v>0.81500000000000006</v>
      </c>
      <c r="N418" s="428">
        <v>7.625</v>
      </c>
      <c r="O418" s="89" t="s">
        <v>48</v>
      </c>
      <c r="P418" s="89">
        <v>4</v>
      </c>
      <c r="Q418" s="89">
        <v>10</v>
      </c>
      <c r="R418" s="89" t="s">
        <v>49</v>
      </c>
      <c r="S418" s="89" t="s">
        <v>50</v>
      </c>
      <c r="T418" s="89" t="s">
        <v>50</v>
      </c>
      <c r="U418" s="89" t="s">
        <v>50</v>
      </c>
      <c r="V418" s="89" t="s">
        <v>50</v>
      </c>
      <c r="W418" s="89" t="s">
        <v>50</v>
      </c>
      <c r="X418" s="89" t="s">
        <v>50</v>
      </c>
    </row>
    <row r="419" spans="1:25" x14ac:dyDescent="0.25">
      <c r="A419" s="26">
        <v>43717</v>
      </c>
      <c r="B419" s="89" t="s">
        <v>43</v>
      </c>
      <c r="C419" s="89" t="s">
        <v>88</v>
      </c>
      <c r="D419" s="89">
        <v>38.068719999999999</v>
      </c>
      <c r="E419" s="89">
        <v>-121.78382000000001</v>
      </c>
      <c r="F419" s="89" t="s">
        <v>3901</v>
      </c>
      <c r="G419" s="89" t="s">
        <v>27</v>
      </c>
      <c r="H419" s="89" t="s">
        <v>25</v>
      </c>
      <c r="I419" s="602">
        <v>0.38680555555555557</v>
      </c>
      <c r="J419" s="82">
        <v>135.69999999999999</v>
      </c>
      <c r="K419" s="82">
        <v>20.85</v>
      </c>
      <c r="L419" s="82">
        <v>12.202499999999999</v>
      </c>
      <c r="M419" s="82">
        <v>0.9</v>
      </c>
      <c r="N419" s="82">
        <v>9.8000000000000007</v>
      </c>
      <c r="O419" s="89" t="s">
        <v>48</v>
      </c>
      <c r="P419" s="89">
        <v>4</v>
      </c>
      <c r="Q419" s="89">
        <v>10</v>
      </c>
      <c r="R419" s="89" t="s">
        <v>49</v>
      </c>
      <c r="S419" s="89" t="s">
        <v>50</v>
      </c>
      <c r="T419" s="89" t="s">
        <v>50</v>
      </c>
      <c r="U419" s="89" t="s">
        <v>50</v>
      </c>
      <c r="V419" s="89" t="s">
        <v>50</v>
      </c>
      <c r="W419" s="89" t="s">
        <v>50</v>
      </c>
      <c r="X419" s="89" t="s">
        <v>50</v>
      </c>
    </row>
    <row r="420" spans="1:25" x14ac:dyDescent="0.25">
      <c r="A420" s="26">
        <v>43717</v>
      </c>
      <c r="B420" s="89" t="s">
        <v>43</v>
      </c>
      <c r="C420" s="89" t="s">
        <v>88</v>
      </c>
      <c r="D420" s="89">
        <v>38.139180000000003</v>
      </c>
      <c r="E420" s="89">
        <v>-121.69242</v>
      </c>
      <c r="F420" s="89" t="s">
        <v>3902</v>
      </c>
      <c r="G420" s="89" t="s">
        <v>90</v>
      </c>
      <c r="H420" s="89" t="s">
        <v>91</v>
      </c>
      <c r="I420" s="602">
        <v>0.44930555555555557</v>
      </c>
      <c r="J420" s="82">
        <v>144.55000000000001</v>
      </c>
      <c r="K420" s="82">
        <v>20.675000000000001</v>
      </c>
      <c r="L420" s="82">
        <v>8.1374999999999993</v>
      </c>
      <c r="M420" s="82">
        <v>1.6149999999999998</v>
      </c>
      <c r="N420" s="82">
        <v>10.025</v>
      </c>
      <c r="O420" s="89" t="s">
        <v>48</v>
      </c>
      <c r="P420" s="89">
        <v>4</v>
      </c>
      <c r="Q420" s="89">
        <v>10</v>
      </c>
      <c r="R420" s="89" t="s">
        <v>64</v>
      </c>
      <c r="S420" s="89" t="s">
        <v>50</v>
      </c>
      <c r="T420" s="89" t="s">
        <v>50</v>
      </c>
      <c r="U420" s="89" t="s">
        <v>50</v>
      </c>
      <c r="V420" s="89" t="s">
        <v>50</v>
      </c>
      <c r="W420" s="89" t="s">
        <v>50</v>
      </c>
      <c r="X420" s="89" t="s">
        <v>50</v>
      </c>
    </row>
    <row r="421" spans="1:25" x14ac:dyDescent="0.25">
      <c r="A421" s="26">
        <v>43717</v>
      </c>
      <c r="B421" s="89" t="s">
        <v>43</v>
      </c>
      <c r="C421" s="89" t="s">
        <v>78</v>
      </c>
      <c r="D421" s="89">
        <v>38.065019999999997</v>
      </c>
      <c r="E421" s="89">
        <v>-121.84283000000001</v>
      </c>
      <c r="F421" s="89" t="s">
        <v>3903</v>
      </c>
      <c r="G421" s="89" t="s">
        <v>27</v>
      </c>
      <c r="H421" s="89" t="s">
        <v>101</v>
      </c>
      <c r="I421" s="602">
        <v>0.36736111111111108</v>
      </c>
      <c r="J421" s="82">
        <v>170.25</v>
      </c>
      <c r="K421" s="82">
        <v>21.324999999999999</v>
      </c>
      <c r="L421" s="82">
        <v>11.275</v>
      </c>
      <c r="M421" s="82">
        <v>0.78749999999999998</v>
      </c>
      <c r="N421" s="82">
        <v>10.824999999999999</v>
      </c>
      <c r="O421" s="89" t="s">
        <v>48</v>
      </c>
      <c r="P421" s="89">
        <v>4</v>
      </c>
      <c r="Q421" s="89">
        <v>10</v>
      </c>
      <c r="R421" s="89" t="s">
        <v>49</v>
      </c>
      <c r="S421" s="89" t="s">
        <v>50</v>
      </c>
      <c r="T421" s="89" t="s">
        <v>50</v>
      </c>
      <c r="U421" s="89" t="s">
        <v>50</v>
      </c>
      <c r="V421" s="89" t="s">
        <v>50</v>
      </c>
      <c r="W421" s="89" t="s">
        <v>50</v>
      </c>
      <c r="X421" s="89" t="s">
        <v>50</v>
      </c>
    </row>
    <row r="422" spans="1:25" x14ac:dyDescent="0.25">
      <c r="A422" s="26">
        <v>43717</v>
      </c>
      <c r="B422" s="89" t="s">
        <v>43</v>
      </c>
      <c r="C422" s="89" t="s">
        <v>78</v>
      </c>
      <c r="D422" s="89">
        <v>38.057609999999997</v>
      </c>
      <c r="E422" s="89">
        <v>-121.94996</v>
      </c>
      <c r="F422" s="89" t="s">
        <v>3904</v>
      </c>
      <c r="G422" s="89" t="s">
        <v>27</v>
      </c>
      <c r="H422" s="89" t="s">
        <v>170</v>
      </c>
      <c r="I422" s="602">
        <v>0.45208333333333334</v>
      </c>
      <c r="J422" s="82">
        <v>929.75</v>
      </c>
      <c r="K422" s="82">
        <v>21.4</v>
      </c>
      <c r="L422" s="82">
        <v>26.700000000000003</v>
      </c>
      <c r="M422" s="82">
        <v>0.35750000000000004</v>
      </c>
      <c r="N422" s="82">
        <v>12.250000000000002</v>
      </c>
      <c r="O422" s="89" t="s">
        <v>48</v>
      </c>
      <c r="P422" s="89">
        <v>4</v>
      </c>
      <c r="Q422" s="89">
        <v>10</v>
      </c>
      <c r="R422" s="89" t="s">
        <v>64</v>
      </c>
      <c r="S422" s="89" t="s">
        <v>50</v>
      </c>
      <c r="T422" s="89" t="s">
        <v>50</v>
      </c>
      <c r="U422" s="89" t="s">
        <v>50</v>
      </c>
      <c r="V422" s="89" t="s">
        <v>50</v>
      </c>
      <c r="W422" s="89" t="s">
        <v>50</v>
      </c>
      <c r="X422" s="89" t="s">
        <v>50</v>
      </c>
    </row>
    <row r="423" spans="1:25" x14ac:dyDescent="0.25">
      <c r="A423" s="26">
        <v>43717</v>
      </c>
      <c r="B423" s="89" t="s">
        <v>43</v>
      </c>
      <c r="C423" s="89" t="s">
        <v>78</v>
      </c>
      <c r="D423" s="89">
        <v>38.059800000000003</v>
      </c>
      <c r="E423" s="89">
        <v>-122.0551</v>
      </c>
      <c r="F423" s="89" t="s">
        <v>3905</v>
      </c>
      <c r="G423" s="89" t="s">
        <v>80</v>
      </c>
      <c r="H423" s="89" t="s">
        <v>81</v>
      </c>
      <c r="I423" s="602">
        <v>0.51388888888888895</v>
      </c>
      <c r="J423" s="82">
        <v>11410.75</v>
      </c>
      <c r="K423" s="82">
        <v>21.475000000000001</v>
      </c>
      <c r="L423" s="82">
        <v>28.95</v>
      </c>
      <c r="M423" s="82">
        <v>0.36250000000000004</v>
      </c>
      <c r="N423" s="82">
        <v>7.9</v>
      </c>
      <c r="O423" s="89" t="s">
        <v>48</v>
      </c>
      <c r="P423" s="89">
        <v>4</v>
      </c>
      <c r="Q423" s="89">
        <v>10</v>
      </c>
      <c r="R423" s="89" t="s">
        <v>64</v>
      </c>
      <c r="S423" s="89" t="s">
        <v>50</v>
      </c>
      <c r="T423" s="89" t="s">
        <v>50</v>
      </c>
      <c r="U423" s="89" t="s">
        <v>50</v>
      </c>
      <c r="V423" s="89" t="s">
        <v>50</v>
      </c>
      <c r="W423" s="89" t="s">
        <v>50</v>
      </c>
      <c r="X423" s="89" t="s">
        <v>50</v>
      </c>
    </row>
    <row r="424" spans="1:25" x14ac:dyDescent="0.25">
      <c r="A424" s="26">
        <v>43717</v>
      </c>
      <c r="B424" s="89" t="s">
        <v>43</v>
      </c>
      <c r="C424" s="89" t="s">
        <v>78</v>
      </c>
      <c r="D424" s="89">
        <v>38.054200000000002</v>
      </c>
      <c r="E424" s="89">
        <v>-122.09309</v>
      </c>
      <c r="F424" s="89" t="s">
        <v>3906</v>
      </c>
      <c r="G424" s="89" t="s">
        <v>80</v>
      </c>
      <c r="H424" s="89" t="s">
        <v>81</v>
      </c>
      <c r="I424" s="602">
        <v>0.56944444444444442</v>
      </c>
      <c r="J424" s="82">
        <v>17274.75</v>
      </c>
      <c r="K424" s="82">
        <v>21.349999999999998</v>
      </c>
      <c r="L424" s="82">
        <v>28.349999999999998</v>
      </c>
      <c r="M424" s="82">
        <v>8.0449999999999999</v>
      </c>
      <c r="N424" s="82">
        <v>9.4749999999999996</v>
      </c>
      <c r="O424" s="89" t="s">
        <v>48</v>
      </c>
      <c r="P424" s="89">
        <v>4</v>
      </c>
      <c r="Q424" s="89">
        <v>10</v>
      </c>
      <c r="R424" s="89" t="s">
        <v>64</v>
      </c>
      <c r="S424" s="89" t="s">
        <v>50</v>
      </c>
      <c r="T424" s="89" t="s">
        <v>50</v>
      </c>
      <c r="U424" s="89" t="s">
        <v>50</v>
      </c>
      <c r="V424" s="89" t="s">
        <v>50</v>
      </c>
      <c r="W424" s="89" t="s">
        <v>50</v>
      </c>
      <c r="X424" s="89" t="s">
        <v>50</v>
      </c>
    </row>
    <row r="425" spans="1:25" s="150" customFormat="1" x14ac:dyDescent="0.25">
      <c r="A425" s="195">
        <v>43718</v>
      </c>
      <c r="B425" s="150" t="s">
        <v>849</v>
      </c>
      <c r="C425" s="150" t="s">
        <v>118</v>
      </c>
      <c r="D425" s="150">
        <v>38.070219999999999</v>
      </c>
      <c r="E425" s="150">
        <v>-122.33301</v>
      </c>
      <c r="F425" s="150" t="s">
        <v>3907</v>
      </c>
      <c r="G425" s="150" t="s">
        <v>80</v>
      </c>
      <c r="H425" s="150" t="s">
        <v>123</v>
      </c>
      <c r="I425" s="614">
        <v>0.31666666666666665</v>
      </c>
      <c r="J425" s="197" t="s">
        <v>50</v>
      </c>
      <c r="K425" s="197" t="s">
        <v>50</v>
      </c>
      <c r="L425" s="197" t="s">
        <v>50</v>
      </c>
      <c r="M425" s="197" t="s">
        <v>50</v>
      </c>
      <c r="N425" s="197" t="s">
        <v>50</v>
      </c>
      <c r="O425" s="150" t="s">
        <v>48</v>
      </c>
      <c r="P425" s="150">
        <v>0</v>
      </c>
      <c r="Q425" s="150" t="s">
        <v>50</v>
      </c>
      <c r="R425" s="150" t="s">
        <v>50</v>
      </c>
      <c r="S425" s="150" t="s">
        <v>50</v>
      </c>
      <c r="T425" s="150" t="s">
        <v>50</v>
      </c>
      <c r="U425" s="150" t="s">
        <v>50</v>
      </c>
      <c r="V425" s="150" t="s">
        <v>50</v>
      </c>
      <c r="W425" s="150" t="s">
        <v>50</v>
      </c>
      <c r="X425" s="150" t="s">
        <v>50</v>
      </c>
      <c r="Y425" s="604" t="s">
        <v>734</v>
      </c>
    </row>
    <row r="426" spans="1:25" x14ac:dyDescent="0.25">
      <c r="A426" s="26">
        <v>43718</v>
      </c>
      <c r="B426" s="89" t="s">
        <v>849</v>
      </c>
      <c r="C426" s="89" t="s">
        <v>118</v>
      </c>
      <c r="D426" s="89">
        <v>38.036169999999998</v>
      </c>
      <c r="E426" s="89">
        <v>-122.29902</v>
      </c>
      <c r="F426" s="89" t="s">
        <v>3908</v>
      </c>
      <c r="G426" s="89" t="s">
        <v>80</v>
      </c>
      <c r="H426" s="89" t="s">
        <v>123</v>
      </c>
      <c r="I426" s="602">
        <v>0.3298611111111111</v>
      </c>
      <c r="J426" s="100">
        <v>29760.5</v>
      </c>
      <c r="K426" s="100">
        <v>20.524999999999999</v>
      </c>
      <c r="L426" s="100">
        <v>20.324999999999999</v>
      </c>
      <c r="M426" s="100">
        <v>0.51500000000000001</v>
      </c>
      <c r="N426" s="100">
        <v>2.9249999999999998</v>
      </c>
      <c r="O426" s="89" t="s">
        <v>48</v>
      </c>
      <c r="P426" s="89">
        <v>4</v>
      </c>
      <c r="Q426" s="89">
        <v>10</v>
      </c>
      <c r="R426" s="89" t="s">
        <v>64</v>
      </c>
      <c r="S426" s="89" t="s">
        <v>50</v>
      </c>
      <c r="T426" s="89" t="s">
        <v>50</v>
      </c>
      <c r="U426" s="89" t="s">
        <v>50</v>
      </c>
      <c r="V426" s="89" t="s">
        <v>50</v>
      </c>
      <c r="W426" s="89" t="s">
        <v>50</v>
      </c>
      <c r="X426" s="89" t="s">
        <v>50</v>
      </c>
    </row>
    <row r="427" spans="1:25" x14ac:dyDescent="0.25">
      <c r="A427" s="26">
        <v>43718</v>
      </c>
      <c r="B427" s="89" t="s">
        <v>849</v>
      </c>
      <c r="C427" s="89" t="s">
        <v>118</v>
      </c>
      <c r="D427" s="89">
        <v>38.052779999999998</v>
      </c>
      <c r="E427" s="89">
        <v>-122.29725000000001</v>
      </c>
      <c r="F427" s="89" t="s">
        <v>3909</v>
      </c>
      <c r="G427" s="89" t="s">
        <v>80</v>
      </c>
      <c r="H427" s="89" t="s">
        <v>123</v>
      </c>
      <c r="I427" s="602">
        <v>0.3972222222222222</v>
      </c>
      <c r="J427" s="82">
        <v>24313.75</v>
      </c>
      <c r="K427" s="82">
        <v>20.766666666666666</v>
      </c>
      <c r="L427" s="82">
        <v>14.525</v>
      </c>
      <c r="M427" s="82">
        <v>0.54499999999999993</v>
      </c>
      <c r="N427" s="82">
        <v>13.425000000000001</v>
      </c>
      <c r="O427" s="89" t="s">
        <v>48</v>
      </c>
      <c r="P427" s="89">
        <v>4</v>
      </c>
      <c r="Q427" s="89">
        <v>10</v>
      </c>
      <c r="R427" s="89" t="s">
        <v>64</v>
      </c>
      <c r="S427" s="89" t="s">
        <v>50</v>
      </c>
      <c r="T427" s="89" t="s">
        <v>50</v>
      </c>
      <c r="U427" s="89" t="s">
        <v>50</v>
      </c>
      <c r="V427" s="89" t="s">
        <v>50</v>
      </c>
      <c r="W427" s="89" t="s">
        <v>50</v>
      </c>
      <c r="X427" s="89" t="s">
        <v>50</v>
      </c>
    </row>
    <row r="428" spans="1:25" x14ac:dyDescent="0.25">
      <c r="A428" s="26">
        <v>43718</v>
      </c>
      <c r="B428" s="89" t="s">
        <v>849</v>
      </c>
      <c r="C428" s="89" t="s">
        <v>118</v>
      </c>
      <c r="D428" s="89">
        <v>38.051439999999999</v>
      </c>
      <c r="E428" s="89">
        <v>-122.26855999999999</v>
      </c>
      <c r="F428" s="89" t="s">
        <v>3910</v>
      </c>
      <c r="G428" s="89" t="s">
        <v>80</v>
      </c>
      <c r="H428" s="89" t="s">
        <v>123</v>
      </c>
      <c r="I428" s="602">
        <v>0.49027777777777781</v>
      </c>
      <c r="J428" s="82">
        <v>29652.25</v>
      </c>
      <c r="K428" s="82">
        <v>20.775000000000002</v>
      </c>
      <c r="L428" s="82">
        <v>20.225000000000001</v>
      </c>
      <c r="M428" s="82">
        <v>0.5625</v>
      </c>
      <c r="N428" s="82">
        <v>6.875</v>
      </c>
      <c r="O428" s="89" t="s">
        <v>48</v>
      </c>
      <c r="P428" s="89">
        <v>4</v>
      </c>
      <c r="Q428" s="89">
        <v>10</v>
      </c>
      <c r="R428" s="89" t="s">
        <v>64</v>
      </c>
      <c r="S428" s="89" t="s">
        <v>50</v>
      </c>
      <c r="T428" s="89" t="s">
        <v>50</v>
      </c>
      <c r="U428" s="89" t="s">
        <v>50</v>
      </c>
      <c r="V428" s="89" t="s">
        <v>50</v>
      </c>
      <c r="W428" s="89" t="s">
        <v>50</v>
      </c>
      <c r="X428" s="89" t="s">
        <v>50</v>
      </c>
    </row>
    <row r="429" spans="1:25" x14ac:dyDescent="0.25">
      <c r="A429" s="26">
        <v>43718</v>
      </c>
      <c r="B429" s="89" t="s">
        <v>849</v>
      </c>
      <c r="C429" s="89" t="s">
        <v>118</v>
      </c>
      <c r="D429" s="89">
        <v>38.061529999999998</v>
      </c>
      <c r="E429" s="89">
        <v>-122.30200000000001</v>
      </c>
      <c r="F429" s="89" t="s">
        <v>3911</v>
      </c>
      <c r="G429" s="89" t="s">
        <v>80</v>
      </c>
      <c r="H429" s="89" t="s">
        <v>123</v>
      </c>
      <c r="I429" s="602">
        <v>0.43611111111111112</v>
      </c>
      <c r="J429" s="82">
        <v>26327.25</v>
      </c>
      <c r="K429" s="82">
        <v>20.774999999999999</v>
      </c>
      <c r="L429" s="82">
        <v>18.7</v>
      </c>
      <c r="M429" s="82">
        <v>0.49</v>
      </c>
      <c r="N429" s="82">
        <v>7.6999999999999993</v>
      </c>
      <c r="O429" s="89" t="s">
        <v>48</v>
      </c>
      <c r="P429" s="89">
        <v>4</v>
      </c>
      <c r="Q429" s="89">
        <v>10</v>
      </c>
      <c r="R429" s="89" t="s">
        <v>64</v>
      </c>
      <c r="S429" s="89" t="s">
        <v>50</v>
      </c>
      <c r="T429" s="89" t="s">
        <v>50</v>
      </c>
      <c r="U429" s="89" t="s">
        <v>50</v>
      </c>
      <c r="V429" s="89" t="s">
        <v>50</v>
      </c>
      <c r="W429" s="89" t="s">
        <v>50</v>
      </c>
      <c r="X429" s="89" t="s">
        <v>50</v>
      </c>
    </row>
    <row r="430" spans="1:25" x14ac:dyDescent="0.25">
      <c r="A430" s="26">
        <v>43718</v>
      </c>
      <c r="B430" s="89" t="s">
        <v>849</v>
      </c>
      <c r="C430" s="89" t="s">
        <v>106</v>
      </c>
      <c r="D430" s="89">
        <v>38.198830000000001</v>
      </c>
      <c r="E430" s="89">
        <v>-121.65676000000001</v>
      </c>
      <c r="F430" s="89" t="s">
        <v>3912</v>
      </c>
      <c r="G430" s="89" t="s">
        <v>90</v>
      </c>
      <c r="H430" s="89" t="s">
        <v>362</v>
      </c>
      <c r="I430" s="602">
        <v>0.35000000000000003</v>
      </c>
      <c r="J430" s="82">
        <v>157.625</v>
      </c>
      <c r="K430" s="82">
        <v>20.399999999999999</v>
      </c>
      <c r="L430" s="82">
        <v>8.4350000000000005</v>
      </c>
      <c r="M430" s="82">
        <v>1.3774999999999999</v>
      </c>
      <c r="N430" s="82">
        <v>13.525</v>
      </c>
      <c r="O430" s="89" t="s">
        <v>48</v>
      </c>
      <c r="P430" s="89">
        <v>4</v>
      </c>
      <c r="Q430" s="89">
        <v>10</v>
      </c>
      <c r="R430" s="89" t="s">
        <v>49</v>
      </c>
      <c r="S430" s="89" t="s">
        <v>50</v>
      </c>
      <c r="T430" s="89" t="s">
        <v>50</v>
      </c>
      <c r="U430" s="89" t="s">
        <v>50</v>
      </c>
      <c r="V430" s="89" t="s">
        <v>50</v>
      </c>
      <c r="W430" s="89" t="s">
        <v>50</v>
      </c>
      <c r="X430" s="89" t="s">
        <v>50</v>
      </c>
    </row>
    <row r="431" spans="1:25" x14ac:dyDescent="0.25">
      <c r="A431" s="26">
        <v>43718</v>
      </c>
      <c r="B431" s="89" t="s">
        <v>849</v>
      </c>
      <c r="C431" s="89" t="s">
        <v>106</v>
      </c>
      <c r="D431" s="89">
        <v>38.272860000000001</v>
      </c>
      <c r="E431" s="89">
        <v>-121.66240999999999</v>
      </c>
      <c r="F431" s="89" t="s">
        <v>3913</v>
      </c>
      <c r="G431" s="89" t="s">
        <v>90</v>
      </c>
      <c r="H431" s="89" t="s">
        <v>362</v>
      </c>
      <c r="I431" s="602">
        <v>0.39861111111111108</v>
      </c>
      <c r="J431" s="82">
        <v>232.125</v>
      </c>
      <c r="K431" s="82">
        <v>21.925000000000001</v>
      </c>
      <c r="L431" s="82">
        <v>10.557500000000001</v>
      </c>
      <c r="M431" s="82">
        <v>1.0450000000000002</v>
      </c>
      <c r="N431" s="82">
        <v>9.5749999999999993</v>
      </c>
      <c r="O431" s="89" t="s">
        <v>48</v>
      </c>
      <c r="P431" s="89">
        <v>4</v>
      </c>
      <c r="Q431" s="89">
        <v>10</v>
      </c>
      <c r="R431" s="89" t="s">
        <v>49</v>
      </c>
      <c r="S431" s="89" t="s">
        <v>50</v>
      </c>
      <c r="T431" s="89" t="s">
        <v>50</v>
      </c>
      <c r="U431" s="89" t="s">
        <v>50</v>
      </c>
      <c r="V431" s="89" t="s">
        <v>50</v>
      </c>
      <c r="W431" s="89" t="s">
        <v>50</v>
      </c>
      <c r="X431" s="89" t="s">
        <v>50</v>
      </c>
    </row>
    <row r="432" spans="1:25" s="496" customFormat="1" x14ac:dyDescent="0.25">
      <c r="A432" s="495">
        <v>43718</v>
      </c>
      <c r="B432" s="496" t="s">
        <v>849</v>
      </c>
      <c r="C432" s="496" t="s">
        <v>106</v>
      </c>
      <c r="D432" s="496">
        <v>38.349490000000003</v>
      </c>
      <c r="E432" s="496">
        <v>-121.64105000000001</v>
      </c>
      <c r="F432" s="496" t="s">
        <v>3914</v>
      </c>
      <c r="G432" s="496" t="s">
        <v>90</v>
      </c>
      <c r="H432" s="496" t="s">
        <v>362</v>
      </c>
      <c r="I432" s="615">
        <v>0.46597222222222223</v>
      </c>
      <c r="J432" s="498">
        <v>435.40000000000003</v>
      </c>
      <c r="K432" s="498">
        <v>22.333333333333332</v>
      </c>
      <c r="L432" s="498">
        <v>30.533333333333335</v>
      </c>
      <c r="M432" s="498">
        <v>0.47333333333333333</v>
      </c>
      <c r="N432" s="498">
        <v>10.1</v>
      </c>
      <c r="O432" s="496" t="s">
        <v>48</v>
      </c>
      <c r="P432" s="496">
        <v>3</v>
      </c>
      <c r="Q432" s="496">
        <v>10</v>
      </c>
      <c r="R432" s="496" t="s">
        <v>49</v>
      </c>
      <c r="S432" s="496" t="s">
        <v>323</v>
      </c>
      <c r="T432" s="496">
        <v>1</v>
      </c>
      <c r="U432" s="496">
        <v>50</v>
      </c>
      <c r="V432" s="496" t="s">
        <v>50</v>
      </c>
      <c r="W432" s="496" t="s">
        <v>50</v>
      </c>
      <c r="X432" s="496" t="s">
        <v>50</v>
      </c>
      <c r="Y432" s="601" t="s">
        <v>3915</v>
      </c>
    </row>
    <row r="433" spans="1:25" x14ac:dyDescent="0.25">
      <c r="A433" s="26">
        <v>43718</v>
      </c>
      <c r="B433" s="89" t="s">
        <v>849</v>
      </c>
      <c r="C433" s="89" t="s">
        <v>88</v>
      </c>
      <c r="D433" s="89">
        <v>38.090089999999996</v>
      </c>
      <c r="E433" s="89">
        <v>-121.73702</v>
      </c>
      <c r="F433" s="89" t="s">
        <v>3916</v>
      </c>
      <c r="G433" s="89" t="s">
        <v>90</v>
      </c>
      <c r="H433" s="89" t="s">
        <v>91</v>
      </c>
      <c r="I433" s="602">
        <v>0.35138888888888892</v>
      </c>
      <c r="J433" s="82">
        <v>141.07499999999999</v>
      </c>
      <c r="K433" s="82">
        <v>20.7</v>
      </c>
      <c r="L433" s="82">
        <v>13.594999999999999</v>
      </c>
      <c r="M433" s="82">
        <v>1.0549999999999999</v>
      </c>
      <c r="N433" s="82">
        <v>6.75</v>
      </c>
      <c r="O433" s="89" t="s">
        <v>48</v>
      </c>
      <c r="P433" s="89">
        <v>4</v>
      </c>
      <c r="Q433" s="89">
        <v>10</v>
      </c>
      <c r="R433" s="89" t="s">
        <v>49</v>
      </c>
      <c r="S433" s="89" t="s">
        <v>50</v>
      </c>
      <c r="T433" s="89" t="s">
        <v>50</v>
      </c>
      <c r="U433" s="89" t="s">
        <v>50</v>
      </c>
      <c r="V433" s="89" t="s">
        <v>50</v>
      </c>
      <c r="W433" s="89" t="s">
        <v>50</v>
      </c>
      <c r="X433" s="89" t="s">
        <v>50</v>
      </c>
    </row>
    <row r="434" spans="1:25" x14ac:dyDescent="0.25">
      <c r="A434" s="26">
        <v>43718</v>
      </c>
      <c r="B434" s="89" t="s">
        <v>849</v>
      </c>
      <c r="C434" s="89" t="s">
        <v>88</v>
      </c>
      <c r="D434" s="89">
        <v>38.072009999999999</v>
      </c>
      <c r="E434" s="89">
        <v>-121.7722</v>
      </c>
      <c r="F434" s="89" t="s">
        <v>3917</v>
      </c>
      <c r="G434" s="89" t="s">
        <v>27</v>
      </c>
      <c r="H434" s="89" t="s">
        <v>25</v>
      </c>
      <c r="I434" s="602">
        <v>0.40347222222222223</v>
      </c>
      <c r="J434" s="82">
        <v>140.47499999999999</v>
      </c>
      <c r="K434" s="82">
        <v>20.75</v>
      </c>
      <c r="L434" s="82">
        <v>9.6999999999999993</v>
      </c>
      <c r="M434" s="82">
        <v>0.97</v>
      </c>
      <c r="N434" s="82">
        <v>8.8249999999999993</v>
      </c>
      <c r="O434" s="89" t="s">
        <v>48</v>
      </c>
      <c r="P434" s="89">
        <v>4</v>
      </c>
      <c r="Q434" s="89">
        <v>10</v>
      </c>
      <c r="R434" s="89" t="s">
        <v>49</v>
      </c>
      <c r="S434" s="89" t="s">
        <v>50</v>
      </c>
      <c r="T434" s="89" t="s">
        <v>50</v>
      </c>
      <c r="U434" s="89" t="s">
        <v>50</v>
      </c>
      <c r="V434" s="89" t="s">
        <v>50</v>
      </c>
      <c r="W434" s="89" t="s">
        <v>50</v>
      </c>
      <c r="X434" s="89" t="s">
        <v>50</v>
      </c>
    </row>
    <row r="435" spans="1:25" x14ac:dyDescent="0.25">
      <c r="A435" s="26">
        <v>43718</v>
      </c>
      <c r="B435" s="89" t="s">
        <v>849</v>
      </c>
      <c r="C435" s="89" t="s">
        <v>88</v>
      </c>
      <c r="D435" s="89">
        <v>38.063380000000002</v>
      </c>
      <c r="E435" s="89">
        <v>-121.79819000000001</v>
      </c>
      <c r="F435" s="89" t="s">
        <v>3918</v>
      </c>
      <c r="G435" s="89" t="s">
        <v>27</v>
      </c>
      <c r="H435" s="89" t="s">
        <v>25</v>
      </c>
      <c r="I435" s="602">
        <v>0.45347222222222222</v>
      </c>
      <c r="J435" s="82">
        <v>138.52500000000001</v>
      </c>
      <c r="K435" s="82">
        <v>20.799999999999997</v>
      </c>
      <c r="L435" s="82">
        <v>16.5</v>
      </c>
      <c r="M435" s="82">
        <v>0.80249999999999999</v>
      </c>
      <c r="N435" s="82">
        <v>8.375</v>
      </c>
      <c r="O435" s="89" t="s">
        <v>48</v>
      </c>
      <c r="P435" s="89">
        <v>4</v>
      </c>
      <c r="Q435" s="89">
        <v>10</v>
      </c>
      <c r="R435" s="89" t="s">
        <v>64</v>
      </c>
      <c r="S435" s="89" t="s">
        <v>50</v>
      </c>
      <c r="T435" s="89" t="s">
        <v>50</v>
      </c>
      <c r="U435" s="89" t="s">
        <v>50</v>
      </c>
      <c r="V435" s="89" t="s">
        <v>50</v>
      </c>
      <c r="W435" s="89" t="s">
        <v>50</v>
      </c>
      <c r="X435" s="89" t="s">
        <v>50</v>
      </c>
      <c r="Y435" s="600" t="s">
        <v>3919</v>
      </c>
    </row>
    <row r="436" spans="1:25" x14ac:dyDescent="0.25">
      <c r="A436" s="26">
        <v>43719</v>
      </c>
      <c r="B436" s="89" t="s">
        <v>915</v>
      </c>
      <c r="C436" s="89" t="s">
        <v>126</v>
      </c>
      <c r="D436" s="89">
        <v>38.256010000000003</v>
      </c>
      <c r="E436" s="89">
        <v>-121.73736</v>
      </c>
      <c r="F436" s="89" t="s">
        <v>3920</v>
      </c>
      <c r="G436" s="89" t="s">
        <v>90</v>
      </c>
      <c r="H436" s="89" t="s">
        <v>845</v>
      </c>
      <c r="I436" s="602">
        <v>0.3520833333333333</v>
      </c>
      <c r="J436" s="82">
        <v>173.5</v>
      </c>
      <c r="K436" s="82">
        <v>21</v>
      </c>
      <c r="L436" s="82">
        <v>7.8250000000000002</v>
      </c>
      <c r="M436" s="82">
        <v>1.2124999999999999</v>
      </c>
      <c r="N436" s="82">
        <v>4.1750000000000007</v>
      </c>
      <c r="O436" s="89" t="s">
        <v>48</v>
      </c>
      <c r="P436" s="89">
        <v>4</v>
      </c>
      <c r="Q436" s="89">
        <v>10</v>
      </c>
      <c r="R436" s="89" t="s">
        <v>49</v>
      </c>
      <c r="S436" s="89" t="s">
        <v>50</v>
      </c>
      <c r="T436" s="89" t="s">
        <v>50</v>
      </c>
      <c r="U436" s="89" t="s">
        <v>50</v>
      </c>
      <c r="V436" s="89" t="s">
        <v>50</v>
      </c>
      <c r="W436" s="89" t="s">
        <v>50</v>
      </c>
      <c r="X436" s="89" t="s">
        <v>50</v>
      </c>
      <c r="Y436" s="600" t="s">
        <v>3921</v>
      </c>
    </row>
    <row r="437" spans="1:25" s="150" customFormat="1" x14ac:dyDescent="0.25">
      <c r="A437" s="178">
        <v>43719</v>
      </c>
      <c r="B437" s="150" t="s">
        <v>915</v>
      </c>
      <c r="C437" s="150" t="s">
        <v>126</v>
      </c>
      <c r="D437" s="150">
        <v>38.249490000000002</v>
      </c>
      <c r="E437" s="150">
        <v>-121.71096</v>
      </c>
      <c r="F437" s="150" t="s">
        <v>3922</v>
      </c>
      <c r="G437" s="150" t="s">
        <v>90</v>
      </c>
      <c r="H437" s="150" t="s">
        <v>845</v>
      </c>
      <c r="I437" s="614">
        <v>0.41388888888888892</v>
      </c>
      <c r="J437" s="197" t="s">
        <v>50</v>
      </c>
      <c r="K437" s="197" t="s">
        <v>50</v>
      </c>
      <c r="L437" s="197" t="s">
        <v>50</v>
      </c>
      <c r="M437" s="197" t="s">
        <v>50</v>
      </c>
      <c r="N437" s="197" t="s">
        <v>50</v>
      </c>
      <c r="O437" s="150" t="s">
        <v>48</v>
      </c>
      <c r="P437" s="150">
        <v>0</v>
      </c>
      <c r="Q437" s="150" t="s">
        <v>50</v>
      </c>
      <c r="R437" s="150" t="s">
        <v>50</v>
      </c>
      <c r="S437" s="150" t="s">
        <v>50</v>
      </c>
      <c r="T437" s="150" t="s">
        <v>50</v>
      </c>
      <c r="U437" s="150" t="s">
        <v>50</v>
      </c>
      <c r="V437" s="150" t="s">
        <v>50</v>
      </c>
      <c r="W437" s="150" t="s">
        <v>50</v>
      </c>
      <c r="X437" s="150" t="s">
        <v>50</v>
      </c>
      <c r="Y437" s="604" t="s">
        <v>3623</v>
      </c>
    </row>
    <row r="438" spans="1:25" x14ac:dyDescent="0.25">
      <c r="A438" s="26">
        <v>43719</v>
      </c>
      <c r="B438" s="89" t="s">
        <v>915</v>
      </c>
      <c r="C438" s="89" t="s">
        <v>126</v>
      </c>
      <c r="D438" s="89">
        <v>38.253950000000003</v>
      </c>
      <c r="E438" s="89">
        <v>-121.68812</v>
      </c>
      <c r="F438" s="89" t="s">
        <v>3923</v>
      </c>
      <c r="G438" s="89" t="s">
        <v>90</v>
      </c>
      <c r="H438" s="89" t="s">
        <v>845</v>
      </c>
      <c r="I438" s="602">
        <v>0.42499999999999999</v>
      </c>
      <c r="J438" s="82">
        <v>191.32499999999999</v>
      </c>
      <c r="K438" s="82">
        <v>20.5</v>
      </c>
      <c r="L438" s="82">
        <v>5.3474999999999993</v>
      </c>
      <c r="M438" s="82">
        <v>1.8</v>
      </c>
      <c r="N438" s="82">
        <v>6.875</v>
      </c>
      <c r="O438" s="89" t="s">
        <v>48</v>
      </c>
      <c r="P438" s="89">
        <v>4</v>
      </c>
      <c r="Q438" s="89">
        <v>10</v>
      </c>
      <c r="R438" s="89" t="s">
        <v>49</v>
      </c>
      <c r="S438" s="89" t="s">
        <v>50</v>
      </c>
      <c r="T438" s="89" t="s">
        <v>50</v>
      </c>
      <c r="U438" s="89" t="s">
        <v>50</v>
      </c>
      <c r="V438" s="89" t="s">
        <v>50</v>
      </c>
      <c r="W438" s="89" t="s">
        <v>50</v>
      </c>
      <c r="X438" s="89" t="s">
        <v>50</v>
      </c>
      <c r="Y438" s="600" t="s">
        <v>3924</v>
      </c>
    </row>
    <row r="439" spans="1:25" x14ac:dyDescent="0.25">
      <c r="A439" s="26">
        <v>43719</v>
      </c>
      <c r="B439" s="89" t="s">
        <v>915</v>
      </c>
      <c r="C439" s="89" t="s">
        <v>126</v>
      </c>
      <c r="D439" s="89">
        <v>38.258479999999999</v>
      </c>
      <c r="E439" s="89">
        <v>-121.67091000000001</v>
      </c>
      <c r="F439" s="89" t="s">
        <v>3925</v>
      </c>
      <c r="G439" s="89" t="s">
        <v>90</v>
      </c>
      <c r="H439" s="89" t="s">
        <v>845</v>
      </c>
      <c r="I439" s="602">
        <v>0.47847222222222219</v>
      </c>
      <c r="J439" s="82">
        <v>356.02499999999998</v>
      </c>
      <c r="K439" s="82">
        <v>21.024999999999999</v>
      </c>
      <c r="L439" s="82">
        <v>10.8925</v>
      </c>
      <c r="M439" s="82">
        <v>1.1499999999999999</v>
      </c>
      <c r="N439" s="82">
        <v>7.5499999999999989</v>
      </c>
      <c r="O439" s="89" t="s">
        <v>48</v>
      </c>
      <c r="P439" s="89">
        <v>4</v>
      </c>
      <c r="Q439" s="89">
        <v>10</v>
      </c>
      <c r="R439" s="89" t="s">
        <v>49</v>
      </c>
      <c r="S439" s="89" t="s">
        <v>50</v>
      </c>
      <c r="T439" s="89" t="s">
        <v>50</v>
      </c>
      <c r="U439" s="89" t="s">
        <v>50</v>
      </c>
      <c r="V439" s="89" t="s">
        <v>50</v>
      </c>
      <c r="W439" s="89" t="s">
        <v>50</v>
      </c>
      <c r="X439" s="89" t="s">
        <v>50</v>
      </c>
      <c r="Y439" s="600" t="s">
        <v>3926</v>
      </c>
    </row>
    <row r="440" spans="1:25" x14ac:dyDescent="0.25">
      <c r="A440" s="26">
        <v>43719</v>
      </c>
      <c r="B440" s="89" t="s">
        <v>915</v>
      </c>
      <c r="C440" s="89" t="s">
        <v>62</v>
      </c>
      <c r="D440" s="89">
        <v>38.16818</v>
      </c>
      <c r="E440" s="89">
        <v>-122.04210999999999</v>
      </c>
      <c r="F440" s="89" t="s">
        <v>3927</v>
      </c>
      <c r="G440" s="89" t="s">
        <v>27</v>
      </c>
      <c r="H440" s="89" t="s">
        <v>62</v>
      </c>
      <c r="I440" s="602">
        <v>0.4548611111111111</v>
      </c>
      <c r="J440" s="82">
        <v>7008.5</v>
      </c>
      <c r="K440" s="82">
        <v>21.575000000000003</v>
      </c>
      <c r="L440" s="82">
        <v>54.099999999999994</v>
      </c>
      <c r="M440" s="82">
        <v>0.33500000000000002</v>
      </c>
      <c r="N440" s="82">
        <v>12.35</v>
      </c>
      <c r="O440" s="89" t="s">
        <v>48</v>
      </c>
      <c r="P440" s="89">
        <v>4</v>
      </c>
      <c r="Q440" s="89">
        <v>10</v>
      </c>
      <c r="R440" s="89" t="s">
        <v>64</v>
      </c>
      <c r="S440" s="89" t="s">
        <v>50</v>
      </c>
      <c r="T440" s="89" t="s">
        <v>50</v>
      </c>
      <c r="U440" s="89" t="s">
        <v>50</v>
      </c>
      <c r="V440" s="89" t="s">
        <v>50</v>
      </c>
      <c r="W440" s="89" t="s">
        <v>50</v>
      </c>
      <c r="X440" s="89" t="s">
        <v>50</v>
      </c>
    </row>
    <row r="441" spans="1:25" x14ac:dyDescent="0.25">
      <c r="A441" s="26">
        <v>43719</v>
      </c>
      <c r="B441" s="89" t="s">
        <v>915</v>
      </c>
      <c r="C441" s="89" t="s">
        <v>62</v>
      </c>
      <c r="D441" s="89">
        <v>38.180010000000003</v>
      </c>
      <c r="E441" s="89">
        <v>-121.99899000000001</v>
      </c>
      <c r="F441" s="89" t="s">
        <v>3928</v>
      </c>
      <c r="G441" s="89" t="s">
        <v>27</v>
      </c>
      <c r="H441" s="89" t="s">
        <v>62</v>
      </c>
      <c r="I441" s="602">
        <v>0.4055555555555555</v>
      </c>
      <c r="J441" s="82">
        <v>6234.25</v>
      </c>
      <c r="K441" s="82">
        <v>21.325000000000003</v>
      </c>
      <c r="L441" s="82">
        <v>36.1</v>
      </c>
      <c r="M441" s="82">
        <v>0.38749999999999996</v>
      </c>
      <c r="N441" s="82">
        <v>9.1750000000000007</v>
      </c>
      <c r="O441" s="89" t="s">
        <v>48</v>
      </c>
      <c r="P441" s="89">
        <v>4</v>
      </c>
      <c r="Q441" s="89">
        <v>10</v>
      </c>
      <c r="R441" s="89" t="s">
        <v>64</v>
      </c>
      <c r="S441" s="89" t="s">
        <v>50</v>
      </c>
      <c r="T441" s="89" t="s">
        <v>50</v>
      </c>
      <c r="U441" s="89" t="s">
        <v>50</v>
      </c>
      <c r="V441" s="89" t="s">
        <v>50</v>
      </c>
      <c r="W441" s="89" t="s">
        <v>50</v>
      </c>
      <c r="X441" s="89" t="s">
        <v>50</v>
      </c>
    </row>
    <row r="442" spans="1:25" x14ac:dyDescent="0.25">
      <c r="A442" s="26">
        <v>43719</v>
      </c>
      <c r="B442" s="89" t="s">
        <v>915</v>
      </c>
      <c r="C442" s="89" t="s">
        <v>62</v>
      </c>
      <c r="D442" s="89">
        <v>38.174399999999999</v>
      </c>
      <c r="E442" s="89">
        <v>-121.96258</v>
      </c>
      <c r="F442" s="89" t="s">
        <v>3929</v>
      </c>
      <c r="G442" s="89" t="s">
        <v>27</v>
      </c>
      <c r="H442" s="89" t="s">
        <v>62</v>
      </c>
      <c r="I442" s="602">
        <v>0.3520833333333333</v>
      </c>
      <c r="J442" s="82">
        <v>6131</v>
      </c>
      <c r="K442" s="82">
        <v>21.133333333333333</v>
      </c>
      <c r="L442" s="82">
        <v>46.625</v>
      </c>
      <c r="M442" s="82">
        <v>0.36750000000000005</v>
      </c>
      <c r="N442" s="82">
        <v>10.7</v>
      </c>
      <c r="O442" s="89" t="s">
        <v>48</v>
      </c>
      <c r="P442" s="89">
        <v>4</v>
      </c>
      <c r="Q442" s="89">
        <v>10</v>
      </c>
      <c r="R442" s="89" t="s">
        <v>49</v>
      </c>
      <c r="S442" s="89" t="s">
        <v>50</v>
      </c>
      <c r="T442" s="89" t="s">
        <v>50</v>
      </c>
      <c r="U442" s="89" t="s">
        <v>50</v>
      </c>
      <c r="V442" s="89" t="s">
        <v>50</v>
      </c>
      <c r="W442" s="89" t="s">
        <v>50</v>
      </c>
      <c r="X442" s="89" t="s">
        <v>50</v>
      </c>
    </row>
    <row r="443" spans="1:25" x14ac:dyDescent="0.25">
      <c r="A443" s="194">
        <v>43719</v>
      </c>
      <c r="B443" s="89" t="s">
        <v>915</v>
      </c>
      <c r="C443" s="89" t="s">
        <v>95</v>
      </c>
      <c r="D443" s="89">
        <v>38.01773</v>
      </c>
      <c r="E443" s="89">
        <v>-121.77517</v>
      </c>
      <c r="F443" s="89" t="s">
        <v>3930</v>
      </c>
      <c r="G443" s="89" t="s">
        <v>27</v>
      </c>
      <c r="H443" s="89" t="s">
        <v>863</v>
      </c>
      <c r="I443" s="602">
        <v>0.3263888888888889</v>
      </c>
      <c r="J443" s="82">
        <v>304.17500000000001</v>
      </c>
      <c r="K443" s="82">
        <v>21.8</v>
      </c>
      <c r="L443" s="82">
        <v>19.600000000000001</v>
      </c>
      <c r="M443" s="82">
        <v>0.86499999999999999</v>
      </c>
      <c r="N443" s="82">
        <v>10.574999999999999</v>
      </c>
      <c r="O443" s="89" t="s">
        <v>48</v>
      </c>
      <c r="P443" s="89">
        <v>4</v>
      </c>
      <c r="Q443" s="89">
        <v>10</v>
      </c>
      <c r="R443" s="89" t="s">
        <v>49</v>
      </c>
      <c r="S443" s="89" t="s">
        <v>50</v>
      </c>
      <c r="T443" s="89" t="s">
        <v>50</v>
      </c>
      <c r="U443" s="89" t="s">
        <v>50</v>
      </c>
      <c r="V443" s="89" t="s">
        <v>50</v>
      </c>
      <c r="W443" s="89" t="s">
        <v>50</v>
      </c>
      <c r="X443" s="89" t="s">
        <v>50</v>
      </c>
    </row>
    <row r="444" spans="1:25" x14ac:dyDescent="0.25">
      <c r="A444" s="194">
        <v>43719</v>
      </c>
      <c r="B444" s="89" t="s">
        <v>915</v>
      </c>
      <c r="C444" s="89" t="s">
        <v>95</v>
      </c>
      <c r="D444" s="89">
        <v>38.018349999999998</v>
      </c>
      <c r="E444" s="89">
        <v>-121.68312</v>
      </c>
      <c r="F444" s="89" t="s">
        <v>3931</v>
      </c>
      <c r="G444" s="89" t="s">
        <v>27</v>
      </c>
      <c r="H444" s="89" t="s">
        <v>863</v>
      </c>
      <c r="I444" s="602">
        <v>0.3840277777777778</v>
      </c>
      <c r="J444" s="82">
        <v>217</v>
      </c>
      <c r="K444" s="82">
        <v>22.55</v>
      </c>
      <c r="L444" s="82">
        <v>7.9675000000000002</v>
      </c>
      <c r="M444" s="82">
        <v>1.7975000000000001</v>
      </c>
      <c r="N444" s="82">
        <v>6.45</v>
      </c>
      <c r="O444" s="89" t="s">
        <v>48</v>
      </c>
      <c r="P444" s="89">
        <v>4</v>
      </c>
      <c r="Q444" s="89">
        <v>10</v>
      </c>
      <c r="R444" s="89" t="s">
        <v>49</v>
      </c>
      <c r="S444" s="89" t="s">
        <v>50</v>
      </c>
      <c r="T444" s="89" t="s">
        <v>50</v>
      </c>
      <c r="U444" s="89" t="s">
        <v>50</v>
      </c>
      <c r="V444" s="89" t="s">
        <v>50</v>
      </c>
      <c r="W444" s="89" t="s">
        <v>50</v>
      </c>
      <c r="X444" s="89" t="s">
        <v>50</v>
      </c>
    </row>
    <row r="445" spans="1:25" x14ac:dyDescent="0.25">
      <c r="A445" s="26">
        <v>43719</v>
      </c>
      <c r="B445" s="89" t="s">
        <v>915</v>
      </c>
      <c r="C445" s="89" t="s">
        <v>95</v>
      </c>
      <c r="D445" s="89">
        <v>38.045780000000001</v>
      </c>
      <c r="E445" s="89">
        <v>-121.70165</v>
      </c>
      <c r="F445" s="89" t="s">
        <v>3932</v>
      </c>
      <c r="G445" s="89" t="s">
        <v>27</v>
      </c>
      <c r="H445" s="89" t="s">
        <v>863</v>
      </c>
      <c r="I445" s="602">
        <v>0.48888888888888887</v>
      </c>
      <c r="J445" s="82">
        <v>172.17500000000001</v>
      </c>
      <c r="K445" s="82">
        <v>22.275000000000002</v>
      </c>
      <c r="L445" s="82">
        <v>8.8324999999999996</v>
      </c>
      <c r="M445" s="82">
        <v>1.3125</v>
      </c>
      <c r="N445" s="82">
        <v>8.3250000000000011</v>
      </c>
      <c r="O445" s="89" t="s">
        <v>48</v>
      </c>
      <c r="P445" s="89">
        <v>4</v>
      </c>
      <c r="Q445" s="89">
        <v>10</v>
      </c>
      <c r="R445" s="89" t="s">
        <v>49</v>
      </c>
      <c r="S445" s="89" t="s">
        <v>50</v>
      </c>
      <c r="T445" s="89" t="s">
        <v>50</v>
      </c>
      <c r="U445" s="89" t="s">
        <v>50</v>
      </c>
      <c r="V445" s="89" t="s">
        <v>50</v>
      </c>
      <c r="W445" s="89" t="s">
        <v>50</v>
      </c>
      <c r="X445" s="89" t="s">
        <v>50</v>
      </c>
    </row>
    <row r="446" spans="1:25" x14ac:dyDescent="0.25">
      <c r="A446" s="26">
        <v>43721</v>
      </c>
      <c r="B446" s="89" t="s">
        <v>125</v>
      </c>
      <c r="C446" s="89" t="s">
        <v>126</v>
      </c>
      <c r="D446" s="89">
        <v>38.251600000000003</v>
      </c>
      <c r="E446" s="89">
        <v>-121.72302000000001</v>
      </c>
      <c r="F446" s="89" t="s">
        <v>3933</v>
      </c>
      <c r="G446" s="89" t="s">
        <v>90</v>
      </c>
      <c r="H446" s="89" t="s">
        <v>845</v>
      </c>
      <c r="I446" s="602">
        <v>0.3263888888888889</v>
      </c>
      <c r="J446" s="82">
        <v>196.32500000000002</v>
      </c>
      <c r="K446" s="82">
        <v>21.6</v>
      </c>
      <c r="L446" s="82">
        <v>4.9399999999999995</v>
      </c>
      <c r="M446" s="82">
        <v>1.52</v>
      </c>
      <c r="N446" s="82">
        <v>4.5</v>
      </c>
      <c r="O446" s="89" t="s">
        <v>48</v>
      </c>
      <c r="P446" s="89">
        <v>4</v>
      </c>
      <c r="Q446" s="89">
        <v>10</v>
      </c>
      <c r="R446" s="89" t="s">
        <v>49</v>
      </c>
      <c r="S446" s="89" t="s">
        <v>50</v>
      </c>
      <c r="T446" s="89" t="s">
        <v>50</v>
      </c>
      <c r="U446" s="89" t="s">
        <v>50</v>
      </c>
      <c r="V446" s="89" t="s">
        <v>50</v>
      </c>
      <c r="W446" s="89" t="s">
        <v>50</v>
      </c>
      <c r="X446" s="89" t="s">
        <v>50</v>
      </c>
    </row>
    <row r="447" spans="1:25" s="150" customFormat="1" x14ac:dyDescent="0.25">
      <c r="A447" s="195">
        <v>43721</v>
      </c>
      <c r="B447" s="154" t="s">
        <v>125</v>
      </c>
      <c r="C447" s="154" t="s">
        <v>126</v>
      </c>
      <c r="D447" s="154">
        <v>38.246989999999997</v>
      </c>
      <c r="E447" s="223">
        <v>-121.70075</v>
      </c>
      <c r="F447" s="154" t="s">
        <v>3934</v>
      </c>
      <c r="G447" s="154" t="s">
        <v>90</v>
      </c>
      <c r="H447" s="154" t="s">
        <v>845</v>
      </c>
      <c r="I447" s="636">
        <v>0.375</v>
      </c>
      <c r="J447" s="156" t="s">
        <v>50</v>
      </c>
      <c r="K447" s="156" t="s">
        <v>50</v>
      </c>
      <c r="L447" s="156" t="s">
        <v>50</v>
      </c>
      <c r="M447" s="156" t="s">
        <v>50</v>
      </c>
      <c r="N447" s="156" t="s">
        <v>50</v>
      </c>
      <c r="O447" s="154" t="s">
        <v>48</v>
      </c>
      <c r="P447" s="154">
        <v>0</v>
      </c>
      <c r="Q447" s="154" t="s">
        <v>50</v>
      </c>
      <c r="R447" s="154" t="s">
        <v>50</v>
      </c>
      <c r="S447" s="154" t="s">
        <v>50</v>
      </c>
      <c r="T447" s="154" t="s">
        <v>50</v>
      </c>
      <c r="U447" s="154" t="s">
        <v>50</v>
      </c>
      <c r="V447" s="154" t="s">
        <v>50</v>
      </c>
      <c r="W447" s="154" t="s">
        <v>50</v>
      </c>
      <c r="X447" s="154" t="s">
        <v>50</v>
      </c>
      <c r="Y447" s="627" t="s">
        <v>3935</v>
      </c>
    </row>
    <row r="448" spans="1:25" s="150" customFormat="1" x14ac:dyDescent="0.25">
      <c r="A448" s="178">
        <v>43721</v>
      </c>
      <c r="B448" s="150" t="s">
        <v>125</v>
      </c>
      <c r="C448" s="150" t="s">
        <v>126</v>
      </c>
      <c r="D448" s="150">
        <v>38.28492</v>
      </c>
      <c r="E448" s="150">
        <v>-121.71901</v>
      </c>
      <c r="F448" s="150" t="s">
        <v>3936</v>
      </c>
      <c r="G448" s="150" t="s">
        <v>90</v>
      </c>
      <c r="H448" s="150" t="s">
        <v>845</v>
      </c>
      <c r="I448" s="614">
        <v>0.3840277777777778</v>
      </c>
      <c r="J448" s="197" t="s">
        <v>50</v>
      </c>
      <c r="K448" s="197" t="s">
        <v>50</v>
      </c>
      <c r="L448" s="197" t="s">
        <v>50</v>
      </c>
      <c r="M448" s="197" t="s">
        <v>50</v>
      </c>
      <c r="N448" s="197" t="s">
        <v>50</v>
      </c>
      <c r="O448" s="150" t="s">
        <v>48</v>
      </c>
      <c r="P448" s="150">
        <v>0</v>
      </c>
      <c r="Q448" s="150" t="s">
        <v>50</v>
      </c>
      <c r="R448" s="150" t="s">
        <v>50</v>
      </c>
      <c r="S448" s="150" t="s">
        <v>50</v>
      </c>
      <c r="T448" s="150" t="s">
        <v>50</v>
      </c>
      <c r="U448" s="150" t="s">
        <v>50</v>
      </c>
      <c r="V448" s="150" t="s">
        <v>50</v>
      </c>
      <c r="W448" s="150" t="s">
        <v>50</v>
      </c>
      <c r="X448" s="150" t="s">
        <v>50</v>
      </c>
      <c r="Y448" s="604" t="s">
        <v>784</v>
      </c>
    </row>
    <row r="449" spans="1:25" x14ac:dyDescent="0.25">
      <c r="A449" s="194">
        <v>43721</v>
      </c>
      <c r="B449" s="98" t="s">
        <v>125</v>
      </c>
      <c r="C449" s="98" t="s">
        <v>126</v>
      </c>
      <c r="D449" s="98">
        <v>38.269350000000003</v>
      </c>
      <c r="E449" s="98">
        <v>-121.70274000000001</v>
      </c>
      <c r="F449" s="98" t="s">
        <v>3937</v>
      </c>
      <c r="G449" s="98" t="s">
        <v>90</v>
      </c>
      <c r="H449" s="98" t="s">
        <v>845</v>
      </c>
      <c r="I449" s="621">
        <v>0.39097222222222222</v>
      </c>
      <c r="J449" s="100">
        <v>195.125</v>
      </c>
      <c r="K449" s="100">
        <v>21.633333333333336</v>
      </c>
      <c r="L449" s="100">
        <v>3.6850000000000001</v>
      </c>
      <c r="M449" s="100">
        <v>1.8</v>
      </c>
      <c r="N449" s="100">
        <v>3.35</v>
      </c>
      <c r="O449" s="98" t="s">
        <v>48</v>
      </c>
      <c r="P449" s="98">
        <v>4</v>
      </c>
      <c r="Q449" s="98">
        <v>10</v>
      </c>
      <c r="R449" s="98" t="s">
        <v>49</v>
      </c>
      <c r="S449" s="98" t="s">
        <v>50</v>
      </c>
      <c r="T449" s="98" t="s">
        <v>50</v>
      </c>
      <c r="U449" s="98" t="s">
        <v>50</v>
      </c>
      <c r="V449" s="98" t="s">
        <v>50</v>
      </c>
      <c r="W449" s="98" t="s">
        <v>50</v>
      </c>
      <c r="X449" s="98" t="s">
        <v>50</v>
      </c>
      <c r="Y449" s="622" t="s">
        <v>3938</v>
      </c>
    </row>
    <row r="450" spans="1:25" x14ac:dyDescent="0.25">
      <c r="A450" s="26">
        <v>43721</v>
      </c>
      <c r="B450" s="89" t="s">
        <v>125</v>
      </c>
      <c r="C450" s="89" t="s">
        <v>126</v>
      </c>
      <c r="D450" s="89">
        <v>38.240839999999999</v>
      </c>
      <c r="E450" s="89">
        <v>-121.68131</v>
      </c>
      <c r="F450" s="89" t="s">
        <v>3939</v>
      </c>
      <c r="G450" s="89" t="s">
        <v>90</v>
      </c>
      <c r="H450" s="89" t="s">
        <v>845</v>
      </c>
      <c r="I450" s="602">
        <v>0.46736111111111112</v>
      </c>
      <c r="J450" s="82">
        <v>247.17500000000001</v>
      </c>
      <c r="K450" s="82">
        <v>21.6</v>
      </c>
      <c r="L450" s="82">
        <v>9.1499999999999986</v>
      </c>
      <c r="M450" s="82">
        <v>1.0474999999999999</v>
      </c>
      <c r="N450" s="82">
        <v>10.8</v>
      </c>
      <c r="O450" s="89" t="s">
        <v>48</v>
      </c>
      <c r="P450" s="89">
        <v>4</v>
      </c>
      <c r="Q450" s="89">
        <v>10</v>
      </c>
      <c r="R450" s="89" t="s">
        <v>49</v>
      </c>
      <c r="S450" s="89" t="s">
        <v>50</v>
      </c>
      <c r="T450" s="89" t="s">
        <v>50</v>
      </c>
      <c r="U450" s="89" t="s">
        <v>50</v>
      </c>
      <c r="V450" s="89" t="s">
        <v>50</v>
      </c>
      <c r="W450" s="89" t="s">
        <v>50</v>
      </c>
      <c r="X450" s="89" t="s">
        <v>50</v>
      </c>
    </row>
    <row r="451" spans="1:25" x14ac:dyDescent="0.25">
      <c r="A451" s="26">
        <v>43721</v>
      </c>
      <c r="B451" s="89" t="s">
        <v>125</v>
      </c>
      <c r="C451" s="89" t="s">
        <v>62</v>
      </c>
      <c r="D451" s="89">
        <v>38.19079</v>
      </c>
      <c r="E451" s="89">
        <v>-122.04336000000001</v>
      </c>
      <c r="F451" s="89" t="s">
        <v>3940</v>
      </c>
      <c r="G451" s="89" t="s">
        <v>27</v>
      </c>
      <c r="H451" s="89" t="s">
        <v>62</v>
      </c>
      <c r="I451" s="602">
        <v>0.37777777777777777</v>
      </c>
      <c r="J451" s="82">
        <v>6609.75</v>
      </c>
      <c r="K451" s="82">
        <v>21.8</v>
      </c>
      <c r="L451" s="82">
        <v>42.2</v>
      </c>
      <c r="M451" s="82">
        <v>0.33500000000000002</v>
      </c>
      <c r="N451" s="82">
        <v>5.9</v>
      </c>
      <c r="O451" s="89" t="s">
        <v>48</v>
      </c>
      <c r="P451" s="89">
        <v>4</v>
      </c>
      <c r="Q451" s="89">
        <v>10</v>
      </c>
      <c r="R451" s="89" t="s">
        <v>49</v>
      </c>
      <c r="S451" s="89" t="s">
        <v>50</v>
      </c>
      <c r="T451" s="89" t="s">
        <v>50</v>
      </c>
      <c r="U451" s="89" t="s">
        <v>50</v>
      </c>
      <c r="V451" s="89" t="s">
        <v>50</v>
      </c>
      <c r="W451" s="89" t="s">
        <v>50</v>
      </c>
      <c r="X451" s="89" t="s">
        <v>50</v>
      </c>
      <c r="Y451" s="600" t="s">
        <v>3941</v>
      </c>
    </row>
    <row r="452" spans="1:25" x14ac:dyDescent="0.25">
      <c r="A452" s="26">
        <v>43721</v>
      </c>
      <c r="B452" s="89" t="s">
        <v>125</v>
      </c>
      <c r="C452" s="89" t="s">
        <v>62</v>
      </c>
      <c r="D452" s="89">
        <v>38.162480000000002</v>
      </c>
      <c r="E452" s="89">
        <v>-122.04644</v>
      </c>
      <c r="F452" s="89" t="s">
        <v>3942</v>
      </c>
      <c r="G452" s="89" t="s">
        <v>27</v>
      </c>
      <c r="H452" s="89" t="s">
        <v>62</v>
      </c>
      <c r="I452" s="602">
        <v>0.42708333333333331</v>
      </c>
      <c r="J452" s="82">
        <v>6724.75</v>
      </c>
      <c r="K452" s="82">
        <v>22.125</v>
      </c>
      <c r="L452" s="82">
        <v>63.550000000000004</v>
      </c>
      <c r="M452" s="82">
        <v>0.33750000000000002</v>
      </c>
      <c r="N452" s="82">
        <v>7.2249999999999996</v>
      </c>
      <c r="O452" s="89" t="s">
        <v>48</v>
      </c>
      <c r="P452" s="89">
        <v>4</v>
      </c>
      <c r="Q452" s="89">
        <v>10</v>
      </c>
      <c r="R452" s="89" t="s">
        <v>64</v>
      </c>
      <c r="S452" s="89" t="s">
        <v>50</v>
      </c>
      <c r="T452" s="89" t="s">
        <v>50</v>
      </c>
      <c r="U452" s="89" t="s">
        <v>50</v>
      </c>
      <c r="V452" s="89" t="s">
        <v>50</v>
      </c>
      <c r="W452" s="89" t="s">
        <v>50</v>
      </c>
      <c r="X452" s="89" t="s">
        <v>50</v>
      </c>
      <c r="Y452" s="600" t="s">
        <v>124</v>
      </c>
    </row>
    <row r="453" spans="1:25" x14ac:dyDescent="0.25">
      <c r="A453" s="26">
        <v>43721</v>
      </c>
      <c r="B453" s="89" t="s">
        <v>125</v>
      </c>
      <c r="C453" s="89" t="s">
        <v>62</v>
      </c>
      <c r="D453" s="89">
        <v>38.106729999999999</v>
      </c>
      <c r="E453" s="89">
        <v>-122.05255</v>
      </c>
      <c r="F453" s="89" t="s">
        <v>3943</v>
      </c>
      <c r="G453" s="89" t="s">
        <v>27</v>
      </c>
      <c r="H453" s="89" t="s">
        <v>173</v>
      </c>
      <c r="I453" s="602">
        <v>0.48819444444444443</v>
      </c>
      <c r="J453" s="82">
        <v>6326</v>
      </c>
      <c r="K453" s="82">
        <v>21.549999999999997</v>
      </c>
      <c r="L453" s="82">
        <v>71.875</v>
      </c>
      <c r="M453" s="82">
        <v>0.27500000000000002</v>
      </c>
      <c r="N453" s="82">
        <v>3.8</v>
      </c>
      <c r="O453" s="89" t="s">
        <v>48</v>
      </c>
      <c r="P453" s="89">
        <v>4</v>
      </c>
      <c r="Q453" s="89">
        <v>10</v>
      </c>
      <c r="R453" s="89" t="s">
        <v>64</v>
      </c>
      <c r="S453" s="89" t="s">
        <v>50</v>
      </c>
      <c r="T453" s="89" t="s">
        <v>50</v>
      </c>
      <c r="U453" s="89" t="s">
        <v>50</v>
      </c>
      <c r="V453" s="89" t="s">
        <v>50</v>
      </c>
      <c r="W453" s="89" t="s">
        <v>50</v>
      </c>
      <c r="X453" s="89" t="s">
        <v>50</v>
      </c>
    </row>
    <row r="454" spans="1:25" x14ac:dyDescent="0.25">
      <c r="A454" s="26">
        <v>43721</v>
      </c>
      <c r="B454" s="89" t="s">
        <v>125</v>
      </c>
      <c r="C454" s="89" t="s">
        <v>78</v>
      </c>
      <c r="D454" s="89">
        <v>38.045369999999998</v>
      </c>
      <c r="E454" s="89">
        <v>-121.84119</v>
      </c>
      <c r="F454" s="89" t="s">
        <v>3944</v>
      </c>
      <c r="G454" s="89" t="s">
        <v>27</v>
      </c>
      <c r="H454" s="89" t="s">
        <v>101</v>
      </c>
      <c r="I454" s="602">
        <v>0.3298611111111111</v>
      </c>
      <c r="J454" s="100">
        <v>526</v>
      </c>
      <c r="K454" s="100">
        <v>21.724999999999998</v>
      </c>
      <c r="L454" s="100">
        <v>38.1</v>
      </c>
      <c r="M454" s="100">
        <v>0.50749999999999995</v>
      </c>
      <c r="N454" s="100">
        <v>4.05</v>
      </c>
      <c r="O454" s="98" t="s">
        <v>48</v>
      </c>
      <c r="P454" s="98">
        <v>4</v>
      </c>
      <c r="Q454" s="98">
        <v>10</v>
      </c>
      <c r="R454" s="89" t="s">
        <v>49</v>
      </c>
      <c r="S454" s="89" t="s">
        <v>50</v>
      </c>
      <c r="T454" s="89" t="s">
        <v>50</v>
      </c>
      <c r="U454" s="89" t="s">
        <v>50</v>
      </c>
      <c r="V454" s="89" t="s">
        <v>50</v>
      </c>
      <c r="W454" s="89" t="s">
        <v>50</v>
      </c>
      <c r="X454" s="89" t="s">
        <v>50</v>
      </c>
    </row>
    <row r="455" spans="1:25" s="206" customFormat="1" x14ac:dyDescent="0.25">
      <c r="A455" s="204">
        <v>43721</v>
      </c>
      <c r="B455" s="206" t="s">
        <v>125</v>
      </c>
      <c r="C455" s="206" t="s">
        <v>78</v>
      </c>
      <c r="D455" s="206">
        <v>38.070419999999999</v>
      </c>
      <c r="E455" s="206">
        <v>-121.97486000000001</v>
      </c>
      <c r="F455" s="206" t="s">
        <v>3945</v>
      </c>
      <c r="G455" s="206" t="s">
        <v>27</v>
      </c>
      <c r="H455" s="206" t="s">
        <v>86</v>
      </c>
      <c r="I455" s="613">
        <v>0.38680555555555557</v>
      </c>
      <c r="J455" s="208">
        <v>2091.75</v>
      </c>
      <c r="K455" s="208">
        <v>21.65</v>
      </c>
      <c r="L455" s="208">
        <v>71.150000000000006</v>
      </c>
      <c r="M455" s="208">
        <v>0.32250000000000001</v>
      </c>
      <c r="N455" s="208">
        <v>3.9</v>
      </c>
      <c r="O455" s="206" t="s">
        <v>48</v>
      </c>
      <c r="P455" s="206">
        <v>4</v>
      </c>
      <c r="Q455" s="206">
        <v>10</v>
      </c>
      <c r="R455" s="206" t="s">
        <v>49</v>
      </c>
      <c r="S455" s="206" t="s">
        <v>31</v>
      </c>
      <c r="T455" s="206">
        <v>2</v>
      </c>
      <c r="U455" s="206" t="s">
        <v>3946</v>
      </c>
      <c r="V455" s="206" t="s">
        <v>50</v>
      </c>
      <c r="W455" s="206" t="s">
        <v>50</v>
      </c>
      <c r="X455" s="206" t="s">
        <v>50</v>
      </c>
      <c r="Y455" s="605"/>
    </row>
    <row r="456" spans="1:25" s="496" customFormat="1" x14ac:dyDescent="0.25">
      <c r="A456" s="495">
        <v>43721</v>
      </c>
      <c r="B456" s="496" t="s">
        <v>125</v>
      </c>
      <c r="C456" s="496" t="s">
        <v>78</v>
      </c>
      <c r="D456" s="496">
        <v>38.070419999999999</v>
      </c>
      <c r="E456" s="496">
        <v>-121.97486000000001</v>
      </c>
      <c r="F456" s="496" t="s">
        <v>3945</v>
      </c>
      <c r="G456" s="496" t="s">
        <v>27</v>
      </c>
      <c r="H456" s="496" t="s">
        <v>86</v>
      </c>
      <c r="I456" s="615">
        <v>0.38680555555555557</v>
      </c>
      <c r="J456" s="498">
        <v>2091.75</v>
      </c>
      <c r="K456" s="498">
        <v>21.65</v>
      </c>
      <c r="L456" s="498">
        <v>71.150000000000006</v>
      </c>
      <c r="M456" s="498">
        <v>0.32250000000000001</v>
      </c>
      <c r="N456" s="498">
        <v>3.9</v>
      </c>
      <c r="O456" s="496" t="s">
        <v>48</v>
      </c>
      <c r="P456" s="496">
        <v>4</v>
      </c>
      <c r="Q456" s="496">
        <v>10</v>
      </c>
      <c r="R456" s="496" t="s">
        <v>49</v>
      </c>
      <c r="S456" s="496" t="s">
        <v>323</v>
      </c>
      <c r="T456" s="496">
        <v>1</v>
      </c>
      <c r="U456" s="496">
        <v>49</v>
      </c>
      <c r="V456" s="496" t="s">
        <v>50</v>
      </c>
      <c r="W456" s="496" t="s">
        <v>50</v>
      </c>
      <c r="X456" s="496" t="s">
        <v>50</v>
      </c>
      <c r="Y456" s="601" t="s">
        <v>3747</v>
      </c>
    </row>
    <row r="457" spans="1:25" s="362" customFormat="1" x14ac:dyDescent="0.25">
      <c r="A457" s="360">
        <v>43721</v>
      </c>
      <c r="B457" s="362" t="s">
        <v>125</v>
      </c>
      <c r="C457" s="362" t="s">
        <v>78</v>
      </c>
      <c r="D457" s="362">
        <v>38.059510000000003</v>
      </c>
      <c r="E457" s="362">
        <v>-121.99872999999999</v>
      </c>
      <c r="F457" s="362" t="s">
        <v>3947</v>
      </c>
      <c r="G457" s="362" t="s">
        <v>27</v>
      </c>
      <c r="H457" s="362" t="s">
        <v>86</v>
      </c>
      <c r="I457" s="618">
        <v>0.44375000000000003</v>
      </c>
      <c r="J457" s="364">
        <v>1396.25</v>
      </c>
      <c r="K457" s="364">
        <v>21.725000000000001</v>
      </c>
      <c r="L457" s="364">
        <v>39.700000000000003</v>
      </c>
      <c r="M457" s="364">
        <v>0.52749999999999997</v>
      </c>
      <c r="N457" s="364">
        <v>13.275</v>
      </c>
      <c r="O457" s="362" t="s">
        <v>48</v>
      </c>
      <c r="P457" s="362">
        <v>4</v>
      </c>
      <c r="Q457" s="362">
        <v>10</v>
      </c>
      <c r="R457" s="362" t="s">
        <v>49</v>
      </c>
      <c r="S457" s="362" t="s">
        <v>50</v>
      </c>
      <c r="T457" s="362" t="s">
        <v>50</v>
      </c>
      <c r="U457" s="362" t="s">
        <v>50</v>
      </c>
      <c r="V457" s="362" t="s">
        <v>50</v>
      </c>
      <c r="W457" s="362" t="s">
        <v>50</v>
      </c>
      <c r="X457" s="362" t="s">
        <v>50</v>
      </c>
      <c r="Y457" s="603"/>
    </row>
    <row r="458" spans="1:25" x14ac:dyDescent="0.25">
      <c r="A458" s="26">
        <v>43724</v>
      </c>
      <c r="B458" s="89" t="s">
        <v>43</v>
      </c>
      <c r="C458" s="89" t="s">
        <v>95</v>
      </c>
      <c r="D458" s="89">
        <v>38.089790000000001</v>
      </c>
      <c r="E458" s="89">
        <v>-121.57341</v>
      </c>
      <c r="F458" s="89" t="s">
        <v>3948</v>
      </c>
      <c r="G458" s="89" t="s">
        <v>46</v>
      </c>
      <c r="H458" s="89" t="s">
        <v>115</v>
      </c>
      <c r="I458" s="602">
        <v>0.35347222222222219</v>
      </c>
      <c r="J458" s="82">
        <v>151.32499999999999</v>
      </c>
      <c r="K458" s="82">
        <v>21.975000000000001</v>
      </c>
      <c r="L458" s="82">
        <v>24.22</v>
      </c>
      <c r="M458" s="82">
        <v>1.5625</v>
      </c>
      <c r="N458" s="82">
        <v>7.4749999999999996</v>
      </c>
      <c r="O458" s="89" t="s">
        <v>48</v>
      </c>
      <c r="P458" s="89">
        <v>4</v>
      </c>
      <c r="Q458" s="89">
        <v>10</v>
      </c>
      <c r="R458" s="89" t="s">
        <v>49</v>
      </c>
      <c r="S458" s="89" t="s">
        <v>50</v>
      </c>
      <c r="T458" s="89" t="s">
        <v>50</v>
      </c>
      <c r="U458" s="89" t="s">
        <v>50</v>
      </c>
      <c r="V458" s="89" t="s">
        <v>50</v>
      </c>
      <c r="W458" s="89" t="s">
        <v>50</v>
      </c>
      <c r="X458" s="89" t="s">
        <v>50</v>
      </c>
      <c r="Y458" s="600" t="s">
        <v>3548</v>
      </c>
    </row>
    <row r="459" spans="1:25" x14ac:dyDescent="0.25">
      <c r="A459" s="26">
        <v>43724</v>
      </c>
      <c r="B459" s="89" t="s">
        <v>43</v>
      </c>
      <c r="C459" s="89" t="s">
        <v>95</v>
      </c>
      <c r="D459" s="89">
        <v>38.094200000000001</v>
      </c>
      <c r="E459" s="89">
        <v>-121.65267</v>
      </c>
      <c r="F459" s="89" t="s">
        <v>3949</v>
      </c>
      <c r="G459" s="89" t="s">
        <v>46</v>
      </c>
      <c r="H459" s="89" t="s">
        <v>908</v>
      </c>
      <c r="I459" s="602">
        <v>0.4201388888888889</v>
      </c>
      <c r="J459" s="82">
        <v>174.2</v>
      </c>
      <c r="K459" s="82">
        <v>22.4</v>
      </c>
      <c r="L459" s="82">
        <v>64.275000000000006</v>
      </c>
      <c r="M459" s="82">
        <v>1.3699999999999999</v>
      </c>
      <c r="N459" s="82">
        <v>6.7</v>
      </c>
      <c r="O459" s="89" t="s">
        <v>48</v>
      </c>
      <c r="P459" s="89">
        <v>4</v>
      </c>
      <c r="Q459" s="89">
        <v>10</v>
      </c>
      <c r="R459" s="89" t="s">
        <v>49</v>
      </c>
      <c r="S459" s="89" t="s">
        <v>50</v>
      </c>
      <c r="T459" s="89" t="s">
        <v>50</v>
      </c>
      <c r="U459" s="89" t="s">
        <v>50</v>
      </c>
      <c r="V459" s="89" t="s">
        <v>50</v>
      </c>
      <c r="W459" s="89" t="s">
        <v>50</v>
      </c>
      <c r="X459" s="89" t="s">
        <v>50</v>
      </c>
    </row>
    <row r="460" spans="1:25" x14ac:dyDescent="0.25">
      <c r="A460" s="26">
        <v>43724</v>
      </c>
      <c r="B460" s="89" t="s">
        <v>43</v>
      </c>
      <c r="C460" s="89" t="s">
        <v>95</v>
      </c>
      <c r="D460" s="89">
        <v>38.020510000000002</v>
      </c>
      <c r="E460" s="89">
        <v>-121.78027</v>
      </c>
      <c r="F460" s="89" t="s">
        <v>3950</v>
      </c>
      <c r="G460" s="89" t="s">
        <v>27</v>
      </c>
      <c r="H460" s="89" t="s">
        <v>863</v>
      </c>
      <c r="I460" s="602">
        <v>0.50069444444444444</v>
      </c>
      <c r="J460" s="82">
        <v>293.55</v>
      </c>
      <c r="K460" s="82">
        <v>22.475000000000001</v>
      </c>
      <c r="L460" s="82">
        <v>72.024999999999991</v>
      </c>
      <c r="M460" s="82">
        <v>1.0249999999999999</v>
      </c>
      <c r="N460" s="82">
        <v>3.8250000000000002</v>
      </c>
      <c r="O460" s="89" t="s">
        <v>48</v>
      </c>
      <c r="P460" s="89">
        <v>4</v>
      </c>
      <c r="Q460" s="89">
        <v>10</v>
      </c>
      <c r="R460" s="89" t="s">
        <v>49</v>
      </c>
      <c r="S460" s="89" t="s">
        <v>50</v>
      </c>
      <c r="T460" s="89" t="s">
        <v>50</v>
      </c>
      <c r="U460" s="89" t="s">
        <v>50</v>
      </c>
      <c r="V460" s="89" t="s">
        <v>50</v>
      </c>
      <c r="W460" s="89" t="s">
        <v>50</v>
      </c>
      <c r="X460" s="89" t="s">
        <v>50</v>
      </c>
    </row>
    <row r="461" spans="1:25" x14ac:dyDescent="0.25">
      <c r="A461" s="26">
        <v>43724</v>
      </c>
      <c r="B461" s="89" t="s">
        <v>43</v>
      </c>
      <c r="C461" s="89" t="s">
        <v>62</v>
      </c>
      <c r="D461" s="89">
        <v>38.114550000000001</v>
      </c>
      <c r="E461" s="89">
        <v>-121.89060000000001</v>
      </c>
      <c r="F461" s="89" t="s">
        <v>3951</v>
      </c>
      <c r="G461" s="89" t="s">
        <v>27</v>
      </c>
      <c r="H461" s="89" t="s">
        <v>62</v>
      </c>
      <c r="I461" s="602">
        <v>0.34861111111111115</v>
      </c>
      <c r="J461" s="82">
        <v>5005.25</v>
      </c>
      <c r="K461" s="82">
        <v>22.2</v>
      </c>
      <c r="L461" s="82">
        <v>25.6</v>
      </c>
      <c r="M461" s="82">
        <v>0.60250000000000004</v>
      </c>
      <c r="N461" s="82">
        <v>4.9749999999999996</v>
      </c>
      <c r="O461" s="89" t="s">
        <v>48</v>
      </c>
      <c r="P461" s="89">
        <v>4</v>
      </c>
      <c r="Q461" s="89">
        <v>10</v>
      </c>
      <c r="R461" s="89" t="s">
        <v>49</v>
      </c>
      <c r="S461" s="89" t="s">
        <v>50</v>
      </c>
      <c r="T461" s="89" t="s">
        <v>50</v>
      </c>
      <c r="U461" s="89" t="s">
        <v>50</v>
      </c>
      <c r="V461" s="89" t="s">
        <v>50</v>
      </c>
      <c r="W461" s="89" t="s">
        <v>50</v>
      </c>
      <c r="X461" s="89" t="s">
        <v>50</v>
      </c>
    </row>
    <row r="462" spans="1:25" x14ac:dyDescent="0.25">
      <c r="A462" s="26">
        <v>43724</v>
      </c>
      <c r="B462" s="89" t="s">
        <v>43</v>
      </c>
      <c r="C462" s="89" t="s">
        <v>62</v>
      </c>
      <c r="D462" s="89">
        <v>38.168700000000001</v>
      </c>
      <c r="E462" s="89">
        <v>-121.94528</v>
      </c>
      <c r="F462" s="89" t="s">
        <v>3952</v>
      </c>
      <c r="G462" s="89" t="s">
        <v>27</v>
      </c>
      <c r="H462" s="89" t="s">
        <v>62</v>
      </c>
      <c r="I462" s="602">
        <v>0.40486111111111112</v>
      </c>
      <c r="J462" s="82">
        <v>6236.5</v>
      </c>
      <c r="K462" s="82">
        <v>21.899999999999995</v>
      </c>
      <c r="L462" s="82">
        <v>43.625</v>
      </c>
      <c r="M462" s="82">
        <v>0.27</v>
      </c>
      <c r="N462" s="82">
        <v>10.4</v>
      </c>
      <c r="O462" s="89" t="s">
        <v>48</v>
      </c>
      <c r="P462" s="89">
        <v>4</v>
      </c>
      <c r="Q462" s="89">
        <v>10</v>
      </c>
      <c r="R462" s="89" t="s">
        <v>49</v>
      </c>
      <c r="S462" s="89" t="s">
        <v>50</v>
      </c>
      <c r="T462" s="89" t="s">
        <v>50</v>
      </c>
      <c r="U462" s="89" t="s">
        <v>50</v>
      </c>
      <c r="V462" s="89" t="s">
        <v>50</v>
      </c>
      <c r="W462" s="89" t="s">
        <v>50</v>
      </c>
      <c r="X462" s="89" t="s">
        <v>50</v>
      </c>
    </row>
    <row r="463" spans="1:25" x14ac:dyDescent="0.25">
      <c r="A463" s="26">
        <v>43724</v>
      </c>
      <c r="B463" s="89" t="s">
        <v>43</v>
      </c>
      <c r="C463" s="89" t="s">
        <v>62</v>
      </c>
      <c r="D463" s="89">
        <v>38.181899999999999</v>
      </c>
      <c r="E463" s="89">
        <v>-122.05006</v>
      </c>
      <c r="F463" s="89" t="s">
        <v>3953</v>
      </c>
      <c r="G463" s="89" t="s">
        <v>27</v>
      </c>
      <c r="H463" s="89" t="s">
        <v>62</v>
      </c>
      <c r="I463" s="602">
        <v>0.47916666666666669</v>
      </c>
      <c r="J463" s="82">
        <v>6855.5</v>
      </c>
      <c r="K463" s="82">
        <v>22.25</v>
      </c>
      <c r="L463" s="82">
        <v>35</v>
      </c>
      <c r="M463" s="82">
        <v>0.28500000000000003</v>
      </c>
      <c r="N463" s="82">
        <v>6.55</v>
      </c>
      <c r="O463" s="89" t="s">
        <v>48</v>
      </c>
      <c r="P463" s="89">
        <v>4</v>
      </c>
      <c r="Q463" s="89">
        <v>10</v>
      </c>
      <c r="R463" s="89" t="s">
        <v>49</v>
      </c>
      <c r="S463" s="89" t="s">
        <v>50</v>
      </c>
      <c r="T463" s="89" t="s">
        <v>50</v>
      </c>
      <c r="U463" s="89" t="s">
        <v>50</v>
      </c>
      <c r="V463" s="89" t="s">
        <v>50</v>
      </c>
      <c r="W463" s="89" t="s">
        <v>50</v>
      </c>
      <c r="X463" s="89" t="s">
        <v>50</v>
      </c>
    </row>
    <row r="464" spans="1:25" s="150" customFormat="1" x14ac:dyDescent="0.25">
      <c r="A464" s="178">
        <v>43724</v>
      </c>
      <c r="B464" s="150" t="s">
        <v>43</v>
      </c>
      <c r="C464" s="150" t="s">
        <v>62</v>
      </c>
      <c r="D464" s="150">
        <v>38.099589999999999</v>
      </c>
      <c r="E464" s="150">
        <v>-122.07025</v>
      </c>
      <c r="F464" s="150" t="s">
        <v>3954</v>
      </c>
      <c r="G464" s="150" t="s">
        <v>27</v>
      </c>
      <c r="H464" s="150" t="s">
        <v>62</v>
      </c>
      <c r="I464" s="614">
        <v>0.46527777777777773</v>
      </c>
      <c r="J464" s="197" t="s">
        <v>50</v>
      </c>
      <c r="K464" s="197" t="s">
        <v>50</v>
      </c>
      <c r="L464" s="197" t="s">
        <v>50</v>
      </c>
      <c r="M464" s="197" t="s">
        <v>50</v>
      </c>
      <c r="N464" s="197" t="s">
        <v>50</v>
      </c>
      <c r="O464" s="150" t="s">
        <v>48</v>
      </c>
      <c r="P464" s="150">
        <v>0</v>
      </c>
      <c r="Q464" s="150" t="s">
        <v>50</v>
      </c>
      <c r="R464" s="150" t="s">
        <v>50</v>
      </c>
      <c r="S464" s="150" t="s">
        <v>50</v>
      </c>
      <c r="T464" s="150" t="s">
        <v>50</v>
      </c>
      <c r="U464" s="150" t="s">
        <v>50</v>
      </c>
      <c r="V464" s="150" t="s">
        <v>50</v>
      </c>
      <c r="W464" s="150" t="s">
        <v>50</v>
      </c>
      <c r="X464" s="150" t="s">
        <v>50</v>
      </c>
      <c r="Y464" s="604" t="s">
        <v>3955</v>
      </c>
    </row>
    <row r="465" spans="1:25" x14ac:dyDescent="0.25">
      <c r="A465" s="26">
        <v>43724</v>
      </c>
      <c r="B465" s="89" t="s">
        <v>43</v>
      </c>
      <c r="C465" s="89" t="s">
        <v>106</v>
      </c>
      <c r="D465" s="89">
        <v>38.556080000000001</v>
      </c>
      <c r="E465" s="89">
        <v>-121.57494</v>
      </c>
      <c r="F465" s="89" t="s">
        <v>3956</v>
      </c>
      <c r="G465" s="89" t="s">
        <v>90</v>
      </c>
      <c r="H465" s="89" t="s">
        <v>1787</v>
      </c>
      <c r="I465" s="602">
        <v>0.35833333333333334</v>
      </c>
      <c r="J465" s="82">
        <v>940</v>
      </c>
      <c r="K465" s="82">
        <v>23.6</v>
      </c>
      <c r="L465" s="82">
        <v>11.25</v>
      </c>
      <c r="M465" s="82">
        <v>0.89250000000000007</v>
      </c>
      <c r="N465" s="82">
        <v>11.3</v>
      </c>
      <c r="O465" s="89" t="s">
        <v>48</v>
      </c>
      <c r="P465" s="89">
        <v>4</v>
      </c>
      <c r="Q465" s="89">
        <v>10</v>
      </c>
      <c r="R465" s="89" t="s">
        <v>64</v>
      </c>
      <c r="S465" s="89" t="s">
        <v>50</v>
      </c>
      <c r="T465" s="89" t="s">
        <v>50</v>
      </c>
      <c r="U465" s="89" t="s">
        <v>50</v>
      </c>
      <c r="V465" s="89" t="s">
        <v>50</v>
      </c>
      <c r="W465" s="89" t="s">
        <v>50</v>
      </c>
      <c r="X465" s="89" t="s">
        <v>50</v>
      </c>
    </row>
    <row r="466" spans="1:25" x14ac:dyDescent="0.25">
      <c r="A466" s="26">
        <v>43724</v>
      </c>
      <c r="B466" s="89" t="s">
        <v>43</v>
      </c>
      <c r="C466" s="89" t="s">
        <v>106</v>
      </c>
      <c r="D466" s="89">
        <v>38.431420000000003</v>
      </c>
      <c r="E466" s="89">
        <v>-121.60311</v>
      </c>
      <c r="F466" s="89" t="s">
        <v>3957</v>
      </c>
      <c r="G466" s="89" t="s">
        <v>90</v>
      </c>
      <c r="H466" s="89" t="s">
        <v>362</v>
      </c>
      <c r="I466" s="602">
        <v>0.41805555555555557</v>
      </c>
      <c r="J466" s="82">
        <v>619.25</v>
      </c>
      <c r="K466" s="82">
        <v>22.574999999999999</v>
      </c>
      <c r="L466" s="82">
        <v>70.25</v>
      </c>
      <c r="M466" s="82">
        <v>0.245</v>
      </c>
      <c r="N466" s="82">
        <v>7.4499999999999993</v>
      </c>
      <c r="O466" s="89" t="s">
        <v>48</v>
      </c>
      <c r="P466" s="89">
        <v>4</v>
      </c>
      <c r="Q466" s="89">
        <v>10</v>
      </c>
      <c r="R466" s="89" t="s">
        <v>64</v>
      </c>
      <c r="S466" s="89" t="s">
        <v>50</v>
      </c>
      <c r="T466" s="89" t="s">
        <v>50</v>
      </c>
      <c r="U466" s="89" t="s">
        <v>50</v>
      </c>
      <c r="V466" s="89" t="s">
        <v>50</v>
      </c>
      <c r="W466" s="89" t="s">
        <v>50</v>
      </c>
      <c r="X466" s="89" t="s">
        <v>50</v>
      </c>
      <c r="Y466" s="600" t="s">
        <v>3958</v>
      </c>
    </row>
    <row r="467" spans="1:25" x14ac:dyDescent="0.25">
      <c r="A467" s="26">
        <v>43724</v>
      </c>
      <c r="B467" s="89" t="s">
        <v>43</v>
      </c>
      <c r="C467" s="89" t="s">
        <v>106</v>
      </c>
      <c r="D467" s="89">
        <v>38.284109999999998</v>
      </c>
      <c r="E467" s="89">
        <v>-121.65906</v>
      </c>
      <c r="F467" s="89" t="s">
        <v>3959</v>
      </c>
      <c r="G467" s="89" t="s">
        <v>90</v>
      </c>
      <c r="H467" s="89" t="s">
        <v>362</v>
      </c>
      <c r="I467" s="602">
        <v>0.52500000000000002</v>
      </c>
      <c r="J467" s="82">
        <v>260.42499999999995</v>
      </c>
      <c r="K467" s="82">
        <v>22.299999999999997</v>
      </c>
      <c r="L467" s="82">
        <v>23.35</v>
      </c>
      <c r="M467" s="82">
        <v>0.55749999999999988</v>
      </c>
      <c r="N467" s="82">
        <v>10.475</v>
      </c>
      <c r="O467" s="89" t="s">
        <v>48</v>
      </c>
      <c r="P467" s="89">
        <v>4</v>
      </c>
      <c r="Q467" s="89">
        <v>10</v>
      </c>
      <c r="R467" s="89" t="s">
        <v>49</v>
      </c>
      <c r="S467" s="89" t="s">
        <v>50</v>
      </c>
      <c r="T467" s="89" t="s">
        <v>50</v>
      </c>
      <c r="U467" s="89" t="s">
        <v>50</v>
      </c>
      <c r="V467" s="89" t="s">
        <v>50</v>
      </c>
      <c r="W467" s="89" t="s">
        <v>50</v>
      </c>
      <c r="X467" s="89" t="s">
        <v>50</v>
      </c>
      <c r="Y467" s="600" t="s">
        <v>3518</v>
      </c>
    </row>
    <row r="468" spans="1:25" x14ac:dyDescent="0.25">
      <c r="A468" s="26">
        <v>43725</v>
      </c>
      <c r="B468" s="89" t="s">
        <v>849</v>
      </c>
      <c r="C468" s="89" t="s">
        <v>78</v>
      </c>
      <c r="D468" s="89">
        <v>38.055030000000002</v>
      </c>
      <c r="E468" s="89">
        <v>-122.07154</v>
      </c>
      <c r="F468" s="89" t="s">
        <v>3960</v>
      </c>
      <c r="G468" s="89" t="s">
        <v>80</v>
      </c>
      <c r="H468" s="89" t="s">
        <v>81</v>
      </c>
      <c r="I468" s="602">
        <v>0.3611111111111111</v>
      </c>
      <c r="J468" s="82">
        <v>12372.5</v>
      </c>
      <c r="K468" s="82">
        <v>21.125</v>
      </c>
      <c r="L468" s="82">
        <v>17.425000000000001</v>
      </c>
      <c r="M468" s="82">
        <v>0.58000000000000007</v>
      </c>
      <c r="N468" s="82">
        <v>9.125</v>
      </c>
      <c r="O468" s="89" t="s">
        <v>48</v>
      </c>
      <c r="P468" s="89">
        <v>4</v>
      </c>
      <c r="Q468" s="89">
        <v>10</v>
      </c>
      <c r="R468" s="89" t="s">
        <v>49</v>
      </c>
      <c r="S468" s="89" t="s">
        <v>50</v>
      </c>
      <c r="T468" s="89" t="s">
        <v>50</v>
      </c>
      <c r="U468" s="89" t="s">
        <v>50</v>
      </c>
      <c r="V468" s="89" t="s">
        <v>50</v>
      </c>
      <c r="W468" s="89" t="s">
        <v>50</v>
      </c>
      <c r="X468" s="89" t="s">
        <v>50</v>
      </c>
      <c r="Y468" s="600" t="s">
        <v>124</v>
      </c>
    </row>
    <row r="469" spans="1:25" x14ac:dyDescent="0.25">
      <c r="A469" s="194">
        <v>43725</v>
      </c>
      <c r="B469" s="98" t="s">
        <v>849</v>
      </c>
      <c r="C469" s="98" t="s">
        <v>78</v>
      </c>
      <c r="D469" s="98">
        <v>38.09872</v>
      </c>
      <c r="E469" s="223">
        <v>-122.06058</v>
      </c>
      <c r="F469" s="98" t="s">
        <v>3961</v>
      </c>
      <c r="G469" s="98" t="s">
        <v>27</v>
      </c>
      <c r="H469" s="98" t="s">
        <v>86</v>
      </c>
      <c r="I469" s="621">
        <v>0.42499999999999999</v>
      </c>
      <c r="J469" s="100">
        <v>7237.5</v>
      </c>
      <c r="K469" s="100">
        <v>20.974999999999998</v>
      </c>
      <c r="L469" s="100">
        <v>32.974999999999994</v>
      </c>
      <c r="M469" s="100">
        <v>0.37</v>
      </c>
      <c r="N469" s="100">
        <v>6.4249999999999998</v>
      </c>
      <c r="O469" s="98" t="s">
        <v>48</v>
      </c>
      <c r="P469" s="98">
        <v>4</v>
      </c>
      <c r="Q469" s="98">
        <v>10</v>
      </c>
      <c r="R469" s="98" t="s">
        <v>49</v>
      </c>
      <c r="S469" s="98" t="s">
        <v>50</v>
      </c>
      <c r="T469" s="98" t="s">
        <v>50</v>
      </c>
      <c r="U469" s="98" t="s">
        <v>50</v>
      </c>
      <c r="V469" s="98" t="s">
        <v>50</v>
      </c>
      <c r="W469" s="98" t="s">
        <v>50</v>
      </c>
      <c r="X469" s="98" t="s">
        <v>50</v>
      </c>
      <c r="Y469" s="622" t="s">
        <v>124</v>
      </c>
    </row>
    <row r="470" spans="1:25" s="496" customFormat="1" x14ac:dyDescent="0.25">
      <c r="A470" s="495">
        <v>43725</v>
      </c>
      <c r="B470" s="496" t="s">
        <v>849</v>
      </c>
      <c r="C470" s="496" t="s">
        <v>78</v>
      </c>
      <c r="D470" s="496">
        <v>38.04768</v>
      </c>
      <c r="E470" s="496">
        <v>-121.87366</v>
      </c>
      <c r="F470" s="496" t="s">
        <v>3962</v>
      </c>
      <c r="G470" s="496" t="s">
        <v>27</v>
      </c>
      <c r="H470" s="496" t="s">
        <v>101</v>
      </c>
      <c r="I470" s="615">
        <v>0.49513888888888885</v>
      </c>
      <c r="J470" s="498">
        <v>682.5</v>
      </c>
      <c r="K470" s="498">
        <v>21.6</v>
      </c>
      <c r="L470" s="498">
        <v>28.1</v>
      </c>
      <c r="M470" s="498">
        <v>0.51500000000000001</v>
      </c>
      <c r="N470" s="498">
        <v>5.8500000000000005</v>
      </c>
      <c r="O470" s="496" t="s">
        <v>48</v>
      </c>
      <c r="P470" s="496">
        <v>2</v>
      </c>
      <c r="Q470" s="496">
        <v>10</v>
      </c>
      <c r="R470" s="496" t="s">
        <v>49</v>
      </c>
      <c r="S470" s="496" t="s">
        <v>323</v>
      </c>
      <c r="T470" s="496">
        <v>2</v>
      </c>
      <c r="U470" s="496" t="s">
        <v>3963</v>
      </c>
      <c r="V470" s="496" t="s">
        <v>50</v>
      </c>
      <c r="W470" s="496" t="s">
        <v>50</v>
      </c>
      <c r="X470" s="496" t="s">
        <v>50</v>
      </c>
      <c r="Y470" s="601" t="s">
        <v>3747</v>
      </c>
    </row>
    <row r="471" spans="1:25" s="206" customFormat="1" x14ac:dyDescent="0.25">
      <c r="A471" s="204">
        <v>43725</v>
      </c>
      <c r="B471" s="206" t="s">
        <v>849</v>
      </c>
      <c r="C471" s="206" t="s">
        <v>62</v>
      </c>
      <c r="D471" s="206">
        <v>38.127212</v>
      </c>
      <c r="E471" s="206">
        <v>-122.08234</v>
      </c>
      <c r="F471" s="206" t="s">
        <v>3964</v>
      </c>
      <c r="G471" s="206" t="s">
        <v>27</v>
      </c>
      <c r="H471" s="206" t="s">
        <v>62</v>
      </c>
      <c r="I471" s="613">
        <v>0.34791666666666665</v>
      </c>
      <c r="J471" s="208">
        <v>7606.75</v>
      </c>
      <c r="K471" s="208">
        <v>20.7</v>
      </c>
      <c r="L471" s="208">
        <v>68.2</v>
      </c>
      <c r="M471" s="208">
        <v>0.2475</v>
      </c>
      <c r="N471" s="208">
        <v>3.4000000000000004</v>
      </c>
      <c r="O471" s="206" t="s">
        <v>48</v>
      </c>
      <c r="P471" s="206">
        <v>4</v>
      </c>
      <c r="Q471" s="206">
        <v>10</v>
      </c>
      <c r="R471" s="206" t="s">
        <v>49</v>
      </c>
      <c r="S471" s="206" t="s">
        <v>31</v>
      </c>
      <c r="T471" s="206">
        <v>2</v>
      </c>
      <c r="U471" s="206" t="s">
        <v>3965</v>
      </c>
      <c r="V471" s="206" t="s">
        <v>50</v>
      </c>
      <c r="W471" s="206" t="s">
        <v>50</v>
      </c>
      <c r="X471" s="206" t="s">
        <v>50</v>
      </c>
      <c r="Y471" s="605" t="s">
        <v>3966</v>
      </c>
    </row>
    <row r="472" spans="1:25" x14ac:dyDescent="0.25">
      <c r="A472" s="26">
        <v>43725</v>
      </c>
      <c r="B472" s="89" t="s">
        <v>849</v>
      </c>
      <c r="C472" s="89" t="s">
        <v>62</v>
      </c>
      <c r="D472" s="89">
        <v>38.116779999999999</v>
      </c>
      <c r="E472" s="89">
        <v>-122.06137</v>
      </c>
      <c r="F472" s="89" t="s">
        <v>3967</v>
      </c>
      <c r="G472" s="89" t="s">
        <v>27</v>
      </c>
      <c r="H472" s="89" t="s">
        <v>62</v>
      </c>
      <c r="I472" s="602">
        <v>0.41319444444444442</v>
      </c>
      <c r="J472" s="82">
        <v>7582</v>
      </c>
      <c r="K472" s="82">
        <v>20.95</v>
      </c>
      <c r="L472" s="82">
        <v>70.55</v>
      </c>
      <c r="M472" s="82">
        <v>0.26750000000000002</v>
      </c>
      <c r="N472" s="82">
        <v>4.9000000000000004</v>
      </c>
      <c r="O472" s="89" t="s">
        <v>48</v>
      </c>
      <c r="P472" s="89">
        <v>4</v>
      </c>
      <c r="Q472" s="89">
        <v>10</v>
      </c>
      <c r="R472" s="89" t="s">
        <v>49</v>
      </c>
      <c r="S472" s="89" t="s">
        <v>50</v>
      </c>
      <c r="T472" s="89" t="s">
        <v>50</v>
      </c>
      <c r="U472" s="89" t="s">
        <v>50</v>
      </c>
      <c r="V472" s="89" t="s">
        <v>50</v>
      </c>
      <c r="W472" s="89" t="s">
        <v>50</v>
      </c>
      <c r="X472" s="89" t="s">
        <v>50</v>
      </c>
    </row>
    <row r="473" spans="1:25" x14ac:dyDescent="0.25">
      <c r="A473" s="26">
        <v>43725</v>
      </c>
      <c r="B473" s="89" t="s">
        <v>849</v>
      </c>
      <c r="C473" s="89" t="s">
        <v>62</v>
      </c>
      <c r="D473" s="89">
        <v>38.154850000000003</v>
      </c>
      <c r="E473" s="89">
        <v>-121.92192</v>
      </c>
      <c r="F473" s="89" t="s">
        <v>3968</v>
      </c>
      <c r="G473" s="89" t="s">
        <v>27</v>
      </c>
      <c r="H473" s="89" t="s">
        <v>62</v>
      </c>
      <c r="I473" s="602">
        <v>0.48680555555555555</v>
      </c>
      <c r="J473" s="82">
        <v>5879</v>
      </c>
      <c r="K473" s="82">
        <v>21.975000000000001</v>
      </c>
      <c r="L473" s="82">
        <v>31.225000000000001</v>
      </c>
      <c r="M473" s="82">
        <v>0.35</v>
      </c>
      <c r="N473" s="82">
        <v>4.0250000000000004</v>
      </c>
      <c r="O473" s="89" t="s">
        <v>48</v>
      </c>
      <c r="P473" s="89">
        <v>4</v>
      </c>
      <c r="Q473" s="89">
        <v>10</v>
      </c>
      <c r="R473" s="89" t="s">
        <v>49</v>
      </c>
      <c r="S473" s="89" t="s">
        <v>50</v>
      </c>
      <c r="T473" s="89" t="s">
        <v>50</v>
      </c>
      <c r="U473" s="89" t="s">
        <v>50</v>
      </c>
      <c r="V473" s="89" t="s">
        <v>50</v>
      </c>
      <c r="W473" s="89" t="s">
        <v>50</v>
      </c>
      <c r="X473" s="89" t="s">
        <v>50</v>
      </c>
    </row>
    <row r="474" spans="1:25" x14ac:dyDescent="0.25">
      <c r="A474" s="26">
        <v>43725</v>
      </c>
      <c r="B474" s="89" t="s">
        <v>849</v>
      </c>
      <c r="C474" s="89" t="s">
        <v>106</v>
      </c>
      <c r="D474" s="89">
        <v>38.356360000000002</v>
      </c>
      <c r="E474" s="89">
        <v>-121.63715000000001</v>
      </c>
      <c r="F474" s="89" t="s">
        <v>3969</v>
      </c>
      <c r="G474" s="89" t="s">
        <v>90</v>
      </c>
      <c r="H474" s="89" t="s">
        <v>362</v>
      </c>
      <c r="I474" s="602">
        <v>0.33680555555555558</v>
      </c>
      <c r="J474" s="82">
        <v>353.57499999999999</v>
      </c>
      <c r="K474" s="82">
        <v>22.25</v>
      </c>
      <c r="L474" s="82">
        <v>34.1</v>
      </c>
      <c r="M474" s="82">
        <v>0.39</v>
      </c>
      <c r="N474" s="82">
        <v>6.8250000000000002</v>
      </c>
      <c r="O474" s="89" t="s">
        <v>48</v>
      </c>
      <c r="P474" s="89">
        <v>4</v>
      </c>
      <c r="Q474" s="89">
        <v>10</v>
      </c>
      <c r="R474" s="89" t="s">
        <v>49</v>
      </c>
      <c r="S474" s="89" t="s">
        <v>50</v>
      </c>
      <c r="T474" s="89" t="s">
        <v>50</v>
      </c>
      <c r="U474" s="89" t="s">
        <v>50</v>
      </c>
      <c r="V474" s="89" t="s">
        <v>50</v>
      </c>
      <c r="W474" s="89" t="s">
        <v>50</v>
      </c>
      <c r="X474" s="89" t="s">
        <v>50</v>
      </c>
      <c r="Y474" s="600" t="s">
        <v>3970</v>
      </c>
    </row>
    <row r="475" spans="1:25" x14ac:dyDescent="0.25">
      <c r="A475" s="26">
        <v>43725</v>
      </c>
      <c r="B475" s="89" t="s">
        <v>849</v>
      </c>
      <c r="C475" s="89" t="s">
        <v>106</v>
      </c>
      <c r="D475" s="89">
        <v>38.259650000000001</v>
      </c>
      <c r="E475" s="89">
        <v>-121.66618</v>
      </c>
      <c r="F475" s="89" t="s">
        <v>3971</v>
      </c>
      <c r="G475" s="89" t="s">
        <v>90</v>
      </c>
      <c r="H475" s="89" t="s">
        <v>362</v>
      </c>
      <c r="I475" s="602">
        <v>0.40625</v>
      </c>
      <c r="J475" s="82">
        <v>208.6</v>
      </c>
      <c r="K475" s="82">
        <v>20.9</v>
      </c>
      <c r="L475" s="82">
        <v>10.547499999999999</v>
      </c>
      <c r="M475" s="82">
        <v>1.075</v>
      </c>
      <c r="N475" s="82">
        <v>11.175000000000001</v>
      </c>
      <c r="O475" s="89" t="s">
        <v>48</v>
      </c>
      <c r="P475" s="89">
        <v>4</v>
      </c>
      <c r="Q475" s="89">
        <v>10</v>
      </c>
      <c r="R475" s="89" t="s">
        <v>49</v>
      </c>
      <c r="S475" s="89" t="s">
        <v>50</v>
      </c>
      <c r="T475" s="89" t="s">
        <v>50</v>
      </c>
      <c r="U475" s="89" t="s">
        <v>50</v>
      </c>
      <c r="V475" s="89" t="s">
        <v>50</v>
      </c>
      <c r="W475" s="89" t="s">
        <v>50</v>
      </c>
      <c r="X475" s="89" t="s">
        <v>50</v>
      </c>
    </row>
    <row r="476" spans="1:25" x14ac:dyDescent="0.25">
      <c r="A476" s="26">
        <v>43725</v>
      </c>
      <c r="B476" s="89" t="s">
        <v>849</v>
      </c>
      <c r="C476" s="89" t="s">
        <v>106</v>
      </c>
      <c r="D476" s="89">
        <v>38.18188</v>
      </c>
      <c r="E476" s="89">
        <v>-121.66482999999999</v>
      </c>
      <c r="F476" s="89" t="s">
        <v>3972</v>
      </c>
      <c r="G476" s="89" t="s">
        <v>90</v>
      </c>
      <c r="H476" s="89" t="s">
        <v>362</v>
      </c>
      <c r="I476" s="602">
        <v>0.4604166666666667</v>
      </c>
      <c r="J476" s="82">
        <v>165.82499999999999</v>
      </c>
      <c r="K476" s="82">
        <v>20.175000000000001</v>
      </c>
      <c r="L476" s="82">
        <v>7.77</v>
      </c>
      <c r="M476" s="82">
        <v>1.5075000000000001</v>
      </c>
      <c r="N476" s="82">
        <v>11.474999999999998</v>
      </c>
      <c r="O476" s="89" t="s">
        <v>48</v>
      </c>
      <c r="P476" s="89">
        <v>4</v>
      </c>
      <c r="Q476" s="89">
        <v>10</v>
      </c>
      <c r="R476" s="89" t="s">
        <v>49</v>
      </c>
      <c r="S476" s="89" t="s">
        <v>50</v>
      </c>
      <c r="T476" s="89" t="s">
        <v>50</v>
      </c>
      <c r="U476" s="89" t="s">
        <v>50</v>
      </c>
      <c r="V476" s="89" t="s">
        <v>50</v>
      </c>
      <c r="W476" s="89" t="s">
        <v>50</v>
      </c>
      <c r="X476" s="89" t="s">
        <v>50</v>
      </c>
    </row>
    <row r="477" spans="1:25" x14ac:dyDescent="0.25">
      <c r="A477" s="26">
        <v>43726</v>
      </c>
      <c r="B477" s="89" t="s">
        <v>87</v>
      </c>
      <c r="C477" s="89" t="s">
        <v>88</v>
      </c>
      <c r="D477" s="89">
        <v>38.061900000000001</v>
      </c>
      <c r="E477" s="89">
        <v>-121.80484</v>
      </c>
      <c r="F477" s="89" t="s">
        <v>3973</v>
      </c>
      <c r="G477" s="89" t="s">
        <v>27</v>
      </c>
      <c r="H477" s="89" t="s">
        <v>25</v>
      </c>
      <c r="I477" s="602">
        <v>0.33333333333333331</v>
      </c>
      <c r="J477" s="82">
        <v>117.925</v>
      </c>
      <c r="K477" s="82">
        <v>20.775000000000002</v>
      </c>
      <c r="L477" s="82">
        <v>17.450000000000003</v>
      </c>
      <c r="M477" s="82">
        <v>0.62500000000000011</v>
      </c>
      <c r="N477" s="82">
        <v>8.9749999999999996</v>
      </c>
      <c r="O477" s="89" t="s">
        <v>48</v>
      </c>
      <c r="P477" s="89">
        <v>4</v>
      </c>
      <c r="Q477" s="89">
        <v>10</v>
      </c>
      <c r="R477" s="89" t="s">
        <v>64</v>
      </c>
      <c r="S477" s="89" t="s">
        <v>50</v>
      </c>
      <c r="T477" s="89" t="s">
        <v>50</v>
      </c>
      <c r="U477" s="89" t="s">
        <v>50</v>
      </c>
      <c r="V477" s="89" t="s">
        <v>50</v>
      </c>
      <c r="W477" s="89" t="s">
        <v>50</v>
      </c>
      <c r="X477" s="89" t="s">
        <v>50</v>
      </c>
      <c r="Y477" s="600" t="s">
        <v>3642</v>
      </c>
    </row>
    <row r="478" spans="1:25" x14ac:dyDescent="0.25">
      <c r="A478" s="26">
        <v>43726</v>
      </c>
      <c r="B478" s="89" t="s">
        <v>87</v>
      </c>
      <c r="C478" s="89" t="s">
        <v>88</v>
      </c>
      <c r="D478" s="89">
        <v>38.075249999999997</v>
      </c>
      <c r="E478" s="89">
        <v>-121.75888999999999</v>
      </c>
      <c r="F478" s="89" t="s">
        <v>3974</v>
      </c>
      <c r="G478" s="89" t="s">
        <v>27</v>
      </c>
      <c r="H478" s="89" t="s">
        <v>25</v>
      </c>
      <c r="I478" s="602">
        <v>0.38819444444444445</v>
      </c>
      <c r="J478" s="82">
        <v>153.82500000000002</v>
      </c>
      <c r="K478" s="82">
        <v>20.7</v>
      </c>
      <c r="L478" s="82">
        <v>10.345000000000001</v>
      </c>
      <c r="M478" s="82">
        <v>1.1400000000000001</v>
      </c>
      <c r="N478" s="82">
        <v>9.6750000000000007</v>
      </c>
      <c r="O478" s="89" t="s">
        <v>48</v>
      </c>
      <c r="P478" s="89">
        <v>4</v>
      </c>
      <c r="Q478" s="89">
        <v>10</v>
      </c>
      <c r="R478" s="89" t="s">
        <v>49</v>
      </c>
      <c r="S478" s="89" t="s">
        <v>50</v>
      </c>
      <c r="T478" s="89" t="s">
        <v>50</v>
      </c>
      <c r="U478" s="89" t="s">
        <v>50</v>
      </c>
      <c r="V478" s="89" t="s">
        <v>50</v>
      </c>
      <c r="W478" s="89" t="s">
        <v>50</v>
      </c>
      <c r="X478" s="89" t="s">
        <v>50</v>
      </c>
    </row>
    <row r="479" spans="1:25" x14ac:dyDescent="0.25">
      <c r="A479" s="26">
        <v>43726</v>
      </c>
      <c r="B479" s="89" t="s">
        <v>87</v>
      </c>
      <c r="C479" s="89" t="s">
        <v>88</v>
      </c>
      <c r="D479" s="89">
        <v>38.158729999999998</v>
      </c>
      <c r="E479" s="89">
        <v>-121.68644</v>
      </c>
      <c r="F479" s="89" t="s">
        <v>3975</v>
      </c>
      <c r="G479" s="89" t="s">
        <v>90</v>
      </c>
      <c r="H479" s="89" t="s">
        <v>91</v>
      </c>
      <c r="I479" s="602">
        <v>0.44791666666666669</v>
      </c>
      <c r="J479" s="82">
        <v>142.85</v>
      </c>
      <c r="K479" s="82">
        <v>19.850000000000001</v>
      </c>
      <c r="L479" s="82">
        <v>6.6775000000000002</v>
      </c>
      <c r="M479" s="82">
        <v>1.5425</v>
      </c>
      <c r="N479" s="82">
        <v>8.9749999999999996</v>
      </c>
      <c r="O479" s="89" t="s">
        <v>48</v>
      </c>
      <c r="P479" s="89">
        <v>4</v>
      </c>
      <c r="Q479" s="89">
        <v>10</v>
      </c>
      <c r="R479" s="89" t="s">
        <v>49</v>
      </c>
      <c r="S479" s="89" t="s">
        <v>50</v>
      </c>
      <c r="T479" s="89" t="s">
        <v>50</v>
      </c>
      <c r="U479" s="89" t="s">
        <v>50</v>
      </c>
      <c r="V479" s="89" t="s">
        <v>50</v>
      </c>
      <c r="W479" s="89" t="s">
        <v>50</v>
      </c>
      <c r="X479" s="89" t="s">
        <v>50</v>
      </c>
    </row>
    <row r="480" spans="1:25" x14ac:dyDescent="0.25">
      <c r="A480" s="26">
        <v>43726</v>
      </c>
      <c r="B480" s="89" t="s">
        <v>87</v>
      </c>
      <c r="C480" s="89" t="s">
        <v>78</v>
      </c>
      <c r="D480" s="89">
        <v>38.090600000000002</v>
      </c>
      <c r="E480" s="89">
        <v>-122.07811</v>
      </c>
      <c r="F480" s="89" t="s">
        <v>3976</v>
      </c>
      <c r="G480" s="89" t="s">
        <v>80</v>
      </c>
      <c r="H480" s="89" t="s">
        <v>81</v>
      </c>
      <c r="I480" s="602">
        <v>0.35000000000000003</v>
      </c>
      <c r="J480" s="82">
        <v>9286</v>
      </c>
      <c r="K480" s="82">
        <v>20.824999999999999</v>
      </c>
      <c r="L480" s="82">
        <v>38</v>
      </c>
      <c r="M480" s="82">
        <v>0.41500000000000004</v>
      </c>
      <c r="N480" s="82">
        <v>9.4749999999999996</v>
      </c>
      <c r="O480" s="89" t="s">
        <v>48</v>
      </c>
      <c r="P480" s="89">
        <v>4</v>
      </c>
      <c r="Q480" s="89">
        <v>10</v>
      </c>
      <c r="R480" s="89" t="s">
        <v>49</v>
      </c>
      <c r="S480" s="89" t="s">
        <v>50</v>
      </c>
      <c r="T480" s="89" t="s">
        <v>50</v>
      </c>
      <c r="U480" s="89" t="s">
        <v>50</v>
      </c>
      <c r="V480" s="89" t="s">
        <v>50</v>
      </c>
      <c r="W480" s="89" t="s">
        <v>50</v>
      </c>
      <c r="X480" s="89" t="s">
        <v>50</v>
      </c>
    </row>
    <row r="481" spans="1:25" x14ac:dyDescent="0.25">
      <c r="A481" s="26">
        <v>43726</v>
      </c>
      <c r="B481" s="89" t="s">
        <v>87</v>
      </c>
      <c r="C481" s="89" t="s">
        <v>78</v>
      </c>
      <c r="D481" s="89">
        <v>38.068689999999997</v>
      </c>
      <c r="E481" s="89">
        <v>-122.08146000000001</v>
      </c>
      <c r="F481" s="89" t="s">
        <v>3977</v>
      </c>
      <c r="G481" s="89" t="s">
        <v>80</v>
      </c>
      <c r="H481" s="89" t="s">
        <v>81</v>
      </c>
      <c r="I481" s="602">
        <v>0.40625</v>
      </c>
      <c r="J481" s="82">
        <v>9814.75</v>
      </c>
      <c r="K481" s="82">
        <v>20.75</v>
      </c>
      <c r="L481" s="82">
        <v>45.125</v>
      </c>
      <c r="M481" s="82">
        <v>0.35749999999999998</v>
      </c>
      <c r="N481" s="82">
        <v>4.5750000000000002</v>
      </c>
      <c r="O481" s="89" t="s">
        <v>48</v>
      </c>
      <c r="P481" s="89">
        <v>4</v>
      </c>
      <c r="Q481" s="89">
        <v>10</v>
      </c>
      <c r="R481" s="89" t="s">
        <v>49</v>
      </c>
      <c r="S481" s="89" t="s">
        <v>50</v>
      </c>
      <c r="T481" s="89" t="s">
        <v>50</v>
      </c>
      <c r="U481" s="89" t="s">
        <v>50</v>
      </c>
      <c r="V481" s="89" t="s">
        <v>50</v>
      </c>
      <c r="W481" s="89" t="s">
        <v>50</v>
      </c>
      <c r="X481" s="89" t="s">
        <v>50</v>
      </c>
    </row>
    <row r="482" spans="1:25" x14ac:dyDescent="0.25">
      <c r="A482" s="26">
        <v>43726</v>
      </c>
      <c r="B482" s="89" t="s">
        <v>87</v>
      </c>
      <c r="C482" s="89" t="s">
        <v>78</v>
      </c>
      <c r="D482" s="89">
        <v>38.056890000000003</v>
      </c>
      <c r="E482" s="89">
        <v>-121.9627</v>
      </c>
      <c r="F482" s="89" t="s">
        <v>3978</v>
      </c>
      <c r="G482" s="89" t="s">
        <v>27</v>
      </c>
      <c r="H482" s="89" t="s">
        <v>170</v>
      </c>
      <c r="I482" s="602">
        <v>0.46666666666666662</v>
      </c>
      <c r="J482" s="82">
        <v>1967</v>
      </c>
      <c r="K482" s="82">
        <v>21.275000000000002</v>
      </c>
      <c r="L482" s="82">
        <v>31.900000000000002</v>
      </c>
      <c r="M482" s="82">
        <v>0.42249999999999999</v>
      </c>
      <c r="N482" s="82">
        <v>13.175000000000001</v>
      </c>
      <c r="O482" s="89" t="s">
        <v>48</v>
      </c>
      <c r="P482" s="89">
        <v>4</v>
      </c>
      <c r="Q482" s="89">
        <v>10</v>
      </c>
      <c r="R482" s="89" t="s">
        <v>49</v>
      </c>
      <c r="S482" s="89" t="s">
        <v>50</v>
      </c>
      <c r="T482" s="89" t="s">
        <v>50</v>
      </c>
      <c r="U482" s="89" t="s">
        <v>50</v>
      </c>
      <c r="V482" s="89" t="s">
        <v>50</v>
      </c>
      <c r="W482" s="89" t="s">
        <v>50</v>
      </c>
      <c r="X482" s="89" t="s">
        <v>50</v>
      </c>
    </row>
    <row r="483" spans="1:25" x14ac:dyDescent="0.25">
      <c r="A483" s="26">
        <v>43726</v>
      </c>
      <c r="B483" s="89" t="s">
        <v>87</v>
      </c>
      <c r="C483" s="89" t="s">
        <v>78</v>
      </c>
      <c r="D483" s="89">
        <v>38.050840000000001</v>
      </c>
      <c r="E483" s="89">
        <v>-121.89230999999999</v>
      </c>
      <c r="F483" s="89" t="s">
        <v>3979</v>
      </c>
      <c r="G483" s="89" t="s">
        <v>27</v>
      </c>
      <c r="H483" s="89" t="s">
        <v>101</v>
      </c>
      <c r="I483" s="602">
        <v>0.5180555555555556</v>
      </c>
      <c r="J483" s="82">
        <v>384.85</v>
      </c>
      <c r="K483" s="82">
        <v>21</v>
      </c>
      <c r="L483" s="82">
        <v>21.274999999999999</v>
      </c>
      <c r="M483" s="82">
        <v>0.52500000000000002</v>
      </c>
      <c r="N483" s="82">
        <v>10.774999999999999</v>
      </c>
      <c r="O483" s="89" t="s">
        <v>48</v>
      </c>
      <c r="P483" s="89">
        <v>4</v>
      </c>
      <c r="Q483" s="89">
        <v>10</v>
      </c>
      <c r="R483" s="89" t="s">
        <v>49</v>
      </c>
      <c r="S483" s="89" t="s">
        <v>50</v>
      </c>
      <c r="T483" s="89" t="s">
        <v>50</v>
      </c>
      <c r="U483" s="89" t="s">
        <v>50</v>
      </c>
      <c r="V483" s="89" t="s">
        <v>50</v>
      </c>
      <c r="W483" s="89" t="s">
        <v>50</v>
      </c>
      <c r="X483" s="89" t="s">
        <v>50</v>
      </c>
      <c r="Y483" s="600" t="s">
        <v>3980</v>
      </c>
    </row>
    <row r="484" spans="1:25" x14ac:dyDescent="0.25">
      <c r="A484" s="26">
        <v>43726</v>
      </c>
      <c r="B484" s="89" t="s">
        <v>87</v>
      </c>
      <c r="C484" s="89" t="s">
        <v>126</v>
      </c>
      <c r="D484" s="89">
        <v>38.255940000000002</v>
      </c>
      <c r="E484" s="89">
        <v>-121.72532</v>
      </c>
      <c r="F484" s="89" t="s">
        <v>3981</v>
      </c>
      <c r="G484" s="89" t="s">
        <v>90</v>
      </c>
      <c r="H484" s="89" t="s">
        <v>845</v>
      </c>
      <c r="I484" s="602">
        <v>0.32569444444444445</v>
      </c>
      <c r="J484" s="82">
        <v>221.375</v>
      </c>
      <c r="K484" s="82">
        <v>20.95</v>
      </c>
      <c r="L484" s="82">
        <v>5.6825000000000001</v>
      </c>
      <c r="M484" s="82">
        <v>1.6349999999999998</v>
      </c>
      <c r="N484" s="82">
        <v>7.6024999999999991</v>
      </c>
      <c r="O484" s="89" t="s">
        <v>48</v>
      </c>
      <c r="P484" s="89">
        <v>4</v>
      </c>
      <c r="Q484" s="89">
        <v>10</v>
      </c>
      <c r="R484" s="89" t="s">
        <v>64</v>
      </c>
      <c r="S484" s="89" t="s">
        <v>50</v>
      </c>
      <c r="T484" s="89" t="s">
        <v>50</v>
      </c>
      <c r="U484" s="89" t="s">
        <v>50</v>
      </c>
      <c r="V484" s="89" t="s">
        <v>50</v>
      </c>
      <c r="W484" s="89" t="s">
        <v>50</v>
      </c>
      <c r="X484" s="89" t="s">
        <v>50</v>
      </c>
    </row>
    <row r="485" spans="1:25" x14ac:dyDescent="0.25">
      <c r="A485" s="26">
        <v>43726</v>
      </c>
      <c r="B485" s="89" t="s">
        <v>87</v>
      </c>
      <c r="C485" s="89" t="s">
        <v>126</v>
      </c>
      <c r="D485" s="89">
        <v>38.265410000000003</v>
      </c>
      <c r="E485" s="89">
        <v>-121.69799999999999</v>
      </c>
      <c r="F485" s="89" t="s">
        <v>3982</v>
      </c>
      <c r="G485" s="89" t="s">
        <v>90</v>
      </c>
      <c r="H485" s="89" t="s">
        <v>845</v>
      </c>
      <c r="I485" s="602">
        <v>0.38472222222222219</v>
      </c>
      <c r="J485" s="82">
        <v>220.23333333333335</v>
      </c>
      <c r="K485" s="82">
        <v>20.433333333333334</v>
      </c>
      <c r="L485" s="82">
        <v>5.5733333333333333</v>
      </c>
      <c r="M485" s="82">
        <v>1.58</v>
      </c>
      <c r="N485" s="82">
        <v>3.6333333333333333</v>
      </c>
      <c r="O485" s="89" t="s">
        <v>48</v>
      </c>
      <c r="P485" s="89">
        <v>3</v>
      </c>
      <c r="Q485" s="89">
        <v>10</v>
      </c>
      <c r="R485" s="89" t="s">
        <v>49</v>
      </c>
      <c r="S485" s="89" t="s">
        <v>50</v>
      </c>
      <c r="T485" s="89" t="s">
        <v>50</v>
      </c>
      <c r="U485" s="89" t="s">
        <v>50</v>
      </c>
      <c r="V485" s="89" t="s">
        <v>50</v>
      </c>
      <c r="W485" s="89" t="s">
        <v>50</v>
      </c>
      <c r="X485" s="89" t="s">
        <v>50</v>
      </c>
      <c r="Y485" s="600" t="s">
        <v>3983</v>
      </c>
    </row>
    <row r="486" spans="1:25" x14ac:dyDescent="0.25">
      <c r="A486" s="26">
        <v>43726</v>
      </c>
      <c r="B486" s="89" t="s">
        <v>87</v>
      </c>
      <c r="C486" s="89" t="s">
        <v>126</v>
      </c>
      <c r="D486" s="89">
        <v>38.317230000000002</v>
      </c>
      <c r="E486" s="89">
        <v>-121.65461999999999</v>
      </c>
      <c r="F486" s="89" t="s">
        <v>3984</v>
      </c>
      <c r="G486" s="89" t="s">
        <v>90</v>
      </c>
      <c r="H486" s="89" t="s">
        <v>845</v>
      </c>
      <c r="I486" s="602">
        <v>0.44861111111111113</v>
      </c>
      <c r="J486" s="82">
        <v>530.25</v>
      </c>
      <c r="K486" s="82">
        <v>21.024999999999999</v>
      </c>
      <c r="L486" s="82">
        <v>18.100000000000001</v>
      </c>
      <c r="M486" s="82">
        <v>0.67749999999999999</v>
      </c>
      <c r="N486" s="82">
        <v>4.4749999999999996</v>
      </c>
      <c r="O486" s="89" t="s">
        <v>48</v>
      </c>
      <c r="P486" s="89">
        <v>4</v>
      </c>
      <c r="Q486" s="89">
        <v>10</v>
      </c>
      <c r="R486" s="89" t="s">
        <v>49</v>
      </c>
      <c r="S486" s="89" t="s">
        <v>50</v>
      </c>
      <c r="T486" s="89" t="s">
        <v>50</v>
      </c>
      <c r="U486" s="89" t="s">
        <v>50</v>
      </c>
      <c r="V486" s="89" t="s">
        <v>50</v>
      </c>
      <c r="W486" s="89" t="s">
        <v>50</v>
      </c>
      <c r="X486" s="89" t="s">
        <v>50</v>
      </c>
      <c r="Y486" s="600" t="s">
        <v>3548</v>
      </c>
    </row>
    <row r="487" spans="1:25" x14ac:dyDescent="0.25">
      <c r="A487" s="26">
        <v>43727</v>
      </c>
      <c r="B487" s="89" t="s">
        <v>876</v>
      </c>
      <c r="C487" s="89" t="s">
        <v>88</v>
      </c>
      <c r="D487" s="89">
        <v>38.107779999999998</v>
      </c>
      <c r="E487" s="89">
        <v>-121.71395</v>
      </c>
      <c r="F487" s="89" t="s">
        <v>3985</v>
      </c>
      <c r="G487" s="89" t="s">
        <v>90</v>
      </c>
      <c r="H487" s="89" t="s">
        <v>91</v>
      </c>
      <c r="I487" s="602">
        <v>0.33263888888888887</v>
      </c>
      <c r="J487" s="89">
        <v>147.44999999999999</v>
      </c>
      <c r="K487" s="82">
        <v>20.125</v>
      </c>
      <c r="L487" s="82">
        <v>7.9625000000000004</v>
      </c>
      <c r="M487" s="82">
        <v>1.5450000000000002</v>
      </c>
      <c r="N487" s="82">
        <v>8.1</v>
      </c>
      <c r="O487" s="89" t="s">
        <v>48</v>
      </c>
      <c r="P487" s="89">
        <v>4</v>
      </c>
      <c r="Q487" s="89">
        <v>10</v>
      </c>
      <c r="R487" s="89" t="s">
        <v>64</v>
      </c>
      <c r="S487" s="89" t="s">
        <v>50</v>
      </c>
      <c r="T487" s="89" t="s">
        <v>50</v>
      </c>
      <c r="U487" s="89" t="s">
        <v>50</v>
      </c>
      <c r="V487" s="89" t="s">
        <v>50</v>
      </c>
      <c r="W487" s="89" t="s">
        <v>50</v>
      </c>
      <c r="X487" s="89" t="s">
        <v>50</v>
      </c>
    </row>
    <row r="488" spans="1:25" x14ac:dyDescent="0.25">
      <c r="A488" s="26">
        <v>43727</v>
      </c>
      <c r="B488" s="89" t="s">
        <v>876</v>
      </c>
      <c r="C488" s="89" t="s">
        <v>88</v>
      </c>
      <c r="D488" s="89">
        <v>38.145629999999997</v>
      </c>
      <c r="E488" s="89">
        <v>-121.68521</v>
      </c>
      <c r="F488" s="89" t="s">
        <v>3986</v>
      </c>
      <c r="G488" s="89" t="s">
        <v>90</v>
      </c>
      <c r="H488" s="89" t="s">
        <v>91</v>
      </c>
      <c r="I488" s="602">
        <v>0.38541666666666669</v>
      </c>
      <c r="J488" s="89">
        <v>143.85</v>
      </c>
      <c r="K488" s="82">
        <v>19.649999999999999</v>
      </c>
      <c r="L488" s="82">
        <v>6.32</v>
      </c>
      <c r="M488" s="82" t="s">
        <v>1233</v>
      </c>
      <c r="N488" s="82">
        <v>5.1999999999999993</v>
      </c>
      <c r="O488" s="89" t="s">
        <v>48</v>
      </c>
      <c r="P488" s="89">
        <v>4</v>
      </c>
      <c r="Q488" s="89">
        <v>10</v>
      </c>
      <c r="R488" s="89" t="s">
        <v>49</v>
      </c>
      <c r="S488" s="89" t="s">
        <v>50</v>
      </c>
      <c r="T488" s="89" t="s">
        <v>50</v>
      </c>
      <c r="U488" s="89" t="s">
        <v>50</v>
      </c>
      <c r="V488" s="89" t="s">
        <v>50</v>
      </c>
      <c r="W488" s="89" t="s">
        <v>50</v>
      </c>
      <c r="X488" s="89" t="s">
        <v>50</v>
      </c>
    </row>
    <row r="489" spans="1:25" x14ac:dyDescent="0.25">
      <c r="A489" s="26">
        <v>43727</v>
      </c>
      <c r="B489" s="89" t="s">
        <v>876</v>
      </c>
      <c r="C489" s="89" t="s">
        <v>88</v>
      </c>
      <c r="D489" s="89">
        <v>38.060160000000003</v>
      </c>
      <c r="E489" s="89">
        <v>-121.81057</v>
      </c>
      <c r="F489" s="89" t="s">
        <v>3987</v>
      </c>
      <c r="G489" s="89" t="s">
        <v>27</v>
      </c>
      <c r="H489" s="89" t="s">
        <v>25</v>
      </c>
      <c r="I489" s="602">
        <v>0.45694444444444443</v>
      </c>
      <c r="J489" s="89">
        <v>250.52500000000001</v>
      </c>
      <c r="K489" s="82">
        <v>20.575000000000003</v>
      </c>
      <c r="L489" s="82">
        <v>13.2</v>
      </c>
      <c r="M489" s="82">
        <v>0.80249999999999999</v>
      </c>
      <c r="N489" s="82">
        <v>10.850000000000001</v>
      </c>
      <c r="O489" s="89" t="s">
        <v>48</v>
      </c>
      <c r="P489" s="89">
        <v>4</v>
      </c>
      <c r="Q489" s="89">
        <v>10</v>
      </c>
      <c r="R489" s="89" t="s">
        <v>49</v>
      </c>
      <c r="S489" s="89" t="s">
        <v>50</v>
      </c>
      <c r="T489" s="89" t="s">
        <v>50</v>
      </c>
      <c r="U489" s="89" t="s">
        <v>50</v>
      </c>
      <c r="V489" s="89" t="s">
        <v>50</v>
      </c>
      <c r="W489" s="89" t="s">
        <v>50</v>
      </c>
      <c r="X489" s="89" t="s">
        <v>50</v>
      </c>
    </row>
    <row r="490" spans="1:25" x14ac:dyDescent="0.25">
      <c r="A490" s="26">
        <v>43727</v>
      </c>
      <c r="B490" s="89" t="s">
        <v>876</v>
      </c>
      <c r="C490" s="89" t="s">
        <v>126</v>
      </c>
      <c r="D490" s="89">
        <v>38.289099999999998</v>
      </c>
      <c r="E490" s="89">
        <v>-121.66606</v>
      </c>
      <c r="F490" s="89" t="s">
        <v>3988</v>
      </c>
      <c r="G490" s="89" t="s">
        <v>90</v>
      </c>
      <c r="H490" s="89" t="s">
        <v>845</v>
      </c>
      <c r="I490" s="602">
        <v>0.32708333333333334</v>
      </c>
      <c r="J490" s="89">
        <v>365.3</v>
      </c>
      <c r="K490" s="82">
        <v>20.399999999999999</v>
      </c>
      <c r="L490" s="82">
        <v>8.8449999999999989</v>
      </c>
      <c r="M490" s="82">
        <v>1.1949999999999998</v>
      </c>
      <c r="N490" s="82">
        <v>7.875</v>
      </c>
      <c r="O490" s="89" t="s">
        <v>48</v>
      </c>
      <c r="P490" s="89">
        <v>4</v>
      </c>
      <c r="Q490" s="89">
        <v>10</v>
      </c>
      <c r="R490" s="89" t="s">
        <v>64</v>
      </c>
      <c r="S490" s="89" t="s">
        <v>50</v>
      </c>
      <c r="T490" s="89" t="s">
        <v>50</v>
      </c>
      <c r="U490" s="89" t="s">
        <v>50</v>
      </c>
      <c r="V490" s="89" t="s">
        <v>50</v>
      </c>
      <c r="W490" s="89" t="s">
        <v>50</v>
      </c>
      <c r="X490" s="89" t="s">
        <v>50</v>
      </c>
    </row>
    <row r="491" spans="1:25" x14ac:dyDescent="0.25">
      <c r="A491" s="26">
        <v>43727</v>
      </c>
      <c r="B491" s="89" t="s">
        <v>876</v>
      </c>
      <c r="C491" s="89" t="s">
        <v>126</v>
      </c>
      <c r="D491" s="89">
        <v>38.323740000000001</v>
      </c>
      <c r="E491" s="89">
        <v>-121.68485</v>
      </c>
      <c r="F491" s="89" t="s">
        <v>3989</v>
      </c>
      <c r="G491" s="89" t="s">
        <v>90</v>
      </c>
      <c r="H491" s="89" t="s">
        <v>845</v>
      </c>
      <c r="I491" s="602">
        <v>0.3833333333333333</v>
      </c>
      <c r="J491" s="89">
        <v>493.75</v>
      </c>
      <c r="K491" s="82">
        <v>20.975000000000001</v>
      </c>
      <c r="L491" s="82">
        <v>7.3349999999999991</v>
      </c>
      <c r="M491" s="82">
        <v>1.32</v>
      </c>
      <c r="N491" s="82">
        <v>3.875</v>
      </c>
      <c r="O491" s="89" t="s">
        <v>48</v>
      </c>
      <c r="P491" s="89">
        <v>4</v>
      </c>
      <c r="Q491" s="89">
        <v>10</v>
      </c>
      <c r="R491" s="89" t="s">
        <v>64</v>
      </c>
      <c r="S491" s="89" t="s">
        <v>50</v>
      </c>
      <c r="T491" s="89" t="s">
        <v>50</v>
      </c>
      <c r="U491" s="89" t="s">
        <v>50</v>
      </c>
      <c r="V491" s="89" t="s">
        <v>50</v>
      </c>
      <c r="W491" s="89" t="s">
        <v>50</v>
      </c>
      <c r="X491" s="89" t="s">
        <v>50</v>
      </c>
    </row>
    <row r="492" spans="1:25" x14ac:dyDescent="0.25">
      <c r="A492" s="26">
        <v>43727</v>
      </c>
      <c r="B492" s="89" t="s">
        <v>876</v>
      </c>
      <c r="C492" s="89" t="s">
        <v>126</v>
      </c>
      <c r="D492" s="89">
        <v>38.260240000000003</v>
      </c>
      <c r="E492" s="89">
        <v>-121.6947</v>
      </c>
      <c r="F492" s="89" t="s">
        <v>3990</v>
      </c>
      <c r="G492" s="89" t="s">
        <v>90</v>
      </c>
      <c r="H492" s="89" t="s">
        <v>845</v>
      </c>
      <c r="I492" s="602">
        <v>0.45069444444444445</v>
      </c>
      <c r="J492" s="89">
        <v>219.375</v>
      </c>
      <c r="K492" s="82">
        <v>20.25</v>
      </c>
      <c r="L492" s="82">
        <v>4.5475000000000003</v>
      </c>
      <c r="M492" s="82">
        <v>1.7625</v>
      </c>
      <c r="N492" s="82">
        <v>3.5249999999999999</v>
      </c>
      <c r="O492" s="89" t="s">
        <v>48</v>
      </c>
      <c r="P492" s="89">
        <v>4</v>
      </c>
      <c r="Q492" s="89">
        <v>10</v>
      </c>
      <c r="R492" s="89" t="s">
        <v>49</v>
      </c>
      <c r="S492" s="89" t="s">
        <v>50</v>
      </c>
      <c r="T492" s="89" t="s">
        <v>50</v>
      </c>
      <c r="U492" s="89" t="s">
        <v>50</v>
      </c>
      <c r="V492" s="89" t="s">
        <v>50</v>
      </c>
      <c r="W492" s="89" t="s">
        <v>50</v>
      </c>
      <c r="X492" s="89" t="s">
        <v>50</v>
      </c>
      <c r="Y492" s="600" t="s">
        <v>124</v>
      </c>
    </row>
    <row r="493" spans="1:25" x14ac:dyDescent="0.25">
      <c r="A493" s="26">
        <v>43727</v>
      </c>
      <c r="B493" s="89" t="s">
        <v>876</v>
      </c>
      <c r="C493" s="98" t="s">
        <v>118</v>
      </c>
      <c r="D493" s="98">
        <v>38.059339999999999</v>
      </c>
      <c r="E493" s="98">
        <v>-122.18926</v>
      </c>
      <c r="F493" s="98" t="s">
        <v>3991</v>
      </c>
      <c r="G493" s="98" t="s">
        <v>80</v>
      </c>
      <c r="H493" s="98" t="s">
        <v>3332</v>
      </c>
      <c r="I493" s="602">
        <v>0.32847222222222222</v>
      </c>
      <c r="J493" s="98">
        <v>18709.25</v>
      </c>
      <c r="K493" s="100">
        <v>20.225000000000001</v>
      </c>
      <c r="L493" s="100">
        <v>12.4</v>
      </c>
      <c r="M493" s="100">
        <v>0.87749999999999995</v>
      </c>
      <c r="N493" s="100">
        <v>24.925000000000001</v>
      </c>
      <c r="O493" s="98" t="s">
        <v>48</v>
      </c>
      <c r="P493" s="98">
        <v>4</v>
      </c>
      <c r="Q493" s="98">
        <v>10</v>
      </c>
      <c r="R493" s="89" t="s">
        <v>49</v>
      </c>
      <c r="S493" s="89" t="s">
        <v>50</v>
      </c>
      <c r="T493" s="89" t="s">
        <v>50</v>
      </c>
      <c r="U493" s="89" t="s">
        <v>50</v>
      </c>
      <c r="V493" s="89" t="s">
        <v>50</v>
      </c>
      <c r="W493" s="89" t="s">
        <v>50</v>
      </c>
      <c r="X493" s="89" t="s">
        <v>50</v>
      </c>
    </row>
    <row r="494" spans="1:25" x14ac:dyDescent="0.25">
      <c r="A494" s="26">
        <v>43727</v>
      </c>
      <c r="B494" s="89" t="s">
        <v>876</v>
      </c>
      <c r="C494" s="89" t="s">
        <v>118</v>
      </c>
      <c r="D494" s="89">
        <v>38.039549999999998</v>
      </c>
      <c r="E494" s="89">
        <v>-122.27763</v>
      </c>
      <c r="F494" s="89" t="s">
        <v>3992</v>
      </c>
      <c r="G494" s="89" t="s">
        <v>80</v>
      </c>
      <c r="H494" s="89" t="s">
        <v>123</v>
      </c>
      <c r="I494" s="602">
        <v>0.38472222222222219</v>
      </c>
      <c r="J494" s="89">
        <v>28136.75</v>
      </c>
      <c r="K494" s="82">
        <v>20.075000000000003</v>
      </c>
      <c r="L494" s="82">
        <v>14.4</v>
      </c>
      <c r="M494" s="82">
        <v>0.72750000000000004</v>
      </c>
      <c r="N494" s="82">
        <v>2.9750000000000001</v>
      </c>
      <c r="O494" s="89" t="s">
        <v>48</v>
      </c>
      <c r="P494" s="89">
        <v>4</v>
      </c>
      <c r="Q494" s="98">
        <v>10</v>
      </c>
      <c r="R494" s="89" t="s">
        <v>49</v>
      </c>
      <c r="S494" s="89" t="s">
        <v>50</v>
      </c>
      <c r="T494" s="89" t="s">
        <v>50</v>
      </c>
      <c r="U494" s="89" t="s">
        <v>50</v>
      </c>
      <c r="V494" s="89" t="s">
        <v>50</v>
      </c>
      <c r="W494" s="89" t="s">
        <v>50</v>
      </c>
      <c r="X494" s="89" t="s">
        <v>50</v>
      </c>
    </row>
    <row r="495" spans="1:25" x14ac:dyDescent="0.25">
      <c r="A495" s="26">
        <v>43727</v>
      </c>
      <c r="B495" s="89" t="s">
        <v>876</v>
      </c>
      <c r="C495" s="98" t="s">
        <v>118</v>
      </c>
      <c r="D495" s="98">
        <v>38.042160000000003</v>
      </c>
      <c r="E495" s="98">
        <v>-122.31847</v>
      </c>
      <c r="F495" s="98" t="s">
        <v>3993</v>
      </c>
      <c r="G495" s="98" t="s">
        <v>80</v>
      </c>
      <c r="H495" s="98" t="s">
        <v>123</v>
      </c>
      <c r="I495" s="602">
        <v>0.43611111111111112</v>
      </c>
      <c r="J495" s="98">
        <v>26105</v>
      </c>
      <c r="K495" s="100">
        <v>20.375</v>
      </c>
      <c r="L495" s="100">
        <v>13.025</v>
      </c>
      <c r="M495" s="100">
        <v>0.9</v>
      </c>
      <c r="N495" s="100">
        <v>8.65</v>
      </c>
      <c r="O495" s="98" t="s">
        <v>48</v>
      </c>
      <c r="P495" s="98">
        <v>4</v>
      </c>
      <c r="Q495" s="98">
        <v>10</v>
      </c>
      <c r="R495" s="89" t="s">
        <v>49</v>
      </c>
      <c r="S495" s="89" t="s">
        <v>50</v>
      </c>
      <c r="T495" s="89" t="s">
        <v>50</v>
      </c>
      <c r="U495" s="89" t="s">
        <v>50</v>
      </c>
      <c r="V495" s="89" t="s">
        <v>50</v>
      </c>
      <c r="W495" s="89" t="s">
        <v>50</v>
      </c>
      <c r="X495" s="89" t="s">
        <v>50</v>
      </c>
    </row>
    <row r="496" spans="1:25" s="362" customFormat="1" x14ac:dyDescent="0.25">
      <c r="A496" s="360">
        <v>43727</v>
      </c>
      <c r="B496" s="362" t="s">
        <v>876</v>
      </c>
      <c r="C496" s="362" t="s">
        <v>118</v>
      </c>
      <c r="D496" s="362">
        <v>38.127940000000002</v>
      </c>
      <c r="E496" s="362">
        <v>-122.27951</v>
      </c>
      <c r="F496" s="362" t="s">
        <v>3994</v>
      </c>
      <c r="G496" s="362" t="s">
        <v>80</v>
      </c>
      <c r="H496" s="362" t="s">
        <v>191</v>
      </c>
      <c r="I496" s="618">
        <v>0.50277777777777777</v>
      </c>
      <c r="J496" s="362">
        <v>22713.5</v>
      </c>
      <c r="K496" s="364">
        <v>20.6</v>
      </c>
      <c r="L496" s="364">
        <v>17.2</v>
      </c>
      <c r="M496" s="364">
        <v>0.60499999999999998</v>
      </c>
      <c r="N496" s="364">
        <v>7.4750000000000005</v>
      </c>
      <c r="O496" s="362" t="s">
        <v>48</v>
      </c>
      <c r="P496" s="362">
        <v>4</v>
      </c>
      <c r="Q496" s="362">
        <v>10</v>
      </c>
      <c r="R496" s="362" t="s">
        <v>64</v>
      </c>
      <c r="S496" s="362" t="s">
        <v>50</v>
      </c>
      <c r="T496" s="362" t="s">
        <v>50</v>
      </c>
      <c r="U496" s="362" t="s">
        <v>50</v>
      </c>
      <c r="V496" s="362" t="s">
        <v>50</v>
      </c>
      <c r="W496" s="362" t="s">
        <v>50</v>
      </c>
      <c r="X496" s="362" t="s">
        <v>50</v>
      </c>
      <c r="Y496" s="603"/>
    </row>
    <row r="497" spans="1:25" x14ac:dyDescent="0.25">
      <c r="A497" s="26">
        <v>43731</v>
      </c>
      <c r="B497" s="89" t="s">
        <v>43</v>
      </c>
      <c r="C497" s="89" t="s">
        <v>106</v>
      </c>
      <c r="D497" s="89">
        <v>38.2498</v>
      </c>
      <c r="E497" s="89">
        <v>-121.66853999999999</v>
      </c>
      <c r="F497" s="89" t="s">
        <v>3995</v>
      </c>
      <c r="G497" s="89" t="s">
        <v>90</v>
      </c>
      <c r="H497" s="89" t="s">
        <v>362</v>
      </c>
      <c r="I497" s="602">
        <v>0.32708333333333334</v>
      </c>
      <c r="J497" s="82">
        <v>225.375</v>
      </c>
      <c r="K497" s="82">
        <v>20.799999999999997</v>
      </c>
      <c r="L497" s="82">
        <v>11.875</v>
      </c>
      <c r="M497" s="82">
        <v>1.0225</v>
      </c>
      <c r="N497" s="82">
        <v>8.8999999999999986</v>
      </c>
      <c r="O497" s="89" t="s">
        <v>48</v>
      </c>
      <c r="P497" s="89">
        <v>4</v>
      </c>
      <c r="Q497" s="89">
        <v>10</v>
      </c>
      <c r="R497" s="89" t="s">
        <v>49</v>
      </c>
      <c r="S497" s="89" t="s">
        <v>50</v>
      </c>
      <c r="T497" s="89" t="s">
        <v>50</v>
      </c>
      <c r="U497" s="89" t="s">
        <v>50</v>
      </c>
      <c r="V497" s="89" t="s">
        <v>50</v>
      </c>
      <c r="W497" s="89" t="s">
        <v>50</v>
      </c>
      <c r="X497" s="89" t="s">
        <v>50</v>
      </c>
      <c r="Y497" s="600" t="s">
        <v>3996</v>
      </c>
    </row>
    <row r="498" spans="1:25" x14ac:dyDescent="0.25">
      <c r="A498" s="26">
        <v>43731</v>
      </c>
      <c r="B498" s="89" t="s">
        <v>43</v>
      </c>
      <c r="C498" s="89" t="s">
        <v>106</v>
      </c>
      <c r="D498" s="89">
        <v>38.473750000000003</v>
      </c>
      <c r="E498" s="89">
        <v>-121.58447</v>
      </c>
      <c r="F498" s="89" t="s">
        <v>3997</v>
      </c>
      <c r="G498" s="89" t="s">
        <v>90</v>
      </c>
      <c r="H498" s="89" t="s">
        <v>362</v>
      </c>
      <c r="I498" s="602">
        <v>0.40347222222222223</v>
      </c>
      <c r="J498" s="82">
        <v>754.75</v>
      </c>
      <c r="K498" s="82">
        <v>22.125</v>
      </c>
      <c r="L498" s="82">
        <v>26.825000000000003</v>
      </c>
      <c r="M498" s="82">
        <v>0.44500000000000001</v>
      </c>
      <c r="N498" s="82">
        <v>9.875</v>
      </c>
      <c r="O498" s="89" t="s">
        <v>48</v>
      </c>
      <c r="P498" s="89">
        <v>4</v>
      </c>
      <c r="Q498" s="89">
        <v>10</v>
      </c>
      <c r="R498" s="89" t="s">
        <v>64</v>
      </c>
      <c r="S498" s="89" t="s">
        <v>50</v>
      </c>
      <c r="T498" s="89" t="s">
        <v>50</v>
      </c>
      <c r="U498" s="89" t="s">
        <v>50</v>
      </c>
      <c r="V498" s="89" t="s">
        <v>50</v>
      </c>
      <c r="W498" s="89" t="s">
        <v>50</v>
      </c>
      <c r="X498" s="89" t="s">
        <v>50</v>
      </c>
    </row>
    <row r="499" spans="1:25" x14ac:dyDescent="0.25">
      <c r="A499" s="26">
        <v>43731</v>
      </c>
      <c r="B499" s="89" t="s">
        <v>43</v>
      </c>
      <c r="C499" s="89" t="s">
        <v>106</v>
      </c>
      <c r="D499" s="89">
        <v>38.56174</v>
      </c>
      <c r="E499" s="89">
        <v>-121.5553</v>
      </c>
      <c r="F499" s="89" t="s">
        <v>3998</v>
      </c>
      <c r="G499" s="89" t="s">
        <v>90</v>
      </c>
      <c r="H499" s="89" t="s">
        <v>1787</v>
      </c>
      <c r="I499" s="602">
        <v>0.46736111111111112</v>
      </c>
      <c r="J499" s="82">
        <v>960</v>
      </c>
      <c r="K499" s="82">
        <v>23.074999999999999</v>
      </c>
      <c r="L499" s="82">
        <v>6.7425000000000006</v>
      </c>
      <c r="M499" s="82">
        <v>1.4124999999999999</v>
      </c>
      <c r="N499" s="82">
        <v>11.475000000000001</v>
      </c>
      <c r="O499" s="89" t="s">
        <v>48</v>
      </c>
      <c r="P499" s="89">
        <v>4</v>
      </c>
      <c r="Q499" s="89">
        <v>10</v>
      </c>
      <c r="R499" s="89" t="s">
        <v>64</v>
      </c>
      <c r="S499" s="89" t="s">
        <v>50</v>
      </c>
      <c r="T499" s="89" t="s">
        <v>50</v>
      </c>
      <c r="U499" s="89" t="s">
        <v>50</v>
      </c>
      <c r="V499" s="89" t="s">
        <v>50</v>
      </c>
      <c r="W499" s="89" t="s">
        <v>50</v>
      </c>
      <c r="X499" s="89" t="s">
        <v>50</v>
      </c>
      <c r="Y499" s="600" t="s">
        <v>3999</v>
      </c>
    </row>
    <row r="500" spans="1:25" x14ac:dyDescent="0.25">
      <c r="A500" s="26">
        <v>43731</v>
      </c>
      <c r="B500" s="89" t="s">
        <v>43</v>
      </c>
      <c r="C500" s="89" t="s">
        <v>118</v>
      </c>
      <c r="D500" s="89">
        <v>38.046880000000002</v>
      </c>
      <c r="E500" s="89">
        <v>-122.29868</v>
      </c>
      <c r="F500" s="89" t="s">
        <v>4000</v>
      </c>
      <c r="G500" s="89" t="s">
        <v>80</v>
      </c>
      <c r="H500" s="89" t="s">
        <v>123</v>
      </c>
      <c r="I500" s="602">
        <v>0.40833333333333338</v>
      </c>
      <c r="J500" s="82">
        <v>31846.5</v>
      </c>
      <c r="K500" s="82">
        <v>19.774999999999999</v>
      </c>
      <c r="L500" s="82">
        <v>7.5325000000000006</v>
      </c>
      <c r="M500" s="82">
        <v>1.21</v>
      </c>
      <c r="N500" s="82">
        <v>9.9749999999999996</v>
      </c>
      <c r="O500" s="89" t="s">
        <v>48</v>
      </c>
      <c r="P500" s="89">
        <v>4</v>
      </c>
      <c r="Q500" s="89">
        <v>10</v>
      </c>
      <c r="R500" s="89" t="s">
        <v>64</v>
      </c>
      <c r="S500" s="89" t="s">
        <v>50</v>
      </c>
      <c r="T500" s="89" t="s">
        <v>50</v>
      </c>
      <c r="U500" s="89" t="s">
        <v>50</v>
      </c>
      <c r="V500" s="89" t="s">
        <v>50</v>
      </c>
      <c r="W500" s="89" t="s">
        <v>50</v>
      </c>
      <c r="X500" s="89" t="s">
        <v>50</v>
      </c>
    </row>
    <row r="501" spans="1:25" x14ac:dyDescent="0.25">
      <c r="A501" s="26">
        <v>43731</v>
      </c>
      <c r="B501" s="89" t="s">
        <v>43</v>
      </c>
      <c r="C501" s="89" t="s">
        <v>118</v>
      </c>
      <c r="D501" s="89">
        <v>38.05444</v>
      </c>
      <c r="E501" s="89">
        <v>-122.28547</v>
      </c>
      <c r="F501" s="89" t="s">
        <v>4001</v>
      </c>
      <c r="G501" s="89" t="s">
        <v>80</v>
      </c>
      <c r="H501" s="89" t="s">
        <v>123</v>
      </c>
      <c r="I501" s="602">
        <v>0.4548611111111111</v>
      </c>
      <c r="J501" s="82">
        <v>27337.25</v>
      </c>
      <c r="K501" s="82">
        <v>20.299999999999997</v>
      </c>
      <c r="L501" s="82">
        <v>5.7075000000000005</v>
      </c>
      <c r="M501" s="82">
        <v>1.2925</v>
      </c>
      <c r="N501" s="82">
        <v>15.225</v>
      </c>
      <c r="O501" s="89" t="s">
        <v>48</v>
      </c>
      <c r="P501" s="89">
        <v>4</v>
      </c>
      <c r="Q501" s="89">
        <v>10</v>
      </c>
      <c r="R501" s="89" t="s">
        <v>64</v>
      </c>
      <c r="S501" s="89" t="s">
        <v>50</v>
      </c>
      <c r="T501" s="89" t="s">
        <v>50</v>
      </c>
      <c r="U501" s="89" t="s">
        <v>50</v>
      </c>
      <c r="V501" s="89" t="s">
        <v>50</v>
      </c>
      <c r="W501" s="89" t="s">
        <v>50</v>
      </c>
      <c r="X501" s="89" t="s">
        <v>50</v>
      </c>
    </row>
    <row r="502" spans="1:25" x14ac:dyDescent="0.25">
      <c r="A502" s="26">
        <v>43731</v>
      </c>
      <c r="B502" s="89" t="s">
        <v>43</v>
      </c>
      <c r="C502" s="98" t="s">
        <v>118</v>
      </c>
      <c r="D502" s="98">
        <v>38.058959999999999</v>
      </c>
      <c r="E502" s="98">
        <v>-122.22875000000001</v>
      </c>
      <c r="F502" s="98" t="s">
        <v>4002</v>
      </c>
      <c r="G502" s="98" t="s">
        <v>80</v>
      </c>
      <c r="H502" s="98" t="s">
        <v>3332</v>
      </c>
      <c r="I502" s="602">
        <v>0.51736111111111105</v>
      </c>
      <c r="J502" s="100">
        <v>27799</v>
      </c>
      <c r="K502" s="100">
        <v>20.399999999999999</v>
      </c>
      <c r="L502" s="100">
        <v>9.7850000000000001</v>
      </c>
      <c r="M502" s="100">
        <v>1.0449999999999999</v>
      </c>
      <c r="N502" s="100">
        <v>23.5</v>
      </c>
      <c r="O502" s="98" t="s">
        <v>48</v>
      </c>
      <c r="P502" s="98">
        <v>2</v>
      </c>
      <c r="Q502" s="98">
        <v>10</v>
      </c>
      <c r="R502" s="89" t="s">
        <v>49</v>
      </c>
      <c r="S502" s="89" t="s">
        <v>50</v>
      </c>
      <c r="T502" s="89" t="s">
        <v>50</v>
      </c>
      <c r="U502" s="89" t="s">
        <v>50</v>
      </c>
      <c r="V502" s="89" t="s">
        <v>50</v>
      </c>
      <c r="W502" s="89" t="s">
        <v>50</v>
      </c>
      <c r="X502" s="89" t="s">
        <v>50</v>
      </c>
      <c r="Y502" s="600" t="s">
        <v>4003</v>
      </c>
    </row>
    <row r="503" spans="1:25" x14ac:dyDescent="0.25">
      <c r="A503" s="26">
        <v>43731</v>
      </c>
      <c r="B503" s="89" t="s">
        <v>43</v>
      </c>
      <c r="C503" s="89" t="s">
        <v>118</v>
      </c>
      <c r="D503" s="89">
        <v>38.03472</v>
      </c>
      <c r="E503" s="89">
        <v>-122.14354</v>
      </c>
      <c r="F503" s="89" t="s">
        <v>4004</v>
      </c>
      <c r="G503" s="89" t="s">
        <v>80</v>
      </c>
      <c r="H503" s="89" t="s">
        <v>3332</v>
      </c>
      <c r="I503" s="602">
        <v>0.5541666666666667</v>
      </c>
      <c r="J503" s="82">
        <v>20905</v>
      </c>
      <c r="K503" s="82">
        <v>21.049999999999997</v>
      </c>
      <c r="L503" s="82">
        <v>11.525000000000002</v>
      </c>
      <c r="M503" s="82">
        <v>0.92749999999999999</v>
      </c>
      <c r="N503" s="82">
        <v>16.425000000000001</v>
      </c>
      <c r="O503" s="89" t="s">
        <v>48</v>
      </c>
      <c r="P503" s="89">
        <v>4</v>
      </c>
      <c r="Q503" s="89">
        <v>10</v>
      </c>
      <c r="R503" s="89" t="s">
        <v>49</v>
      </c>
      <c r="S503" s="89" t="s">
        <v>50</v>
      </c>
      <c r="T503" s="89" t="s">
        <v>50</v>
      </c>
      <c r="U503" s="89" t="s">
        <v>50</v>
      </c>
      <c r="V503" s="89" t="s">
        <v>50</v>
      </c>
      <c r="W503" s="89" t="s">
        <v>50</v>
      </c>
      <c r="X503" s="89" t="s">
        <v>50</v>
      </c>
    </row>
    <row r="504" spans="1:25" x14ac:dyDescent="0.25">
      <c r="A504" s="26">
        <v>43731</v>
      </c>
      <c r="B504" s="89" t="s">
        <v>43</v>
      </c>
      <c r="C504" s="89" t="s">
        <v>78</v>
      </c>
      <c r="D504" s="89">
        <v>38.036639999999998</v>
      </c>
      <c r="E504" s="89">
        <v>-122.13682</v>
      </c>
      <c r="F504" s="89" t="s">
        <v>4005</v>
      </c>
      <c r="G504" s="89" t="s">
        <v>80</v>
      </c>
      <c r="H504" s="89" t="s">
        <v>81</v>
      </c>
      <c r="I504" s="602">
        <v>0.6</v>
      </c>
      <c r="J504" s="82">
        <v>20697</v>
      </c>
      <c r="K504" s="82">
        <v>21.3</v>
      </c>
      <c r="L504" s="82">
        <v>11.75</v>
      </c>
      <c r="M504" s="82">
        <v>0.84</v>
      </c>
      <c r="N504" s="82">
        <v>17.725000000000001</v>
      </c>
      <c r="O504" s="89" t="s">
        <v>48</v>
      </c>
      <c r="P504" s="89">
        <v>4</v>
      </c>
      <c r="Q504" s="89">
        <v>10</v>
      </c>
      <c r="R504" s="89" t="s">
        <v>49</v>
      </c>
      <c r="S504" s="89" t="s">
        <v>50</v>
      </c>
      <c r="T504" s="89" t="s">
        <v>50</v>
      </c>
      <c r="U504" s="89" t="s">
        <v>50</v>
      </c>
      <c r="V504" s="89" t="s">
        <v>50</v>
      </c>
      <c r="W504" s="89" t="s">
        <v>50</v>
      </c>
      <c r="X504" s="89" t="s">
        <v>50</v>
      </c>
    </row>
    <row r="505" spans="1:25" x14ac:dyDescent="0.25">
      <c r="A505" s="26">
        <v>43731</v>
      </c>
      <c r="B505" s="89" t="s">
        <v>43</v>
      </c>
      <c r="C505" s="89" t="s">
        <v>88</v>
      </c>
      <c r="D505" s="89">
        <v>38.175620000000002</v>
      </c>
      <c r="E505" s="89">
        <v>-121.67005</v>
      </c>
      <c r="F505" s="89" t="s">
        <v>4006</v>
      </c>
      <c r="G505" s="89" t="s">
        <v>90</v>
      </c>
      <c r="H505" s="89" t="s">
        <v>91</v>
      </c>
      <c r="I505" s="602">
        <v>0.38541666666666669</v>
      </c>
      <c r="J505" s="82">
        <v>151.60000000000002</v>
      </c>
      <c r="K505" s="82">
        <v>19.175000000000001</v>
      </c>
      <c r="L505" s="82">
        <v>5.8249999999999993</v>
      </c>
      <c r="M505" s="82">
        <v>1.47</v>
      </c>
      <c r="N505" s="82">
        <v>14.399999999999999</v>
      </c>
      <c r="O505" s="89" t="s">
        <v>48</v>
      </c>
      <c r="P505" s="89">
        <v>4</v>
      </c>
      <c r="Q505" s="89">
        <v>10</v>
      </c>
      <c r="R505" s="89" t="s">
        <v>64</v>
      </c>
      <c r="S505" s="89" t="s">
        <v>50</v>
      </c>
      <c r="T505" s="89" t="s">
        <v>50</v>
      </c>
      <c r="U505" s="89" t="s">
        <v>50</v>
      </c>
      <c r="V505" s="89" t="s">
        <v>50</v>
      </c>
      <c r="W505" s="89" t="s">
        <v>50</v>
      </c>
      <c r="X505" s="89" t="s">
        <v>50</v>
      </c>
    </row>
    <row r="506" spans="1:25" x14ac:dyDescent="0.25">
      <c r="A506" s="26">
        <v>43731</v>
      </c>
      <c r="B506" s="89" t="s">
        <v>43</v>
      </c>
      <c r="C506" s="89" t="s">
        <v>88</v>
      </c>
      <c r="D506" s="89">
        <v>38.155749999999998</v>
      </c>
      <c r="E506" s="89">
        <v>-121.68872</v>
      </c>
      <c r="F506" s="89" t="s">
        <v>4007</v>
      </c>
      <c r="G506" s="89" t="s">
        <v>90</v>
      </c>
      <c r="H506" s="89" t="s">
        <v>91</v>
      </c>
      <c r="I506" s="602">
        <v>0.4368055555555555</v>
      </c>
      <c r="J506" s="82">
        <v>141.94999999999999</v>
      </c>
      <c r="K506" s="82">
        <v>19.075000000000003</v>
      </c>
      <c r="L506" s="82">
        <v>7.4874999999999998</v>
      </c>
      <c r="M506" s="82">
        <v>1.4975000000000001</v>
      </c>
      <c r="N506" s="82">
        <v>9.1999999999999993</v>
      </c>
      <c r="O506" s="89" t="s">
        <v>48</v>
      </c>
      <c r="P506" s="89">
        <v>4</v>
      </c>
      <c r="Q506" s="89">
        <v>10</v>
      </c>
      <c r="R506" s="89" t="s">
        <v>64</v>
      </c>
      <c r="S506" s="89" t="s">
        <v>50</v>
      </c>
      <c r="T506" s="89" t="s">
        <v>50</v>
      </c>
      <c r="U506" s="89" t="s">
        <v>50</v>
      </c>
      <c r="V506" s="89" t="s">
        <v>50</v>
      </c>
      <c r="W506" s="89" t="s">
        <v>50</v>
      </c>
      <c r="X506" s="89" t="s">
        <v>50</v>
      </c>
    </row>
    <row r="507" spans="1:25" x14ac:dyDescent="0.25">
      <c r="A507" s="26">
        <v>43731</v>
      </c>
      <c r="B507" s="89" t="s">
        <v>43</v>
      </c>
      <c r="C507" s="89" t="s">
        <v>88</v>
      </c>
      <c r="D507" s="89">
        <v>38.09422</v>
      </c>
      <c r="E507" s="89">
        <v>-121.73159</v>
      </c>
      <c r="F507" s="89" t="s">
        <v>4008</v>
      </c>
      <c r="G507" s="89" t="s">
        <v>90</v>
      </c>
      <c r="H507" s="89" t="s">
        <v>91</v>
      </c>
      <c r="I507" s="602">
        <v>0.49305555555555558</v>
      </c>
      <c r="J507" s="82">
        <v>139.47499999999999</v>
      </c>
      <c r="K507" s="82">
        <v>19.650000000000002</v>
      </c>
      <c r="L507" s="82">
        <v>6.6225000000000005</v>
      </c>
      <c r="M507" s="82">
        <v>1.5150000000000001</v>
      </c>
      <c r="N507" s="82">
        <v>8.3000000000000007</v>
      </c>
      <c r="O507" s="89" t="s">
        <v>48</v>
      </c>
      <c r="P507" s="89">
        <v>4</v>
      </c>
      <c r="Q507" s="89">
        <v>10</v>
      </c>
      <c r="R507" s="89" t="s">
        <v>64</v>
      </c>
      <c r="S507" s="89" t="s">
        <v>50</v>
      </c>
      <c r="T507" s="89" t="s">
        <v>50</v>
      </c>
      <c r="U507" s="89" t="s">
        <v>50</v>
      </c>
      <c r="V507" s="89" t="s">
        <v>50</v>
      </c>
      <c r="W507" s="89" t="s">
        <v>50</v>
      </c>
      <c r="X507" s="89" t="s">
        <v>50</v>
      </c>
    </row>
    <row r="508" spans="1:25" x14ac:dyDescent="0.25">
      <c r="A508" s="26">
        <v>43732</v>
      </c>
      <c r="B508" s="89" t="s">
        <v>849</v>
      </c>
      <c r="C508" s="89" t="s">
        <v>106</v>
      </c>
      <c r="D508" s="89">
        <v>38.492510000000003</v>
      </c>
      <c r="E508" s="89">
        <v>-121.58402</v>
      </c>
      <c r="F508" s="89" t="s">
        <v>4009</v>
      </c>
      <c r="G508" s="89" t="s">
        <v>90</v>
      </c>
      <c r="H508" s="89" t="s">
        <v>1787</v>
      </c>
      <c r="I508" s="602">
        <v>0.34583333333333338</v>
      </c>
      <c r="J508" s="82">
        <v>908.75</v>
      </c>
      <c r="K508" s="82">
        <v>22.1</v>
      </c>
      <c r="L508" s="82">
        <v>18.2</v>
      </c>
      <c r="M508" s="82">
        <v>0.60250000000000004</v>
      </c>
      <c r="N508" s="82">
        <v>9.125</v>
      </c>
      <c r="O508" s="89" t="s">
        <v>48</v>
      </c>
      <c r="P508" s="89">
        <v>4</v>
      </c>
      <c r="Q508" s="89">
        <v>10</v>
      </c>
      <c r="R508" s="89" t="s">
        <v>49</v>
      </c>
      <c r="S508" s="89" t="s">
        <v>50</v>
      </c>
      <c r="T508" s="89" t="s">
        <v>50</v>
      </c>
      <c r="U508" s="89" t="s">
        <v>50</v>
      </c>
      <c r="V508" s="89" t="s">
        <v>50</v>
      </c>
      <c r="W508" s="89" t="s">
        <v>50</v>
      </c>
      <c r="X508" s="89" t="s">
        <v>50</v>
      </c>
      <c r="Y508" s="600" t="s">
        <v>3548</v>
      </c>
    </row>
    <row r="509" spans="1:25" s="496" customFormat="1" x14ac:dyDescent="0.25">
      <c r="A509" s="495">
        <v>43732</v>
      </c>
      <c r="B509" s="496" t="s">
        <v>849</v>
      </c>
      <c r="C509" s="496" t="s">
        <v>106</v>
      </c>
      <c r="D509" s="496">
        <v>38.388060000000003</v>
      </c>
      <c r="E509" s="496">
        <v>-121.62262</v>
      </c>
      <c r="F509" s="496" t="s">
        <v>4010</v>
      </c>
      <c r="G509" s="496" t="s">
        <v>90</v>
      </c>
      <c r="H509" s="496" t="s">
        <v>362</v>
      </c>
      <c r="I509" s="615">
        <v>0.41319444444444442</v>
      </c>
      <c r="J509" s="498">
        <v>589.75</v>
      </c>
      <c r="K509" s="498">
        <v>71.599999999999994</v>
      </c>
      <c r="L509" s="498">
        <v>46.725000000000001</v>
      </c>
      <c r="M509" s="498">
        <v>0.255</v>
      </c>
      <c r="N509" s="498">
        <v>7.15</v>
      </c>
      <c r="O509" s="496" t="s">
        <v>48</v>
      </c>
      <c r="P509" s="496">
        <v>4</v>
      </c>
      <c r="Q509" s="496">
        <v>10</v>
      </c>
      <c r="R509" s="496" t="s">
        <v>64</v>
      </c>
      <c r="S509" s="496" t="s">
        <v>323</v>
      </c>
      <c r="T509" s="628">
        <v>1</v>
      </c>
      <c r="U509" s="628">
        <v>40</v>
      </c>
      <c r="V509" s="496" t="s">
        <v>50</v>
      </c>
      <c r="W509" s="496" t="s">
        <v>50</v>
      </c>
      <c r="X509" s="496" t="s">
        <v>50</v>
      </c>
      <c r="Y509" s="601" t="s">
        <v>4011</v>
      </c>
    </row>
    <row r="510" spans="1:25" x14ac:dyDescent="0.25">
      <c r="A510" s="26">
        <v>43732</v>
      </c>
      <c r="B510" s="89" t="s">
        <v>849</v>
      </c>
      <c r="C510" s="89" t="s">
        <v>106</v>
      </c>
      <c r="D510" s="89">
        <v>38.220269999999999</v>
      </c>
      <c r="E510" s="89">
        <v>-121.67346999999999</v>
      </c>
      <c r="F510" s="89" t="s">
        <v>4012</v>
      </c>
      <c r="G510" s="89" t="s">
        <v>90</v>
      </c>
      <c r="H510" s="89" t="s">
        <v>362</v>
      </c>
      <c r="I510" s="602">
        <v>0.50069444444444444</v>
      </c>
      <c r="J510" s="82">
        <v>169.92500000000001</v>
      </c>
      <c r="K510" s="82">
        <v>19.45</v>
      </c>
      <c r="L510" s="82">
        <v>10.86</v>
      </c>
      <c r="M510" s="82">
        <v>1.2925</v>
      </c>
      <c r="N510" s="82">
        <v>12.725</v>
      </c>
      <c r="O510" s="89" t="s">
        <v>48</v>
      </c>
      <c r="P510" s="89">
        <v>4</v>
      </c>
      <c r="Q510" s="89">
        <v>10</v>
      </c>
      <c r="R510" s="89" t="s">
        <v>64</v>
      </c>
      <c r="S510" s="89" t="s">
        <v>50</v>
      </c>
      <c r="T510" s="89" t="s">
        <v>50</v>
      </c>
      <c r="U510" s="89" t="s">
        <v>50</v>
      </c>
      <c r="V510" s="89" t="s">
        <v>50</v>
      </c>
      <c r="W510" s="89" t="s">
        <v>50</v>
      </c>
      <c r="X510" s="89" t="s">
        <v>50</v>
      </c>
      <c r="Y510" s="600" t="s">
        <v>3665</v>
      </c>
    </row>
    <row r="511" spans="1:25" x14ac:dyDescent="0.25">
      <c r="A511" s="26">
        <v>43732</v>
      </c>
      <c r="B511" s="89" t="s">
        <v>849</v>
      </c>
      <c r="C511" s="89" t="s">
        <v>88</v>
      </c>
      <c r="D511" s="89">
        <v>38.063000000000002</v>
      </c>
      <c r="E511" s="89">
        <v>-121.83426</v>
      </c>
      <c r="F511" s="89" t="s">
        <v>4013</v>
      </c>
      <c r="G511" s="89" t="s">
        <v>27</v>
      </c>
      <c r="H511" s="89" t="s">
        <v>25</v>
      </c>
      <c r="I511" s="602">
        <v>0.33611111111111108</v>
      </c>
      <c r="J511" s="82">
        <v>239.89999999999998</v>
      </c>
      <c r="K511" s="82">
        <v>20.399999999999999</v>
      </c>
      <c r="L511" s="82">
        <v>9.2925000000000004</v>
      </c>
      <c r="M511" s="82">
        <v>1.0149999999999999</v>
      </c>
      <c r="N511" s="82">
        <v>9.3999999999999986</v>
      </c>
      <c r="O511" s="89" t="s">
        <v>48</v>
      </c>
      <c r="P511" s="89">
        <v>4</v>
      </c>
      <c r="Q511" s="89">
        <v>10</v>
      </c>
      <c r="R511" s="89" t="s">
        <v>49</v>
      </c>
      <c r="S511" s="89" t="s">
        <v>50</v>
      </c>
      <c r="T511" s="89" t="s">
        <v>50</v>
      </c>
      <c r="U511" s="89" t="s">
        <v>50</v>
      </c>
      <c r="V511" s="89" t="s">
        <v>50</v>
      </c>
      <c r="W511" s="89" t="s">
        <v>50</v>
      </c>
      <c r="X511" s="89" t="s">
        <v>50</v>
      </c>
    </row>
    <row r="512" spans="1:25" x14ac:dyDescent="0.25">
      <c r="A512" s="26">
        <v>43732</v>
      </c>
      <c r="B512" s="89" t="s">
        <v>849</v>
      </c>
      <c r="C512" s="89" t="s">
        <v>88</v>
      </c>
      <c r="D512" s="89">
        <v>38.136279999999999</v>
      </c>
      <c r="E512" s="89">
        <v>-121.69463</v>
      </c>
      <c r="F512" s="89" t="s">
        <v>4014</v>
      </c>
      <c r="G512" s="89" t="s">
        <v>90</v>
      </c>
      <c r="H512" s="89" t="s">
        <v>91</v>
      </c>
      <c r="I512" s="602">
        <v>0.40625</v>
      </c>
      <c r="J512" s="82">
        <v>146.60000000000002</v>
      </c>
      <c r="K512" s="82">
        <v>19.174999999999997</v>
      </c>
      <c r="L512" s="82">
        <v>7.557500000000001</v>
      </c>
      <c r="M512" s="82">
        <v>1.5725</v>
      </c>
      <c r="N512" s="82">
        <v>9.15</v>
      </c>
      <c r="O512" s="89" t="s">
        <v>48</v>
      </c>
      <c r="P512" s="89">
        <v>4</v>
      </c>
      <c r="Q512" s="89">
        <v>10</v>
      </c>
      <c r="R512" s="89" t="s">
        <v>64</v>
      </c>
      <c r="S512" s="89" t="s">
        <v>50</v>
      </c>
      <c r="T512" s="89" t="s">
        <v>50</v>
      </c>
      <c r="U512" s="89" t="s">
        <v>50</v>
      </c>
      <c r="V512" s="89" t="s">
        <v>50</v>
      </c>
      <c r="W512" s="89" t="s">
        <v>50</v>
      </c>
      <c r="X512" s="89" t="s">
        <v>50</v>
      </c>
    </row>
    <row r="513" spans="1:25" x14ac:dyDescent="0.25">
      <c r="A513" s="26">
        <v>43732</v>
      </c>
      <c r="B513" s="89" t="s">
        <v>849</v>
      </c>
      <c r="C513" s="89" t="s">
        <v>88</v>
      </c>
      <c r="D513" s="89">
        <v>38.107869999999998</v>
      </c>
      <c r="E513" s="89">
        <v>-121.6835</v>
      </c>
      <c r="F513" s="89" t="s">
        <v>4015</v>
      </c>
      <c r="G513" s="89" t="s">
        <v>90</v>
      </c>
      <c r="H513" s="89" t="s">
        <v>91</v>
      </c>
      <c r="I513" s="602">
        <v>0.46319444444444446</v>
      </c>
      <c r="J513" s="82">
        <v>160.875</v>
      </c>
      <c r="K513" s="82">
        <v>20.85</v>
      </c>
      <c r="L513" s="82">
        <v>7.6375000000000002</v>
      </c>
      <c r="M513" s="82">
        <v>1.28</v>
      </c>
      <c r="N513" s="82">
        <v>8.9250000000000007</v>
      </c>
      <c r="O513" s="89" t="s">
        <v>48</v>
      </c>
      <c r="P513" s="89">
        <v>4</v>
      </c>
      <c r="Q513" s="89">
        <v>10</v>
      </c>
      <c r="R513" s="89" t="s">
        <v>49</v>
      </c>
      <c r="S513" s="89" t="s">
        <v>50</v>
      </c>
      <c r="T513" s="89" t="s">
        <v>50</v>
      </c>
      <c r="U513" s="89" t="s">
        <v>50</v>
      </c>
      <c r="V513" s="89" t="s">
        <v>50</v>
      </c>
      <c r="W513" s="89" t="s">
        <v>50</v>
      </c>
      <c r="X513" s="89" t="s">
        <v>50</v>
      </c>
    </row>
    <row r="514" spans="1:25" x14ac:dyDescent="0.25">
      <c r="A514" s="26">
        <v>43732</v>
      </c>
      <c r="B514" s="89" t="s">
        <v>849</v>
      </c>
      <c r="C514" s="89" t="s">
        <v>78</v>
      </c>
      <c r="D514" s="89">
        <v>38.052770000000002</v>
      </c>
      <c r="E514" s="89">
        <v>-122.08922</v>
      </c>
      <c r="F514" s="89" t="s">
        <v>4016</v>
      </c>
      <c r="G514" s="89" t="s">
        <v>80</v>
      </c>
      <c r="H514" s="89" t="s">
        <v>81</v>
      </c>
      <c r="I514" s="602">
        <v>0.33749999999999997</v>
      </c>
      <c r="J514" s="82">
        <v>10008.5</v>
      </c>
      <c r="K514" s="82">
        <v>21</v>
      </c>
      <c r="L514" s="82">
        <v>15.3</v>
      </c>
      <c r="M514" s="82">
        <v>0.69499999999999995</v>
      </c>
      <c r="N514" s="82">
        <v>8.2750000000000004</v>
      </c>
      <c r="O514" s="89" t="s">
        <v>48</v>
      </c>
      <c r="P514" s="89">
        <v>4</v>
      </c>
      <c r="Q514" s="89">
        <v>10</v>
      </c>
      <c r="R514" s="89" t="s">
        <v>64</v>
      </c>
      <c r="S514" s="89" t="s">
        <v>50</v>
      </c>
      <c r="T514" s="89" t="s">
        <v>50</v>
      </c>
      <c r="U514" s="89" t="s">
        <v>50</v>
      </c>
      <c r="V514" s="89" t="s">
        <v>50</v>
      </c>
      <c r="W514" s="89" t="s">
        <v>50</v>
      </c>
      <c r="X514" s="89" t="s">
        <v>50</v>
      </c>
    </row>
    <row r="515" spans="1:25" x14ac:dyDescent="0.25">
      <c r="A515" s="26">
        <v>43732</v>
      </c>
      <c r="B515" s="89" t="s">
        <v>849</v>
      </c>
      <c r="C515" s="89" t="s">
        <v>78</v>
      </c>
      <c r="D515" s="89">
        <v>38.062399999999997</v>
      </c>
      <c r="E515" s="89">
        <v>-121.98889</v>
      </c>
      <c r="F515" s="89" t="s">
        <v>4017</v>
      </c>
      <c r="G515" s="89" t="s">
        <v>27</v>
      </c>
      <c r="H515" s="89" t="s">
        <v>86</v>
      </c>
      <c r="I515" s="602">
        <v>0.39513888888888887</v>
      </c>
      <c r="J515" s="82">
        <v>2840.25</v>
      </c>
      <c r="K515" s="82">
        <v>21.1</v>
      </c>
      <c r="L515" s="82">
        <v>13.524999999999999</v>
      </c>
      <c r="M515" s="82">
        <v>0.71250000000000002</v>
      </c>
      <c r="N515" s="82">
        <v>6.5</v>
      </c>
      <c r="O515" s="89" t="s">
        <v>48</v>
      </c>
      <c r="P515" s="89">
        <v>4</v>
      </c>
      <c r="Q515" s="89">
        <v>10</v>
      </c>
      <c r="R515" s="89" t="s">
        <v>64</v>
      </c>
      <c r="S515" s="89" t="s">
        <v>50</v>
      </c>
      <c r="T515" s="89" t="s">
        <v>50</v>
      </c>
      <c r="U515" s="89" t="s">
        <v>50</v>
      </c>
      <c r="V515" s="89" t="s">
        <v>50</v>
      </c>
      <c r="W515" s="89" t="s">
        <v>50</v>
      </c>
      <c r="X515" s="89" t="s">
        <v>50</v>
      </c>
    </row>
    <row r="516" spans="1:25" x14ac:dyDescent="0.25">
      <c r="A516" s="26">
        <v>43732</v>
      </c>
      <c r="B516" s="89" t="s">
        <v>849</v>
      </c>
      <c r="C516" s="89" t="s">
        <v>78</v>
      </c>
      <c r="D516" s="89">
        <v>38.061320000000002</v>
      </c>
      <c r="E516" s="89">
        <v>-121.85561</v>
      </c>
      <c r="F516" s="89" t="s">
        <v>4018</v>
      </c>
      <c r="G516" s="89" t="s">
        <v>27</v>
      </c>
      <c r="H516" s="89" t="s">
        <v>101</v>
      </c>
      <c r="I516" s="602">
        <v>0.51388888888888895</v>
      </c>
      <c r="J516" s="82">
        <v>936.25</v>
      </c>
      <c r="K516" s="82">
        <v>21.3</v>
      </c>
      <c r="L516" s="82">
        <v>21.924999999999997</v>
      </c>
      <c r="M516" s="82">
        <v>0.61</v>
      </c>
      <c r="N516" s="82">
        <v>14.075000000000001</v>
      </c>
      <c r="O516" s="89" t="s">
        <v>48</v>
      </c>
      <c r="P516" s="89">
        <v>4</v>
      </c>
      <c r="Q516" s="89">
        <v>10</v>
      </c>
      <c r="R516" s="89" t="s">
        <v>64</v>
      </c>
      <c r="S516" s="89" t="s">
        <v>50</v>
      </c>
      <c r="T516" s="89" t="s">
        <v>50</v>
      </c>
      <c r="U516" s="89" t="s">
        <v>50</v>
      </c>
      <c r="V516" s="89" t="s">
        <v>50</v>
      </c>
      <c r="W516" s="89" t="s">
        <v>50</v>
      </c>
      <c r="X516" s="89" t="s">
        <v>50</v>
      </c>
    </row>
    <row r="517" spans="1:25" x14ac:dyDescent="0.25">
      <c r="A517" s="26">
        <v>43732</v>
      </c>
      <c r="B517" s="89" t="s">
        <v>849</v>
      </c>
      <c r="C517" s="89" t="s">
        <v>78</v>
      </c>
      <c r="D517" s="89">
        <v>38.074599999999997</v>
      </c>
      <c r="E517" s="89">
        <v>-122.02086</v>
      </c>
      <c r="F517" s="89" t="s">
        <v>4019</v>
      </c>
      <c r="G517" s="89" t="s">
        <v>27</v>
      </c>
      <c r="H517" s="89" t="s">
        <v>86</v>
      </c>
      <c r="I517" s="602">
        <v>0.4458333333333333</v>
      </c>
      <c r="J517" s="82">
        <v>7452</v>
      </c>
      <c r="K517" s="82">
        <v>21.150000000000002</v>
      </c>
      <c r="L517" s="82">
        <v>18.25</v>
      </c>
      <c r="M517" s="82">
        <v>0.60499999999999998</v>
      </c>
      <c r="N517" s="82">
        <v>7.9749999999999996</v>
      </c>
      <c r="O517" s="89" t="s">
        <v>48</v>
      </c>
      <c r="P517" s="89">
        <v>4</v>
      </c>
      <c r="Q517" s="89">
        <v>10</v>
      </c>
      <c r="R517" s="89" t="s">
        <v>64</v>
      </c>
      <c r="S517" s="89" t="s">
        <v>50</v>
      </c>
      <c r="T517" s="89" t="s">
        <v>50</v>
      </c>
      <c r="U517" s="89" t="s">
        <v>50</v>
      </c>
      <c r="V517" s="89" t="s">
        <v>50</v>
      </c>
      <c r="W517" s="89" t="s">
        <v>50</v>
      </c>
      <c r="X517" s="89" t="s">
        <v>50</v>
      </c>
    </row>
    <row r="518" spans="1:25" x14ac:dyDescent="0.25">
      <c r="A518" s="26">
        <v>43733</v>
      </c>
      <c r="B518" s="89" t="s">
        <v>87</v>
      </c>
      <c r="C518" s="89" t="s">
        <v>126</v>
      </c>
      <c r="D518" s="89">
        <v>38.257390000000001</v>
      </c>
      <c r="E518" s="89">
        <v>-121.73708999999999</v>
      </c>
      <c r="F518" s="89" t="s">
        <v>4020</v>
      </c>
      <c r="G518" s="89" t="s">
        <v>90</v>
      </c>
      <c r="H518" s="89" t="s">
        <v>845</v>
      </c>
      <c r="I518" s="602">
        <v>0.32569444444444445</v>
      </c>
      <c r="J518" s="82">
        <v>214.27499999999998</v>
      </c>
      <c r="K518" s="82">
        <v>20.95</v>
      </c>
      <c r="L518" s="82">
        <v>7.5125000000000002</v>
      </c>
      <c r="M518" s="82">
        <v>1.2075</v>
      </c>
      <c r="N518" s="82">
        <v>3.9750000000000001</v>
      </c>
      <c r="O518" s="89" t="s">
        <v>48</v>
      </c>
      <c r="P518" s="89">
        <v>4</v>
      </c>
      <c r="Q518" s="89">
        <v>10</v>
      </c>
      <c r="R518" s="89" t="s">
        <v>49</v>
      </c>
      <c r="S518" s="89" t="s">
        <v>50</v>
      </c>
      <c r="T518" s="89" t="s">
        <v>50</v>
      </c>
      <c r="U518" s="89" t="s">
        <v>50</v>
      </c>
      <c r="V518" s="89" t="s">
        <v>50</v>
      </c>
      <c r="W518" s="89" t="s">
        <v>50</v>
      </c>
      <c r="X518" s="89" t="s">
        <v>50</v>
      </c>
      <c r="Y518" s="600" t="s">
        <v>3926</v>
      </c>
    </row>
    <row r="519" spans="1:25" x14ac:dyDescent="0.25">
      <c r="A519" s="26">
        <v>43733</v>
      </c>
      <c r="B519" s="89" t="s">
        <v>87</v>
      </c>
      <c r="C519" s="89" t="s">
        <v>126</v>
      </c>
      <c r="D519" s="89">
        <v>38.233449999999998</v>
      </c>
      <c r="E519" s="89">
        <v>-121.67740000000001</v>
      </c>
      <c r="F519" s="89" t="s">
        <v>4021</v>
      </c>
      <c r="G519" s="89" t="s">
        <v>90</v>
      </c>
      <c r="H519" s="89" t="s">
        <v>845</v>
      </c>
      <c r="I519" s="602">
        <v>0.38611111111111113</v>
      </c>
      <c r="J519" s="82">
        <v>206.67499999999998</v>
      </c>
      <c r="K519" s="82">
        <v>20.675000000000001</v>
      </c>
      <c r="L519" s="82">
        <v>7.8850000000000007</v>
      </c>
      <c r="M519" s="82">
        <v>1.405</v>
      </c>
      <c r="N519" s="82">
        <v>11.9</v>
      </c>
      <c r="O519" s="89" t="s">
        <v>48</v>
      </c>
      <c r="P519" s="89">
        <v>4</v>
      </c>
      <c r="Q519" s="89">
        <v>10</v>
      </c>
      <c r="R519" s="89" t="s">
        <v>49</v>
      </c>
      <c r="S519" s="89" t="s">
        <v>50</v>
      </c>
      <c r="T519" s="89" t="s">
        <v>50</v>
      </c>
      <c r="U519" s="89" t="s">
        <v>50</v>
      </c>
      <c r="V519" s="89" t="s">
        <v>50</v>
      </c>
      <c r="W519" s="89" t="s">
        <v>50</v>
      </c>
      <c r="X519" s="89" t="s">
        <v>50</v>
      </c>
    </row>
    <row r="520" spans="1:25" x14ac:dyDescent="0.25">
      <c r="A520" s="26">
        <v>43733</v>
      </c>
      <c r="B520" s="89" t="s">
        <v>87</v>
      </c>
      <c r="C520" s="89" t="s">
        <v>126</v>
      </c>
      <c r="D520" s="89">
        <v>38.286180000000002</v>
      </c>
      <c r="E520" s="89">
        <v>-121.6632</v>
      </c>
      <c r="F520" s="89" t="s">
        <v>4022</v>
      </c>
      <c r="G520" s="89" t="s">
        <v>90</v>
      </c>
      <c r="H520" s="89" t="s">
        <v>845</v>
      </c>
      <c r="I520" s="602">
        <v>0.44930555555555557</v>
      </c>
      <c r="J520" s="82">
        <v>373.92499999999995</v>
      </c>
      <c r="K520" s="82">
        <v>21.650000000000002</v>
      </c>
      <c r="L520" s="82">
        <v>11.847499999999998</v>
      </c>
      <c r="M520" s="82">
        <v>0.84749999999999992</v>
      </c>
      <c r="N520" s="82">
        <v>4.7750000000000004</v>
      </c>
      <c r="O520" s="89" t="s">
        <v>48</v>
      </c>
      <c r="P520" s="89">
        <v>4</v>
      </c>
      <c r="Q520" s="89">
        <v>10</v>
      </c>
      <c r="R520" s="89" t="s">
        <v>49</v>
      </c>
      <c r="S520" s="89" t="s">
        <v>50</v>
      </c>
      <c r="T520" s="89" t="s">
        <v>50</v>
      </c>
      <c r="U520" s="89" t="s">
        <v>50</v>
      </c>
      <c r="V520" s="89" t="s">
        <v>50</v>
      </c>
      <c r="W520" s="89" t="s">
        <v>50</v>
      </c>
      <c r="X520" s="89" t="s">
        <v>50</v>
      </c>
      <c r="Y520" s="600" t="s">
        <v>4023</v>
      </c>
    </row>
    <row r="521" spans="1:25" x14ac:dyDescent="0.25">
      <c r="A521" s="26">
        <v>43733</v>
      </c>
      <c r="B521" s="89" t="s">
        <v>87</v>
      </c>
      <c r="C521" s="89" t="s">
        <v>62</v>
      </c>
      <c r="D521" s="89">
        <v>38.156300000000002</v>
      </c>
      <c r="E521" s="89">
        <v>-122.05163</v>
      </c>
      <c r="F521" s="89" t="s">
        <v>4024</v>
      </c>
      <c r="G521" s="89" t="s">
        <v>27</v>
      </c>
      <c r="H521" s="89" t="s">
        <v>62</v>
      </c>
      <c r="I521" s="602">
        <v>0.3611111111111111</v>
      </c>
      <c r="J521" s="82">
        <v>6867.75</v>
      </c>
      <c r="K521" s="82">
        <v>21.725000000000001</v>
      </c>
      <c r="L521" s="82">
        <v>19.175000000000004</v>
      </c>
      <c r="M521" s="82">
        <v>0.45749999999999996</v>
      </c>
      <c r="N521" s="82">
        <v>6.625</v>
      </c>
      <c r="O521" s="89" t="s">
        <v>48</v>
      </c>
      <c r="P521" s="89">
        <v>4</v>
      </c>
      <c r="Q521" s="89">
        <v>10</v>
      </c>
      <c r="R521" s="89" t="s">
        <v>64</v>
      </c>
      <c r="S521" s="89" t="s">
        <v>50</v>
      </c>
      <c r="T521" s="89" t="s">
        <v>50</v>
      </c>
      <c r="U521" s="89" t="s">
        <v>50</v>
      </c>
      <c r="V521" s="89" t="s">
        <v>50</v>
      </c>
      <c r="W521" s="89" t="s">
        <v>50</v>
      </c>
      <c r="X521" s="89" t="s">
        <v>50</v>
      </c>
    </row>
    <row r="522" spans="1:25" x14ac:dyDescent="0.25">
      <c r="A522" s="26">
        <v>43733</v>
      </c>
      <c r="B522" s="89" t="s">
        <v>87</v>
      </c>
      <c r="C522" s="89" t="s">
        <v>62</v>
      </c>
      <c r="D522" s="89">
        <v>38.170169999999999</v>
      </c>
      <c r="E522" s="89">
        <v>-122.02106999999999</v>
      </c>
      <c r="F522" s="89" t="s">
        <v>4025</v>
      </c>
      <c r="G522" s="89" t="s">
        <v>27</v>
      </c>
      <c r="H522" s="89" t="s">
        <v>62</v>
      </c>
      <c r="I522" s="602">
        <v>0.41388888888888892</v>
      </c>
      <c r="J522" s="82">
        <v>6757.5</v>
      </c>
      <c r="K522" s="82">
        <v>21.824999999999999</v>
      </c>
      <c r="L522" s="82">
        <v>41.625</v>
      </c>
      <c r="M522" s="82">
        <v>0.44750000000000006</v>
      </c>
      <c r="N522" s="82">
        <v>7.8250000000000011</v>
      </c>
      <c r="O522" s="89" t="s">
        <v>48</v>
      </c>
      <c r="P522" s="89">
        <v>4</v>
      </c>
      <c r="Q522" s="89">
        <v>10</v>
      </c>
      <c r="R522" s="89" t="s">
        <v>64</v>
      </c>
      <c r="S522" s="89" t="s">
        <v>50</v>
      </c>
      <c r="T522" s="89" t="s">
        <v>50</v>
      </c>
      <c r="U522" s="89" t="s">
        <v>50</v>
      </c>
      <c r="V522" s="89" t="s">
        <v>50</v>
      </c>
      <c r="W522" s="89" t="s">
        <v>50</v>
      </c>
      <c r="X522" s="89" t="s">
        <v>50</v>
      </c>
    </row>
    <row r="523" spans="1:25" x14ac:dyDescent="0.25">
      <c r="A523" s="26">
        <v>43733</v>
      </c>
      <c r="B523" s="89" t="s">
        <v>87</v>
      </c>
      <c r="C523" s="89" t="s">
        <v>62</v>
      </c>
      <c r="D523" s="89">
        <v>38.178049999999999</v>
      </c>
      <c r="E523" s="89">
        <v>-121.91907</v>
      </c>
      <c r="F523" s="89" t="s">
        <v>4026</v>
      </c>
      <c r="G523" s="89" t="s">
        <v>27</v>
      </c>
      <c r="H523" s="89" t="s">
        <v>62</v>
      </c>
      <c r="I523" s="602">
        <v>0.47638888888888892</v>
      </c>
      <c r="J523" s="82">
        <v>6092.5</v>
      </c>
      <c r="K523" s="82">
        <v>21.924999999999997</v>
      </c>
      <c r="L523" s="82">
        <v>32.150000000000006</v>
      </c>
      <c r="M523" s="82">
        <v>0.39</v>
      </c>
      <c r="N523" s="82">
        <v>6.1749999999999998</v>
      </c>
      <c r="O523" s="89" t="s">
        <v>48</v>
      </c>
      <c r="P523" s="89">
        <v>4</v>
      </c>
      <c r="Q523" s="89">
        <v>10</v>
      </c>
      <c r="R523" s="89" t="s">
        <v>64</v>
      </c>
      <c r="S523" s="89" t="s">
        <v>50</v>
      </c>
      <c r="T523" s="89" t="s">
        <v>50</v>
      </c>
      <c r="U523" s="89" t="s">
        <v>50</v>
      </c>
      <c r="V523" s="89" t="s">
        <v>50</v>
      </c>
      <c r="W523" s="89" t="s">
        <v>50</v>
      </c>
      <c r="X523" s="89" t="s">
        <v>50</v>
      </c>
    </row>
    <row r="524" spans="1:25" x14ac:dyDescent="0.25">
      <c r="A524" s="194">
        <v>43733</v>
      </c>
      <c r="B524" s="98" t="s">
        <v>87</v>
      </c>
      <c r="C524" s="98" t="s">
        <v>95</v>
      </c>
      <c r="D524" s="98">
        <v>38.0974</v>
      </c>
      <c r="E524" s="98">
        <v>-121.62625</v>
      </c>
      <c r="F524" s="98" t="s">
        <v>4027</v>
      </c>
      <c r="G524" s="98" t="s">
        <v>46</v>
      </c>
      <c r="H524" s="98" t="s">
        <v>908</v>
      </c>
      <c r="I524" s="621">
        <v>0.33958333333333335</v>
      </c>
      <c r="J524" s="100">
        <v>140.54999999999998</v>
      </c>
      <c r="K524" s="100">
        <v>20.6</v>
      </c>
      <c r="L524" s="100">
        <v>7.1724999999999994</v>
      </c>
      <c r="M524" s="100">
        <v>1.4125000000000001</v>
      </c>
      <c r="N524" s="100">
        <v>5.85</v>
      </c>
      <c r="O524" s="98" t="s">
        <v>48</v>
      </c>
      <c r="P524" s="98">
        <v>4</v>
      </c>
      <c r="Q524" s="98">
        <v>10</v>
      </c>
      <c r="R524" s="98" t="s">
        <v>49</v>
      </c>
      <c r="S524" s="98" t="s">
        <v>50</v>
      </c>
      <c r="T524" s="98" t="s">
        <v>50</v>
      </c>
      <c r="U524" s="98" t="s">
        <v>50</v>
      </c>
      <c r="V524" s="98" t="s">
        <v>50</v>
      </c>
      <c r="W524" s="98" t="s">
        <v>50</v>
      </c>
      <c r="X524" s="98" t="s">
        <v>50</v>
      </c>
      <c r="Y524" s="622"/>
    </row>
    <row r="525" spans="1:25" x14ac:dyDescent="0.25">
      <c r="A525" s="26">
        <v>43733</v>
      </c>
      <c r="B525" s="89" t="s">
        <v>87</v>
      </c>
      <c r="C525" s="89" t="s">
        <v>95</v>
      </c>
      <c r="D525" s="89">
        <v>38.059869999999997</v>
      </c>
      <c r="E525" s="89">
        <v>-121.6759</v>
      </c>
      <c r="F525" s="89" t="s">
        <v>4028</v>
      </c>
      <c r="G525" s="89" t="s">
        <v>46</v>
      </c>
      <c r="H525" s="89" t="s">
        <v>908</v>
      </c>
      <c r="I525" s="602">
        <v>0.3923611111111111</v>
      </c>
      <c r="J525" s="82">
        <v>166.75</v>
      </c>
      <c r="K525" s="82">
        <v>21.475000000000001</v>
      </c>
      <c r="L525" s="82">
        <v>4.3875000000000002</v>
      </c>
      <c r="M525" s="82">
        <v>1.7449999999999999</v>
      </c>
      <c r="N525" s="82">
        <v>7.875</v>
      </c>
      <c r="O525" s="89" t="s">
        <v>48</v>
      </c>
      <c r="P525" s="89">
        <v>4</v>
      </c>
      <c r="Q525" s="89">
        <v>10</v>
      </c>
      <c r="R525" s="89" t="s">
        <v>49</v>
      </c>
      <c r="S525" s="89" t="s">
        <v>50</v>
      </c>
      <c r="T525" s="89" t="s">
        <v>50</v>
      </c>
      <c r="U525" s="89" t="s">
        <v>50</v>
      </c>
      <c r="V525" s="89" t="s">
        <v>50</v>
      </c>
      <c r="W525" s="89" t="s">
        <v>50</v>
      </c>
      <c r="X525" s="89" t="s">
        <v>50</v>
      </c>
    </row>
    <row r="526" spans="1:25" x14ac:dyDescent="0.25">
      <c r="A526" s="26">
        <v>43733</v>
      </c>
      <c r="B526" s="89" t="s">
        <v>87</v>
      </c>
      <c r="C526" s="89" t="s">
        <v>95</v>
      </c>
      <c r="D526" s="89">
        <v>38.024639999999998</v>
      </c>
      <c r="E526" s="89">
        <v>-121.74648000000001</v>
      </c>
      <c r="F526" s="89" t="s">
        <v>4029</v>
      </c>
      <c r="G526" s="89" t="s">
        <v>27</v>
      </c>
      <c r="H526" s="89" t="s">
        <v>863</v>
      </c>
      <c r="I526" s="602">
        <v>0.4513888888888889</v>
      </c>
      <c r="J526" s="100">
        <v>188.27500000000001</v>
      </c>
      <c r="K526" s="100">
        <v>21.650000000000002</v>
      </c>
      <c r="L526" s="100">
        <v>5.5100000000000007</v>
      </c>
      <c r="M526" s="100">
        <v>1.5349999999999999</v>
      </c>
      <c r="N526" s="100">
        <v>8.5250000000000004</v>
      </c>
      <c r="O526" s="98" t="s">
        <v>48</v>
      </c>
      <c r="P526" s="98">
        <v>4</v>
      </c>
      <c r="Q526" s="98">
        <v>10</v>
      </c>
      <c r="R526" s="89" t="s">
        <v>64</v>
      </c>
      <c r="S526" s="89" t="s">
        <v>50</v>
      </c>
      <c r="T526" s="89" t="s">
        <v>50</v>
      </c>
      <c r="U526" s="89" t="s">
        <v>50</v>
      </c>
      <c r="V526" s="89" t="s">
        <v>50</v>
      </c>
      <c r="W526" s="89" t="s">
        <v>50</v>
      </c>
      <c r="X526" s="89" t="s">
        <v>50</v>
      </c>
    </row>
    <row r="527" spans="1:25" x14ac:dyDescent="0.25">
      <c r="A527" s="26">
        <v>43734</v>
      </c>
      <c r="B527" s="89" t="s">
        <v>876</v>
      </c>
      <c r="C527" s="89" t="s">
        <v>126</v>
      </c>
      <c r="D527" s="89">
        <v>38.234349999999999</v>
      </c>
      <c r="E527" s="89">
        <v>-121.68089999999999</v>
      </c>
      <c r="F527" s="89" t="s">
        <v>4030</v>
      </c>
      <c r="G527" s="89" t="s">
        <v>90</v>
      </c>
      <c r="H527" s="89" t="s">
        <v>845</v>
      </c>
      <c r="I527" s="602">
        <v>0.31944444444444448</v>
      </c>
      <c r="J527" s="82">
        <v>172.27499999999998</v>
      </c>
      <c r="K527" s="82">
        <v>25.225000000000001</v>
      </c>
      <c r="L527" s="82">
        <v>7.67</v>
      </c>
      <c r="M527" s="82">
        <v>1.6025</v>
      </c>
      <c r="N527" s="82">
        <v>12.1</v>
      </c>
      <c r="O527" s="89" t="s">
        <v>48</v>
      </c>
      <c r="P527" s="89">
        <v>4</v>
      </c>
      <c r="Q527" s="89">
        <v>10</v>
      </c>
      <c r="R527" s="89" t="s">
        <v>49</v>
      </c>
      <c r="S527" s="89" t="s">
        <v>50</v>
      </c>
      <c r="T527" s="89" t="s">
        <v>50</v>
      </c>
      <c r="U527" s="89" t="s">
        <v>50</v>
      </c>
      <c r="V527" s="89" t="s">
        <v>50</v>
      </c>
      <c r="W527" s="89" t="s">
        <v>50</v>
      </c>
      <c r="X527" s="89" t="s">
        <v>50</v>
      </c>
      <c r="Y527" s="600" t="s">
        <v>4031</v>
      </c>
    </row>
    <row r="528" spans="1:25" s="150" customFormat="1" x14ac:dyDescent="0.25">
      <c r="A528" s="178">
        <v>43734</v>
      </c>
      <c r="B528" s="150" t="s">
        <v>876</v>
      </c>
      <c r="C528" s="150" t="s">
        <v>126</v>
      </c>
      <c r="D528" s="150">
        <v>38.268129999999999</v>
      </c>
      <c r="E528" s="150">
        <v>-121.70254</v>
      </c>
      <c r="F528" s="150" t="s">
        <v>4032</v>
      </c>
      <c r="G528" s="150" t="s">
        <v>90</v>
      </c>
      <c r="H528" s="150" t="s">
        <v>845</v>
      </c>
      <c r="I528" s="602">
        <v>0.36944444444444446</v>
      </c>
      <c r="J528" s="197" t="s">
        <v>50</v>
      </c>
      <c r="K528" s="197" t="s">
        <v>50</v>
      </c>
      <c r="L528" s="197" t="s">
        <v>50</v>
      </c>
      <c r="M528" s="197" t="s">
        <v>50</v>
      </c>
      <c r="N528" s="197" t="s">
        <v>50</v>
      </c>
      <c r="O528" s="150" t="s">
        <v>48</v>
      </c>
      <c r="P528" s="150">
        <v>0</v>
      </c>
      <c r="Q528" s="150" t="s">
        <v>50</v>
      </c>
      <c r="R528" s="150" t="s">
        <v>50</v>
      </c>
      <c r="S528" s="150" t="s">
        <v>50</v>
      </c>
      <c r="T528" s="150" t="s">
        <v>50</v>
      </c>
      <c r="U528" s="150" t="s">
        <v>50</v>
      </c>
      <c r="V528" s="150" t="s">
        <v>50</v>
      </c>
      <c r="W528" s="150" t="s">
        <v>50</v>
      </c>
      <c r="X528" s="150" t="s">
        <v>50</v>
      </c>
      <c r="Y528" s="604" t="s">
        <v>784</v>
      </c>
    </row>
    <row r="529" spans="1:25" s="150" customFormat="1" x14ac:dyDescent="0.25">
      <c r="A529" s="178">
        <v>43734</v>
      </c>
      <c r="B529" s="150" t="s">
        <v>876</v>
      </c>
      <c r="C529" s="150" t="s">
        <v>126</v>
      </c>
      <c r="D529" s="150">
        <v>38.256880000000002</v>
      </c>
      <c r="E529" s="150">
        <v>-121.73506</v>
      </c>
      <c r="F529" s="150" t="s">
        <v>4033</v>
      </c>
      <c r="G529" s="150" t="s">
        <v>90</v>
      </c>
      <c r="H529" s="150" t="s">
        <v>845</v>
      </c>
      <c r="I529" s="602">
        <v>0.38472222222222219</v>
      </c>
      <c r="J529" s="197">
        <v>216.4</v>
      </c>
      <c r="K529" s="197">
        <v>21.2</v>
      </c>
      <c r="L529" s="197">
        <v>7.47</v>
      </c>
      <c r="M529" s="197">
        <v>1.2</v>
      </c>
      <c r="N529" s="197">
        <v>4.7</v>
      </c>
      <c r="O529" s="150" t="s">
        <v>48</v>
      </c>
      <c r="P529" s="150">
        <v>1</v>
      </c>
      <c r="Q529" s="150">
        <v>10</v>
      </c>
      <c r="R529" s="150" t="s">
        <v>49</v>
      </c>
      <c r="S529" s="150" t="s">
        <v>50</v>
      </c>
      <c r="T529" s="150" t="s">
        <v>50</v>
      </c>
      <c r="U529" s="150" t="s">
        <v>50</v>
      </c>
      <c r="V529" s="150" t="s">
        <v>50</v>
      </c>
      <c r="W529" s="150" t="s">
        <v>50</v>
      </c>
      <c r="X529" s="150" t="s">
        <v>50</v>
      </c>
      <c r="Y529" s="604" t="s">
        <v>4034</v>
      </c>
    </row>
    <row r="530" spans="1:25" x14ac:dyDescent="0.25">
      <c r="A530" s="26">
        <v>43734</v>
      </c>
      <c r="B530" s="89" t="s">
        <v>876</v>
      </c>
      <c r="C530" s="89" t="s">
        <v>126</v>
      </c>
      <c r="D530" s="89">
        <v>38.253889999999998</v>
      </c>
      <c r="E530" s="89">
        <v>-121.68729999999999</v>
      </c>
      <c r="F530" s="89" t="s">
        <v>4035</v>
      </c>
      <c r="G530" s="89" t="s">
        <v>90</v>
      </c>
      <c r="H530" s="89" t="s">
        <v>845</v>
      </c>
      <c r="I530" s="602">
        <v>0.41388888888888892</v>
      </c>
      <c r="J530" s="82">
        <v>199.8</v>
      </c>
      <c r="K530" s="82">
        <v>20.9</v>
      </c>
      <c r="L530" s="82">
        <v>5.0025000000000004</v>
      </c>
      <c r="M530" s="82">
        <v>1.65</v>
      </c>
      <c r="N530" s="82">
        <v>6.6499999999999995</v>
      </c>
      <c r="O530" s="89" t="s">
        <v>48</v>
      </c>
      <c r="P530" s="89">
        <v>4</v>
      </c>
      <c r="Q530" s="89">
        <v>10</v>
      </c>
      <c r="R530" s="89" t="s">
        <v>49</v>
      </c>
      <c r="S530" s="89" t="s">
        <v>50</v>
      </c>
      <c r="T530" s="89" t="s">
        <v>50</v>
      </c>
      <c r="U530" s="89" t="s">
        <v>50</v>
      </c>
      <c r="V530" s="89" t="s">
        <v>50</v>
      </c>
      <c r="W530" s="89" t="s">
        <v>50</v>
      </c>
      <c r="X530" s="89" t="s">
        <v>50</v>
      </c>
    </row>
    <row r="531" spans="1:25" x14ac:dyDescent="0.25">
      <c r="A531" s="26">
        <v>43734</v>
      </c>
      <c r="B531" s="89" t="s">
        <v>876</v>
      </c>
      <c r="C531" s="89" t="s">
        <v>126</v>
      </c>
      <c r="D531" s="89">
        <v>38.307540000000003</v>
      </c>
      <c r="E531" s="89">
        <v>-121.66719000000001</v>
      </c>
      <c r="F531" s="89" t="s">
        <v>4036</v>
      </c>
      <c r="G531" s="89" t="s">
        <v>90</v>
      </c>
      <c r="H531" s="89" t="s">
        <v>845</v>
      </c>
      <c r="I531" s="602">
        <v>0.47083333333333338</v>
      </c>
      <c r="J531" s="82">
        <v>370.77500000000003</v>
      </c>
      <c r="K531" s="82">
        <v>21.625</v>
      </c>
      <c r="L531" s="82">
        <v>8.2974999999999994</v>
      </c>
      <c r="M531" s="82">
        <v>1.0250000000000001</v>
      </c>
      <c r="N531" s="82">
        <v>5.9249999999999998</v>
      </c>
      <c r="O531" s="89" t="s">
        <v>48</v>
      </c>
      <c r="P531" s="89">
        <v>4</v>
      </c>
      <c r="Q531" s="89">
        <v>10</v>
      </c>
      <c r="R531" s="89" t="s">
        <v>64</v>
      </c>
      <c r="S531" s="89" t="s">
        <v>50</v>
      </c>
      <c r="T531" s="89" t="s">
        <v>50</v>
      </c>
      <c r="U531" s="89" t="s">
        <v>50</v>
      </c>
      <c r="V531" s="89" t="s">
        <v>50</v>
      </c>
      <c r="W531" s="89" t="s">
        <v>50</v>
      </c>
      <c r="X531" s="89" t="s">
        <v>50</v>
      </c>
    </row>
    <row r="532" spans="1:25" x14ac:dyDescent="0.25">
      <c r="A532" s="26">
        <v>43734</v>
      </c>
      <c r="B532" s="89" t="s">
        <v>876</v>
      </c>
      <c r="C532" s="89" t="s">
        <v>78</v>
      </c>
      <c r="D532" s="89">
        <v>38.05639</v>
      </c>
      <c r="E532" s="89">
        <v>-121.87159</v>
      </c>
      <c r="F532" s="89" t="s">
        <v>4037</v>
      </c>
      <c r="G532" s="89" t="s">
        <v>27</v>
      </c>
      <c r="H532" s="89" t="s">
        <v>101</v>
      </c>
      <c r="I532" s="602">
        <v>0.52152777777777781</v>
      </c>
      <c r="J532" s="82">
        <v>2275</v>
      </c>
      <c r="K532" s="82">
        <v>21.4</v>
      </c>
      <c r="L532" s="82">
        <v>100.625</v>
      </c>
      <c r="M532" s="82">
        <v>0.43999999999999995</v>
      </c>
      <c r="N532" s="82">
        <v>15</v>
      </c>
      <c r="O532" s="89" t="s">
        <v>48</v>
      </c>
      <c r="P532" s="89">
        <v>4</v>
      </c>
      <c r="Q532" s="89">
        <v>10</v>
      </c>
      <c r="R532" s="89" t="s">
        <v>64</v>
      </c>
      <c r="S532" s="89" t="s">
        <v>50</v>
      </c>
      <c r="T532" s="89" t="s">
        <v>50</v>
      </c>
      <c r="U532" s="89" t="s">
        <v>50</v>
      </c>
      <c r="V532" s="89" t="s">
        <v>50</v>
      </c>
      <c r="W532" s="89" t="s">
        <v>50</v>
      </c>
      <c r="X532" s="89" t="s">
        <v>50</v>
      </c>
    </row>
    <row r="533" spans="1:25" x14ac:dyDescent="0.25">
      <c r="A533" s="26">
        <v>43734</v>
      </c>
      <c r="B533" s="89" t="s">
        <v>876</v>
      </c>
      <c r="C533" s="89" t="s">
        <v>78</v>
      </c>
      <c r="D533" s="89">
        <v>38.075290000000003</v>
      </c>
      <c r="E533" s="89">
        <v>-121.94674999999999</v>
      </c>
      <c r="F533" s="89" t="s">
        <v>4038</v>
      </c>
      <c r="G533" s="89" t="s">
        <v>27</v>
      </c>
      <c r="H533" s="89" t="s">
        <v>170</v>
      </c>
      <c r="I533" s="602">
        <v>0.34097222222222223</v>
      </c>
      <c r="J533" s="82">
        <v>5291</v>
      </c>
      <c r="K533" s="82">
        <v>21.125</v>
      </c>
      <c r="L533" s="82">
        <v>137.97499999999999</v>
      </c>
      <c r="M533" s="82">
        <v>0.20750000000000002</v>
      </c>
      <c r="N533" s="82">
        <v>2.65</v>
      </c>
      <c r="O533" s="89" t="s">
        <v>48</v>
      </c>
      <c r="P533" s="89">
        <v>4</v>
      </c>
      <c r="Q533" s="89">
        <v>10</v>
      </c>
      <c r="R533" s="89" t="s">
        <v>49</v>
      </c>
      <c r="S533" s="89" t="s">
        <v>50</v>
      </c>
      <c r="T533" s="89" t="s">
        <v>50</v>
      </c>
      <c r="U533" s="89" t="s">
        <v>50</v>
      </c>
      <c r="V533" s="89" t="s">
        <v>50</v>
      </c>
      <c r="W533" s="89" t="s">
        <v>50</v>
      </c>
      <c r="X533" s="89" t="s">
        <v>50</v>
      </c>
      <c r="Y533" s="600" t="s">
        <v>4039</v>
      </c>
    </row>
    <row r="534" spans="1:25" x14ac:dyDescent="0.25">
      <c r="A534" s="26">
        <v>43734</v>
      </c>
      <c r="B534" s="89" t="s">
        <v>876</v>
      </c>
      <c r="C534" s="89" t="s">
        <v>78</v>
      </c>
      <c r="D534" s="89">
        <v>38.091920000000002</v>
      </c>
      <c r="E534" s="89">
        <v>-122.05557</v>
      </c>
      <c r="F534" s="89" t="s">
        <v>4040</v>
      </c>
      <c r="G534" s="89" t="s">
        <v>27</v>
      </c>
      <c r="H534" s="89" t="s">
        <v>86</v>
      </c>
      <c r="I534" s="602">
        <v>0.44166666666666665</v>
      </c>
      <c r="J534" s="82">
        <v>10702.25</v>
      </c>
      <c r="K534" s="82">
        <v>21.5</v>
      </c>
      <c r="L534" s="82">
        <v>101.52500000000001</v>
      </c>
      <c r="M534" s="82">
        <v>0.315</v>
      </c>
      <c r="N534" s="82">
        <v>3.75</v>
      </c>
      <c r="O534" s="89" t="s">
        <v>48</v>
      </c>
      <c r="P534" s="89">
        <v>4</v>
      </c>
      <c r="Q534" s="89">
        <v>10</v>
      </c>
      <c r="R534" s="89" t="s">
        <v>64</v>
      </c>
      <c r="S534" s="89" t="s">
        <v>50</v>
      </c>
      <c r="T534" s="89" t="s">
        <v>50</v>
      </c>
      <c r="U534" s="89" t="s">
        <v>50</v>
      </c>
      <c r="V534" s="89" t="s">
        <v>50</v>
      </c>
      <c r="W534" s="89" t="s">
        <v>50</v>
      </c>
      <c r="X534" s="89" t="s">
        <v>50</v>
      </c>
    </row>
    <row r="535" spans="1:25" x14ac:dyDescent="0.25">
      <c r="A535" s="26">
        <v>43734</v>
      </c>
      <c r="B535" s="89" t="s">
        <v>876</v>
      </c>
      <c r="C535" s="89" t="s">
        <v>62</v>
      </c>
      <c r="D535" s="89">
        <v>38.182699999999997</v>
      </c>
      <c r="E535" s="89">
        <v>-121.92583</v>
      </c>
      <c r="F535" s="89" t="s">
        <v>4041</v>
      </c>
      <c r="G535" s="89" t="s">
        <v>27</v>
      </c>
      <c r="H535" s="89" t="s">
        <v>62</v>
      </c>
      <c r="I535" s="602">
        <v>0.35625000000000001</v>
      </c>
      <c r="J535" s="82">
        <v>6162.5</v>
      </c>
      <c r="K535" s="82">
        <v>22.049999999999997</v>
      </c>
      <c r="L535" s="82">
        <v>34.674999999999997</v>
      </c>
      <c r="M535" s="82">
        <v>0.3075</v>
      </c>
      <c r="N535" s="82">
        <v>4.1000000000000005</v>
      </c>
      <c r="O535" s="89" t="s">
        <v>48</v>
      </c>
      <c r="P535" s="89">
        <v>4</v>
      </c>
      <c r="Q535" s="89">
        <v>10</v>
      </c>
      <c r="R535" s="89" t="s">
        <v>64</v>
      </c>
      <c r="S535" s="89" t="s">
        <v>50</v>
      </c>
      <c r="T535" s="89" t="s">
        <v>50</v>
      </c>
      <c r="U535" s="89" t="s">
        <v>50</v>
      </c>
      <c r="V535" s="89" t="s">
        <v>50</v>
      </c>
      <c r="W535" s="89" t="s">
        <v>50</v>
      </c>
      <c r="X535" s="89" t="s">
        <v>50</v>
      </c>
      <c r="Y535" s="600" t="s">
        <v>4042</v>
      </c>
    </row>
    <row r="536" spans="1:25" x14ac:dyDescent="0.25">
      <c r="A536" s="26">
        <v>43734</v>
      </c>
      <c r="B536" s="89" t="s">
        <v>876</v>
      </c>
      <c r="C536" s="89" t="s">
        <v>62</v>
      </c>
      <c r="D536" s="89">
        <v>38.16789</v>
      </c>
      <c r="E536" s="89">
        <v>-122.06761</v>
      </c>
      <c r="F536" s="89" t="s">
        <v>4043</v>
      </c>
      <c r="G536" s="89" t="s">
        <v>27</v>
      </c>
      <c r="H536" s="89" t="s">
        <v>62</v>
      </c>
      <c r="I536" s="602">
        <v>0.44375000000000003</v>
      </c>
      <c r="J536" s="82">
        <v>7408</v>
      </c>
      <c r="K536" s="82">
        <v>21.874999999999996</v>
      </c>
      <c r="L536" s="82">
        <v>83.724999999999994</v>
      </c>
      <c r="M536" s="82">
        <v>0.2225</v>
      </c>
      <c r="N536" s="82">
        <v>6.4999999999999991</v>
      </c>
      <c r="O536" s="89" t="s">
        <v>48</v>
      </c>
      <c r="P536" s="89">
        <v>4</v>
      </c>
      <c r="Q536" s="89">
        <v>10</v>
      </c>
      <c r="R536" s="89" t="s">
        <v>64</v>
      </c>
      <c r="S536" s="89" t="s">
        <v>50</v>
      </c>
      <c r="T536" s="89" t="s">
        <v>50</v>
      </c>
      <c r="U536" s="89" t="s">
        <v>50</v>
      </c>
      <c r="V536" s="89" t="s">
        <v>50</v>
      </c>
      <c r="W536" s="89" t="s">
        <v>50</v>
      </c>
      <c r="X536" s="89" t="s">
        <v>50</v>
      </c>
    </row>
    <row r="537" spans="1:25" s="351" customFormat="1" x14ac:dyDescent="0.25">
      <c r="A537" s="350">
        <v>43734</v>
      </c>
      <c r="B537" s="351" t="s">
        <v>876</v>
      </c>
      <c r="C537" s="351" t="s">
        <v>62</v>
      </c>
      <c r="D537" s="351">
        <v>38.109090000000002</v>
      </c>
      <c r="E537" s="351">
        <v>-122.05244</v>
      </c>
      <c r="F537" s="351" t="s">
        <v>4044</v>
      </c>
      <c r="G537" s="351" t="s">
        <v>27</v>
      </c>
      <c r="H537" s="351" t="s">
        <v>173</v>
      </c>
      <c r="I537" s="616">
        <v>0.51041666666666663</v>
      </c>
      <c r="J537" s="368">
        <v>13145</v>
      </c>
      <c r="K537" s="368">
        <v>21.5</v>
      </c>
      <c r="L537" s="368">
        <v>82.2</v>
      </c>
      <c r="M537" s="368">
        <v>0.23</v>
      </c>
      <c r="N537" s="368">
        <v>3.3</v>
      </c>
      <c r="O537" s="351" t="s">
        <v>48</v>
      </c>
      <c r="P537" s="351">
        <v>1</v>
      </c>
      <c r="Q537" s="351">
        <v>4.5</v>
      </c>
      <c r="R537" s="351" t="s">
        <v>64</v>
      </c>
      <c r="S537" s="351" t="s">
        <v>50</v>
      </c>
      <c r="T537" s="351" t="s">
        <v>50</v>
      </c>
      <c r="U537" s="351" t="s">
        <v>50</v>
      </c>
      <c r="V537" s="351" t="s">
        <v>50</v>
      </c>
      <c r="W537" s="351" t="s">
        <v>50</v>
      </c>
      <c r="X537" s="351" t="s">
        <v>50</v>
      </c>
      <c r="Y537" s="626" t="s">
        <v>4045</v>
      </c>
    </row>
    <row r="538" spans="1:25" x14ac:dyDescent="0.25">
      <c r="A538" s="26">
        <v>43738</v>
      </c>
      <c r="B538" s="89" t="s">
        <v>43</v>
      </c>
      <c r="C538" s="89" t="s">
        <v>106</v>
      </c>
      <c r="D538" s="89">
        <v>38.475160000000002</v>
      </c>
      <c r="E538" s="89">
        <v>-121.58450999999999</v>
      </c>
      <c r="F538" s="89" t="s">
        <v>4046</v>
      </c>
      <c r="G538" s="89" t="s">
        <v>90</v>
      </c>
      <c r="H538" s="89" t="s">
        <v>1787</v>
      </c>
      <c r="I538" s="602">
        <v>0.35138888888888892</v>
      </c>
      <c r="J538" s="82">
        <v>716.75</v>
      </c>
      <c r="K538" s="82">
        <v>20.78</v>
      </c>
      <c r="L538" s="82">
        <v>38.299999999999997</v>
      </c>
      <c r="M538" s="82">
        <v>0.35</v>
      </c>
      <c r="N538" s="82">
        <v>11.05</v>
      </c>
      <c r="O538" s="89" t="s">
        <v>48</v>
      </c>
      <c r="P538" s="89">
        <v>4</v>
      </c>
      <c r="Q538" s="89">
        <v>10</v>
      </c>
      <c r="R538" s="89" t="s">
        <v>64</v>
      </c>
      <c r="S538" s="89" t="s">
        <v>50</v>
      </c>
      <c r="T538" s="89" t="s">
        <v>50</v>
      </c>
      <c r="U538" s="89" t="s">
        <v>50</v>
      </c>
      <c r="V538" s="89" t="s">
        <v>50</v>
      </c>
      <c r="W538" s="89" t="s">
        <v>50</v>
      </c>
      <c r="X538" s="89" t="s">
        <v>50</v>
      </c>
      <c r="Y538" s="600" t="s">
        <v>4047</v>
      </c>
    </row>
    <row r="539" spans="1:25" x14ac:dyDescent="0.25">
      <c r="A539" s="26">
        <v>43738</v>
      </c>
      <c r="B539" s="89" t="s">
        <v>43</v>
      </c>
      <c r="C539" s="89" t="s">
        <v>106</v>
      </c>
      <c r="D539" s="89">
        <v>38.374220000000001</v>
      </c>
      <c r="E539" s="89">
        <v>-121.629301</v>
      </c>
      <c r="F539" s="89" t="s">
        <v>4048</v>
      </c>
      <c r="G539" s="89" t="s">
        <v>90</v>
      </c>
      <c r="H539" s="89" t="s">
        <v>362</v>
      </c>
      <c r="I539" s="602">
        <v>0.43124999999999997</v>
      </c>
      <c r="J539" s="82">
        <v>450.53</v>
      </c>
      <c r="K539" s="82">
        <v>20.3</v>
      </c>
      <c r="L539" s="82">
        <v>82.05</v>
      </c>
      <c r="M539" s="82">
        <v>0.22</v>
      </c>
      <c r="N539" s="82">
        <v>9.4499999999999993</v>
      </c>
      <c r="O539" s="89" t="s">
        <v>48</v>
      </c>
      <c r="P539" s="89">
        <v>4</v>
      </c>
      <c r="Q539" s="89">
        <v>10</v>
      </c>
      <c r="R539" s="89" t="s">
        <v>49</v>
      </c>
      <c r="S539" s="89" t="s">
        <v>50</v>
      </c>
      <c r="T539" s="89" t="s">
        <v>50</v>
      </c>
      <c r="U539" s="89" t="s">
        <v>50</v>
      </c>
      <c r="V539" s="89" t="s">
        <v>50</v>
      </c>
      <c r="W539" s="89" t="s">
        <v>50</v>
      </c>
      <c r="X539" s="89" t="s">
        <v>50</v>
      </c>
      <c r="Y539" s="600" t="s">
        <v>4049</v>
      </c>
    </row>
    <row r="540" spans="1:25" x14ac:dyDescent="0.25">
      <c r="A540" s="26">
        <v>43738</v>
      </c>
      <c r="B540" s="89" t="s">
        <v>43</v>
      </c>
      <c r="C540" s="89" t="s">
        <v>106</v>
      </c>
      <c r="D540" s="89">
        <v>38.118009999999998</v>
      </c>
      <c r="E540" s="89">
        <v>-121.6598</v>
      </c>
      <c r="F540" s="89" t="s">
        <v>4050</v>
      </c>
      <c r="G540" s="89" t="s">
        <v>90</v>
      </c>
      <c r="H540" s="89" t="s">
        <v>362</v>
      </c>
      <c r="I540" s="602">
        <v>0.5131944444444444</v>
      </c>
      <c r="J540" s="82">
        <v>151.63</v>
      </c>
      <c r="K540" s="82">
        <v>18.43</v>
      </c>
      <c r="L540" s="82">
        <v>11.66</v>
      </c>
      <c r="M540" s="82">
        <v>1.37</v>
      </c>
      <c r="N540" s="82">
        <v>16.8</v>
      </c>
      <c r="O540" s="89" t="s">
        <v>48</v>
      </c>
      <c r="P540" s="89">
        <v>4</v>
      </c>
      <c r="Q540" s="89">
        <v>10</v>
      </c>
      <c r="R540" s="89" t="s">
        <v>49</v>
      </c>
      <c r="S540" s="89" t="s">
        <v>50</v>
      </c>
      <c r="T540" s="89" t="s">
        <v>50</v>
      </c>
      <c r="U540" s="89" t="s">
        <v>50</v>
      </c>
      <c r="V540" s="89" t="s">
        <v>50</v>
      </c>
      <c r="W540" s="89" t="s">
        <v>50</v>
      </c>
      <c r="X540" s="89" t="s">
        <v>50</v>
      </c>
    </row>
    <row r="541" spans="1:25" x14ac:dyDescent="0.25">
      <c r="A541" s="26">
        <v>43738</v>
      </c>
      <c r="B541" s="89" t="s">
        <v>43</v>
      </c>
      <c r="C541" s="89" t="s">
        <v>78</v>
      </c>
      <c r="D541" s="89">
        <v>38.096629999999998</v>
      </c>
      <c r="E541" s="89">
        <v>-122.04624</v>
      </c>
      <c r="F541" s="89" t="s">
        <v>4051</v>
      </c>
      <c r="G541" s="89" t="s">
        <v>27</v>
      </c>
      <c r="H541" s="89" t="s">
        <v>86</v>
      </c>
      <c r="I541" s="602">
        <v>0.35625000000000001</v>
      </c>
      <c r="J541" s="82">
        <v>11990.75</v>
      </c>
      <c r="K541" s="82">
        <v>18.98</v>
      </c>
      <c r="L541" s="82">
        <v>42.8</v>
      </c>
      <c r="M541" s="82">
        <v>0.3</v>
      </c>
      <c r="N541" s="82">
        <v>4.78</v>
      </c>
      <c r="O541" s="89" t="s">
        <v>48</v>
      </c>
      <c r="P541" s="89">
        <v>4</v>
      </c>
      <c r="Q541" s="89">
        <v>10</v>
      </c>
      <c r="R541" s="89" t="s">
        <v>49</v>
      </c>
      <c r="S541" s="89" t="s">
        <v>50</v>
      </c>
      <c r="T541" s="89" t="s">
        <v>50</v>
      </c>
      <c r="U541" s="89" t="s">
        <v>50</v>
      </c>
      <c r="V541" s="89" t="s">
        <v>50</v>
      </c>
      <c r="W541" s="89" t="s">
        <v>50</v>
      </c>
      <c r="X541" s="89" t="s">
        <v>50</v>
      </c>
    </row>
    <row r="542" spans="1:25" x14ac:dyDescent="0.25">
      <c r="A542" s="26">
        <v>43738</v>
      </c>
      <c r="B542" s="89" t="s">
        <v>43</v>
      </c>
      <c r="C542" s="98" t="s">
        <v>78</v>
      </c>
      <c r="D542" s="98">
        <v>38.042400000000001</v>
      </c>
      <c r="E542" s="98">
        <v>-121.91124000000001</v>
      </c>
      <c r="F542" s="98" t="s">
        <v>4052</v>
      </c>
      <c r="G542" s="98" t="s">
        <v>27</v>
      </c>
      <c r="H542" s="98" t="s">
        <v>101</v>
      </c>
      <c r="I542" s="602">
        <v>0.4236111111111111</v>
      </c>
      <c r="J542" s="100">
        <v>1628.75</v>
      </c>
      <c r="K542" s="100">
        <v>19.53</v>
      </c>
      <c r="L542" s="100">
        <v>44.88</v>
      </c>
      <c r="M542" s="100">
        <v>0.44</v>
      </c>
      <c r="N542" s="100">
        <v>16.399999999999999</v>
      </c>
      <c r="O542" s="98" t="s">
        <v>48</v>
      </c>
      <c r="P542" s="98">
        <v>4</v>
      </c>
      <c r="Q542" s="98">
        <v>10</v>
      </c>
      <c r="R542" s="89" t="s">
        <v>49</v>
      </c>
      <c r="S542" s="89" t="s">
        <v>50</v>
      </c>
      <c r="T542" s="89" t="s">
        <v>50</v>
      </c>
      <c r="U542" s="89" t="s">
        <v>50</v>
      </c>
      <c r="V542" s="89" t="s">
        <v>50</v>
      </c>
      <c r="W542" s="89" t="s">
        <v>50</v>
      </c>
      <c r="X542" s="89" t="s">
        <v>50</v>
      </c>
    </row>
    <row r="543" spans="1:25" x14ac:dyDescent="0.25">
      <c r="A543" s="26">
        <v>43738</v>
      </c>
      <c r="B543" s="89" t="s">
        <v>43</v>
      </c>
      <c r="C543" s="89" t="s">
        <v>78</v>
      </c>
      <c r="D543" s="89">
        <v>38.059069999999998</v>
      </c>
      <c r="E543" s="89">
        <v>-121.84417999999999</v>
      </c>
      <c r="F543" s="89" t="s">
        <v>4053</v>
      </c>
      <c r="G543" s="89" t="s">
        <v>27</v>
      </c>
      <c r="H543" s="89" t="s">
        <v>101</v>
      </c>
      <c r="I543" s="602">
        <v>0.4826388888888889</v>
      </c>
      <c r="J543" s="82">
        <v>940.75</v>
      </c>
      <c r="K543" s="82">
        <v>19.78</v>
      </c>
      <c r="L543" s="82">
        <v>39.630000000000003</v>
      </c>
      <c r="M543" s="82">
        <v>0.52</v>
      </c>
      <c r="N543" s="82">
        <v>4.4800000000000004</v>
      </c>
      <c r="O543" s="89" t="s">
        <v>48</v>
      </c>
      <c r="P543" s="89">
        <v>4</v>
      </c>
      <c r="Q543" s="89">
        <v>10</v>
      </c>
      <c r="R543" s="89" t="s">
        <v>49</v>
      </c>
      <c r="S543" s="89" t="s">
        <v>50</v>
      </c>
      <c r="T543" s="89" t="s">
        <v>50</v>
      </c>
      <c r="U543" s="89" t="s">
        <v>50</v>
      </c>
      <c r="V543" s="89" t="s">
        <v>50</v>
      </c>
      <c r="W543" s="89" t="s">
        <v>50</v>
      </c>
      <c r="X543" s="89" t="s">
        <v>50</v>
      </c>
    </row>
    <row r="544" spans="1:25" x14ac:dyDescent="0.25">
      <c r="A544" s="26">
        <v>43738</v>
      </c>
      <c r="B544" s="89" t="s">
        <v>43</v>
      </c>
      <c r="C544" s="89" t="s">
        <v>62</v>
      </c>
      <c r="D544" s="89">
        <v>38.126750000000001</v>
      </c>
      <c r="E544" s="89">
        <v>-122.05838</v>
      </c>
      <c r="F544" s="89" t="s">
        <v>4054</v>
      </c>
      <c r="G544" s="89" t="s">
        <v>27</v>
      </c>
      <c r="H544" s="89" t="s">
        <v>62</v>
      </c>
      <c r="I544" s="602">
        <v>0.35555555555555557</v>
      </c>
      <c r="J544" s="82">
        <v>9412.25</v>
      </c>
      <c r="K544" s="82">
        <v>18.68</v>
      </c>
      <c r="L544" s="82">
        <v>86.2</v>
      </c>
      <c r="M544" s="82">
        <v>0.26</v>
      </c>
      <c r="N544" s="82">
        <v>4.1500000000000004</v>
      </c>
      <c r="O544" s="89" t="s">
        <v>48</v>
      </c>
      <c r="P544" s="89">
        <v>4</v>
      </c>
      <c r="Q544" s="89">
        <v>10</v>
      </c>
      <c r="R544" s="89" t="s">
        <v>49</v>
      </c>
      <c r="S544" s="89" t="s">
        <v>50</v>
      </c>
      <c r="T544" s="89" t="s">
        <v>50</v>
      </c>
      <c r="U544" s="89" t="s">
        <v>50</v>
      </c>
      <c r="V544" s="89" t="s">
        <v>50</v>
      </c>
      <c r="W544" s="89" t="s">
        <v>50</v>
      </c>
      <c r="X544" s="89" t="s">
        <v>50</v>
      </c>
      <c r="Y544" s="600" t="s">
        <v>3404</v>
      </c>
    </row>
    <row r="545" spans="1:25" x14ac:dyDescent="0.25">
      <c r="A545" s="26">
        <v>43738</v>
      </c>
      <c r="B545" s="89" t="s">
        <v>43</v>
      </c>
      <c r="C545" s="89" t="s">
        <v>62</v>
      </c>
      <c r="D545" s="89">
        <v>38.179369999999999</v>
      </c>
      <c r="E545" s="89">
        <v>-122.00233</v>
      </c>
      <c r="F545" s="89" t="s">
        <v>4055</v>
      </c>
      <c r="G545" s="89" t="s">
        <v>27</v>
      </c>
      <c r="H545" s="89" t="s">
        <v>62</v>
      </c>
      <c r="I545" s="602">
        <v>0.41736111111111113</v>
      </c>
      <c r="J545" s="82">
        <v>6880.75</v>
      </c>
      <c r="K545" s="82">
        <v>19.5</v>
      </c>
      <c r="L545" s="82">
        <v>70.63</v>
      </c>
      <c r="M545" s="82">
        <v>0.27</v>
      </c>
      <c r="N545" s="82">
        <v>6.98</v>
      </c>
      <c r="O545" s="89" t="s">
        <v>48</v>
      </c>
      <c r="P545" s="89">
        <v>4</v>
      </c>
      <c r="Q545" s="89">
        <v>10</v>
      </c>
      <c r="R545" s="89" t="s">
        <v>49</v>
      </c>
      <c r="S545" s="89" t="s">
        <v>50</v>
      </c>
      <c r="T545" s="89" t="s">
        <v>50</v>
      </c>
      <c r="U545" s="89" t="s">
        <v>50</v>
      </c>
      <c r="V545" s="89" t="s">
        <v>50</v>
      </c>
      <c r="W545" s="89" t="s">
        <v>50</v>
      </c>
      <c r="X545" s="89" t="s">
        <v>50</v>
      </c>
    </row>
    <row r="546" spans="1:25" x14ac:dyDescent="0.25">
      <c r="A546" s="26">
        <v>43738</v>
      </c>
      <c r="B546" s="89" t="s">
        <v>43</v>
      </c>
      <c r="C546" s="89" t="s">
        <v>62</v>
      </c>
      <c r="D546" s="89">
        <v>38.180799999999998</v>
      </c>
      <c r="E546" s="89">
        <v>-121.96337</v>
      </c>
      <c r="F546" s="89" t="s">
        <v>4056</v>
      </c>
      <c r="G546" s="89" t="s">
        <v>27</v>
      </c>
      <c r="H546" s="89" t="s">
        <v>62</v>
      </c>
      <c r="I546" s="602">
        <v>0.47361111111111115</v>
      </c>
      <c r="J546" s="82">
        <v>6427.75</v>
      </c>
      <c r="K546" s="82">
        <v>19.079999999999998</v>
      </c>
      <c r="L546" s="82">
        <v>50.4</v>
      </c>
      <c r="M546" s="82">
        <v>0.28000000000000003</v>
      </c>
      <c r="N546" s="82">
        <v>10.45</v>
      </c>
      <c r="O546" s="89" t="s">
        <v>48</v>
      </c>
      <c r="P546" s="89">
        <v>4</v>
      </c>
      <c r="Q546" s="89">
        <v>10</v>
      </c>
      <c r="R546" s="89" t="s">
        <v>64</v>
      </c>
      <c r="S546" s="89" t="s">
        <v>50</v>
      </c>
      <c r="T546" s="89" t="s">
        <v>50</v>
      </c>
      <c r="U546" s="89" t="s">
        <v>50</v>
      </c>
      <c r="V546" s="89" t="s">
        <v>50</v>
      </c>
      <c r="W546" s="89" t="s">
        <v>50</v>
      </c>
      <c r="X546" s="89" t="s">
        <v>50</v>
      </c>
      <c r="Y546" s="600" t="s">
        <v>3404</v>
      </c>
    </row>
    <row r="547" spans="1:25" x14ac:dyDescent="0.25">
      <c r="A547" s="26">
        <v>43739</v>
      </c>
      <c r="B547" s="89" t="s">
        <v>849</v>
      </c>
      <c r="C547" s="89" t="s">
        <v>106</v>
      </c>
      <c r="D547" s="89">
        <v>38.561529999999998</v>
      </c>
      <c r="E547" s="89">
        <v>-121.55095</v>
      </c>
      <c r="F547" s="89" t="s">
        <v>4057</v>
      </c>
      <c r="G547" s="89" t="s">
        <v>90</v>
      </c>
      <c r="H547" s="89" t="s">
        <v>1787</v>
      </c>
      <c r="I547" s="602">
        <v>0.34861111111111115</v>
      </c>
      <c r="J547" s="82">
        <v>1027.25</v>
      </c>
      <c r="K547" s="82">
        <v>21.45</v>
      </c>
      <c r="L547" s="82">
        <v>6.68</v>
      </c>
      <c r="M547" s="82">
        <v>1.22</v>
      </c>
      <c r="N547" s="82">
        <v>11.85</v>
      </c>
      <c r="O547" s="89" t="s">
        <v>48</v>
      </c>
      <c r="P547" s="89">
        <v>4</v>
      </c>
      <c r="Q547" s="89">
        <v>10</v>
      </c>
      <c r="R547" s="89" t="s">
        <v>64</v>
      </c>
      <c r="S547" s="89" t="s">
        <v>50</v>
      </c>
      <c r="T547" s="89" t="s">
        <v>50</v>
      </c>
      <c r="U547" s="89" t="s">
        <v>50</v>
      </c>
      <c r="V547" s="89" t="s">
        <v>50</v>
      </c>
      <c r="W547" s="89" t="s">
        <v>50</v>
      </c>
      <c r="X547" s="89" t="s">
        <v>50</v>
      </c>
    </row>
    <row r="548" spans="1:25" x14ac:dyDescent="0.25">
      <c r="A548" s="26">
        <v>43739</v>
      </c>
      <c r="B548" s="89" t="s">
        <v>849</v>
      </c>
      <c r="C548" s="89" t="s">
        <v>106</v>
      </c>
      <c r="D548" s="89">
        <v>38.49418</v>
      </c>
      <c r="E548" s="89">
        <v>-121.58452</v>
      </c>
      <c r="F548" s="89" t="s">
        <v>4058</v>
      </c>
      <c r="G548" s="89" t="s">
        <v>90</v>
      </c>
      <c r="H548" s="89" t="s">
        <v>1787</v>
      </c>
      <c r="I548" s="602">
        <v>0.40833333333333338</v>
      </c>
      <c r="J548" s="82">
        <v>865.25</v>
      </c>
      <c r="K548" s="82">
        <v>20.85</v>
      </c>
      <c r="L548" s="82">
        <v>26.5</v>
      </c>
      <c r="M548" s="82">
        <v>0.42</v>
      </c>
      <c r="N548" s="82">
        <v>10.45</v>
      </c>
      <c r="O548" s="89" t="s">
        <v>48</v>
      </c>
      <c r="P548" s="89">
        <v>4</v>
      </c>
      <c r="Q548" s="89">
        <v>10</v>
      </c>
      <c r="R548" s="89" t="s">
        <v>49</v>
      </c>
      <c r="S548" s="89" t="s">
        <v>50</v>
      </c>
      <c r="T548" s="89" t="s">
        <v>50</v>
      </c>
      <c r="U548" s="89" t="s">
        <v>50</v>
      </c>
      <c r="V548" s="89" t="s">
        <v>50</v>
      </c>
      <c r="W548" s="89" t="s">
        <v>50</v>
      </c>
      <c r="X548" s="89" t="s">
        <v>50</v>
      </c>
    </row>
    <row r="549" spans="1:25" x14ac:dyDescent="0.25">
      <c r="A549" s="26">
        <v>43739</v>
      </c>
      <c r="B549" s="89" t="s">
        <v>849</v>
      </c>
      <c r="C549" s="89" t="s">
        <v>106</v>
      </c>
      <c r="D549" s="89">
        <v>38.219090000000001</v>
      </c>
      <c r="E549" s="89">
        <v>-121.67167999999999</v>
      </c>
      <c r="F549" s="89" t="s">
        <v>4059</v>
      </c>
      <c r="G549" s="89" t="s">
        <v>90</v>
      </c>
      <c r="H549" s="89" t="s">
        <v>1787</v>
      </c>
      <c r="I549" s="602">
        <v>0.48958333333333331</v>
      </c>
      <c r="J549" s="82">
        <v>165.4</v>
      </c>
      <c r="K549" s="82">
        <v>17.899999999999999</v>
      </c>
      <c r="L549" s="82">
        <v>7.19</v>
      </c>
      <c r="M549" s="82">
        <v>1.03</v>
      </c>
      <c r="N549" s="82">
        <v>13.8</v>
      </c>
      <c r="O549" s="89" t="s">
        <v>48</v>
      </c>
      <c r="P549" s="89">
        <v>4</v>
      </c>
      <c r="Q549" s="89">
        <v>10</v>
      </c>
      <c r="R549" s="89" t="s">
        <v>49</v>
      </c>
      <c r="S549" s="89" t="s">
        <v>50</v>
      </c>
      <c r="T549" s="89" t="s">
        <v>50</v>
      </c>
      <c r="U549" s="89" t="s">
        <v>50</v>
      </c>
      <c r="V549" s="89" t="s">
        <v>50</v>
      </c>
      <c r="W549" s="89" t="s">
        <v>50</v>
      </c>
      <c r="X549" s="89" t="s">
        <v>50</v>
      </c>
    </row>
    <row r="550" spans="1:25" x14ac:dyDescent="0.25">
      <c r="A550" s="26">
        <v>43739</v>
      </c>
      <c r="B550" s="89" t="s">
        <v>849</v>
      </c>
      <c r="C550" s="89" t="s">
        <v>88</v>
      </c>
      <c r="D550" s="89">
        <v>38.055149999999998</v>
      </c>
      <c r="E550" s="89">
        <v>-121.79046</v>
      </c>
      <c r="F550" s="89" t="s">
        <v>4060</v>
      </c>
      <c r="G550" s="89" t="s">
        <v>27</v>
      </c>
      <c r="H550" s="89" t="s">
        <v>25</v>
      </c>
      <c r="I550" s="602">
        <v>0.33055555555555555</v>
      </c>
      <c r="J550" s="82">
        <v>638.75</v>
      </c>
      <c r="K550" s="82">
        <v>18.7</v>
      </c>
      <c r="L550" s="82">
        <v>14.2</v>
      </c>
      <c r="M550" s="82">
        <v>0.68</v>
      </c>
      <c r="N550" s="82">
        <v>4.4000000000000004</v>
      </c>
      <c r="O550" s="89" t="s">
        <v>48</v>
      </c>
      <c r="P550" s="89">
        <v>4</v>
      </c>
      <c r="Q550" s="89">
        <v>10</v>
      </c>
      <c r="R550" s="89" t="s">
        <v>49</v>
      </c>
      <c r="S550" s="89" t="s">
        <v>50</v>
      </c>
      <c r="T550" s="89" t="s">
        <v>50</v>
      </c>
      <c r="U550" s="89" t="s">
        <v>50</v>
      </c>
      <c r="V550" s="89" t="s">
        <v>50</v>
      </c>
      <c r="W550" s="89" t="s">
        <v>50</v>
      </c>
      <c r="X550" s="89" t="s">
        <v>50</v>
      </c>
      <c r="Y550" s="600" t="s">
        <v>4061</v>
      </c>
    </row>
    <row r="551" spans="1:25" x14ac:dyDescent="0.25">
      <c r="A551" s="26">
        <v>43739</v>
      </c>
      <c r="B551" s="89" t="s">
        <v>849</v>
      </c>
      <c r="C551" s="89" t="s">
        <v>88</v>
      </c>
      <c r="D551" s="89">
        <v>38.067549999999997</v>
      </c>
      <c r="E551" s="89">
        <v>-121.7782</v>
      </c>
      <c r="F551" s="89" t="s">
        <v>4062</v>
      </c>
      <c r="G551" s="89" t="s">
        <v>27</v>
      </c>
      <c r="H551" s="89" t="s">
        <v>25</v>
      </c>
      <c r="I551" s="602">
        <v>0.38958333333333334</v>
      </c>
      <c r="J551" s="82">
        <v>307.02999999999997</v>
      </c>
      <c r="K551" s="82">
        <v>18.600000000000001</v>
      </c>
      <c r="L551" s="82">
        <v>13.33</v>
      </c>
      <c r="M551" s="82">
        <v>0.74</v>
      </c>
      <c r="N551" s="82">
        <v>8.58</v>
      </c>
      <c r="O551" s="89" t="s">
        <v>48</v>
      </c>
      <c r="P551" s="89">
        <v>4</v>
      </c>
      <c r="Q551" s="89">
        <v>10</v>
      </c>
      <c r="R551" s="89" t="s">
        <v>49</v>
      </c>
      <c r="S551" s="89" t="s">
        <v>50</v>
      </c>
      <c r="T551" s="89" t="s">
        <v>50</v>
      </c>
      <c r="U551" s="89" t="s">
        <v>50</v>
      </c>
      <c r="V551" s="89" t="s">
        <v>50</v>
      </c>
      <c r="W551" s="89" t="s">
        <v>50</v>
      </c>
      <c r="X551" s="89" t="s">
        <v>50</v>
      </c>
    </row>
    <row r="552" spans="1:25" x14ac:dyDescent="0.25">
      <c r="A552" s="26">
        <v>43739</v>
      </c>
      <c r="B552" s="89" t="s">
        <v>849</v>
      </c>
      <c r="C552" s="89" t="s">
        <v>88</v>
      </c>
      <c r="D552" s="89">
        <v>38.095970000000001</v>
      </c>
      <c r="E552" s="89">
        <v>-121.70712</v>
      </c>
      <c r="F552" s="89" t="s">
        <v>4063</v>
      </c>
      <c r="G552" s="89" t="s">
        <v>90</v>
      </c>
      <c r="H552" s="89" t="s">
        <v>91</v>
      </c>
      <c r="I552" s="602">
        <v>0.44861111111111113</v>
      </c>
      <c r="J552" s="82">
        <v>148.55000000000001</v>
      </c>
      <c r="K552" s="82">
        <v>18.63</v>
      </c>
      <c r="L552" s="82">
        <v>9.2899999999999991</v>
      </c>
      <c r="M552" s="82">
        <v>1.0900000000000001</v>
      </c>
      <c r="N552" s="82">
        <v>3.58</v>
      </c>
      <c r="O552" s="89" t="s">
        <v>48</v>
      </c>
      <c r="P552" s="89">
        <v>4</v>
      </c>
      <c r="Q552" s="89">
        <v>10</v>
      </c>
      <c r="R552" s="89" t="s">
        <v>49</v>
      </c>
      <c r="S552" s="89" t="s">
        <v>50</v>
      </c>
      <c r="T552" s="89" t="s">
        <v>50</v>
      </c>
      <c r="U552" s="89" t="s">
        <v>50</v>
      </c>
      <c r="V552" s="89" t="s">
        <v>50</v>
      </c>
      <c r="W552" s="89" t="s">
        <v>50</v>
      </c>
      <c r="X552" s="89" t="s">
        <v>50</v>
      </c>
    </row>
    <row r="553" spans="1:25" s="206" customFormat="1" x14ac:dyDescent="0.25">
      <c r="A553" s="204">
        <v>43739</v>
      </c>
      <c r="B553" s="206" t="s">
        <v>849</v>
      </c>
      <c r="C553" s="206" t="s">
        <v>62</v>
      </c>
      <c r="D553" s="206">
        <v>38.117469999999997</v>
      </c>
      <c r="E553" s="206">
        <v>-122.05448</v>
      </c>
      <c r="F553" s="206" t="s">
        <v>4064</v>
      </c>
      <c r="G553" s="206" t="s">
        <v>27</v>
      </c>
      <c r="H553" s="206" t="s">
        <v>173</v>
      </c>
      <c r="I553" s="613">
        <v>0.3444444444444445</v>
      </c>
      <c r="J553" s="208">
        <v>8497.5</v>
      </c>
      <c r="K553" s="208">
        <v>18.149999999999999</v>
      </c>
      <c r="L553" s="208">
        <v>79.23</v>
      </c>
      <c r="M553" s="208">
        <v>0.28999999999999998</v>
      </c>
      <c r="N553" s="208">
        <v>3.1</v>
      </c>
      <c r="O553" s="206" t="s">
        <v>48</v>
      </c>
      <c r="P553" s="206">
        <v>4</v>
      </c>
      <c r="Q553" s="206">
        <v>10</v>
      </c>
      <c r="R553" s="206" t="s">
        <v>49</v>
      </c>
      <c r="S553" s="206" t="s">
        <v>31</v>
      </c>
      <c r="T553" s="206">
        <v>2</v>
      </c>
      <c r="U553" s="206">
        <v>64</v>
      </c>
      <c r="V553" s="206" t="s">
        <v>50</v>
      </c>
      <c r="W553" s="206" t="s">
        <v>50</v>
      </c>
      <c r="X553" s="206" t="s">
        <v>50</v>
      </c>
      <c r="Y553" s="605"/>
    </row>
    <row r="554" spans="1:25" x14ac:dyDescent="0.25">
      <c r="A554" s="26">
        <v>43739</v>
      </c>
      <c r="B554" s="89" t="s">
        <v>849</v>
      </c>
      <c r="C554" s="89" t="s">
        <v>62</v>
      </c>
      <c r="D554" s="89">
        <v>38.20843</v>
      </c>
      <c r="E554" s="89">
        <v>-122.03391000000001</v>
      </c>
      <c r="F554" s="89" t="s">
        <v>4065</v>
      </c>
      <c r="G554" s="89" t="s">
        <v>27</v>
      </c>
      <c r="H554" s="89" t="s">
        <v>62</v>
      </c>
      <c r="I554" s="602">
        <v>0.41041666666666665</v>
      </c>
      <c r="J554" s="82">
        <v>6873</v>
      </c>
      <c r="K554" s="82">
        <v>17.649999999999999</v>
      </c>
      <c r="L554" s="82">
        <v>169.98</v>
      </c>
      <c r="M554" s="82">
        <v>0.28999999999999998</v>
      </c>
      <c r="N554" s="82">
        <v>4.9800000000000004</v>
      </c>
      <c r="O554" s="89" t="s">
        <v>48</v>
      </c>
      <c r="P554" s="89">
        <v>4</v>
      </c>
      <c r="Q554" s="89">
        <v>10</v>
      </c>
      <c r="R554" s="89" t="s">
        <v>49</v>
      </c>
      <c r="S554" s="89" t="s">
        <v>50</v>
      </c>
      <c r="T554" s="89" t="s">
        <v>50</v>
      </c>
      <c r="U554" s="89" t="s">
        <v>50</v>
      </c>
      <c r="V554" s="89" t="s">
        <v>50</v>
      </c>
      <c r="W554" s="89" t="s">
        <v>50</v>
      </c>
      <c r="X554" s="89" t="s">
        <v>50</v>
      </c>
      <c r="Y554" s="600" t="s">
        <v>4066</v>
      </c>
    </row>
    <row r="555" spans="1:25" x14ac:dyDescent="0.25">
      <c r="A555" s="26">
        <v>43739</v>
      </c>
      <c r="B555" s="89" t="s">
        <v>849</v>
      </c>
      <c r="C555" s="89" t="s">
        <v>62</v>
      </c>
      <c r="D555" s="89">
        <v>38.158790000000003</v>
      </c>
      <c r="E555" s="89">
        <v>-122.04903</v>
      </c>
      <c r="F555" s="89" t="s">
        <v>4067</v>
      </c>
      <c r="G555" s="89" t="s">
        <v>27</v>
      </c>
      <c r="H555" s="89" t="s">
        <v>62</v>
      </c>
      <c r="I555" s="602">
        <v>0.47847222222222219</v>
      </c>
      <c r="J555" s="82">
        <v>8406</v>
      </c>
      <c r="K555" s="82">
        <v>19.13</v>
      </c>
      <c r="L555" s="82">
        <v>42.23</v>
      </c>
      <c r="M555" s="82">
        <v>0.34</v>
      </c>
      <c r="N555" s="82">
        <v>5.98</v>
      </c>
      <c r="O555" s="89" t="s">
        <v>48</v>
      </c>
      <c r="P555" s="89">
        <v>4</v>
      </c>
      <c r="Q555" s="89">
        <v>10</v>
      </c>
      <c r="R555" s="89" t="s">
        <v>64</v>
      </c>
      <c r="S555" s="89" t="s">
        <v>50</v>
      </c>
      <c r="T555" s="89" t="s">
        <v>50</v>
      </c>
      <c r="U555" s="89" t="s">
        <v>50</v>
      </c>
      <c r="V555" s="89" t="s">
        <v>50</v>
      </c>
      <c r="W555" s="89" t="s">
        <v>50</v>
      </c>
      <c r="X555" s="89" t="s">
        <v>50</v>
      </c>
    </row>
    <row r="556" spans="1:25" x14ac:dyDescent="0.25">
      <c r="A556" s="26">
        <v>43740</v>
      </c>
      <c r="B556" s="89" t="s">
        <v>87</v>
      </c>
      <c r="C556" s="89" t="s">
        <v>126</v>
      </c>
      <c r="D556" s="89">
        <v>38.256639999999997</v>
      </c>
      <c r="E556" s="89">
        <v>-121.72577</v>
      </c>
      <c r="F556" s="89" t="s">
        <v>4068</v>
      </c>
      <c r="G556" s="89" t="s">
        <v>90</v>
      </c>
      <c r="H556" s="89" t="s">
        <v>845</v>
      </c>
      <c r="I556" s="602">
        <v>0.3298611111111111</v>
      </c>
      <c r="J556" s="82">
        <v>183.58</v>
      </c>
      <c r="K556" s="82">
        <v>17.850000000000001</v>
      </c>
      <c r="L556" s="82">
        <v>4.79</v>
      </c>
      <c r="M556" s="82">
        <v>1.44</v>
      </c>
      <c r="N556" s="82">
        <v>5.92</v>
      </c>
      <c r="O556" s="89" t="s">
        <v>48</v>
      </c>
      <c r="P556" s="89">
        <v>4</v>
      </c>
      <c r="Q556" s="89">
        <v>10</v>
      </c>
      <c r="R556" s="89" t="s">
        <v>64</v>
      </c>
      <c r="S556" s="89" t="s">
        <v>50</v>
      </c>
      <c r="T556" s="89" t="s">
        <v>50</v>
      </c>
      <c r="U556" s="89" t="s">
        <v>50</v>
      </c>
      <c r="V556" s="89" t="s">
        <v>50</v>
      </c>
      <c r="W556" s="89" t="s">
        <v>50</v>
      </c>
      <c r="X556" s="89" t="s">
        <v>50</v>
      </c>
    </row>
    <row r="557" spans="1:25" x14ac:dyDescent="0.25">
      <c r="A557" s="26">
        <v>43740</v>
      </c>
      <c r="B557" s="89" t="s">
        <v>87</v>
      </c>
      <c r="C557" s="89" t="s">
        <v>126</v>
      </c>
      <c r="D557" s="89">
        <v>38.27881</v>
      </c>
      <c r="E557" s="89">
        <v>-121.71153</v>
      </c>
      <c r="F557" s="89" t="s">
        <v>4069</v>
      </c>
      <c r="G557" s="89" t="s">
        <v>90</v>
      </c>
      <c r="H557" s="89" t="s">
        <v>845</v>
      </c>
      <c r="I557" s="602">
        <v>0.3833333333333333</v>
      </c>
      <c r="J557" s="82">
        <v>187.33</v>
      </c>
      <c r="K557" s="82">
        <v>17.53</v>
      </c>
      <c r="L557" s="82">
        <v>5.22</v>
      </c>
      <c r="M557" s="82">
        <v>1.6</v>
      </c>
      <c r="N557" s="82">
        <v>3.6</v>
      </c>
      <c r="O557" s="89" t="s">
        <v>48</v>
      </c>
      <c r="P557" s="89">
        <v>4</v>
      </c>
      <c r="Q557" s="89">
        <v>10</v>
      </c>
      <c r="R557" s="89" t="s">
        <v>49</v>
      </c>
      <c r="S557" s="89" t="s">
        <v>50</v>
      </c>
      <c r="T557" s="89" t="s">
        <v>50</v>
      </c>
      <c r="U557" s="89" t="s">
        <v>50</v>
      </c>
      <c r="V557" s="89" t="s">
        <v>50</v>
      </c>
      <c r="W557" s="89" t="s">
        <v>50</v>
      </c>
      <c r="X557" s="89" t="s">
        <v>50</v>
      </c>
      <c r="Y557" s="600" t="s">
        <v>4070</v>
      </c>
    </row>
    <row r="558" spans="1:25" x14ac:dyDescent="0.25">
      <c r="A558" s="26">
        <v>43740</v>
      </c>
      <c r="B558" s="89" t="s">
        <v>87</v>
      </c>
      <c r="C558" s="89" t="s">
        <v>126</v>
      </c>
      <c r="D558" s="89">
        <v>38.33596</v>
      </c>
      <c r="E558" s="89">
        <v>-121.66994</v>
      </c>
      <c r="F558" s="89" t="s">
        <v>4071</v>
      </c>
      <c r="G558" s="89" t="s">
        <v>90</v>
      </c>
      <c r="H558" s="89" t="s">
        <v>845</v>
      </c>
      <c r="I558" s="602">
        <v>0.4597222222222222</v>
      </c>
      <c r="J558" s="82">
        <v>379.43</v>
      </c>
      <c r="K558" s="82">
        <v>17.53</v>
      </c>
      <c r="L558" s="82">
        <v>13.13</v>
      </c>
      <c r="M558" s="82">
        <v>0.68</v>
      </c>
      <c r="N558" s="82">
        <v>3.03</v>
      </c>
      <c r="O558" s="89" t="s">
        <v>48</v>
      </c>
      <c r="P558" s="89">
        <v>4</v>
      </c>
      <c r="Q558" s="89">
        <v>10</v>
      </c>
      <c r="R558" s="89" t="s">
        <v>49</v>
      </c>
      <c r="S558" s="89" t="s">
        <v>50</v>
      </c>
      <c r="T558" s="89" t="s">
        <v>50</v>
      </c>
      <c r="U558" s="89" t="s">
        <v>50</v>
      </c>
      <c r="V558" s="89" t="s">
        <v>50</v>
      </c>
      <c r="W558" s="89" t="s">
        <v>50</v>
      </c>
      <c r="X558" s="89" t="s">
        <v>50</v>
      </c>
      <c r="Y558" s="600" t="s">
        <v>4072</v>
      </c>
    </row>
    <row r="559" spans="1:25" x14ac:dyDescent="0.25">
      <c r="A559" s="26">
        <v>43740</v>
      </c>
      <c r="B559" s="89" t="s">
        <v>87</v>
      </c>
      <c r="C559" s="89" t="s">
        <v>88</v>
      </c>
      <c r="D559" s="89">
        <v>38.162520000000001</v>
      </c>
      <c r="E559" s="89">
        <v>-121.68089999999999</v>
      </c>
      <c r="F559" s="89" t="s">
        <v>4073</v>
      </c>
      <c r="G559" s="89" t="s">
        <v>90</v>
      </c>
      <c r="H559" s="89" t="s">
        <v>91</v>
      </c>
      <c r="I559" s="602">
        <v>0.35138888888888892</v>
      </c>
      <c r="J559" s="82">
        <v>129.72999999999999</v>
      </c>
      <c r="K559" s="82">
        <v>17.68</v>
      </c>
      <c r="L559" s="82">
        <v>6.06</v>
      </c>
      <c r="M559" s="82">
        <v>1.37</v>
      </c>
      <c r="N559" s="82">
        <v>10.23</v>
      </c>
      <c r="O559" s="89" t="s">
        <v>48</v>
      </c>
      <c r="P559" s="89">
        <v>4</v>
      </c>
      <c r="Q559" s="89">
        <v>10</v>
      </c>
      <c r="R559" s="89" t="s">
        <v>49</v>
      </c>
      <c r="S559" s="89" t="s">
        <v>50</v>
      </c>
      <c r="T559" s="89" t="s">
        <v>50</v>
      </c>
      <c r="U559" s="89" t="s">
        <v>50</v>
      </c>
      <c r="V559" s="89" t="s">
        <v>50</v>
      </c>
      <c r="W559" s="89" t="s">
        <v>50</v>
      </c>
      <c r="X559" s="89" t="s">
        <v>50</v>
      </c>
      <c r="Y559" s="600" t="s">
        <v>4074</v>
      </c>
    </row>
    <row r="560" spans="1:25" x14ac:dyDescent="0.25">
      <c r="A560" s="26">
        <v>43740</v>
      </c>
      <c r="B560" s="89" t="s">
        <v>87</v>
      </c>
      <c r="C560" s="89" t="s">
        <v>88</v>
      </c>
      <c r="D560" s="89">
        <v>38.131740000000001</v>
      </c>
      <c r="E560" s="89">
        <v>-121.69190999999999</v>
      </c>
      <c r="F560" s="89" t="s">
        <v>4075</v>
      </c>
      <c r="G560" s="89" t="s">
        <v>90</v>
      </c>
      <c r="H560" s="89" t="s">
        <v>91</v>
      </c>
      <c r="I560" s="602">
        <v>0.41250000000000003</v>
      </c>
      <c r="J560" s="82">
        <v>136.38</v>
      </c>
      <c r="K560" s="82">
        <v>18.03</v>
      </c>
      <c r="L560" s="82">
        <v>6.42</v>
      </c>
      <c r="M560" s="82">
        <v>1.62</v>
      </c>
      <c r="N560" s="82">
        <v>4.75</v>
      </c>
      <c r="O560" s="89" t="s">
        <v>48</v>
      </c>
      <c r="P560" s="89">
        <v>4</v>
      </c>
      <c r="Q560" s="89">
        <v>10</v>
      </c>
      <c r="R560" s="89" t="s">
        <v>49</v>
      </c>
      <c r="S560" s="89" t="s">
        <v>50</v>
      </c>
      <c r="T560" s="89" t="s">
        <v>50</v>
      </c>
      <c r="U560" s="89" t="s">
        <v>50</v>
      </c>
      <c r="V560" s="89" t="s">
        <v>50</v>
      </c>
      <c r="W560" s="89" t="s">
        <v>50</v>
      </c>
      <c r="X560" s="89" t="s">
        <v>50</v>
      </c>
    </row>
    <row r="561" spans="1:25" x14ac:dyDescent="0.25">
      <c r="A561" s="26">
        <v>43740</v>
      </c>
      <c r="B561" s="89" t="s">
        <v>87</v>
      </c>
      <c r="C561" s="89" t="s">
        <v>88</v>
      </c>
      <c r="D561" s="89">
        <v>38.06221</v>
      </c>
      <c r="E561" s="89">
        <v>-121.79173</v>
      </c>
      <c r="F561" s="89" t="s">
        <v>4076</v>
      </c>
      <c r="G561" s="89" t="s">
        <v>27</v>
      </c>
      <c r="H561" s="89" t="s">
        <v>25</v>
      </c>
      <c r="I561" s="602">
        <v>0.4680555555555555</v>
      </c>
      <c r="J561" s="82">
        <v>256.52999999999997</v>
      </c>
      <c r="K561" s="82">
        <v>18.45</v>
      </c>
      <c r="L561" s="82">
        <v>14.93</v>
      </c>
      <c r="M561" s="82">
        <v>0.74</v>
      </c>
      <c r="N561" s="82">
        <v>9.5500000000000007</v>
      </c>
      <c r="O561" s="89" t="s">
        <v>48</v>
      </c>
      <c r="P561" s="89">
        <v>4</v>
      </c>
      <c r="Q561" s="89">
        <v>10</v>
      </c>
      <c r="R561" s="89" t="s">
        <v>49</v>
      </c>
      <c r="S561" s="89" t="s">
        <v>50</v>
      </c>
      <c r="T561" s="89" t="s">
        <v>50</v>
      </c>
      <c r="U561" s="89" t="s">
        <v>50</v>
      </c>
      <c r="V561" s="89" t="s">
        <v>50</v>
      </c>
      <c r="W561" s="89" t="s">
        <v>50</v>
      </c>
      <c r="X561" s="89" t="s">
        <v>50</v>
      </c>
    </row>
    <row r="562" spans="1:25" x14ac:dyDescent="0.25">
      <c r="A562" s="26">
        <v>43740</v>
      </c>
      <c r="B562" s="89" t="s">
        <v>87</v>
      </c>
      <c r="C562" s="89" t="s">
        <v>78</v>
      </c>
      <c r="D562" s="89">
        <v>38.062950000000001</v>
      </c>
      <c r="E562" s="89">
        <v>-121.86532</v>
      </c>
      <c r="F562" s="89" t="s">
        <v>4077</v>
      </c>
      <c r="G562" s="89" t="s">
        <v>27</v>
      </c>
      <c r="H562" s="89" t="s">
        <v>101</v>
      </c>
      <c r="I562" s="602">
        <v>0.3354166666666667</v>
      </c>
      <c r="J562" s="82">
        <v>1895.5</v>
      </c>
      <c r="K562" s="82">
        <v>18.899999999999999</v>
      </c>
      <c r="L562" s="82">
        <v>23.4</v>
      </c>
      <c r="M562" s="82">
        <v>0.51</v>
      </c>
      <c r="N562" s="82">
        <v>18.48</v>
      </c>
      <c r="O562" s="89" t="s">
        <v>48</v>
      </c>
      <c r="P562" s="89">
        <v>4</v>
      </c>
      <c r="Q562" s="89">
        <v>10</v>
      </c>
      <c r="R562" s="89" t="s">
        <v>64</v>
      </c>
      <c r="S562" s="89" t="s">
        <v>50</v>
      </c>
      <c r="T562" s="89" t="s">
        <v>50</v>
      </c>
      <c r="U562" s="89" t="s">
        <v>50</v>
      </c>
      <c r="V562" s="89" t="s">
        <v>50</v>
      </c>
      <c r="W562" s="89" t="s">
        <v>50</v>
      </c>
      <c r="X562" s="89" t="s">
        <v>50</v>
      </c>
    </row>
    <row r="563" spans="1:25" x14ac:dyDescent="0.25">
      <c r="A563" s="26">
        <v>43740</v>
      </c>
      <c r="B563" s="89" t="s">
        <v>87</v>
      </c>
      <c r="C563" s="89" t="s">
        <v>78</v>
      </c>
      <c r="D563" s="89">
        <v>38.053159999999998</v>
      </c>
      <c r="E563" s="89">
        <v>-121.93749</v>
      </c>
      <c r="F563" s="89" t="s">
        <v>4078</v>
      </c>
      <c r="G563" s="89" t="s">
        <v>27</v>
      </c>
      <c r="H563" s="89" t="s">
        <v>170</v>
      </c>
      <c r="I563" s="602">
        <v>0.3923611111111111</v>
      </c>
      <c r="J563" s="82">
        <v>3263.25</v>
      </c>
      <c r="K563" s="82">
        <v>18.649999999999999</v>
      </c>
      <c r="L563" s="82">
        <v>27.4</v>
      </c>
      <c r="M563" s="82">
        <v>0.41</v>
      </c>
      <c r="N563" s="82">
        <v>10.15</v>
      </c>
      <c r="O563" s="89" t="s">
        <v>48</v>
      </c>
      <c r="P563" s="89">
        <v>4</v>
      </c>
      <c r="Q563" s="89">
        <v>10</v>
      </c>
      <c r="R563" s="89" t="s">
        <v>49</v>
      </c>
      <c r="S563" s="89" t="s">
        <v>50</v>
      </c>
      <c r="T563" s="89" t="s">
        <v>50</v>
      </c>
      <c r="U563" s="89" t="s">
        <v>50</v>
      </c>
      <c r="V563" s="89" t="s">
        <v>50</v>
      </c>
      <c r="W563" s="89" t="s">
        <v>50</v>
      </c>
      <c r="X563" s="89" t="s">
        <v>50</v>
      </c>
    </row>
    <row r="564" spans="1:25" x14ac:dyDescent="0.25">
      <c r="A564" s="26">
        <v>43740</v>
      </c>
      <c r="B564" s="89" t="s">
        <v>87</v>
      </c>
      <c r="C564" s="89" t="s">
        <v>78</v>
      </c>
      <c r="D564" s="89">
        <v>38.062510000000003</v>
      </c>
      <c r="E564" s="89">
        <v>-122.02</v>
      </c>
      <c r="F564" s="89" t="s">
        <v>4079</v>
      </c>
      <c r="G564" s="89" t="s">
        <v>27</v>
      </c>
      <c r="H564" s="89" t="s">
        <v>86</v>
      </c>
      <c r="I564" s="602">
        <v>0.45208333333333334</v>
      </c>
      <c r="J564" s="82">
        <v>5349.25</v>
      </c>
      <c r="K564" s="82">
        <v>18.899999999999999</v>
      </c>
      <c r="L564" s="82">
        <v>24.13</v>
      </c>
      <c r="M564" s="82">
        <v>0.48</v>
      </c>
      <c r="N564" s="82">
        <v>9.25</v>
      </c>
      <c r="O564" s="89" t="s">
        <v>48</v>
      </c>
      <c r="P564" s="89">
        <v>4</v>
      </c>
      <c r="Q564" s="89">
        <v>10</v>
      </c>
      <c r="R564" s="89" t="s">
        <v>49</v>
      </c>
      <c r="S564" s="89" t="s">
        <v>50</v>
      </c>
      <c r="T564" s="89" t="s">
        <v>50</v>
      </c>
      <c r="U564" s="89" t="s">
        <v>50</v>
      </c>
      <c r="V564" s="89" t="s">
        <v>50</v>
      </c>
      <c r="W564" s="89" t="s">
        <v>50</v>
      </c>
      <c r="X564" s="89" t="s">
        <v>50</v>
      </c>
    </row>
    <row r="565" spans="1:25" s="154" customFormat="1" x14ac:dyDescent="0.25">
      <c r="A565" s="195">
        <v>43740</v>
      </c>
      <c r="B565" s="154" t="s">
        <v>87</v>
      </c>
      <c r="C565" s="154" t="s">
        <v>78</v>
      </c>
      <c r="D565" s="154">
        <v>38.084969999999998</v>
      </c>
      <c r="E565" s="154">
        <v>-122.03771</v>
      </c>
      <c r="F565" s="154" t="s">
        <v>4080</v>
      </c>
      <c r="G565" s="154" t="s">
        <v>27</v>
      </c>
      <c r="H565" s="154" t="s">
        <v>86</v>
      </c>
      <c r="I565" s="602">
        <v>0.50694444444444442</v>
      </c>
      <c r="J565" s="156" t="s">
        <v>50</v>
      </c>
      <c r="K565" s="156" t="s">
        <v>50</v>
      </c>
      <c r="L565" s="156" t="s">
        <v>50</v>
      </c>
      <c r="M565" s="156" t="s">
        <v>50</v>
      </c>
      <c r="N565" s="156" t="s">
        <v>50</v>
      </c>
      <c r="O565" s="154" t="s">
        <v>48</v>
      </c>
      <c r="P565" s="154">
        <v>0</v>
      </c>
      <c r="Q565" s="154" t="s">
        <v>50</v>
      </c>
      <c r="R565" s="154" t="s">
        <v>50</v>
      </c>
      <c r="S565" s="154" t="s">
        <v>50</v>
      </c>
      <c r="T565" s="154" t="s">
        <v>50</v>
      </c>
      <c r="U565" s="154" t="s">
        <v>50</v>
      </c>
      <c r="V565" s="154" t="s">
        <v>50</v>
      </c>
      <c r="W565" s="154" t="s">
        <v>50</v>
      </c>
      <c r="X565" s="154" t="s">
        <v>50</v>
      </c>
      <c r="Y565" s="627" t="s">
        <v>1822</v>
      </c>
    </row>
    <row r="566" spans="1:25" s="98" customFormat="1" x14ac:dyDescent="0.25">
      <c r="A566" s="194">
        <v>43740</v>
      </c>
      <c r="B566" s="98" t="s">
        <v>87</v>
      </c>
      <c r="C566" s="98" t="s">
        <v>78</v>
      </c>
      <c r="D566" s="98">
        <v>38.041069999999998</v>
      </c>
      <c r="E566" s="98">
        <v>-122.13088999999999</v>
      </c>
      <c r="F566" s="98" t="s">
        <v>4081</v>
      </c>
      <c r="G566" s="98" t="s">
        <v>80</v>
      </c>
      <c r="H566" s="98" t="s">
        <v>81</v>
      </c>
      <c r="I566" s="602">
        <v>0.52222222222222225</v>
      </c>
      <c r="J566" s="100">
        <v>10565.5</v>
      </c>
      <c r="K566" s="100">
        <v>18.600000000000001</v>
      </c>
      <c r="L566" s="100">
        <v>41.15</v>
      </c>
      <c r="M566" s="100">
        <v>0.35</v>
      </c>
      <c r="N566" s="100">
        <v>20.38</v>
      </c>
      <c r="O566" s="98" t="s">
        <v>48</v>
      </c>
      <c r="P566" s="98">
        <v>4</v>
      </c>
      <c r="Q566" s="98">
        <v>10</v>
      </c>
      <c r="R566" s="98" t="s">
        <v>49</v>
      </c>
      <c r="S566" s="98" t="s">
        <v>50</v>
      </c>
      <c r="T566" s="98" t="s">
        <v>50</v>
      </c>
      <c r="U566" s="98" t="s">
        <v>50</v>
      </c>
      <c r="V566" s="98" t="s">
        <v>50</v>
      </c>
      <c r="W566" s="98" t="s">
        <v>50</v>
      </c>
      <c r="X566" s="98" t="s">
        <v>50</v>
      </c>
      <c r="Y566" s="622"/>
    </row>
    <row r="567" spans="1:25" x14ac:dyDescent="0.25">
      <c r="A567" s="26">
        <v>43741</v>
      </c>
      <c r="B567" s="89" t="s">
        <v>876</v>
      </c>
      <c r="C567" s="89" t="s">
        <v>126</v>
      </c>
      <c r="D567" s="89">
        <v>38.262900000000002</v>
      </c>
      <c r="E567" s="89">
        <v>-121.77985</v>
      </c>
      <c r="F567" s="89" t="s">
        <v>4082</v>
      </c>
      <c r="G567" s="89" t="s">
        <v>90</v>
      </c>
      <c r="H567" s="89" t="s">
        <v>845</v>
      </c>
      <c r="I567" s="602">
        <v>0.33958333333333335</v>
      </c>
      <c r="J567" s="82">
        <v>216.33</v>
      </c>
      <c r="K567" s="82">
        <v>17.600000000000001</v>
      </c>
      <c r="L567" s="82">
        <v>10.47</v>
      </c>
      <c r="M567" s="82">
        <v>0.91</v>
      </c>
      <c r="N567" s="82">
        <v>3.35</v>
      </c>
      <c r="O567" s="89" t="s">
        <v>48</v>
      </c>
      <c r="P567" s="89">
        <v>4</v>
      </c>
      <c r="Q567" s="89">
        <v>10</v>
      </c>
      <c r="R567" s="89" t="s">
        <v>64</v>
      </c>
      <c r="S567" s="89" t="s">
        <v>50</v>
      </c>
      <c r="T567" s="89" t="s">
        <v>50</v>
      </c>
      <c r="U567" s="89" t="s">
        <v>50</v>
      </c>
      <c r="V567" s="89" t="s">
        <v>50</v>
      </c>
      <c r="W567" s="89" t="s">
        <v>50</v>
      </c>
      <c r="X567" s="89" t="s">
        <v>50</v>
      </c>
    </row>
    <row r="568" spans="1:25" x14ac:dyDescent="0.25">
      <c r="A568" s="26">
        <v>43741</v>
      </c>
      <c r="B568" s="89" t="s">
        <v>876</v>
      </c>
      <c r="C568" s="89" t="s">
        <v>126</v>
      </c>
      <c r="D568" s="89">
        <v>38.250219999999999</v>
      </c>
      <c r="E568" s="89">
        <v>-121.71366999999999</v>
      </c>
      <c r="F568" s="89" t="s">
        <v>4083</v>
      </c>
      <c r="G568" s="89" t="s">
        <v>90</v>
      </c>
      <c r="H568" s="89" t="s">
        <v>845</v>
      </c>
      <c r="I568" s="602">
        <v>0.39583333333333331</v>
      </c>
      <c r="J568" s="82">
        <v>174.58</v>
      </c>
      <c r="K568" s="82">
        <v>17.53</v>
      </c>
      <c r="L568" s="82">
        <v>6.74</v>
      </c>
      <c r="M568" s="82">
        <v>1.58</v>
      </c>
      <c r="N568" s="82">
        <v>4.83</v>
      </c>
      <c r="O568" s="89" t="s">
        <v>48</v>
      </c>
      <c r="P568" s="89">
        <v>4</v>
      </c>
      <c r="Q568" s="89">
        <v>10</v>
      </c>
      <c r="R568" s="89" t="s">
        <v>49</v>
      </c>
      <c r="S568" s="89" t="s">
        <v>50</v>
      </c>
      <c r="T568" s="89" t="s">
        <v>50</v>
      </c>
      <c r="U568" s="89" t="s">
        <v>50</v>
      </c>
      <c r="V568" s="89" t="s">
        <v>50</v>
      </c>
      <c r="W568" s="89" t="s">
        <v>50</v>
      </c>
      <c r="X568" s="89" t="s">
        <v>50</v>
      </c>
      <c r="Y568" s="600" t="s">
        <v>4084</v>
      </c>
    </row>
    <row r="569" spans="1:25" x14ac:dyDescent="0.25">
      <c r="A569" s="26">
        <v>43741</v>
      </c>
      <c r="B569" s="89" t="s">
        <v>876</v>
      </c>
      <c r="C569" s="89" t="s">
        <v>126</v>
      </c>
      <c r="D569" s="89">
        <v>38.246220000000001</v>
      </c>
      <c r="E569" s="89">
        <v>-121.673</v>
      </c>
      <c r="F569" s="89" t="s">
        <v>4085</v>
      </c>
      <c r="G569" s="89" t="s">
        <v>90</v>
      </c>
      <c r="H569" s="89" t="s">
        <v>845</v>
      </c>
      <c r="I569" s="602">
        <v>0.46111111111111108</v>
      </c>
      <c r="J569" s="82">
        <v>152.75</v>
      </c>
      <c r="K569" s="82">
        <v>17.329999999999998</v>
      </c>
      <c r="L569" s="82">
        <v>6.44</v>
      </c>
      <c r="M569" s="82">
        <v>1.36</v>
      </c>
      <c r="N569" s="82">
        <v>6.08</v>
      </c>
      <c r="O569" s="89" t="s">
        <v>48</v>
      </c>
      <c r="P569" s="89">
        <v>4</v>
      </c>
      <c r="Q569" s="89">
        <v>10</v>
      </c>
      <c r="R569" s="89" t="s">
        <v>49</v>
      </c>
      <c r="S569" s="89" t="s">
        <v>50</v>
      </c>
      <c r="T569" s="89" t="s">
        <v>50</v>
      </c>
      <c r="U569" s="89" t="s">
        <v>50</v>
      </c>
      <c r="V569" s="89" t="s">
        <v>50</v>
      </c>
      <c r="W569" s="89" t="s">
        <v>50</v>
      </c>
      <c r="X569" s="89" t="s">
        <v>50</v>
      </c>
    </row>
    <row r="570" spans="1:25" x14ac:dyDescent="0.25">
      <c r="A570" s="26">
        <v>43741</v>
      </c>
      <c r="B570" s="89" t="s">
        <v>876</v>
      </c>
      <c r="C570" s="89" t="s">
        <v>95</v>
      </c>
      <c r="D570" s="89">
        <v>38.020980000000002</v>
      </c>
      <c r="E570" s="89">
        <v>-121.81494000000001</v>
      </c>
      <c r="F570" s="89" t="s">
        <v>4086</v>
      </c>
      <c r="G570" s="89" t="s">
        <v>27</v>
      </c>
      <c r="H570" s="89" t="s">
        <v>863</v>
      </c>
      <c r="I570" s="602">
        <v>0.33958333333333335</v>
      </c>
      <c r="J570" s="100">
        <v>640.25</v>
      </c>
      <c r="K570" s="100">
        <v>18.7</v>
      </c>
      <c r="L570" s="100">
        <v>17</v>
      </c>
      <c r="M570" s="100">
        <v>0.67</v>
      </c>
      <c r="N570" s="100">
        <v>14.88</v>
      </c>
      <c r="O570" s="98" t="s">
        <v>48</v>
      </c>
      <c r="P570" s="98">
        <v>4</v>
      </c>
      <c r="Q570" s="98">
        <v>10</v>
      </c>
      <c r="R570" s="89" t="s">
        <v>64</v>
      </c>
      <c r="S570" s="89" t="s">
        <v>50</v>
      </c>
      <c r="T570" s="89" t="s">
        <v>50</v>
      </c>
      <c r="U570" s="89" t="s">
        <v>50</v>
      </c>
      <c r="V570" s="89" t="s">
        <v>50</v>
      </c>
      <c r="W570" s="89" t="s">
        <v>50</v>
      </c>
      <c r="X570" s="89" t="s">
        <v>50</v>
      </c>
    </row>
    <row r="571" spans="1:25" x14ac:dyDescent="0.25">
      <c r="A571" s="26">
        <v>43741</v>
      </c>
      <c r="B571" s="89" t="s">
        <v>876</v>
      </c>
      <c r="C571" s="98" t="s">
        <v>95</v>
      </c>
      <c r="D571" s="98">
        <v>38.042630000000003</v>
      </c>
      <c r="E571" s="98">
        <v>-121.70995000000001</v>
      </c>
      <c r="F571" s="98" t="s">
        <v>4087</v>
      </c>
      <c r="G571" s="98" t="s">
        <v>27</v>
      </c>
      <c r="H571" s="98" t="s">
        <v>863</v>
      </c>
      <c r="I571" s="602">
        <v>0.39444444444444443</v>
      </c>
      <c r="J571" s="100">
        <v>248.8</v>
      </c>
      <c r="K571" s="100">
        <v>19.13</v>
      </c>
      <c r="L571" s="100">
        <v>11.09</v>
      </c>
      <c r="M571" s="100">
        <v>1.05</v>
      </c>
      <c r="N571" s="100">
        <v>5.38</v>
      </c>
      <c r="O571" s="98" t="s">
        <v>48</v>
      </c>
      <c r="P571" s="98">
        <v>4</v>
      </c>
      <c r="Q571" s="98">
        <v>10</v>
      </c>
      <c r="R571" s="89" t="s">
        <v>64</v>
      </c>
      <c r="S571" s="89" t="s">
        <v>50</v>
      </c>
      <c r="T571" s="89" t="s">
        <v>50</v>
      </c>
      <c r="U571" s="89" t="s">
        <v>50</v>
      </c>
      <c r="V571" s="89" t="s">
        <v>50</v>
      </c>
      <c r="W571" s="89" t="s">
        <v>50</v>
      </c>
      <c r="X571" s="89" t="s">
        <v>50</v>
      </c>
      <c r="Y571" s="600" t="s">
        <v>4088</v>
      </c>
    </row>
    <row r="572" spans="1:25" x14ac:dyDescent="0.25">
      <c r="A572" s="26">
        <v>43741</v>
      </c>
      <c r="B572" s="89" t="s">
        <v>876</v>
      </c>
      <c r="C572" s="89" t="s">
        <v>95</v>
      </c>
      <c r="D572" s="89">
        <v>38.093310000000002</v>
      </c>
      <c r="E572" s="89">
        <v>-121.62347</v>
      </c>
      <c r="F572" s="89" t="s">
        <v>4089</v>
      </c>
      <c r="G572" s="89" t="s">
        <v>46</v>
      </c>
      <c r="H572" s="89" t="s">
        <v>908</v>
      </c>
      <c r="I572" s="602">
        <v>0.4548611111111111</v>
      </c>
      <c r="J572" s="82">
        <v>131.4</v>
      </c>
      <c r="K572" s="82">
        <v>18.93</v>
      </c>
      <c r="L572" s="82">
        <v>6.22</v>
      </c>
      <c r="M572" s="82">
        <v>1.53</v>
      </c>
      <c r="N572" s="82">
        <v>8.85</v>
      </c>
      <c r="O572" s="89" t="s">
        <v>48</v>
      </c>
      <c r="P572" s="89">
        <v>4</v>
      </c>
      <c r="Q572" s="89">
        <v>10</v>
      </c>
      <c r="R572" s="89" t="s">
        <v>49</v>
      </c>
      <c r="S572" s="89" t="s">
        <v>50</v>
      </c>
      <c r="T572" s="89" t="s">
        <v>50</v>
      </c>
      <c r="U572" s="89" t="s">
        <v>50</v>
      </c>
      <c r="V572" s="89" t="s">
        <v>50</v>
      </c>
      <c r="W572" s="89" t="s">
        <v>50</v>
      </c>
      <c r="X572" s="89" t="s">
        <v>50</v>
      </c>
    </row>
    <row r="573" spans="1:25" x14ac:dyDescent="0.25">
      <c r="A573" s="26">
        <v>43741</v>
      </c>
      <c r="B573" s="89" t="s">
        <v>876</v>
      </c>
      <c r="C573" s="89" t="s">
        <v>118</v>
      </c>
      <c r="D573" s="89">
        <v>38.049790000000002</v>
      </c>
      <c r="E573" s="89">
        <v>-122.17153</v>
      </c>
      <c r="F573" s="89" t="s">
        <v>4090</v>
      </c>
      <c r="G573" s="89" t="s">
        <v>80</v>
      </c>
      <c r="H573" s="89" t="s">
        <v>3332</v>
      </c>
      <c r="I573" s="602">
        <v>0.31597222222222221</v>
      </c>
      <c r="J573" s="100">
        <v>20658.25</v>
      </c>
      <c r="K573" s="100">
        <v>18.149999999999999</v>
      </c>
      <c r="L573" s="100">
        <v>13.45</v>
      </c>
      <c r="M573" s="100">
        <v>0.68</v>
      </c>
      <c r="N573" s="100">
        <v>15.93</v>
      </c>
      <c r="O573" s="98" t="s">
        <v>48</v>
      </c>
      <c r="P573" s="98">
        <v>4</v>
      </c>
      <c r="Q573" s="98">
        <v>10</v>
      </c>
      <c r="R573" s="89" t="s">
        <v>64</v>
      </c>
      <c r="S573" s="89" t="s">
        <v>50</v>
      </c>
      <c r="T573" s="89" t="s">
        <v>50</v>
      </c>
      <c r="U573" s="89" t="s">
        <v>50</v>
      </c>
      <c r="V573" s="89" t="s">
        <v>50</v>
      </c>
      <c r="W573" s="89" t="s">
        <v>50</v>
      </c>
      <c r="X573" s="89" t="s">
        <v>50</v>
      </c>
      <c r="Y573" s="600" t="s">
        <v>4091</v>
      </c>
    </row>
    <row r="574" spans="1:25" x14ac:dyDescent="0.25">
      <c r="A574" s="194">
        <v>43741</v>
      </c>
      <c r="B574" s="89" t="s">
        <v>876</v>
      </c>
      <c r="C574" s="89" t="s">
        <v>118</v>
      </c>
      <c r="D574" s="89">
        <v>38.053159999999998</v>
      </c>
      <c r="E574" s="89">
        <v>-122.32814999999999</v>
      </c>
      <c r="F574" s="89" t="s">
        <v>4092</v>
      </c>
      <c r="G574" s="89" t="s">
        <v>80</v>
      </c>
      <c r="H574" s="89" t="s">
        <v>123</v>
      </c>
      <c r="I574" s="602">
        <v>0.38055555555555554</v>
      </c>
      <c r="J574" s="82">
        <v>31018.25</v>
      </c>
      <c r="K574" s="82">
        <v>18.05</v>
      </c>
      <c r="L574" s="82">
        <v>14.55</v>
      </c>
      <c r="M574" s="82">
        <v>0.7</v>
      </c>
      <c r="N574" s="82">
        <v>11.87</v>
      </c>
      <c r="O574" s="89" t="s">
        <v>48</v>
      </c>
      <c r="P574" s="89">
        <v>4</v>
      </c>
      <c r="Q574" s="89">
        <v>10</v>
      </c>
      <c r="R574" s="89" t="s">
        <v>49</v>
      </c>
      <c r="S574" s="89" t="s">
        <v>50</v>
      </c>
      <c r="T574" s="89" t="s">
        <v>50</v>
      </c>
      <c r="U574" s="89" t="s">
        <v>50</v>
      </c>
      <c r="V574" s="89" t="s">
        <v>50</v>
      </c>
      <c r="W574" s="89" t="s">
        <v>50</v>
      </c>
      <c r="X574" s="89" t="s">
        <v>50</v>
      </c>
    </row>
    <row r="575" spans="1:25" x14ac:dyDescent="0.25">
      <c r="A575" s="26">
        <v>43741</v>
      </c>
      <c r="B575" s="89" t="s">
        <v>876</v>
      </c>
      <c r="C575" s="89" t="s">
        <v>118</v>
      </c>
      <c r="D575" s="89">
        <v>38.062280000000001</v>
      </c>
      <c r="E575" s="89">
        <v>-122.28433</v>
      </c>
      <c r="F575" s="89" t="s">
        <v>4093</v>
      </c>
      <c r="G575" s="89" t="s">
        <v>80</v>
      </c>
      <c r="H575" s="89" t="s">
        <v>123</v>
      </c>
      <c r="I575" s="602">
        <v>0.44236111111111115</v>
      </c>
      <c r="J575" s="82">
        <v>25215.5</v>
      </c>
      <c r="K575" s="82">
        <v>18.43</v>
      </c>
      <c r="L575" s="82">
        <v>39.6</v>
      </c>
      <c r="M575" s="82">
        <v>0.44</v>
      </c>
      <c r="N575" s="82">
        <v>8.3000000000000007</v>
      </c>
      <c r="O575" s="89" t="s">
        <v>48</v>
      </c>
      <c r="P575" s="89">
        <v>4</v>
      </c>
      <c r="Q575" s="89">
        <v>10</v>
      </c>
      <c r="R575" s="89" t="s">
        <v>49</v>
      </c>
      <c r="S575" s="89" t="s">
        <v>50</v>
      </c>
      <c r="T575" s="89" t="s">
        <v>50</v>
      </c>
      <c r="U575" s="89" t="s">
        <v>50</v>
      </c>
      <c r="V575" s="89" t="s">
        <v>50</v>
      </c>
      <c r="W575" s="89" t="s">
        <v>50</v>
      </c>
      <c r="X575" s="89" t="s">
        <v>50</v>
      </c>
    </row>
    <row r="576" spans="1:25" s="362" customFormat="1" x14ac:dyDescent="0.25">
      <c r="A576" s="360">
        <v>43741</v>
      </c>
      <c r="B576" s="362" t="s">
        <v>876</v>
      </c>
      <c r="C576" s="362" t="s">
        <v>118</v>
      </c>
      <c r="D576" s="362">
        <v>38.177419999999998</v>
      </c>
      <c r="E576" s="362">
        <v>-122.29517</v>
      </c>
      <c r="F576" s="362" t="s">
        <v>4094</v>
      </c>
      <c r="G576" s="362" t="s">
        <v>80</v>
      </c>
      <c r="H576" s="362" t="s">
        <v>191</v>
      </c>
      <c r="I576" s="618">
        <v>0.51041666666666663</v>
      </c>
      <c r="J576" s="364">
        <v>32912.75</v>
      </c>
      <c r="K576" s="364">
        <v>17.350000000000001</v>
      </c>
      <c r="L576" s="364">
        <v>36.65</v>
      </c>
      <c r="M576" s="364">
        <v>0.42</v>
      </c>
      <c r="N576" s="364">
        <v>7.8</v>
      </c>
      <c r="O576" s="362" t="s">
        <v>48</v>
      </c>
      <c r="P576" s="362">
        <v>4</v>
      </c>
      <c r="Q576" s="362">
        <v>10</v>
      </c>
      <c r="R576" s="362" t="s">
        <v>64</v>
      </c>
      <c r="S576" s="362" t="s">
        <v>50</v>
      </c>
      <c r="T576" s="362" t="s">
        <v>50</v>
      </c>
      <c r="U576" s="362" t="s">
        <v>50</v>
      </c>
      <c r="V576" s="362" t="s">
        <v>50</v>
      </c>
      <c r="W576" s="362" t="s">
        <v>50</v>
      </c>
      <c r="X576" s="362" t="s">
        <v>50</v>
      </c>
      <c r="Y576" s="603"/>
    </row>
    <row r="577" spans="1:25" x14ac:dyDescent="0.25">
      <c r="A577" s="26">
        <v>43745</v>
      </c>
      <c r="B577" s="89" t="s">
        <v>43</v>
      </c>
      <c r="C577" s="89" t="s">
        <v>88</v>
      </c>
      <c r="D577" s="89">
        <v>38.167560000000002</v>
      </c>
      <c r="E577" s="89">
        <v>-121.67569</v>
      </c>
      <c r="F577" s="89" t="s">
        <v>4095</v>
      </c>
      <c r="G577" s="89" t="s">
        <v>90</v>
      </c>
      <c r="H577" s="89" t="s">
        <v>91</v>
      </c>
      <c r="I577" s="602">
        <v>0.34583333333333338</v>
      </c>
      <c r="J577" s="82">
        <v>117.65</v>
      </c>
      <c r="K577" s="82">
        <v>16.5</v>
      </c>
      <c r="L577" s="82">
        <v>6.75</v>
      </c>
      <c r="M577" s="82">
        <v>1.8</v>
      </c>
      <c r="N577" s="82">
        <v>7.3249999999999993</v>
      </c>
      <c r="O577" s="89" t="s">
        <v>48</v>
      </c>
      <c r="P577" s="89">
        <v>4</v>
      </c>
      <c r="Q577" s="89">
        <v>10</v>
      </c>
      <c r="R577" s="89" t="s">
        <v>64</v>
      </c>
      <c r="S577" s="89" t="s">
        <v>50</v>
      </c>
      <c r="T577" s="89" t="s">
        <v>50</v>
      </c>
      <c r="U577" s="89" t="s">
        <v>50</v>
      </c>
      <c r="V577" s="89" t="s">
        <v>50</v>
      </c>
      <c r="W577" s="89" t="s">
        <v>50</v>
      </c>
      <c r="X577" s="89" t="s">
        <v>50</v>
      </c>
    </row>
    <row r="578" spans="1:25" x14ac:dyDescent="0.25">
      <c r="A578" s="26">
        <v>43745</v>
      </c>
      <c r="B578" s="89" t="s">
        <v>43</v>
      </c>
      <c r="C578" s="89" t="s">
        <v>88</v>
      </c>
      <c r="D578" s="89">
        <v>38.154539999999997</v>
      </c>
      <c r="E578" s="89">
        <v>-121.68505</v>
      </c>
      <c r="F578" s="89" t="s">
        <v>4096</v>
      </c>
      <c r="G578" s="89" t="s">
        <v>90</v>
      </c>
      <c r="H578" s="89" t="s">
        <v>91</v>
      </c>
      <c r="I578" s="602">
        <v>0.40069444444444446</v>
      </c>
      <c r="J578" s="82">
        <v>113.05000000000001</v>
      </c>
      <c r="K578" s="82">
        <v>16.475000000000001</v>
      </c>
      <c r="L578" s="82">
        <v>7.7899999999999991</v>
      </c>
      <c r="M578" s="82">
        <v>1.9449999999999998</v>
      </c>
      <c r="N578" s="82">
        <v>5.85</v>
      </c>
      <c r="O578" s="89" t="s">
        <v>48</v>
      </c>
      <c r="P578" s="89">
        <v>4</v>
      </c>
      <c r="Q578" s="89">
        <v>10</v>
      </c>
      <c r="R578" s="89" t="s">
        <v>64</v>
      </c>
      <c r="S578" s="89" t="s">
        <v>50</v>
      </c>
      <c r="T578" s="89" t="s">
        <v>50</v>
      </c>
      <c r="U578" s="89" t="s">
        <v>50</v>
      </c>
      <c r="V578" s="89" t="s">
        <v>50</v>
      </c>
      <c r="W578" s="89" t="s">
        <v>50</v>
      </c>
      <c r="X578" s="89" t="s">
        <v>50</v>
      </c>
    </row>
    <row r="579" spans="1:25" x14ac:dyDescent="0.25">
      <c r="A579" s="26">
        <v>43745</v>
      </c>
      <c r="B579" s="89" t="s">
        <v>43</v>
      </c>
      <c r="C579" s="89" t="s">
        <v>88</v>
      </c>
      <c r="D579" s="89">
        <v>38.062429999999999</v>
      </c>
      <c r="E579" s="89">
        <v>-121.82926</v>
      </c>
      <c r="F579" s="89" t="s">
        <v>4097</v>
      </c>
      <c r="G579" s="89" t="s">
        <v>27</v>
      </c>
      <c r="H579" s="89" t="s">
        <v>25</v>
      </c>
      <c r="I579" s="602">
        <v>0.47500000000000003</v>
      </c>
      <c r="J579" s="82">
        <v>376.17500000000007</v>
      </c>
      <c r="K579" s="82">
        <v>18.55</v>
      </c>
      <c r="L579" s="82">
        <v>17.25</v>
      </c>
      <c r="M579" s="82">
        <v>0.87</v>
      </c>
      <c r="N579" s="82">
        <v>11.674999999999999</v>
      </c>
      <c r="O579" s="89" t="s">
        <v>48</v>
      </c>
      <c r="P579" s="89">
        <v>4</v>
      </c>
      <c r="Q579" s="89">
        <v>10</v>
      </c>
      <c r="R579" s="89" t="s">
        <v>64</v>
      </c>
      <c r="S579" s="89" t="s">
        <v>50</v>
      </c>
      <c r="T579" s="89" t="s">
        <v>50</v>
      </c>
      <c r="U579" s="89" t="s">
        <v>50</v>
      </c>
      <c r="V579" s="89" t="s">
        <v>50</v>
      </c>
      <c r="W579" s="89" t="s">
        <v>50</v>
      </c>
      <c r="X579" s="89" t="s">
        <v>50</v>
      </c>
    </row>
    <row r="580" spans="1:25" s="496" customFormat="1" x14ac:dyDescent="0.25">
      <c r="A580" s="495">
        <v>43745</v>
      </c>
      <c r="B580" s="496" t="s">
        <v>43</v>
      </c>
      <c r="C580" s="496" t="s">
        <v>88</v>
      </c>
      <c r="D580" s="496">
        <v>38.065440000000002</v>
      </c>
      <c r="E580" s="496">
        <v>-121.81849</v>
      </c>
      <c r="F580" s="496" t="s">
        <v>4098</v>
      </c>
      <c r="G580" s="496" t="s">
        <v>27</v>
      </c>
      <c r="H580" s="496" t="s">
        <v>25</v>
      </c>
      <c r="I580" s="615">
        <v>0.52708333333333335</v>
      </c>
      <c r="J580" s="498">
        <v>233.79999999999998</v>
      </c>
      <c r="K580" s="498">
        <v>18.433333333333334</v>
      </c>
      <c r="L580" s="498">
        <v>22.433333333333334</v>
      </c>
      <c r="M580" s="498">
        <v>0.87333333333333341</v>
      </c>
      <c r="N580" s="498">
        <v>6.8666666666666671</v>
      </c>
      <c r="O580" s="496" t="s">
        <v>48</v>
      </c>
      <c r="P580" s="496">
        <v>3</v>
      </c>
      <c r="Q580" s="496">
        <v>10</v>
      </c>
      <c r="R580" s="496" t="s">
        <v>64</v>
      </c>
      <c r="S580" s="496" t="s">
        <v>323</v>
      </c>
      <c r="T580" s="496">
        <v>1</v>
      </c>
      <c r="U580" s="496">
        <v>57</v>
      </c>
      <c r="V580" s="496" t="s">
        <v>66</v>
      </c>
      <c r="W580" s="496" t="s">
        <v>50</v>
      </c>
      <c r="X580" s="496" t="s">
        <v>50</v>
      </c>
      <c r="Y580" s="601" t="s">
        <v>3747</v>
      </c>
    </row>
    <row r="581" spans="1:25" x14ac:dyDescent="0.25">
      <c r="A581" s="26">
        <v>43745</v>
      </c>
      <c r="B581" s="89" t="s">
        <v>43</v>
      </c>
      <c r="C581" s="89" t="s">
        <v>106</v>
      </c>
      <c r="D581" s="89">
        <v>38.184820000000002</v>
      </c>
      <c r="E581" s="89">
        <v>-121.66273</v>
      </c>
      <c r="F581" s="89" t="s">
        <v>4099</v>
      </c>
      <c r="G581" s="89" t="s">
        <v>90</v>
      </c>
      <c r="H581" s="89" t="s">
        <v>362</v>
      </c>
      <c r="I581" s="602">
        <v>0.55069444444444449</v>
      </c>
      <c r="J581" s="82">
        <v>120.375</v>
      </c>
      <c r="K581" s="82">
        <v>16.8</v>
      </c>
      <c r="L581" s="82">
        <v>6.9725000000000001</v>
      </c>
      <c r="M581" s="82">
        <v>1.7449999999999999</v>
      </c>
      <c r="N581" s="82">
        <v>12.15</v>
      </c>
      <c r="O581" s="89" t="s">
        <v>48</v>
      </c>
      <c r="P581" s="89">
        <v>4</v>
      </c>
      <c r="Q581" s="89">
        <v>10</v>
      </c>
      <c r="R581" s="89" t="s">
        <v>64</v>
      </c>
      <c r="S581" s="89" t="s">
        <v>50</v>
      </c>
      <c r="T581" s="89" t="s">
        <v>50</v>
      </c>
      <c r="U581" s="89" t="s">
        <v>50</v>
      </c>
      <c r="V581" s="89" t="s">
        <v>50</v>
      </c>
      <c r="W581" s="89" t="s">
        <v>50</v>
      </c>
      <c r="X581" s="89" t="s">
        <v>50</v>
      </c>
    </row>
    <row r="582" spans="1:25" x14ac:dyDescent="0.25">
      <c r="A582" s="26">
        <v>43745</v>
      </c>
      <c r="B582" s="89" t="s">
        <v>43</v>
      </c>
      <c r="C582" s="89" t="s">
        <v>106</v>
      </c>
      <c r="D582" s="89">
        <v>38.489269999999998</v>
      </c>
      <c r="E582" s="89">
        <v>-121.58485</v>
      </c>
      <c r="F582" s="89" t="s">
        <v>4100</v>
      </c>
      <c r="G582" s="89" t="s">
        <v>90</v>
      </c>
      <c r="H582" s="89" t="s">
        <v>1787</v>
      </c>
      <c r="I582" s="602">
        <v>0.47083333333333338</v>
      </c>
      <c r="J582" s="82">
        <v>787.5</v>
      </c>
      <c r="K582" s="82">
        <v>19.975000000000001</v>
      </c>
      <c r="L582" s="82">
        <v>21.55</v>
      </c>
      <c r="M582" s="82">
        <v>0.50250000000000006</v>
      </c>
      <c r="N582" s="82">
        <v>8.7749999999999986</v>
      </c>
      <c r="O582" s="89" t="s">
        <v>48</v>
      </c>
      <c r="P582" s="89">
        <v>4</v>
      </c>
      <c r="Q582" s="89">
        <v>10</v>
      </c>
      <c r="R582" s="89" t="s">
        <v>64</v>
      </c>
      <c r="S582" s="89" t="s">
        <v>50</v>
      </c>
      <c r="T582" s="89" t="s">
        <v>50</v>
      </c>
      <c r="U582" s="89" t="s">
        <v>50</v>
      </c>
      <c r="V582" s="89" t="s">
        <v>50</v>
      </c>
      <c r="W582" s="89" t="s">
        <v>50</v>
      </c>
      <c r="X582" s="89" t="s">
        <v>50</v>
      </c>
      <c r="Y582" s="600" t="s">
        <v>3518</v>
      </c>
    </row>
    <row r="583" spans="1:25" x14ac:dyDescent="0.25">
      <c r="A583" s="194">
        <v>43745</v>
      </c>
      <c r="B583" s="98" t="s">
        <v>43</v>
      </c>
      <c r="C583" s="98" t="s">
        <v>106</v>
      </c>
      <c r="D583" s="98">
        <v>38.56512</v>
      </c>
      <c r="E583" s="98">
        <v>-121.55209000000001</v>
      </c>
      <c r="F583" s="98" t="s">
        <v>4101</v>
      </c>
      <c r="G583" s="98" t="s">
        <v>90</v>
      </c>
      <c r="H583" s="98" t="s">
        <v>1787</v>
      </c>
      <c r="I583" s="621">
        <v>0.35972222222222222</v>
      </c>
      <c r="J583" s="100">
        <v>948.75</v>
      </c>
      <c r="K583" s="100">
        <v>20.650000000000002</v>
      </c>
      <c r="L583" s="100">
        <v>6.2124999999999995</v>
      </c>
      <c r="M583" s="100">
        <v>1.38</v>
      </c>
      <c r="N583" s="100">
        <v>10.275</v>
      </c>
      <c r="O583" s="98" t="s">
        <v>48</v>
      </c>
      <c r="P583" s="98">
        <v>4</v>
      </c>
      <c r="Q583" s="98">
        <v>10</v>
      </c>
      <c r="R583" s="98" t="s">
        <v>49</v>
      </c>
      <c r="S583" s="98" t="s">
        <v>50</v>
      </c>
      <c r="T583" s="98" t="s">
        <v>50</v>
      </c>
      <c r="U583" s="98" t="s">
        <v>50</v>
      </c>
      <c r="V583" s="98" t="s">
        <v>50</v>
      </c>
      <c r="W583" s="98" t="s">
        <v>50</v>
      </c>
      <c r="X583" s="98" t="s">
        <v>50</v>
      </c>
      <c r="Y583" s="622"/>
    </row>
    <row r="584" spans="1:25" x14ac:dyDescent="0.25">
      <c r="A584" s="26">
        <v>43745</v>
      </c>
      <c r="B584" s="89" t="s">
        <v>43</v>
      </c>
      <c r="C584" s="89" t="s">
        <v>106</v>
      </c>
      <c r="D584" s="89">
        <v>38.561129999999999</v>
      </c>
      <c r="E584" s="89">
        <v>-121.55097000000001</v>
      </c>
      <c r="F584" s="89" t="s">
        <v>4102</v>
      </c>
      <c r="G584" s="89" t="s">
        <v>90</v>
      </c>
      <c r="H584" s="89" t="s">
        <v>1787</v>
      </c>
      <c r="I584" s="602">
        <v>0.40902777777777777</v>
      </c>
      <c r="J584" s="82">
        <v>950.5</v>
      </c>
      <c r="K584" s="82">
        <v>20.65</v>
      </c>
      <c r="L584" s="82">
        <v>4.7675000000000001</v>
      </c>
      <c r="M584" s="82">
        <v>1.4575</v>
      </c>
      <c r="N584" s="82">
        <v>8.8000000000000007</v>
      </c>
      <c r="O584" s="89" t="s">
        <v>48</v>
      </c>
      <c r="P584" s="89">
        <v>4</v>
      </c>
      <c r="Q584" s="89">
        <v>10</v>
      </c>
      <c r="R584" s="89" t="s">
        <v>49</v>
      </c>
      <c r="S584" s="89" t="s">
        <v>50</v>
      </c>
      <c r="T584" s="89" t="s">
        <v>50</v>
      </c>
      <c r="U584" s="89" t="s">
        <v>50</v>
      </c>
      <c r="V584" s="89" t="s">
        <v>50</v>
      </c>
      <c r="W584" s="89" t="s">
        <v>50</v>
      </c>
      <c r="X584" s="89" t="s">
        <v>50</v>
      </c>
    </row>
    <row r="585" spans="1:25" x14ac:dyDescent="0.25">
      <c r="A585" s="26">
        <v>43745</v>
      </c>
      <c r="B585" s="89" t="s">
        <v>43</v>
      </c>
      <c r="C585" s="89" t="s">
        <v>118</v>
      </c>
      <c r="D585" s="89">
        <v>38.104840000000003</v>
      </c>
      <c r="E585" s="89">
        <v>-122.26873999999999</v>
      </c>
      <c r="F585" s="89" t="s">
        <v>4103</v>
      </c>
      <c r="G585" s="89" t="s">
        <v>80</v>
      </c>
      <c r="H585" s="89" t="s">
        <v>191</v>
      </c>
      <c r="I585" s="602">
        <v>0.36458333333333331</v>
      </c>
      <c r="J585" s="82">
        <v>19970.25</v>
      </c>
      <c r="K585" s="82">
        <v>18.224999999999998</v>
      </c>
      <c r="L585" s="82">
        <v>21.125</v>
      </c>
      <c r="M585" s="82">
        <v>0.55249999999999999</v>
      </c>
      <c r="N585" s="82">
        <v>7.0749999999999993</v>
      </c>
      <c r="O585" s="89" t="s">
        <v>48</v>
      </c>
      <c r="P585" s="89">
        <v>4</v>
      </c>
      <c r="Q585" s="89">
        <v>10</v>
      </c>
      <c r="R585" s="89" t="s">
        <v>64</v>
      </c>
      <c r="S585" s="89" t="s">
        <v>50</v>
      </c>
      <c r="T585" s="89" t="s">
        <v>50</v>
      </c>
      <c r="U585" s="89" t="s">
        <v>50</v>
      </c>
      <c r="V585" s="89" t="s">
        <v>50</v>
      </c>
      <c r="W585" s="89" t="s">
        <v>50</v>
      </c>
      <c r="X585" s="89" t="s">
        <v>50</v>
      </c>
    </row>
    <row r="586" spans="1:25" x14ac:dyDescent="0.25">
      <c r="A586" s="26">
        <v>43745</v>
      </c>
      <c r="B586" s="89" t="s">
        <v>43</v>
      </c>
      <c r="C586" s="89" t="s">
        <v>118</v>
      </c>
      <c r="D586" s="89">
        <v>38.028649999999999</v>
      </c>
      <c r="E586" s="89">
        <v>-122.31443</v>
      </c>
      <c r="F586" s="89" t="s">
        <v>4104</v>
      </c>
      <c r="G586" s="89" t="s">
        <v>80</v>
      </c>
      <c r="H586" s="89" t="s">
        <v>123</v>
      </c>
      <c r="I586" s="602">
        <v>0.4375</v>
      </c>
      <c r="J586" s="82">
        <v>34903.5</v>
      </c>
      <c r="K586" s="82">
        <v>17.7</v>
      </c>
      <c r="L586" s="82">
        <v>9.9250000000000007</v>
      </c>
      <c r="M586" s="82">
        <v>1.1825000000000001</v>
      </c>
      <c r="N586" s="82">
        <v>4.0249999999999995</v>
      </c>
      <c r="O586" s="89" t="s">
        <v>48</v>
      </c>
      <c r="P586" s="89">
        <v>4</v>
      </c>
      <c r="Q586" s="89">
        <v>10</v>
      </c>
      <c r="R586" s="89" t="s">
        <v>64</v>
      </c>
      <c r="S586" s="89" t="s">
        <v>50</v>
      </c>
      <c r="T586" s="89" t="s">
        <v>50</v>
      </c>
      <c r="U586" s="89" t="s">
        <v>50</v>
      </c>
      <c r="V586" s="89" t="s">
        <v>50</v>
      </c>
      <c r="W586" s="89" t="s">
        <v>50</v>
      </c>
      <c r="X586" s="89" t="s">
        <v>50</v>
      </c>
    </row>
    <row r="587" spans="1:25" x14ac:dyDescent="0.25">
      <c r="A587" s="194">
        <v>43745</v>
      </c>
      <c r="B587" s="98" t="s">
        <v>43</v>
      </c>
      <c r="C587" s="98" t="s">
        <v>118</v>
      </c>
      <c r="D587" s="98">
        <v>38.042729999999999</v>
      </c>
      <c r="E587" s="98">
        <v>-122.30367</v>
      </c>
      <c r="F587" s="98" t="s">
        <v>4105</v>
      </c>
      <c r="G587" s="98" t="s">
        <v>80</v>
      </c>
      <c r="H587" s="98" t="s">
        <v>123</v>
      </c>
      <c r="I587" s="621">
        <v>0.48680555555555555</v>
      </c>
      <c r="J587" s="100">
        <v>34981.666666666664</v>
      </c>
      <c r="K587" s="100">
        <v>17.625</v>
      </c>
      <c r="L587" s="100">
        <v>4.8624999999999998</v>
      </c>
      <c r="M587" s="100">
        <v>1.3975</v>
      </c>
      <c r="N587" s="100">
        <v>6.375</v>
      </c>
      <c r="O587" s="98" t="s">
        <v>48</v>
      </c>
      <c r="P587" s="98">
        <v>4</v>
      </c>
      <c r="Q587" s="98">
        <v>10</v>
      </c>
      <c r="R587" s="98" t="s">
        <v>64</v>
      </c>
      <c r="S587" s="98" t="s">
        <v>50</v>
      </c>
      <c r="T587" s="98" t="s">
        <v>50</v>
      </c>
      <c r="U587" s="98" t="s">
        <v>50</v>
      </c>
      <c r="V587" s="98" t="s">
        <v>50</v>
      </c>
      <c r="W587" s="98" t="s">
        <v>50</v>
      </c>
      <c r="X587" s="98" t="s">
        <v>50</v>
      </c>
      <c r="Y587" s="622"/>
    </row>
    <row r="588" spans="1:25" x14ac:dyDescent="0.25">
      <c r="A588" s="26">
        <v>43745</v>
      </c>
      <c r="B588" s="89" t="s">
        <v>43</v>
      </c>
      <c r="C588" s="89" t="s">
        <v>118</v>
      </c>
      <c r="D588" s="89">
        <v>38.032490000000003</v>
      </c>
      <c r="E588" s="89">
        <v>-122.14447</v>
      </c>
      <c r="F588" s="89" t="s">
        <v>4106</v>
      </c>
      <c r="G588" s="89" t="s">
        <v>80</v>
      </c>
      <c r="H588" s="89" t="s">
        <v>3332</v>
      </c>
      <c r="I588" s="602">
        <v>0.55138888888888882</v>
      </c>
      <c r="J588" s="100">
        <v>23666</v>
      </c>
      <c r="K588" s="100">
        <v>18.325000000000003</v>
      </c>
      <c r="L588" s="100">
        <v>11.2425</v>
      </c>
      <c r="M588" s="100">
        <v>0.81749999999999989</v>
      </c>
      <c r="N588" s="100">
        <v>15.05</v>
      </c>
      <c r="O588" s="98" t="s">
        <v>48</v>
      </c>
      <c r="P588" s="98">
        <v>4</v>
      </c>
      <c r="Q588" s="98">
        <v>10</v>
      </c>
      <c r="R588" s="89" t="s">
        <v>49</v>
      </c>
      <c r="S588" s="89" t="s">
        <v>50</v>
      </c>
      <c r="T588" s="89" t="s">
        <v>50</v>
      </c>
      <c r="U588" s="89" t="s">
        <v>50</v>
      </c>
      <c r="V588" s="89" t="s">
        <v>50</v>
      </c>
      <c r="W588" s="89" t="s">
        <v>50</v>
      </c>
      <c r="X588" s="89" t="s">
        <v>50</v>
      </c>
    </row>
    <row r="589" spans="1:25" x14ac:dyDescent="0.25">
      <c r="A589" s="26">
        <v>43746</v>
      </c>
      <c r="B589" s="89" t="s">
        <v>849</v>
      </c>
      <c r="C589" s="89" t="s">
        <v>106</v>
      </c>
      <c r="D589" s="89">
        <v>38.440899999999999</v>
      </c>
      <c r="E589" s="89">
        <v>-121.5989</v>
      </c>
      <c r="F589" s="89" t="s">
        <v>4107</v>
      </c>
      <c r="G589" s="89" t="s">
        <v>90</v>
      </c>
      <c r="H589" s="89" t="s">
        <v>362</v>
      </c>
      <c r="I589" s="602">
        <v>0.35138888888888892</v>
      </c>
      <c r="J589" s="82">
        <v>648.5</v>
      </c>
      <c r="K589" s="82">
        <v>19.579999999999998</v>
      </c>
      <c r="L589" s="82">
        <v>21.88</v>
      </c>
      <c r="M589" s="82">
        <v>0.47</v>
      </c>
      <c r="N589" s="82">
        <v>9.5</v>
      </c>
      <c r="O589" s="89" t="s">
        <v>48</v>
      </c>
      <c r="P589" s="89">
        <v>4</v>
      </c>
      <c r="Q589" s="89">
        <v>10</v>
      </c>
      <c r="R589" s="89" t="s">
        <v>49</v>
      </c>
      <c r="S589" s="89" t="s">
        <v>50</v>
      </c>
      <c r="T589" s="89" t="s">
        <v>50</v>
      </c>
      <c r="U589" s="89" t="s">
        <v>50</v>
      </c>
      <c r="V589" s="89" t="s">
        <v>50</v>
      </c>
      <c r="W589" s="89" t="s">
        <v>50</v>
      </c>
      <c r="X589" s="89" t="s">
        <v>50</v>
      </c>
      <c r="Y589" s="600" t="s">
        <v>4108</v>
      </c>
    </row>
    <row r="590" spans="1:25" s="496" customFormat="1" x14ac:dyDescent="0.25">
      <c r="A590" s="495">
        <v>43746</v>
      </c>
      <c r="B590" s="496" t="s">
        <v>849</v>
      </c>
      <c r="C590" s="496" t="s">
        <v>106</v>
      </c>
      <c r="D590" s="496">
        <v>38.39537</v>
      </c>
      <c r="E590" s="496">
        <v>-121.61993</v>
      </c>
      <c r="F590" s="496" t="s">
        <v>4109</v>
      </c>
      <c r="G590" s="496" t="s">
        <v>90</v>
      </c>
      <c r="H590" s="496" t="s">
        <v>362</v>
      </c>
      <c r="I590" s="615">
        <v>0.41388888888888892</v>
      </c>
      <c r="J590" s="498">
        <v>544.75</v>
      </c>
      <c r="K590" s="498">
        <v>19.45</v>
      </c>
      <c r="L590" s="498">
        <v>28.4</v>
      </c>
      <c r="M590" s="498">
        <v>0.38</v>
      </c>
      <c r="N590" s="498">
        <v>9.15</v>
      </c>
      <c r="O590" s="496" t="s">
        <v>48</v>
      </c>
      <c r="P590" s="496">
        <v>4</v>
      </c>
      <c r="Q590" s="496">
        <v>10</v>
      </c>
      <c r="R590" s="496" t="s">
        <v>49</v>
      </c>
      <c r="S590" s="496" t="s">
        <v>323</v>
      </c>
      <c r="T590" s="496">
        <v>1</v>
      </c>
      <c r="U590" s="496">
        <v>53</v>
      </c>
      <c r="V590" s="496" t="s">
        <v>50</v>
      </c>
      <c r="W590" s="496" t="s">
        <v>50</v>
      </c>
      <c r="X590" s="496" t="s">
        <v>50</v>
      </c>
      <c r="Y590" s="601" t="s">
        <v>4110</v>
      </c>
    </row>
    <row r="591" spans="1:25" x14ac:dyDescent="0.25">
      <c r="A591" s="26">
        <v>43746</v>
      </c>
      <c r="B591" s="89" t="s">
        <v>849</v>
      </c>
      <c r="C591" s="89" t="s">
        <v>106</v>
      </c>
      <c r="D591" s="89">
        <v>38.215229999999998</v>
      </c>
      <c r="E591" s="89">
        <v>-121.67036</v>
      </c>
      <c r="F591" s="89" t="s">
        <v>4111</v>
      </c>
      <c r="G591" s="89" t="s">
        <v>90</v>
      </c>
      <c r="H591" s="89" t="s">
        <v>362</v>
      </c>
      <c r="I591" s="602">
        <v>0.49374999999999997</v>
      </c>
      <c r="J591" s="82">
        <v>122.28</v>
      </c>
      <c r="K591" s="82">
        <v>17.05</v>
      </c>
      <c r="L591" s="82">
        <v>9.16</v>
      </c>
      <c r="M591" s="82">
        <v>1.44</v>
      </c>
      <c r="N591" s="82">
        <v>12.9</v>
      </c>
      <c r="O591" s="89" t="s">
        <v>48</v>
      </c>
      <c r="P591" s="89">
        <v>4</v>
      </c>
      <c r="Q591" s="89">
        <v>10</v>
      </c>
      <c r="R591" s="89" t="s">
        <v>64</v>
      </c>
      <c r="S591" s="89" t="s">
        <v>50</v>
      </c>
      <c r="T591" s="89" t="s">
        <v>50</v>
      </c>
      <c r="U591" s="89" t="s">
        <v>50</v>
      </c>
      <c r="V591" s="89" t="s">
        <v>50</v>
      </c>
      <c r="W591" s="89" t="s">
        <v>50</v>
      </c>
      <c r="X591" s="89" t="s">
        <v>50</v>
      </c>
    </row>
    <row r="592" spans="1:25" x14ac:dyDescent="0.25">
      <c r="A592" s="26">
        <v>43746</v>
      </c>
      <c r="B592" s="89" t="s">
        <v>849</v>
      </c>
      <c r="C592" s="89" t="s">
        <v>88</v>
      </c>
      <c r="D592" s="89">
        <v>38.071330000000003</v>
      </c>
      <c r="E592" s="89">
        <v>-121.7718</v>
      </c>
      <c r="F592" s="89" t="s">
        <v>4112</v>
      </c>
      <c r="G592" s="89" t="s">
        <v>27</v>
      </c>
      <c r="H592" s="89" t="s">
        <v>25</v>
      </c>
      <c r="I592" s="602">
        <v>0.34236111111111112</v>
      </c>
      <c r="J592" s="82">
        <v>120.03</v>
      </c>
      <c r="K592" s="82">
        <v>17.23</v>
      </c>
      <c r="L592" s="82">
        <v>6.89</v>
      </c>
      <c r="M592" s="82">
        <v>1.88</v>
      </c>
      <c r="N592" s="82">
        <v>8.8000000000000007</v>
      </c>
      <c r="O592" s="89" t="s">
        <v>48</v>
      </c>
      <c r="P592" s="89">
        <v>4</v>
      </c>
      <c r="Q592" s="89">
        <v>10</v>
      </c>
      <c r="R592" s="89" t="s">
        <v>64</v>
      </c>
      <c r="S592" s="89" t="s">
        <v>50</v>
      </c>
      <c r="T592" s="89" t="s">
        <v>50</v>
      </c>
      <c r="U592" s="89" t="s">
        <v>50</v>
      </c>
      <c r="V592" s="89" t="s">
        <v>50</v>
      </c>
      <c r="W592" s="89" t="s">
        <v>50</v>
      </c>
      <c r="X592" s="89" t="s">
        <v>50</v>
      </c>
    </row>
    <row r="593" spans="1:25" x14ac:dyDescent="0.25">
      <c r="A593" s="26">
        <v>43746</v>
      </c>
      <c r="B593" s="89" t="s">
        <v>849</v>
      </c>
      <c r="C593" s="89" t="s">
        <v>88</v>
      </c>
      <c r="D593" s="89">
        <v>38.081499999999998</v>
      </c>
      <c r="E593" s="89">
        <v>-121.73095000000001</v>
      </c>
      <c r="F593" s="89" t="s">
        <v>4113</v>
      </c>
      <c r="G593" s="89" t="s">
        <v>90</v>
      </c>
      <c r="H593" s="89" t="s">
        <v>91</v>
      </c>
      <c r="I593" s="602">
        <v>0.40208333333333335</v>
      </c>
      <c r="J593" s="82">
        <v>123.2</v>
      </c>
      <c r="K593" s="82">
        <v>17.55</v>
      </c>
      <c r="L593" s="82">
        <v>6.55</v>
      </c>
      <c r="M593" s="82">
        <v>1.9</v>
      </c>
      <c r="N593" s="82">
        <v>5.98</v>
      </c>
      <c r="O593" s="89" t="s">
        <v>48</v>
      </c>
      <c r="P593" s="89">
        <v>4</v>
      </c>
      <c r="Q593" s="89">
        <v>10</v>
      </c>
      <c r="R593" s="89" t="s">
        <v>64</v>
      </c>
      <c r="S593" s="89" t="s">
        <v>50</v>
      </c>
      <c r="T593" s="89" t="s">
        <v>50</v>
      </c>
      <c r="U593" s="89" t="s">
        <v>50</v>
      </c>
      <c r="V593" s="89" t="s">
        <v>50</v>
      </c>
      <c r="W593" s="89" t="s">
        <v>50</v>
      </c>
      <c r="X593" s="89" t="s">
        <v>50</v>
      </c>
    </row>
    <row r="594" spans="1:25" x14ac:dyDescent="0.25">
      <c r="A594" s="194">
        <v>43746</v>
      </c>
      <c r="B594" s="98" t="s">
        <v>849</v>
      </c>
      <c r="C594" s="98" t="s">
        <v>88</v>
      </c>
      <c r="D594" s="98">
        <v>38.1387</v>
      </c>
      <c r="E594" s="98">
        <v>-121.69404</v>
      </c>
      <c r="F594" s="98" t="s">
        <v>4114</v>
      </c>
      <c r="G594" s="98" t="s">
        <v>90</v>
      </c>
      <c r="H594" s="98" t="s">
        <v>91</v>
      </c>
      <c r="I594" s="621">
        <v>0.4604166666666667</v>
      </c>
      <c r="J594" s="100">
        <v>115.35</v>
      </c>
      <c r="K594" s="100">
        <v>16.850000000000001</v>
      </c>
      <c r="L594" s="100">
        <v>6.33</v>
      </c>
      <c r="M594" s="100">
        <v>1.88</v>
      </c>
      <c r="N594" s="100">
        <v>11.98</v>
      </c>
      <c r="O594" s="98" t="s">
        <v>48</v>
      </c>
      <c r="P594" s="98">
        <v>4</v>
      </c>
      <c r="Q594" s="98">
        <v>10</v>
      </c>
      <c r="R594" s="98" t="s">
        <v>64</v>
      </c>
      <c r="S594" s="98" t="s">
        <v>50</v>
      </c>
      <c r="T594" s="98" t="s">
        <v>50</v>
      </c>
      <c r="U594" s="98" t="s">
        <v>50</v>
      </c>
      <c r="V594" s="98" t="s">
        <v>50</v>
      </c>
      <c r="W594" s="98" t="s">
        <v>50</v>
      </c>
      <c r="X594" s="98" t="s">
        <v>50</v>
      </c>
      <c r="Y594" s="622"/>
    </row>
    <row r="595" spans="1:25" x14ac:dyDescent="0.25">
      <c r="A595" s="26">
        <v>43746</v>
      </c>
      <c r="B595" s="89" t="s">
        <v>849</v>
      </c>
      <c r="C595" s="89" t="s">
        <v>88</v>
      </c>
      <c r="D595" s="89">
        <v>38.110579999999999</v>
      </c>
      <c r="E595" s="89">
        <v>-121.69217</v>
      </c>
      <c r="F595" s="89" t="s">
        <v>4115</v>
      </c>
      <c r="G595" s="89" t="s">
        <v>90</v>
      </c>
      <c r="H595" s="89" t="s">
        <v>91</v>
      </c>
      <c r="I595" s="602">
        <v>0.51111111111111118</v>
      </c>
      <c r="J595" s="82">
        <v>135.93</v>
      </c>
      <c r="K595" s="82">
        <v>18.3</v>
      </c>
      <c r="L595" s="82">
        <v>7.42</v>
      </c>
      <c r="M595" s="82">
        <v>1.65</v>
      </c>
      <c r="N595" s="82">
        <v>7.88</v>
      </c>
      <c r="O595" s="89" t="s">
        <v>48</v>
      </c>
      <c r="P595" s="89">
        <v>4</v>
      </c>
      <c r="Q595" s="89">
        <v>10</v>
      </c>
      <c r="R595" s="89" t="s">
        <v>64</v>
      </c>
      <c r="S595" s="89" t="s">
        <v>50</v>
      </c>
      <c r="T595" s="89" t="s">
        <v>50</v>
      </c>
      <c r="U595" s="89" t="s">
        <v>50</v>
      </c>
      <c r="V595" s="89" t="s">
        <v>50</v>
      </c>
      <c r="W595" s="89" t="s">
        <v>50</v>
      </c>
      <c r="X595" s="89" t="s">
        <v>50</v>
      </c>
    </row>
    <row r="596" spans="1:25" x14ac:dyDescent="0.25">
      <c r="A596" s="26">
        <v>43746</v>
      </c>
      <c r="B596" s="89" t="s">
        <v>849</v>
      </c>
      <c r="C596" s="89" t="s">
        <v>78</v>
      </c>
      <c r="D596" s="89">
        <v>38.040680000000002</v>
      </c>
      <c r="E596" s="89">
        <v>-122.11123000000001</v>
      </c>
      <c r="F596" s="89" t="s">
        <v>4116</v>
      </c>
      <c r="G596" s="89" t="s">
        <v>80</v>
      </c>
      <c r="H596" s="89" t="s">
        <v>81</v>
      </c>
      <c r="I596" s="602">
        <v>0.30972222222222223</v>
      </c>
      <c r="J596" s="100">
        <v>12201.75</v>
      </c>
      <c r="K596" s="100">
        <v>18.38</v>
      </c>
      <c r="L596" s="100">
        <v>16.600000000000001</v>
      </c>
      <c r="M596" s="100">
        <v>0.64</v>
      </c>
      <c r="N596" s="100">
        <v>10.98</v>
      </c>
      <c r="O596" s="98" t="s">
        <v>48</v>
      </c>
      <c r="P596" s="98">
        <v>4</v>
      </c>
      <c r="Q596" s="98">
        <v>10</v>
      </c>
      <c r="R596" s="89" t="s">
        <v>64</v>
      </c>
      <c r="S596" s="89" t="s">
        <v>50</v>
      </c>
      <c r="T596" s="89" t="s">
        <v>50</v>
      </c>
      <c r="U596" s="89" t="s">
        <v>50</v>
      </c>
      <c r="V596" s="89" t="s">
        <v>50</v>
      </c>
      <c r="W596" s="89" t="s">
        <v>50</v>
      </c>
      <c r="X596" s="89" t="s">
        <v>50</v>
      </c>
    </row>
    <row r="597" spans="1:25" x14ac:dyDescent="0.25">
      <c r="A597" s="26">
        <v>43746</v>
      </c>
      <c r="B597" s="89" t="s">
        <v>849</v>
      </c>
      <c r="C597" s="89" t="s">
        <v>78</v>
      </c>
      <c r="D597" s="89">
        <v>38.088160000000002</v>
      </c>
      <c r="E597" s="89">
        <v>-122.00082999999999</v>
      </c>
      <c r="F597" s="89" t="s">
        <v>4117</v>
      </c>
      <c r="G597" s="89" t="s">
        <v>27</v>
      </c>
      <c r="H597" s="89" t="s">
        <v>86</v>
      </c>
      <c r="I597" s="602">
        <v>0.40833333333333338</v>
      </c>
      <c r="J597" s="82">
        <v>5603.5</v>
      </c>
      <c r="K597" s="82">
        <v>18.5</v>
      </c>
      <c r="L597" s="82">
        <v>21.13</v>
      </c>
      <c r="M597" s="82">
        <v>0.51</v>
      </c>
      <c r="N597" s="82">
        <v>7.2</v>
      </c>
      <c r="O597" s="89" t="s">
        <v>48</v>
      </c>
      <c r="P597" s="89">
        <v>4</v>
      </c>
      <c r="Q597" s="89">
        <v>10</v>
      </c>
      <c r="R597" s="89" t="s">
        <v>64</v>
      </c>
      <c r="S597" s="89" t="s">
        <v>50</v>
      </c>
      <c r="T597" s="89" t="s">
        <v>50</v>
      </c>
      <c r="U597" s="89" t="s">
        <v>50</v>
      </c>
      <c r="V597" s="89" t="s">
        <v>50</v>
      </c>
      <c r="W597" s="89" t="s">
        <v>50</v>
      </c>
      <c r="X597" s="89" t="s">
        <v>50</v>
      </c>
      <c r="Y597" s="600" t="s">
        <v>4118</v>
      </c>
    </row>
    <row r="598" spans="1:25" x14ac:dyDescent="0.25">
      <c r="A598" s="26">
        <v>43746</v>
      </c>
      <c r="B598" s="89" t="s">
        <v>849</v>
      </c>
      <c r="C598" s="89" t="s">
        <v>78</v>
      </c>
      <c r="D598" s="89">
        <v>38.057000000000002</v>
      </c>
      <c r="E598" s="89">
        <v>-121.9829</v>
      </c>
      <c r="F598" s="89" t="s">
        <v>4119</v>
      </c>
      <c r="G598" s="89" t="s">
        <v>27</v>
      </c>
      <c r="H598" s="89" t="s">
        <v>86</v>
      </c>
      <c r="I598" s="602">
        <v>0.46180555555555558</v>
      </c>
      <c r="J598" s="82">
        <v>6302.5</v>
      </c>
      <c r="K598" s="82">
        <v>18.7</v>
      </c>
      <c r="L598" s="82">
        <v>17.55</v>
      </c>
      <c r="M598" s="82">
        <v>0.62</v>
      </c>
      <c r="N598" s="82">
        <v>11.63</v>
      </c>
      <c r="O598" s="89" t="s">
        <v>48</v>
      </c>
      <c r="P598" s="89">
        <v>4</v>
      </c>
      <c r="Q598" s="89">
        <v>10</v>
      </c>
      <c r="R598" s="89" t="s">
        <v>64</v>
      </c>
      <c r="S598" s="89" t="s">
        <v>50</v>
      </c>
      <c r="T598" s="89" t="s">
        <v>50</v>
      </c>
      <c r="U598" s="89" t="s">
        <v>50</v>
      </c>
      <c r="V598" s="89" t="s">
        <v>50</v>
      </c>
      <c r="W598" s="89" t="s">
        <v>50</v>
      </c>
      <c r="X598" s="89" t="s">
        <v>50</v>
      </c>
    </row>
    <row r="599" spans="1:25" x14ac:dyDescent="0.25">
      <c r="A599" s="26">
        <v>43746</v>
      </c>
      <c r="B599" s="89" t="s">
        <v>849</v>
      </c>
      <c r="C599" s="98" t="s">
        <v>78</v>
      </c>
      <c r="D599" s="98">
        <v>38.042459999999998</v>
      </c>
      <c r="E599" s="98">
        <v>-121.89386</v>
      </c>
      <c r="F599" s="98" t="s">
        <v>4120</v>
      </c>
      <c r="G599" s="98" t="s">
        <v>27</v>
      </c>
      <c r="H599" s="98" t="s">
        <v>101</v>
      </c>
      <c r="I599" s="602">
        <v>0.51874999999999993</v>
      </c>
      <c r="J599" s="100">
        <v>2204.31</v>
      </c>
      <c r="K599" s="100">
        <v>18.95</v>
      </c>
      <c r="L599" s="100">
        <v>20.85</v>
      </c>
      <c r="M599" s="100">
        <v>0.56999999999999995</v>
      </c>
      <c r="N599" s="100">
        <v>15.48</v>
      </c>
      <c r="O599" s="98" t="s">
        <v>48</v>
      </c>
      <c r="P599" s="98">
        <v>4</v>
      </c>
      <c r="Q599" s="98">
        <v>10</v>
      </c>
      <c r="R599" s="89" t="s">
        <v>64</v>
      </c>
      <c r="S599" s="89" t="s">
        <v>50</v>
      </c>
      <c r="T599" s="89" t="s">
        <v>50</v>
      </c>
      <c r="U599" s="89" t="s">
        <v>50</v>
      </c>
      <c r="V599" s="89" t="s">
        <v>50</v>
      </c>
      <c r="W599" s="89" t="s">
        <v>50</v>
      </c>
      <c r="X599" s="89" t="s">
        <v>50</v>
      </c>
    </row>
    <row r="600" spans="1:25" x14ac:dyDescent="0.25">
      <c r="A600" s="26">
        <v>43747</v>
      </c>
      <c r="B600" s="89" t="s">
        <v>87</v>
      </c>
      <c r="C600" s="89" t="s">
        <v>126</v>
      </c>
      <c r="D600" s="89">
        <v>38.249980000000001</v>
      </c>
      <c r="E600" s="89">
        <v>-121.71789</v>
      </c>
      <c r="F600" s="89" t="s">
        <v>4121</v>
      </c>
      <c r="G600" s="89" t="s">
        <v>90</v>
      </c>
      <c r="H600" s="89" t="s">
        <v>845</v>
      </c>
      <c r="I600" s="602">
        <v>0.32777777777777778</v>
      </c>
      <c r="J600" s="82">
        <v>154.63</v>
      </c>
      <c r="K600" s="82">
        <v>17.93</v>
      </c>
      <c r="L600" s="82">
        <v>5.77</v>
      </c>
      <c r="M600" s="82">
        <v>1.36</v>
      </c>
      <c r="N600" s="82">
        <v>4.7</v>
      </c>
      <c r="O600" s="89" t="s">
        <v>48</v>
      </c>
      <c r="P600" s="89">
        <v>4</v>
      </c>
      <c r="Q600" s="89">
        <v>10</v>
      </c>
      <c r="R600" s="89" t="s">
        <v>49</v>
      </c>
      <c r="S600" s="89" t="s">
        <v>50</v>
      </c>
      <c r="T600" s="89" t="s">
        <v>50</v>
      </c>
      <c r="U600" s="89" t="s">
        <v>50</v>
      </c>
      <c r="V600" s="89" t="s">
        <v>50</v>
      </c>
      <c r="W600" s="89" t="s">
        <v>50</v>
      </c>
      <c r="X600" s="89" t="s">
        <v>50</v>
      </c>
      <c r="Y600" s="600" t="s">
        <v>4122</v>
      </c>
    </row>
    <row r="601" spans="1:25" s="150" customFormat="1" x14ac:dyDescent="0.25">
      <c r="A601" s="178">
        <v>43747</v>
      </c>
      <c r="B601" s="150" t="s">
        <v>87</v>
      </c>
      <c r="C601" s="150" t="s">
        <v>126</v>
      </c>
      <c r="D601" s="150">
        <v>38.279049999999998</v>
      </c>
      <c r="E601" s="150">
        <v>-121.71159</v>
      </c>
      <c r="F601" s="150" t="s">
        <v>4123</v>
      </c>
      <c r="G601" s="150" t="s">
        <v>90</v>
      </c>
      <c r="H601" s="150" t="s">
        <v>845</v>
      </c>
      <c r="I601" s="614">
        <v>0.37638888888888888</v>
      </c>
      <c r="J601" s="197" t="s">
        <v>50</v>
      </c>
      <c r="K601" s="197" t="s">
        <v>50</v>
      </c>
      <c r="L601" s="197" t="s">
        <v>50</v>
      </c>
      <c r="M601" s="197" t="s">
        <v>50</v>
      </c>
      <c r="N601" s="197" t="s">
        <v>50</v>
      </c>
      <c r="O601" s="150" t="s">
        <v>48</v>
      </c>
      <c r="P601" s="150">
        <v>0</v>
      </c>
      <c r="Q601" s="150" t="s">
        <v>50</v>
      </c>
      <c r="R601" s="150" t="s">
        <v>50</v>
      </c>
      <c r="S601" s="150" t="s">
        <v>50</v>
      </c>
      <c r="T601" s="150" t="s">
        <v>50</v>
      </c>
      <c r="U601" s="150" t="s">
        <v>50</v>
      </c>
      <c r="V601" s="150" t="s">
        <v>50</v>
      </c>
      <c r="W601" s="150" t="s">
        <v>50</v>
      </c>
      <c r="X601" s="150" t="s">
        <v>50</v>
      </c>
      <c r="Y601" s="604" t="s">
        <v>4124</v>
      </c>
    </row>
    <row r="602" spans="1:25" x14ac:dyDescent="0.25">
      <c r="A602" s="26">
        <v>43747</v>
      </c>
      <c r="B602" s="89" t="s">
        <v>87</v>
      </c>
      <c r="C602" s="89" t="s">
        <v>126</v>
      </c>
      <c r="D602" s="89">
        <v>38.32414</v>
      </c>
      <c r="E602" s="89">
        <v>-121.66719999999999</v>
      </c>
      <c r="F602" s="89" t="s">
        <v>4125</v>
      </c>
      <c r="G602" s="89" t="s">
        <v>90</v>
      </c>
      <c r="H602" s="89" t="s">
        <v>845</v>
      </c>
      <c r="I602" s="602">
        <v>0.39652777777777781</v>
      </c>
      <c r="J602" s="82">
        <v>267.13</v>
      </c>
      <c r="K602" s="82">
        <v>17.579999999999998</v>
      </c>
      <c r="L602" s="82">
        <v>11</v>
      </c>
      <c r="M602" s="82">
        <v>0.75</v>
      </c>
      <c r="N602" s="82">
        <v>4.93</v>
      </c>
      <c r="O602" s="89" t="s">
        <v>48</v>
      </c>
      <c r="P602" s="89">
        <v>4</v>
      </c>
      <c r="Q602" s="89">
        <v>10</v>
      </c>
      <c r="R602" s="89" t="s">
        <v>49</v>
      </c>
      <c r="S602" s="89" t="s">
        <v>50</v>
      </c>
      <c r="T602" s="89" t="s">
        <v>50</v>
      </c>
      <c r="U602" s="89" t="s">
        <v>50</v>
      </c>
      <c r="V602" s="89" t="s">
        <v>50</v>
      </c>
      <c r="W602" s="89" t="s">
        <v>50</v>
      </c>
      <c r="X602" s="89" t="s">
        <v>50</v>
      </c>
      <c r="Y602" s="600" t="s">
        <v>4126</v>
      </c>
    </row>
    <row r="603" spans="1:25" s="150" customFormat="1" x14ac:dyDescent="0.25">
      <c r="A603" s="178">
        <v>43747</v>
      </c>
      <c r="B603" s="150" t="s">
        <v>87</v>
      </c>
      <c r="C603" s="150" t="s">
        <v>126</v>
      </c>
      <c r="D603" s="150">
        <v>38.2423</v>
      </c>
      <c r="E603" s="150">
        <v>-121.67442</v>
      </c>
      <c r="F603" s="150" t="s">
        <v>4127</v>
      </c>
      <c r="G603" s="150" t="s">
        <v>90</v>
      </c>
      <c r="H603" s="150" t="s">
        <v>845</v>
      </c>
      <c r="I603" s="614">
        <v>0.4548611111111111</v>
      </c>
      <c r="J603" s="197">
        <v>121.9</v>
      </c>
      <c r="K603" s="197">
        <v>17.3</v>
      </c>
      <c r="L603" s="197">
        <v>7.41</v>
      </c>
      <c r="M603" s="197">
        <v>1.1000000000000001</v>
      </c>
      <c r="N603" s="197">
        <v>3.9</v>
      </c>
      <c r="O603" s="150" t="s">
        <v>48</v>
      </c>
      <c r="P603" s="150">
        <v>1</v>
      </c>
      <c r="Q603" s="150">
        <v>10</v>
      </c>
      <c r="R603" s="150" t="s">
        <v>64</v>
      </c>
      <c r="S603" s="150" t="s">
        <v>50</v>
      </c>
      <c r="T603" s="150" t="s">
        <v>50</v>
      </c>
      <c r="U603" s="150" t="s">
        <v>50</v>
      </c>
      <c r="V603" s="150" t="s">
        <v>50</v>
      </c>
      <c r="W603" s="150" t="s">
        <v>50</v>
      </c>
      <c r="X603" s="150" t="s">
        <v>50</v>
      </c>
      <c r="Y603" s="604" t="s">
        <v>4128</v>
      </c>
    </row>
    <row r="604" spans="1:25" x14ac:dyDescent="0.25">
      <c r="A604" s="26">
        <v>43747</v>
      </c>
      <c r="B604" s="89" t="s">
        <v>87</v>
      </c>
      <c r="C604" s="89" t="s">
        <v>126</v>
      </c>
      <c r="D604" s="89">
        <v>38.314369999999997</v>
      </c>
      <c r="E604" s="89">
        <v>-121.69311</v>
      </c>
      <c r="F604" s="89" t="s">
        <v>4129</v>
      </c>
      <c r="G604" s="89" t="s">
        <v>90</v>
      </c>
      <c r="H604" s="89" t="s">
        <v>845</v>
      </c>
      <c r="I604" s="602">
        <v>0.49513888888888885</v>
      </c>
      <c r="J604" s="82">
        <v>320.52999999999997</v>
      </c>
      <c r="K604" s="82">
        <v>17.97</v>
      </c>
      <c r="L604" s="82">
        <v>5.64</v>
      </c>
      <c r="M604" s="82">
        <v>1.0900000000000001</v>
      </c>
      <c r="N604" s="82">
        <v>5.07</v>
      </c>
      <c r="O604" s="89" t="s">
        <v>48</v>
      </c>
      <c r="P604" s="89">
        <v>3</v>
      </c>
      <c r="Q604" s="89">
        <v>10</v>
      </c>
      <c r="R604" s="89" t="s">
        <v>64</v>
      </c>
      <c r="S604" s="89" t="s">
        <v>50</v>
      </c>
      <c r="T604" s="89" t="s">
        <v>50</v>
      </c>
      <c r="U604" s="89" t="s">
        <v>50</v>
      </c>
      <c r="V604" s="89" t="s">
        <v>50</v>
      </c>
      <c r="W604" s="89" t="s">
        <v>50</v>
      </c>
      <c r="X604" s="89" t="s">
        <v>50</v>
      </c>
      <c r="Y604" s="600" t="s">
        <v>4130</v>
      </c>
    </row>
    <row r="605" spans="1:25" x14ac:dyDescent="0.25">
      <c r="A605" s="26">
        <v>43747</v>
      </c>
      <c r="B605" s="89" t="s">
        <v>87</v>
      </c>
      <c r="C605" s="89" t="s">
        <v>78</v>
      </c>
      <c r="D605" s="89">
        <v>38.065669999999997</v>
      </c>
      <c r="E605" s="89">
        <v>-122.05622</v>
      </c>
      <c r="F605" s="89" t="s">
        <v>4131</v>
      </c>
      <c r="G605" s="89" t="s">
        <v>80</v>
      </c>
      <c r="H605" s="89" t="s">
        <v>81</v>
      </c>
      <c r="I605" s="602">
        <v>0.36041666666666666</v>
      </c>
      <c r="J605" s="82">
        <v>8019.75</v>
      </c>
      <c r="K605" s="82">
        <v>18.399999999999999</v>
      </c>
      <c r="L605" s="82">
        <v>22.68</v>
      </c>
      <c r="M605" s="82">
        <v>0.72</v>
      </c>
      <c r="N605" s="82">
        <v>13.23</v>
      </c>
      <c r="O605" s="89" t="s">
        <v>48</v>
      </c>
      <c r="P605" s="89">
        <v>4</v>
      </c>
      <c r="Q605" s="89">
        <v>10</v>
      </c>
      <c r="R605" s="89" t="s">
        <v>64</v>
      </c>
      <c r="S605" s="89" t="s">
        <v>50</v>
      </c>
      <c r="T605" s="89" t="s">
        <v>50</v>
      </c>
      <c r="U605" s="89" t="s">
        <v>50</v>
      </c>
      <c r="V605" s="89" t="s">
        <v>50</v>
      </c>
      <c r="W605" s="89" t="s">
        <v>50</v>
      </c>
      <c r="X605" s="89" t="s">
        <v>50</v>
      </c>
      <c r="Y605" s="600" t="s">
        <v>4132</v>
      </c>
    </row>
    <row r="606" spans="1:25" x14ac:dyDescent="0.25">
      <c r="A606" s="194">
        <v>43747</v>
      </c>
      <c r="B606" s="98" t="s">
        <v>87</v>
      </c>
      <c r="C606" s="98" t="s">
        <v>78</v>
      </c>
      <c r="D606" s="98">
        <v>38.043559999999999</v>
      </c>
      <c r="E606" s="98">
        <v>-121.91154</v>
      </c>
      <c r="F606" s="98" t="s">
        <v>4133</v>
      </c>
      <c r="G606" s="98" t="s">
        <v>27</v>
      </c>
      <c r="H606" s="98" t="s">
        <v>101</v>
      </c>
      <c r="I606" s="621">
        <v>0.42083333333333334</v>
      </c>
      <c r="J606" s="100">
        <v>865.25</v>
      </c>
      <c r="K606" s="100">
        <v>18.63</v>
      </c>
      <c r="L606" s="100">
        <v>17.03</v>
      </c>
      <c r="M606" s="100">
        <v>0.79</v>
      </c>
      <c r="N606" s="100">
        <v>16.05</v>
      </c>
      <c r="O606" s="98" t="s">
        <v>48</v>
      </c>
      <c r="P606" s="98">
        <v>4</v>
      </c>
      <c r="Q606" s="98">
        <v>10</v>
      </c>
      <c r="R606" s="98" t="s">
        <v>64</v>
      </c>
      <c r="S606" s="98" t="s">
        <v>50</v>
      </c>
      <c r="T606" s="98" t="s">
        <v>50</v>
      </c>
      <c r="U606" s="98" t="s">
        <v>50</v>
      </c>
      <c r="V606" s="98" t="s">
        <v>50</v>
      </c>
      <c r="W606" s="98" t="s">
        <v>50</v>
      </c>
      <c r="X606" s="98" t="s">
        <v>50</v>
      </c>
      <c r="Y606" s="622"/>
    </row>
    <row r="607" spans="1:25" x14ac:dyDescent="0.25">
      <c r="A607" s="26">
        <v>43747</v>
      </c>
      <c r="B607" s="89" t="s">
        <v>87</v>
      </c>
      <c r="C607" s="89" t="s">
        <v>78</v>
      </c>
      <c r="D607" s="89">
        <v>38.063299999999998</v>
      </c>
      <c r="E607" s="196">
        <v>-122.05097000000001</v>
      </c>
      <c r="F607" s="89" t="s">
        <v>4134</v>
      </c>
      <c r="G607" s="89" t="s">
        <v>27</v>
      </c>
      <c r="H607" s="89" t="s">
        <v>101</v>
      </c>
      <c r="I607" s="602">
        <v>0.48333333333333334</v>
      </c>
      <c r="J607" s="82">
        <v>433.68</v>
      </c>
      <c r="K607" s="82">
        <v>18.350000000000001</v>
      </c>
      <c r="L607" s="82">
        <v>15.4</v>
      </c>
      <c r="M607" s="82">
        <v>0.85</v>
      </c>
      <c r="N607" s="82">
        <v>11.68</v>
      </c>
      <c r="O607" s="89" t="s">
        <v>48</v>
      </c>
      <c r="P607" s="89">
        <v>4</v>
      </c>
      <c r="Q607" s="89">
        <v>10</v>
      </c>
      <c r="R607" s="89" t="s">
        <v>64</v>
      </c>
      <c r="S607" s="89" t="s">
        <v>50</v>
      </c>
      <c r="T607" s="89" t="s">
        <v>50</v>
      </c>
      <c r="U607" s="89" t="s">
        <v>50</v>
      </c>
      <c r="V607" s="89" t="s">
        <v>50</v>
      </c>
      <c r="W607" s="89" t="s">
        <v>50</v>
      </c>
      <c r="X607" s="89" t="s">
        <v>50</v>
      </c>
    </row>
    <row r="608" spans="1:25" x14ac:dyDescent="0.25">
      <c r="A608" s="26">
        <v>43747</v>
      </c>
      <c r="B608" s="89" t="s">
        <v>87</v>
      </c>
      <c r="C608" s="89" t="s">
        <v>62</v>
      </c>
      <c r="D608" s="89">
        <v>38.103360000000002</v>
      </c>
      <c r="E608" s="89">
        <v>-122.05364</v>
      </c>
      <c r="F608" s="89" t="s">
        <v>4135</v>
      </c>
      <c r="G608" s="89" t="s">
        <v>27</v>
      </c>
      <c r="H608" s="89" t="s">
        <v>173</v>
      </c>
      <c r="I608" s="602">
        <v>0.34513888888888888</v>
      </c>
      <c r="J608" s="82">
        <v>9697</v>
      </c>
      <c r="K608" s="82">
        <v>18.149999999999999</v>
      </c>
      <c r="L608" s="82">
        <v>21.7</v>
      </c>
      <c r="M608" s="82">
        <v>0.56000000000000005</v>
      </c>
      <c r="N608" s="82">
        <v>3.58</v>
      </c>
      <c r="O608" s="89" t="s">
        <v>48</v>
      </c>
      <c r="P608" s="89">
        <v>4</v>
      </c>
      <c r="Q608" s="89">
        <v>10</v>
      </c>
      <c r="R608" s="89" t="s">
        <v>64</v>
      </c>
      <c r="S608" s="89" t="s">
        <v>50</v>
      </c>
      <c r="T608" s="89" t="s">
        <v>50</v>
      </c>
      <c r="U608" s="89" t="s">
        <v>50</v>
      </c>
      <c r="V608" s="89" t="s">
        <v>50</v>
      </c>
      <c r="W608" s="89" t="s">
        <v>50</v>
      </c>
      <c r="X608" s="89" t="s">
        <v>50</v>
      </c>
    </row>
    <row r="609" spans="1:25" x14ac:dyDescent="0.25">
      <c r="A609" s="26">
        <v>43747</v>
      </c>
      <c r="B609" s="89" t="s">
        <v>87</v>
      </c>
      <c r="C609" s="89" t="s">
        <v>62</v>
      </c>
      <c r="D609" s="89">
        <v>38.1098</v>
      </c>
      <c r="E609" s="89">
        <v>-122.05607000000001</v>
      </c>
      <c r="F609" s="89" t="s">
        <v>4136</v>
      </c>
      <c r="G609" s="89" t="s">
        <v>27</v>
      </c>
      <c r="H609" s="89" t="s">
        <v>173</v>
      </c>
      <c r="I609" s="602">
        <v>0.39861111111111108</v>
      </c>
      <c r="J609" s="82">
        <v>10063.75</v>
      </c>
      <c r="K609" s="82">
        <v>18.18</v>
      </c>
      <c r="L609" s="82">
        <v>28.68</v>
      </c>
      <c r="M609" s="82">
        <v>0.5</v>
      </c>
      <c r="N609" s="82">
        <v>3.03</v>
      </c>
      <c r="O609" s="89" t="s">
        <v>48</v>
      </c>
      <c r="P609" s="89">
        <v>4</v>
      </c>
      <c r="Q609" s="89">
        <v>10</v>
      </c>
      <c r="R609" s="89" t="s">
        <v>64</v>
      </c>
      <c r="S609" s="89" t="s">
        <v>50</v>
      </c>
      <c r="T609" s="89" t="s">
        <v>50</v>
      </c>
      <c r="U609" s="89" t="s">
        <v>50</v>
      </c>
      <c r="V609" s="89" t="s">
        <v>50</v>
      </c>
      <c r="W609" s="89" t="s">
        <v>50</v>
      </c>
      <c r="X609" s="89" t="s">
        <v>50</v>
      </c>
    </row>
    <row r="610" spans="1:25" x14ac:dyDescent="0.25">
      <c r="A610" s="26">
        <v>43747</v>
      </c>
      <c r="B610" s="89" t="s">
        <v>87</v>
      </c>
      <c r="C610" s="89" t="s">
        <v>62</v>
      </c>
      <c r="D610" s="89">
        <v>38.171639999999996</v>
      </c>
      <c r="E610" s="89">
        <v>-122.03751</v>
      </c>
      <c r="F610" s="89" t="s">
        <v>4137</v>
      </c>
      <c r="G610" s="89" t="s">
        <v>27</v>
      </c>
      <c r="H610" s="89" t="s">
        <v>62</v>
      </c>
      <c r="I610" s="602">
        <v>0.45416666666666666</v>
      </c>
      <c r="J610" s="82">
        <v>7719</v>
      </c>
      <c r="K610" s="82">
        <v>18.48</v>
      </c>
      <c r="L610" s="82">
        <v>37</v>
      </c>
      <c r="M610" s="82">
        <v>0.37</v>
      </c>
      <c r="N610" s="82">
        <v>9.8800000000000008</v>
      </c>
      <c r="O610" s="89" t="s">
        <v>48</v>
      </c>
      <c r="P610" s="89">
        <v>4</v>
      </c>
      <c r="Q610" s="89">
        <v>10</v>
      </c>
      <c r="R610" s="89" t="s">
        <v>64</v>
      </c>
      <c r="S610" s="89" t="s">
        <v>50</v>
      </c>
      <c r="T610" s="89" t="s">
        <v>50</v>
      </c>
      <c r="U610" s="89" t="s">
        <v>50</v>
      </c>
      <c r="V610" s="89" t="s">
        <v>50</v>
      </c>
      <c r="W610" s="89" t="s">
        <v>50</v>
      </c>
      <c r="X610" s="89" t="s">
        <v>50</v>
      </c>
      <c r="Y610" s="600" t="s">
        <v>4138</v>
      </c>
    </row>
    <row r="611" spans="1:25" x14ac:dyDescent="0.25">
      <c r="A611" s="26">
        <v>43748</v>
      </c>
      <c r="B611" s="89" t="s">
        <v>876</v>
      </c>
      <c r="C611" s="89" t="s">
        <v>126</v>
      </c>
      <c r="D611" s="89">
        <v>38.272170000000003</v>
      </c>
      <c r="E611" s="89">
        <v>-121.70604</v>
      </c>
      <c r="F611" s="89" t="s">
        <v>4139</v>
      </c>
      <c r="G611" s="89" t="s">
        <v>90</v>
      </c>
      <c r="H611" s="89" t="s">
        <v>845</v>
      </c>
      <c r="I611" s="602">
        <v>0.32847222222222222</v>
      </c>
      <c r="J611" s="82">
        <v>180.65</v>
      </c>
      <c r="K611" s="82">
        <v>15.83</v>
      </c>
      <c r="L611" s="82">
        <v>5.18</v>
      </c>
      <c r="M611" s="82">
        <v>1.19</v>
      </c>
      <c r="N611" s="82">
        <v>3.55</v>
      </c>
      <c r="O611" s="89" t="s">
        <v>48</v>
      </c>
      <c r="P611" s="89">
        <v>4</v>
      </c>
      <c r="Q611" s="89">
        <v>10</v>
      </c>
      <c r="R611" s="89" t="s">
        <v>49</v>
      </c>
      <c r="S611" s="89" t="s">
        <v>50</v>
      </c>
      <c r="T611" s="89" t="s">
        <v>50</v>
      </c>
      <c r="U611" s="89" t="s">
        <v>50</v>
      </c>
      <c r="V611" s="89" t="s">
        <v>50</v>
      </c>
      <c r="W611" s="89" t="s">
        <v>50</v>
      </c>
      <c r="X611" s="89" t="s">
        <v>50</v>
      </c>
      <c r="Y611" s="600" t="s">
        <v>4140</v>
      </c>
    </row>
    <row r="612" spans="1:25" x14ac:dyDescent="0.25">
      <c r="A612" s="26">
        <v>43748</v>
      </c>
      <c r="B612" s="89" t="s">
        <v>876</v>
      </c>
      <c r="C612" s="89" t="s">
        <v>126</v>
      </c>
      <c r="D612" s="89">
        <v>38.250129999999999</v>
      </c>
      <c r="E612" s="89">
        <v>-121.68764</v>
      </c>
      <c r="F612" s="89" t="s">
        <v>4141</v>
      </c>
      <c r="G612" s="89" t="s">
        <v>90</v>
      </c>
      <c r="H612" s="89" t="s">
        <v>845</v>
      </c>
      <c r="I612" s="602">
        <v>0.37847222222222227</v>
      </c>
      <c r="J612" s="82">
        <v>150.93</v>
      </c>
      <c r="K612" s="82">
        <v>15.78</v>
      </c>
      <c r="L612" s="82">
        <v>10.42</v>
      </c>
      <c r="M612" s="82">
        <v>0.78</v>
      </c>
      <c r="N612" s="82">
        <v>7.9</v>
      </c>
      <c r="O612" s="89" t="s">
        <v>48</v>
      </c>
      <c r="P612" s="89">
        <v>4</v>
      </c>
      <c r="Q612" s="89">
        <v>10</v>
      </c>
      <c r="R612" s="89" t="s">
        <v>64</v>
      </c>
      <c r="S612" s="89" t="s">
        <v>50</v>
      </c>
      <c r="T612" s="89" t="s">
        <v>50</v>
      </c>
      <c r="U612" s="89" t="s">
        <v>50</v>
      </c>
      <c r="V612" s="89" t="s">
        <v>50</v>
      </c>
      <c r="W612" s="89" t="s">
        <v>50</v>
      </c>
      <c r="X612" s="89" t="s">
        <v>50</v>
      </c>
    </row>
    <row r="613" spans="1:25" x14ac:dyDescent="0.25">
      <c r="A613" s="26">
        <v>43748</v>
      </c>
      <c r="B613" s="89" t="s">
        <v>876</v>
      </c>
      <c r="C613" s="89" t="s">
        <v>126</v>
      </c>
      <c r="D613" s="89">
        <v>38.245759999999997</v>
      </c>
      <c r="E613" s="89">
        <v>-121.67740000000001</v>
      </c>
      <c r="F613" s="89" t="s">
        <v>4142</v>
      </c>
      <c r="G613" s="89" t="s">
        <v>90</v>
      </c>
      <c r="H613" s="89" t="s">
        <v>845</v>
      </c>
      <c r="I613" s="602">
        <v>0.43055555555555558</v>
      </c>
      <c r="J613" s="82">
        <v>170.46</v>
      </c>
      <c r="K613" s="82">
        <v>15.62</v>
      </c>
      <c r="L613" s="82">
        <v>21.8</v>
      </c>
      <c r="M613" s="82">
        <v>0.57999999999999996</v>
      </c>
      <c r="N613" s="82">
        <v>10.36</v>
      </c>
      <c r="O613" s="89" t="s">
        <v>48</v>
      </c>
      <c r="P613" s="89">
        <v>5</v>
      </c>
      <c r="Q613" s="89">
        <v>10</v>
      </c>
      <c r="R613" s="89" t="s">
        <v>49</v>
      </c>
      <c r="S613" s="89" t="s">
        <v>50</v>
      </c>
      <c r="T613" s="89" t="s">
        <v>50</v>
      </c>
      <c r="U613" s="89" t="s">
        <v>50</v>
      </c>
      <c r="V613" s="89" t="s">
        <v>50</v>
      </c>
      <c r="W613" s="89" t="s">
        <v>50</v>
      </c>
      <c r="X613" s="89" t="s">
        <v>50</v>
      </c>
      <c r="Y613" s="600" t="s">
        <v>4143</v>
      </c>
    </row>
    <row r="614" spans="1:25" x14ac:dyDescent="0.25">
      <c r="A614" s="26">
        <v>43748</v>
      </c>
      <c r="B614" s="89" t="s">
        <v>876</v>
      </c>
      <c r="C614" s="89" t="s">
        <v>95</v>
      </c>
      <c r="D614" s="89">
        <v>38.021320000000003</v>
      </c>
      <c r="E614" s="89">
        <v>-121.80732999999999</v>
      </c>
      <c r="F614" s="89" t="s">
        <v>4144</v>
      </c>
      <c r="G614" s="89" t="s">
        <v>27</v>
      </c>
      <c r="H614" s="89" t="s">
        <v>863</v>
      </c>
      <c r="I614" s="602">
        <v>0.33124999999999999</v>
      </c>
      <c r="J614" s="100">
        <v>201.68</v>
      </c>
      <c r="K614" s="100">
        <v>18.149999999999999</v>
      </c>
      <c r="L614" s="100">
        <v>14.43</v>
      </c>
      <c r="M614" s="100">
        <v>0.94</v>
      </c>
      <c r="N614" s="100">
        <v>13.05</v>
      </c>
      <c r="O614" s="98" t="s">
        <v>48</v>
      </c>
      <c r="P614" s="98">
        <v>4</v>
      </c>
      <c r="Q614" s="98">
        <v>10</v>
      </c>
      <c r="R614" s="89" t="s">
        <v>49</v>
      </c>
      <c r="S614" s="89" t="s">
        <v>50</v>
      </c>
      <c r="T614" s="89" t="s">
        <v>50</v>
      </c>
      <c r="U614" s="89" t="s">
        <v>50</v>
      </c>
      <c r="V614" s="89" t="s">
        <v>50</v>
      </c>
      <c r="W614" s="89" t="s">
        <v>50</v>
      </c>
      <c r="X614" s="89" t="s">
        <v>50</v>
      </c>
    </row>
    <row r="615" spans="1:25" x14ac:dyDescent="0.25">
      <c r="A615" s="26">
        <v>43748</v>
      </c>
      <c r="B615" s="89" t="s">
        <v>876</v>
      </c>
      <c r="C615" s="89" t="s">
        <v>95</v>
      </c>
      <c r="D615" s="89">
        <v>38.027529999999999</v>
      </c>
      <c r="E615" s="89">
        <v>-121.73103</v>
      </c>
      <c r="F615" s="89" t="s">
        <v>4145</v>
      </c>
      <c r="G615" s="89" t="s">
        <v>27</v>
      </c>
      <c r="H615" s="89" t="s">
        <v>863</v>
      </c>
      <c r="I615" s="602">
        <v>0.38750000000000001</v>
      </c>
      <c r="J615" s="82">
        <v>148.55000000000001</v>
      </c>
      <c r="K615" s="82">
        <v>17.3</v>
      </c>
      <c r="L615" s="82">
        <v>7.28</v>
      </c>
      <c r="M615" s="82">
        <v>1.5</v>
      </c>
      <c r="N615" s="82">
        <v>6.48</v>
      </c>
      <c r="O615" s="89" t="s">
        <v>48</v>
      </c>
      <c r="P615" s="89">
        <v>4</v>
      </c>
      <c r="Q615" s="89">
        <v>10</v>
      </c>
      <c r="R615" s="89" t="s">
        <v>49</v>
      </c>
      <c r="S615" s="89" t="s">
        <v>50</v>
      </c>
      <c r="T615" s="89" t="s">
        <v>50</v>
      </c>
      <c r="U615" s="89" t="s">
        <v>50</v>
      </c>
      <c r="V615" s="89" t="s">
        <v>50</v>
      </c>
      <c r="W615" s="89" t="s">
        <v>50</v>
      </c>
      <c r="X615" s="89" t="s">
        <v>50</v>
      </c>
    </row>
    <row r="616" spans="1:25" x14ac:dyDescent="0.25">
      <c r="A616" s="26">
        <v>43748</v>
      </c>
      <c r="B616" s="89" t="s">
        <v>876</v>
      </c>
      <c r="C616" s="98" t="s">
        <v>95</v>
      </c>
      <c r="D616" s="98">
        <v>38.042270000000002</v>
      </c>
      <c r="E616" s="98">
        <v>-121.70968999999999</v>
      </c>
      <c r="F616" s="98" t="s">
        <v>4146</v>
      </c>
      <c r="G616" s="98" t="s">
        <v>27</v>
      </c>
      <c r="H616" s="98" t="s">
        <v>863</v>
      </c>
      <c r="I616" s="602">
        <v>0.44166666666666665</v>
      </c>
      <c r="J616" s="100">
        <v>131.55000000000001</v>
      </c>
      <c r="K616" s="100">
        <v>17.63</v>
      </c>
      <c r="L616" s="100">
        <v>9.65</v>
      </c>
      <c r="M616" s="100">
        <v>1.5</v>
      </c>
      <c r="N616" s="100">
        <v>6.6</v>
      </c>
      <c r="O616" s="98" t="s">
        <v>48</v>
      </c>
      <c r="P616" s="98">
        <v>4</v>
      </c>
      <c r="Q616" s="98">
        <v>10</v>
      </c>
      <c r="R616" s="89" t="s">
        <v>49</v>
      </c>
      <c r="S616" s="89" t="s">
        <v>50</v>
      </c>
      <c r="T616" s="89" t="s">
        <v>50</v>
      </c>
      <c r="U616" s="89" t="s">
        <v>50</v>
      </c>
      <c r="V616" s="89" t="s">
        <v>50</v>
      </c>
      <c r="W616" s="89" t="s">
        <v>50</v>
      </c>
      <c r="X616" s="89" t="s">
        <v>50</v>
      </c>
    </row>
    <row r="617" spans="1:25" x14ac:dyDescent="0.25">
      <c r="A617" s="26">
        <v>43748</v>
      </c>
      <c r="B617" s="89" t="s">
        <v>876</v>
      </c>
      <c r="C617" s="89" t="s">
        <v>62</v>
      </c>
      <c r="D617" s="89">
        <v>38.120310000000003</v>
      </c>
      <c r="E617" s="89">
        <v>-121.88874</v>
      </c>
      <c r="F617" s="89" t="s">
        <v>4147</v>
      </c>
      <c r="G617" s="89" t="s">
        <v>27</v>
      </c>
      <c r="H617" s="89" t="s">
        <v>62</v>
      </c>
      <c r="I617" s="602">
        <v>0.32916666666666666</v>
      </c>
      <c r="J617" s="82">
        <v>1909.25</v>
      </c>
      <c r="K617" s="82">
        <v>17.5</v>
      </c>
      <c r="L617" s="82">
        <v>48.23</v>
      </c>
      <c r="M617" s="82">
        <v>0.33</v>
      </c>
      <c r="N617" s="82">
        <v>4.5</v>
      </c>
      <c r="O617" s="89" t="s">
        <v>48</v>
      </c>
      <c r="P617" s="89">
        <v>4</v>
      </c>
      <c r="Q617" s="89">
        <v>10</v>
      </c>
      <c r="R617" s="89" t="s">
        <v>64</v>
      </c>
      <c r="S617" s="89" t="s">
        <v>50</v>
      </c>
      <c r="T617" s="89" t="s">
        <v>50</v>
      </c>
      <c r="U617" s="89" t="s">
        <v>50</v>
      </c>
      <c r="V617" s="89" t="s">
        <v>50</v>
      </c>
      <c r="W617" s="89" t="s">
        <v>50</v>
      </c>
      <c r="X617" s="89" t="s">
        <v>50</v>
      </c>
    </row>
    <row r="618" spans="1:25" x14ac:dyDescent="0.25">
      <c r="A618" s="26">
        <v>43748</v>
      </c>
      <c r="B618" s="89" t="s">
        <v>876</v>
      </c>
      <c r="C618" s="89" t="s">
        <v>62</v>
      </c>
      <c r="D618" s="89">
        <v>38.179160000000003</v>
      </c>
      <c r="E618" s="89">
        <v>-121.91945</v>
      </c>
      <c r="F618" s="89" t="s">
        <v>4148</v>
      </c>
      <c r="G618" s="89" t="s">
        <v>27</v>
      </c>
      <c r="H618" s="89" t="s">
        <v>62</v>
      </c>
      <c r="I618" s="602">
        <v>0.38958333333333334</v>
      </c>
      <c r="J618" s="82">
        <v>7257.6</v>
      </c>
      <c r="K618" s="82">
        <v>16.46</v>
      </c>
      <c r="L618" s="82">
        <v>42.26</v>
      </c>
      <c r="M618" s="82">
        <v>0.4</v>
      </c>
      <c r="N618" s="82">
        <v>5.46</v>
      </c>
      <c r="O618" s="89" t="s">
        <v>48</v>
      </c>
      <c r="P618" s="89">
        <v>5</v>
      </c>
      <c r="Q618" s="89">
        <v>10</v>
      </c>
      <c r="R618" s="89" t="s">
        <v>49</v>
      </c>
      <c r="S618" s="89" t="s">
        <v>50</v>
      </c>
      <c r="T618" s="89" t="s">
        <v>50</v>
      </c>
      <c r="U618" s="89" t="s">
        <v>50</v>
      </c>
      <c r="V618" s="89" t="s">
        <v>50</v>
      </c>
      <c r="W618" s="89" t="s">
        <v>50</v>
      </c>
      <c r="X618" s="89" t="s">
        <v>50</v>
      </c>
      <c r="Y618" s="600" t="s">
        <v>4149</v>
      </c>
    </row>
    <row r="619" spans="1:25" s="362" customFormat="1" x14ac:dyDescent="0.25">
      <c r="A619" s="360">
        <v>43748</v>
      </c>
      <c r="B619" s="362" t="s">
        <v>876</v>
      </c>
      <c r="C619" s="362" t="s">
        <v>62</v>
      </c>
      <c r="D619" s="362">
        <v>38.11495</v>
      </c>
      <c r="E619" s="362">
        <v>-122.06068</v>
      </c>
      <c r="F619" s="362" t="s">
        <v>4150</v>
      </c>
      <c r="G619" s="362" t="s">
        <v>27</v>
      </c>
      <c r="H619" s="362" t="s">
        <v>62</v>
      </c>
      <c r="I619" s="618">
        <v>0.49444444444444446</v>
      </c>
      <c r="J619" s="364">
        <v>11000.25</v>
      </c>
      <c r="K619" s="364">
        <v>18</v>
      </c>
      <c r="L619" s="364">
        <v>76.2</v>
      </c>
      <c r="M619" s="364">
        <v>0.3</v>
      </c>
      <c r="N619" s="364">
        <v>3.4</v>
      </c>
      <c r="O619" s="362" t="s">
        <v>48</v>
      </c>
      <c r="P619" s="362">
        <v>4</v>
      </c>
      <c r="Q619" s="362">
        <v>10</v>
      </c>
      <c r="R619" s="362" t="s">
        <v>64</v>
      </c>
      <c r="S619" s="362" t="s">
        <v>50</v>
      </c>
      <c r="T619" s="362" t="s">
        <v>50</v>
      </c>
      <c r="U619" s="362" t="s">
        <v>50</v>
      </c>
      <c r="V619" s="362" t="s">
        <v>50</v>
      </c>
      <c r="W619" s="362" t="s">
        <v>50</v>
      </c>
      <c r="X619" s="362" t="s">
        <v>50</v>
      </c>
      <c r="Y619" s="603"/>
    </row>
    <row r="620" spans="1:25" x14ac:dyDescent="0.25">
      <c r="A620" s="26">
        <v>43753</v>
      </c>
      <c r="B620" s="89" t="s">
        <v>849</v>
      </c>
      <c r="C620" s="89" t="s">
        <v>106</v>
      </c>
      <c r="D620" s="89">
        <v>38.561279999999996</v>
      </c>
      <c r="E620" s="89">
        <v>-121.54917</v>
      </c>
      <c r="F620" s="89" t="s">
        <v>4151</v>
      </c>
      <c r="G620" s="89" t="s">
        <v>90</v>
      </c>
      <c r="H620" s="89" t="s">
        <v>1787</v>
      </c>
      <c r="I620" s="602">
        <v>0.38541666666666669</v>
      </c>
      <c r="J620" s="82">
        <v>1016</v>
      </c>
      <c r="K620" s="82">
        <v>19</v>
      </c>
      <c r="L620" s="82">
        <v>6.9424999999999999</v>
      </c>
      <c r="M620" s="82">
        <v>1.4475</v>
      </c>
      <c r="N620" s="82">
        <v>10.275</v>
      </c>
      <c r="O620" s="89" t="s">
        <v>48</v>
      </c>
      <c r="P620" s="89">
        <v>4</v>
      </c>
      <c r="Q620" s="89">
        <v>10</v>
      </c>
      <c r="R620" s="89" t="s">
        <v>49</v>
      </c>
      <c r="S620" s="89" t="s">
        <v>50</v>
      </c>
      <c r="T620" s="89" t="s">
        <v>50</v>
      </c>
      <c r="U620" s="89" t="s">
        <v>50</v>
      </c>
      <c r="V620" s="89" t="s">
        <v>50</v>
      </c>
      <c r="W620" s="89" t="s">
        <v>50</v>
      </c>
      <c r="X620" s="89" t="s">
        <v>50</v>
      </c>
    </row>
    <row r="621" spans="1:25" x14ac:dyDescent="0.25">
      <c r="A621" s="26">
        <v>43753</v>
      </c>
      <c r="B621" s="89" t="s">
        <v>849</v>
      </c>
      <c r="C621" s="89" t="s">
        <v>106</v>
      </c>
      <c r="D621" s="89">
        <v>38.489609999999999</v>
      </c>
      <c r="E621" s="89">
        <v>-121.58438</v>
      </c>
      <c r="F621" s="89" t="s">
        <v>4152</v>
      </c>
      <c r="G621" s="89" t="s">
        <v>90</v>
      </c>
      <c r="H621" s="89" t="s">
        <v>1787</v>
      </c>
      <c r="I621" s="602">
        <v>0.4465277777777778</v>
      </c>
      <c r="J621" s="82">
        <v>885</v>
      </c>
      <c r="K621" s="82">
        <v>18.45</v>
      </c>
      <c r="L621" s="82">
        <v>17.5</v>
      </c>
      <c r="M621" s="82">
        <v>0.52249999999999996</v>
      </c>
      <c r="N621" s="82">
        <v>10.475</v>
      </c>
      <c r="O621" s="89" t="s">
        <v>48</v>
      </c>
      <c r="P621" s="89">
        <v>4</v>
      </c>
      <c r="Q621" s="89">
        <v>10</v>
      </c>
      <c r="R621" s="89" t="s">
        <v>49</v>
      </c>
      <c r="S621" s="89" t="s">
        <v>50</v>
      </c>
      <c r="T621" s="89" t="s">
        <v>50</v>
      </c>
      <c r="U621" s="89" t="s">
        <v>50</v>
      </c>
      <c r="V621" s="89" t="s">
        <v>50</v>
      </c>
      <c r="W621" s="89" t="s">
        <v>50</v>
      </c>
      <c r="X621" s="89" t="s">
        <v>50</v>
      </c>
    </row>
    <row r="622" spans="1:25" s="496" customFormat="1" x14ac:dyDescent="0.25">
      <c r="A622" s="495">
        <v>43753</v>
      </c>
      <c r="B622" s="496" t="s">
        <v>849</v>
      </c>
      <c r="C622" s="496" t="s">
        <v>106</v>
      </c>
      <c r="D622" s="496">
        <v>38.353490000000001</v>
      </c>
      <c r="E622" s="496">
        <v>-121.63869</v>
      </c>
      <c r="F622" s="496" t="s">
        <v>4153</v>
      </c>
      <c r="G622" s="496" t="s">
        <v>90</v>
      </c>
      <c r="H622" s="496" t="s">
        <v>362</v>
      </c>
      <c r="I622" s="615">
        <v>0.52430555555555558</v>
      </c>
      <c r="J622" s="498">
        <v>428.77499999999998</v>
      </c>
      <c r="K622" s="498">
        <v>18</v>
      </c>
      <c r="L622" s="498">
        <v>46.275000000000006</v>
      </c>
      <c r="M622" s="498">
        <v>0.25750000000000001</v>
      </c>
      <c r="N622" s="498">
        <v>9.3249999999999993</v>
      </c>
      <c r="O622" s="496" t="s">
        <v>48</v>
      </c>
      <c r="P622" s="496">
        <v>4</v>
      </c>
      <c r="Q622" s="496">
        <v>10</v>
      </c>
      <c r="R622" s="496" t="s">
        <v>64</v>
      </c>
      <c r="S622" s="496" t="s">
        <v>323</v>
      </c>
      <c r="T622" s="496">
        <v>1</v>
      </c>
      <c r="U622" s="496">
        <v>47</v>
      </c>
      <c r="V622" s="496" t="s">
        <v>50</v>
      </c>
      <c r="W622" s="496" t="s">
        <v>50</v>
      </c>
      <c r="X622" s="496" t="s">
        <v>50</v>
      </c>
      <c r="Y622" s="601" t="s">
        <v>4154</v>
      </c>
    </row>
    <row r="623" spans="1:25" s="150" customFormat="1" x14ac:dyDescent="0.25">
      <c r="A623" s="195">
        <v>43753</v>
      </c>
      <c r="B623" s="154" t="s">
        <v>849</v>
      </c>
      <c r="C623" s="154" t="s">
        <v>62</v>
      </c>
      <c r="D623" s="154">
        <v>38.106270000000002</v>
      </c>
      <c r="E623" s="154">
        <v>-122.04226</v>
      </c>
      <c r="F623" s="154" t="s">
        <v>4155</v>
      </c>
      <c r="G623" s="154" t="s">
        <v>27</v>
      </c>
      <c r="H623" s="154" t="s">
        <v>173</v>
      </c>
      <c r="I623" s="636">
        <v>0.38541666666666669</v>
      </c>
      <c r="J623" s="156">
        <v>10128</v>
      </c>
      <c r="K623" s="156">
        <v>16.600000000000001</v>
      </c>
      <c r="L623" s="156">
        <v>36.5</v>
      </c>
      <c r="M623" s="156">
        <v>0.49</v>
      </c>
      <c r="N623" s="156">
        <v>2.1</v>
      </c>
      <c r="O623" s="154" t="s">
        <v>48</v>
      </c>
      <c r="P623" s="154">
        <v>1</v>
      </c>
      <c r="Q623" s="154">
        <v>1</v>
      </c>
      <c r="R623" s="154" t="s">
        <v>49</v>
      </c>
      <c r="S623" s="154" t="s">
        <v>50</v>
      </c>
      <c r="T623" s="154" t="s">
        <v>50</v>
      </c>
      <c r="U623" s="154" t="s">
        <v>50</v>
      </c>
      <c r="V623" s="154" t="s">
        <v>50</v>
      </c>
      <c r="W623" s="154" t="s">
        <v>50</v>
      </c>
      <c r="X623" s="154" t="s">
        <v>50</v>
      </c>
      <c r="Y623" s="627" t="s">
        <v>4156</v>
      </c>
    </row>
    <row r="624" spans="1:25" x14ac:dyDescent="0.25">
      <c r="A624" s="26">
        <v>43753</v>
      </c>
      <c r="B624" s="89" t="s">
        <v>849</v>
      </c>
      <c r="C624" s="89" t="s">
        <v>62</v>
      </c>
      <c r="D624" s="89">
        <v>38.109690000000001</v>
      </c>
      <c r="E624" s="89">
        <v>-122.05689</v>
      </c>
      <c r="F624" s="89" t="s">
        <v>4157</v>
      </c>
      <c r="G624" s="89" t="s">
        <v>27</v>
      </c>
      <c r="H624" s="89" t="s">
        <v>173</v>
      </c>
      <c r="I624" s="602">
        <v>0.39513888888888887</v>
      </c>
      <c r="J624" s="82">
        <v>8908</v>
      </c>
      <c r="K624" s="82">
        <v>15.875</v>
      </c>
      <c r="L624" s="82">
        <v>33.049999999999997</v>
      </c>
      <c r="M624" s="82">
        <v>0.53500000000000003</v>
      </c>
      <c r="N624" s="82">
        <v>2.4249999999999998</v>
      </c>
      <c r="O624" s="89" t="s">
        <v>48</v>
      </c>
      <c r="P624" s="89">
        <v>4</v>
      </c>
      <c r="Q624" s="89">
        <v>10</v>
      </c>
      <c r="R624" s="89" t="s">
        <v>49</v>
      </c>
      <c r="S624" s="89" t="s">
        <v>50</v>
      </c>
      <c r="T624" s="89" t="s">
        <v>50</v>
      </c>
      <c r="U624" s="89" t="s">
        <v>50</v>
      </c>
      <c r="V624" s="89" t="s">
        <v>50</v>
      </c>
      <c r="W624" s="89" t="s">
        <v>50</v>
      </c>
      <c r="X624" s="89" t="s">
        <v>50</v>
      </c>
    </row>
    <row r="625" spans="1:25" x14ac:dyDescent="0.25">
      <c r="A625" s="26">
        <v>43753</v>
      </c>
      <c r="B625" s="89" t="s">
        <v>849</v>
      </c>
      <c r="C625" s="89" t="s">
        <v>62</v>
      </c>
      <c r="D625" s="89">
        <v>38.148400000000002</v>
      </c>
      <c r="E625" s="89">
        <v>-122.05829</v>
      </c>
      <c r="F625" s="89" t="s">
        <v>4158</v>
      </c>
      <c r="G625" s="89" t="s">
        <v>27</v>
      </c>
      <c r="H625" s="89" t="s">
        <v>62</v>
      </c>
      <c r="I625" s="602">
        <v>0.45277777777777778</v>
      </c>
      <c r="J625" s="82">
        <v>8428.5</v>
      </c>
      <c r="K625" s="82">
        <v>17.475000000000001</v>
      </c>
      <c r="L625" s="82">
        <v>23.274999999999999</v>
      </c>
      <c r="M625" s="82">
        <v>0.83750000000000002</v>
      </c>
      <c r="N625" s="82">
        <v>9.5749999999999993</v>
      </c>
      <c r="O625" s="89" t="s">
        <v>48</v>
      </c>
      <c r="P625" s="89">
        <v>4</v>
      </c>
      <c r="Q625" s="89">
        <v>10</v>
      </c>
      <c r="R625" s="89" t="s">
        <v>64</v>
      </c>
      <c r="S625" s="89" t="s">
        <v>50</v>
      </c>
      <c r="T625" s="89" t="s">
        <v>50</v>
      </c>
      <c r="U625" s="89" t="s">
        <v>50</v>
      </c>
      <c r="V625" s="89" t="s">
        <v>50</v>
      </c>
      <c r="W625" s="89" t="s">
        <v>50</v>
      </c>
      <c r="X625" s="89" t="s">
        <v>50</v>
      </c>
    </row>
    <row r="626" spans="1:25" x14ac:dyDescent="0.25">
      <c r="A626" s="26">
        <v>43753</v>
      </c>
      <c r="B626" s="89" t="s">
        <v>849</v>
      </c>
      <c r="C626" s="89" t="s">
        <v>62</v>
      </c>
      <c r="D626" s="89">
        <v>38.171779999999998</v>
      </c>
      <c r="E626" s="89">
        <v>-122.03543999999999</v>
      </c>
      <c r="F626" s="89" t="s">
        <v>4159</v>
      </c>
      <c r="G626" s="89" t="s">
        <v>27</v>
      </c>
      <c r="H626" s="89" t="s">
        <v>62</v>
      </c>
      <c r="I626" s="602">
        <v>0.50277777777777777</v>
      </c>
      <c r="J626" s="82">
        <v>8023</v>
      </c>
      <c r="K626" s="82">
        <v>17.850000000000001</v>
      </c>
      <c r="L626" s="82">
        <v>22.625</v>
      </c>
      <c r="M626" s="82">
        <v>0.60249999999999992</v>
      </c>
      <c r="N626" s="82">
        <v>14.000000000000002</v>
      </c>
      <c r="O626" s="89" t="s">
        <v>48</v>
      </c>
      <c r="P626" s="89">
        <v>4</v>
      </c>
      <c r="Q626" s="89">
        <v>10</v>
      </c>
      <c r="R626" s="89" t="s">
        <v>64</v>
      </c>
      <c r="S626" s="89" t="s">
        <v>50</v>
      </c>
      <c r="T626" s="89" t="s">
        <v>50</v>
      </c>
      <c r="U626" s="89" t="s">
        <v>50</v>
      </c>
      <c r="V626" s="89" t="s">
        <v>50</v>
      </c>
      <c r="W626" s="89" t="s">
        <v>50</v>
      </c>
      <c r="X626" s="89" t="s">
        <v>50</v>
      </c>
    </row>
    <row r="627" spans="1:25" x14ac:dyDescent="0.25">
      <c r="A627" s="26">
        <v>43753</v>
      </c>
      <c r="B627" s="89" t="s">
        <v>849</v>
      </c>
      <c r="C627" s="89" t="s">
        <v>95</v>
      </c>
      <c r="D627" s="89">
        <v>38.056080000000001</v>
      </c>
      <c r="E627" s="89">
        <v>-121.53485000000001</v>
      </c>
      <c r="F627" s="89" t="s">
        <v>4160</v>
      </c>
      <c r="G627" s="89" t="s">
        <v>46</v>
      </c>
      <c r="H627" s="89" t="s">
        <v>115</v>
      </c>
      <c r="I627" s="602">
        <v>0.4055555555555555</v>
      </c>
      <c r="J627" s="82">
        <v>128.6</v>
      </c>
      <c r="K627" s="82">
        <v>17.175000000000001</v>
      </c>
      <c r="L627" s="82">
        <v>4.6400000000000006</v>
      </c>
      <c r="M627" s="82">
        <v>1.8</v>
      </c>
      <c r="N627" s="82">
        <v>11.425000000000001</v>
      </c>
      <c r="O627" s="89" t="s">
        <v>48</v>
      </c>
      <c r="P627" s="89">
        <v>4</v>
      </c>
      <c r="Q627" s="89">
        <v>10</v>
      </c>
      <c r="R627" s="89" t="s">
        <v>49</v>
      </c>
      <c r="S627" s="89" t="s">
        <v>50</v>
      </c>
      <c r="T627" s="89" t="s">
        <v>50</v>
      </c>
      <c r="U627" s="89" t="s">
        <v>50</v>
      </c>
      <c r="V627" s="89" t="s">
        <v>50</v>
      </c>
      <c r="W627" s="89" t="s">
        <v>50</v>
      </c>
      <c r="X627" s="89" t="s">
        <v>50</v>
      </c>
      <c r="Y627" s="600" t="s">
        <v>4161</v>
      </c>
    </row>
    <row r="628" spans="1:25" x14ac:dyDescent="0.25">
      <c r="A628" s="26">
        <v>43753</v>
      </c>
      <c r="B628" s="89" t="s">
        <v>849</v>
      </c>
      <c r="C628" s="89" t="s">
        <v>95</v>
      </c>
      <c r="D628" s="89">
        <v>38.019880000000001</v>
      </c>
      <c r="E628" s="89">
        <v>-121.79061</v>
      </c>
      <c r="F628" s="89" t="s">
        <v>4162</v>
      </c>
      <c r="G628" s="89" t="s">
        <v>27</v>
      </c>
      <c r="H628" s="89" t="s">
        <v>863</v>
      </c>
      <c r="I628" s="602">
        <v>0.51180555555555551</v>
      </c>
      <c r="J628" s="82">
        <v>183.09999999999997</v>
      </c>
      <c r="K628" s="82">
        <v>17.600000000000001</v>
      </c>
      <c r="L628" s="82">
        <v>7.6824999999999992</v>
      </c>
      <c r="M628" s="82">
        <v>1.2649999999999999</v>
      </c>
      <c r="N628" s="82">
        <v>6.9</v>
      </c>
      <c r="O628" s="89" t="s">
        <v>48</v>
      </c>
      <c r="P628" s="89">
        <v>4</v>
      </c>
      <c r="Q628" s="89">
        <v>10</v>
      </c>
      <c r="R628" s="89" t="s">
        <v>64</v>
      </c>
      <c r="S628" s="89" t="s">
        <v>50</v>
      </c>
      <c r="T628" s="89" t="s">
        <v>50</v>
      </c>
      <c r="U628" s="89" t="s">
        <v>50</v>
      </c>
      <c r="V628" s="89" t="s">
        <v>50</v>
      </c>
      <c r="W628" s="89" t="s">
        <v>50</v>
      </c>
      <c r="X628" s="89" t="s">
        <v>50</v>
      </c>
    </row>
    <row r="629" spans="1:25" x14ac:dyDescent="0.25">
      <c r="A629" s="26">
        <v>43753</v>
      </c>
      <c r="B629" s="89" t="s">
        <v>849</v>
      </c>
      <c r="C629" s="89" t="s">
        <v>95</v>
      </c>
      <c r="D629" s="89">
        <v>38.054369999999999</v>
      </c>
      <c r="E629" s="196">
        <v>-121.69114</v>
      </c>
      <c r="F629" s="89" t="s">
        <v>4163</v>
      </c>
      <c r="G629" s="89" t="s">
        <v>46</v>
      </c>
      <c r="H629" s="89" t="s">
        <v>908</v>
      </c>
      <c r="I629" s="602">
        <v>0.33958333333333335</v>
      </c>
      <c r="J629" s="82">
        <v>136.02500000000001</v>
      </c>
      <c r="K629" s="82">
        <v>17.075000000000003</v>
      </c>
      <c r="L629" s="82">
        <v>6.9250000000000007</v>
      </c>
      <c r="M629" s="82">
        <v>1.6949999999999998</v>
      </c>
      <c r="N629" s="82">
        <v>13.6</v>
      </c>
      <c r="O629" s="89" t="s">
        <v>48</v>
      </c>
      <c r="P629" s="89">
        <v>4</v>
      </c>
      <c r="Q629" s="89">
        <v>10</v>
      </c>
      <c r="R629" s="89" t="s">
        <v>49</v>
      </c>
      <c r="S629" s="89" t="s">
        <v>50</v>
      </c>
      <c r="T629" s="89" t="s">
        <v>50</v>
      </c>
      <c r="U629" s="89" t="s">
        <v>50</v>
      </c>
      <c r="V629" s="89" t="s">
        <v>50</v>
      </c>
      <c r="W629" s="89" t="s">
        <v>50</v>
      </c>
      <c r="X629" s="89" t="s">
        <v>50</v>
      </c>
    </row>
    <row r="630" spans="1:25" x14ac:dyDescent="0.25">
      <c r="A630" s="26">
        <v>43754</v>
      </c>
      <c r="B630" s="89" t="s">
        <v>915</v>
      </c>
      <c r="C630" s="89" t="s">
        <v>106</v>
      </c>
      <c r="D630" s="89">
        <v>38.215769999999999</v>
      </c>
      <c r="E630" s="89">
        <v>-121.67021</v>
      </c>
      <c r="F630" s="89" t="s">
        <v>4164</v>
      </c>
      <c r="G630" s="89" t="s">
        <v>90</v>
      </c>
      <c r="H630" s="89" t="s">
        <v>362</v>
      </c>
      <c r="I630" s="602">
        <v>0.3347222222222222</v>
      </c>
      <c r="J630" s="82">
        <v>135.82499999999999</v>
      </c>
      <c r="K630" s="82">
        <v>16</v>
      </c>
      <c r="L630" s="82">
        <v>5.6450000000000005</v>
      </c>
      <c r="M630" s="82" t="s">
        <v>1233</v>
      </c>
      <c r="N630" s="82">
        <v>13.625</v>
      </c>
      <c r="O630" s="89" t="s">
        <v>48</v>
      </c>
      <c r="P630" s="89">
        <v>4</v>
      </c>
      <c r="Q630" s="89">
        <v>10</v>
      </c>
      <c r="R630" s="89" t="s">
        <v>49</v>
      </c>
      <c r="S630" s="89" t="s">
        <v>50</v>
      </c>
      <c r="T630" s="89" t="s">
        <v>50</v>
      </c>
      <c r="U630" s="89" t="s">
        <v>50</v>
      </c>
      <c r="V630" s="89" t="s">
        <v>50</v>
      </c>
      <c r="W630" s="89" t="s">
        <v>50</v>
      </c>
      <c r="X630" s="89" t="s">
        <v>50</v>
      </c>
    </row>
    <row r="631" spans="1:25" x14ac:dyDescent="0.25">
      <c r="A631" s="26">
        <v>43754</v>
      </c>
      <c r="B631" s="89" t="s">
        <v>915</v>
      </c>
      <c r="C631" s="89" t="s">
        <v>106</v>
      </c>
      <c r="D631" s="89">
        <v>38.328440000000001</v>
      </c>
      <c r="E631" s="89">
        <v>-121.64834</v>
      </c>
      <c r="F631" s="89" t="s">
        <v>4165</v>
      </c>
      <c r="G631" s="89" t="s">
        <v>90</v>
      </c>
      <c r="H631" s="89" t="s">
        <v>362</v>
      </c>
      <c r="I631" s="602">
        <v>0.39513888888888887</v>
      </c>
      <c r="J631" s="82">
        <v>294.22499999999997</v>
      </c>
      <c r="K631" s="82">
        <v>17.399999999999999</v>
      </c>
      <c r="L631" s="82">
        <v>25.524999999999999</v>
      </c>
      <c r="M631" s="82">
        <v>0.53</v>
      </c>
      <c r="N631" s="82">
        <v>10.1</v>
      </c>
      <c r="O631" s="89" t="s">
        <v>48</v>
      </c>
      <c r="P631" s="89">
        <v>4</v>
      </c>
      <c r="Q631" s="89">
        <v>10</v>
      </c>
      <c r="R631" s="89" t="s">
        <v>49</v>
      </c>
      <c r="S631" s="89" t="s">
        <v>50</v>
      </c>
      <c r="T631" s="89" t="s">
        <v>50</v>
      </c>
      <c r="U631" s="89" t="s">
        <v>50</v>
      </c>
      <c r="V631" s="89" t="s">
        <v>50</v>
      </c>
      <c r="W631" s="89" t="s">
        <v>50</v>
      </c>
      <c r="X631" s="89" t="s">
        <v>50</v>
      </c>
    </row>
    <row r="632" spans="1:25" x14ac:dyDescent="0.25">
      <c r="A632" s="26">
        <v>43754</v>
      </c>
      <c r="B632" s="89" t="s">
        <v>915</v>
      </c>
      <c r="C632" s="89" t="s">
        <v>106</v>
      </c>
      <c r="D632" s="89">
        <v>38.45926</v>
      </c>
      <c r="E632" s="89">
        <v>-121.59008</v>
      </c>
      <c r="F632" s="89" t="s">
        <v>4166</v>
      </c>
      <c r="G632" s="89" t="s">
        <v>90</v>
      </c>
      <c r="H632" s="89" t="s">
        <v>362</v>
      </c>
      <c r="I632" s="602">
        <v>0.45833333333333331</v>
      </c>
      <c r="J632" s="82">
        <v>743.75</v>
      </c>
      <c r="K632" s="82">
        <v>18.149999999999999</v>
      </c>
      <c r="L632" s="82">
        <v>30.25</v>
      </c>
      <c r="M632" s="82">
        <v>0.46249999999999997</v>
      </c>
      <c r="N632" s="82">
        <v>8.0749999999999993</v>
      </c>
      <c r="O632" s="89" t="s">
        <v>48</v>
      </c>
      <c r="P632" s="89">
        <v>4</v>
      </c>
      <c r="Q632" s="89">
        <v>10</v>
      </c>
      <c r="R632" s="89" t="s">
        <v>49</v>
      </c>
      <c r="S632" s="89" t="s">
        <v>50</v>
      </c>
      <c r="T632" s="89" t="s">
        <v>50</v>
      </c>
      <c r="U632" s="89" t="s">
        <v>50</v>
      </c>
      <c r="V632" s="89" t="s">
        <v>50</v>
      </c>
      <c r="W632" s="89" t="s">
        <v>50</v>
      </c>
      <c r="X632" s="89" t="s">
        <v>50</v>
      </c>
      <c r="Y632" s="600" t="s">
        <v>4167</v>
      </c>
    </row>
    <row r="633" spans="1:25" x14ac:dyDescent="0.25">
      <c r="A633" s="26">
        <v>43754</v>
      </c>
      <c r="B633" s="89" t="s">
        <v>915</v>
      </c>
      <c r="C633" s="89" t="s">
        <v>106</v>
      </c>
      <c r="D633" s="89">
        <v>38.378520000000002</v>
      </c>
      <c r="E633" s="89">
        <v>-121.62737</v>
      </c>
      <c r="F633" s="89" t="s">
        <v>4168</v>
      </c>
      <c r="G633" s="89" t="s">
        <v>90</v>
      </c>
      <c r="H633" s="89" t="s">
        <v>362</v>
      </c>
      <c r="I633" s="602">
        <v>0.52777777777777779</v>
      </c>
      <c r="J633" s="82">
        <v>511.5</v>
      </c>
      <c r="K633" s="82">
        <v>17.850000000000001</v>
      </c>
      <c r="L633" s="82">
        <v>43.9</v>
      </c>
      <c r="M633" s="82">
        <v>0.31</v>
      </c>
      <c r="N633" s="82">
        <v>10.050000000000001</v>
      </c>
      <c r="O633" s="89" t="s">
        <v>48</v>
      </c>
      <c r="P633" s="89">
        <v>2</v>
      </c>
      <c r="Q633" s="89">
        <v>10</v>
      </c>
      <c r="R633" s="89" t="s">
        <v>49</v>
      </c>
      <c r="S633" s="89" t="s">
        <v>50</v>
      </c>
      <c r="T633" s="89" t="s">
        <v>50</v>
      </c>
      <c r="U633" s="89" t="s">
        <v>50</v>
      </c>
      <c r="V633" s="89" t="s">
        <v>50</v>
      </c>
      <c r="W633" s="89" t="s">
        <v>50</v>
      </c>
      <c r="X633" s="89" t="s">
        <v>50</v>
      </c>
      <c r="Y633" s="600" t="s">
        <v>4169</v>
      </c>
    </row>
    <row r="634" spans="1:25" x14ac:dyDescent="0.25">
      <c r="A634" s="26">
        <v>43754</v>
      </c>
      <c r="B634" s="89" t="s">
        <v>915</v>
      </c>
      <c r="C634" s="89" t="s">
        <v>78</v>
      </c>
      <c r="D634" s="89">
        <v>38.058799999999998</v>
      </c>
      <c r="E634" s="89">
        <v>-122.11591</v>
      </c>
      <c r="F634" s="89" t="s">
        <v>4170</v>
      </c>
      <c r="G634" s="89" t="s">
        <v>80</v>
      </c>
      <c r="H634" s="89" t="s">
        <v>81</v>
      </c>
      <c r="I634" s="602">
        <v>0.36458333333333331</v>
      </c>
      <c r="J634" s="82">
        <v>15081.5</v>
      </c>
      <c r="K634" s="82">
        <v>16.924999999999997</v>
      </c>
      <c r="L634" s="82">
        <v>16.95</v>
      </c>
      <c r="M634" s="82">
        <v>0.68499999999999994</v>
      </c>
      <c r="N634" s="82">
        <v>7.0250000000000004</v>
      </c>
      <c r="O634" s="89" t="s">
        <v>48</v>
      </c>
      <c r="P634" s="89">
        <v>4</v>
      </c>
      <c r="Q634" s="89">
        <v>10</v>
      </c>
      <c r="R634" s="89" t="s">
        <v>49</v>
      </c>
      <c r="S634" s="89" t="s">
        <v>50</v>
      </c>
      <c r="T634" s="89" t="s">
        <v>50</v>
      </c>
      <c r="U634" s="89" t="s">
        <v>50</v>
      </c>
      <c r="V634" s="89" t="s">
        <v>50</v>
      </c>
      <c r="W634" s="89" t="s">
        <v>50</v>
      </c>
      <c r="X634" s="89" t="s">
        <v>50</v>
      </c>
    </row>
    <row r="635" spans="1:25" x14ac:dyDescent="0.25">
      <c r="A635" s="26">
        <v>43754</v>
      </c>
      <c r="B635" s="89" t="s">
        <v>915</v>
      </c>
      <c r="C635" s="89" t="s">
        <v>78</v>
      </c>
      <c r="D635" s="89">
        <v>38.09028</v>
      </c>
      <c r="E635" s="89">
        <v>-122.06295</v>
      </c>
      <c r="F635" s="89" t="s">
        <v>4171</v>
      </c>
      <c r="G635" s="89" t="s">
        <v>27</v>
      </c>
      <c r="H635" s="89" t="s">
        <v>86</v>
      </c>
      <c r="I635" s="602">
        <v>0.41944444444444445</v>
      </c>
      <c r="J635" s="82">
        <v>11555.75</v>
      </c>
      <c r="K635" s="82">
        <v>16.600000000000001</v>
      </c>
      <c r="L635" s="82">
        <v>29.225000000000001</v>
      </c>
      <c r="M635" s="82">
        <v>0.53500000000000003</v>
      </c>
      <c r="N635" s="82">
        <v>3.375</v>
      </c>
      <c r="O635" s="89" t="s">
        <v>48</v>
      </c>
      <c r="P635" s="89">
        <v>4</v>
      </c>
      <c r="Q635" s="89">
        <v>10</v>
      </c>
      <c r="R635" s="89" t="s">
        <v>49</v>
      </c>
      <c r="S635" s="89" t="s">
        <v>50</v>
      </c>
      <c r="T635" s="89" t="s">
        <v>50</v>
      </c>
      <c r="U635" s="89" t="s">
        <v>50</v>
      </c>
      <c r="V635" s="89" t="s">
        <v>50</v>
      </c>
      <c r="W635" s="89" t="s">
        <v>50</v>
      </c>
      <c r="X635" s="89" t="s">
        <v>50</v>
      </c>
    </row>
    <row r="636" spans="1:25" x14ac:dyDescent="0.25">
      <c r="A636" s="26">
        <v>43754</v>
      </c>
      <c r="B636" s="89" t="s">
        <v>915</v>
      </c>
      <c r="C636" s="89" t="s">
        <v>78</v>
      </c>
      <c r="D636" s="89">
        <v>38.103619999999999</v>
      </c>
      <c r="E636" s="89">
        <v>-122.04295</v>
      </c>
      <c r="F636" s="89" t="s">
        <v>4172</v>
      </c>
      <c r="G636" s="89" t="s">
        <v>27</v>
      </c>
      <c r="H636" s="89" t="s">
        <v>86</v>
      </c>
      <c r="I636" s="602">
        <v>0.48749999999999999</v>
      </c>
      <c r="J636" s="82">
        <v>10609</v>
      </c>
      <c r="K636" s="82">
        <v>16.799999999999997</v>
      </c>
      <c r="L636" s="82">
        <v>20.950000000000003</v>
      </c>
      <c r="M636" s="82">
        <v>0.59</v>
      </c>
      <c r="N636" s="82">
        <v>5.25</v>
      </c>
      <c r="O636" s="89" t="s">
        <v>48</v>
      </c>
      <c r="P636" s="89">
        <v>4</v>
      </c>
      <c r="Q636" s="89">
        <v>10</v>
      </c>
      <c r="R636" s="89" t="s">
        <v>64</v>
      </c>
      <c r="S636" s="89" t="s">
        <v>50</v>
      </c>
      <c r="T636" s="89" t="s">
        <v>50</v>
      </c>
      <c r="U636" s="89" t="s">
        <v>50</v>
      </c>
      <c r="V636" s="89" t="s">
        <v>50</v>
      </c>
      <c r="W636" s="89" t="s">
        <v>50</v>
      </c>
      <c r="X636" s="89" t="s">
        <v>50</v>
      </c>
    </row>
    <row r="637" spans="1:25" s="206" customFormat="1" x14ac:dyDescent="0.25">
      <c r="A637" s="204">
        <v>43754</v>
      </c>
      <c r="B637" s="206" t="s">
        <v>915</v>
      </c>
      <c r="C637" s="206" t="s">
        <v>62</v>
      </c>
      <c r="D637" s="206">
        <v>38.100610000000003</v>
      </c>
      <c r="E637" s="206">
        <v>-122.0608</v>
      </c>
      <c r="F637" s="206" t="s">
        <v>4173</v>
      </c>
      <c r="G637" s="206" t="s">
        <v>27</v>
      </c>
      <c r="H637" s="206" t="s">
        <v>173</v>
      </c>
      <c r="I637" s="613">
        <v>0.35555555555555557</v>
      </c>
      <c r="J637" s="208">
        <v>8239</v>
      </c>
      <c r="K637" s="208">
        <v>16.75</v>
      </c>
      <c r="L637" s="208">
        <v>49.9</v>
      </c>
      <c r="M637" s="208">
        <v>0.28000000000000003</v>
      </c>
      <c r="N637" s="208">
        <v>4.5249999999999995</v>
      </c>
      <c r="O637" s="206" t="s">
        <v>48</v>
      </c>
      <c r="P637" s="206">
        <v>4</v>
      </c>
      <c r="Q637" s="206">
        <v>10</v>
      </c>
      <c r="R637" s="206" t="s">
        <v>49</v>
      </c>
      <c r="S637" s="206" t="s">
        <v>31</v>
      </c>
      <c r="T637" s="206">
        <v>1</v>
      </c>
      <c r="U637" s="206">
        <v>70</v>
      </c>
      <c r="V637" s="206" t="s">
        <v>66</v>
      </c>
      <c r="W637" s="206" t="s">
        <v>50</v>
      </c>
      <c r="X637" s="206" t="s">
        <v>50</v>
      </c>
      <c r="Y637" s="605"/>
    </row>
    <row r="638" spans="1:25" x14ac:dyDescent="0.25">
      <c r="A638" s="26">
        <v>43754</v>
      </c>
      <c r="B638" s="89" t="s">
        <v>915</v>
      </c>
      <c r="C638" s="89" t="s">
        <v>62</v>
      </c>
      <c r="D638" s="89">
        <v>38.121949999999998</v>
      </c>
      <c r="E638" s="89">
        <v>-122.07781</v>
      </c>
      <c r="F638" s="89" t="s">
        <v>4174</v>
      </c>
      <c r="G638" s="89" t="s">
        <v>27</v>
      </c>
      <c r="H638" s="89" t="s">
        <v>62</v>
      </c>
      <c r="I638" s="602">
        <v>0.40833333333333338</v>
      </c>
      <c r="J638" s="82">
        <v>9025.5</v>
      </c>
      <c r="K638" s="82">
        <v>17.175000000000001</v>
      </c>
      <c r="L638" s="82">
        <v>26.549999999999997</v>
      </c>
      <c r="M638" s="82">
        <v>0.41</v>
      </c>
      <c r="N638" s="82">
        <v>2.4</v>
      </c>
      <c r="O638" s="89" t="s">
        <v>48</v>
      </c>
      <c r="P638" s="89">
        <v>4</v>
      </c>
      <c r="Q638" s="89">
        <v>10</v>
      </c>
      <c r="R638" s="89" t="s">
        <v>49</v>
      </c>
      <c r="S638" s="89" t="s">
        <v>50</v>
      </c>
      <c r="T638" s="89" t="s">
        <v>50</v>
      </c>
      <c r="U638" s="89" t="s">
        <v>50</v>
      </c>
      <c r="V638" s="89" t="s">
        <v>50</v>
      </c>
      <c r="W638" s="89" t="s">
        <v>50</v>
      </c>
      <c r="X638" s="89" t="s">
        <v>50</v>
      </c>
      <c r="Y638" s="600" t="s">
        <v>313</v>
      </c>
    </row>
    <row r="639" spans="1:25" x14ac:dyDescent="0.25">
      <c r="A639" s="26">
        <v>43754</v>
      </c>
      <c r="B639" s="89" t="s">
        <v>915</v>
      </c>
      <c r="C639" s="89" t="s">
        <v>62</v>
      </c>
      <c r="D639" s="89">
        <v>38.131230000000002</v>
      </c>
      <c r="E639" s="89">
        <v>-122.05895</v>
      </c>
      <c r="F639" s="89" t="s">
        <v>4175</v>
      </c>
      <c r="G639" s="89" t="s">
        <v>27</v>
      </c>
      <c r="H639" s="89" t="s">
        <v>62</v>
      </c>
      <c r="I639" s="602">
        <v>0.4597222222222222</v>
      </c>
      <c r="J639" s="82">
        <v>8794</v>
      </c>
      <c r="K639" s="82">
        <v>17.125</v>
      </c>
      <c r="L639" s="82">
        <v>21.35</v>
      </c>
      <c r="M639" s="82">
        <v>0.505</v>
      </c>
      <c r="N639" s="82">
        <v>4.7</v>
      </c>
      <c r="O639" s="89" t="s">
        <v>48</v>
      </c>
      <c r="P639" s="89">
        <v>4</v>
      </c>
      <c r="Q639" s="89">
        <v>10</v>
      </c>
      <c r="R639" s="89" t="s">
        <v>64</v>
      </c>
      <c r="S639" s="89" t="s">
        <v>50</v>
      </c>
      <c r="T639" s="89" t="s">
        <v>50</v>
      </c>
      <c r="U639" s="89" t="s">
        <v>50</v>
      </c>
      <c r="V639" s="89" t="s">
        <v>50</v>
      </c>
      <c r="W639" s="89" t="s">
        <v>50</v>
      </c>
      <c r="X639" s="89" t="s">
        <v>50</v>
      </c>
    </row>
    <row r="640" spans="1:25" x14ac:dyDescent="0.25">
      <c r="A640" s="26">
        <v>43755</v>
      </c>
      <c r="B640" s="89" t="s">
        <v>876</v>
      </c>
      <c r="C640" s="89" t="s">
        <v>78</v>
      </c>
      <c r="D640" s="89">
        <v>38.050890000000003</v>
      </c>
      <c r="E640" s="89">
        <v>-122.09688</v>
      </c>
      <c r="F640" s="89" t="s">
        <v>4176</v>
      </c>
      <c r="G640" s="89" t="s">
        <v>80</v>
      </c>
      <c r="H640" s="89" t="s">
        <v>81</v>
      </c>
      <c r="I640" s="602">
        <v>0.35902777777777778</v>
      </c>
      <c r="J640" s="82">
        <v>16991.75</v>
      </c>
      <c r="K640" s="82">
        <v>17.024999999999999</v>
      </c>
      <c r="L640" s="82">
        <v>17.475000000000001</v>
      </c>
      <c r="M640" s="82">
        <v>0.77250000000000008</v>
      </c>
      <c r="N640" s="82">
        <v>10.85</v>
      </c>
      <c r="O640" s="89" t="s">
        <v>48</v>
      </c>
      <c r="P640" s="89">
        <v>4</v>
      </c>
      <c r="Q640" s="89">
        <v>10</v>
      </c>
      <c r="R640" s="89" t="s">
        <v>49</v>
      </c>
      <c r="S640" s="89" t="s">
        <v>50</v>
      </c>
      <c r="T640" s="89" t="s">
        <v>50</v>
      </c>
      <c r="U640" s="89" t="s">
        <v>50</v>
      </c>
      <c r="V640" s="89" t="s">
        <v>50</v>
      </c>
      <c r="W640" s="89" t="s">
        <v>50</v>
      </c>
      <c r="X640" s="89" t="s">
        <v>50</v>
      </c>
    </row>
    <row r="641" spans="1:25" x14ac:dyDescent="0.25">
      <c r="A641" s="26">
        <v>43755</v>
      </c>
      <c r="B641" s="89" t="s">
        <v>876</v>
      </c>
      <c r="C641" s="89" t="s">
        <v>78</v>
      </c>
      <c r="D641" s="89">
        <v>38.056089999999998</v>
      </c>
      <c r="E641" s="89">
        <v>-121.99289</v>
      </c>
      <c r="F641" s="89" t="s">
        <v>4177</v>
      </c>
      <c r="G641" s="89" t="s">
        <v>27</v>
      </c>
      <c r="H641" s="89" t="s">
        <v>101</v>
      </c>
      <c r="I641" s="602">
        <v>0.42083333333333334</v>
      </c>
      <c r="J641" s="82">
        <v>7544.333333333333</v>
      </c>
      <c r="K641" s="82">
        <v>16.966666666666665</v>
      </c>
      <c r="L641" s="82">
        <v>19.2</v>
      </c>
      <c r="M641" s="82">
        <v>0.62666666666666659</v>
      </c>
      <c r="N641" s="82">
        <v>13.833333333333334</v>
      </c>
      <c r="O641" s="89" t="s">
        <v>48</v>
      </c>
      <c r="P641" s="89">
        <v>4</v>
      </c>
      <c r="Q641" s="89">
        <v>10</v>
      </c>
      <c r="R641" s="89" t="s">
        <v>49</v>
      </c>
      <c r="S641" s="89" t="s">
        <v>50</v>
      </c>
      <c r="T641" s="89" t="s">
        <v>50</v>
      </c>
      <c r="U641" s="89" t="s">
        <v>50</v>
      </c>
      <c r="V641" s="89" t="s">
        <v>50</v>
      </c>
      <c r="W641" s="89" t="s">
        <v>50</v>
      </c>
      <c r="X641" s="89" t="s">
        <v>50</v>
      </c>
      <c r="Y641" s="600" t="s">
        <v>4178</v>
      </c>
    </row>
    <row r="642" spans="1:25" x14ac:dyDescent="0.25">
      <c r="A642" s="26">
        <v>43755</v>
      </c>
      <c r="B642" s="89" t="s">
        <v>876</v>
      </c>
      <c r="C642" s="89" t="s">
        <v>78</v>
      </c>
      <c r="D642" s="89">
        <v>38.056199999999997</v>
      </c>
      <c r="E642" s="89">
        <v>-121.97045</v>
      </c>
      <c r="F642" s="89" t="s">
        <v>4179</v>
      </c>
      <c r="G642" s="89" t="s">
        <v>27</v>
      </c>
      <c r="H642" s="89" t="s">
        <v>170</v>
      </c>
      <c r="I642" s="602">
        <v>0.45694444444444443</v>
      </c>
      <c r="J642" s="82">
        <v>4088.25</v>
      </c>
      <c r="K642" s="82">
        <v>17</v>
      </c>
      <c r="L642" s="82">
        <v>25.225000000000001</v>
      </c>
      <c r="M642" s="82">
        <v>0.53749999999999998</v>
      </c>
      <c r="N642" s="82">
        <v>13.324999999999999</v>
      </c>
      <c r="O642" s="89" t="s">
        <v>48</v>
      </c>
      <c r="P642" s="89">
        <v>4</v>
      </c>
      <c r="Q642" s="89">
        <v>10</v>
      </c>
      <c r="R642" s="89" t="s">
        <v>49</v>
      </c>
      <c r="S642" s="89" t="s">
        <v>50</v>
      </c>
      <c r="T642" s="89" t="s">
        <v>50</v>
      </c>
      <c r="U642" s="89" t="s">
        <v>50</v>
      </c>
      <c r="V642" s="89" t="s">
        <v>50</v>
      </c>
      <c r="W642" s="89" t="s">
        <v>50</v>
      </c>
      <c r="X642" s="89" t="s">
        <v>50</v>
      </c>
    </row>
    <row r="643" spans="1:25" x14ac:dyDescent="0.25">
      <c r="A643" s="26">
        <v>43755</v>
      </c>
      <c r="B643" s="89" t="s">
        <v>876</v>
      </c>
      <c r="C643" s="89" t="s">
        <v>126</v>
      </c>
      <c r="D643" s="89">
        <v>38.258420000000001</v>
      </c>
      <c r="E643" s="89">
        <v>-121.73855</v>
      </c>
      <c r="F643" s="89" t="s">
        <v>4180</v>
      </c>
      <c r="G643" s="89" t="s">
        <v>90</v>
      </c>
      <c r="H643" s="89" t="s">
        <v>845</v>
      </c>
      <c r="I643" s="602">
        <v>0.33680555555555558</v>
      </c>
      <c r="J643" s="82">
        <v>174.10000000000002</v>
      </c>
      <c r="K643" s="82">
        <v>16.3</v>
      </c>
      <c r="L643" s="82">
        <v>7.932500000000001</v>
      </c>
      <c r="M643" s="82">
        <v>1.1150000000000002</v>
      </c>
      <c r="N643" s="82">
        <v>4.3</v>
      </c>
      <c r="O643" s="89" t="s">
        <v>48</v>
      </c>
      <c r="P643" s="89">
        <v>4</v>
      </c>
      <c r="Q643" s="89">
        <v>10</v>
      </c>
      <c r="R643" s="89" t="s">
        <v>49</v>
      </c>
      <c r="S643" s="89" t="s">
        <v>50</v>
      </c>
      <c r="T643" s="89" t="s">
        <v>50</v>
      </c>
      <c r="U643" s="89" t="s">
        <v>50</v>
      </c>
      <c r="V643" s="89" t="s">
        <v>50</v>
      </c>
      <c r="W643" s="89" t="s">
        <v>50</v>
      </c>
      <c r="X643" s="89" t="s">
        <v>50</v>
      </c>
    </row>
    <row r="644" spans="1:25" x14ac:dyDescent="0.25">
      <c r="A644" s="26">
        <v>43755</v>
      </c>
      <c r="B644" s="89" t="s">
        <v>876</v>
      </c>
      <c r="C644" s="89" t="s">
        <v>126</v>
      </c>
      <c r="D644" s="89">
        <v>38.240850000000002</v>
      </c>
      <c r="E644" s="89">
        <v>-121.68701</v>
      </c>
      <c r="F644" s="89" t="s">
        <v>4181</v>
      </c>
      <c r="G644" s="89" t="s">
        <v>90</v>
      </c>
      <c r="H644" s="89" t="s">
        <v>845</v>
      </c>
      <c r="I644" s="602">
        <v>0.41250000000000003</v>
      </c>
      <c r="J644" s="82">
        <v>142.02500000000001</v>
      </c>
      <c r="K644" s="82">
        <v>15.966666666666667</v>
      </c>
      <c r="L644" s="82">
        <v>5.3949999999999996</v>
      </c>
      <c r="M644" s="82">
        <v>1.7250000000000001</v>
      </c>
      <c r="N644" s="82">
        <v>7.6749999999999998</v>
      </c>
      <c r="O644" s="89" t="s">
        <v>48</v>
      </c>
      <c r="P644" s="89">
        <v>4</v>
      </c>
      <c r="Q644" s="89">
        <v>10</v>
      </c>
      <c r="R644" s="89" t="s">
        <v>49</v>
      </c>
      <c r="S644" s="89" t="s">
        <v>50</v>
      </c>
      <c r="T644" s="89" t="s">
        <v>50</v>
      </c>
      <c r="U644" s="89" t="s">
        <v>50</v>
      </c>
      <c r="V644" s="89" t="s">
        <v>50</v>
      </c>
      <c r="W644" s="89" t="s">
        <v>50</v>
      </c>
      <c r="X644" s="89" t="s">
        <v>50</v>
      </c>
    </row>
    <row r="645" spans="1:25" x14ac:dyDescent="0.25">
      <c r="A645" s="26">
        <v>43755</v>
      </c>
      <c r="B645" s="89" t="s">
        <v>876</v>
      </c>
      <c r="C645" s="89" t="s">
        <v>126</v>
      </c>
      <c r="D645" s="89">
        <v>38.320230000000002</v>
      </c>
      <c r="E645" s="89">
        <v>-121.66710999999999</v>
      </c>
      <c r="F645" s="89" t="s">
        <v>4182</v>
      </c>
      <c r="G645" s="89" t="s">
        <v>90</v>
      </c>
      <c r="H645" s="89" t="s">
        <v>845</v>
      </c>
      <c r="I645" s="602">
        <v>0.47152777777777777</v>
      </c>
      <c r="J645" s="82">
        <v>216.32499999999999</v>
      </c>
      <c r="K645" s="82">
        <v>16.350000000000001</v>
      </c>
      <c r="L645" s="82">
        <v>9.5224999999999991</v>
      </c>
      <c r="M645" s="82">
        <v>1.1099999999999999</v>
      </c>
      <c r="N645" s="82">
        <v>5.875</v>
      </c>
      <c r="O645" s="89" t="s">
        <v>48</v>
      </c>
      <c r="P645" s="89">
        <v>4</v>
      </c>
      <c r="Q645" s="89">
        <v>10</v>
      </c>
      <c r="R645" s="89" t="s">
        <v>49</v>
      </c>
      <c r="S645" s="89" t="s">
        <v>50</v>
      </c>
      <c r="T645" s="89" t="s">
        <v>50</v>
      </c>
      <c r="U645" s="89" t="s">
        <v>50</v>
      </c>
      <c r="V645" s="89" t="s">
        <v>50</v>
      </c>
      <c r="W645" s="89" t="s">
        <v>50</v>
      </c>
      <c r="X645" s="89" t="s">
        <v>50</v>
      </c>
      <c r="Y645" s="600" t="s">
        <v>4183</v>
      </c>
    </row>
    <row r="646" spans="1:25" x14ac:dyDescent="0.25">
      <c r="A646" s="26">
        <v>43755</v>
      </c>
      <c r="B646" s="89" t="s">
        <v>876</v>
      </c>
      <c r="C646" s="89" t="s">
        <v>88</v>
      </c>
      <c r="D646" s="89">
        <v>38.062620000000003</v>
      </c>
      <c r="E646" s="89">
        <v>-121.83356000000001</v>
      </c>
      <c r="F646" s="89" t="s">
        <v>4184</v>
      </c>
      <c r="G646" s="89" t="s">
        <v>27</v>
      </c>
      <c r="H646" s="89" t="s">
        <v>25</v>
      </c>
      <c r="I646" s="602">
        <v>0.34861111111111115</v>
      </c>
      <c r="J646" s="82">
        <v>1111</v>
      </c>
      <c r="K646" s="82">
        <v>16.8</v>
      </c>
      <c r="L646" s="82">
        <v>20.375</v>
      </c>
      <c r="M646" s="82">
        <v>0.58499999999999996</v>
      </c>
      <c r="N646" s="82">
        <v>9.375</v>
      </c>
      <c r="O646" s="89" t="s">
        <v>48</v>
      </c>
      <c r="P646" s="89">
        <v>4</v>
      </c>
      <c r="Q646" s="89">
        <v>10</v>
      </c>
      <c r="R646" s="89" t="s">
        <v>49</v>
      </c>
      <c r="S646" s="89" t="s">
        <v>50</v>
      </c>
      <c r="T646" s="89" t="s">
        <v>50</v>
      </c>
      <c r="U646" s="89" t="s">
        <v>50</v>
      </c>
      <c r="V646" s="89" t="s">
        <v>50</v>
      </c>
      <c r="W646" s="89" t="s">
        <v>50</v>
      </c>
      <c r="X646" s="89" t="s">
        <v>50</v>
      </c>
    </row>
    <row r="647" spans="1:25" x14ac:dyDescent="0.25">
      <c r="A647" s="26">
        <v>43755</v>
      </c>
      <c r="B647" s="89" t="s">
        <v>876</v>
      </c>
      <c r="C647" s="89" t="s">
        <v>88</v>
      </c>
      <c r="D647" s="89">
        <v>38.142389999999999</v>
      </c>
      <c r="E647" s="89">
        <v>-121.68728</v>
      </c>
      <c r="F647" s="89" t="s">
        <v>4185</v>
      </c>
      <c r="G647" s="89" t="s">
        <v>90</v>
      </c>
      <c r="H647" s="89" t="s">
        <v>91</v>
      </c>
      <c r="I647" s="602">
        <v>0.42291666666666666</v>
      </c>
      <c r="J647" s="82">
        <v>123.42499999999998</v>
      </c>
      <c r="K647" s="82">
        <v>16.324999999999999</v>
      </c>
      <c r="L647" s="82">
        <v>8.0650000000000013</v>
      </c>
      <c r="M647" s="82" t="s">
        <v>1233</v>
      </c>
      <c r="N647" s="82">
        <v>5.0500000000000007</v>
      </c>
      <c r="O647" s="89" t="s">
        <v>48</v>
      </c>
      <c r="P647" s="89">
        <v>4</v>
      </c>
      <c r="Q647" s="89">
        <v>10</v>
      </c>
      <c r="R647" s="89" t="s">
        <v>49</v>
      </c>
      <c r="S647" s="89" t="s">
        <v>50</v>
      </c>
      <c r="T647" s="89" t="s">
        <v>50</v>
      </c>
      <c r="U647" s="89" t="s">
        <v>50</v>
      </c>
      <c r="V647" s="89" t="s">
        <v>50</v>
      </c>
      <c r="W647" s="89" t="s">
        <v>50</v>
      </c>
      <c r="X647" s="89" t="s">
        <v>50</v>
      </c>
    </row>
    <row r="648" spans="1:25" x14ac:dyDescent="0.25">
      <c r="A648" s="26">
        <v>43755</v>
      </c>
      <c r="B648" s="89" t="s">
        <v>876</v>
      </c>
      <c r="C648" s="89" t="s">
        <v>88</v>
      </c>
      <c r="D648" s="89">
        <v>38.158790000000003</v>
      </c>
      <c r="E648" s="89">
        <v>-121.68255000000001</v>
      </c>
      <c r="F648" s="89" t="s">
        <v>4186</v>
      </c>
      <c r="G648" s="89" t="s">
        <v>90</v>
      </c>
      <c r="H648" s="89" t="s">
        <v>91</v>
      </c>
      <c r="I648" s="602">
        <v>0.47847222222222219</v>
      </c>
      <c r="J648" s="82">
        <v>125.77499999999999</v>
      </c>
      <c r="K648" s="82">
        <v>16.675000000000001</v>
      </c>
      <c r="L648" s="82">
        <v>6.0674999999999999</v>
      </c>
      <c r="M648" s="82" t="s">
        <v>1233</v>
      </c>
      <c r="N648" s="82">
        <v>8.85</v>
      </c>
      <c r="O648" s="89" t="s">
        <v>48</v>
      </c>
      <c r="P648" s="89">
        <v>4</v>
      </c>
      <c r="Q648" s="89">
        <v>10</v>
      </c>
      <c r="R648" s="89" t="s">
        <v>49</v>
      </c>
      <c r="S648" s="89" t="s">
        <v>50</v>
      </c>
      <c r="T648" s="89" t="s">
        <v>50</v>
      </c>
      <c r="U648" s="89" t="s">
        <v>50</v>
      </c>
      <c r="V648" s="89" t="s">
        <v>50</v>
      </c>
      <c r="W648" s="89" t="s">
        <v>50</v>
      </c>
      <c r="X648" s="89" t="s">
        <v>50</v>
      </c>
    </row>
    <row r="649" spans="1:25" x14ac:dyDescent="0.25">
      <c r="A649" s="26">
        <v>43756</v>
      </c>
      <c r="B649" s="89" t="s">
        <v>125</v>
      </c>
      <c r="C649" s="89" t="s">
        <v>118</v>
      </c>
      <c r="D649" s="89">
        <v>38.183210000000003</v>
      </c>
      <c r="E649" s="89">
        <v>-122.31101</v>
      </c>
      <c r="F649" s="89" t="s">
        <v>4187</v>
      </c>
      <c r="G649" s="89" t="s">
        <v>80</v>
      </c>
      <c r="H649" s="89" t="s">
        <v>191</v>
      </c>
      <c r="I649" s="602">
        <v>0.32361111111111113</v>
      </c>
      <c r="J649" s="82">
        <v>23666</v>
      </c>
      <c r="K649" s="82">
        <v>16.625</v>
      </c>
      <c r="L649" s="82">
        <v>13.475</v>
      </c>
      <c r="M649" s="82">
        <v>0.75</v>
      </c>
      <c r="N649" s="82">
        <v>4.375</v>
      </c>
      <c r="O649" s="89" t="s">
        <v>48</v>
      </c>
      <c r="P649" s="89">
        <v>4</v>
      </c>
      <c r="Q649" s="89">
        <v>10</v>
      </c>
      <c r="R649" s="89" t="s">
        <v>49</v>
      </c>
      <c r="S649" s="89" t="s">
        <v>50</v>
      </c>
      <c r="T649" s="89" t="s">
        <v>50</v>
      </c>
      <c r="U649" s="89" t="s">
        <v>50</v>
      </c>
      <c r="V649" s="89" t="s">
        <v>50</v>
      </c>
      <c r="W649" s="89" t="s">
        <v>50</v>
      </c>
      <c r="X649" s="89" t="s">
        <v>50</v>
      </c>
    </row>
    <row r="650" spans="1:25" x14ac:dyDescent="0.25">
      <c r="A650" s="26">
        <v>43756</v>
      </c>
      <c r="B650" s="89" t="s">
        <v>125</v>
      </c>
      <c r="C650" s="89" t="s">
        <v>118</v>
      </c>
      <c r="D650" s="89">
        <v>38.03228</v>
      </c>
      <c r="E650" s="89">
        <v>-122.31623999999999</v>
      </c>
      <c r="F650" s="89" t="s">
        <v>4188</v>
      </c>
      <c r="G650" s="89" t="s">
        <v>80</v>
      </c>
      <c r="H650" s="89" t="s">
        <v>123</v>
      </c>
      <c r="I650" s="602">
        <v>0.39097222222222222</v>
      </c>
      <c r="J650" s="82">
        <v>31552</v>
      </c>
      <c r="K650" s="82">
        <v>16.55</v>
      </c>
      <c r="L650" s="82">
        <v>6.3550000000000004</v>
      </c>
      <c r="M650" s="82">
        <v>1.6875000000000002</v>
      </c>
      <c r="N650" s="82">
        <v>3.15</v>
      </c>
      <c r="O650" s="89" t="s">
        <v>48</v>
      </c>
      <c r="P650" s="89">
        <v>4</v>
      </c>
      <c r="Q650" s="89">
        <v>10</v>
      </c>
      <c r="R650" s="89" t="s">
        <v>49</v>
      </c>
      <c r="S650" s="89" t="s">
        <v>50</v>
      </c>
      <c r="T650" s="89" t="s">
        <v>50</v>
      </c>
      <c r="U650" s="89" t="s">
        <v>50</v>
      </c>
      <c r="V650" s="89" t="s">
        <v>50</v>
      </c>
      <c r="W650" s="89" t="s">
        <v>50</v>
      </c>
      <c r="X650" s="89" t="s">
        <v>50</v>
      </c>
    </row>
    <row r="651" spans="1:25" x14ac:dyDescent="0.25">
      <c r="A651" s="26">
        <v>43756</v>
      </c>
      <c r="B651" s="89" t="s">
        <v>125</v>
      </c>
      <c r="C651" s="89" t="s">
        <v>118</v>
      </c>
      <c r="D651" s="89">
        <v>38.050229999999999</v>
      </c>
      <c r="E651" s="89">
        <v>-122.30633</v>
      </c>
      <c r="F651" s="89" t="s">
        <v>4189</v>
      </c>
      <c r="G651" s="89" t="s">
        <v>80</v>
      </c>
      <c r="H651" s="89" t="s">
        <v>123</v>
      </c>
      <c r="I651" s="602">
        <v>0.44027777777777777</v>
      </c>
      <c r="J651" s="100">
        <v>27478.5</v>
      </c>
      <c r="K651" s="100">
        <v>16.725000000000001</v>
      </c>
      <c r="L651" s="100">
        <v>10.255000000000001</v>
      </c>
      <c r="M651" s="100">
        <v>1.2524999999999999</v>
      </c>
      <c r="N651" s="100">
        <v>10.35</v>
      </c>
      <c r="O651" s="98" t="s">
        <v>48</v>
      </c>
      <c r="P651" s="98">
        <v>4</v>
      </c>
      <c r="Q651" s="98">
        <v>10</v>
      </c>
      <c r="R651" s="89" t="s">
        <v>49</v>
      </c>
      <c r="S651" s="89" t="s">
        <v>50</v>
      </c>
      <c r="T651" s="89" t="s">
        <v>50</v>
      </c>
      <c r="U651" s="89" t="s">
        <v>50</v>
      </c>
      <c r="V651" s="89" t="s">
        <v>50</v>
      </c>
      <c r="W651" s="89" t="s">
        <v>50</v>
      </c>
      <c r="X651" s="89" t="s">
        <v>50</v>
      </c>
    </row>
    <row r="652" spans="1:25" x14ac:dyDescent="0.25">
      <c r="A652" s="26">
        <v>43756</v>
      </c>
      <c r="B652" s="89" t="s">
        <v>125</v>
      </c>
      <c r="C652" s="98" t="s">
        <v>118</v>
      </c>
      <c r="D652" s="98">
        <v>38.059890000000003</v>
      </c>
      <c r="E652" s="98">
        <v>-122.24338</v>
      </c>
      <c r="F652" s="98" t="s">
        <v>4190</v>
      </c>
      <c r="G652" s="98" t="s">
        <v>80</v>
      </c>
      <c r="H652" s="98" t="s">
        <v>3332</v>
      </c>
      <c r="I652" s="602">
        <v>0.49305555555555558</v>
      </c>
      <c r="J652" s="100">
        <v>21481.5</v>
      </c>
      <c r="K652" s="100">
        <v>17.175000000000001</v>
      </c>
      <c r="L652" s="100">
        <v>9.2850000000000001</v>
      </c>
      <c r="M652" s="100">
        <v>1.0924999999999998</v>
      </c>
      <c r="N652" s="100">
        <v>18.850000000000001</v>
      </c>
      <c r="O652" s="98" t="s">
        <v>48</v>
      </c>
      <c r="P652" s="98">
        <v>4</v>
      </c>
      <c r="Q652" s="98">
        <v>10</v>
      </c>
      <c r="R652" s="89" t="s">
        <v>49</v>
      </c>
      <c r="S652" s="89" t="s">
        <v>50</v>
      </c>
      <c r="T652" s="89" t="s">
        <v>50</v>
      </c>
      <c r="U652" s="89" t="s">
        <v>50</v>
      </c>
      <c r="V652" s="89" t="s">
        <v>50</v>
      </c>
      <c r="W652" s="89" t="s">
        <v>50</v>
      </c>
      <c r="X652" s="89" t="s">
        <v>50</v>
      </c>
    </row>
    <row r="653" spans="1:25" x14ac:dyDescent="0.25">
      <c r="A653" s="26">
        <v>43756</v>
      </c>
      <c r="B653" s="89" t="s">
        <v>125</v>
      </c>
      <c r="C653" s="89" t="s">
        <v>126</v>
      </c>
      <c r="D653" s="89">
        <v>38.314419999999998</v>
      </c>
      <c r="E653" s="89">
        <v>-121.66722</v>
      </c>
      <c r="F653" s="89" t="s">
        <v>4191</v>
      </c>
      <c r="G653" s="89" t="s">
        <v>90</v>
      </c>
      <c r="H653" s="89" t="s">
        <v>845</v>
      </c>
      <c r="I653" s="602">
        <v>0.3298611111111111</v>
      </c>
      <c r="J653" s="82">
        <v>182.02500000000001</v>
      </c>
      <c r="K653" s="82">
        <v>16.274999999999999</v>
      </c>
      <c r="L653" s="82">
        <v>8.1575000000000006</v>
      </c>
      <c r="M653" s="82">
        <v>1.175</v>
      </c>
      <c r="N653" s="82">
        <v>7.0750000000000002</v>
      </c>
      <c r="O653" s="89" t="s">
        <v>48</v>
      </c>
      <c r="P653" s="89">
        <v>4</v>
      </c>
      <c r="Q653" s="89">
        <v>10</v>
      </c>
      <c r="R653" s="89" t="s">
        <v>64</v>
      </c>
      <c r="S653" s="89" t="s">
        <v>50</v>
      </c>
      <c r="T653" s="89" t="s">
        <v>50</v>
      </c>
      <c r="U653" s="89" t="s">
        <v>50</v>
      </c>
      <c r="V653" s="89" t="s">
        <v>50</v>
      </c>
      <c r="W653" s="89" t="s">
        <v>50</v>
      </c>
      <c r="X653" s="89" t="s">
        <v>50</v>
      </c>
    </row>
    <row r="654" spans="1:25" x14ac:dyDescent="0.25">
      <c r="A654" s="26">
        <v>43756</v>
      </c>
      <c r="B654" s="89" t="s">
        <v>125</v>
      </c>
      <c r="C654" s="89" t="s">
        <v>126</v>
      </c>
      <c r="D654" s="89">
        <v>38.321689999999997</v>
      </c>
      <c r="E654" s="89">
        <v>-121.69324</v>
      </c>
      <c r="F654" s="89" t="s">
        <v>4192</v>
      </c>
      <c r="G654" s="89" t="s">
        <v>90</v>
      </c>
      <c r="H654" s="89" t="s">
        <v>845</v>
      </c>
      <c r="I654" s="602">
        <v>0.38819444444444445</v>
      </c>
      <c r="J654" s="82">
        <v>310.95</v>
      </c>
      <c r="K654" s="82">
        <v>16.225000000000001</v>
      </c>
      <c r="L654" s="82">
        <v>5.2274999999999991</v>
      </c>
      <c r="M654" s="82">
        <v>1.655</v>
      </c>
      <c r="N654" s="82">
        <v>5.0250000000000004</v>
      </c>
      <c r="O654" s="89" t="s">
        <v>48</v>
      </c>
      <c r="P654" s="89">
        <v>4</v>
      </c>
      <c r="Q654" s="89">
        <v>10</v>
      </c>
      <c r="R654" s="89" t="s">
        <v>64</v>
      </c>
      <c r="S654" s="89" t="s">
        <v>50</v>
      </c>
      <c r="T654" s="89" t="s">
        <v>50</v>
      </c>
      <c r="U654" s="89" t="s">
        <v>50</v>
      </c>
      <c r="V654" s="89" t="s">
        <v>50</v>
      </c>
      <c r="W654" s="89" t="s">
        <v>50</v>
      </c>
      <c r="X654" s="89" t="s">
        <v>50</v>
      </c>
    </row>
    <row r="655" spans="1:25" x14ac:dyDescent="0.25">
      <c r="A655" s="26">
        <v>43756</v>
      </c>
      <c r="B655" s="89" t="s">
        <v>125</v>
      </c>
      <c r="C655" s="89" t="s">
        <v>126</v>
      </c>
      <c r="D655" s="89">
        <v>38.26482</v>
      </c>
      <c r="E655" s="89">
        <v>-121.69792</v>
      </c>
      <c r="F655" s="89" t="s">
        <v>4193</v>
      </c>
      <c r="G655" s="89" t="s">
        <v>90</v>
      </c>
      <c r="H655" s="89" t="s">
        <v>845</v>
      </c>
      <c r="I655" s="602">
        <v>0.44722222222222219</v>
      </c>
      <c r="J655" s="82">
        <v>139.75</v>
      </c>
      <c r="K655" s="82">
        <v>16.2</v>
      </c>
      <c r="L655" s="82">
        <v>5.3525000000000009</v>
      </c>
      <c r="M655" s="82" t="s">
        <v>1233</v>
      </c>
      <c r="N655" s="82">
        <v>3.4249999999999998</v>
      </c>
      <c r="O655" s="89" t="s">
        <v>48</v>
      </c>
      <c r="P655" s="89">
        <v>4</v>
      </c>
      <c r="Q655" s="89">
        <v>10</v>
      </c>
      <c r="R655" s="89" t="s">
        <v>49</v>
      </c>
      <c r="S655" s="89" t="s">
        <v>50</v>
      </c>
      <c r="T655" s="89" t="s">
        <v>50</v>
      </c>
      <c r="U655" s="89" t="s">
        <v>50</v>
      </c>
      <c r="V655" s="89" t="s">
        <v>50</v>
      </c>
      <c r="W655" s="89" t="s">
        <v>50</v>
      </c>
      <c r="X655" s="89" t="s">
        <v>50</v>
      </c>
      <c r="Y655" s="600" t="s">
        <v>3601</v>
      </c>
    </row>
    <row r="656" spans="1:25" x14ac:dyDescent="0.25">
      <c r="A656" s="26">
        <v>43756</v>
      </c>
      <c r="B656" s="89" t="s">
        <v>125</v>
      </c>
      <c r="C656" s="89" t="s">
        <v>88</v>
      </c>
      <c r="D656" s="89">
        <v>38.066540000000003</v>
      </c>
      <c r="E656" s="89">
        <v>-121.82237000000001</v>
      </c>
      <c r="F656" s="89" t="s">
        <v>4194</v>
      </c>
      <c r="G656" s="89" t="s">
        <v>27</v>
      </c>
      <c r="H656" s="89" t="s">
        <v>25</v>
      </c>
      <c r="I656" s="602">
        <v>0.34513888888888888</v>
      </c>
      <c r="J656" s="82">
        <v>547.45000000000005</v>
      </c>
      <c r="K656" s="82">
        <v>16.5</v>
      </c>
      <c r="L656" s="82">
        <v>20.025000000000002</v>
      </c>
      <c r="M656" s="82">
        <v>0.53</v>
      </c>
      <c r="N656" s="82">
        <v>7.9750000000000005</v>
      </c>
      <c r="O656" s="89" t="s">
        <v>48</v>
      </c>
      <c r="P656" s="89">
        <v>4</v>
      </c>
      <c r="Q656" s="89">
        <v>10</v>
      </c>
      <c r="R656" s="89" t="s">
        <v>64</v>
      </c>
      <c r="S656" s="89" t="s">
        <v>50</v>
      </c>
      <c r="T656" s="89" t="s">
        <v>50</v>
      </c>
      <c r="U656" s="89" t="s">
        <v>50</v>
      </c>
      <c r="V656" s="89" t="s">
        <v>50</v>
      </c>
      <c r="W656" s="89" t="s">
        <v>50</v>
      </c>
      <c r="X656" s="89" t="s">
        <v>50</v>
      </c>
    </row>
    <row r="657" spans="1:25" x14ac:dyDescent="0.25">
      <c r="A657" s="26">
        <v>43756</v>
      </c>
      <c r="B657" s="89" t="s">
        <v>125</v>
      </c>
      <c r="C657" s="89" t="s">
        <v>88</v>
      </c>
      <c r="D657" s="89">
        <v>38.036580000000001</v>
      </c>
      <c r="E657" s="89">
        <v>-121.78467999999999</v>
      </c>
      <c r="F657" s="89" t="s">
        <v>4195</v>
      </c>
      <c r="G657" s="89" t="s">
        <v>27</v>
      </c>
      <c r="H657" s="89" t="s">
        <v>25</v>
      </c>
      <c r="I657" s="602">
        <v>0.4069444444444445</v>
      </c>
      <c r="J657" s="82">
        <v>337.22500000000002</v>
      </c>
      <c r="K657" s="82">
        <v>16.425000000000001</v>
      </c>
      <c r="L657" s="82">
        <v>15.574999999999999</v>
      </c>
      <c r="M657" s="82">
        <v>0.79</v>
      </c>
      <c r="N657" s="82">
        <v>7.7249999999999996</v>
      </c>
      <c r="O657" s="89" t="s">
        <v>48</v>
      </c>
      <c r="P657" s="89">
        <v>4</v>
      </c>
      <c r="Q657" s="89">
        <v>10</v>
      </c>
      <c r="R657" s="89" t="s">
        <v>49</v>
      </c>
      <c r="S657" s="89" t="s">
        <v>50</v>
      </c>
      <c r="T657" s="89" t="s">
        <v>50</v>
      </c>
      <c r="U657" s="89" t="s">
        <v>50</v>
      </c>
      <c r="V657" s="89" t="s">
        <v>50</v>
      </c>
      <c r="W657" s="89" t="s">
        <v>50</v>
      </c>
      <c r="X657" s="89" t="s">
        <v>50</v>
      </c>
      <c r="Y657" s="600" t="s">
        <v>3878</v>
      </c>
    </row>
    <row r="658" spans="1:25" s="362" customFormat="1" x14ac:dyDescent="0.25">
      <c r="A658" s="360">
        <v>43756</v>
      </c>
      <c r="B658" s="362" t="s">
        <v>125</v>
      </c>
      <c r="C658" s="362" t="s">
        <v>88</v>
      </c>
      <c r="D658" s="362">
        <v>38.089260000000003</v>
      </c>
      <c r="E658" s="362">
        <v>-121.70872</v>
      </c>
      <c r="F658" s="362" t="s">
        <v>4196</v>
      </c>
      <c r="G658" s="362" t="s">
        <v>90</v>
      </c>
      <c r="H658" s="362" t="s">
        <v>91</v>
      </c>
      <c r="I658" s="618">
        <v>0.4861111111111111</v>
      </c>
      <c r="J658" s="364">
        <v>125.075</v>
      </c>
      <c r="K658" s="364">
        <v>16.524999999999999</v>
      </c>
      <c r="L658" s="364">
        <v>7.1825000000000001</v>
      </c>
      <c r="M658" s="364">
        <v>1.7625</v>
      </c>
      <c r="N658" s="364">
        <v>3.15</v>
      </c>
      <c r="O658" s="362" t="s">
        <v>48</v>
      </c>
      <c r="P658" s="362">
        <v>4</v>
      </c>
      <c r="Q658" s="362">
        <v>10</v>
      </c>
      <c r="R658" s="362" t="s">
        <v>49</v>
      </c>
      <c r="S658" s="362" t="s">
        <v>50</v>
      </c>
      <c r="T658" s="362" t="s">
        <v>50</v>
      </c>
      <c r="U658" s="362" t="s">
        <v>50</v>
      </c>
      <c r="V658" s="362" t="s">
        <v>50</v>
      </c>
      <c r="W658" s="362" t="s">
        <v>50</v>
      </c>
      <c r="X658" s="362" t="s">
        <v>50</v>
      </c>
      <c r="Y658" s="603" t="s">
        <v>3548</v>
      </c>
    </row>
    <row r="659" spans="1:25" x14ac:dyDescent="0.25">
      <c r="A659" s="26">
        <v>43759</v>
      </c>
      <c r="B659" s="89" t="s">
        <v>43</v>
      </c>
      <c r="C659" s="89" t="s">
        <v>106</v>
      </c>
      <c r="D659" s="89">
        <v>38.400790000000001</v>
      </c>
      <c r="E659" s="89">
        <v>-121.61742</v>
      </c>
      <c r="F659" s="89" t="s">
        <v>4197</v>
      </c>
      <c r="G659" s="89" t="s">
        <v>90</v>
      </c>
      <c r="H659" s="89" t="s">
        <v>362</v>
      </c>
      <c r="I659" s="602">
        <v>0.34583333333333338</v>
      </c>
      <c r="J659" s="82">
        <v>561.25</v>
      </c>
      <c r="K659" s="82">
        <v>17.3</v>
      </c>
      <c r="L659" s="82">
        <v>30.93</v>
      </c>
      <c r="M659" s="82">
        <v>0.37</v>
      </c>
      <c r="N659" s="82">
        <v>10.23</v>
      </c>
      <c r="O659" s="89" t="s">
        <v>48</v>
      </c>
      <c r="P659" s="89">
        <v>4</v>
      </c>
      <c r="Q659" s="89">
        <v>10</v>
      </c>
      <c r="R659" s="89" t="s">
        <v>64</v>
      </c>
      <c r="S659" s="89" t="s">
        <v>50</v>
      </c>
      <c r="T659" s="89" t="s">
        <v>50</v>
      </c>
      <c r="U659" s="89" t="s">
        <v>50</v>
      </c>
      <c r="V659" s="89" t="s">
        <v>50</v>
      </c>
      <c r="W659" s="89" t="s">
        <v>50</v>
      </c>
      <c r="X659" s="89" t="s">
        <v>50</v>
      </c>
      <c r="Y659" s="600" t="s">
        <v>4198</v>
      </c>
    </row>
    <row r="660" spans="1:25" x14ac:dyDescent="0.25">
      <c r="A660" s="26">
        <v>43759</v>
      </c>
      <c r="B660" s="89" t="s">
        <v>43</v>
      </c>
      <c r="C660" s="89" t="s">
        <v>106</v>
      </c>
      <c r="D660" s="89">
        <v>38.26576</v>
      </c>
      <c r="E660" s="89">
        <v>-121.66457</v>
      </c>
      <c r="F660" s="89" t="s">
        <v>4199</v>
      </c>
      <c r="G660" s="89" t="s">
        <v>90</v>
      </c>
      <c r="H660" s="89" t="s">
        <v>362</v>
      </c>
      <c r="I660" s="602">
        <v>0.4284722222222222</v>
      </c>
      <c r="J660" s="82">
        <v>150.22999999999999</v>
      </c>
      <c r="K660" s="82">
        <v>16.3</v>
      </c>
      <c r="L660" s="82">
        <v>8.7799999999999994</v>
      </c>
      <c r="M660" s="82">
        <v>1.53</v>
      </c>
      <c r="N660" s="82">
        <v>11.13</v>
      </c>
      <c r="O660" s="89" t="s">
        <v>48</v>
      </c>
      <c r="P660" s="89">
        <v>4</v>
      </c>
      <c r="Q660" s="89">
        <v>10</v>
      </c>
      <c r="R660" s="89" t="s">
        <v>64</v>
      </c>
      <c r="S660" s="89" t="s">
        <v>50</v>
      </c>
      <c r="T660" s="89" t="s">
        <v>50</v>
      </c>
      <c r="U660" s="89" t="s">
        <v>50</v>
      </c>
      <c r="V660" s="89" t="s">
        <v>50</v>
      </c>
      <c r="W660" s="89" t="s">
        <v>50</v>
      </c>
      <c r="X660" s="89" t="s">
        <v>50</v>
      </c>
    </row>
    <row r="661" spans="1:25" x14ac:dyDescent="0.25">
      <c r="A661" s="26">
        <v>43759</v>
      </c>
      <c r="B661" s="89" t="s">
        <v>43</v>
      </c>
      <c r="C661" s="89" t="s">
        <v>106</v>
      </c>
      <c r="D661" s="89">
        <v>38.237090000000002</v>
      </c>
      <c r="E661" s="89">
        <v>-121.67335</v>
      </c>
      <c r="F661" s="89" t="s">
        <v>4200</v>
      </c>
      <c r="G661" s="89" t="s">
        <v>90</v>
      </c>
      <c r="H661" s="89" t="s">
        <v>362</v>
      </c>
      <c r="I661" s="602">
        <v>0.47916666666666669</v>
      </c>
      <c r="J661" s="82">
        <v>140</v>
      </c>
      <c r="K661" s="82">
        <v>16.18</v>
      </c>
      <c r="L661" s="82">
        <v>6.52</v>
      </c>
      <c r="M661" s="82" t="s">
        <v>1233</v>
      </c>
      <c r="N661" s="82">
        <v>10.68</v>
      </c>
      <c r="O661" s="89" t="s">
        <v>48</v>
      </c>
      <c r="P661" s="89">
        <v>4</v>
      </c>
      <c r="Q661" s="89">
        <v>10</v>
      </c>
      <c r="R661" s="89" t="s">
        <v>64</v>
      </c>
      <c r="S661" s="89" t="s">
        <v>50</v>
      </c>
      <c r="T661" s="89" t="s">
        <v>50</v>
      </c>
      <c r="U661" s="89" t="s">
        <v>50</v>
      </c>
      <c r="V661" s="89" t="s">
        <v>50</v>
      </c>
      <c r="W661" s="89" t="s">
        <v>50</v>
      </c>
      <c r="X661" s="89" t="s">
        <v>50</v>
      </c>
    </row>
    <row r="662" spans="1:25" x14ac:dyDescent="0.25">
      <c r="A662" s="26">
        <v>43759</v>
      </c>
      <c r="B662" s="89" t="s">
        <v>43</v>
      </c>
      <c r="C662" s="89" t="s">
        <v>88</v>
      </c>
      <c r="D662" s="89">
        <v>38.090150000000001</v>
      </c>
      <c r="E662" s="89">
        <v>-121.68489</v>
      </c>
      <c r="F662" s="89" t="s">
        <v>4201</v>
      </c>
      <c r="G662" s="89" t="s">
        <v>90</v>
      </c>
      <c r="H662" s="89" t="s">
        <v>91</v>
      </c>
      <c r="I662" s="602">
        <v>0.32291666666666669</v>
      </c>
      <c r="J662" s="82">
        <v>152.19999999999999</v>
      </c>
      <c r="K662" s="82">
        <v>16.73</v>
      </c>
      <c r="L662" s="82">
        <v>4.95</v>
      </c>
      <c r="M662" s="82" t="s">
        <v>1233</v>
      </c>
      <c r="N662" s="82">
        <v>5.69</v>
      </c>
      <c r="O662" s="89" t="s">
        <v>48</v>
      </c>
      <c r="P662" s="89">
        <v>4</v>
      </c>
      <c r="Q662" s="89">
        <v>10</v>
      </c>
      <c r="R662" s="89" t="s">
        <v>49</v>
      </c>
      <c r="S662" s="89" t="s">
        <v>50</v>
      </c>
      <c r="T662" s="89" t="s">
        <v>50</v>
      </c>
      <c r="U662" s="89" t="s">
        <v>50</v>
      </c>
      <c r="V662" s="89" t="s">
        <v>50</v>
      </c>
      <c r="W662" s="89" t="s">
        <v>50</v>
      </c>
      <c r="X662" s="89" t="s">
        <v>50</v>
      </c>
    </row>
    <row r="663" spans="1:25" x14ac:dyDescent="0.25">
      <c r="A663" s="26">
        <v>43759</v>
      </c>
      <c r="B663" s="89" t="s">
        <v>43</v>
      </c>
      <c r="C663" s="89" t="s">
        <v>88</v>
      </c>
      <c r="D663" s="89">
        <v>38.071980000000003</v>
      </c>
      <c r="E663" s="89">
        <v>-121.77316</v>
      </c>
      <c r="F663" s="89" t="s">
        <v>4202</v>
      </c>
      <c r="G663" s="89" t="s">
        <v>90</v>
      </c>
      <c r="H663" s="89" t="s">
        <v>25</v>
      </c>
      <c r="I663" s="602">
        <v>0.38055555555555554</v>
      </c>
      <c r="J663" s="82">
        <v>129.65</v>
      </c>
      <c r="K663" s="82">
        <v>16.28</v>
      </c>
      <c r="L663" s="82">
        <v>9.84</v>
      </c>
      <c r="M663" s="82">
        <v>1.41</v>
      </c>
      <c r="N663" s="82">
        <v>9.4499999999999993</v>
      </c>
      <c r="O663" s="89" t="s">
        <v>48</v>
      </c>
      <c r="P663" s="89">
        <v>4</v>
      </c>
      <c r="Q663" s="89">
        <v>10</v>
      </c>
      <c r="R663" s="89" t="s">
        <v>64</v>
      </c>
      <c r="S663" s="89" t="s">
        <v>50</v>
      </c>
      <c r="T663" s="89" t="s">
        <v>50</v>
      </c>
      <c r="U663" s="89" t="s">
        <v>50</v>
      </c>
      <c r="V663" s="89" t="s">
        <v>50</v>
      </c>
      <c r="W663" s="89" t="s">
        <v>50</v>
      </c>
      <c r="X663" s="89" t="s">
        <v>50</v>
      </c>
    </row>
    <row r="664" spans="1:25" x14ac:dyDescent="0.25">
      <c r="A664" s="26">
        <v>43759</v>
      </c>
      <c r="B664" s="89" t="s">
        <v>43</v>
      </c>
      <c r="C664" s="89" t="s">
        <v>88</v>
      </c>
      <c r="D664" s="89">
        <v>38.063459999999999</v>
      </c>
      <c r="E664" s="89">
        <v>-121.79324</v>
      </c>
      <c r="F664" s="89" t="s">
        <v>4203</v>
      </c>
      <c r="G664" s="89" t="s">
        <v>90</v>
      </c>
      <c r="H664" s="89" t="s">
        <v>25</v>
      </c>
      <c r="I664" s="602">
        <v>0.42708333333333331</v>
      </c>
      <c r="J664" s="82">
        <v>144.93</v>
      </c>
      <c r="K664" s="82">
        <v>16.399999999999999</v>
      </c>
      <c r="L664" s="82">
        <v>13.55</v>
      </c>
      <c r="M664" s="82">
        <v>1.06</v>
      </c>
      <c r="N664" s="82">
        <v>10.9</v>
      </c>
      <c r="O664" s="89" t="s">
        <v>48</v>
      </c>
      <c r="P664" s="89">
        <v>4</v>
      </c>
      <c r="Q664" s="89">
        <v>10</v>
      </c>
      <c r="R664" s="89" t="s">
        <v>64</v>
      </c>
      <c r="S664" s="89" t="s">
        <v>50</v>
      </c>
      <c r="T664" s="89" t="s">
        <v>50</v>
      </c>
      <c r="U664" s="89" t="s">
        <v>50</v>
      </c>
      <c r="V664" s="89" t="s">
        <v>50</v>
      </c>
      <c r="W664" s="89" t="s">
        <v>50</v>
      </c>
      <c r="X664" s="89" t="s">
        <v>50</v>
      </c>
    </row>
    <row r="665" spans="1:25" x14ac:dyDescent="0.25">
      <c r="A665" s="26">
        <v>43759</v>
      </c>
      <c r="B665" s="89" t="s">
        <v>43</v>
      </c>
      <c r="C665" s="89" t="s">
        <v>88</v>
      </c>
      <c r="D665" s="89">
        <v>38.060380000000002</v>
      </c>
      <c r="E665" s="89">
        <v>-121.79537000000001</v>
      </c>
      <c r="F665" s="89" t="s">
        <v>4204</v>
      </c>
      <c r="G665" s="89" t="s">
        <v>90</v>
      </c>
      <c r="H665" s="89" t="s">
        <v>25</v>
      </c>
      <c r="I665" s="602">
        <v>0.47083333333333338</v>
      </c>
      <c r="J665" s="82">
        <v>210.55</v>
      </c>
      <c r="K665" s="82">
        <v>16.7</v>
      </c>
      <c r="L665" s="82">
        <v>13.75</v>
      </c>
      <c r="M665" s="82">
        <v>1.1499999999999999</v>
      </c>
      <c r="N665" s="82">
        <v>10.45</v>
      </c>
      <c r="O665" s="89" t="s">
        <v>48</v>
      </c>
      <c r="P665" s="89">
        <v>4</v>
      </c>
      <c r="Q665" s="89">
        <v>10</v>
      </c>
      <c r="R665" s="89" t="s">
        <v>64</v>
      </c>
      <c r="S665" s="89" t="s">
        <v>50</v>
      </c>
      <c r="T665" s="89" t="s">
        <v>50</v>
      </c>
      <c r="U665" s="89" t="s">
        <v>50</v>
      </c>
      <c r="V665" s="89" t="s">
        <v>50</v>
      </c>
      <c r="W665" s="89" t="s">
        <v>50</v>
      </c>
      <c r="X665" s="89" t="s">
        <v>50</v>
      </c>
    </row>
    <row r="666" spans="1:25" x14ac:dyDescent="0.25">
      <c r="A666" s="26">
        <v>43759</v>
      </c>
      <c r="B666" s="89" t="s">
        <v>43</v>
      </c>
      <c r="C666" s="89" t="s">
        <v>118</v>
      </c>
      <c r="D666" s="89">
        <v>38.0501</v>
      </c>
      <c r="E666" s="89">
        <v>-122.28513</v>
      </c>
      <c r="F666" s="89" t="s">
        <v>4205</v>
      </c>
      <c r="G666" s="89" t="s">
        <v>80</v>
      </c>
      <c r="H666" s="89" t="s">
        <v>123</v>
      </c>
      <c r="I666" s="602">
        <v>0.38680555555555557</v>
      </c>
      <c r="J666" s="82">
        <v>28786.75</v>
      </c>
      <c r="K666" s="82">
        <v>16.350000000000001</v>
      </c>
      <c r="L666" s="82">
        <v>5.09</v>
      </c>
      <c r="M666" s="82">
        <v>1.33</v>
      </c>
      <c r="N666" s="82">
        <v>10.15</v>
      </c>
      <c r="O666" s="89" t="s">
        <v>48</v>
      </c>
      <c r="P666" s="89">
        <v>4</v>
      </c>
      <c r="Q666" s="89">
        <v>10</v>
      </c>
      <c r="R666" s="89" t="s">
        <v>64</v>
      </c>
      <c r="S666" s="89" t="s">
        <v>50</v>
      </c>
      <c r="T666" s="89" t="s">
        <v>50</v>
      </c>
      <c r="U666" s="89" t="s">
        <v>50</v>
      </c>
      <c r="V666" s="89" t="s">
        <v>50</v>
      </c>
      <c r="W666" s="89" t="s">
        <v>50</v>
      </c>
      <c r="X666" s="89" t="s">
        <v>50</v>
      </c>
    </row>
    <row r="667" spans="1:25" x14ac:dyDescent="0.25">
      <c r="A667" s="26">
        <v>43759</v>
      </c>
      <c r="B667" s="89" t="s">
        <v>43</v>
      </c>
      <c r="C667" s="89" t="s">
        <v>118</v>
      </c>
      <c r="D667" s="89">
        <v>38.038269999999997</v>
      </c>
      <c r="E667" s="89">
        <v>-122.3175</v>
      </c>
      <c r="F667" s="89" t="s">
        <v>4206</v>
      </c>
      <c r="G667" s="89" t="s">
        <v>80</v>
      </c>
      <c r="H667" s="89" t="s">
        <v>123</v>
      </c>
      <c r="I667" s="602">
        <v>0.43888888888888888</v>
      </c>
      <c r="J667" s="100">
        <v>31964.5</v>
      </c>
      <c r="K667" s="100">
        <v>16.5</v>
      </c>
      <c r="L667" s="100">
        <v>4.87</v>
      </c>
      <c r="M667" s="100">
        <v>1.63</v>
      </c>
      <c r="N667" s="100">
        <v>6.05</v>
      </c>
      <c r="O667" s="98" t="s">
        <v>48</v>
      </c>
      <c r="P667" s="98">
        <v>4</v>
      </c>
      <c r="Q667" s="98">
        <v>10</v>
      </c>
      <c r="R667" s="89" t="s">
        <v>49</v>
      </c>
      <c r="S667" s="89" t="s">
        <v>50</v>
      </c>
      <c r="T667" s="89" t="s">
        <v>50</v>
      </c>
      <c r="U667" s="89" t="s">
        <v>50</v>
      </c>
      <c r="V667" s="89" t="s">
        <v>50</v>
      </c>
      <c r="W667" s="89" t="s">
        <v>50</v>
      </c>
      <c r="X667" s="89" t="s">
        <v>50</v>
      </c>
    </row>
    <row r="668" spans="1:25" x14ac:dyDescent="0.25">
      <c r="A668" s="26">
        <v>43759</v>
      </c>
      <c r="B668" s="89" t="s">
        <v>43</v>
      </c>
      <c r="C668" s="89" t="s">
        <v>118</v>
      </c>
      <c r="D668" s="89">
        <v>38.143470000000001</v>
      </c>
      <c r="E668" s="89">
        <v>-122.28404999999999</v>
      </c>
      <c r="F668" s="89" t="s">
        <v>4207</v>
      </c>
      <c r="G668" s="89" t="s">
        <v>80</v>
      </c>
      <c r="H668" s="89" t="s">
        <v>191</v>
      </c>
      <c r="I668" s="602">
        <v>0.53402777777777777</v>
      </c>
      <c r="J668" s="82">
        <v>20893.75</v>
      </c>
      <c r="K668" s="82">
        <v>17.5</v>
      </c>
      <c r="L668" s="82">
        <v>9.16</v>
      </c>
      <c r="M668" s="82">
        <v>0.91</v>
      </c>
      <c r="N668" s="82">
        <v>10.93</v>
      </c>
      <c r="O668" s="89" t="s">
        <v>48</v>
      </c>
      <c r="P668" s="89">
        <v>4</v>
      </c>
      <c r="Q668" s="89">
        <v>10</v>
      </c>
      <c r="R668" s="89" t="s">
        <v>49</v>
      </c>
      <c r="S668" s="89" t="s">
        <v>50</v>
      </c>
      <c r="T668" s="89" t="s">
        <v>50</v>
      </c>
      <c r="U668" s="89" t="s">
        <v>50</v>
      </c>
      <c r="V668" s="89" t="s">
        <v>50</v>
      </c>
      <c r="W668" s="89" t="s">
        <v>50</v>
      </c>
      <c r="X668" s="89" t="s">
        <v>50</v>
      </c>
    </row>
    <row r="669" spans="1:25" x14ac:dyDescent="0.25">
      <c r="A669" s="26">
        <v>43759</v>
      </c>
      <c r="B669" s="89" t="s">
        <v>43</v>
      </c>
      <c r="C669" s="89" t="s">
        <v>118</v>
      </c>
      <c r="D669" s="89">
        <v>38.063949999999998</v>
      </c>
      <c r="E669" s="89">
        <v>-122.25279</v>
      </c>
      <c r="F669" s="89" t="s">
        <v>4208</v>
      </c>
      <c r="G669" s="89" t="s">
        <v>80</v>
      </c>
      <c r="H669" s="89" t="s">
        <v>3332</v>
      </c>
      <c r="I669" s="602">
        <v>0.59513888888888888</v>
      </c>
      <c r="J669" s="100">
        <v>20527.75</v>
      </c>
      <c r="K669" s="100">
        <v>17.23</v>
      </c>
      <c r="L669" s="100">
        <v>7.9</v>
      </c>
      <c r="M669" s="100">
        <v>1.01</v>
      </c>
      <c r="N669" s="100">
        <v>21.78</v>
      </c>
      <c r="O669" s="98" t="s">
        <v>48</v>
      </c>
      <c r="P669" s="98">
        <v>4</v>
      </c>
      <c r="Q669" s="98">
        <v>10</v>
      </c>
      <c r="R669" s="89" t="s">
        <v>49</v>
      </c>
      <c r="S669" s="89" t="s">
        <v>50</v>
      </c>
      <c r="T669" s="89" t="s">
        <v>50</v>
      </c>
      <c r="U669" s="89" t="s">
        <v>50</v>
      </c>
      <c r="V669" s="89" t="s">
        <v>50</v>
      </c>
      <c r="W669" s="89" t="s">
        <v>50</v>
      </c>
      <c r="X669" s="89" t="s">
        <v>50</v>
      </c>
    </row>
    <row r="670" spans="1:25" x14ac:dyDescent="0.25">
      <c r="A670" s="26">
        <v>43760</v>
      </c>
      <c r="B670" s="89" t="s">
        <v>849</v>
      </c>
      <c r="C670" s="89" t="s">
        <v>106</v>
      </c>
      <c r="D670" s="89">
        <v>38.458410000000001</v>
      </c>
      <c r="E670" s="89">
        <v>-121.59059999999999</v>
      </c>
      <c r="F670" s="89" t="s">
        <v>4209</v>
      </c>
      <c r="G670" s="89" t="s">
        <v>90</v>
      </c>
      <c r="H670" s="89" t="s">
        <v>362</v>
      </c>
      <c r="I670" s="602">
        <v>0.3444444444444445</v>
      </c>
      <c r="J670" s="82">
        <v>792</v>
      </c>
      <c r="K670" s="82">
        <v>17.649999999999999</v>
      </c>
      <c r="L670" s="82">
        <v>16.725000000000001</v>
      </c>
      <c r="M670" s="82">
        <v>0.59</v>
      </c>
      <c r="N670" s="82">
        <v>9.1999999999999993</v>
      </c>
      <c r="O670" s="89" t="s">
        <v>48</v>
      </c>
      <c r="P670" s="89">
        <v>4</v>
      </c>
      <c r="Q670" s="89">
        <v>10</v>
      </c>
      <c r="R670" s="89" t="s">
        <v>64</v>
      </c>
      <c r="S670" s="89" t="s">
        <v>50</v>
      </c>
      <c r="T670" s="89" t="s">
        <v>50</v>
      </c>
      <c r="U670" s="89" t="s">
        <v>50</v>
      </c>
      <c r="V670" s="89" t="s">
        <v>50</v>
      </c>
      <c r="W670" s="89" t="s">
        <v>50</v>
      </c>
      <c r="X670" s="89" t="s">
        <v>50</v>
      </c>
    </row>
    <row r="671" spans="1:25" x14ac:dyDescent="0.25">
      <c r="A671" s="26">
        <v>43760</v>
      </c>
      <c r="B671" s="89" t="s">
        <v>849</v>
      </c>
      <c r="C671" s="89" t="s">
        <v>106</v>
      </c>
      <c r="D671" s="89">
        <v>38.447899999999997</v>
      </c>
      <c r="E671" s="89">
        <v>-121.59554</v>
      </c>
      <c r="F671" s="89" t="s">
        <v>4210</v>
      </c>
      <c r="G671" s="89" t="s">
        <v>90</v>
      </c>
      <c r="H671" s="89" t="s">
        <v>362</v>
      </c>
      <c r="I671" s="602">
        <v>0.39861111111111108</v>
      </c>
      <c r="J671" s="82">
        <v>712.5</v>
      </c>
      <c r="K671" s="82">
        <v>17.524999999999999</v>
      </c>
      <c r="L671" s="82">
        <v>21.300000000000004</v>
      </c>
      <c r="M671" s="82">
        <v>0.44499999999999995</v>
      </c>
      <c r="N671" s="82">
        <v>10.225</v>
      </c>
      <c r="O671" s="89" t="s">
        <v>48</v>
      </c>
      <c r="P671" s="89">
        <v>4</v>
      </c>
      <c r="Q671" s="89">
        <v>10</v>
      </c>
      <c r="R671" s="89" t="s">
        <v>64</v>
      </c>
      <c r="S671" s="89" t="s">
        <v>50</v>
      </c>
      <c r="T671" s="89" t="s">
        <v>50</v>
      </c>
      <c r="U671" s="89" t="s">
        <v>50</v>
      </c>
      <c r="V671" s="89" t="s">
        <v>50</v>
      </c>
      <c r="W671" s="89" t="s">
        <v>50</v>
      </c>
      <c r="X671" s="89" t="s">
        <v>50</v>
      </c>
      <c r="Y671" s="600" t="s">
        <v>4211</v>
      </c>
    </row>
    <row r="672" spans="1:25" x14ac:dyDescent="0.25">
      <c r="A672" s="26">
        <v>43760</v>
      </c>
      <c r="B672" s="89" t="s">
        <v>849</v>
      </c>
      <c r="C672" s="89" t="s">
        <v>106</v>
      </c>
      <c r="D672" s="89">
        <v>38.192799999999998</v>
      </c>
      <c r="E672" s="89">
        <v>-121.65664</v>
      </c>
      <c r="F672" s="89" t="s">
        <v>4212</v>
      </c>
      <c r="G672" s="89" t="s">
        <v>90</v>
      </c>
      <c r="H672" s="89" t="s">
        <v>362</v>
      </c>
      <c r="I672" s="602">
        <v>0.4777777777777778</v>
      </c>
      <c r="J672" s="82">
        <v>136.32499999999999</v>
      </c>
      <c r="K672" s="82">
        <v>16.225000000000001</v>
      </c>
      <c r="L672" s="82">
        <v>4.7850000000000001</v>
      </c>
      <c r="M672" s="82">
        <v>1.79</v>
      </c>
      <c r="N672" s="82">
        <v>14.475</v>
      </c>
      <c r="O672" s="89" t="s">
        <v>48</v>
      </c>
      <c r="P672" s="89">
        <v>4</v>
      </c>
      <c r="Q672" s="89">
        <v>10</v>
      </c>
      <c r="R672" s="89" t="s">
        <v>64</v>
      </c>
      <c r="S672" s="89" t="s">
        <v>50</v>
      </c>
      <c r="T672" s="89" t="s">
        <v>50</v>
      </c>
      <c r="U672" s="89" t="s">
        <v>50</v>
      </c>
      <c r="V672" s="89" t="s">
        <v>50</v>
      </c>
      <c r="W672" s="89" t="s">
        <v>50</v>
      </c>
      <c r="X672" s="89" t="s">
        <v>50</v>
      </c>
    </row>
    <row r="673" spans="1:25" x14ac:dyDescent="0.25">
      <c r="A673" s="26">
        <v>43760</v>
      </c>
      <c r="B673" s="89" t="s">
        <v>849</v>
      </c>
      <c r="C673" s="89" t="s">
        <v>88</v>
      </c>
      <c r="D673" s="89">
        <v>38.153579999999998</v>
      </c>
      <c r="E673" s="89">
        <v>-121.68877000000001</v>
      </c>
      <c r="F673" s="89" t="s">
        <v>4213</v>
      </c>
      <c r="G673" s="89" t="s">
        <v>90</v>
      </c>
      <c r="H673" s="89" t="s">
        <v>91</v>
      </c>
      <c r="I673" s="602">
        <v>0.33819444444444446</v>
      </c>
      <c r="J673" s="82">
        <v>425.8</v>
      </c>
      <c r="K673" s="82">
        <v>16.149999999999999</v>
      </c>
      <c r="L673" s="82">
        <v>2.1924999999999999</v>
      </c>
      <c r="M673" s="82" t="s">
        <v>1233</v>
      </c>
      <c r="N673" s="82">
        <v>10.15</v>
      </c>
      <c r="O673" s="89" t="s">
        <v>48</v>
      </c>
      <c r="P673" s="89">
        <v>4</v>
      </c>
      <c r="Q673" s="89">
        <v>10</v>
      </c>
      <c r="R673" s="89" t="s">
        <v>64</v>
      </c>
      <c r="S673" s="89" t="s">
        <v>50</v>
      </c>
      <c r="T673" s="89" t="s">
        <v>50</v>
      </c>
      <c r="U673" s="89" t="s">
        <v>50</v>
      </c>
      <c r="V673" s="89" t="s">
        <v>50</v>
      </c>
      <c r="W673" s="89" t="s">
        <v>50</v>
      </c>
      <c r="X673" s="89" t="s">
        <v>50</v>
      </c>
    </row>
    <row r="674" spans="1:25" x14ac:dyDescent="0.25">
      <c r="A674" s="26">
        <v>43760</v>
      </c>
      <c r="B674" s="89" t="s">
        <v>849</v>
      </c>
      <c r="C674" s="89" t="s">
        <v>88</v>
      </c>
      <c r="D674" s="89">
        <v>38.085909999999998</v>
      </c>
      <c r="E674" s="89">
        <v>-121.74777</v>
      </c>
      <c r="F674" s="89" t="s">
        <v>4214</v>
      </c>
      <c r="G674" s="89" t="s">
        <v>27</v>
      </c>
      <c r="H674" s="89" t="s">
        <v>25</v>
      </c>
      <c r="I674" s="602">
        <v>0.4368055555555555</v>
      </c>
      <c r="J674" s="82">
        <v>122.27500000000001</v>
      </c>
      <c r="K674" s="82">
        <v>16.2</v>
      </c>
      <c r="L674" s="82">
        <v>7.3050000000000006</v>
      </c>
      <c r="M674" s="82">
        <v>1.7850000000000001</v>
      </c>
      <c r="N674" s="82">
        <v>9.1999999999999993</v>
      </c>
      <c r="O674" s="89" t="s">
        <v>48</v>
      </c>
      <c r="P674" s="89">
        <v>4</v>
      </c>
      <c r="Q674" s="89">
        <v>10</v>
      </c>
      <c r="R674" s="89" t="s">
        <v>64</v>
      </c>
      <c r="S674" s="89" t="s">
        <v>50</v>
      </c>
      <c r="T674" s="89" t="s">
        <v>50</v>
      </c>
      <c r="U674" s="89" t="s">
        <v>50</v>
      </c>
      <c r="V674" s="89" t="s">
        <v>50</v>
      </c>
      <c r="W674" s="89" t="s">
        <v>50</v>
      </c>
      <c r="X674" s="89" t="s">
        <v>50</v>
      </c>
    </row>
    <row r="675" spans="1:25" x14ac:dyDescent="0.25">
      <c r="A675" s="26">
        <v>43760</v>
      </c>
      <c r="B675" s="89" t="s">
        <v>849</v>
      </c>
      <c r="C675" s="89" t="s">
        <v>88</v>
      </c>
      <c r="D675" s="89">
        <v>38.097670000000001</v>
      </c>
      <c r="E675" s="89">
        <v>-121.72029000000001</v>
      </c>
      <c r="F675" s="89" t="s">
        <v>4215</v>
      </c>
      <c r="G675" s="89" t="s">
        <v>90</v>
      </c>
      <c r="H675" s="89" t="s">
        <v>91</v>
      </c>
      <c r="I675" s="602">
        <v>0.39027777777777778</v>
      </c>
      <c r="J675" s="82">
        <v>125.22499999999999</v>
      </c>
      <c r="K675" s="82">
        <v>16.399999999999999</v>
      </c>
      <c r="L675" s="82">
        <v>5.0225</v>
      </c>
      <c r="M675" s="82" t="s">
        <v>1233</v>
      </c>
      <c r="N675" s="82">
        <v>5.125</v>
      </c>
      <c r="O675" s="89" t="s">
        <v>48</v>
      </c>
      <c r="P675" s="89">
        <v>4</v>
      </c>
      <c r="Q675" s="89">
        <v>10</v>
      </c>
      <c r="R675" s="89" t="s">
        <v>64</v>
      </c>
      <c r="S675" s="89" t="s">
        <v>50</v>
      </c>
      <c r="T675" s="89" t="s">
        <v>50</v>
      </c>
      <c r="U675" s="89" t="s">
        <v>50</v>
      </c>
      <c r="V675" s="89" t="s">
        <v>50</v>
      </c>
      <c r="W675" s="89" t="s">
        <v>50</v>
      </c>
      <c r="X675" s="89" t="s">
        <v>50</v>
      </c>
    </row>
    <row r="676" spans="1:25" x14ac:dyDescent="0.25">
      <c r="A676" s="26">
        <v>43760</v>
      </c>
      <c r="B676" s="89" t="s">
        <v>849</v>
      </c>
      <c r="C676" s="89" t="s">
        <v>78</v>
      </c>
      <c r="D676" s="89">
        <v>38.082059999999998</v>
      </c>
      <c r="E676" s="89">
        <v>-122.07987</v>
      </c>
      <c r="F676" s="89" t="s">
        <v>4216</v>
      </c>
      <c r="G676" s="89" t="s">
        <v>80</v>
      </c>
      <c r="H676" s="89" t="s">
        <v>81</v>
      </c>
      <c r="I676" s="602">
        <v>0.37638888888888888</v>
      </c>
      <c r="J676" s="82">
        <v>10567.5</v>
      </c>
      <c r="K676" s="82">
        <v>16.899999999999999</v>
      </c>
      <c r="L676" s="82">
        <v>31.9</v>
      </c>
      <c r="M676" s="82">
        <v>0.43999999999999995</v>
      </c>
      <c r="N676" s="82">
        <v>8.9250000000000007</v>
      </c>
      <c r="O676" s="89" t="s">
        <v>48</v>
      </c>
      <c r="P676" s="89">
        <v>4</v>
      </c>
      <c r="Q676" s="89">
        <v>10</v>
      </c>
      <c r="R676" s="89" t="s">
        <v>64</v>
      </c>
      <c r="S676" s="89" t="s">
        <v>50</v>
      </c>
      <c r="T676" s="89" t="s">
        <v>50</v>
      </c>
      <c r="U676" s="89" t="s">
        <v>50</v>
      </c>
      <c r="V676" s="89" t="s">
        <v>50</v>
      </c>
      <c r="W676" s="89" t="s">
        <v>50</v>
      </c>
      <c r="X676" s="89" t="s">
        <v>50</v>
      </c>
    </row>
    <row r="677" spans="1:25" s="150" customFormat="1" x14ac:dyDescent="0.25">
      <c r="A677" s="178">
        <v>43760</v>
      </c>
      <c r="B677" s="150" t="s">
        <v>849</v>
      </c>
      <c r="C677" s="150" t="s">
        <v>78</v>
      </c>
      <c r="D677" s="150">
        <v>38.081710000000001</v>
      </c>
      <c r="E677" s="150">
        <v>-122.05116</v>
      </c>
      <c r="F677" s="150" t="s">
        <v>4217</v>
      </c>
      <c r="G677" s="150" t="s">
        <v>27</v>
      </c>
      <c r="H677" s="150" t="s">
        <v>86</v>
      </c>
      <c r="I677" s="614">
        <v>0.42222222222222222</v>
      </c>
      <c r="J677" s="197" t="s">
        <v>50</v>
      </c>
      <c r="K677" s="197" t="s">
        <v>50</v>
      </c>
      <c r="L677" s="197" t="s">
        <v>50</v>
      </c>
      <c r="M677" s="197" t="s">
        <v>50</v>
      </c>
      <c r="N677" s="197" t="s">
        <v>50</v>
      </c>
      <c r="O677" s="150" t="s">
        <v>48</v>
      </c>
      <c r="P677" s="150">
        <v>0</v>
      </c>
      <c r="Q677" s="150" t="s">
        <v>50</v>
      </c>
      <c r="R677" s="150" t="s">
        <v>50</v>
      </c>
      <c r="S677" s="150" t="s">
        <v>50</v>
      </c>
      <c r="T677" s="150" t="s">
        <v>50</v>
      </c>
      <c r="U677" s="150" t="s">
        <v>50</v>
      </c>
      <c r="V677" s="150" t="s">
        <v>50</v>
      </c>
      <c r="W677" s="150" t="s">
        <v>50</v>
      </c>
      <c r="X677" s="150" t="s">
        <v>50</v>
      </c>
      <c r="Y677" s="604" t="s">
        <v>4218</v>
      </c>
    </row>
    <row r="678" spans="1:25" s="496" customFormat="1" x14ac:dyDescent="0.25">
      <c r="A678" s="495">
        <v>43760</v>
      </c>
      <c r="B678" s="496" t="s">
        <v>849</v>
      </c>
      <c r="C678" s="496" t="s">
        <v>78</v>
      </c>
      <c r="D678" s="496">
        <v>38.060940000000002</v>
      </c>
      <c r="E678" s="496">
        <v>-121.95431000000001</v>
      </c>
      <c r="F678" s="496" t="s">
        <v>4219</v>
      </c>
      <c r="G678" s="496" t="s">
        <v>27</v>
      </c>
      <c r="H678" s="496" t="s">
        <v>170</v>
      </c>
      <c r="I678" s="615">
        <v>0.4381944444444445</v>
      </c>
      <c r="J678" s="498">
        <v>2884.5</v>
      </c>
      <c r="K678" s="498">
        <v>16.8</v>
      </c>
      <c r="L678" s="498">
        <v>24.75</v>
      </c>
      <c r="M678" s="498">
        <v>0.49249999999999999</v>
      </c>
      <c r="N678" s="498">
        <v>5.85</v>
      </c>
      <c r="O678" s="496" t="s">
        <v>48</v>
      </c>
      <c r="P678" s="496">
        <v>4</v>
      </c>
      <c r="Q678" s="496">
        <v>10</v>
      </c>
      <c r="R678" s="496" t="s">
        <v>64</v>
      </c>
      <c r="S678" s="496" t="s">
        <v>323</v>
      </c>
      <c r="T678" s="496">
        <v>1</v>
      </c>
      <c r="U678" s="496">
        <v>55</v>
      </c>
      <c r="V678" s="496" t="s">
        <v>66</v>
      </c>
      <c r="W678" s="496" t="s">
        <v>50</v>
      </c>
      <c r="X678" s="496" t="s">
        <v>50</v>
      </c>
      <c r="Y678" s="601" t="s">
        <v>3747</v>
      </c>
    </row>
    <row r="679" spans="1:25" x14ac:dyDescent="0.25">
      <c r="A679" s="194">
        <v>43760</v>
      </c>
      <c r="B679" s="89" t="s">
        <v>849</v>
      </c>
      <c r="C679" s="89" t="s">
        <v>78</v>
      </c>
      <c r="D679" s="89">
        <v>38.005899999999997</v>
      </c>
      <c r="E679" s="89">
        <v>-121.79706</v>
      </c>
      <c r="F679" s="89" t="s">
        <v>4220</v>
      </c>
      <c r="G679" s="89" t="s">
        <v>27</v>
      </c>
      <c r="H679" s="89" t="s">
        <v>101</v>
      </c>
      <c r="I679" s="602">
        <v>0.51111111111111118</v>
      </c>
      <c r="J679" s="82">
        <v>279.67500000000001</v>
      </c>
      <c r="K679" s="82">
        <v>17.224999999999998</v>
      </c>
      <c r="L679" s="82">
        <v>15.65</v>
      </c>
      <c r="M679" s="82">
        <v>0.72249999999999992</v>
      </c>
      <c r="N679" s="82">
        <v>8.2749999999999986</v>
      </c>
      <c r="O679" s="89" t="s">
        <v>48</v>
      </c>
      <c r="P679" s="89">
        <v>4</v>
      </c>
      <c r="Q679" s="89">
        <v>10</v>
      </c>
      <c r="R679" s="89" t="s">
        <v>64</v>
      </c>
      <c r="S679" s="89" t="s">
        <v>50</v>
      </c>
      <c r="T679" s="89" t="s">
        <v>50</v>
      </c>
      <c r="U679" s="89" t="s">
        <v>50</v>
      </c>
      <c r="V679" s="89" t="s">
        <v>50</v>
      </c>
      <c r="W679" s="89" t="s">
        <v>50</v>
      </c>
      <c r="X679" s="89" t="s">
        <v>50</v>
      </c>
    </row>
    <row r="680" spans="1:25" x14ac:dyDescent="0.25">
      <c r="A680" s="26">
        <v>43761</v>
      </c>
      <c r="B680" s="89" t="s">
        <v>915</v>
      </c>
      <c r="C680" s="89" t="s">
        <v>126</v>
      </c>
      <c r="D680" s="89">
        <v>38.30735</v>
      </c>
      <c r="E680" s="89">
        <v>-121.69276000000001</v>
      </c>
      <c r="F680" s="89" t="s">
        <v>4221</v>
      </c>
      <c r="G680" s="89" t="s">
        <v>90</v>
      </c>
      <c r="H680" s="89" t="s">
        <v>845</v>
      </c>
      <c r="I680" s="602">
        <v>0.3298611111111111</v>
      </c>
      <c r="J680" s="82">
        <v>320.32499999999999</v>
      </c>
      <c r="K680" s="82">
        <v>16.625</v>
      </c>
      <c r="L680" s="82">
        <v>6.2100000000000009</v>
      </c>
      <c r="M680" s="82">
        <v>1.77</v>
      </c>
      <c r="N680" s="82">
        <v>5.2249999999999996</v>
      </c>
      <c r="O680" s="89" t="s">
        <v>48</v>
      </c>
      <c r="P680" s="89">
        <v>4</v>
      </c>
      <c r="Q680" s="89">
        <v>10</v>
      </c>
      <c r="R680" s="89" t="s">
        <v>49</v>
      </c>
      <c r="S680" s="89" t="s">
        <v>50</v>
      </c>
      <c r="T680" s="89" t="s">
        <v>50</v>
      </c>
      <c r="U680" s="89" t="s">
        <v>50</v>
      </c>
      <c r="V680" s="89" t="s">
        <v>50</v>
      </c>
      <c r="W680" s="89" t="s">
        <v>50</v>
      </c>
      <c r="X680" s="89" t="s">
        <v>50</v>
      </c>
      <c r="Y680" s="600" t="s">
        <v>2754</v>
      </c>
    </row>
    <row r="681" spans="1:25" x14ac:dyDescent="0.25">
      <c r="A681" s="26">
        <v>43761</v>
      </c>
      <c r="B681" s="89" t="s">
        <v>915</v>
      </c>
      <c r="C681" s="89" t="s">
        <v>126</v>
      </c>
      <c r="D681" s="89">
        <v>38.23321</v>
      </c>
      <c r="E681" s="89">
        <v>-121.6782</v>
      </c>
      <c r="F681" s="89" t="s">
        <v>4222</v>
      </c>
      <c r="G681" s="89" t="s">
        <v>90</v>
      </c>
      <c r="H681" s="89" t="s">
        <v>845</v>
      </c>
      <c r="I681" s="602">
        <v>0.4465277777777778</v>
      </c>
      <c r="J681" s="82">
        <v>145.69999999999999</v>
      </c>
      <c r="K681" s="82">
        <v>16.700000000000003</v>
      </c>
      <c r="L681" s="82">
        <v>7.4575000000000005</v>
      </c>
      <c r="M681" s="82">
        <v>1.7049999999999998</v>
      </c>
      <c r="N681" s="82">
        <v>12.274999999999999</v>
      </c>
      <c r="O681" s="89" t="s">
        <v>48</v>
      </c>
      <c r="P681" s="89">
        <v>4</v>
      </c>
      <c r="Q681" s="89">
        <v>10</v>
      </c>
      <c r="R681" s="89" t="s">
        <v>64</v>
      </c>
      <c r="S681" s="89" t="s">
        <v>50</v>
      </c>
      <c r="T681" s="89" t="s">
        <v>50</v>
      </c>
      <c r="U681" s="89" t="s">
        <v>50</v>
      </c>
      <c r="V681" s="89" t="s">
        <v>50</v>
      </c>
      <c r="W681" s="89" t="s">
        <v>50</v>
      </c>
      <c r="X681" s="89" t="s">
        <v>50</v>
      </c>
    </row>
    <row r="682" spans="1:25" x14ac:dyDescent="0.25">
      <c r="A682" s="26">
        <v>43761</v>
      </c>
      <c r="B682" s="89" t="s">
        <v>915</v>
      </c>
      <c r="C682" s="89" t="s">
        <v>126</v>
      </c>
      <c r="D682" s="89">
        <v>38.256369999999997</v>
      </c>
      <c r="E682" s="89">
        <v>-121.67131000000001</v>
      </c>
      <c r="F682" s="89" t="s">
        <v>4223</v>
      </c>
      <c r="G682" s="89" t="s">
        <v>90</v>
      </c>
      <c r="H682" s="89" t="s">
        <v>845</v>
      </c>
      <c r="I682" s="602">
        <v>0.39374999999999999</v>
      </c>
      <c r="J682" s="82">
        <v>163.95</v>
      </c>
      <c r="K682" s="82">
        <v>17.2</v>
      </c>
      <c r="L682" s="82">
        <v>7.1265000000000001</v>
      </c>
      <c r="M682" s="82">
        <v>1.605</v>
      </c>
      <c r="N682" s="82">
        <v>9.3249999999999993</v>
      </c>
      <c r="O682" s="89" t="s">
        <v>48</v>
      </c>
      <c r="P682" s="89">
        <v>4</v>
      </c>
      <c r="Q682" s="89">
        <v>10</v>
      </c>
      <c r="R682" s="89" t="s">
        <v>64</v>
      </c>
      <c r="S682" s="89" t="s">
        <v>50</v>
      </c>
      <c r="T682" s="89" t="s">
        <v>50</v>
      </c>
      <c r="U682" s="89" t="s">
        <v>50</v>
      </c>
      <c r="V682" s="89" t="s">
        <v>50</v>
      </c>
      <c r="W682" s="89" t="s">
        <v>50</v>
      </c>
      <c r="X682" s="89" t="s">
        <v>50</v>
      </c>
    </row>
    <row r="683" spans="1:25" x14ac:dyDescent="0.25">
      <c r="A683" s="26">
        <v>43761</v>
      </c>
      <c r="B683" s="89" t="s">
        <v>915</v>
      </c>
      <c r="C683" s="89" t="s">
        <v>78</v>
      </c>
      <c r="D683" s="89">
        <v>38.057650000000002</v>
      </c>
      <c r="E683" s="89">
        <v>-122.08710000000001</v>
      </c>
      <c r="F683" s="89" t="s">
        <v>4224</v>
      </c>
      <c r="G683" s="89" t="s">
        <v>80</v>
      </c>
      <c r="H683" s="89" t="s">
        <v>81</v>
      </c>
      <c r="I683" s="602">
        <v>0.36527777777777781</v>
      </c>
      <c r="J683" s="82">
        <v>11041.25</v>
      </c>
      <c r="K683" s="82">
        <v>17.024999999999999</v>
      </c>
      <c r="L683" s="82">
        <v>39.375</v>
      </c>
      <c r="M683" s="82">
        <v>0.60499999999999998</v>
      </c>
      <c r="N683" s="82">
        <v>6.2750000000000004</v>
      </c>
      <c r="O683" s="89" t="s">
        <v>48</v>
      </c>
      <c r="P683" s="89">
        <v>4</v>
      </c>
      <c r="Q683" s="89">
        <v>10</v>
      </c>
      <c r="R683" s="89" t="s">
        <v>64</v>
      </c>
      <c r="S683" s="89" t="s">
        <v>50</v>
      </c>
      <c r="T683" s="89" t="s">
        <v>50</v>
      </c>
      <c r="U683" s="89" t="s">
        <v>50</v>
      </c>
      <c r="V683" s="89" t="s">
        <v>50</v>
      </c>
      <c r="W683" s="89" t="s">
        <v>50</v>
      </c>
      <c r="X683" s="89" t="s">
        <v>50</v>
      </c>
    </row>
    <row r="684" spans="1:25" s="496" customFormat="1" x14ac:dyDescent="0.25">
      <c r="A684" s="495">
        <v>43761</v>
      </c>
      <c r="B684" s="496" t="s">
        <v>915</v>
      </c>
      <c r="C684" s="496" t="s">
        <v>78</v>
      </c>
      <c r="D684" s="496">
        <v>38.04918</v>
      </c>
      <c r="E684" s="496">
        <v>-121.92959</v>
      </c>
      <c r="F684" s="496" t="s">
        <v>4225</v>
      </c>
      <c r="G684" s="496" t="s">
        <v>27</v>
      </c>
      <c r="H684" s="496" t="s">
        <v>101</v>
      </c>
      <c r="I684" s="615">
        <v>0.42152777777777778</v>
      </c>
      <c r="J684" s="498">
        <v>1097</v>
      </c>
      <c r="K684" s="498">
        <v>17.399999999999999</v>
      </c>
      <c r="L684" s="498">
        <v>47.4</v>
      </c>
      <c r="M684" s="498">
        <v>0.66500000000000004</v>
      </c>
      <c r="N684" s="498">
        <v>14.7</v>
      </c>
      <c r="O684" s="496" t="s">
        <v>48</v>
      </c>
      <c r="P684" s="496">
        <v>2</v>
      </c>
      <c r="Q684" s="496">
        <v>10</v>
      </c>
      <c r="R684" s="496" t="s">
        <v>64</v>
      </c>
      <c r="S684" s="496" t="s">
        <v>323</v>
      </c>
      <c r="T684" s="496">
        <v>1</v>
      </c>
      <c r="U684" s="496">
        <v>54</v>
      </c>
      <c r="V684" s="496" t="s">
        <v>66</v>
      </c>
      <c r="W684" s="496" t="s">
        <v>50</v>
      </c>
      <c r="X684" s="496" t="s">
        <v>50</v>
      </c>
      <c r="Y684" s="601" t="s">
        <v>3747</v>
      </c>
    </row>
    <row r="685" spans="1:25" x14ac:dyDescent="0.25">
      <c r="A685" s="26">
        <v>43761</v>
      </c>
      <c r="B685" s="89" t="s">
        <v>915</v>
      </c>
      <c r="C685" s="89" t="s">
        <v>78</v>
      </c>
      <c r="D685" s="89">
        <v>38.029829999999997</v>
      </c>
      <c r="E685" s="89">
        <v>-121.83974000000001</v>
      </c>
      <c r="F685" s="89" t="s">
        <v>4226</v>
      </c>
      <c r="G685" s="89" t="s">
        <v>27</v>
      </c>
      <c r="H685" s="89" t="s">
        <v>101</v>
      </c>
      <c r="I685" s="602">
        <v>0.46388888888888885</v>
      </c>
      <c r="J685" s="82">
        <v>284.8</v>
      </c>
      <c r="K685" s="82">
        <v>17.45</v>
      </c>
      <c r="L685" s="82">
        <v>37.450000000000003</v>
      </c>
      <c r="M685" s="82">
        <v>0.97</v>
      </c>
      <c r="N685" s="82">
        <v>6.35</v>
      </c>
      <c r="O685" s="89" t="s">
        <v>48</v>
      </c>
      <c r="P685" s="89">
        <v>4</v>
      </c>
      <c r="Q685" s="89">
        <v>10</v>
      </c>
      <c r="R685" s="89" t="s">
        <v>49</v>
      </c>
      <c r="S685" s="89" t="s">
        <v>50</v>
      </c>
      <c r="T685" s="89" t="s">
        <v>50</v>
      </c>
      <c r="U685" s="89" t="s">
        <v>50</v>
      </c>
      <c r="V685" s="89" t="s">
        <v>50</v>
      </c>
      <c r="W685" s="89" t="s">
        <v>50</v>
      </c>
      <c r="X685" s="89" t="s">
        <v>50</v>
      </c>
    </row>
    <row r="686" spans="1:25" s="206" customFormat="1" x14ac:dyDescent="0.25">
      <c r="A686" s="204">
        <v>43761</v>
      </c>
      <c r="B686" s="206" t="s">
        <v>915</v>
      </c>
      <c r="C686" s="206" t="s">
        <v>62</v>
      </c>
      <c r="D686" s="206">
        <v>38.100850000000001</v>
      </c>
      <c r="E686" s="206">
        <v>-122.06757</v>
      </c>
      <c r="F686" s="206" t="s">
        <v>4227</v>
      </c>
      <c r="G686" s="206" t="s">
        <v>27</v>
      </c>
      <c r="H686" s="206" t="s">
        <v>173</v>
      </c>
      <c r="I686" s="613">
        <v>0.45833333333333331</v>
      </c>
      <c r="J686" s="208">
        <v>10859</v>
      </c>
      <c r="K686" s="208">
        <v>17.25</v>
      </c>
      <c r="L686" s="208">
        <v>67.050000000000011</v>
      </c>
      <c r="M686" s="208">
        <v>0.27250000000000002</v>
      </c>
      <c r="N686" s="208">
        <v>2.5750000000000002</v>
      </c>
      <c r="O686" s="206" t="s">
        <v>48</v>
      </c>
      <c r="P686" s="206">
        <v>4</v>
      </c>
      <c r="Q686" s="206">
        <v>10</v>
      </c>
      <c r="R686" s="206" t="s">
        <v>64</v>
      </c>
      <c r="S686" s="206" t="s">
        <v>31</v>
      </c>
      <c r="T686" s="206">
        <v>6</v>
      </c>
      <c r="U686" s="206" t="s">
        <v>4228</v>
      </c>
      <c r="V686" s="206" t="s">
        <v>66</v>
      </c>
      <c r="W686" s="206" t="s">
        <v>50</v>
      </c>
      <c r="X686" s="206" t="s">
        <v>50</v>
      </c>
      <c r="Y686" s="605"/>
    </row>
    <row r="687" spans="1:25" x14ac:dyDescent="0.25">
      <c r="A687" s="26">
        <v>43761</v>
      </c>
      <c r="B687" s="89" t="s">
        <v>915</v>
      </c>
      <c r="C687" s="89" t="s">
        <v>62</v>
      </c>
      <c r="D687" s="89">
        <v>38.121169999999999</v>
      </c>
      <c r="E687" s="89">
        <v>-122.06652</v>
      </c>
      <c r="F687" s="89" t="s">
        <v>4229</v>
      </c>
      <c r="G687" s="89" t="s">
        <v>27</v>
      </c>
      <c r="H687" s="89" t="s">
        <v>62</v>
      </c>
      <c r="I687" s="602">
        <v>0.40208333333333335</v>
      </c>
      <c r="J687" s="82">
        <v>6791.5</v>
      </c>
      <c r="K687" s="82">
        <v>17</v>
      </c>
      <c r="L687" s="82">
        <v>62.375</v>
      </c>
      <c r="M687" s="82">
        <v>0.28750000000000003</v>
      </c>
      <c r="N687" s="82">
        <v>3.7250000000000001</v>
      </c>
      <c r="O687" s="89" t="s">
        <v>48</v>
      </c>
      <c r="P687" s="89">
        <v>4</v>
      </c>
      <c r="Q687" s="89">
        <v>10</v>
      </c>
      <c r="R687" s="89" t="s">
        <v>64</v>
      </c>
      <c r="S687" s="89" t="s">
        <v>50</v>
      </c>
      <c r="T687" s="89" t="s">
        <v>50</v>
      </c>
      <c r="U687" s="89" t="s">
        <v>50</v>
      </c>
      <c r="V687" s="89" t="s">
        <v>50</v>
      </c>
      <c r="W687" s="89" t="s">
        <v>50</v>
      </c>
      <c r="X687" s="89" t="s">
        <v>50</v>
      </c>
    </row>
    <row r="688" spans="1:25" s="206" customFormat="1" x14ac:dyDescent="0.25">
      <c r="A688" s="204">
        <v>43761</v>
      </c>
      <c r="B688" s="206" t="s">
        <v>915</v>
      </c>
      <c r="C688" s="206" t="s">
        <v>62</v>
      </c>
      <c r="D688" s="206">
        <v>38.130980000000001</v>
      </c>
      <c r="E688" s="206">
        <v>-122.08232</v>
      </c>
      <c r="F688" s="206" t="s">
        <v>4230</v>
      </c>
      <c r="G688" s="206" t="s">
        <v>27</v>
      </c>
      <c r="H688" s="206" t="s">
        <v>62</v>
      </c>
      <c r="I688" s="613">
        <v>0.35069444444444442</v>
      </c>
      <c r="J688" s="208">
        <v>7158.75</v>
      </c>
      <c r="K688" s="208">
        <v>17.149999999999999</v>
      </c>
      <c r="L688" s="208">
        <v>62.499999999999993</v>
      </c>
      <c r="M688" s="208">
        <v>0.30249999999999999</v>
      </c>
      <c r="N688" s="208">
        <v>5.3500000000000005</v>
      </c>
      <c r="O688" s="206" t="s">
        <v>48</v>
      </c>
      <c r="P688" s="206">
        <v>4</v>
      </c>
      <c r="Q688" s="206">
        <v>10</v>
      </c>
      <c r="R688" s="206" t="s">
        <v>64</v>
      </c>
      <c r="S688" s="206" t="s">
        <v>31</v>
      </c>
      <c r="T688" s="206">
        <v>1</v>
      </c>
      <c r="U688" s="206">
        <v>48</v>
      </c>
      <c r="V688" s="206" t="s">
        <v>50</v>
      </c>
      <c r="W688" s="206" t="s">
        <v>50</v>
      </c>
      <c r="X688" s="206" t="s">
        <v>50</v>
      </c>
      <c r="Y688" s="605" t="s">
        <v>4231</v>
      </c>
    </row>
    <row r="689" spans="1:25" x14ac:dyDescent="0.25">
      <c r="A689" s="26">
        <v>43763</v>
      </c>
      <c r="B689" s="89" t="s">
        <v>125</v>
      </c>
      <c r="C689" s="89" t="s">
        <v>126</v>
      </c>
      <c r="D689" s="89">
        <v>38.331000000000003</v>
      </c>
      <c r="E689" s="89">
        <v>-121.66750999999999</v>
      </c>
      <c r="F689" s="89" t="s">
        <v>4232</v>
      </c>
      <c r="G689" s="89" t="s">
        <v>90</v>
      </c>
      <c r="H689" s="89" t="s">
        <v>845</v>
      </c>
      <c r="I689" s="602">
        <v>0.35069444444444442</v>
      </c>
      <c r="J689" s="82">
        <v>246.60000000000002</v>
      </c>
      <c r="K689" s="82">
        <v>16.200000000000003</v>
      </c>
      <c r="L689" s="82">
        <v>11.1</v>
      </c>
      <c r="M689" s="82">
        <v>0.91249999999999998</v>
      </c>
      <c r="N689" s="82">
        <v>4.3250000000000002</v>
      </c>
      <c r="O689" s="89" t="s">
        <v>48</v>
      </c>
      <c r="P689" s="89">
        <v>4</v>
      </c>
      <c r="Q689" s="89">
        <v>10</v>
      </c>
      <c r="R689" s="89" t="s">
        <v>64</v>
      </c>
      <c r="S689" s="89" t="s">
        <v>50</v>
      </c>
      <c r="T689" s="89" t="s">
        <v>50</v>
      </c>
      <c r="U689" s="89" t="s">
        <v>50</v>
      </c>
      <c r="V689" s="89" t="s">
        <v>50</v>
      </c>
      <c r="W689" s="89" t="s">
        <v>50</v>
      </c>
      <c r="X689" s="89" t="s">
        <v>50</v>
      </c>
    </row>
    <row r="690" spans="1:25" x14ac:dyDescent="0.25">
      <c r="A690" s="26">
        <v>43763</v>
      </c>
      <c r="B690" s="89" t="s">
        <v>125</v>
      </c>
      <c r="C690" s="89" t="s">
        <v>126</v>
      </c>
      <c r="D690" s="89">
        <v>38.241610000000001</v>
      </c>
      <c r="E690" s="89">
        <v>-121.68353999999999</v>
      </c>
      <c r="F690" s="89" t="s">
        <v>4233</v>
      </c>
      <c r="G690" s="89" t="s">
        <v>90</v>
      </c>
      <c r="H690" s="89" t="s">
        <v>845</v>
      </c>
      <c r="I690" s="602">
        <v>0.42083333333333334</v>
      </c>
      <c r="J690" s="82">
        <v>136.02499999999998</v>
      </c>
      <c r="K690" s="82">
        <v>16.575000000000003</v>
      </c>
      <c r="L690" s="82">
        <v>6.2149999999999999</v>
      </c>
      <c r="M690" s="82">
        <v>1.5450000000000002</v>
      </c>
      <c r="N690" s="82">
        <v>8.8000000000000007</v>
      </c>
      <c r="O690" s="89" t="s">
        <v>48</v>
      </c>
      <c r="P690" s="89">
        <v>4</v>
      </c>
      <c r="Q690" s="89">
        <v>10</v>
      </c>
      <c r="R690" s="89" t="s">
        <v>64</v>
      </c>
      <c r="S690" s="89" t="s">
        <v>50</v>
      </c>
      <c r="T690" s="89" t="s">
        <v>50</v>
      </c>
      <c r="U690" s="89" t="s">
        <v>50</v>
      </c>
      <c r="V690" s="89" t="s">
        <v>50</v>
      </c>
      <c r="W690" s="89" t="s">
        <v>50</v>
      </c>
      <c r="X690" s="89" t="s">
        <v>50</v>
      </c>
    </row>
    <row r="691" spans="1:25" x14ac:dyDescent="0.25">
      <c r="A691" s="26">
        <v>43763</v>
      </c>
      <c r="B691" s="89" t="s">
        <v>125</v>
      </c>
      <c r="C691" s="89" t="s">
        <v>126</v>
      </c>
      <c r="D691" s="89">
        <v>38.276150000000001</v>
      </c>
      <c r="E691" s="89">
        <v>-121.69490999999999</v>
      </c>
      <c r="F691" s="89" t="s">
        <v>4234</v>
      </c>
      <c r="G691" s="89" t="s">
        <v>90</v>
      </c>
      <c r="H691" s="89" t="s">
        <v>845</v>
      </c>
      <c r="I691" s="602">
        <v>0.47361111111111115</v>
      </c>
      <c r="J691" s="82">
        <v>148.05000000000001</v>
      </c>
      <c r="K691" s="82">
        <v>16.649999999999999</v>
      </c>
      <c r="L691" s="82">
        <v>5.1325000000000003</v>
      </c>
      <c r="M691" s="82" t="s">
        <v>1233</v>
      </c>
      <c r="N691" s="82">
        <v>5.8500000000000005</v>
      </c>
      <c r="O691" s="89" t="s">
        <v>48</v>
      </c>
      <c r="P691" s="89">
        <v>4</v>
      </c>
      <c r="Q691" s="89">
        <v>10</v>
      </c>
      <c r="R691" s="89" t="s">
        <v>64</v>
      </c>
      <c r="S691" s="89" t="s">
        <v>50</v>
      </c>
      <c r="T691" s="89" t="s">
        <v>50</v>
      </c>
      <c r="U691" s="89" t="s">
        <v>50</v>
      </c>
      <c r="V691" s="89" t="s">
        <v>50</v>
      </c>
      <c r="W691" s="89" t="s">
        <v>50</v>
      </c>
      <c r="X691" s="89" t="s">
        <v>50</v>
      </c>
      <c r="Y691" s="600" t="s">
        <v>4235</v>
      </c>
    </row>
    <row r="692" spans="1:25" x14ac:dyDescent="0.25">
      <c r="A692" s="26">
        <v>43763</v>
      </c>
      <c r="B692" s="89" t="s">
        <v>125</v>
      </c>
      <c r="C692" s="89" t="s">
        <v>95</v>
      </c>
      <c r="D692" s="89">
        <v>38.024090000000001</v>
      </c>
      <c r="E692" s="89">
        <v>-121.79268</v>
      </c>
      <c r="F692" s="89" t="s">
        <v>4236</v>
      </c>
      <c r="G692" s="89" t="s">
        <v>27</v>
      </c>
      <c r="H692" s="89" t="s">
        <v>863</v>
      </c>
      <c r="I692" s="602">
        <v>0.32430555555555557</v>
      </c>
      <c r="J692" s="82">
        <v>144.6</v>
      </c>
      <c r="K692" s="82">
        <v>17.5</v>
      </c>
      <c r="L692" s="82">
        <v>7.6</v>
      </c>
      <c r="M692" s="82">
        <v>1.4749999999999999</v>
      </c>
      <c r="N692" s="82">
        <v>10.574999999999999</v>
      </c>
      <c r="O692" s="89" t="s">
        <v>48</v>
      </c>
      <c r="P692" s="89">
        <v>4</v>
      </c>
      <c r="Q692" s="89">
        <v>10</v>
      </c>
      <c r="R692" s="89" t="s">
        <v>49</v>
      </c>
      <c r="S692" s="89" t="s">
        <v>50</v>
      </c>
      <c r="T692" s="89" t="s">
        <v>50</v>
      </c>
      <c r="U692" s="89" t="s">
        <v>50</v>
      </c>
      <c r="V692" s="89" t="s">
        <v>50</v>
      </c>
      <c r="W692" s="89" t="s">
        <v>50</v>
      </c>
      <c r="X692" s="89" t="s">
        <v>50</v>
      </c>
      <c r="Y692" s="600" t="s">
        <v>4237</v>
      </c>
    </row>
    <row r="693" spans="1:25" x14ac:dyDescent="0.25">
      <c r="A693" s="26">
        <v>43763</v>
      </c>
      <c r="B693" s="89" t="s">
        <v>125</v>
      </c>
      <c r="C693" s="89" t="s">
        <v>95</v>
      </c>
      <c r="D693" s="89">
        <v>38.038080000000001</v>
      </c>
      <c r="E693" s="89">
        <v>-121.70455</v>
      </c>
      <c r="F693" s="89" t="s">
        <v>4238</v>
      </c>
      <c r="G693" s="89" t="s">
        <v>27</v>
      </c>
      <c r="H693" s="89" t="s">
        <v>863</v>
      </c>
      <c r="I693" s="602">
        <v>0.42569444444444443</v>
      </c>
      <c r="J693" s="82">
        <v>126.77500000000001</v>
      </c>
      <c r="K693" s="82">
        <v>17.3</v>
      </c>
      <c r="L693" s="82">
        <v>6.1375000000000002</v>
      </c>
      <c r="M693" s="82">
        <v>1.5549999999999999</v>
      </c>
      <c r="N693" s="82">
        <v>4.8499999999999996</v>
      </c>
      <c r="O693" s="89" t="s">
        <v>48</v>
      </c>
      <c r="P693" s="89">
        <v>4</v>
      </c>
      <c r="Q693" s="89">
        <v>10</v>
      </c>
      <c r="R693" s="89" t="s">
        <v>64</v>
      </c>
      <c r="S693" s="89" t="s">
        <v>50</v>
      </c>
      <c r="T693" s="89" t="s">
        <v>50</v>
      </c>
      <c r="U693" s="89" t="s">
        <v>50</v>
      </c>
      <c r="V693" s="89" t="s">
        <v>50</v>
      </c>
      <c r="W693" s="89" t="s">
        <v>50</v>
      </c>
      <c r="X693" s="89" t="s">
        <v>50</v>
      </c>
    </row>
    <row r="694" spans="1:25" x14ac:dyDescent="0.25">
      <c r="A694" s="26">
        <v>43763</v>
      </c>
      <c r="B694" s="89" t="s">
        <v>125</v>
      </c>
      <c r="C694" s="89" t="s">
        <v>95</v>
      </c>
      <c r="D694" s="89">
        <v>38.01981</v>
      </c>
      <c r="E694" s="89">
        <v>-121.74777</v>
      </c>
      <c r="F694" s="89" t="s">
        <v>4239</v>
      </c>
      <c r="G694" s="89" t="s">
        <v>27</v>
      </c>
      <c r="H694" s="89" t="s">
        <v>863</v>
      </c>
      <c r="I694" s="602">
        <v>0.375</v>
      </c>
      <c r="J694" s="82">
        <v>143.92500000000001</v>
      </c>
      <c r="K694" s="82">
        <v>17.575000000000003</v>
      </c>
      <c r="L694" s="82">
        <v>3.9175000000000004</v>
      </c>
      <c r="M694" s="82" t="s">
        <v>1233</v>
      </c>
      <c r="N694" s="82">
        <v>3.75</v>
      </c>
      <c r="O694" s="89" t="s">
        <v>48</v>
      </c>
      <c r="P694" s="89">
        <v>4</v>
      </c>
      <c r="Q694" s="89">
        <v>10</v>
      </c>
      <c r="R694" s="89" t="s">
        <v>64</v>
      </c>
      <c r="S694" s="89" t="s">
        <v>50</v>
      </c>
      <c r="T694" s="89" t="s">
        <v>50</v>
      </c>
      <c r="U694" s="89" t="s">
        <v>50</v>
      </c>
      <c r="V694" s="89" t="s">
        <v>50</v>
      </c>
      <c r="W694" s="89" t="s">
        <v>50</v>
      </c>
      <c r="X694" s="89" t="s">
        <v>50</v>
      </c>
    </row>
    <row r="695" spans="1:25" x14ac:dyDescent="0.25">
      <c r="A695" s="26">
        <v>43763</v>
      </c>
      <c r="B695" s="89" t="s">
        <v>125</v>
      </c>
      <c r="C695" s="89" t="s">
        <v>62</v>
      </c>
      <c r="D695" s="89">
        <v>38.10575</v>
      </c>
      <c r="E695" s="89">
        <v>-122.04386</v>
      </c>
      <c r="F695" s="89" t="s">
        <v>4240</v>
      </c>
      <c r="G695" s="89" t="s">
        <v>27</v>
      </c>
      <c r="H695" s="89" t="s">
        <v>173</v>
      </c>
      <c r="I695" s="602">
        <v>0.35486111111111113</v>
      </c>
      <c r="J695" s="82">
        <v>8787.5</v>
      </c>
      <c r="K695" s="82">
        <v>17.225000000000001</v>
      </c>
      <c r="L695" s="82">
        <v>24.75</v>
      </c>
      <c r="M695" s="82">
        <v>0.47499999999999998</v>
      </c>
      <c r="N695" s="82">
        <v>2.5499999999999998</v>
      </c>
      <c r="O695" s="89" t="s">
        <v>48</v>
      </c>
      <c r="P695" s="89">
        <v>4</v>
      </c>
      <c r="Q695" s="89">
        <v>10</v>
      </c>
      <c r="R695" s="89" t="s">
        <v>64</v>
      </c>
      <c r="S695" s="89" t="s">
        <v>50</v>
      </c>
      <c r="T695" s="89" t="s">
        <v>50</v>
      </c>
      <c r="U695" s="89" t="s">
        <v>50</v>
      </c>
      <c r="V695" s="89" t="s">
        <v>50</v>
      </c>
      <c r="W695" s="89" t="s">
        <v>50</v>
      </c>
      <c r="X695" s="89" t="s">
        <v>50</v>
      </c>
    </row>
    <row r="696" spans="1:25" s="206" customFormat="1" x14ac:dyDescent="0.25">
      <c r="A696" s="204">
        <v>43763</v>
      </c>
      <c r="B696" s="206" t="s">
        <v>125</v>
      </c>
      <c r="C696" s="206" t="s">
        <v>62</v>
      </c>
      <c r="D696" s="206">
        <v>38.109270000000002</v>
      </c>
      <c r="E696" s="206">
        <v>-122.09456</v>
      </c>
      <c r="F696" s="206" t="s">
        <v>4241</v>
      </c>
      <c r="G696" s="206" t="s">
        <v>27</v>
      </c>
      <c r="H696" s="206" t="s">
        <v>173</v>
      </c>
      <c r="I696" s="613">
        <v>0.40347222222222223</v>
      </c>
      <c r="J696" s="208">
        <v>9931.5</v>
      </c>
      <c r="K696" s="208">
        <v>17.150000000000002</v>
      </c>
      <c r="L696" s="208">
        <v>33.549999999999997</v>
      </c>
      <c r="M696" s="208">
        <v>0.40500000000000003</v>
      </c>
      <c r="N696" s="208">
        <v>3.25</v>
      </c>
      <c r="O696" s="206" t="s">
        <v>48</v>
      </c>
      <c r="P696" s="206">
        <v>4</v>
      </c>
      <c r="Q696" s="206">
        <v>10</v>
      </c>
      <c r="R696" s="206" t="s">
        <v>64</v>
      </c>
      <c r="S696" s="206" t="s">
        <v>31</v>
      </c>
      <c r="T696" s="206">
        <v>1</v>
      </c>
      <c r="U696" s="206">
        <v>70</v>
      </c>
      <c r="V696" s="206" t="s">
        <v>355</v>
      </c>
      <c r="W696" s="206" t="s">
        <v>50</v>
      </c>
      <c r="X696" s="206" t="s">
        <v>50</v>
      </c>
      <c r="Y696" s="605"/>
    </row>
    <row r="697" spans="1:25" s="362" customFormat="1" x14ac:dyDescent="0.25">
      <c r="A697" s="360">
        <v>43763</v>
      </c>
      <c r="B697" s="362" t="s">
        <v>125</v>
      </c>
      <c r="C697" s="362" t="s">
        <v>62</v>
      </c>
      <c r="D697" s="362">
        <v>38.175600000000003</v>
      </c>
      <c r="E697" s="362">
        <v>-121.94923</v>
      </c>
      <c r="F697" s="362" t="s">
        <v>4242</v>
      </c>
      <c r="G697" s="362" t="s">
        <v>27</v>
      </c>
      <c r="H697" s="362" t="s">
        <v>62</v>
      </c>
      <c r="I697" s="618">
        <v>0.47013888888888888</v>
      </c>
      <c r="J697" s="364">
        <v>7361</v>
      </c>
      <c r="K697" s="364">
        <v>17.424999999999997</v>
      </c>
      <c r="L697" s="364">
        <v>49.225000000000001</v>
      </c>
      <c r="M697" s="364">
        <v>0.28750000000000003</v>
      </c>
      <c r="N697" s="364">
        <v>10.55</v>
      </c>
      <c r="O697" s="362" t="s">
        <v>48</v>
      </c>
      <c r="P697" s="362">
        <v>4</v>
      </c>
      <c r="Q697" s="362">
        <v>10</v>
      </c>
      <c r="R697" s="362" t="s">
        <v>64</v>
      </c>
      <c r="S697" s="362" t="s">
        <v>50</v>
      </c>
      <c r="T697" s="362" t="s">
        <v>50</v>
      </c>
      <c r="U697" s="362" t="s">
        <v>50</v>
      </c>
      <c r="V697" s="362" t="s">
        <v>50</v>
      </c>
      <c r="W697" s="362" t="s">
        <v>50</v>
      </c>
      <c r="X697" s="362" t="s">
        <v>50</v>
      </c>
      <c r="Y697" s="603" t="s">
        <v>4243</v>
      </c>
    </row>
    <row r="698" spans="1:25" x14ac:dyDescent="0.25">
      <c r="A698" s="26">
        <v>43766</v>
      </c>
      <c r="B698" s="89" t="s">
        <v>43</v>
      </c>
      <c r="C698" s="89" t="s">
        <v>106</v>
      </c>
      <c r="D698" s="89">
        <v>38.41348</v>
      </c>
      <c r="E698" s="89">
        <v>-121.61184</v>
      </c>
      <c r="F698" s="89" t="s">
        <v>4244</v>
      </c>
      <c r="G698" s="89" t="s">
        <v>90</v>
      </c>
      <c r="H698" s="89" t="s">
        <v>362</v>
      </c>
      <c r="I698" s="602">
        <v>0.34375</v>
      </c>
      <c r="J698" s="82">
        <v>537.25</v>
      </c>
      <c r="K698" s="82">
        <v>15.525</v>
      </c>
      <c r="L698" s="82">
        <v>69.95</v>
      </c>
      <c r="M698" s="82">
        <v>0.21250000000000002</v>
      </c>
      <c r="N698" s="82">
        <v>8.6</v>
      </c>
      <c r="O698" s="89" t="s">
        <v>48</v>
      </c>
      <c r="P698" s="89">
        <v>4</v>
      </c>
      <c r="Q698" s="89">
        <v>10</v>
      </c>
      <c r="R698" s="89" t="s">
        <v>49</v>
      </c>
      <c r="S698" s="89" t="s">
        <v>50</v>
      </c>
      <c r="T698" s="89" t="s">
        <v>50</v>
      </c>
      <c r="U698" s="89" t="s">
        <v>50</v>
      </c>
      <c r="V698" s="89" t="s">
        <v>50</v>
      </c>
      <c r="W698" s="89" t="s">
        <v>50</v>
      </c>
      <c r="X698" s="89" t="s">
        <v>50</v>
      </c>
      <c r="Y698" s="600" t="s">
        <v>4245</v>
      </c>
    </row>
    <row r="699" spans="1:25" x14ac:dyDescent="0.25">
      <c r="A699" s="26">
        <v>43766</v>
      </c>
      <c r="B699" s="89" t="s">
        <v>43</v>
      </c>
      <c r="C699" s="89" t="s">
        <v>106</v>
      </c>
      <c r="D699" s="89">
        <v>38.252789999999997</v>
      </c>
      <c r="E699" s="89">
        <v>-121.66564</v>
      </c>
      <c r="F699" s="89" t="s">
        <v>4246</v>
      </c>
      <c r="G699" s="89" t="s">
        <v>90</v>
      </c>
      <c r="H699" s="89" t="s">
        <v>362</v>
      </c>
      <c r="I699" s="602">
        <v>0.41944444444444445</v>
      </c>
      <c r="J699" s="82">
        <v>178.75</v>
      </c>
      <c r="K699" s="82">
        <v>15.2</v>
      </c>
      <c r="L699" s="82">
        <v>41.125</v>
      </c>
      <c r="M699" s="82">
        <v>0.32999999999999996</v>
      </c>
      <c r="N699" s="82">
        <v>10.15</v>
      </c>
      <c r="O699" s="89" t="s">
        <v>48</v>
      </c>
      <c r="P699" s="89">
        <v>4</v>
      </c>
      <c r="Q699" s="89">
        <v>10</v>
      </c>
      <c r="R699" s="89" t="s">
        <v>49</v>
      </c>
      <c r="S699" s="89" t="s">
        <v>50</v>
      </c>
      <c r="T699" s="89" t="s">
        <v>50</v>
      </c>
      <c r="U699" s="89" t="s">
        <v>50</v>
      </c>
      <c r="V699" s="89" t="s">
        <v>50</v>
      </c>
      <c r="W699" s="89" t="s">
        <v>50</v>
      </c>
      <c r="X699" s="89" t="s">
        <v>50</v>
      </c>
    </row>
    <row r="700" spans="1:25" x14ac:dyDescent="0.25">
      <c r="A700" s="26">
        <v>43766</v>
      </c>
      <c r="B700" s="89" t="s">
        <v>43</v>
      </c>
      <c r="C700" s="89" t="s">
        <v>106</v>
      </c>
      <c r="D700" s="89">
        <v>38.204970000000003</v>
      </c>
      <c r="E700" s="89">
        <v>-121.65835</v>
      </c>
      <c r="F700" s="89" t="s">
        <v>4247</v>
      </c>
      <c r="G700" s="89" t="s">
        <v>90</v>
      </c>
      <c r="H700" s="89" t="s">
        <v>362</v>
      </c>
      <c r="I700" s="602">
        <v>0.47500000000000003</v>
      </c>
      <c r="J700" s="82">
        <v>140.97499999999999</v>
      </c>
      <c r="K700" s="82">
        <v>14.7</v>
      </c>
      <c r="L700" s="82">
        <v>50.025000000000006</v>
      </c>
      <c r="M700" s="82">
        <v>0.2475</v>
      </c>
      <c r="N700" s="82">
        <v>12.075000000000001</v>
      </c>
      <c r="O700" s="89" t="s">
        <v>48</v>
      </c>
      <c r="P700" s="89">
        <v>4</v>
      </c>
      <c r="Q700" s="89">
        <v>10</v>
      </c>
      <c r="R700" s="89" t="s">
        <v>49</v>
      </c>
      <c r="S700" s="89" t="s">
        <v>50</v>
      </c>
      <c r="T700" s="89" t="s">
        <v>50</v>
      </c>
      <c r="U700" s="89" t="s">
        <v>50</v>
      </c>
      <c r="V700" s="89" t="s">
        <v>50</v>
      </c>
      <c r="W700" s="89" t="s">
        <v>50</v>
      </c>
      <c r="X700" s="89" t="s">
        <v>50</v>
      </c>
      <c r="Y700" s="600" t="s">
        <v>3642</v>
      </c>
    </row>
    <row r="701" spans="1:25" x14ac:dyDescent="0.25">
      <c r="A701" s="26">
        <v>43766</v>
      </c>
      <c r="B701" s="89" t="s">
        <v>43</v>
      </c>
      <c r="C701" s="89" t="s">
        <v>88</v>
      </c>
      <c r="D701" s="89">
        <v>38.108510000000003</v>
      </c>
      <c r="E701" s="89">
        <v>-121.7088</v>
      </c>
      <c r="F701" s="89" t="s">
        <v>4248</v>
      </c>
      <c r="G701" s="89" t="s">
        <v>90</v>
      </c>
      <c r="H701" s="89" t="s">
        <v>91</v>
      </c>
      <c r="I701" s="602">
        <v>0.34375</v>
      </c>
      <c r="J701" s="82">
        <v>118.30000000000001</v>
      </c>
      <c r="K701" s="82">
        <v>14.924999999999999</v>
      </c>
      <c r="L701" s="82">
        <v>10.754999999999999</v>
      </c>
      <c r="M701" s="82">
        <v>1.2149999999999999</v>
      </c>
      <c r="N701" s="82">
        <v>4.0999999999999996</v>
      </c>
      <c r="O701" s="89" t="s">
        <v>48</v>
      </c>
      <c r="P701" s="89">
        <v>4</v>
      </c>
      <c r="Q701" s="89">
        <v>10</v>
      </c>
      <c r="R701" s="89" t="s">
        <v>49</v>
      </c>
      <c r="S701" s="89" t="s">
        <v>50</v>
      </c>
      <c r="T701" s="89" t="s">
        <v>50</v>
      </c>
      <c r="U701" s="89" t="s">
        <v>50</v>
      </c>
      <c r="V701" s="89" t="s">
        <v>50</v>
      </c>
      <c r="W701" s="89" t="s">
        <v>50</v>
      </c>
      <c r="X701" s="89" t="s">
        <v>50</v>
      </c>
    </row>
    <row r="702" spans="1:25" x14ac:dyDescent="0.25">
      <c r="A702" s="26">
        <v>43766</v>
      </c>
      <c r="B702" s="89" t="s">
        <v>43</v>
      </c>
      <c r="C702" s="89" t="s">
        <v>88</v>
      </c>
      <c r="D702" s="89">
        <v>38.113210000000002</v>
      </c>
      <c r="E702" s="89">
        <v>-121.70871</v>
      </c>
      <c r="F702" s="89" t="s">
        <v>4249</v>
      </c>
      <c r="G702" s="89" t="s">
        <v>90</v>
      </c>
      <c r="H702" s="89" t="s">
        <v>91</v>
      </c>
      <c r="I702" s="602">
        <v>0.39444444444444443</v>
      </c>
      <c r="J702" s="82">
        <v>119.32499999999999</v>
      </c>
      <c r="K702" s="82">
        <v>15.2</v>
      </c>
      <c r="L702" s="82">
        <v>20.650000000000002</v>
      </c>
      <c r="M702" s="82">
        <v>0.9375</v>
      </c>
      <c r="N702" s="82">
        <v>9.5499999999999989</v>
      </c>
      <c r="O702" s="89" t="s">
        <v>48</v>
      </c>
      <c r="P702" s="89">
        <v>4</v>
      </c>
      <c r="Q702" s="89">
        <v>10</v>
      </c>
      <c r="R702" s="89" t="s">
        <v>49</v>
      </c>
      <c r="S702" s="89" t="s">
        <v>50</v>
      </c>
      <c r="T702" s="89" t="s">
        <v>50</v>
      </c>
      <c r="U702" s="89" t="s">
        <v>50</v>
      </c>
      <c r="V702" s="89" t="s">
        <v>50</v>
      </c>
      <c r="W702" s="89" t="s">
        <v>50</v>
      </c>
      <c r="X702" s="89" t="s">
        <v>50</v>
      </c>
      <c r="Y702" s="600" t="s">
        <v>4250</v>
      </c>
    </row>
    <row r="703" spans="1:25" s="496" customFormat="1" x14ac:dyDescent="0.25">
      <c r="A703" s="590">
        <v>43766</v>
      </c>
      <c r="B703" s="592" t="s">
        <v>43</v>
      </c>
      <c r="C703" s="592" t="s">
        <v>88</v>
      </c>
      <c r="D703" s="592">
        <v>38.065530000000003</v>
      </c>
      <c r="E703" s="592">
        <v>-121.81964000000001</v>
      </c>
      <c r="F703" s="592" t="s">
        <v>4251</v>
      </c>
      <c r="G703" s="592" t="s">
        <v>27</v>
      </c>
      <c r="H703" s="592" t="s">
        <v>25</v>
      </c>
      <c r="I703" s="619">
        <v>0.45277777777777778</v>
      </c>
      <c r="J703" s="593">
        <v>136.70000000000002</v>
      </c>
      <c r="K703" s="593">
        <v>14.724999999999998</v>
      </c>
      <c r="L703" s="593">
        <v>20.925000000000001</v>
      </c>
      <c r="M703" s="593">
        <v>0.505</v>
      </c>
      <c r="N703" s="593">
        <v>8.1750000000000007</v>
      </c>
      <c r="O703" s="592" t="s">
        <v>48</v>
      </c>
      <c r="P703" s="592">
        <v>4</v>
      </c>
      <c r="Q703" s="592">
        <v>10</v>
      </c>
      <c r="R703" s="592" t="s">
        <v>49</v>
      </c>
      <c r="S703" s="592" t="s">
        <v>323</v>
      </c>
      <c r="T703" s="592">
        <v>1</v>
      </c>
      <c r="U703" s="592">
        <v>53</v>
      </c>
      <c r="V703" s="592" t="s">
        <v>66</v>
      </c>
      <c r="W703" s="592" t="s">
        <v>50</v>
      </c>
      <c r="X703" s="592" t="s">
        <v>50</v>
      </c>
      <c r="Y703" s="669" t="s">
        <v>3747</v>
      </c>
    </row>
    <row r="704" spans="1:25" s="206" customFormat="1" x14ac:dyDescent="0.25">
      <c r="A704" s="204">
        <v>43766</v>
      </c>
      <c r="B704" s="206" t="s">
        <v>43</v>
      </c>
      <c r="C704" s="206" t="s">
        <v>62</v>
      </c>
      <c r="D704" s="206">
        <v>38.10136</v>
      </c>
      <c r="E704" s="206">
        <v>-122.05997000000001</v>
      </c>
      <c r="F704" s="206" t="s">
        <v>4252</v>
      </c>
      <c r="G704" s="206" t="s">
        <v>27</v>
      </c>
      <c r="H704" s="206" t="s">
        <v>173</v>
      </c>
      <c r="I704" s="613">
        <v>0.35416666666666669</v>
      </c>
      <c r="J704" s="208">
        <v>9776.5</v>
      </c>
      <c r="K704" s="208">
        <v>14.75</v>
      </c>
      <c r="L704" s="208">
        <v>78.5</v>
      </c>
      <c r="M704" s="208">
        <v>0.27500000000000002</v>
      </c>
      <c r="N704" s="208">
        <v>3.75</v>
      </c>
      <c r="O704" s="206" t="s">
        <v>48</v>
      </c>
      <c r="P704" s="206">
        <v>2</v>
      </c>
      <c r="Q704" s="206">
        <v>10</v>
      </c>
      <c r="R704" s="206" t="s">
        <v>49</v>
      </c>
      <c r="S704" s="206" t="s">
        <v>31</v>
      </c>
      <c r="T704" s="206">
        <v>2</v>
      </c>
      <c r="U704" s="206" t="s">
        <v>4253</v>
      </c>
      <c r="V704" s="206" t="s">
        <v>66</v>
      </c>
      <c r="W704" s="206" t="s">
        <v>50</v>
      </c>
      <c r="X704" s="206" t="s">
        <v>50</v>
      </c>
      <c r="Y704" s="605" t="s">
        <v>4254</v>
      </c>
    </row>
    <row r="705" spans="1:25" x14ac:dyDescent="0.25">
      <c r="A705" s="26">
        <v>43767</v>
      </c>
      <c r="B705" s="89" t="s">
        <v>849</v>
      </c>
      <c r="C705" s="89" t="s">
        <v>78</v>
      </c>
      <c r="D705" s="89">
        <v>38.050809999999998</v>
      </c>
      <c r="E705" s="89">
        <v>-121.83712</v>
      </c>
      <c r="F705" s="89" t="s">
        <v>4255</v>
      </c>
      <c r="G705" s="89" t="s">
        <v>27</v>
      </c>
      <c r="H705" s="89" t="s">
        <v>101</v>
      </c>
      <c r="I705" s="602">
        <v>0.34236111111111112</v>
      </c>
      <c r="J705" s="82">
        <v>1011.75</v>
      </c>
      <c r="K705" s="82">
        <v>15.350000000000001</v>
      </c>
      <c r="L705" s="82">
        <v>32.799999999999997</v>
      </c>
      <c r="M705" s="82">
        <v>0.36500000000000005</v>
      </c>
      <c r="N705" s="82">
        <v>5.25</v>
      </c>
      <c r="O705" s="89" t="s">
        <v>48</v>
      </c>
      <c r="P705" s="89">
        <v>4</v>
      </c>
      <c r="Q705" s="89">
        <v>10</v>
      </c>
      <c r="R705" s="89" t="s">
        <v>49</v>
      </c>
      <c r="S705" s="89" t="s">
        <v>50</v>
      </c>
      <c r="T705" s="89" t="s">
        <v>50</v>
      </c>
      <c r="U705" s="89" t="s">
        <v>50</v>
      </c>
      <c r="V705" s="89" t="s">
        <v>50</v>
      </c>
      <c r="W705" s="89" t="s">
        <v>50</v>
      </c>
      <c r="X705" s="89" t="s">
        <v>50</v>
      </c>
    </row>
    <row r="706" spans="1:25" x14ac:dyDescent="0.25">
      <c r="A706" s="26">
        <v>43767</v>
      </c>
      <c r="B706" s="89" t="s">
        <v>849</v>
      </c>
      <c r="C706" s="89" t="s">
        <v>78</v>
      </c>
      <c r="D706" s="89">
        <v>38.05838</v>
      </c>
      <c r="E706" s="89">
        <v>-121.98097</v>
      </c>
      <c r="F706" s="89" t="s">
        <v>4256</v>
      </c>
      <c r="G706" s="89" t="s">
        <v>27</v>
      </c>
      <c r="H706" s="89" t="s">
        <v>86</v>
      </c>
      <c r="I706" s="602">
        <v>0.40347222222222223</v>
      </c>
      <c r="J706" s="82">
        <v>4649.75</v>
      </c>
      <c r="K706" s="82">
        <v>15.5</v>
      </c>
      <c r="L706" s="82">
        <v>43</v>
      </c>
      <c r="M706" s="82">
        <v>0.37499999999999994</v>
      </c>
      <c r="N706" s="82">
        <v>9.8000000000000007</v>
      </c>
      <c r="O706" s="89" t="s">
        <v>48</v>
      </c>
      <c r="P706" s="89">
        <v>4</v>
      </c>
      <c r="Q706" s="89">
        <v>10</v>
      </c>
      <c r="R706" s="89" t="s">
        <v>49</v>
      </c>
      <c r="S706" s="89" t="s">
        <v>50</v>
      </c>
      <c r="T706" s="89" t="s">
        <v>50</v>
      </c>
      <c r="U706" s="89" t="s">
        <v>50</v>
      </c>
      <c r="V706" s="89" t="s">
        <v>50</v>
      </c>
      <c r="W706" s="89" t="s">
        <v>50</v>
      </c>
      <c r="X706" s="89" t="s">
        <v>50</v>
      </c>
      <c r="Y706" s="600" t="s">
        <v>4257</v>
      </c>
    </row>
    <row r="707" spans="1:25" x14ac:dyDescent="0.25">
      <c r="A707" s="26">
        <v>43767</v>
      </c>
      <c r="B707" s="89" t="s">
        <v>849</v>
      </c>
      <c r="C707" s="89" t="s">
        <v>78</v>
      </c>
      <c r="D707" s="89">
        <v>38.077240000000003</v>
      </c>
      <c r="E707" s="89">
        <v>-122.09443</v>
      </c>
      <c r="F707" s="89" t="s">
        <v>4258</v>
      </c>
      <c r="G707" s="89" t="s">
        <v>80</v>
      </c>
      <c r="H707" s="89" t="s">
        <v>81</v>
      </c>
      <c r="I707" s="602">
        <v>0.46597222222222223</v>
      </c>
      <c r="J707" s="82">
        <v>9822</v>
      </c>
      <c r="K707" s="82">
        <v>15.05</v>
      </c>
      <c r="L707" s="82">
        <v>39.65</v>
      </c>
      <c r="M707" s="82">
        <v>0.38999999999999996</v>
      </c>
      <c r="N707" s="82">
        <v>6.25</v>
      </c>
      <c r="O707" s="89" t="s">
        <v>48</v>
      </c>
      <c r="P707" s="89">
        <v>4</v>
      </c>
      <c r="Q707" s="89">
        <v>10</v>
      </c>
      <c r="R707" s="89" t="s">
        <v>64</v>
      </c>
      <c r="S707" s="89" t="s">
        <v>50</v>
      </c>
      <c r="T707" s="89" t="s">
        <v>50</v>
      </c>
      <c r="U707" s="89" t="s">
        <v>50</v>
      </c>
      <c r="V707" s="89" t="s">
        <v>50</v>
      </c>
      <c r="W707" s="89" t="s">
        <v>50</v>
      </c>
      <c r="X707" s="89" t="s">
        <v>50</v>
      </c>
    </row>
    <row r="708" spans="1:25" x14ac:dyDescent="0.25">
      <c r="A708" s="26">
        <v>43767</v>
      </c>
      <c r="B708" s="89" t="s">
        <v>849</v>
      </c>
      <c r="C708" s="89" t="s">
        <v>106</v>
      </c>
      <c r="D708" s="89">
        <v>38.540149999999997</v>
      </c>
      <c r="E708" s="89">
        <v>-121.58395</v>
      </c>
      <c r="F708" s="89" t="s">
        <v>4259</v>
      </c>
      <c r="G708" s="89" t="s">
        <v>90</v>
      </c>
      <c r="H708" s="89" t="s">
        <v>1787</v>
      </c>
      <c r="I708" s="602">
        <v>0.35000000000000003</v>
      </c>
      <c r="J708" s="82">
        <v>944.5</v>
      </c>
      <c r="K708" s="82">
        <v>16.3</v>
      </c>
      <c r="L708" s="82">
        <v>11.299999999999999</v>
      </c>
      <c r="M708" s="82">
        <v>0.78500000000000003</v>
      </c>
      <c r="N708" s="82">
        <v>9.2999999999999989</v>
      </c>
      <c r="O708" s="89" t="s">
        <v>48</v>
      </c>
      <c r="P708" s="89">
        <v>4</v>
      </c>
      <c r="Q708" s="89">
        <v>10</v>
      </c>
      <c r="R708" s="89" t="s">
        <v>49</v>
      </c>
      <c r="S708" s="89" t="s">
        <v>50</v>
      </c>
      <c r="T708" s="89" t="s">
        <v>50</v>
      </c>
      <c r="U708" s="89" t="s">
        <v>50</v>
      </c>
      <c r="V708" s="89" t="s">
        <v>50</v>
      </c>
      <c r="W708" s="89" t="s">
        <v>50</v>
      </c>
      <c r="X708" s="89" t="s">
        <v>50</v>
      </c>
    </row>
    <row r="709" spans="1:25" s="496" customFormat="1" x14ac:dyDescent="0.25">
      <c r="A709" s="495">
        <v>43767</v>
      </c>
      <c r="B709" s="496" t="s">
        <v>849</v>
      </c>
      <c r="C709" s="496" t="s">
        <v>106</v>
      </c>
      <c r="D709" s="496">
        <v>38.429470000000002</v>
      </c>
      <c r="E709" s="496">
        <v>-121.60365</v>
      </c>
      <c r="F709" s="496" t="s">
        <v>4260</v>
      </c>
      <c r="G709" s="496" t="s">
        <v>90</v>
      </c>
      <c r="H709" s="496" t="s">
        <v>362</v>
      </c>
      <c r="I709" s="615">
        <v>0.41041666666666665</v>
      </c>
      <c r="J709" s="498">
        <v>607.75</v>
      </c>
      <c r="K709" s="498">
        <v>15.45</v>
      </c>
      <c r="L709" s="498">
        <v>69.625</v>
      </c>
      <c r="M709" s="498">
        <v>0.215</v>
      </c>
      <c r="N709" s="498">
        <v>9.2999999999999989</v>
      </c>
      <c r="O709" s="496" t="s">
        <v>48</v>
      </c>
      <c r="P709" s="496">
        <v>4</v>
      </c>
      <c r="Q709" s="496">
        <v>10</v>
      </c>
      <c r="R709" s="496" t="s">
        <v>49</v>
      </c>
      <c r="S709" s="496" t="s">
        <v>323</v>
      </c>
      <c r="T709" s="496">
        <v>1</v>
      </c>
      <c r="U709" s="496">
        <v>43</v>
      </c>
      <c r="V709" s="496" t="s">
        <v>50</v>
      </c>
      <c r="W709" s="496" t="s">
        <v>50</v>
      </c>
      <c r="X709" s="496" t="s">
        <v>50</v>
      </c>
      <c r="Y709" s="601" t="s">
        <v>4261</v>
      </c>
    </row>
    <row r="710" spans="1:25" x14ac:dyDescent="0.25">
      <c r="A710" s="26">
        <v>43767</v>
      </c>
      <c r="B710" s="89" t="s">
        <v>849</v>
      </c>
      <c r="C710" s="89" t="s">
        <v>106</v>
      </c>
      <c r="D710" s="89">
        <v>38.20937</v>
      </c>
      <c r="E710" s="89">
        <v>-121.66361000000001</v>
      </c>
      <c r="F710" s="89" t="s">
        <v>4262</v>
      </c>
      <c r="G710" s="89" t="s">
        <v>90</v>
      </c>
      <c r="H710" s="89" t="s">
        <v>362</v>
      </c>
      <c r="I710" s="602">
        <v>0.50763888888888886</v>
      </c>
      <c r="J710" s="82">
        <v>143.02500000000001</v>
      </c>
      <c r="K710" s="82">
        <v>14.35</v>
      </c>
      <c r="L710" s="82">
        <v>30.95</v>
      </c>
      <c r="M710" s="82">
        <v>0.47</v>
      </c>
      <c r="N710" s="82">
        <v>13.25</v>
      </c>
      <c r="O710" s="89" t="s">
        <v>48</v>
      </c>
      <c r="P710" s="89">
        <v>4</v>
      </c>
      <c r="Q710" s="89">
        <v>10</v>
      </c>
      <c r="R710" s="89" t="s">
        <v>49</v>
      </c>
      <c r="S710" s="89" t="s">
        <v>50</v>
      </c>
      <c r="T710" s="89" t="s">
        <v>50</v>
      </c>
      <c r="U710" s="89" t="s">
        <v>50</v>
      </c>
      <c r="V710" s="89" t="s">
        <v>50</v>
      </c>
      <c r="W710" s="89" t="s">
        <v>50</v>
      </c>
      <c r="X710" s="89" t="s">
        <v>50</v>
      </c>
    </row>
    <row r="711" spans="1:25" x14ac:dyDescent="0.25">
      <c r="A711" s="26">
        <v>43767</v>
      </c>
      <c r="B711" s="89" t="s">
        <v>849</v>
      </c>
      <c r="C711" s="89" t="s">
        <v>88</v>
      </c>
      <c r="D711" s="89">
        <v>38.150069999999999</v>
      </c>
      <c r="E711" s="89">
        <v>-121.68899</v>
      </c>
      <c r="F711" s="89" t="s">
        <v>4263</v>
      </c>
      <c r="G711" s="89" t="s">
        <v>90</v>
      </c>
      <c r="H711" s="89" t="s">
        <v>91</v>
      </c>
      <c r="I711" s="602">
        <v>0.34861111111111115</v>
      </c>
      <c r="J711" s="82">
        <v>124.75</v>
      </c>
      <c r="K711" s="82">
        <v>15</v>
      </c>
      <c r="L711" s="82">
        <v>13.39</v>
      </c>
      <c r="M711" s="82">
        <v>0.96000000000000008</v>
      </c>
      <c r="N711" s="82">
        <v>8.9</v>
      </c>
      <c r="O711" s="89" t="s">
        <v>48</v>
      </c>
      <c r="P711" s="89">
        <v>4</v>
      </c>
      <c r="Q711" s="89">
        <v>10</v>
      </c>
      <c r="R711" s="89" t="s">
        <v>49</v>
      </c>
      <c r="S711" s="89" t="s">
        <v>50</v>
      </c>
      <c r="T711" s="89" t="s">
        <v>50</v>
      </c>
      <c r="U711" s="89" t="s">
        <v>50</v>
      </c>
      <c r="V711" s="89" t="s">
        <v>50</v>
      </c>
      <c r="W711" s="89" t="s">
        <v>50</v>
      </c>
      <c r="X711" s="89" t="s">
        <v>50</v>
      </c>
      <c r="Y711" s="600" t="s">
        <v>4264</v>
      </c>
    </row>
    <row r="712" spans="1:25" x14ac:dyDescent="0.25">
      <c r="A712" s="26">
        <v>43767</v>
      </c>
      <c r="B712" s="89" t="s">
        <v>849</v>
      </c>
      <c r="C712" s="89" t="s">
        <v>88</v>
      </c>
      <c r="D712" s="89">
        <v>38.102049999999998</v>
      </c>
      <c r="E712" s="89">
        <v>-121.72208000000001</v>
      </c>
      <c r="F712" s="89" t="s">
        <v>4265</v>
      </c>
      <c r="G712" s="89" t="s">
        <v>90</v>
      </c>
      <c r="H712" s="89" t="s">
        <v>91</v>
      </c>
      <c r="I712" s="602">
        <v>0.40138888888888885</v>
      </c>
      <c r="J712" s="82">
        <v>123.27500000000001</v>
      </c>
      <c r="K712" s="82">
        <v>14.925000000000001</v>
      </c>
      <c r="L712" s="82">
        <v>12.3</v>
      </c>
      <c r="M712" s="82">
        <v>1.06</v>
      </c>
      <c r="N712" s="82">
        <v>6.75</v>
      </c>
      <c r="O712" s="89" t="s">
        <v>48</v>
      </c>
      <c r="P712" s="89">
        <v>4</v>
      </c>
      <c r="Q712" s="89">
        <v>10</v>
      </c>
      <c r="R712" s="89" t="s">
        <v>49</v>
      </c>
      <c r="S712" s="89" t="s">
        <v>50</v>
      </c>
      <c r="T712" s="89" t="s">
        <v>50</v>
      </c>
      <c r="U712" s="89" t="s">
        <v>50</v>
      </c>
      <c r="V712" s="89" t="s">
        <v>50</v>
      </c>
      <c r="W712" s="89" t="s">
        <v>50</v>
      </c>
      <c r="X712" s="89" t="s">
        <v>50</v>
      </c>
    </row>
    <row r="713" spans="1:25" x14ac:dyDescent="0.25">
      <c r="A713" s="194">
        <v>43767</v>
      </c>
      <c r="B713" s="98" t="s">
        <v>849</v>
      </c>
      <c r="C713" s="98" t="s">
        <v>88</v>
      </c>
      <c r="D713" s="98">
        <v>38.087780000000002</v>
      </c>
      <c r="E713" s="98">
        <v>-121.73457000000001</v>
      </c>
      <c r="F713" s="98" t="s">
        <v>4266</v>
      </c>
      <c r="G713" s="98" t="s">
        <v>90</v>
      </c>
      <c r="H713" s="98" t="s">
        <v>91</v>
      </c>
      <c r="I713" s="621">
        <v>0.45</v>
      </c>
      <c r="J713" s="100">
        <v>126.35</v>
      </c>
      <c r="K713" s="100">
        <v>14.85</v>
      </c>
      <c r="L713" s="100">
        <v>9.16</v>
      </c>
      <c r="M713" s="100">
        <v>1.1074999999999999</v>
      </c>
      <c r="N713" s="100">
        <v>6.0250000000000004</v>
      </c>
      <c r="O713" s="98" t="s">
        <v>48</v>
      </c>
      <c r="P713" s="98">
        <v>4</v>
      </c>
      <c r="Q713" s="98">
        <v>10</v>
      </c>
      <c r="R713" s="98" t="s">
        <v>49</v>
      </c>
      <c r="S713" s="98" t="s">
        <v>50</v>
      </c>
      <c r="T713" s="98" t="s">
        <v>50</v>
      </c>
      <c r="U713" s="98" t="s">
        <v>50</v>
      </c>
      <c r="V713" s="98" t="s">
        <v>50</v>
      </c>
      <c r="W713" s="98" t="s">
        <v>50</v>
      </c>
      <c r="X713" s="98" t="s">
        <v>50</v>
      </c>
      <c r="Y713" s="622"/>
    </row>
    <row r="714" spans="1:25" x14ac:dyDescent="0.25">
      <c r="A714" s="26">
        <v>43768</v>
      </c>
      <c r="B714" s="89" t="s">
        <v>915</v>
      </c>
      <c r="C714" s="89" t="s">
        <v>126</v>
      </c>
      <c r="D714" s="89">
        <v>38.284520000000001</v>
      </c>
      <c r="E714" s="89">
        <v>-121.66527000000001</v>
      </c>
      <c r="F714" s="89" t="s">
        <v>4267</v>
      </c>
      <c r="G714" s="89" t="s">
        <v>90</v>
      </c>
      <c r="H714" s="89" t="s">
        <v>845</v>
      </c>
      <c r="I714" s="602">
        <v>0.33819444444444446</v>
      </c>
      <c r="J714" s="82">
        <v>135.52500000000001</v>
      </c>
      <c r="K714" s="82">
        <v>13.225000000000001</v>
      </c>
      <c r="L714" s="82">
        <v>26.15</v>
      </c>
      <c r="M714" s="82">
        <v>0.48499999999999999</v>
      </c>
      <c r="N714" s="82">
        <v>5.8774999999999995</v>
      </c>
      <c r="O714" s="89" t="s">
        <v>48</v>
      </c>
      <c r="P714" s="89">
        <v>4</v>
      </c>
      <c r="Q714" s="89">
        <v>10</v>
      </c>
      <c r="R714" s="89" t="s">
        <v>64</v>
      </c>
      <c r="S714" s="89" t="s">
        <v>50</v>
      </c>
      <c r="T714" s="89" t="s">
        <v>50</v>
      </c>
      <c r="U714" s="89" t="s">
        <v>50</v>
      </c>
      <c r="V714" s="89" t="s">
        <v>50</v>
      </c>
      <c r="W714" s="89" t="s">
        <v>50</v>
      </c>
      <c r="X714" s="89" t="s">
        <v>50</v>
      </c>
    </row>
    <row r="715" spans="1:25" x14ac:dyDescent="0.25">
      <c r="A715" s="26">
        <v>43768</v>
      </c>
      <c r="B715" s="89" t="s">
        <v>915</v>
      </c>
      <c r="C715" s="89" t="s">
        <v>126</v>
      </c>
      <c r="D715" s="89">
        <v>38.237220000000001</v>
      </c>
      <c r="E715" s="89">
        <v>-121.68313999999999</v>
      </c>
      <c r="F715" s="89" t="s">
        <v>4268</v>
      </c>
      <c r="G715" s="89" t="s">
        <v>90</v>
      </c>
      <c r="H715" s="89" t="s">
        <v>845</v>
      </c>
      <c r="I715" s="602">
        <v>0.40902777777777777</v>
      </c>
      <c r="J715" s="82">
        <v>130.6</v>
      </c>
      <c r="K715" s="82">
        <v>13.549999999999999</v>
      </c>
      <c r="L715" s="82">
        <v>24.700000000000003</v>
      </c>
      <c r="M715" s="82">
        <v>0.5625</v>
      </c>
      <c r="N715" s="82">
        <v>12.5</v>
      </c>
      <c r="O715" s="89" t="s">
        <v>48</v>
      </c>
      <c r="P715" s="89">
        <v>4</v>
      </c>
      <c r="Q715" s="89">
        <v>10</v>
      </c>
      <c r="R715" s="89" t="s">
        <v>49</v>
      </c>
      <c r="S715" s="89" t="s">
        <v>50</v>
      </c>
      <c r="T715" s="89" t="s">
        <v>50</v>
      </c>
      <c r="U715" s="89" t="s">
        <v>50</v>
      </c>
      <c r="V715" s="89" t="s">
        <v>50</v>
      </c>
      <c r="W715" s="89" t="s">
        <v>50</v>
      </c>
      <c r="X715" s="89" t="s">
        <v>50</v>
      </c>
    </row>
    <row r="716" spans="1:25" x14ac:dyDescent="0.25">
      <c r="A716" s="26">
        <v>43768</v>
      </c>
      <c r="B716" s="89" t="s">
        <v>915</v>
      </c>
      <c r="C716" s="89" t="s">
        <v>126</v>
      </c>
      <c r="D716" s="89">
        <v>38.257629999999999</v>
      </c>
      <c r="E716" s="89">
        <v>-121.69216</v>
      </c>
      <c r="F716" s="89" t="s">
        <v>4269</v>
      </c>
      <c r="G716" s="89" t="s">
        <v>90</v>
      </c>
      <c r="H716" s="89" t="s">
        <v>845</v>
      </c>
      <c r="I716" s="602">
        <v>0.47152777777777777</v>
      </c>
      <c r="J716" s="82">
        <v>144.82499999999999</v>
      </c>
      <c r="K716" s="82">
        <v>12.899999999999999</v>
      </c>
      <c r="L716" s="82">
        <v>22.225000000000001</v>
      </c>
      <c r="M716" s="82">
        <v>0.56999999999999995</v>
      </c>
      <c r="N716" s="82">
        <v>4.9050000000000002</v>
      </c>
      <c r="O716" s="89" t="s">
        <v>48</v>
      </c>
      <c r="P716" s="89">
        <v>4</v>
      </c>
      <c r="Q716" s="89">
        <v>10</v>
      </c>
      <c r="R716" s="89" t="s">
        <v>49</v>
      </c>
      <c r="S716" s="89" t="s">
        <v>50</v>
      </c>
      <c r="T716" s="89" t="s">
        <v>50</v>
      </c>
      <c r="U716" s="89" t="s">
        <v>50</v>
      </c>
      <c r="V716" s="89" t="s">
        <v>50</v>
      </c>
      <c r="W716" s="89" t="s">
        <v>50</v>
      </c>
      <c r="X716" s="89" t="s">
        <v>50</v>
      </c>
    </row>
    <row r="717" spans="1:25" s="206" customFormat="1" x14ac:dyDescent="0.25">
      <c r="A717" s="204">
        <v>43768</v>
      </c>
      <c r="B717" s="206" t="s">
        <v>915</v>
      </c>
      <c r="C717" s="206" t="s">
        <v>62</v>
      </c>
      <c r="D717" s="206">
        <v>38.127130000000001</v>
      </c>
      <c r="E717" s="206">
        <v>-122.05651</v>
      </c>
      <c r="F717" s="206" t="s">
        <v>4270</v>
      </c>
      <c r="G717" s="206" t="s">
        <v>27</v>
      </c>
      <c r="H717" s="206" t="s">
        <v>62</v>
      </c>
      <c r="I717" s="613">
        <v>0.37083333333333335</v>
      </c>
      <c r="J717" s="208">
        <v>8667.75</v>
      </c>
      <c r="K717" s="208">
        <v>14.525</v>
      </c>
      <c r="L717" s="208">
        <v>61.2</v>
      </c>
      <c r="M717" s="208">
        <v>0.28750000000000003</v>
      </c>
      <c r="N717" s="208">
        <v>2.4750000000000001</v>
      </c>
      <c r="O717" s="206" t="s">
        <v>48</v>
      </c>
      <c r="P717" s="206">
        <v>4</v>
      </c>
      <c r="Q717" s="206">
        <v>10</v>
      </c>
      <c r="R717" s="206" t="s">
        <v>49</v>
      </c>
      <c r="S717" s="206" t="s">
        <v>31</v>
      </c>
      <c r="T717" s="206">
        <v>1</v>
      </c>
      <c r="U717" s="206">
        <v>64</v>
      </c>
      <c r="V717" s="206" t="s">
        <v>50</v>
      </c>
      <c r="W717" s="206" t="s">
        <v>50</v>
      </c>
      <c r="X717" s="206" t="s">
        <v>50</v>
      </c>
      <c r="Y717" s="605"/>
    </row>
    <row r="718" spans="1:25" x14ac:dyDescent="0.25">
      <c r="A718" s="26">
        <v>43768</v>
      </c>
      <c r="B718" s="89" t="s">
        <v>915</v>
      </c>
      <c r="C718" s="89" t="s">
        <v>62</v>
      </c>
      <c r="D718" s="89">
        <v>38.177390000000003</v>
      </c>
      <c r="E718" s="89">
        <v>-122.01118</v>
      </c>
      <c r="F718" s="89" t="s">
        <v>4271</v>
      </c>
      <c r="G718" s="89" t="s">
        <v>27</v>
      </c>
      <c r="H718" s="89" t="s">
        <v>62</v>
      </c>
      <c r="I718" s="602">
        <v>0.43333333333333335</v>
      </c>
      <c r="J718" s="82">
        <v>7902</v>
      </c>
      <c r="K718" s="82">
        <v>14.475</v>
      </c>
      <c r="L718" s="82">
        <v>65.900000000000006</v>
      </c>
      <c r="M718" s="82">
        <v>0.27</v>
      </c>
      <c r="N718" s="82">
        <v>6</v>
      </c>
      <c r="O718" s="89" t="s">
        <v>48</v>
      </c>
      <c r="P718" s="89">
        <v>4</v>
      </c>
      <c r="Q718" s="89">
        <v>10</v>
      </c>
      <c r="R718" s="89" t="s">
        <v>49</v>
      </c>
      <c r="S718" s="89" t="s">
        <v>50</v>
      </c>
      <c r="T718" s="89" t="s">
        <v>50</v>
      </c>
      <c r="U718" s="89" t="s">
        <v>50</v>
      </c>
      <c r="V718" s="89" t="s">
        <v>50</v>
      </c>
      <c r="W718" s="89" t="s">
        <v>50</v>
      </c>
      <c r="X718" s="89" t="s">
        <v>50</v>
      </c>
    </row>
    <row r="719" spans="1:25" x14ac:dyDescent="0.25">
      <c r="A719" s="26">
        <v>43768</v>
      </c>
      <c r="B719" s="89" t="s">
        <v>915</v>
      </c>
      <c r="C719" s="89" t="s">
        <v>62</v>
      </c>
      <c r="D719" s="89">
        <v>38.169539999999998</v>
      </c>
      <c r="E719" s="89">
        <v>-122.02821</v>
      </c>
      <c r="F719" s="89" t="s">
        <v>4272</v>
      </c>
      <c r="G719" s="89" t="s">
        <v>27</v>
      </c>
      <c r="H719" s="89" t="s">
        <v>62</v>
      </c>
      <c r="I719" s="602">
        <v>0.4826388888888889</v>
      </c>
      <c r="J719" s="82">
        <v>8365.25</v>
      </c>
      <c r="K719" s="82">
        <v>14.6</v>
      </c>
      <c r="L719" s="82">
        <v>50.2</v>
      </c>
      <c r="M719" s="82">
        <v>0.3</v>
      </c>
      <c r="N719" s="82">
        <v>7.7</v>
      </c>
      <c r="O719" s="89" t="s">
        <v>48</v>
      </c>
      <c r="P719" s="89">
        <v>4</v>
      </c>
      <c r="Q719" s="89">
        <v>10</v>
      </c>
      <c r="R719" s="89" t="s">
        <v>64</v>
      </c>
      <c r="S719" s="89" t="s">
        <v>50</v>
      </c>
      <c r="T719" s="89" t="s">
        <v>50</v>
      </c>
      <c r="U719" s="89" t="s">
        <v>50</v>
      </c>
      <c r="V719" s="89" t="s">
        <v>50</v>
      </c>
      <c r="W719" s="89" t="s">
        <v>50</v>
      </c>
      <c r="X719" s="89" t="s">
        <v>50</v>
      </c>
      <c r="Y719" s="600" t="s">
        <v>4273</v>
      </c>
    </row>
    <row r="720" spans="1:25" x14ac:dyDescent="0.25">
      <c r="A720" s="26">
        <v>43768</v>
      </c>
      <c r="B720" s="89" t="s">
        <v>915</v>
      </c>
      <c r="C720" s="89" t="s">
        <v>78</v>
      </c>
      <c r="D720" s="89">
        <v>38.076700000000002</v>
      </c>
      <c r="E720" s="89">
        <v>-122.02983999999999</v>
      </c>
      <c r="F720" s="89" t="s">
        <v>4274</v>
      </c>
      <c r="G720" s="89" t="s">
        <v>27</v>
      </c>
      <c r="H720" s="89" t="s">
        <v>86</v>
      </c>
      <c r="I720" s="602">
        <v>0.44513888888888892</v>
      </c>
      <c r="J720" s="82">
        <v>8568</v>
      </c>
      <c r="K720" s="82">
        <v>14.8</v>
      </c>
      <c r="L720" s="82">
        <v>63.925000000000004</v>
      </c>
      <c r="M720" s="82">
        <v>0.27750000000000002</v>
      </c>
      <c r="N720" s="82">
        <v>4.38</v>
      </c>
      <c r="O720" s="89" t="s">
        <v>48</v>
      </c>
      <c r="P720" s="89">
        <v>4</v>
      </c>
      <c r="Q720" s="89">
        <v>10</v>
      </c>
      <c r="R720" s="89" t="s">
        <v>49</v>
      </c>
      <c r="S720" s="89" t="s">
        <v>50</v>
      </c>
      <c r="T720" s="89" t="s">
        <v>50</v>
      </c>
      <c r="U720" s="89" t="s">
        <v>50</v>
      </c>
      <c r="V720" s="89" t="s">
        <v>50</v>
      </c>
      <c r="W720" s="89" t="s">
        <v>50</v>
      </c>
      <c r="X720" s="89" t="s">
        <v>50</v>
      </c>
    </row>
    <row r="721" spans="1:25" x14ac:dyDescent="0.25">
      <c r="A721" s="26">
        <v>43768</v>
      </c>
      <c r="B721" s="89" t="s">
        <v>915</v>
      </c>
      <c r="C721" s="89" t="s">
        <v>78</v>
      </c>
      <c r="D721" s="89">
        <v>38.050750000000001</v>
      </c>
      <c r="E721" s="89">
        <v>-121.95786</v>
      </c>
      <c r="F721" s="89" t="s">
        <v>4275</v>
      </c>
      <c r="G721" s="89" t="s">
        <v>27</v>
      </c>
      <c r="H721" s="89" t="s">
        <v>170</v>
      </c>
      <c r="I721" s="602">
        <v>0.4055555555555555</v>
      </c>
      <c r="J721" s="82">
        <v>5387.75</v>
      </c>
      <c r="K721" s="82">
        <v>15.074999999999999</v>
      </c>
      <c r="L721" s="82">
        <v>45.150000000000006</v>
      </c>
      <c r="M721" s="82">
        <v>0.38249999999999995</v>
      </c>
      <c r="N721" s="82">
        <v>5.4</v>
      </c>
      <c r="O721" s="89" t="s">
        <v>48</v>
      </c>
      <c r="P721" s="89">
        <v>4</v>
      </c>
      <c r="Q721" s="89">
        <v>10</v>
      </c>
      <c r="R721" s="89" t="s">
        <v>49</v>
      </c>
      <c r="S721" s="89" t="s">
        <v>50</v>
      </c>
      <c r="T721" s="89" t="s">
        <v>50</v>
      </c>
      <c r="U721" s="89" t="s">
        <v>50</v>
      </c>
      <c r="V721" s="89" t="s">
        <v>50</v>
      </c>
      <c r="W721" s="89" t="s">
        <v>50</v>
      </c>
      <c r="X721" s="89" t="s">
        <v>50</v>
      </c>
    </row>
    <row r="722" spans="1:25" x14ac:dyDescent="0.25">
      <c r="A722" s="26">
        <v>43768</v>
      </c>
      <c r="B722" s="89" t="s">
        <v>915</v>
      </c>
      <c r="C722" s="89" t="s">
        <v>78</v>
      </c>
      <c r="D722" s="89">
        <v>38.051580000000001</v>
      </c>
      <c r="E722" s="89">
        <v>-121.8815</v>
      </c>
      <c r="F722" s="89" t="s">
        <v>4276</v>
      </c>
      <c r="G722" s="89" t="s">
        <v>27</v>
      </c>
      <c r="H722" s="89" t="s">
        <v>101</v>
      </c>
      <c r="I722" s="602">
        <v>0.32916666666666666</v>
      </c>
      <c r="J722" s="82">
        <v>2887.75</v>
      </c>
      <c r="K722" s="82">
        <v>15.1</v>
      </c>
      <c r="L722" s="82">
        <v>31.500000000000004</v>
      </c>
      <c r="M722" s="82">
        <v>0.40249999999999997</v>
      </c>
      <c r="N722" s="82">
        <v>14.525</v>
      </c>
      <c r="O722" s="89" t="s">
        <v>48</v>
      </c>
      <c r="P722" s="89">
        <v>4</v>
      </c>
      <c r="Q722" s="89">
        <v>10</v>
      </c>
      <c r="R722" s="89" t="s">
        <v>49</v>
      </c>
      <c r="S722" s="89" t="s">
        <v>50</v>
      </c>
      <c r="T722" s="89" t="s">
        <v>50</v>
      </c>
      <c r="U722" s="89" t="s">
        <v>50</v>
      </c>
      <c r="V722" s="89" t="s">
        <v>50</v>
      </c>
      <c r="W722" s="89" t="s">
        <v>50</v>
      </c>
      <c r="X722" s="89" t="s">
        <v>50</v>
      </c>
    </row>
    <row r="723" spans="1:25" s="206" customFormat="1" x14ac:dyDescent="0.25">
      <c r="A723" s="204">
        <v>43768</v>
      </c>
      <c r="B723" s="206" t="s">
        <v>915</v>
      </c>
      <c r="C723" s="206" t="s">
        <v>62</v>
      </c>
      <c r="D723" s="206">
        <v>38.103900000000003</v>
      </c>
      <c r="E723" s="206">
        <v>-122.04729</v>
      </c>
      <c r="F723" s="206" t="s">
        <v>4277</v>
      </c>
      <c r="G723" s="206" t="s">
        <v>27</v>
      </c>
      <c r="H723" s="206" t="s">
        <v>173</v>
      </c>
      <c r="I723" s="613">
        <v>0.50208333333333333</v>
      </c>
      <c r="J723" s="208">
        <v>11420.4</v>
      </c>
      <c r="K723" s="208">
        <v>14.919999999999998</v>
      </c>
      <c r="L723" s="208">
        <v>34.72</v>
      </c>
      <c r="M723" s="208">
        <v>0.45400000000000001</v>
      </c>
      <c r="N723" s="208">
        <v>3.9199999999999995</v>
      </c>
      <c r="O723" s="206" t="s">
        <v>48</v>
      </c>
      <c r="P723" s="206">
        <v>5</v>
      </c>
      <c r="Q723" s="206">
        <v>10</v>
      </c>
      <c r="R723" s="206" t="s">
        <v>64</v>
      </c>
      <c r="S723" s="206" t="s">
        <v>31</v>
      </c>
      <c r="T723" s="206">
        <v>1</v>
      </c>
      <c r="U723" s="206">
        <v>60</v>
      </c>
      <c r="V723" s="206" t="s">
        <v>66</v>
      </c>
      <c r="W723" s="206" t="s">
        <v>50</v>
      </c>
      <c r="X723" s="206" t="s">
        <v>50</v>
      </c>
      <c r="Y723" s="605" t="s">
        <v>4278</v>
      </c>
    </row>
    <row r="724" spans="1:25" x14ac:dyDescent="0.25">
      <c r="A724" s="26">
        <v>43769</v>
      </c>
      <c r="B724" s="89" t="s">
        <v>876</v>
      </c>
      <c r="C724" s="89" t="s">
        <v>118</v>
      </c>
      <c r="D724" s="89">
        <v>38.164230000000003</v>
      </c>
      <c r="E724" s="89">
        <v>-122.29308</v>
      </c>
      <c r="F724" s="89" t="s">
        <v>4279</v>
      </c>
      <c r="G724" s="89" t="s">
        <v>80</v>
      </c>
      <c r="H724" s="89" t="s">
        <v>191</v>
      </c>
      <c r="I724" s="602">
        <v>0.31805555555555554</v>
      </c>
      <c r="J724" s="82">
        <v>24369.25</v>
      </c>
      <c r="K724" s="82">
        <v>14.425000000000001</v>
      </c>
      <c r="L724" s="82">
        <v>22.774999999999999</v>
      </c>
      <c r="M724" s="82">
        <v>0.60499999999999998</v>
      </c>
      <c r="N724" s="82">
        <v>6.4499999999999993</v>
      </c>
      <c r="O724" s="89" t="s">
        <v>48</v>
      </c>
      <c r="P724" s="89">
        <v>4</v>
      </c>
      <c r="Q724" s="89">
        <v>10</v>
      </c>
      <c r="R724" s="89" t="s">
        <v>49</v>
      </c>
      <c r="S724" s="89" t="s">
        <v>50</v>
      </c>
      <c r="T724" s="89" t="s">
        <v>50</v>
      </c>
      <c r="U724" s="89" t="s">
        <v>50</v>
      </c>
      <c r="V724" s="89" t="s">
        <v>50</v>
      </c>
      <c r="W724" s="89" t="s">
        <v>50</v>
      </c>
      <c r="X724" s="89" t="s">
        <v>50</v>
      </c>
    </row>
    <row r="725" spans="1:25" s="206" customFormat="1" x14ac:dyDescent="0.25">
      <c r="A725" s="204">
        <v>43769</v>
      </c>
      <c r="B725" s="206" t="s">
        <v>876</v>
      </c>
      <c r="C725" s="206" t="s">
        <v>118</v>
      </c>
      <c r="D725" s="206">
        <v>38.08813</v>
      </c>
      <c r="E725" s="206">
        <v>-122.25366</v>
      </c>
      <c r="F725" s="206" t="s">
        <v>4280</v>
      </c>
      <c r="G725" s="206" t="s">
        <v>80</v>
      </c>
      <c r="H725" s="206" t="s">
        <v>191</v>
      </c>
      <c r="I725" s="613">
        <v>0.375</v>
      </c>
      <c r="J725" s="648">
        <v>22986</v>
      </c>
      <c r="K725" s="648">
        <v>15.1</v>
      </c>
      <c r="L725" s="648">
        <v>67.650000000000006</v>
      </c>
      <c r="M725" s="648">
        <v>0.30000000000000004</v>
      </c>
      <c r="N725" s="648">
        <v>10.25</v>
      </c>
      <c r="O725" s="646" t="s">
        <v>48</v>
      </c>
      <c r="P725" s="646">
        <v>4</v>
      </c>
      <c r="Q725" s="646">
        <v>10</v>
      </c>
      <c r="R725" s="206" t="s">
        <v>49</v>
      </c>
      <c r="S725" s="206" t="s">
        <v>31</v>
      </c>
      <c r="T725" s="206">
        <v>1</v>
      </c>
      <c r="U725" s="206">
        <v>51</v>
      </c>
      <c r="V725" s="206" t="s">
        <v>50</v>
      </c>
      <c r="W725" s="206" t="s">
        <v>50</v>
      </c>
      <c r="X725" s="206" t="s">
        <v>50</v>
      </c>
      <c r="Y725" s="605"/>
    </row>
    <row r="726" spans="1:25" x14ac:dyDescent="0.25">
      <c r="A726" s="26">
        <v>43769</v>
      </c>
      <c r="B726" s="89" t="s">
        <v>876</v>
      </c>
      <c r="C726" s="89" t="s">
        <v>118</v>
      </c>
      <c r="D726" s="89">
        <v>38.054969999999997</v>
      </c>
      <c r="E726" s="89">
        <v>-122.31317</v>
      </c>
      <c r="F726" s="89" t="s">
        <v>4281</v>
      </c>
      <c r="G726" s="89" t="s">
        <v>80</v>
      </c>
      <c r="H726" s="89" t="s">
        <v>123</v>
      </c>
      <c r="I726" s="602">
        <v>0.43333333333333335</v>
      </c>
      <c r="J726" s="82">
        <v>26968.5</v>
      </c>
      <c r="K726" s="82">
        <v>15.05</v>
      </c>
      <c r="L726" s="82">
        <v>35.65</v>
      </c>
      <c r="M726" s="82">
        <v>0.62</v>
      </c>
      <c r="N726" s="82">
        <v>11.125000000000002</v>
      </c>
      <c r="O726" s="89" t="s">
        <v>48</v>
      </c>
      <c r="P726" s="89">
        <v>4</v>
      </c>
      <c r="Q726" s="89">
        <v>10</v>
      </c>
      <c r="R726" s="89" t="s">
        <v>49</v>
      </c>
      <c r="S726" s="89" t="s">
        <v>50</v>
      </c>
      <c r="T726" s="89" t="s">
        <v>50</v>
      </c>
      <c r="U726" s="89" t="s">
        <v>50</v>
      </c>
      <c r="V726" s="89" t="s">
        <v>50</v>
      </c>
      <c r="W726" s="89" t="s">
        <v>50</v>
      </c>
      <c r="X726" s="89" t="s">
        <v>50</v>
      </c>
    </row>
    <row r="727" spans="1:25" x14ac:dyDescent="0.25">
      <c r="A727" s="26">
        <v>43769</v>
      </c>
      <c r="B727" s="89" t="s">
        <v>876</v>
      </c>
      <c r="C727" s="89" t="s">
        <v>118</v>
      </c>
      <c r="D727" s="89">
        <v>38.043529999999997</v>
      </c>
      <c r="E727" s="89">
        <v>-122.31473</v>
      </c>
      <c r="F727" s="89" t="s">
        <v>4282</v>
      </c>
      <c r="G727" s="89" t="s">
        <v>80</v>
      </c>
      <c r="H727" s="89" t="s">
        <v>123</v>
      </c>
      <c r="I727" s="602">
        <v>0.48680555555555555</v>
      </c>
      <c r="J727" s="82">
        <v>29352.25</v>
      </c>
      <c r="K727" s="82">
        <v>15.2</v>
      </c>
      <c r="L727" s="82">
        <v>16.174999999999997</v>
      </c>
      <c r="M727" s="82">
        <v>0.72499999999999998</v>
      </c>
      <c r="N727" s="82">
        <v>9.1</v>
      </c>
      <c r="O727" s="89" t="s">
        <v>48</v>
      </c>
      <c r="P727" s="89">
        <v>4</v>
      </c>
      <c r="Q727" s="89">
        <v>10</v>
      </c>
      <c r="R727" s="89" t="s">
        <v>49</v>
      </c>
      <c r="S727" s="89" t="s">
        <v>50</v>
      </c>
      <c r="T727" s="89" t="s">
        <v>50</v>
      </c>
      <c r="U727" s="89" t="s">
        <v>50</v>
      </c>
      <c r="V727" s="89" t="s">
        <v>50</v>
      </c>
      <c r="W727" s="89" t="s">
        <v>50</v>
      </c>
      <c r="X727" s="89" t="s">
        <v>50</v>
      </c>
    </row>
    <row r="728" spans="1:25" x14ac:dyDescent="0.25">
      <c r="A728" s="26">
        <v>43769</v>
      </c>
      <c r="B728" s="89" t="s">
        <v>876</v>
      </c>
      <c r="C728" s="89" t="s">
        <v>126</v>
      </c>
      <c r="D728" s="89">
        <v>38.300820000000002</v>
      </c>
      <c r="E728" s="89">
        <v>-121.72984</v>
      </c>
      <c r="F728" s="89" t="s">
        <v>4283</v>
      </c>
      <c r="G728" s="89" t="s">
        <v>90</v>
      </c>
      <c r="H728" s="89" t="s">
        <v>845</v>
      </c>
      <c r="I728" s="602">
        <v>0.3527777777777778</v>
      </c>
      <c r="J728" s="82">
        <v>301.93333333333334</v>
      </c>
      <c r="K728" s="82">
        <v>11.666666666666666</v>
      </c>
      <c r="L728" s="82">
        <v>13.433333333333335</v>
      </c>
      <c r="M728" s="82">
        <v>1.3233333333333335</v>
      </c>
      <c r="N728" s="82">
        <v>3.6999999999999997</v>
      </c>
      <c r="O728" s="89" t="s">
        <v>48</v>
      </c>
      <c r="P728" s="89">
        <v>3</v>
      </c>
      <c r="Q728" s="89">
        <v>10</v>
      </c>
      <c r="R728" s="89" t="s">
        <v>49</v>
      </c>
      <c r="S728" s="89" t="s">
        <v>50</v>
      </c>
      <c r="T728" s="89" t="s">
        <v>50</v>
      </c>
      <c r="U728" s="89" t="s">
        <v>50</v>
      </c>
      <c r="V728" s="89" t="s">
        <v>50</v>
      </c>
      <c r="W728" s="89" t="s">
        <v>50</v>
      </c>
      <c r="X728" s="89" t="s">
        <v>50</v>
      </c>
      <c r="Y728" s="600" t="s">
        <v>4284</v>
      </c>
    </row>
    <row r="729" spans="1:25" s="150" customFormat="1" x14ac:dyDescent="0.25">
      <c r="A729" s="178">
        <v>43769</v>
      </c>
      <c r="B729" s="150" t="s">
        <v>876</v>
      </c>
      <c r="C729" s="150" t="s">
        <v>126</v>
      </c>
      <c r="D729" s="150">
        <v>38.26887</v>
      </c>
      <c r="E729" s="150">
        <v>-121.70263</v>
      </c>
      <c r="F729" s="150" t="s">
        <v>4285</v>
      </c>
      <c r="G729" s="150" t="s">
        <v>90</v>
      </c>
      <c r="H729" s="150" t="s">
        <v>845</v>
      </c>
      <c r="I729" s="614">
        <v>0.39652777777777781</v>
      </c>
      <c r="J729" s="197" t="s">
        <v>50</v>
      </c>
      <c r="K729" s="197" t="s">
        <v>50</v>
      </c>
      <c r="L729" s="197" t="s">
        <v>50</v>
      </c>
      <c r="M729" s="197" t="s">
        <v>50</v>
      </c>
      <c r="N729" s="197" t="s">
        <v>50</v>
      </c>
      <c r="O729" s="150" t="s">
        <v>48</v>
      </c>
      <c r="P729" s="150">
        <v>0</v>
      </c>
      <c r="Q729" s="150" t="s">
        <v>50</v>
      </c>
      <c r="R729" s="150" t="s">
        <v>50</v>
      </c>
      <c r="S729" s="150" t="s">
        <v>50</v>
      </c>
      <c r="T729" s="150" t="s">
        <v>50</v>
      </c>
      <c r="U729" s="150" t="s">
        <v>50</v>
      </c>
      <c r="V729" s="150" t="s">
        <v>50</v>
      </c>
      <c r="W729" s="150" t="s">
        <v>50</v>
      </c>
      <c r="X729" s="150" t="s">
        <v>50</v>
      </c>
      <c r="Y729" s="604" t="s">
        <v>4286</v>
      </c>
    </row>
    <row r="730" spans="1:25" x14ac:dyDescent="0.25">
      <c r="A730" s="26">
        <v>43769</v>
      </c>
      <c r="B730" s="89" t="s">
        <v>876</v>
      </c>
      <c r="C730" s="89" t="s">
        <v>126</v>
      </c>
      <c r="D730" s="89">
        <v>38.248809999999999</v>
      </c>
      <c r="E730" s="89">
        <v>-121.6936</v>
      </c>
      <c r="F730" s="89" t="s">
        <v>4287</v>
      </c>
      <c r="G730" s="89" t="s">
        <v>90</v>
      </c>
      <c r="H730" s="89" t="s">
        <v>845</v>
      </c>
      <c r="I730" s="602">
        <v>0.41388888888888892</v>
      </c>
      <c r="J730" s="82">
        <v>136.97499999999999</v>
      </c>
      <c r="K730" s="82">
        <v>13.125</v>
      </c>
      <c r="L730" s="82">
        <v>18.45</v>
      </c>
      <c r="M730" s="82">
        <v>0.79749999999999999</v>
      </c>
      <c r="N730" s="82">
        <v>4.5</v>
      </c>
      <c r="O730" s="89" t="s">
        <v>48</v>
      </c>
      <c r="P730" s="89">
        <v>4</v>
      </c>
      <c r="Q730" s="89">
        <v>10</v>
      </c>
      <c r="R730" s="89" t="s">
        <v>49</v>
      </c>
      <c r="S730" s="89" t="s">
        <v>50</v>
      </c>
      <c r="T730" s="89" t="s">
        <v>50</v>
      </c>
      <c r="U730" s="89" t="s">
        <v>50</v>
      </c>
      <c r="V730" s="89" t="s">
        <v>50</v>
      </c>
      <c r="W730" s="89" t="s">
        <v>50</v>
      </c>
      <c r="X730" s="89" t="s">
        <v>50</v>
      </c>
    </row>
    <row r="731" spans="1:25" x14ac:dyDescent="0.25">
      <c r="A731" s="26">
        <v>43769</v>
      </c>
      <c r="B731" s="89" t="s">
        <v>876</v>
      </c>
      <c r="C731" s="89" t="s">
        <v>126</v>
      </c>
      <c r="D731" s="89">
        <v>38.231119999999997</v>
      </c>
      <c r="E731" s="89">
        <v>-121.67595</v>
      </c>
      <c r="F731" s="89" t="s">
        <v>4288</v>
      </c>
      <c r="G731" s="89" t="s">
        <v>90</v>
      </c>
      <c r="H731" s="89" t="s">
        <v>845</v>
      </c>
      <c r="I731" s="602">
        <v>0.48125000000000001</v>
      </c>
      <c r="J731" s="82">
        <v>131.77500000000001</v>
      </c>
      <c r="K731" s="82">
        <v>13.424999999999999</v>
      </c>
      <c r="L731" s="82">
        <v>19.25</v>
      </c>
      <c r="M731" s="82">
        <v>0.89249999999999996</v>
      </c>
      <c r="N731" s="82">
        <v>17.324999999999999</v>
      </c>
      <c r="O731" s="89" t="s">
        <v>48</v>
      </c>
      <c r="P731" s="89">
        <v>4</v>
      </c>
      <c r="Q731" s="89">
        <v>10</v>
      </c>
      <c r="R731" s="89" t="s">
        <v>49</v>
      </c>
      <c r="S731" s="89" t="s">
        <v>50</v>
      </c>
      <c r="T731" s="89" t="s">
        <v>50</v>
      </c>
      <c r="U731" s="89" t="s">
        <v>50</v>
      </c>
      <c r="V731" s="89" t="s">
        <v>50</v>
      </c>
      <c r="W731" s="89" t="s">
        <v>50</v>
      </c>
      <c r="X731" s="89" t="s">
        <v>50</v>
      </c>
    </row>
    <row r="732" spans="1:25" x14ac:dyDescent="0.25">
      <c r="A732" s="26">
        <v>43769</v>
      </c>
      <c r="B732" s="89" t="s">
        <v>876</v>
      </c>
      <c r="C732" s="89" t="s">
        <v>95</v>
      </c>
      <c r="D732" s="89">
        <v>38.043050000000001</v>
      </c>
      <c r="E732" s="89">
        <v>-121.5312</v>
      </c>
      <c r="F732" s="89" t="s">
        <v>4289</v>
      </c>
      <c r="G732" s="89" t="s">
        <v>46</v>
      </c>
      <c r="H732" s="89" t="s">
        <v>115</v>
      </c>
      <c r="I732" s="602">
        <v>0.34652777777777777</v>
      </c>
      <c r="J732" s="82">
        <v>203.85000000000002</v>
      </c>
      <c r="K732" s="82">
        <v>14.924999999999999</v>
      </c>
      <c r="L732" s="82">
        <v>5.6625000000000005</v>
      </c>
      <c r="M732" s="82">
        <v>1.3875</v>
      </c>
      <c r="N732" s="82">
        <v>10.775</v>
      </c>
      <c r="O732" s="89" t="s">
        <v>48</v>
      </c>
      <c r="P732" s="89">
        <v>4</v>
      </c>
      <c r="Q732" s="89">
        <v>10</v>
      </c>
      <c r="R732" s="89" t="s">
        <v>49</v>
      </c>
      <c r="S732" s="89" t="s">
        <v>50</v>
      </c>
      <c r="T732" s="89" t="s">
        <v>50</v>
      </c>
      <c r="U732" s="89" t="s">
        <v>50</v>
      </c>
      <c r="V732" s="89" t="s">
        <v>50</v>
      </c>
      <c r="W732" s="89" t="s">
        <v>50</v>
      </c>
      <c r="X732" s="89" t="s">
        <v>50</v>
      </c>
    </row>
    <row r="733" spans="1:25" x14ac:dyDescent="0.25">
      <c r="A733" s="26">
        <v>43769</v>
      </c>
      <c r="B733" s="89" t="s">
        <v>876</v>
      </c>
      <c r="C733" s="89" t="s">
        <v>95</v>
      </c>
      <c r="D733" s="89">
        <v>38.021230000000003</v>
      </c>
      <c r="E733" s="89">
        <v>-121.77719</v>
      </c>
      <c r="F733" s="89" t="s">
        <v>4290</v>
      </c>
      <c r="G733" s="89" t="s">
        <v>27</v>
      </c>
      <c r="H733" s="89" t="s">
        <v>95</v>
      </c>
      <c r="I733" s="602">
        <v>0.4284722222222222</v>
      </c>
      <c r="J733" s="100">
        <v>240.89999999999998</v>
      </c>
      <c r="K733" s="100">
        <v>15.149999999999999</v>
      </c>
      <c r="L733" s="100">
        <v>10.875</v>
      </c>
      <c r="M733" s="100">
        <v>0.92749999999999999</v>
      </c>
      <c r="N733" s="100">
        <v>3.8</v>
      </c>
      <c r="O733" s="98" t="s">
        <v>48</v>
      </c>
      <c r="P733" s="98">
        <v>4</v>
      </c>
      <c r="Q733" s="98">
        <v>10</v>
      </c>
      <c r="R733" s="89" t="s">
        <v>49</v>
      </c>
      <c r="S733" s="89" t="s">
        <v>50</v>
      </c>
      <c r="T733" s="89" t="s">
        <v>50</v>
      </c>
      <c r="U733" s="89" t="s">
        <v>50</v>
      </c>
      <c r="V733" s="89" t="s">
        <v>50</v>
      </c>
      <c r="W733" s="89" t="s">
        <v>50</v>
      </c>
      <c r="X733" s="89" t="s">
        <v>50</v>
      </c>
    </row>
    <row r="734" spans="1:25" s="362" customFormat="1" x14ac:dyDescent="0.25">
      <c r="A734" s="360">
        <v>43769</v>
      </c>
      <c r="B734" s="362" t="s">
        <v>876</v>
      </c>
      <c r="C734" s="362" t="s">
        <v>95</v>
      </c>
      <c r="D734" s="362">
        <v>38.02225</v>
      </c>
      <c r="E734" s="362">
        <v>-121.71266</v>
      </c>
      <c r="F734" s="362" t="s">
        <v>4291</v>
      </c>
      <c r="G734" s="362" t="s">
        <v>27</v>
      </c>
      <c r="H734" s="362" t="s">
        <v>95</v>
      </c>
      <c r="I734" s="618">
        <v>0.48472222222222222</v>
      </c>
      <c r="J734" s="364">
        <v>148.125</v>
      </c>
      <c r="K734" s="364">
        <v>14.8</v>
      </c>
      <c r="L734" s="364">
        <v>4.8925000000000001</v>
      </c>
      <c r="M734" s="364">
        <v>1.71</v>
      </c>
      <c r="N734" s="364">
        <v>5.85</v>
      </c>
      <c r="O734" s="362" t="s">
        <v>48</v>
      </c>
      <c r="P734" s="362">
        <v>4</v>
      </c>
      <c r="Q734" s="362">
        <v>10</v>
      </c>
      <c r="R734" s="362" t="s">
        <v>49</v>
      </c>
      <c r="S734" s="362" t="s">
        <v>50</v>
      </c>
      <c r="T734" s="362" t="s">
        <v>50</v>
      </c>
      <c r="U734" s="362" t="s">
        <v>50</v>
      </c>
      <c r="V734" s="362" t="s">
        <v>50</v>
      </c>
      <c r="W734" s="362" t="s">
        <v>50</v>
      </c>
      <c r="X734" s="362" t="s">
        <v>50</v>
      </c>
      <c r="Y734" s="603" t="s">
        <v>4292</v>
      </c>
    </row>
    <row r="735" spans="1:25" x14ac:dyDescent="0.25">
      <c r="A735" s="26">
        <v>43773</v>
      </c>
      <c r="B735" s="89" t="s">
        <v>43</v>
      </c>
      <c r="C735" s="89" t="s">
        <v>126</v>
      </c>
      <c r="D735" s="89">
        <v>38.232779999999998</v>
      </c>
      <c r="E735" s="89">
        <v>-121.6771</v>
      </c>
      <c r="F735" s="89" t="s">
        <v>4293</v>
      </c>
      <c r="G735" s="89" t="s">
        <v>90</v>
      </c>
      <c r="H735" s="89" t="s">
        <v>845</v>
      </c>
      <c r="I735" s="602">
        <v>0.32013888888888892</v>
      </c>
      <c r="J735" s="82">
        <v>135.9</v>
      </c>
      <c r="K735" s="82">
        <v>13.5</v>
      </c>
      <c r="L735" s="82">
        <v>9.2074999999999996</v>
      </c>
      <c r="M735" s="82">
        <v>1.3699999999999999</v>
      </c>
      <c r="N735" s="82">
        <v>14.35</v>
      </c>
      <c r="O735" s="89" t="s">
        <v>48</v>
      </c>
      <c r="P735" s="89">
        <v>4</v>
      </c>
      <c r="Q735" s="89">
        <v>10</v>
      </c>
      <c r="R735" s="89" t="s">
        <v>64</v>
      </c>
      <c r="S735" s="89" t="s">
        <v>50</v>
      </c>
      <c r="T735" s="89" t="s">
        <v>50</v>
      </c>
      <c r="U735" s="89" t="s">
        <v>50</v>
      </c>
      <c r="V735" s="89" t="s">
        <v>50</v>
      </c>
      <c r="W735" s="89" t="s">
        <v>50</v>
      </c>
      <c r="X735" s="89" t="s">
        <v>50</v>
      </c>
    </row>
    <row r="736" spans="1:25" x14ac:dyDescent="0.25">
      <c r="A736" s="26">
        <v>43773</v>
      </c>
      <c r="B736" s="89" t="s">
        <v>43</v>
      </c>
      <c r="C736" s="89" t="s">
        <v>126</v>
      </c>
      <c r="D736" s="89">
        <v>38.31015</v>
      </c>
      <c r="E736" s="89">
        <v>-121.65647</v>
      </c>
      <c r="F736" s="89" t="s">
        <v>4294</v>
      </c>
      <c r="G736" s="89" t="s">
        <v>90</v>
      </c>
      <c r="H736" s="89" t="s">
        <v>845</v>
      </c>
      <c r="I736" s="602">
        <v>0.37777777777777777</v>
      </c>
      <c r="J736" s="82">
        <v>147.42500000000001</v>
      </c>
      <c r="K736" s="82">
        <v>13.7</v>
      </c>
      <c r="L736" s="82">
        <v>13.75</v>
      </c>
      <c r="M736" s="82">
        <v>1.2475000000000001</v>
      </c>
      <c r="N736" s="82">
        <v>4.1749999999999998</v>
      </c>
      <c r="O736" s="89" t="s">
        <v>48</v>
      </c>
      <c r="P736" s="89">
        <v>4</v>
      </c>
      <c r="Q736" s="89">
        <v>10</v>
      </c>
      <c r="R736" s="89" t="s">
        <v>64</v>
      </c>
      <c r="S736" s="89" t="s">
        <v>50</v>
      </c>
      <c r="T736" s="89" t="s">
        <v>50</v>
      </c>
      <c r="U736" s="89" t="s">
        <v>50</v>
      </c>
      <c r="V736" s="89" t="s">
        <v>50</v>
      </c>
      <c r="W736" s="89" t="s">
        <v>50</v>
      </c>
      <c r="X736" s="89" t="s">
        <v>50</v>
      </c>
      <c r="Y736" s="600" t="s">
        <v>3926</v>
      </c>
    </row>
    <row r="737" spans="1:25" x14ac:dyDescent="0.25">
      <c r="A737" s="26">
        <v>43773</v>
      </c>
      <c r="B737" s="89" t="s">
        <v>43</v>
      </c>
      <c r="C737" s="89" t="s">
        <v>126</v>
      </c>
      <c r="D737" s="89">
        <v>38.249389999999998</v>
      </c>
      <c r="E737" s="89">
        <v>-121.71155</v>
      </c>
      <c r="F737" s="89" t="s">
        <v>4295</v>
      </c>
      <c r="G737" s="89" t="s">
        <v>90</v>
      </c>
      <c r="H737" s="89" t="s">
        <v>845</v>
      </c>
      <c r="I737" s="602">
        <v>0.44097222222222227</v>
      </c>
      <c r="J737" s="82">
        <v>142.32499999999999</v>
      </c>
      <c r="K737" s="82">
        <v>13.625</v>
      </c>
      <c r="L737" s="82">
        <v>10.327499999999999</v>
      </c>
      <c r="M737" s="82">
        <v>1.7024999999999999</v>
      </c>
      <c r="N737" s="82">
        <v>3.875</v>
      </c>
      <c r="O737" s="89" t="s">
        <v>48</v>
      </c>
      <c r="P737" s="89">
        <v>4</v>
      </c>
      <c r="Q737" s="89">
        <v>10</v>
      </c>
      <c r="R737" s="89" t="s">
        <v>64</v>
      </c>
      <c r="S737" s="89" t="s">
        <v>50</v>
      </c>
      <c r="T737" s="89" t="s">
        <v>50</v>
      </c>
      <c r="U737" s="89" t="s">
        <v>50</v>
      </c>
      <c r="V737" s="89" t="s">
        <v>50</v>
      </c>
      <c r="W737" s="89" t="s">
        <v>50</v>
      </c>
      <c r="X737" s="89" t="s">
        <v>50</v>
      </c>
      <c r="Y737" s="600" t="s">
        <v>4296</v>
      </c>
    </row>
    <row r="738" spans="1:25" x14ac:dyDescent="0.25">
      <c r="A738" s="26">
        <v>43773</v>
      </c>
      <c r="B738" s="89" t="s">
        <v>43</v>
      </c>
      <c r="C738" s="89" t="s">
        <v>95</v>
      </c>
      <c r="D738" s="89">
        <v>38.102760000000004</v>
      </c>
      <c r="E738" s="89">
        <v>-121.58951999999999</v>
      </c>
      <c r="F738" s="89" t="s">
        <v>4297</v>
      </c>
      <c r="G738" s="89" t="s">
        <v>46</v>
      </c>
      <c r="H738" s="89" t="s">
        <v>115</v>
      </c>
      <c r="I738" s="602">
        <v>0.33194444444444443</v>
      </c>
      <c r="J738" s="82">
        <v>168.57499999999999</v>
      </c>
      <c r="K738" s="82">
        <v>14.225000000000001</v>
      </c>
      <c r="L738" s="82">
        <v>3.5375000000000001</v>
      </c>
      <c r="M738" s="82" t="s">
        <v>1233</v>
      </c>
      <c r="N738" s="82">
        <v>5.3</v>
      </c>
      <c r="O738" s="89" t="s">
        <v>48</v>
      </c>
      <c r="P738" s="89">
        <v>4</v>
      </c>
      <c r="Q738" s="89">
        <v>10</v>
      </c>
      <c r="R738" s="89" t="s">
        <v>64</v>
      </c>
      <c r="S738" s="89" t="s">
        <v>50</v>
      </c>
      <c r="T738" s="89" t="s">
        <v>50</v>
      </c>
      <c r="U738" s="89" t="s">
        <v>50</v>
      </c>
      <c r="V738" s="89" t="s">
        <v>50</v>
      </c>
      <c r="W738" s="89" t="s">
        <v>50</v>
      </c>
      <c r="X738" s="89" t="s">
        <v>50</v>
      </c>
    </row>
    <row r="739" spans="1:25" x14ac:dyDescent="0.25">
      <c r="A739" s="26">
        <v>43773</v>
      </c>
      <c r="B739" s="89" t="s">
        <v>43</v>
      </c>
      <c r="C739" s="89" t="s">
        <v>95</v>
      </c>
      <c r="D739" s="89">
        <v>38.091439999999999</v>
      </c>
      <c r="E739" s="89">
        <v>-121.67307</v>
      </c>
      <c r="F739" s="89" t="s">
        <v>4298</v>
      </c>
      <c r="G739" s="89" t="s">
        <v>46</v>
      </c>
      <c r="H739" s="89" t="s">
        <v>908</v>
      </c>
      <c r="I739" s="602">
        <v>0.38472222222222219</v>
      </c>
      <c r="J739" s="82">
        <v>161.52500000000001</v>
      </c>
      <c r="K739" s="82">
        <v>14.8</v>
      </c>
      <c r="L739" s="82">
        <v>11.522500000000001</v>
      </c>
      <c r="M739" s="82">
        <v>1.1974999999999998</v>
      </c>
      <c r="N739" s="82">
        <v>5.65</v>
      </c>
      <c r="O739" s="89" t="s">
        <v>48</v>
      </c>
      <c r="P739" s="89">
        <v>4</v>
      </c>
      <c r="Q739" s="89">
        <v>10</v>
      </c>
      <c r="R739" s="89" t="s">
        <v>64</v>
      </c>
      <c r="S739" s="89" t="s">
        <v>50</v>
      </c>
      <c r="T739" s="89" t="s">
        <v>50</v>
      </c>
      <c r="U739" s="89" t="s">
        <v>50</v>
      </c>
      <c r="V739" s="89" t="s">
        <v>50</v>
      </c>
      <c r="W739" s="89" t="s">
        <v>50</v>
      </c>
      <c r="X739" s="89" t="s">
        <v>50</v>
      </c>
      <c r="Y739" s="600" t="s">
        <v>4299</v>
      </c>
    </row>
    <row r="740" spans="1:25" x14ac:dyDescent="0.25">
      <c r="A740" s="26">
        <v>43773</v>
      </c>
      <c r="B740" s="89" t="s">
        <v>43</v>
      </c>
      <c r="C740" s="89" t="s">
        <v>95</v>
      </c>
      <c r="D740" s="89">
        <v>38.049700000000001</v>
      </c>
      <c r="E740" s="89">
        <v>-121.69240000000001</v>
      </c>
      <c r="F740" s="89" t="s">
        <v>4300</v>
      </c>
      <c r="G740" s="89" t="s">
        <v>46</v>
      </c>
      <c r="H740" s="89" t="s">
        <v>908</v>
      </c>
      <c r="I740" s="602">
        <v>0.44097222222222227</v>
      </c>
      <c r="J740" s="82">
        <v>169.3</v>
      </c>
      <c r="K740" s="82">
        <v>14.9</v>
      </c>
      <c r="L740" s="82">
        <v>8.9049999999999994</v>
      </c>
      <c r="M740" s="82">
        <v>1.2749999999999999</v>
      </c>
      <c r="N740" s="82">
        <v>13.124999999999998</v>
      </c>
      <c r="O740" s="89" t="s">
        <v>48</v>
      </c>
      <c r="P740" s="89">
        <v>4</v>
      </c>
      <c r="Q740" s="89">
        <v>10</v>
      </c>
      <c r="R740" s="89" t="s">
        <v>64</v>
      </c>
      <c r="S740" s="89" t="s">
        <v>50</v>
      </c>
      <c r="T740" s="89" t="s">
        <v>50</v>
      </c>
      <c r="U740" s="89" t="s">
        <v>50</v>
      </c>
      <c r="V740" s="89" t="s">
        <v>50</v>
      </c>
      <c r="W740" s="89" t="s">
        <v>50</v>
      </c>
      <c r="X740" s="89" t="s">
        <v>50</v>
      </c>
      <c r="Y740" s="600" t="s">
        <v>4301</v>
      </c>
    </row>
    <row r="741" spans="1:25" x14ac:dyDescent="0.25">
      <c r="A741" s="26">
        <v>43773</v>
      </c>
      <c r="B741" s="89" t="s">
        <v>43</v>
      </c>
      <c r="C741" s="89" t="s">
        <v>118</v>
      </c>
      <c r="D741" s="89">
        <v>38.162190000000002</v>
      </c>
      <c r="E741" s="89">
        <v>-122.29386</v>
      </c>
      <c r="F741" s="89" t="s">
        <v>4302</v>
      </c>
      <c r="G741" s="89" t="s">
        <v>80</v>
      </c>
      <c r="H741" s="89" t="s">
        <v>191</v>
      </c>
      <c r="I741" s="602">
        <v>0.4069444444444445</v>
      </c>
      <c r="J741" s="82">
        <v>21761.5</v>
      </c>
      <c r="K741" s="82">
        <v>14.774999999999999</v>
      </c>
      <c r="L741" s="82">
        <v>15.75</v>
      </c>
      <c r="M741" s="82">
        <v>0.73</v>
      </c>
      <c r="N741" s="82">
        <v>6.7750000000000004</v>
      </c>
      <c r="O741" s="89" t="s">
        <v>48</v>
      </c>
      <c r="P741" s="89">
        <v>4</v>
      </c>
      <c r="Q741" s="89">
        <v>10</v>
      </c>
      <c r="R741" s="89" t="s">
        <v>49</v>
      </c>
      <c r="S741" s="89" t="s">
        <v>50</v>
      </c>
      <c r="T741" s="89" t="s">
        <v>50</v>
      </c>
      <c r="U741" s="89" t="s">
        <v>50</v>
      </c>
      <c r="V741" s="89" t="s">
        <v>50</v>
      </c>
      <c r="W741" s="89" t="s">
        <v>50</v>
      </c>
      <c r="X741" s="89" t="s">
        <v>50</v>
      </c>
      <c r="Y741" s="600" t="s">
        <v>4303</v>
      </c>
    </row>
    <row r="742" spans="1:25" x14ac:dyDescent="0.25">
      <c r="A742" s="26">
        <v>43773</v>
      </c>
      <c r="B742" s="89" t="s">
        <v>43</v>
      </c>
      <c r="C742" s="89" t="s">
        <v>118</v>
      </c>
      <c r="D742" s="89">
        <v>38.061019999999999</v>
      </c>
      <c r="E742" s="89">
        <v>-122.28552999999999</v>
      </c>
      <c r="F742" s="89" t="s">
        <v>4304</v>
      </c>
      <c r="G742" s="89" t="s">
        <v>80</v>
      </c>
      <c r="H742" s="89" t="s">
        <v>123</v>
      </c>
      <c r="I742" s="602">
        <v>0.50069444444444444</v>
      </c>
      <c r="J742" s="82">
        <v>28465.5</v>
      </c>
      <c r="K742" s="82">
        <v>14.6</v>
      </c>
      <c r="L742" s="82">
        <v>12.3</v>
      </c>
      <c r="M742" s="82">
        <v>0.79749999999999988</v>
      </c>
      <c r="N742" s="82">
        <v>10.324999999999999</v>
      </c>
      <c r="O742" s="89" t="s">
        <v>48</v>
      </c>
      <c r="P742" s="89">
        <v>4</v>
      </c>
      <c r="Q742" s="89">
        <v>10</v>
      </c>
      <c r="R742" s="89" t="s">
        <v>49</v>
      </c>
      <c r="S742" s="89" t="s">
        <v>50</v>
      </c>
      <c r="T742" s="89" t="s">
        <v>50</v>
      </c>
      <c r="U742" s="89" t="s">
        <v>50</v>
      </c>
      <c r="V742" s="89" t="s">
        <v>50</v>
      </c>
      <c r="W742" s="89" t="s">
        <v>50</v>
      </c>
      <c r="X742" s="89" t="s">
        <v>50</v>
      </c>
    </row>
    <row r="743" spans="1:25" x14ac:dyDescent="0.25">
      <c r="A743" s="194">
        <v>43773</v>
      </c>
      <c r="B743" s="98" t="s">
        <v>43</v>
      </c>
      <c r="C743" s="98" t="s">
        <v>118</v>
      </c>
      <c r="D743" s="98">
        <v>38.060859999999998</v>
      </c>
      <c r="E743" s="98">
        <v>-122.31357</v>
      </c>
      <c r="F743" s="98" t="s">
        <v>4305</v>
      </c>
      <c r="G743" s="98" t="s">
        <v>80</v>
      </c>
      <c r="H743" s="98" t="s">
        <v>123</v>
      </c>
      <c r="I743" s="621">
        <v>0.56111111111111112</v>
      </c>
      <c r="J743" s="100">
        <v>30128.5</v>
      </c>
      <c r="K743" s="100">
        <v>14.75</v>
      </c>
      <c r="L743" s="100">
        <v>12.024999999999999</v>
      </c>
      <c r="M743" s="100">
        <v>0.79499999999999993</v>
      </c>
      <c r="N743" s="100">
        <v>4.6749999999999998</v>
      </c>
      <c r="O743" s="98" t="s">
        <v>48</v>
      </c>
      <c r="P743" s="98">
        <v>4</v>
      </c>
      <c r="Q743" s="98">
        <v>10</v>
      </c>
      <c r="R743" s="98" t="s">
        <v>49</v>
      </c>
      <c r="S743" s="98" t="s">
        <v>50</v>
      </c>
      <c r="T743" s="98" t="s">
        <v>50</v>
      </c>
      <c r="U743" s="98" t="s">
        <v>50</v>
      </c>
      <c r="V743" s="98" t="s">
        <v>50</v>
      </c>
      <c r="W743" s="98" t="s">
        <v>50</v>
      </c>
      <c r="X743" s="98" t="s">
        <v>50</v>
      </c>
      <c r="Y743" s="622"/>
    </row>
    <row r="744" spans="1:25" x14ac:dyDescent="0.25">
      <c r="A744" s="26">
        <v>43774</v>
      </c>
      <c r="B744" s="89" t="s">
        <v>70</v>
      </c>
      <c r="C744" s="89" t="s">
        <v>126</v>
      </c>
      <c r="D744" s="89">
        <v>38.441859999999998</v>
      </c>
      <c r="E744" s="89">
        <v>-121.60272000000001</v>
      </c>
      <c r="F744" s="89" t="s">
        <v>4306</v>
      </c>
      <c r="G744" s="89" t="s">
        <v>90</v>
      </c>
      <c r="H744" s="89" t="s">
        <v>845</v>
      </c>
      <c r="I744" s="602">
        <v>0.34930555555555554</v>
      </c>
      <c r="J744" s="82">
        <v>227.67500000000001</v>
      </c>
      <c r="K744" s="82">
        <v>12.625</v>
      </c>
      <c r="L744" s="82">
        <v>49.974999999999994</v>
      </c>
      <c r="M744" s="82">
        <v>0.36</v>
      </c>
      <c r="N744" s="82">
        <v>2.6749999999999998</v>
      </c>
      <c r="O744" s="89" t="s">
        <v>48</v>
      </c>
      <c r="P744" s="89">
        <v>4</v>
      </c>
      <c r="Q744" s="89">
        <v>10</v>
      </c>
      <c r="R744" s="89" t="s">
        <v>64</v>
      </c>
      <c r="S744" s="89" t="s">
        <v>50</v>
      </c>
      <c r="T744" s="89" t="s">
        <v>50</v>
      </c>
      <c r="U744" s="89" t="s">
        <v>50</v>
      </c>
      <c r="V744" s="89" t="s">
        <v>50</v>
      </c>
      <c r="W744" s="89" t="s">
        <v>50</v>
      </c>
      <c r="X744" s="89" t="s">
        <v>50</v>
      </c>
    </row>
    <row r="745" spans="1:25" x14ac:dyDescent="0.25">
      <c r="A745" s="26">
        <v>43774</v>
      </c>
      <c r="B745" s="89" t="s">
        <v>70</v>
      </c>
      <c r="C745" s="89" t="s">
        <v>126</v>
      </c>
      <c r="D745" s="89">
        <v>38.256349999999998</v>
      </c>
      <c r="E745" s="89">
        <v>-121.69071</v>
      </c>
      <c r="F745" s="89" t="s">
        <v>4307</v>
      </c>
      <c r="G745" s="89" t="s">
        <v>90</v>
      </c>
      <c r="H745" s="89" t="s">
        <v>845</v>
      </c>
      <c r="I745" s="602">
        <v>0.45833333333333331</v>
      </c>
      <c r="J745" s="82">
        <v>143.44999999999999</v>
      </c>
      <c r="K745" s="82">
        <v>13.525</v>
      </c>
      <c r="L745" s="82">
        <v>14.425000000000001</v>
      </c>
      <c r="M745" s="82">
        <v>1.645</v>
      </c>
      <c r="N745" s="82">
        <v>8.15</v>
      </c>
      <c r="O745" s="89" t="s">
        <v>48</v>
      </c>
      <c r="P745" s="89">
        <v>4</v>
      </c>
      <c r="Q745" s="89">
        <v>10</v>
      </c>
      <c r="R745" s="89" t="s">
        <v>64</v>
      </c>
      <c r="S745" s="89" t="s">
        <v>50</v>
      </c>
      <c r="T745" s="89" t="s">
        <v>50</v>
      </c>
      <c r="U745" s="89" t="s">
        <v>50</v>
      </c>
      <c r="V745" s="89" t="s">
        <v>50</v>
      </c>
      <c r="W745" s="89" t="s">
        <v>50</v>
      </c>
      <c r="X745" s="89" t="s">
        <v>50</v>
      </c>
      <c r="Y745" s="600" t="s">
        <v>3924</v>
      </c>
    </row>
    <row r="746" spans="1:25" x14ac:dyDescent="0.25">
      <c r="A746" s="26">
        <v>43774</v>
      </c>
      <c r="B746" s="89" t="s">
        <v>70</v>
      </c>
      <c r="C746" s="89" t="s">
        <v>126</v>
      </c>
      <c r="D746" s="89">
        <v>38.25806</v>
      </c>
      <c r="E746" s="89">
        <v>-121.72763</v>
      </c>
      <c r="F746" s="89" t="s">
        <v>4308</v>
      </c>
      <c r="G746" s="89" t="s">
        <v>90</v>
      </c>
      <c r="H746" s="89" t="s">
        <v>845</v>
      </c>
      <c r="I746" s="602">
        <v>0.51180555555555551</v>
      </c>
      <c r="J746" s="82">
        <v>157.375</v>
      </c>
      <c r="K746" s="82">
        <v>13.575000000000001</v>
      </c>
      <c r="L746" s="82">
        <v>9.1149999999999984</v>
      </c>
      <c r="M746" s="82">
        <v>1.615</v>
      </c>
      <c r="N746" s="82">
        <v>6.5500000000000007</v>
      </c>
      <c r="O746" s="89" t="s">
        <v>48</v>
      </c>
      <c r="P746" s="89">
        <v>4</v>
      </c>
      <c r="Q746" s="89">
        <v>10</v>
      </c>
      <c r="R746" s="89" t="s">
        <v>49</v>
      </c>
      <c r="S746" s="89" t="s">
        <v>50</v>
      </c>
      <c r="T746" s="89" t="s">
        <v>50</v>
      </c>
      <c r="U746" s="89" t="s">
        <v>50</v>
      </c>
      <c r="V746" s="89" t="s">
        <v>50</v>
      </c>
      <c r="W746" s="89" t="s">
        <v>50</v>
      </c>
      <c r="X746" s="89" t="s">
        <v>50</v>
      </c>
    </row>
    <row r="747" spans="1:25" s="150" customFormat="1" x14ac:dyDescent="0.25">
      <c r="A747" s="178">
        <v>43774</v>
      </c>
      <c r="B747" s="150" t="s">
        <v>70</v>
      </c>
      <c r="C747" s="150" t="s">
        <v>126</v>
      </c>
      <c r="D747" s="150">
        <v>38.268700000000003</v>
      </c>
      <c r="E747" s="150">
        <v>-121.70336</v>
      </c>
      <c r="F747" s="150" t="s">
        <v>4309</v>
      </c>
      <c r="G747" s="150" t="s">
        <v>90</v>
      </c>
      <c r="H747" s="150" t="s">
        <v>845</v>
      </c>
      <c r="I747" s="614">
        <v>0.45208333333333334</v>
      </c>
      <c r="J747" s="197" t="s">
        <v>50</v>
      </c>
      <c r="K747" s="197" t="s">
        <v>50</v>
      </c>
      <c r="L747" s="197" t="s">
        <v>50</v>
      </c>
      <c r="M747" s="197" t="s">
        <v>50</v>
      </c>
      <c r="N747" s="197" t="s">
        <v>50</v>
      </c>
      <c r="O747" s="150" t="s">
        <v>48</v>
      </c>
      <c r="P747" s="150">
        <v>0</v>
      </c>
      <c r="Q747" s="150" t="s">
        <v>50</v>
      </c>
      <c r="R747" s="150" t="s">
        <v>50</v>
      </c>
      <c r="S747" s="150" t="s">
        <v>50</v>
      </c>
      <c r="T747" s="150" t="s">
        <v>50</v>
      </c>
      <c r="U747" s="150" t="s">
        <v>50</v>
      </c>
      <c r="V747" s="150" t="s">
        <v>50</v>
      </c>
      <c r="W747" s="150" t="s">
        <v>50</v>
      </c>
      <c r="X747" s="150" t="s">
        <v>50</v>
      </c>
      <c r="Y747" s="604" t="s">
        <v>4124</v>
      </c>
    </row>
    <row r="748" spans="1:25" s="150" customFormat="1" x14ac:dyDescent="0.25">
      <c r="A748" s="178">
        <v>43774</v>
      </c>
      <c r="B748" s="150" t="s">
        <v>70</v>
      </c>
      <c r="C748" s="150" t="s">
        <v>126</v>
      </c>
      <c r="D748" s="150">
        <v>38.283709999999999</v>
      </c>
      <c r="E748" s="150">
        <v>-121.68078</v>
      </c>
      <c r="F748" s="150" t="s">
        <v>4310</v>
      </c>
      <c r="G748" s="150" t="s">
        <v>90</v>
      </c>
      <c r="H748" s="150" t="s">
        <v>845</v>
      </c>
      <c r="I748" s="614">
        <v>0.50624999999999998</v>
      </c>
      <c r="J748" s="197" t="s">
        <v>50</v>
      </c>
      <c r="K748" s="197" t="s">
        <v>50</v>
      </c>
      <c r="L748" s="197" t="s">
        <v>50</v>
      </c>
      <c r="M748" s="197" t="s">
        <v>50</v>
      </c>
      <c r="N748" s="197" t="s">
        <v>50</v>
      </c>
      <c r="O748" s="150" t="s">
        <v>48</v>
      </c>
      <c r="P748" s="150">
        <v>0</v>
      </c>
      <c r="Q748" s="150" t="s">
        <v>50</v>
      </c>
      <c r="R748" s="150" t="s">
        <v>50</v>
      </c>
      <c r="S748" s="150" t="s">
        <v>50</v>
      </c>
      <c r="T748" s="150" t="s">
        <v>50</v>
      </c>
      <c r="U748" s="150" t="s">
        <v>50</v>
      </c>
      <c r="V748" s="150" t="s">
        <v>50</v>
      </c>
      <c r="W748" s="150" t="s">
        <v>50</v>
      </c>
      <c r="X748" s="150" t="s">
        <v>50</v>
      </c>
      <c r="Y748" s="604" t="s">
        <v>4124</v>
      </c>
    </row>
    <row r="749" spans="1:25" x14ac:dyDescent="0.25">
      <c r="A749" s="26">
        <v>43774</v>
      </c>
      <c r="B749" s="89" t="s">
        <v>70</v>
      </c>
      <c r="C749" s="89" t="s">
        <v>78</v>
      </c>
      <c r="D749" s="89">
        <v>38.092529999999996</v>
      </c>
      <c r="E749" s="89">
        <v>-122.01725</v>
      </c>
      <c r="F749" s="89" t="s">
        <v>4311</v>
      </c>
      <c r="G749" s="89" t="s">
        <v>27</v>
      </c>
      <c r="H749" s="89" t="s">
        <v>86</v>
      </c>
      <c r="I749" s="602">
        <v>0.3527777777777778</v>
      </c>
      <c r="J749" s="82">
        <v>9806.25</v>
      </c>
      <c r="K749" s="82">
        <v>14.600000000000001</v>
      </c>
      <c r="L749" s="82">
        <v>20.574999999999999</v>
      </c>
      <c r="M749" s="82">
        <v>0.505</v>
      </c>
      <c r="N749" s="82">
        <v>9.1750000000000007</v>
      </c>
      <c r="O749" s="89" t="s">
        <v>48</v>
      </c>
      <c r="P749" s="89">
        <v>4</v>
      </c>
      <c r="Q749" s="89">
        <v>10</v>
      </c>
      <c r="R749" s="89" t="s">
        <v>64</v>
      </c>
      <c r="S749" s="89" t="s">
        <v>50</v>
      </c>
      <c r="T749" s="89" t="s">
        <v>50</v>
      </c>
      <c r="U749" s="89" t="s">
        <v>50</v>
      </c>
      <c r="V749" s="89" t="s">
        <v>50</v>
      </c>
      <c r="W749" s="89" t="s">
        <v>50</v>
      </c>
      <c r="X749" s="89" t="s">
        <v>50</v>
      </c>
    </row>
    <row r="750" spans="1:25" x14ac:dyDescent="0.25">
      <c r="A750" s="26">
        <v>43774</v>
      </c>
      <c r="B750" s="89" t="s">
        <v>70</v>
      </c>
      <c r="C750" s="89" t="s">
        <v>78</v>
      </c>
      <c r="D750" s="89">
        <v>38.102089999999997</v>
      </c>
      <c r="E750" s="89">
        <v>-122.0335</v>
      </c>
      <c r="F750" s="89" t="s">
        <v>4312</v>
      </c>
      <c r="G750" s="89" t="s">
        <v>27</v>
      </c>
      <c r="H750" s="89" t="s">
        <v>86</v>
      </c>
      <c r="I750" s="602">
        <v>0.40833333333333338</v>
      </c>
      <c r="J750" s="82">
        <v>14387</v>
      </c>
      <c r="K750" s="82">
        <v>15.05</v>
      </c>
      <c r="L750" s="82">
        <v>20.75</v>
      </c>
      <c r="M750" s="82">
        <v>0.50249999999999995</v>
      </c>
      <c r="N750" s="82">
        <v>5.3749999999999991</v>
      </c>
      <c r="O750" s="89" t="s">
        <v>48</v>
      </c>
      <c r="P750" s="89">
        <v>4</v>
      </c>
      <c r="Q750" s="89">
        <v>10</v>
      </c>
      <c r="R750" s="89" t="s">
        <v>64</v>
      </c>
      <c r="S750" s="89" t="s">
        <v>50</v>
      </c>
      <c r="T750" s="89" t="s">
        <v>50</v>
      </c>
      <c r="U750" s="89" t="s">
        <v>50</v>
      </c>
      <c r="V750" s="89" t="s">
        <v>50</v>
      </c>
      <c r="W750" s="89" t="s">
        <v>50</v>
      </c>
      <c r="X750" s="89" t="s">
        <v>50</v>
      </c>
    </row>
    <row r="751" spans="1:25" x14ac:dyDescent="0.25">
      <c r="A751" s="26">
        <v>43774</v>
      </c>
      <c r="B751" s="89" t="s">
        <v>70</v>
      </c>
      <c r="C751" s="89" t="s">
        <v>78</v>
      </c>
      <c r="D751" s="89">
        <v>38.050939999999997</v>
      </c>
      <c r="E751" s="89">
        <v>-122.09171000000001</v>
      </c>
      <c r="F751" s="89" t="s">
        <v>4313</v>
      </c>
      <c r="G751" s="89" t="s">
        <v>80</v>
      </c>
      <c r="H751" s="89" t="s">
        <v>81</v>
      </c>
      <c r="I751" s="602">
        <v>0.46527777777777773</v>
      </c>
      <c r="J751" s="82">
        <v>24183.75</v>
      </c>
      <c r="K751" s="82">
        <v>15.149999999999999</v>
      </c>
      <c r="L751" s="82">
        <v>20.349999999999998</v>
      </c>
      <c r="M751" s="82">
        <v>0.65333333333333332</v>
      </c>
      <c r="N751" s="82">
        <v>11.475</v>
      </c>
      <c r="O751" s="89" t="s">
        <v>48</v>
      </c>
      <c r="P751" s="89">
        <v>4</v>
      </c>
      <c r="Q751" s="89">
        <v>10</v>
      </c>
      <c r="R751" s="89" t="s">
        <v>64</v>
      </c>
      <c r="S751" s="89" t="s">
        <v>50</v>
      </c>
      <c r="T751" s="89" t="s">
        <v>50</v>
      </c>
      <c r="U751" s="89" t="s">
        <v>50</v>
      </c>
      <c r="V751" s="89" t="s">
        <v>50</v>
      </c>
      <c r="W751" s="89" t="s">
        <v>50</v>
      </c>
      <c r="X751" s="89" t="s">
        <v>50</v>
      </c>
    </row>
    <row r="752" spans="1:25" x14ac:dyDescent="0.25">
      <c r="A752" s="194">
        <v>43774</v>
      </c>
      <c r="B752" s="98" t="s">
        <v>70</v>
      </c>
      <c r="C752" s="98" t="s">
        <v>78</v>
      </c>
      <c r="D752" s="98">
        <v>38.061250000000001</v>
      </c>
      <c r="E752" s="98">
        <v>-122.0129</v>
      </c>
      <c r="F752" s="98" t="s">
        <v>4314</v>
      </c>
      <c r="G752" s="98" t="s">
        <v>27</v>
      </c>
      <c r="H752" s="98" t="s">
        <v>86</v>
      </c>
      <c r="I752" s="621">
        <v>0.5180555555555556</v>
      </c>
      <c r="J752" s="100">
        <v>12728.5</v>
      </c>
      <c r="K752" s="100">
        <v>15.375</v>
      </c>
      <c r="L752" s="100">
        <v>22.9</v>
      </c>
      <c r="M752" s="100">
        <v>0.625</v>
      </c>
      <c r="N752" s="100">
        <v>14.424999999999999</v>
      </c>
      <c r="O752" s="98" t="s">
        <v>48</v>
      </c>
      <c r="P752" s="98">
        <v>4</v>
      </c>
      <c r="Q752" s="98">
        <v>10</v>
      </c>
      <c r="R752" s="98" t="s">
        <v>49</v>
      </c>
      <c r="S752" s="98" t="s">
        <v>50</v>
      </c>
      <c r="T752" s="98" t="s">
        <v>50</v>
      </c>
      <c r="U752" s="98" t="s">
        <v>50</v>
      </c>
      <c r="V752" s="98" t="s">
        <v>50</v>
      </c>
      <c r="W752" s="98" t="s">
        <v>50</v>
      </c>
      <c r="X752" s="98" t="s">
        <v>50</v>
      </c>
      <c r="Y752" s="622"/>
    </row>
    <row r="753" spans="1:25" x14ac:dyDescent="0.25">
      <c r="A753" s="26">
        <v>43774</v>
      </c>
      <c r="B753" s="89" t="s">
        <v>70</v>
      </c>
      <c r="C753" s="89" t="s">
        <v>118</v>
      </c>
      <c r="D753" s="89">
        <v>38.045290000000001</v>
      </c>
      <c r="E753" s="89">
        <v>-122.16840000000001</v>
      </c>
      <c r="F753" s="89" t="s">
        <v>4315</v>
      </c>
      <c r="G753" s="89" t="s">
        <v>80</v>
      </c>
      <c r="H753" s="89" t="s">
        <v>3332</v>
      </c>
      <c r="I753" s="602">
        <v>0.30624999999999997</v>
      </c>
      <c r="J753" s="82">
        <v>18952.75</v>
      </c>
      <c r="K753" s="82">
        <v>14.65</v>
      </c>
      <c r="L753" s="82">
        <v>11.995000000000001</v>
      </c>
      <c r="M753" s="82">
        <v>0.86250000000000004</v>
      </c>
      <c r="N753" s="82">
        <v>10.5</v>
      </c>
      <c r="O753" s="89" t="s">
        <v>48</v>
      </c>
      <c r="P753" s="89">
        <v>4</v>
      </c>
      <c r="Q753" s="89">
        <v>10</v>
      </c>
      <c r="R753" s="89" t="s">
        <v>64</v>
      </c>
      <c r="S753" s="89" t="s">
        <v>50</v>
      </c>
      <c r="T753" s="89" t="s">
        <v>50</v>
      </c>
      <c r="U753" s="89" t="s">
        <v>50</v>
      </c>
      <c r="V753" s="89" t="s">
        <v>50</v>
      </c>
      <c r="W753" s="89" t="s">
        <v>50</v>
      </c>
      <c r="X753" s="89" t="s">
        <v>50</v>
      </c>
      <c r="Y753" s="600" t="s">
        <v>4316</v>
      </c>
    </row>
    <row r="754" spans="1:25" x14ac:dyDescent="0.25">
      <c r="A754" s="26">
        <v>43775</v>
      </c>
      <c r="B754" s="89" t="s">
        <v>915</v>
      </c>
      <c r="C754" s="89" t="s">
        <v>62</v>
      </c>
      <c r="D754" s="89">
        <v>38.190809999999999</v>
      </c>
      <c r="E754" s="89">
        <v>-122.0373</v>
      </c>
      <c r="F754" s="89" t="s">
        <v>4317</v>
      </c>
      <c r="G754" s="89" t="s">
        <v>27</v>
      </c>
      <c r="H754" s="89" t="s">
        <v>62</v>
      </c>
      <c r="I754" s="602">
        <v>0.36736111111111108</v>
      </c>
      <c r="J754" s="82">
        <v>8916.25</v>
      </c>
      <c r="K754" s="82">
        <v>13.975</v>
      </c>
      <c r="L754" s="82">
        <v>59.075000000000003</v>
      </c>
      <c r="M754" s="82">
        <v>0.34499999999999997</v>
      </c>
      <c r="N754" s="82">
        <v>8.7499999999999982</v>
      </c>
      <c r="O754" s="89" t="s">
        <v>48</v>
      </c>
      <c r="P754" s="89">
        <v>4</v>
      </c>
      <c r="Q754" s="89">
        <v>10</v>
      </c>
      <c r="R754" s="89" t="s">
        <v>64</v>
      </c>
      <c r="S754" s="89" t="s">
        <v>50</v>
      </c>
      <c r="T754" s="89" t="s">
        <v>50</v>
      </c>
      <c r="U754" s="89" t="s">
        <v>50</v>
      </c>
      <c r="V754" s="89" t="s">
        <v>50</v>
      </c>
      <c r="W754" s="89" t="s">
        <v>50</v>
      </c>
      <c r="X754" s="89" t="s">
        <v>50</v>
      </c>
    </row>
    <row r="755" spans="1:25" s="206" customFormat="1" x14ac:dyDescent="0.25">
      <c r="A755" s="204">
        <v>43775</v>
      </c>
      <c r="B755" s="206" t="s">
        <v>915</v>
      </c>
      <c r="C755" s="206" t="s">
        <v>62</v>
      </c>
      <c r="D755" s="206">
        <v>38.104120000000002</v>
      </c>
      <c r="E755" s="206">
        <v>-122.06440000000001</v>
      </c>
      <c r="F755" s="206" t="s">
        <v>4318</v>
      </c>
      <c r="G755" s="206" t="s">
        <v>27</v>
      </c>
      <c r="H755" s="206" t="s">
        <v>173</v>
      </c>
      <c r="I755" s="613">
        <v>0.42986111111111108</v>
      </c>
      <c r="J755" s="208">
        <v>14066.5</v>
      </c>
      <c r="K755" s="208">
        <v>14.7</v>
      </c>
      <c r="L755" s="208">
        <v>51.125</v>
      </c>
      <c r="M755" s="208">
        <v>0.39</v>
      </c>
      <c r="N755" s="208">
        <v>2.7</v>
      </c>
      <c r="O755" s="206" t="s">
        <v>48</v>
      </c>
      <c r="P755" s="206">
        <v>4</v>
      </c>
      <c r="Q755" s="206">
        <v>10</v>
      </c>
      <c r="R755" s="206" t="s">
        <v>64</v>
      </c>
      <c r="S755" s="206" t="s">
        <v>31</v>
      </c>
      <c r="T755" s="206">
        <v>5</v>
      </c>
      <c r="U755" s="206" t="s">
        <v>4319</v>
      </c>
      <c r="V755" s="206" t="s">
        <v>66</v>
      </c>
      <c r="W755" s="206" t="s">
        <v>50</v>
      </c>
      <c r="X755" s="206" t="s">
        <v>50</v>
      </c>
      <c r="Y755" s="605"/>
    </row>
    <row r="756" spans="1:25" x14ac:dyDescent="0.25">
      <c r="A756" s="26">
        <v>43775</v>
      </c>
      <c r="B756" s="89" t="s">
        <v>915</v>
      </c>
      <c r="C756" s="89" t="s">
        <v>62</v>
      </c>
      <c r="D756" s="89">
        <v>38.108240000000002</v>
      </c>
      <c r="E756" s="89">
        <v>-122.04114</v>
      </c>
      <c r="F756" s="89" t="s">
        <v>4320</v>
      </c>
      <c r="G756" s="89" t="s">
        <v>27</v>
      </c>
      <c r="H756" s="89" t="s">
        <v>173</v>
      </c>
      <c r="I756" s="602">
        <v>0.48402777777777778</v>
      </c>
      <c r="J756" s="82">
        <v>17256.75</v>
      </c>
      <c r="K756" s="82">
        <v>15.175000000000001</v>
      </c>
      <c r="L756" s="82">
        <v>34.024999999999999</v>
      </c>
      <c r="M756" s="82">
        <v>0.56999999999999995</v>
      </c>
      <c r="N756" s="82">
        <v>2.8499999999999996</v>
      </c>
      <c r="O756" s="89" t="s">
        <v>48</v>
      </c>
      <c r="P756" s="89">
        <v>4</v>
      </c>
      <c r="Q756" s="89">
        <v>10</v>
      </c>
      <c r="R756" s="89" t="s">
        <v>64</v>
      </c>
      <c r="S756" s="89" t="s">
        <v>50</v>
      </c>
      <c r="T756" s="89" t="s">
        <v>50</v>
      </c>
      <c r="U756" s="89" t="s">
        <v>50</v>
      </c>
      <c r="V756" s="89" t="s">
        <v>50</v>
      </c>
      <c r="W756" s="89" t="s">
        <v>50</v>
      </c>
      <c r="X756" s="89" t="s">
        <v>50</v>
      </c>
      <c r="Y756" s="600" t="s">
        <v>4321</v>
      </c>
    </row>
    <row r="757" spans="1:25" x14ac:dyDescent="0.25">
      <c r="A757" s="26">
        <v>43775</v>
      </c>
      <c r="B757" s="89" t="s">
        <v>915</v>
      </c>
      <c r="C757" s="89" t="s">
        <v>78</v>
      </c>
      <c r="D757" s="89">
        <v>38.048310000000001</v>
      </c>
      <c r="E757" s="89">
        <v>-121.90146</v>
      </c>
      <c r="F757" s="89" t="s">
        <v>4322</v>
      </c>
      <c r="G757" s="89" t="s">
        <v>27</v>
      </c>
      <c r="H757" s="89" t="s">
        <v>101</v>
      </c>
      <c r="I757" s="602">
        <v>0.58888888888888891</v>
      </c>
      <c r="J757" s="82">
        <v>8120</v>
      </c>
      <c r="K757" s="82">
        <v>15.275</v>
      </c>
      <c r="L757" s="82">
        <v>42.25</v>
      </c>
      <c r="M757" s="82">
        <v>0.40250000000000002</v>
      </c>
      <c r="N757" s="82">
        <v>13.75</v>
      </c>
      <c r="O757" s="89" t="s">
        <v>48</v>
      </c>
      <c r="P757" s="89">
        <v>4</v>
      </c>
      <c r="Q757" s="89">
        <v>10</v>
      </c>
      <c r="R757" s="89" t="s">
        <v>64</v>
      </c>
      <c r="S757" s="89" t="s">
        <v>50</v>
      </c>
      <c r="T757" s="89" t="s">
        <v>50</v>
      </c>
      <c r="U757" s="89" t="s">
        <v>50</v>
      </c>
      <c r="V757" s="89" t="s">
        <v>50</v>
      </c>
      <c r="W757" s="89" t="s">
        <v>50</v>
      </c>
      <c r="X757" s="89" t="s">
        <v>50</v>
      </c>
      <c r="Y757" s="600" t="s">
        <v>124</v>
      </c>
    </row>
    <row r="758" spans="1:25" s="150" customFormat="1" x14ac:dyDescent="0.25">
      <c r="A758" s="178">
        <v>43775</v>
      </c>
      <c r="B758" s="150" t="s">
        <v>915</v>
      </c>
      <c r="C758" s="150" t="s">
        <v>88</v>
      </c>
      <c r="D758" s="150">
        <v>38.05133</v>
      </c>
      <c r="E758" s="150">
        <v>-121.79618000000001</v>
      </c>
      <c r="F758" s="150" t="s">
        <v>4323</v>
      </c>
      <c r="G758" s="150" t="s">
        <v>27</v>
      </c>
      <c r="H758" s="150" t="s">
        <v>25</v>
      </c>
      <c r="I758" s="614">
        <v>0.33124999999999999</v>
      </c>
      <c r="J758" s="197" t="s">
        <v>50</v>
      </c>
      <c r="K758" s="197" t="s">
        <v>50</v>
      </c>
      <c r="L758" s="197" t="s">
        <v>50</v>
      </c>
      <c r="M758" s="197" t="s">
        <v>50</v>
      </c>
      <c r="N758" s="197" t="s">
        <v>50</v>
      </c>
      <c r="O758" s="150" t="s">
        <v>48</v>
      </c>
      <c r="P758" s="150">
        <v>0</v>
      </c>
      <c r="Q758" s="150" t="s">
        <v>50</v>
      </c>
      <c r="R758" s="150" t="s">
        <v>50</v>
      </c>
      <c r="S758" s="150" t="s">
        <v>50</v>
      </c>
      <c r="T758" s="150" t="s">
        <v>50</v>
      </c>
      <c r="U758" s="150" t="s">
        <v>50</v>
      </c>
      <c r="V758" s="150" t="s">
        <v>50</v>
      </c>
      <c r="W758" s="150" t="s">
        <v>50</v>
      </c>
      <c r="X758" s="150" t="s">
        <v>50</v>
      </c>
      <c r="Y758" s="604" t="s">
        <v>734</v>
      </c>
    </row>
    <row r="759" spans="1:25" x14ac:dyDescent="0.25">
      <c r="A759" s="26">
        <v>43775</v>
      </c>
      <c r="B759" s="89" t="s">
        <v>915</v>
      </c>
      <c r="C759" s="89" t="s">
        <v>88</v>
      </c>
      <c r="D759" s="89">
        <v>38.06203</v>
      </c>
      <c r="E759" s="89">
        <v>-121.79698999999999</v>
      </c>
      <c r="F759" s="89" t="s">
        <v>4324</v>
      </c>
      <c r="G759" s="89" t="s">
        <v>27</v>
      </c>
      <c r="H759" s="89" t="s">
        <v>25</v>
      </c>
      <c r="I759" s="602">
        <v>0.33749999999999997</v>
      </c>
      <c r="J759" s="82">
        <v>138.69999999999999</v>
      </c>
      <c r="K759" s="82">
        <v>14.025</v>
      </c>
      <c r="L759" s="82">
        <v>13.9</v>
      </c>
      <c r="M759" s="82">
        <v>1.1124999999999998</v>
      </c>
      <c r="N759" s="82">
        <v>11.649999999999999</v>
      </c>
      <c r="O759" s="89" t="s">
        <v>48</v>
      </c>
      <c r="P759" s="89">
        <v>4</v>
      </c>
      <c r="Q759" s="89">
        <v>10</v>
      </c>
      <c r="R759" s="89" t="s">
        <v>64</v>
      </c>
      <c r="S759" s="89" t="s">
        <v>50</v>
      </c>
      <c r="T759" s="89" t="s">
        <v>50</v>
      </c>
      <c r="U759" s="89" t="s">
        <v>50</v>
      </c>
      <c r="V759" s="89" t="s">
        <v>50</v>
      </c>
      <c r="W759" s="89" t="s">
        <v>50</v>
      </c>
      <c r="X759" s="89" t="s">
        <v>50</v>
      </c>
    </row>
    <row r="760" spans="1:25" x14ac:dyDescent="0.25">
      <c r="A760" s="26">
        <v>43775</v>
      </c>
      <c r="B760" s="89" t="s">
        <v>915</v>
      </c>
      <c r="C760" s="89" t="s">
        <v>88</v>
      </c>
      <c r="D760" s="89">
        <v>38.080629999999999</v>
      </c>
      <c r="E760" s="89">
        <v>-121.74850000000001</v>
      </c>
      <c r="F760" s="89" t="s">
        <v>4325</v>
      </c>
      <c r="G760" s="89" t="s">
        <v>27</v>
      </c>
      <c r="H760" s="89" t="s">
        <v>25</v>
      </c>
      <c r="I760" s="602">
        <v>0.38611111111111113</v>
      </c>
      <c r="J760" s="82">
        <v>163.89999999999998</v>
      </c>
      <c r="K760" s="82">
        <v>14.3</v>
      </c>
      <c r="L760" s="82">
        <v>11.675000000000001</v>
      </c>
      <c r="M760" s="82">
        <v>1.2675000000000001</v>
      </c>
      <c r="N760" s="82">
        <v>10.15</v>
      </c>
      <c r="O760" s="89" t="s">
        <v>48</v>
      </c>
      <c r="P760" s="89">
        <v>4</v>
      </c>
      <c r="Q760" s="89">
        <v>10</v>
      </c>
      <c r="R760" s="89" t="s">
        <v>64</v>
      </c>
      <c r="S760" s="89" t="s">
        <v>50</v>
      </c>
      <c r="T760" s="89" t="s">
        <v>50</v>
      </c>
      <c r="U760" s="89" t="s">
        <v>50</v>
      </c>
      <c r="V760" s="89" t="s">
        <v>50</v>
      </c>
      <c r="W760" s="89" t="s">
        <v>50</v>
      </c>
      <c r="X760" s="89" t="s">
        <v>50</v>
      </c>
    </row>
    <row r="761" spans="1:25" x14ac:dyDescent="0.25">
      <c r="A761" s="26">
        <v>43775</v>
      </c>
      <c r="B761" s="89" t="s">
        <v>915</v>
      </c>
      <c r="C761" s="89" t="s">
        <v>88</v>
      </c>
      <c r="D761" s="89">
        <v>38.17727</v>
      </c>
      <c r="E761" s="89">
        <v>-121.66619</v>
      </c>
      <c r="F761" s="89" t="s">
        <v>4326</v>
      </c>
      <c r="G761" s="89" t="s">
        <v>90</v>
      </c>
      <c r="H761" s="89" t="s">
        <v>91</v>
      </c>
      <c r="I761" s="602">
        <v>0.4465277777777778</v>
      </c>
      <c r="J761" s="82">
        <v>126.35</v>
      </c>
      <c r="K761" s="82">
        <v>13.35</v>
      </c>
      <c r="L761" s="82">
        <v>6.7275</v>
      </c>
      <c r="M761" s="82" t="s">
        <v>1233</v>
      </c>
      <c r="N761" s="82">
        <v>17.625</v>
      </c>
      <c r="O761" s="89" t="s">
        <v>48</v>
      </c>
      <c r="P761" s="89">
        <v>4</v>
      </c>
      <c r="Q761" s="89">
        <v>10</v>
      </c>
      <c r="R761" s="89" t="s">
        <v>64</v>
      </c>
      <c r="S761" s="89" t="s">
        <v>50</v>
      </c>
      <c r="T761" s="89" t="s">
        <v>50</v>
      </c>
      <c r="U761" s="89" t="s">
        <v>50</v>
      </c>
      <c r="V761" s="89" t="s">
        <v>50</v>
      </c>
      <c r="W761" s="89" t="s">
        <v>50</v>
      </c>
      <c r="X761" s="89" t="s">
        <v>50</v>
      </c>
    </row>
    <row r="762" spans="1:25" x14ac:dyDescent="0.25">
      <c r="A762" s="26">
        <v>43775</v>
      </c>
      <c r="B762" s="89" t="s">
        <v>915</v>
      </c>
      <c r="C762" s="89" t="s">
        <v>106</v>
      </c>
      <c r="D762" s="89">
        <v>38.226590000000002</v>
      </c>
      <c r="E762" s="89">
        <v>-121.67382000000001</v>
      </c>
      <c r="F762" s="89" t="s">
        <v>4327</v>
      </c>
      <c r="G762" s="89" t="s">
        <v>90</v>
      </c>
      <c r="H762" s="89" t="s">
        <v>362</v>
      </c>
      <c r="I762" s="602">
        <v>0.33611111111111108</v>
      </c>
      <c r="J762" s="82">
        <v>147.82499999999999</v>
      </c>
      <c r="K762" s="82">
        <v>13.625</v>
      </c>
      <c r="L762" s="82">
        <v>6.46</v>
      </c>
      <c r="M762" s="82">
        <v>1.7874999999999999</v>
      </c>
      <c r="N762" s="82">
        <v>11.375</v>
      </c>
      <c r="O762" s="89" t="s">
        <v>48</v>
      </c>
      <c r="P762" s="89">
        <v>4</v>
      </c>
      <c r="Q762" s="89">
        <v>10</v>
      </c>
      <c r="R762" s="89" t="s">
        <v>64</v>
      </c>
      <c r="S762" s="89" t="s">
        <v>50</v>
      </c>
      <c r="T762" s="89" t="s">
        <v>50</v>
      </c>
      <c r="U762" s="89" t="s">
        <v>50</v>
      </c>
      <c r="V762" s="89" t="s">
        <v>50</v>
      </c>
      <c r="W762" s="89" t="s">
        <v>50</v>
      </c>
      <c r="X762" s="89" t="s">
        <v>50</v>
      </c>
      <c r="Y762" s="600" t="s">
        <v>3926</v>
      </c>
    </row>
    <row r="763" spans="1:25" x14ac:dyDescent="0.25">
      <c r="A763" s="26">
        <v>43775</v>
      </c>
      <c r="B763" s="89" t="s">
        <v>915</v>
      </c>
      <c r="C763" s="89" t="s">
        <v>106</v>
      </c>
      <c r="D763" s="89">
        <v>38.428640000000001</v>
      </c>
      <c r="E763" s="89">
        <v>-121.60458</v>
      </c>
      <c r="F763" s="89" t="s">
        <v>4328</v>
      </c>
      <c r="G763" s="89" t="s">
        <v>90</v>
      </c>
      <c r="H763" s="89" t="s">
        <v>362</v>
      </c>
      <c r="I763" s="602">
        <v>0.4055555555555555</v>
      </c>
      <c r="J763" s="82">
        <v>582.5</v>
      </c>
      <c r="K763" s="82">
        <v>14.5</v>
      </c>
      <c r="L763" s="82">
        <v>31.3</v>
      </c>
      <c r="M763" s="82">
        <v>0.39</v>
      </c>
      <c r="N763" s="82">
        <v>9.6750000000000007</v>
      </c>
      <c r="O763" s="89" t="s">
        <v>48</v>
      </c>
      <c r="P763" s="89">
        <v>4</v>
      </c>
      <c r="Q763" s="89">
        <v>10</v>
      </c>
      <c r="R763" s="89" t="s">
        <v>64</v>
      </c>
      <c r="S763" s="89" t="s">
        <v>50</v>
      </c>
      <c r="T763" s="89" t="s">
        <v>50</v>
      </c>
      <c r="U763" s="89" t="s">
        <v>50</v>
      </c>
      <c r="V763" s="89" t="s">
        <v>50</v>
      </c>
      <c r="W763" s="89" t="s">
        <v>50</v>
      </c>
      <c r="X763" s="89" t="s">
        <v>50</v>
      </c>
      <c r="Y763" s="600" t="s">
        <v>4329</v>
      </c>
    </row>
    <row r="764" spans="1:25" x14ac:dyDescent="0.25">
      <c r="A764" s="26">
        <v>43775</v>
      </c>
      <c r="B764" s="89" t="s">
        <v>915</v>
      </c>
      <c r="C764" s="89" t="s">
        <v>106</v>
      </c>
      <c r="D764" s="89">
        <v>38.536929999999998</v>
      </c>
      <c r="E764" s="89">
        <v>-121.58465</v>
      </c>
      <c r="F764" s="89" t="s">
        <v>4330</v>
      </c>
      <c r="G764" s="89" t="s">
        <v>90</v>
      </c>
      <c r="H764" s="89" t="s">
        <v>1787</v>
      </c>
      <c r="I764" s="602">
        <v>0.49791666666666662</v>
      </c>
      <c r="J764" s="82">
        <v>962.75</v>
      </c>
      <c r="K764" s="82">
        <v>15.475</v>
      </c>
      <c r="L764" s="82">
        <v>6.4325000000000001</v>
      </c>
      <c r="M764" s="82">
        <v>1.2925</v>
      </c>
      <c r="N764" s="82">
        <v>11.35</v>
      </c>
      <c r="O764" s="89" t="s">
        <v>48</v>
      </c>
      <c r="P764" s="89">
        <v>4</v>
      </c>
      <c r="Q764" s="89">
        <v>10</v>
      </c>
      <c r="R764" s="89" t="s">
        <v>64</v>
      </c>
      <c r="S764" s="89" t="s">
        <v>50</v>
      </c>
      <c r="T764" s="89" t="s">
        <v>50</v>
      </c>
      <c r="U764" s="89" t="s">
        <v>50</v>
      </c>
      <c r="V764" s="89" t="s">
        <v>50</v>
      </c>
      <c r="W764" s="89" t="s">
        <v>50</v>
      </c>
      <c r="X764" s="89" t="s">
        <v>50</v>
      </c>
    </row>
    <row r="765" spans="1:25" x14ac:dyDescent="0.25">
      <c r="A765" s="26">
        <v>43776</v>
      </c>
      <c r="B765" s="89" t="s">
        <v>876</v>
      </c>
      <c r="C765" s="89" t="s">
        <v>78</v>
      </c>
      <c r="D765" s="89">
        <v>38.060859999999998</v>
      </c>
      <c r="E765" s="89">
        <v>-121.99926000000001</v>
      </c>
      <c r="F765" s="89" t="s">
        <v>4331</v>
      </c>
      <c r="G765" s="89" t="s">
        <v>27</v>
      </c>
      <c r="H765" s="89" t="s">
        <v>86</v>
      </c>
      <c r="I765" s="602">
        <v>0.35555555555555557</v>
      </c>
      <c r="J765" s="82">
        <v>9723</v>
      </c>
      <c r="K765" s="82">
        <v>14.6</v>
      </c>
      <c r="L765" s="82">
        <v>19.599999999999998</v>
      </c>
      <c r="M765" s="82">
        <v>0.745</v>
      </c>
      <c r="N765" s="82">
        <v>14.45</v>
      </c>
      <c r="O765" s="89" t="s">
        <v>48</v>
      </c>
      <c r="P765" s="89">
        <v>4</v>
      </c>
      <c r="Q765" s="89">
        <v>10</v>
      </c>
      <c r="R765" s="89" t="s">
        <v>64</v>
      </c>
      <c r="S765" s="89" t="s">
        <v>50</v>
      </c>
      <c r="T765" s="89" t="s">
        <v>50</v>
      </c>
      <c r="U765" s="89" t="s">
        <v>50</v>
      </c>
      <c r="V765" s="89" t="s">
        <v>50</v>
      </c>
      <c r="W765" s="89" t="s">
        <v>50</v>
      </c>
      <c r="X765" s="89" t="s">
        <v>50</v>
      </c>
    </row>
    <row r="766" spans="1:25" s="206" customFormat="1" x14ac:dyDescent="0.25">
      <c r="A766" s="204">
        <v>43776</v>
      </c>
      <c r="B766" s="206" t="s">
        <v>876</v>
      </c>
      <c r="C766" s="206" t="s">
        <v>62</v>
      </c>
      <c r="D766" s="206">
        <v>38.103439999999999</v>
      </c>
      <c r="E766" s="206">
        <v>-122.05001</v>
      </c>
      <c r="F766" s="206" t="s">
        <v>4332</v>
      </c>
      <c r="G766" s="206" t="s">
        <v>27</v>
      </c>
      <c r="H766" s="206" t="s">
        <v>173</v>
      </c>
      <c r="I766" s="613">
        <v>0.41875000000000001</v>
      </c>
      <c r="J766" s="208">
        <v>19481</v>
      </c>
      <c r="K766" s="208">
        <v>14.825000000000001</v>
      </c>
      <c r="L766" s="208">
        <v>39.625</v>
      </c>
      <c r="M766" s="208">
        <v>0.52249999999999996</v>
      </c>
      <c r="N766" s="208">
        <v>4.125</v>
      </c>
      <c r="O766" s="206" t="s">
        <v>48</v>
      </c>
      <c r="P766" s="206">
        <v>4</v>
      </c>
      <c r="Q766" s="206">
        <v>10</v>
      </c>
      <c r="R766" s="206" t="s">
        <v>64</v>
      </c>
      <c r="S766" s="206" t="s">
        <v>31</v>
      </c>
      <c r="T766" s="206">
        <v>1</v>
      </c>
      <c r="U766" s="206">
        <v>75</v>
      </c>
      <c r="V766" s="206" t="s">
        <v>66</v>
      </c>
      <c r="W766" s="206" t="s">
        <v>50</v>
      </c>
      <c r="X766" s="206" t="s">
        <v>50</v>
      </c>
      <c r="Y766" s="605"/>
    </row>
    <row r="767" spans="1:25" s="206" customFormat="1" x14ac:dyDescent="0.25">
      <c r="A767" s="204">
        <v>43776</v>
      </c>
      <c r="B767" s="206" t="s">
        <v>876</v>
      </c>
      <c r="C767" s="206" t="s">
        <v>62</v>
      </c>
      <c r="D767" s="206">
        <v>38.140650000000001</v>
      </c>
      <c r="E767" s="206">
        <v>-122.06851</v>
      </c>
      <c r="F767" s="206" t="s">
        <v>4333</v>
      </c>
      <c r="G767" s="206" t="s">
        <v>27</v>
      </c>
      <c r="H767" s="206" t="s">
        <v>62</v>
      </c>
      <c r="I767" s="613">
        <v>0.4770833333333333</v>
      </c>
      <c r="J767" s="208">
        <v>11381.25</v>
      </c>
      <c r="K767" s="208">
        <v>14.799999999999999</v>
      </c>
      <c r="L767" s="208">
        <v>43</v>
      </c>
      <c r="M767" s="208">
        <v>0.35750000000000004</v>
      </c>
      <c r="N767" s="208">
        <v>2.4</v>
      </c>
      <c r="O767" s="206" t="s">
        <v>48</v>
      </c>
      <c r="P767" s="206">
        <v>4</v>
      </c>
      <c r="Q767" s="206">
        <v>10</v>
      </c>
      <c r="R767" s="206" t="s">
        <v>64</v>
      </c>
      <c r="S767" s="206" t="s">
        <v>31</v>
      </c>
      <c r="T767" s="206">
        <v>2</v>
      </c>
      <c r="U767" s="206" t="s">
        <v>4334</v>
      </c>
      <c r="V767" s="206" t="s">
        <v>66</v>
      </c>
      <c r="W767" s="206" t="s">
        <v>50</v>
      </c>
      <c r="X767" s="206" t="s">
        <v>50</v>
      </c>
      <c r="Y767" s="605"/>
    </row>
    <row r="768" spans="1:25" s="206" customFormat="1" x14ac:dyDescent="0.25">
      <c r="A768" s="204">
        <v>43776</v>
      </c>
      <c r="B768" s="206" t="s">
        <v>876</v>
      </c>
      <c r="C768" s="206" t="s">
        <v>62</v>
      </c>
      <c r="D768" s="206">
        <v>38.115090000000002</v>
      </c>
      <c r="E768" s="206">
        <v>-122.05936</v>
      </c>
      <c r="F768" s="206" t="s">
        <v>4335</v>
      </c>
      <c r="G768" s="206" t="s">
        <v>27</v>
      </c>
      <c r="H768" s="206" t="s">
        <v>173</v>
      </c>
      <c r="I768" s="613">
        <v>0.53749999999999998</v>
      </c>
      <c r="J768" s="208">
        <v>15051</v>
      </c>
      <c r="K768" s="208">
        <v>15.350000000000001</v>
      </c>
      <c r="L768" s="208">
        <v>19.925000000000001</v>
      </c>
      <c r="M768" s="208">
        <v>0.65249999999999997</v>
      </c>
      <c r="N768" s="208">
        <v>2.625</v>
      </c>
      <c r="O768" s="206" t="s">
        <v>48</v>
      </c>
      <c r="P768" s="206">
        <v>4</v>
      </c>
      <c r="Q768" s="206">
        <v>10</v>
      </c>
      <c r="R768" s="206" t="s">
        <v>49</v>
      </c>
      <c r="S768" s="206" t="s">
        <v>31</v>
      </c>
      <c r="T768" s="206">
        <v>4</v>
      </c>
      <c r="U768" s="206" t="s">
        <v>4336</v>
      </c>
      <c r="V768" s="206" t="s">
        <v>66</v>
      </c>
      <c r="W768" s="206" t="s">
        <v>50</v>
      </c>
      <c r="X768" s="206" t="s">
        <v>50</v>
      </c>
      <c r="Y768" s="605"/>
    </row>
    <row r="769" spans="1:25" x14ac:dyDescent="0.25">
      <c r="A769" s="26">
        <v>43776</v>
      </c>
      <c r="B769" s="89" t="s">
        <v>876</v>
      </c>
      <c r="C769" s="89" t="s">
        <v>88</v>
      </c>
      <c r="D769" s="89">
        <v>38.160040000000002</v>
      </c>
      <c r="E769" s="89">
        <v>-121.68042</v>
      </c>
      <c r="F769" s="89" t="s">
        <v>4337</v>
      </c>
      <c r="G769" s="89" t="s">
        <v>90</v>
      </c>
      <c r="H769" s="89" t="s">
        <v>91</v>
      </c>
      <c r="I769" s="602">
        <v>0.34513888888888888</v>
      </c>
      <c r="J769" s="82">
        <v>130.19999999999999</v>
      </c>
      <c r="K769" s="82">
        <v>13.4</v>
      </c>
      <c r="L769" s="82">
        <v>4.4700000000000006</v>
      </c>
      <c r="M769" s="82" t="s">
        <v>1233</v>
      </c>
      <c r="N769" s="82">
        <v>6.0749999999999993</v>
      </c>
      <c r="O769" s="89" t="s">
        <v>48</v>
      </c>
      <c r="P769" s="89">
        <v>4</v>
      </c>
      <c r="Q769" s="89">
        <v>10</v>
      </c>
      <c r="R769" s="89" t="s">
        <v>64</v>
      </c>
      <c r="S769" s="89" t="s">
        <v>50</v>
      </c>
      <c r="T769" s="89" t="s">
        <v>50</v>
      </c>
      <c r="U769" s="89" t="s">
        <v>50</v>
      </c>
      <c r="V769" s="89" t="s">
        <v>50</v>
      </c>
      <c r="W769" s="89" t="s">
        <v>50</v>
      </c>
      <c r="X769" s="89" t="s">
        <v>50</v>
      </c>
    </row>
    <row r="770" spans="1:25" x14ac:dyDescent="0.25">
      <c r="A770" s="26">
        <v>43776</v>
      </c>
      <c r="B770" s="89" t="s">
        <v>876</v>
      </c>
      <c r="C770" s="89" t="s">
        <v>88</v>
      </c>
      <c r="D770" s="89">
        <v>38.11777</v>
      </c>
      <c r="E770" s="89">
        <v>-121.70392</v>
      </c>
      <c r="F770" s="89" t="s">
        <v>4338</v>
      </c>
      <c r="G770" s="89" t="s">
        <v>90</v>
      </c>
      <c r="H770" s="89" t="s">
        <v>91</v>
      </c>
      <c r="I770" s="602">
        <v>0.39861111111111108</v>
      </c>
      <c r="J770" s="82">
        <v>134.22499999999999</v>
      </c>
      <c r="K770" s="82">
        <v>13.5</v>
      </c>
      <c r="L770" s="82">
        <v>6.6425000000000001</v>
      </c>
      <c r="M770" s="82" t="s">
        <v>1233</v>
      </c>
      <c r="N770" s="82">
        <v>9.0250000000000004</v>
      </c>
      <c r="O770" s="89" t="s">
        <v>48</v>
      </c>
      <c r="P770" s="89">
        <v>4</v>
      </c>
      <c r="Q770" s="89">
        <v>10</v>
      </c>
      <c r="R770" s="89" t="s">
        <v>64</v>
      </c>
      <c r="S770" s="89" t="s">
        <v>50</v>
      </c>
      <c r="T770" s="89" t="s">
        <v>50</v>
      </c>
      <c r="U770" s="89" t="s">
        <v>50</v>
      </c>
      <c r="V770" s="89" t="s">
        <v>50</v>
      </c>
      <c r="W770" s="89" t="s">
        <v>50</v>
      </c>
      <c r="X770" s="89" t="s">
        <v>50</v>
      </c>
    </row>
    <row r="771" spans="1:25" x14ac:dyDescent="0.25">
      <c r="A771" s="26">
        <v>43776</v>
      </c>
      <c r="B771" s="89" t="s">
        <v>876</v>
      </c>
      <c r="C771" s="89" t="s">
        <v>88</v>
      </c>
      <c r="D771" s="89">
        <v>38.08802</v>
      </c>
      <c r="E771" s="89">
        <v>-121.73436</v>
      </c>
      <c r="F771" s="89" t="s">
        <v>4339</v>
      </c>
      <c r="G771" s="89" t="s">
        <v>90</v>
      </c>
      <c r="H771" s="89" t="s">
        <v>91</v>
      </c>
      <c r="I771" s="602">
        <v>0.44930555555555557</v>
      </c>
      <c r="J771" s="82">
        <v>180.14999999999998</v>
      </c>
      <c r="K771" s="82">
        <v>14.274999999999999</v>
      </c>
      <c r="L771" s="82">
        <v>9.2774999999999999</v>
      </c>
      <c r="M771" s="82">
        <v>1.1575</v>
      </c>
      <c r="N771" s="82">
        <v>7.0249999999999995</v>
      </c>
      <c r="O771" s="89" t="s">
        <v>48</v>
      </c>
      <c r="P771" s="89">
        <v>4</v>
      </c>
      <c r="Q771" s="89">
        <v>10</v>
      </c>
      <c r="R771" s="89" t="s">
        <v>64</v>
      </c>
      <c r="S771" s="89" t="s">
        <v>50</v>
      </c>
      <c r="T771" s="89" t="s">
        <v>50</v>
      </c>
      <c r="U771" s="89" t="s">
        <v>50</v>
      </c>
      <c r="V771" s="89" t="s">
        <v>50</v>
      </c>
      <c r="W771" s="89" t="s">
        <v>50</v>
      </c>
      <c r="X771" s="89" t="s">
        <v>50</v>
      </c>
    </row>
    <row r="772" spans="1:25" x14ac:dyDescent="0.25">
      <c r="A772" s="26">
        <v>43776</v>
      </c>
      <c r="B772" s="89" t="s">
        <v>876</v>
      </c>
      <c r="C772" s="89" t="s">
        <v>106</v>
      </c>
      <c r="D772" s="89">
        <v>38.56456</v>
      </c>
      <c r="E772" s="89">
        <v>-121.55413</v>
      </c>
      <c r="F772" s="89" t="s">
        <v>4340</v>
      </c>
      <c r="G772" s="89" t="s">
        <v>90</v>
      </c>
      <c r="H772" s="89" t="s">
        <v>1787</v>
      </c>
      <c r="I772" s="602">
        <v>0.43333333333333335</v>
      </c>
      <c r="J772" s="82">
        <v>1064.25</v>
      </c>
      <c r="K772" s="82">
        <v>16.074999999999999</v>
      </c>
      <c r="L772" s="82">
        <v>3.02</v>
      </c>
      <c r="M772" s="82" t="s">
        <v>1233</v>
      </c>
      <c r="N772" s="82">
        <v>9.25</v>
      </c>
      <c r="O772" s="89" t="s">
        <v>48</v>
      </c>
      <c r="P772" s="89">
        <v>4</v>
      </c>
      <c r="Q772" s="89">
        <v>10</v>
      </c>
      <c r="R772" s="89" t="s">
        <v>49</v>
      </c>
      <c r="S772" s="89" t="s">
        <v>50</v>
      </c>
      <c r="T772" s="89" t="s">
        <v>50</v>
      </c>
      <c r="U772" s="89" t="s">
        <v>50</v>
      </c>
      <c r="V772" s="89" t="s">
        <v>50</v>
      </c>
      <c r="W772" s="89" t="s">
        <v>50</v>
      </c>
      <c r="X772" s="89" t="s">
        <v>50</v>
      </c>
    </row>
    <row r="773" spans="1:25" x14ac:dyDescent="0.25">
      <c r="A773" s="26">
        <v>43776</v>
      </c>
      <c r="B773" s="89" t="s">
        <v>876</v>
      </c>
      <c r="C773" s="89" t="s">
        <v>106</v>
      </c>
      <c r="D773" s="89">
        <v>38.513170000000002</v>
      </c>
      <c r="E773" s="89">
        <v>-121.58499999999999</v>
      </c>
      <c r="F773" s="89" t="s">
        <v>4341</v>
      </c>
      <c r="G773" s="89" t="s">
        <v>90</v>
      </c>
      <c r="H773" s="89" t="s">
        <v>1787</v>
      </c>
      <c r="I773" s="602">
        <v>0.49236111111111108</v>
      </c>
      <c r="J773" s="82">
        <v>898.75</v>
      </c>
      <c r="K773" s="82">
        <v>15.5</v>
      </c>
      <c r="L773" s="82">
        <v>9.3125</v>
      </c>
      <c r="M773" s="82">
        <v>0.91</v>
      </c>
      <c r="N773" s="82">
        <v>6.5750000000000002</v>
      </c>
      <c r="O773" s="89" t="s">
        <v>48</v>
      </c>
      <c r="P773" s="89">
        <v>4</v>
      </c>
      <c r="Q773" s="89">
        <v>10</v>
      </c>
      <c r="R773" s="89" t="s">
        <v>64</v>
      </c>
      <c r="S773" s="89" t="s">
        <v>50</v>
      </c>
      <c r="T773" s="89" t="s">
        <v>50</v>
      </c>
      <c r="U773" s="89" t="s">
        <v>50</v>
      </c>
      <c r="V773" s="89" t="s">
        <v>50</v>
      </c>
      <c r="W773" s="89" t="s">
        <v>50</v>
      </c>
      <c r="X773" s="89" t="s">
        <v>50</v>
      </c>
    </row>
    <row r="774" spans="1:25" s="362" customFormat="1" x14ac:dyDescent="0.25">
      <c r="A774" s="360">
        <v>43776</v>
      </c>
      <c r="B774" s="362" t="s">
        <v>876</v>
      </c>
      <c r="C774" s="362" t="s">
        <v>106</v>
      </c>
      <c r="D774" s="362">
        <v>38.240699999999997</v>
      </c>
      <c r="E774" s="362">
        <v>-121.67213</v>
      </c>
      <c r="F774" s="362" t="s">
        <v>4342</v>
      </c>
      <c r="G774" s="362" t="s">
        <v>90</v>
      </c>
      <c r="H774" s="362" t="s">
        <v>362</v>
      </c>
      <c r="I774" s="618">
        <v>0.35486111111111113</v>
      </c>
      <c r="J774" s="364">
        <v>161</v>
      </c>
      <c r="K774" s="364">
        <v>13.9</v>
      </c>
      <c r="L774" s="364">
        <v>8.2324999999999982</v>
      </c>
      <c r="M774" s="364">
        <v>1.49</v>
      </c>
      <c r="N774" s="364">
        <v>10.65</v>
      </c>
      <c r="O774" s="362" t="s">
        <v>48</v>
      </c>
      <c r="P774" s="362">
        <v>4</v>
      </c>
      <c r="Q774" s="362">
        <v>10</v>
      </c>
      <c r="R774" s="362" t="s">
        <v>64</v>
      </c>
      <c r="S774" s="362" t="s">
        <v>50</v>
      </c>
      <c r="T774" s="362" t="s">
        <v>50</v>
      </c>
      <c r="U774" s="362" t="s">
        <v>50</v>
      </c>
      <c r="V774" s="362" t="s">
        <v>50</v>
      </c>
      <c r="W774" s="362" t="s">
        <v>50</v>
      </c>
      <c r="X774" s="362" t="s">
        <v>50</v>
      </c>
      <c r="Y774" s="603"/>
    </row>
    <row r="775" spans="1:25" x14ac:dyDescent="0.25">
      <c r="A775" s="26">
        <v>43781</v>
      </c>
      <c r="B775" s="89" t="s">
        <v>849</v>
      </c>
      <c r="C775" s="89" t="s">
        <v>88</v>
      </c>
      <c r="D775" s="89">
        <v>38.035850000000003</v>
      </c>
      <c r="E775" s="89">
        <v>-121.77726</v>
      </c>
      <c r="F775" s="89" t="s">
        <v>4343</v>
      </c>
      <c r="G775" s="89" t="s">
        <v>27</v>
      </c>
      <c r="H775" s="89" t="s">
        <v>25</v>
      </c>
      <c r="I775" s="602">
        <v>0.33402777777777781</v>
      </c>
      <c r="J775" s="82">
        <v>580.25</v>
      </c>
      <c r="K775" s="82">
        <v>14.875</v>
      </c>
      <c r="L775" s="82">
        <v>12.225</v>
      </c>
      <c r="M775" s="82">
        <v>1.0675000000000001</v>
      </c>
      <c r="N775" s="82">
        <v>4.3499999999999996</v>
      </c>
      <c r="O775" s="89" t="s">
        <v>48</v>
      </c>
      <c r="P775" s="89">
        <v>4</v>
      </c>
      <c r="Q775" s="89">
        <v>10</v>
      </c>
      <c r="R775" s="89" t="s">
        <v>49</v>
      </c>
      <c r="S775" s="89" t="s">
        <v>50</v>
      </c>
      <c r="T775" s="89" t="s">
        <v>50</v>
      </c>
      <c r="U775" s="89" t="s">
        <v>50</v>
      </c>
      <c r="V775" s="89" t="s">
        <v>50</v>
      </c>
      <c r="W775" s="89" t="s">
        <v>50</v>
      </c>
      <c r="X775" s="89" t="s">
        <v>50</v>
      </c>
    </row>
    <row r="776" spans="1:25" s="496" customFormat="1" x14ac:dyDescent="0.25">
      <c r="A776" s="495">
        <v>43781</v>
      </c>
      <c r="B776" s="496" t="s">
        <v>849</v>
      </c>
      <c r="C776" s="496" t="s">
        <v>88</v>
      </c>
      <c r="D776" s="496">
        <v>38.062040000000003</v>
      </c>
      <c r="E776" s="496">
        <v>-121.80444</v>
      </c>
      <c r="F776" s="496" t="s">
        <v>4344</v>
      </c>
      <c r="G776" s="496" t="s">
        <v>27</v>
      </c>
      <c r="H776" s="496" t="s">
        <v>25</v>
      </c>
      <c r="I776" s="615">
        <v>0.38194444444444442</v>
      </c>
      <c r="J776" s="498">
        <v>722.5</v>
      </c>
      <c r="K776" s="498">
        <v>14.4</v>
      </c>
      <c r="L776" s="498">
        <v>37.049999999999997</v>
      </c>
      <c r="M776" s="498">
        <v>0.46499999999999997</v>
      </c>
      <c r="N776" s="498">
        <v>9.9</v>
      </c>
      <c r="O776" s="496" t="s">
        <v>48</v>
      </c>
      <c r="P776" s="496">
        <v>2</v>
      </c>
      <c r="Q776" s="496">
        <v>10</v>
      </c>
      <c r="R776" s="496" t="s">
        <v>49</v>
      </c>
      <c r="S776" s="496" t="s">
        <v>323</v>
      </c>
      <c r="T776" s="496">
        <v>2</v>
      </c>
      <c r="U776" s="496" t="s">
        <v>3965</v>
      </c>
      <c r="V776" s="496" t="s">
        <v>66</v>
      </c>
      <c r="W776" s="496" t="s">
        <v>50</v>
      </c>
      <c r="X776" s="496" t="s">
        <v>50</v>
      </c>
      <c r="Y776" s="601"/>
    </row>
    <row r="777" spans="1:25" x14ac:dyDescent="0.25">
      <c r="A777" s="26">
        <v>43781</v>
      </c>
      <c r="B777" s="89" t="s">
        <v>849</v>
      </c>
      <c r="C777" s="89" t="s">
        <v>88</v>
      </c>
      <c r="D777" s="89">
        <v>38.086770000000001</v>
      </c>
      <c r="E777" s="89">
        <v>-121.74062000000001</v>
      </c>
      <c r="F777" s="89" t="s">
        <v>4345</v>
      </c>
      <c r="G777" s="89" t="s">
        <v>90</v>
      </c>
      <c r="H777" s="89" t="s">
        <v>91</v>
      </c>
      <c r="I777" s="602">
        <v>0.42083333333333334</v>
      </c>
      <c r="J777" s="82">
        <v>143.875</v>
      </c>
      <c r="K777" s="82">
        <v>14.324999999999999</v>
      </c>
      <c r="L777" s="82">
        <v>24.075000000000003</v>
      </c>
      <c r="M777" s="82">
        <v>1.7849999999999999</v>
      </c>
      <c r="N777" s="82">
        <v>7.9</v>
      </c>
      <c r="O777" s="89" t="s">
        <v>48</v>
      </c>
      <c r="P777" s="89">
        <v>4</v>
      </c>
      <c r="Q777" s="89">
        <v>10</v>
      </c>
      <c r="R777" s="89" t="s">
        <v>49</v>
      </c>
      <c r="S777" s="89" t="s">
        <v>50</v>
      </c>
      <c r="T777" s="89" t="s">
        <v>50</v>
      </c>
      <c r="U777" s="89" t="s">
        <v>50</v>
      </c>
      <c r="V777" s="89" t="s">
        <v>50</v>
      </c>
      <c r="W777" s="89" t="s">
        <v>50</v>
      </c>
      <c r="X777" s="89" t="s">
        <v>50</v>
      </c>
      <c r="Y777" s="600" t="s">
        <v>337</v>
      </c>
    </row>
    <row r="778" spans="1:25" x14ac:dyDescent="0.25">
      <c r="A778" s="26">
        <v>43781</v>
      </c>
      <c r="B778" s="89" t="s">
        <v>849</v>
      </c>
      <c r="C778" s="89" t="s">
        <v>88</v>
      </c>
      <c r="D778" s="89">
        <v>38.094830000000002</v>
      </c>
      <c r="E778" s="89">
        <v>-121.72456</v>
      </c>
      <c r="F778" s="89" t="s">
        <v>4346</v>
      </c>
      <c r="G778" s="89" t="s">
        <v>90</v>
      </c>
      <c r="H778" s="89" t="s">
        <v>91</v>
      </c>
      <c r="I778" s="602">
        <v>0.47847222222222219</v>
      </c>
      <c r="J778" s="82">
        <v>157.42500000000001</v>
      </c>
      <c r="K778" s="82">
        <v>14.525</v>
      </c>
      <c r="L778" s="82">
        <v>25.775000000000002</v>
      </c>
      <c r="M778" s="82">
        <v>1.6825000000000001</v>
      </c>
      <c r="N778" s="82">
        <v>4.9000000000000004</v>
      </c>
      <c r="O778" s="89" t="s">
        <v>48</v>
      </c>
      <c r="P778" s="89">
        <v>4</v>
      </c>
      <c r="Q778" s="89">
        <v>10</v>
      </c>
      <c r="R778" s="89" t="s">
        <v>64</v>
      </c>
      <c r="S778" s="89" t="s">
        <v>50</v>
      </c>
      <c r="T778" s="89" t="s">
        <v>50</v>
      </c>
      <c r="U778" s="89" t="s">
        <v>50</v>
      </c>
      <c r="V778" s="89" t="s">
        <v>50</v>
      </c>
      <c r="W778" s="89" t="s">
        <v>50</v>
      </c>
      <c r="X778" s="89" t="s">
        <v>50</v>
      </c>
    </row>
    <row r="779" spans="1:25" x14ac:dyDescent="0.25">
      <c r="A779" s="26">
        <v>43781</v>
      </c>
      <c r="B779" s="89" t="s">
        <v>849</v>
      </c>
      <c r="C779" s="89" t="s">
        <v>126</v>
      </c>
      <c r="D779" s="89">
        <v>38.259540000000001</v>
      </c>
      <c r="E779" s="89">
        <v>-121.74184</v>
      </c>
      <c r="F779" s="89" t="s">
        <v>4347</v>
      </c>
      <c r="G779" s="89" t="s">
        <v>90</v>
      </c>
      <c r="H779" s="89" t="s">
        <v>845</v>
      </c>
      <c r="I779" s="602">
        <v>0.33194444444444443</v>
      </c>
      <c r="J779" s="82">
        <v>159.17500000000001</v>
      </c>
      <c r="K779" s="82">
        <v>14.174999999999999</v>
      </c>
      <c r="L779" s="82">
        <v>8.49</v>
      </c>
      <c r="M779" s="82">
        <v>0.94499999999999995</v>
      </c>
      <c r="N779" s="82">
        <v>5.2250000000000005</v>
      </c>
      <c r="O779" s="89" t="s">
        <v>48</v>
      </c>
      <c r="P779" s="89">
        <v>4</v>
      </c>
      <c r="Q779" s="89">
        <v>10</v>
      </c>
      <c r="R779" s="89" t="s">
        <v>49</v>
      </c>
      <c r="S779" s="89" t="s">
        <v>50</v>
      </c>
      <c r="T779" s="89" t="s">
        <v>50</v>
      </c>
      <c r="U779" s="89" t="s">
        <v>50</v>
      </c>
      <c r="V779" s="89" t="s">
        <v>50</v>
      </c>
      <c r="W779" s="89" t="s">
        <v>50</v>
      </c>
      <c r="X779" s="89" t="s">
        <v>50</v>
      </c>
      <c r="Y779" s="600" t="s">
        <v>4348</v>
      </c>
    </row>
    <row r="780" spans="1:25" x14ac:dyDescent="0.25">
      <c r="A780" s="26">
        <v>43781</v>
      </c>
      <c r="B780" s="89" t="s">
        <v>849</v>
      </c>
      <c r="C780" s="89" t="s">
        <v>126</v>
      </c>
      <c r="D780" s="89">
        <v>38.244300000000003</v>
      </c>
      <c r="E780" s="89">
        <v>-121.70793</v>
      </c>
      <c r="F780" s="89" t="s">
        <v>4349</v>
      </c>
      <c r="G780" s="89" t="s">
        <v>90</v>
      </c>
      <c r="H780" s="89" t="s">
        <v>845</v>
      </c>
      <c r="I780" s="602">
        <v>0.39166666666666666</v>
      </c>
      <c r="J780" s="82">
        <v>158.22499999999999</v>
      </c>
      <c r="K780" s="82">
        <v>14.35</v>
      </c>
      <c r="L780" s="82">
        <v>5.6749999999999998</v>
      </c>
      <c r="M780" s="82">
        <v>1.7749999999999999</v>
      </c>
      <c r="N780" s="82">
        <v>4.3250000000000002</v>
      </c>
      <c r="O780" s="89" t="s">
        <v>48</v>
      </c>
      <c r="P780" s="89">
        <v>4</v>
      </c>
      <c r="Q780" s="89">
        <v>10</v>
      </c>
      <c r="R780" s="89" t="s">
        <v>49</v>
      </c>
      <c r="S780" s="89" t="s">
        <v>50</v>
      </c>
      <c r="T780" s="89" t="s">
        <v>50</v>
      </c>
      <c r="U780" s="89" t="s">
        <v>50</v>
      </c>
      <c r="V780" s="89" t="s">
        <v>50</v>
      </c>
      <c r="W780" s="89" t="s">
        <v>50</v>
      </c>
      <c r="X780" s="89" t="s">
        <v>50</v>
      </c>
      <c r="Y780" s="600" t="s">
        <v>4350</v>
      </c>
    </row>
    <row r="781" spans="1:25" x14ac:dyDescent="0.25">
      <c r="A781" s="26">
        <v>43781</v>
      </c>
      <c r="B781" s="89" t="s">
        <v>849</v>
      </c>
      <c r="C781" s="89" t="s">
        <v>126</v>
      </c>
      <c r="D781" s="89">
        <v>38.26238</v>
      </c>
      <c r="E781" s="89">
        <v>-121.69171</v>
      </c>
      <c r="F781" s="89" t="s">
        <v>4351</v>
      </c>
      <c r="G781" s="89" t="s">
        <v>90</v>
      </c>
      <c r="H781" s="89" t="s">
        <v>845</v>
      </c>
      <c r="I781" s="602">
        <v>0.45416666666666666</v>
      </c>
      <c r="J781" s="82">
        <v>178.75</v>
      </c>
      <c r="K781" s="82">
        <v>14.574999999999999</v>
      </c>
      <c r="L781" s="82">
        <v>5.83</v>
      </c>
      <c r="M781" s="82" t="s">
        <v>1233</v>
      </c>
      <c r="N781" s="82">
        <v>3.5249999999999999</v>
      </c>
      <c r="O781" s="89" t="s">
        <v>48</v>
      </c>
      <c r="P781" s="89">
        <v>4</v>
      </c>
      <c r="Q781" s="89">
        <v>10</v>
      </c>
      <c r="R781" s="89" t="s">
        <v>64</v>
      </c>
      <c r="S781" s="89" t="s">
        <v>50</v>
      </c>
      <c r="T781" s="89" t="s">
        <v>50</v>
      </c>
      <c r="U781" s="89" t="s">
        <v>50</v>
      </c>
      <c r="V781" s="89" t="s">
        <v>50</v>
      </c>
      <c r="W781" s="89" t="s">
        <v>50</v>
      </c>
      <c r="X781" s="89" t="s">
        <v>50</v>
      </c>
    </row>
    <row r="782" spans="1:25" x14ac:dyDescent="0.25">
      <c r="A782" s="26">
        <v>43781</v>
      </c>
      <c r="B782" s="89" t="s">
        <v>849</v>
      </c>
      <c r="C782" s="89" t="s">
        <v>62</v>
      </c>
      <c r="D782" s="89">
        <v>38.175910000000002</v>
      </c>
      <c r="E782" s="89">
        <v>-121.9211</v>
      </c>
      <c r="F782" s="89" t="s">
        <v>4352</v>
      </c>
      <c r="G782" s="89" t="s">
        <v>27</v>
      </c>
      <c r="H782" s="89" t="s">
        <v>62</v>
      </c>
      <c r="I782" s="602">
        <v>0.39097222222222222</v>
      </c>
      <c r="J782" s="82">
        <v>7861</v>
      </c>
      <c r="K782" s="82">
        <v>14.450000000000001</v>
      </c>
      <c r="L782" s="82">
        <v>30.824999999999999</v>
      </c>
      <c r="M782" s="82">
        <v>0.52</v>
      </c>
      <c r="N782" s="82">
        <v>6.15</v>
      </c>
      <c r="O782" s="89" t="s">
        <v>48</v>
      </c>
      <c r="P782" s="89">
        <v>4</v>
      </c>
      <c r="Q782" s="89">
        <v>10</v>
      </c>
      <c r="R782" s="89" t="s">
        <v>64</v>
      </c>
      <c r="S782" s="89" t="s">
        <v>50</v>
      </c>
      <c r="T782" s="89" t="s">
        <v>50</v>
      </c>
      <c r="U782" s="89" t="s">
        <v>50</v>
      </c>
      <c r="V782" s="89" t="s">
        <v>50</v>
      </c>
      <c r="W782" s="89" t="s">
        <v>50</v>
      </c>
      <c r="X782" s="89" t="s">
        <v>50</v>
      </c>
    </row>
    <row r="783" spans="1:25" x14ac:dyDescent="0.25">
      <c r="A783" s="26">
        <v>43781</v>
      </c>
      <c r="B783" s="89" t="s">
        <v>849</v>
      </c>
      <c r="C783" s="89" t="s">
        <v>62</v>
      </c>
      <c r="D783" s="89">
        <v>38.111229999999999</v>
      </c>
      <c r="E783" s="89">
        <v>-122.06131999999999</v>
      </c>
      <c r="F783" s="89" t="s">
        <v>4353</v>
      </c>
      <c r="G783" s="89" t="s">
        <v>27</v>
      </c>
      <c r="H783" s="89" t="s">
        <v>173</v>
      </c>
      <c r="I783" s="602">
        <v>0.47500000000000003</v>
      </c>
      <c r="J783" s="82">
        <v>8212.5</v>
      </c>
      <c r="K783" s="82">
        <v>14.75</v>
      </c>
      <c r="L783" s="82">
        <v>27.35</v>
      </c>
      <c r="M783" s="82">
        <v>0.625</v>
      </c>
      <c r="N783" s="82">
        <v>3.05</v>
      </c>
      <c r="O783" s="89" t="s">
        <v>48</v>
      </c>
      <c r="P783" s="89">
        <v>4</v>
      </c>
      <c r="Q783" s="89">
        <v>10</v>
      </c>
      <c r="R783" s="89" t="s">
        <v>64</v>
      </c>
      <c r="S783" s="89" t="s">
        <v>50</v>
      </c>
      <c r="T783" s="89" t="s">
        <v>50</v>
      </c>
      <c r="U783" s="89" t="s">
        <v>50</v>
      </c>
      <c r="V783" s="89" t="s">
        <v>50</v>
      </c>
      <c r="W783" s="89" t="s">
        <v>50</v>
      </c>
      <c r="X783" s="89" t="s">
        <v>50</v>
      </c>
    </row>
    <row r="784" spans="1:25" x14ac:dyDescent="0.25">
      <c r="A784" s="26">
        <v>43781</v>
      </c>
      <c r="B784" s="89" t="s">
        <v>849</v>
      </c>
      <c r="C784" s="89" t="s">
        <v>62</v>
      </c>
      <c r="D784" s="89">
        <v>38.109209999999997</v>
      </c>
      <c r="E784" s="89">
        <v>-122.04248</v>
      </c>
      <c r="F784" s="89" t="s">
        <v>4354</v>
      </c>
      <c r="G784" s="89" t="s">
        <v>27</v>
      </c>
      <c r="H784" s="89" t="s">
        <v>173</v>
      </c>
      <c r="I784" s="602">
        <v>0.52708333333333335</v>
      </c>
      <c r="J784" s="82">
        <v>18143.5</v>
      </c>
      <c r="K784" s="82">
        <v>14.799999999999999</v>
      </c>
      <c r="L784" s="82">
        <v>16.634999999999998</v>
      </c>
      <c r="M784" s="82">
        <v>0.76500000000000001</v>
      </c>
      <c r="N784" s="82">
        <v>3.3</v>
      </c>
      <c r="O784" s="89" t="s">
        <v>48</v>
      </c>
      <c r="P784" s="89">
        <v>4</v>
      </c>
      <c r="Q784" s="89">
        <v>10</v>
      </c>
      <c r="R784" s="89" t="s">
        <v>64</v>
      </c>
      <c r="S784" s="89" t="s">
        <v>50</v>
      </c>
      <c r="T784" s="89" t="s">
        <v>50</v>
      </c>
      <c r="U784" s="89" t="s">
        <v>50</v>
      </c>
      <c r="V784" s="89" t="s">
        <v>50</v>
      </c>
      <c r="W784" s="89" t="s">
        <v>50</v>
      </c>
      <c r="X784" s="89" t="s">
        <v>50</v>
      </c>
    </row>
    <row r="785" spans="1:25" x14ac:dyDescent="0.25">
      <c r="A785" s="26">
        <v>43782</v>
      </c>
      <c r="B785" s="89" t="s">
        <v>915</v>
      </c>
      <c r="C785" s="89" t="s">
        <v>88</v>
      </c>
      <c r="D785" s="89">
        <v>38.069540000000003</v>
      </c>
      <c r="E785" s="89">
        <v>-121.78021</v>
      </c>
      <c r="F785" s="89" t="s">
        <v>4355</v>
      </c>
      <c r="G785" s="89" t="s">
        <v>27</v>
      </c>
      <c r="H785" s="89" t="s">
        <v>25</v>
      </c>
      <c r="I785" s="602">
        <v>0.31875000000000003</v>
      </c>
      <c r="J785" s="82">
        <v>1077.25</v>
      </c>
      <c r="K785" s="82">
        <v>14.5</v>
      </c>
      <c r="L785" s="82">
        <v>15.375</v>
      </c>
      <c r="M785" s="82">
        <v>0.6875</v>
      </c>
      <c r="N785" s="82">
        <v>10.45</v>
      </c>
      <c r="O785" s="89" t="s">
        <v>48</v>
      </c>
      <c r="P785" s="89">
        <v>4</v>
      </c>
      <c r="Q785" s="89">
        <v>10</v>
      </c>
      <c r="R785" s="89" t="s">
        <v>49</v>
      </c>
      <c r="S785" s="89" t="s">
        <v>50</v>
      </c>
      <c r="T785" s="89" t="s">
        <v>50</v>
      </c>
      <c r="U785" s="89" t="s">
        <v>50</v>
      </c>
      <c r="V785" s="89" t="s">
        <v>50</v>
      </c>
      <c r="W785" s="89" t="s">
        <v>50</v>
      </c>
      <c r="X785" s="89" t="s">
        <v>50</v>
      </c>
    </row>
    <row r="786" spans="1:25" x14ac:dyDescent="0.25">
      <c r="A786" s="26">
        <v>43782</v>
      </c>
      <c r="B786" s="89" t="s">
        <v>915</v>
      </c>
      <c r="C786" s="89" t="s">
        <v>88</v>
      </c>
      <c r="D786" s="89">
        <v>38.083829999999999</v>
      </c>
      <c r="E786" s="89">
        <v>-121.75051000000001</v>
      </c>
      <c r="F786" s="89" t="s">
        <v>4356</v>
      </c>
      <c r="G786" s="89" t="s">
        <v>27</v>
      </c>
      <c r="H786" s="89" t="s">
        <v>25</v>
      </c>
      <c r="I786" s="602">
        <v>0.37013888888888885</v>
      </c>
      <c r="J786" s="82">
        <v>164.2</v>
      </c>
      <c r="K786" s="82">
        <v>14.2</v>
      </c>
      <c r="L786" s="82">
        <v>11.217500000000001</v>
      </c>
      <c r="M786" s="82">
        <v>1.0974999999999999</v>
      </c>
      <c r="N786" s="82">
        <v>8.625</v>
      </c>
      <c r="O786" s="89" t="s">
        <v>48</v>
      </c>
      <c r="P786" s="89">
        <v>4</v>
      </c>
      <c r="Q786" s="89">
        <v>10</v>
      </c>
      <c r="R786" s="89" t="s">
        <v>49</v>
      </c>
      <c r="S786" s="89" t="s">
        <v>50</v>
      </c>
      <c r="T786" s="89" t="s">
        <v>50</v>
      </c>
      <c r="U786" s="89" t="s">
        <v>50</v>
      </c>
      <c r="V786" s="89" t="s">
        <v>50</v>
      </c>
      <c r="W786" s="89" t="s">
        <v>50</v>
      </c>
      <c r="X786" s="89" t="s">
        <v>50</v>
      </c>
      <c r="Y786" s="600" t="s">
        <v>4357</v>
      </c>
    </row>
    <row r="787" spans="1:25" x14ac:dyDescent="0.25">
      <c r="A787" s="26">
        <v>43782</v>
      </c>
      <c r="B787" s="89" t="s">
        <v>915</v>
      </c>
      <c r="C787" s="89" t="s">
        <v>88</v>
      </c>
      <c r="D787" s="89">
        <v>38.114510000000003</v>
      </c>
      <c r="E787" s="89">
        <v>-121.69824</v>
      </c>
      <c r="F787" s="89" t="s">
        <v>4358</v>
      </c>
      <c r="G787" s="89" t="s">
        <v>90</v>
      </c>
      <c r="H787" s="89" t="s">
        <v>91</v>
      </c>
      <c r="I787" s="602">
        <v>0.42083333333333334</v>
      </c>
      <c r="J787" s="82">
        <v>165</v>
      </c>
      <c r="K787" s="82">
        <v>14.55</v>
      </c>
      <c r="L787" s="82">
        <v>4.8899999999999997</v>
      </c>
      <c r="M787" s="82" t="s">
        <v>1233</v>
      </c>
      <c r="N787" s="82">
        <v>3.9749999999999996</v>
      </c>
      <c r="O787" s="89" t="s">
        <v>48</v>
      </c>
      <c r="P787" s="89">
        <v>4</v>
      </c>
      <c r="Q787" s="89">
        <v>10</v>
      </c>
      <c r="R787" s="89" t="s">
        <v>64</v>
      </c>
      <c r="S787" s="89" t="s">
        <v>50</v>
      </c>
      <c r="T787" s="89" t="s">
        <v>50</v>
      </c>
      <c r="U787" s="89" t="s">
        <v>50</v>
      </c>
      <c r="V787" s="89" t="s">
        <v>50</v>
      </c>
      <c r="W787" s="89" t="s">
        <v>50</v>
      </c>
      <c r="X787" s="89" t="s">
        <v>50</v>
      </c>
    </row>
    <row r="788" spans="1:25" x14ac:dyDescent="0.25">
      <c r="A788" s="26">
        <v>43782</v>
      </c>
      <c r="B788" s="89" t="s">
        <v>915</v>
      </c>
      <c r="C788" s="89" t="s">
        <v>126</v>
      </c>
      <c r="D788" s="89">
        <v>38.315289999999997</v>
      </c>
      <c r="E788" s="89">
        <v>-121.69271000000001</v>
      </c>
      <c r="F788" s="89" t="s">
        <v>4359</v>
      </c>
      <c r="G788" s="89" t="s">
        <v>90</v>
      </c>
      <c r="H788" s="89" t="s">
        <v>845</v>
      </c>
      <c r="I788" s="602">
        <v>0.31944444444444448</v>
      </c>
      <c r="J788" s="89">
        <v>240.1</v>
      </c>
      <c r="K788" s="82">
        <v>14</v>
      </c>
      <c r="L788" s="82">
        <v>3.9574999999999996</v>
      </c>
      <c r="M788" s="82" t="s">
        <v>1233</v>
      </c>
      <c r="N788" s="82">
        <v>5.2249999999999996</v>
      </c>
      <c r="O788" s="89" t="s">
        <v>48</v>
      </c>
      <c r="P788" s="89">
        <v>4</v>
      </c>
      <c r="Q788" s="89">
        <v>10</v>
      </c>
      <c r="R788" s="89" t="s">
        <v>49</v>
      </c>
      <c r="S788" s="89" t="s">
        <v>50</v>
      </c>
      <c r="T788" s="89" t="s">
        <v>50</v>
      </c>
      <c r="U788" s="89" t="s">
        <v>50</v>
      </c>
      <c r="V788" s="89" t="s">
        <v>50</v>
      </c>
      <c r="W788" s="89" t="s">
        <v>50</v>
      </c>
      <c r="X788" s="89" t="s">
        <v>50</v>
      </c>
    </row>
    <row r="789" spans="1:25" x14ac:dyDescent="0.25">
      <c r="A789" s="26">
        <v>43782</v>
      </c>
      <c r="B789" s="89" t="s">
        <v>915</v>
      </c>
      <c r="C789" s="89" t="s">
        <v>126</v>
      </c>
      <c r="D789" s="89">
        <v>38.26417</v>
      </c>
      <c r="E789" s="89">
        <v>-121.69168000000001</v>
      </c>
      <c r="F789" s="89" t="s">
        <v>4360</v>
      </c>
      <c r="G789" s="89" t="s">
        <v>90</v>
      </c>
      <c r="H789" s="89" t="s">
        <v>845</v>
      </c>
      <c r="I789" s="602">
        <v>0.38680555555555557</v>
      </c>
      <c r="J789" s="89">
        <v>160.19999999999999</v>
      </c>
      <c r="K789" s="82">
        <v>14.574999999999999</v>
      </c>
      <c r="L789" s="82">
        <v>4.7524999999999995</v>
      </c>
      <c r="M789" s="82">
        <v>1.7774999999999999</v>
      </c>
      <c r="N789" s="82">
        <v>5.85</v>
      </c>
      <c r="O789" s="89" t="s">
        <v>48</v>
      </c>
      <c r="P789" s="89">
        <v>4</v>
      </c>
      <c r="Q789" s="89">
        <v>10</v>
      </c>
      <c r="R789" s="89" t="s">
        <v>49</v>
      </c>
      <c r="S789" s="89" t="s">
        <v>50</v>
      </c>
      <c r="T789" s="89" t="s">
        <v>50</v>
      </c>
      <c r="U789" s="89" t="s">
        <v>50</v>
      </c>
      <c r="V789" s="89" t="s">
        <v>50</v>
      </c>
      <c r="W789" s="89" t="s">
        <v>50</v>
      </c>
      <c r="X789" s="89" t="s">
        <v>50</v>
      </c>
    </row>
    <row r="790" spans="1:25" x14ac:dyDescent="0.25">
      <c r="A790" s="26">
        <v>43782</v>
      </c>
      <c r="B790" s="89" t="s">
        <v>915</v>
      </c>
      <c r="C790" s="89" t="s">
        <v>126</v>
      </c>
      <c r="D790" s="89">
        <v>38.290199999999999</v>
      </c>
      <c r="E790" s="196">
        <v>-121.66104</v>
      </c>
      <c r="F790" s="89" t="s">
        <v>4361</v>
      </c>
      <c r="G790" s="89" t="s">
        <v>90</v>
      </c>
      <c r="H790" s="89" t="s">
        <v>845</v>
      </c>
      <c r="I790" s="602">
        <v>0.44861111111111113</v>
      </c>
      <c r="J790" s="89">
        <v>166.625</v>
      </c>
      <c r="K790" s="82">
        <v>14.975</v>
      </c>
      <c r="L790" s="82">
        <v>6.79</v>
      </c>
      <c r="M790" s="82">
        <v>1.6675</v>
      </c>
      <c r="N790" s="82">
        <v>5.4250000000000007</v>
      </c>
      <c r="O790" s="89" t="s">
        <v>48</v>
      </c>
      <c r="P790" s="89">
        <v>4</v>
      </c>
      <c r="Q790" s="89">
        <v>10</v>
      </c>
      <c r="R790" s="89" t="s">
        <v>49</v>
      </c>
      <c r="S790" s="89" t="s">
        <v>50</v>
      </c>
      <c r="T790" s="89" t="s">
        <v>50</v>
      </c>
      <c r="U790" s="89" t="s">
        <v>50</v>
      </c>
      <c r="V790" s="89" t="s">
        <v>50</v>
      </c>
      <c r="W790" s="89" t="s">
        <v>50</v>
      </c>
      <c r="X790" s="89" t="s">
        <v>50</v>
      </c>
    </row>
    <row r="791" spans="1:25" x14ac:dyDescent="0.25">
      <c r="A791" s="26">
        <v>43782</v>
      </c>
      <c r="B791" s="89" t="s">
        <v>915</v>
      </c>
      <c r="C791" s="89" t="s">
        <v>62</v>
      </c>
      <c r="D791" s="89">
        <v>38.103949999999998</v>
      </c>
      <c r="E791" s="89">
        <v>-122.03207</v>
      </c>
      <c r="F791" s="89" t="s">
        <v>4362</v>
      </c>
      <c r="G791" s="89" t="s">
        <v>27</v>
      </c>
      <c r="H791" s="89" t="s">
        <v>173</v>
      </c>
      <c r="I791" s="602">
        <v>0.35347222222222219</v>
      </c>
      <c r="J791" s="89">
        <v>15236.75</v>
      </c>
      <c r="K791" s="82">
        <v>14.649999999999999</v>
      </c>
      <c r="L791" s="82">
        <v>15.675000000000001</v>
      </c>
      <c r="M791" s="82">
        <v>0.79249999999999998</v>
      </c>
      <c r="N791" s="82">
        <v>2.4</v>
      </c>
      <c r="O791" s="89" t="s">
        <v>48</v>
      </c>
      <c r="P791" s="89">
        <v>4</v>
      </c>
      <c r="Q791" s="89">
        <v>10</v>
      </c>
      <c r="R791" s="89" t="s">
        <v>49</v>
      </c>
      <c r="S791" s="89" t="s">
        <v>50</v>
      </c>
      <c r="T791" s="89" t="s">
        <v>50</v>
      </c>
      <c r="U791" s="89" t="s">
        <v>50</v>
      </c>
      <c r="V791" s="89" t="s">
        <v>50</v>
      </c>
      <c r="W791" s="89" t="s">
        <v>50</v>
      </c>
      <c r="X791" s="89" t="s">
        <v>50</v>
      </c>
    </row>
    <row r="792" spans="1:25" x14ac:dyDescent="0.25">
      <c r="A792" s="26">
        <v>43782</v>
      </c>
      <c r="B792" s="89" t="s">
        <v>915</v>
      </c>
      <c r="C792" s="89" t="s">
        <v>62</v>
      </c>
      <c r="D792" s="89">
        <v>38.144300000000001</v>
      </c>
      <c r="E792" s="89">
        <v>-122.06095000000001</v>
      </c>
      <c r="F792" s="89" t="s">
        <v>4363</v>
      </c>
      <c r="G792" s="89" t="s">
        <v>27</v>
      </c>
      <c r="H792" s="89" t="s">
        <v>62</v>
      </c>
      <c r="I792" s="602">
        <v>0.41111111111111115</v>
      </c>
      <c r="J792" s="89">
        <v>12247.75</v>
      </c>
      <c r="K792" s="82">
        <v>14.625</v>
      </c>
      <c r="L792" s="82">
        <v>18.2</v>
      </c>
      <c r="M792" s="82">
        <v>0.68500000000000005</v>
      </c>
      <c r="N792" s="82">
        <v>9.7250000000000014</v>
      </c>
      <c r="O792" s="89" t="s">
        <v>48</v>
      </c>
      <c r="P792" s="89">
        <v>4</v>
      </c>
      <c r="Q792" s="89">
        <v>10</v>
      </c>
      <c r="R792" s="89" t="s">
        <v>64</v>
      </c>
      <c r="S792" s="89" t="s">
        <v>50</v>
      </c>
      <c r="T792" s="89" t="s">
        <v>50</v>
      </c>
      <c r="U792" s="89" t="s">
        <v>50</v>
      </c>
      <c r="V792" s="89" t="s">
        <v>50</v>
      </c>
      <c r="W792" s="89" t="s">
        <v>50</v>
      </c>
      <c r="X792" s="89" t="s">
        <v>50</v>
      </c>
    </row>
    <row r="793" spans="1:25" s="206" customFormat="1" x14ac:dyDescent="0.25">
      <c r="A793" s="204">
        <v>43782</v>
      </c>
      <c r="B793" s="206" t="s">
        <v>915</v>
      </c>
      <c r="C793" s="206" t="s">
        <v>62</v>
      </c>
      <c r="D793" s="206">
        <v>38.10568</v>
      </c>
      <c r="E793" s="206">
        <v>-122.04415</v>
      </c>
      <c r="F793" s="206" t="s">
        <v>4364</v>
      </c>
      <c r="G793" s="206" t="s">
        <v>27</v>
      </c>
      <c r="H793" s="206" t="s">
        <v>173</v>
      </c>
      <c r="I793" s="613">
        <v>0.46319444444444446</v>
      </c>
      <c r="J793" s="206">
        <v>16668.5</v>
      </c>
      <c r="K793" s="208">
        <v>14.774999999999999</v>
      </c>
      <c r="L793" s="208">
        <v>12.925000000000001</v>
      </c>
      <c r="M793" s="208">
        <v>0.86249999999999993</v>
      </c>
      <c r="N793" s="208">
        <v>3.5750000000000002</v>
      </c>
      <c r="O793" s="206" t="s">
        <v>48</v>
      </c>
      <c r="P793" s="206">
        <v>4</v>
      </c>
      <c r="Q793" s="206">
        <v>10</v>
      </c>
      <c r="R793" s="206" t="s">
        <v>64</v>
      </c>
      <c r="S793" s="206" t="s">
        <v>31</v>
      </c>
      <c r="T793" s="206">
        <v>1</v>
      </c>
      <c r="U793" s="206">
        <v>61</v>
      </c>
      <c r="V793" s="206" t="s">
        <v>50</v>
      </c>
      <c r="W793" s="206" t="s">
        <v>50</v>
      </c>
      <c r="X793" s="206" t="s">
        <v>50</v>
      </c>
      <c r="Y793" s="605"/>
    </row>
    <row r="794" spans="1:25" x14ac:dyDescent="0.25">
      <c r="A794" s="26">
        <v>43783</v>
      </c>
      <c r="B794" s="89" t="s">
        <v>876</v>
      </c>
      <c r="C794" s="89" t="s">
        <v>78</v>
      </c>
      <c r="D794" s="89">
        <v>38.05406</v>
      </c>
      <c r="E794" s="89">
        <v>-121.86002000000001</v>
      </c>
      <c r="F794" s="89" t="s">
        <v>4365</v>
      </c>
      <c r="G794" s="89" t="s">
        <v>27</v>
      </c>
      <c r="H794" s="89" t="s">
        <v>101</v>
      </c>
      <c r="I794" s="602">
        <v>0.3263888888888889</v>
      </c>
      <c r="J794" s="89">
        <v>5058.25</v>
      </c>
      <c r="K794" s="82">
        <v>14.7</v>
      </c>
      <c r="L794" s="82">
        <v>23.925000000000004</v>
      </c>
      <c r="M794" s="82">
        <v>0.55499999999999994</v>
      </c>
      <c r="N794" s="82">
        <v>3.95</v>
      </c>
      <c r="O794" s="89" t="s">
        <v>48</v>
      </c>
      <c r="P794" s="89">
        <v>4</v>
      </c>
      <c r="Q794" s="89">
        <v>10</v>
      </c>
      <c r="R794" s="89" t="s">
        <v>49</v>
      </c>
      <c r="S794" s="89" t="s">
        <v>50</v>
      </c>
      <c r="T794" s="89" t="s">
        <v>50</v>
      </c>
      <c r="U794" s="89" t="s">
        <v>50</v>
      </c>
      <c r="V794" s="89" t="s">
        <v>50</v>
      </c>
      <c r="W794" s="89" t="s">
        <v>50</v>
      </c>
      <c r="X794" s="89" t="s">
        <v>50</v>
      </c>
    </row>
    <row r="795" spans="1:25" x14ac:dyDescent="0.25">
      <c r="A795" s="26">
        <v>43783</v>
      </c>
      <c r="B795" s="89" t="s">
        <v>876</v>
      </c>
      <c r="C795" s="98" t="s">
        <v>78</v>
      </c>
      <c r="D795" s="98">
        <v>38.041739999999997</v>
      </c>
      <c r="E795" s="98">
        <v>-121.90481</v>
      </c>
      <c r="F795" s="98" t="s">
        <v>4366</v>
      </c>
      <c r="G795" s="98" t="s">
        <v>27</v>
      </c>
      <c r="H795" s="98" t="s">
        <v>101</v>
      </c>
      <c r="I795" s="602">
        <v>0.3833333333333333</v>
      </c>
      <c r="J795" s="98">
        <v>6912.5</v>
      </c>
      <c r="K795" s="100">
        <v>14.2</v>
      </c>
      <c r="L795" s="100">
        <v>22.074999999999999</v>
      </c>
      <c r="M795" s="100">
        <v>0.61499999999999999</v>
      </c>
      <c r="N795" s="100">
        <v>10.399999999999999</v>
      </c>
      <c r="O795" s="98" t="s">
        <v>48</v>
      </c>
      <c r="P795" s="98">
        <v>4</v>
      </c>
      <c r="Q795" s="98">
        <v>10</v>
      </c>
      <c r="R795" s="89" t="s">
        <v>49</v>
      </c>
      <c r="S795" s="89" t="s">
        <v>50</v>
      </c>
      <c r="T795" s="89" t="s">
        <v>50</v>
      </c>
      <c r="U795" s="89" t="s">
        <v>50</v>
      </c>
      <c r="V795" s="89" t="s">
        <v>50</v>
      </c>
      <c r="W795" s="89" t="s">
        <v>50</v>
      </c>
      <c r="X795" s="89" t="s">
        <v>50</v>
      </c>
      <c r="Y795" s="600" t="s">
        <v>124</v>
      </c>
    </row>
    <row r="796" spans="1:25" x14ac:dyDescent="0.25">
      <c r="A796" s="26">
        <v>43783</v>
      </c>
      <c r="B796" s="89" t="s">
        <v>876</v>
      </c>
      <c r="C796" s="89" t="s">
        <v>78</v>
      </c>
      <c r="D796" s="89">
        <v>38.024279999999997</v>
      </c>
      <c r="E796" s="89">
        <v>-121.82261</v>
      </c>
      <c r="F796" s="89" t="s">
        <v>4367</v>
      </c>
      <c r="G796" s="89" t="s">
        <v>27</v>
      </c>
      <c r="H796" s="89" t="s">
        <v>101</v>
      </c>
      <c r="I796" s="602">
        <v>0.4375</v>
      </c>
      <c r="J796" s="89">
        <v>1307.75</v>
      </c>
      <c r="K796" s="82">
        <v>14.9</v>
      </c>
      <c r="L796" s="82">
        <v>15.9</v>
      </c>
      <c r="M796" s="82">
        <v>0.67749999999999999</v>
      </c>
      <c r="N796" s="82">
        <v>15.375</v>
      </c>
      <c r="O796" s="89" t="s">
        <v>48</v>
      </c>
      <c r="P796" s="89">
        <v>4</v>
      </c>
      <c r="Q796" s="89">
        <v>10</v>
      </c>
      <c r="R796" s="89" t="s">
        <v>49</v>
      </c>
      <c r="S796" s="89" t="s">
        <v>50</v>
      </c>
      <c r="T796" s="89" t="s">
        <v>50</v>
      </c>
      <c r="U796" s="89" t="s">
        <v>50</v>
      </c>
      <c r="V796" s="89" t="s">
        <v>50</v>
      </c>
      <c r="W796" s="89" t="s">
        <v>50</v>
      </c>
      <c r="X796" s="89" t="s">
        <v>50</v>
      </c>
      <c r="Y796" s="600" t="s">
        <v>996</v>
      </c>
    </row>
    <row r="797" spans="1:25" x14ac:dyDescent="0.25">
      <c r="A797" s="26">
        <v>43783</v>
      </c>
      <c r="B797" s="89" t="s">
        <v>876</v>
      </c>
      <c r="C797" s="89" t="s">
        <v>106</v>
      </c>
      <c r="D797" s="89">
        <v>38.285319999999999</v>
      </c>
      <c r="E797" s="89">
        <v>-121.65871</v>
      </c>
      <c r="F797" s="89" t="s">
        <v>4368</v>
      </c>
      <c r="G797" s="89" t="s">
        <v>90</v>
      </c>
      <c r="H797" s="89" t="s">
        <v>362</v>
      </c>
      <c r="I797" s="602">
        <v>0.32569444444444445</v>
      </c>
      <c r="J797" s="89">
        <v>163.89999999999998</v>
      </c>
      <c r="K797" s="82">
        <v>14.725</v>
      </c>
      <c r="L797" s="82">
        <v>7.6549999999999994</v>
      </c>
      <c r="M797" s="82">
        <v>1.4775</v>
      </c>
      <c r="N797" s="82">
        <v>11.424999999999999</v>
      </c>
      <c r="O797" s="89" t="s">
        <v>48</v>
      </c>
      <c r="P797" s="89">
        <v>4</v>
      </c>
      <c r="Q797" s="89">
        <v>10</v>
      </c>
      <c r="R797" s="89" t="s">
        <v>49</v>
      </c>
      <c r="S797" s="89" t="s">
        <v>50</v>
      </c>
      <c r="T797" s="89" t="s">
        <v>50</v>
      </c>
      <c r="U797" s="89" t="s">
        <v>50</v>
      </c>
      <c r="V797" s="89" t="s">
        <v>50</v>
      </c>
      <c r="W797" s="89" t="s">
        <v>50</v>
      </c>
      <c r="X797" s="89" t="s">
        <v>50</v>
      </c>
    </row>
    <row r="798" spans="1:25" x14ac:dyDescent="0.25">
      <c r="A798" s="26">
        <v>43783</v>
      </c>
      <c r="B798" s="89" t="s">
        <v>876</v>
      </c>
      <c r="C798" s="89" t="s">
        <v>106</v>
      </c>
      <c r="D798" s="89">
        <v>38.366109999999999</v>
      </c>
      <c r="E798" s="89">
        <v>-121.63265</v>
      </c>
      <c r="F798" s="89" t="s">
        <v>4369</v>
      </c>
      <c r="G798" s="89" t="s">
        <v>90</v>
      </c>
      <c r="H798" s="89" t="s">
        <v>362</v>
      </c>
      <c r="I798" s="602">
        <v>0.38125000000000003</v>
      </c>
      <c r="J798" s="89">
        <v>366.12499999999994</v>
      </c>
      <c r="K798" s="82">
        <v>14.625</v>
      </c>
      <c r="L798" s="82">
        <v>40.574999999999996</v>
      </c>
      <c r="M798" s="82">
        <v>0.33750000000000002</v>
      </c>
      <c r="N798" s="82">
        <v>4.2750000000000004</v>
      </c>
      <c r="O798" s="89" t="s">
        <v>48</v>
      </c>
      <c r="P798" s="89">
        <v>4</v>
      </c>
      <c r="Q798" s="89">
        <v>10</v>
      </c>
      <c r="R798" s="89" t="s">
        <v>49</v>
      </c>
      <c r="S798" s="89" t="s">
        <v>50</v>
      </c>
      <c r="T798" s="89" t="s">
        <v>50</v>
      </c>
      <c r="U798" s="89" t="s">
        <v>50</v>
      </c>
      <c r="V798" s="89" t="s">
        <v>50</v>
      </c>
      <c r="W798" s="89" t="s">
        <v>50</v>
      </c>
      <c r="X798" s="89" t="s">
        <v>50</v>
      </c>
      <c r="Y798" s="600" t="s">
        <v>4370</v>
      </c>
    </row>
    <row r="799" spans="1:25" x14ac:dyDescent="0.25">
      <c r="A799" s="26">
        <v>43783</v>
      </c>
      <c r="B799" s="89" t="s">
        <v>876</v>
      </c>
      <c r="C799" s="89" t="s">
        <v>106</v>
      </c>
      <c r="D799" s="89">
        <v>38.521619999999999</v>
      </c>
      <c r="E799" s="89">
        <v>-121.58467</v>
      </c>
      <c r="F799" s="89" t="s">
        <v>4371</v>
      </c>
      <c r="G799" s="89" t="s">
        <v>90</v>
      </c>
      <c r="H799" s="89" t="s">
        <v>1787</v>
      </c>
      <c r="I799" s="602">
        <v>0.4548611111111111</v>
      </c>
      <c r="J799" s="89">
        <v>948.75</v>
      </c>
      <c r="K799" s="82">
        <v>15.575000000000001</v>
      </c>
      <c r="L799" s="82">
        <v>10.77</v>
      </c>
      <c r="M799" s="82">
        <v>1.0974999999999999</v>
      </c>
      <c r="N799" s="82">
        <v>11.375</v>
      </c>
      <c r="O799" s="89" t="s">
        <v>48</v>
      </c>
      <c r="P799" s="89">
        <v>4</v>
      </c>
      <c r="Q799" s="89">
        <v>10</v>
      </c>
      <c r="R799" s="89" t="s">
        <v>64</v>
      </c>
      <c r="S799" s="89" t="s">
        <v>50</v>
      </c>
      <c r="T799" s="89" t="s">
        <v>50</v>
      </c>
      <c r="U799" s="89" t="s">
        <v>50</v>
      </c>
      <c r="V799" s="89" t="s">
        <v>50</v>
      </c>
      <c r="W799" s="89" t="s">
        <v>50</v>
      </c>
      <c r="X799" s="89" t="s">
        <v>50</v>
      </c>
    </row>
    <row r="800" spans="1:25" x14ac:dyDescent="0.25">
      <c r="A800" s="26">
        <v>43783</v>
      </c>
      <c r="B800" s="89" t="s">
        <v>876</v>
      </c>
      <c r="C800" s="89" t="s">
        <v>78</v>
      </c>
      <c r="D800" s="89">
        <v>38.060009999999998</v>
      </c>
      <c r="E800" s="89">
        <v>-121.98739999999999</v>
      </c>
      <c r="F800" s="89" t="s">
        <v>4372</v>
      </c>
      <c r="G800" s="89" t="s">
        <v>27</v>
      </c>
      <c r="H800" s="89" t="s">
        <v>86</v>
      </c>
      <c r="I800" s="602">
        <v>0.42708333333333331</v>
      </c>
      <c r="J800" s="89">
        <v>30118</v>
      </c>
      <c r="K800" s="82">
        <v>14.762500000000001</v>
      </c>
      <c r="L800" s="82">
        <v>30.924999999999997</v>
      </c>
      <c r="M800" s="82">
        <v>0.73249999999999993</v>
      </c>
      <c r="N800" s="82">
        <v>14.95</v>
      </c>
      <c r="O800" s="89" t="s">
        <v>48</v>
      </c>
      <c r="P800" s="89">
        <v>4</v>
      </c>
      <c r="Q800" s="89">
        <v>10</v>
      </c>
      <c r="R800" s="89" t="s">
        <v>49</v>
      </c>
      <c r="S800" s="89" t="s">
        <v>50</v>
      </c>
      <c r="T800" s="89" t="s">
        <v>50</v>
      </c>
      <c r="U800" s="89" t="s">
        <v>50</v>
      </c>
      <c r="V800" s="89" t="s">
        <v>50</v>
      </c>
      <c r="W800" s="89" t="s">
        <v>50</v>
      </c>
      <c r="X800" s="89" t="s">
        <v>50</v>
      </c>
    </row>
    <row r="801" spans="1:25" x14ac:dyDescent="0.25">
      <c r="A801" s="26">
        <v>43783</v>
      </c>
      <c r="B801" s="89" t="s">
        <v>876</v>
      </c>
      <c r="C801" s="89" t="s">
        <v>78</v>
      </c>
      <c r="D801" s="89">
        <v>38.055070000000001</v>
      </c>
      <c r="E801" s="89">
        <v>-122.10777</v>
      </c>
      <c r="F801" s="89" t="s">
        <v>4373</v>
      </c>
      <c r="G801" s="89" t="s">
        <v>80</v>
      </c>
      <c r="H801" s="89" t="s">
        <v>81</v>
      </c>
      <c r="I801" s="602">
        <v>0.49652777777777773</v>
      </c>
      <c r="J801" s="89">
        <v>23508.5</v>
      </c>
      <c r="K801" s="82">
        <v>14.7</v>
      </c>
      <c r="L801" s="82">
        <v>32.924999999999997</v>
      </c>
      <c r="M801" s="82">
        <v>0.9375</v>
      </c>
      <c r="N801" s="82">
        <v>8.875</v>
      </c>
      <c r="O801" s="89" t="s">
        <v>48</v>
      </c>
      <c r="P801" s="89">
        <v>4</v>
      </c>
      <c r="Q801" s="89">
        <v>10</v>
      </c>
      <c r="R801" s="89" t="s">
        <v>64</v>
      </c>
      <c r="S801" s="89" t="s">
        <v>50</v>
      </c>
      <c r="T801" s="89" t="s">
        <v>50</v>
      </c>
      <c r="U801" s="89" t="s">
        <v>50</v>
      </c>
      <c r="V801" s="89" t="s">
        <v>50</v>
      </c>
      <c r="W801" s="89" t="s">
        <v>50</v>
      </c>
      <c r="X801" s="89" t="s">
        <v>50</v>
      </c>
    </row>
    <row r="802" spans="1:25" x14ac:dyDescent="0.25">
      <c r="A802" s="26">
        <v>43783</v>
      </c>
      <c r="B802" s="89" t="s">
        <v>876</v>
      </c>
      <c r="C802" s="89" t="s">
        <v>78</v>
      </c>
      <c r="D802" s="89">
        <v>38.05697</v>
      </c>
      <c r="E802" s="89">
        <v>-121.94561</v>
      </c>
      <c r="F802" s="89" t="s">
        <v>4374</v>
      </c>
      <c r="G802" s="89" t="s">
        <v>27</v>
      </c>
      <c r="H802" s="89" t="s">
        <v>170</v>
      </c>
      <c r="I802" s="602">
        <v>0.3743055555555555</v>
      </c>
      <c r="J802" s="89">
        <v>8095.75</v>
      </c>
      <c r="K802" s="82">
        <v>14.600000000000001</v>
      </c>
      <c r="L802" s="82">
        <v>24.75</v>
      </c>
      <c r="M802" s="82">
        <v>0.57250000000000001</v>
      </c>
      <c r="N802" s="82">
        <v>7.25</v>
      </c>
      <c r="O802" s="89" t="s">
        <v>48</v>
      </c>
      <c r="P802" s="89">
        <v>4</v>
      </c>
      <c r="Q802" s="89">
        <v>10</v>
      </c>
      <c r="R802" s="89" t="s">
        <v>64</v>
      </c>
      <c r="S802" s="89" t="s">
        <v>50</v>
      </c>
      <c r="T802" s="89" t="s">
        <v>50</v>
      </c>
      <c r="U802" s="89" t="s">
        <v>50</v>
      </c>
      <c r="V802" s="89" t="s">
        <v>50</v>
      </c>
      <c r="W802" s="89" t="s">
        <v>50</v>
      </c>
      <c r="X802" s="89" t="s">
        <v>50</v>
      </c>
    </row>
    <row r="803" spans="1:25" x14ac:dyDescent="0.25">
      <c r="A803" s="26">
        <v>43783</v>
      </c>
      <c r="B803" s="89" t="s">
        <v>876</v>
      </c>
      <c r="C803" s="89" t="s">
        <v>78</v>
      </c>
      <c r="D803" s="89">
        <v>38.057789999999997</v>
      </c>
      <c r="E803" s="89">
        <v>-122.00509</v>
      </c>
      <c r="F803" s="89" t="s">
        <v>4375</v>
      </c>
      <c r="G803" s="89" t="s">
        <v>27</v>
      </c>
      <c r="H803" s="89" t="s">
        <v>86</v>
      </c>
      <c r="I803" s="602">
        <v>0.56736111111111109</v>
      </c>
      <c r="J803" s="89">
        <v>18026.25</v>
      </c>
      <c r="K803" s="82">
        <v>14.875</v>
      </c>
      <c r="L803" s="82">
        <v>132.92500000000001</v>
      </c>
      <c r="M803" s="82">
        <v>0.89250000000000007</v>
      </c>
      <c r="N803" s="82">
        <v>14.225</v>
      </c>
      <c r="O803" s="89" t="s">
        <v>48</v>
      </c>
      <c r="P803" s="89">
        <v>4</v>
      </c>
      <c r="Q803" s="89">
        <v>10</v>
      </c>
      <c r="R803" s="89" t="s">
        <v>64</v>
      </c>
      <c r="S803" s="89" t="s">
        <v>50</v>
      </c>
      <c r="T803" s="89" t="s">
        <v>50</v>
      </c>
      <c r="U803" s="89" t="s">
        <v>50</v>
      </c>
      <c r="V803" s="89" t="s">
        <v>50</v>
      </c>
      <c r="W803" s="89" t="s">
        <v>50</v>
      </c>
      <c r="X803" s="89" t="s">
        <v>50</v>
      </c>
    </row>
    <row r="804" spans="1:25" x14ac:dyDescent="0.25">
      <c r="A804" s="26">
        <v>43784</v>
      </c>
      <c r="B804" s="89" t="s">
        <v>125</v>
      </c>
      <c r="C804" s="89" t="s">
        <v>95</v>
      </c>
      <c r="D804" s="89">
        <v>38.095649999999999</v>
      </c>
      <c r="E804" s="89">
        <v>-121.58468000000001</v>
      </c>
      <c r="F804" s="89" t="s">
        <v>4376</v>
      </c>
      <c r="G804" s="89" t="s">
        <v>46</v>
      </c>
      <c r="H804" s="89" t="s">
        <v>115</v>
      </c>
      <c r="I804" s="602">
        <v>0.30972222222222223</v>
      </c>
      <c r="J804" s="89">
        <v>156.67500000000001</v>
      </c>
      <c r="K804" s="89">
        <v>14.7</v>
      </c>
      <c r="L804" s="89">
        <v>5.52</v>
      </c>
      <c r="M804" s="89" t="s">
        <v>1233</v>
      </c>
      <c r="N804" s="89">
        <v>9.75</v>
      </c>
      <c r="O804" s="89" t="s">
        <v>48</v>
      </c>
      <c r="P804" s="89">
        <v>4</v>
      </c>
      <c r="Q804" s="89">
        <v>10</v>
      </c>
      <c r="R804" s="89" t="s">
        <v>64</v>
      </c>
      <c r="S804" s="89" t="s">
        <v>50</v>
      </c>
      <c r="T804" s="89" t="s">
        <v>50</v>
      </c>
      <c r="U804" s="89" t="s">
        <v>50</v>
      </c>
      <c r="V804" s="89" t="s">
        <v>50</v>
      </c>
      <c r="W804" s="89" t="s">
        <v>50</v>
      </c>
      <c r="X804" s="89" t="s">
        <v>50</v>
      </c>
      <c r="Y804" s="600" t="s">
        <v>996</v>
      </c>
    </row>
    <row r="805" spans="1:25" x14ac:dyDescent="0.25">
      <c r="A805" s="26">
        <v>43784</v>
      </c>
      <c r="B805" s="89" t="s">
        <v>125</v>
      </c>
      <c r="C805" s="89" t="s">
        <v>95</v>
      </c>
      <c r="D805" s="89">
        <v>38.116070000000001</v>
      </c>
      <c r="E805" s="89">
        <v>-121.62134</v>
      </c>
      <c r="F805" s="89" t="s">
        <v>4377</v>
      </c>
      <c r="G805" s="89" t="s">
        <v>46</v>
      </c>
      <c r="H805" s="89" t="s">
        <v>908</v>
      </c>
      <c r="I805" s="602">
        <v>0.36736111111111108</v>
      </c>
      <c r="J805" s="89">
        <v>159.4</v>
      </c>
      <c r="K805" s="89">
        <v>14.6</v>
      </c>
      <c r="L805" s="89">
        <v>3.92</v>
      </c>
      <c r="M805" s="89" t="s">
        <v>1233</v>
      </c>
      <c r="N805" s="89">
        <v>2.7</v>
      </c>
      <c r="O805" s="89" t="s">
        <v>48</v>
      </c>
      <c r="P805" s="89">
        <v>1</v>
      </c>
      <c r="Q805" s="89">
        <v>10</v>
      </c>
      <c r="R805" s="89" t="s">
        <v>49</v>
      </c>
      <c r="S805" s="89" t="s">
        <v>50</v>
      </c>
      <c r="T805" s="89" t="s">
        <v>50</v>
      </c>
      <c r="U805" s="89" t="s">
        <v>50</v>
      </c>
      <c r="V805" s="89" t="s">
        <v>50</v>
      </c>
      <c r="W805" s="89" t="s">
        <v>50</v>
      </c>
      <c r="X805" s="89" t="s">
        <v>50</v>
      </c>
      <c r="Y805" s="600" t="s">
        <v>4378</v>
      </c>
    </row>
    <row r="806" spans="1:25" x14ac:dyDescent="0.25">
      <c r="A806" s="26">
        <v>43784</v>
      </c>
      <c r="B806" s="89" t="s">
        <v>125</v>
      </c>
      <c r="C806" s="89" t="s">
        <v>95</v>
      </c>
      <c r="D806" s="89">
        <v>38.068280000000001</v>
      </c>
      <c r="E806" s="89">
        <v>-121.67664000000001</v>
      </c>
      <c r="F806" s="89" t="s">
        <v>4379</v>
      </c>
      <c r="G806" s="89" t="s">
        <v>46</v>
      </c>
      <c r="H806" s="89" t="s">
        <v>908</v>
      </c>
      <c r="I806" s="602">
        <v>0.39999999999999997</v>
      </c>
      <c r="J806" s="82">
        <v>216.17500000000001</v>
      </c>
      <c r="K806" s="82">
        <v>14.975</v>
      </c>
      <c r="L806" s="82">
        <v>5.9450000000000003</v>
      </c>
      <c r="M806" s="82" t="s">
        <v>1233</v>
      </c>
      <c r="N806" s="82">
        <v>11.725</v>
      </c>
      <c r="O806" s="89" t="s">
        <v>48</v>
      </c>
      <c r="P806" s="89">
        <v>4</v>
      </c>
      <c r="Q806" s="89">
        <v>10</v>
      </c>
      <c r="R806" s="89" t="s">
        <v>49</v>
      </c>
      <c r="S806" s="89" t="s">
        <v>50</v>
      </c>
      <c r="T806" s="89" t="s">
        <v>50</v>
      </c>
      <c r="U806" s="89" t="s">
        <v>50</v>
      </c>
      <c r="V806" s="89" t="s">
        <v>50</v>
      </c>
      <c r="W806" s="89" t="s">
        <v>50</v>
      </c>
      <c r="X806" s="89" t="s">
        <v>50</v>
      </c>
    </row>
    <row r="807" spans="1:25" x14ac:dyDescent="0.25">
      <c r="A807" s="26">
        <v>43784</v>
      </c>
      <c r="B807" s="89" t="s">
        <v>125</v>
      </c>
      <c r="C807" s="89" t="s">
        <v>95</v>
      </c>
      <c r="D807" s="89">
        <v>38.037680000000002</v>
      </c>
      <c r="E807" s="89">
        <v>-121.72729</v>
      </c>
      <c r="F807" s="89" t="s">
        <v>4380</v>
      </c>
      <c r="G807" s="89" t="s">
        <v>27</v>
      </c>
      <c r="H807" s="89" t="s">
        <v>863</v>
      </c>
      <c r="I807" s="602">
        <v>0.45208333333333334</v>
      </c>
      <c r="J807" s="100">
        <v>309.125</v>
      </c>
      <c r="K807" s="100">
        <v>15.075000000000001</v>
      </c>
      <c r="L807" s="100">
        <v>7.8450000000000006</v>
      </c>
      <c r="M807" s="100">
        <v>1.415</v>
      </c>
      <c r="N807" s="100">
        <v>11</v>
      </c>
      <c r="O807" s="89" t="s">
        <v>48</v>
      </c>
      <c r="P807" s="98">
        <v>4</v>
      </c>
      <c r="Q807" s="98">
        <v>10</v>
      </c>
      <c r="R807" s="89" t="s">
        <v>49</v>
      </c>
      <c r="S807" s="89" t="s">
        <v>50</v>
      </c>
      <c r="T807" s="89" t="s">
        <v>50</v>
      </c>
      <c r="U807" s="89" t="s">
        <v>50</v>
      </c>
      <c r="V807" s="89" t="s">
        <v>50</v>
      </c>
      <c r="W807" s="89" t="s">
        <v>50</v>
      </c>
      <c r="X807" s="89" t="s">
        <v>50</v>
      </c>
    </row>
    <row r="808" spans="1:25" x14ac:dyDescent="0.25">
      <c r="A808" s="26">
        <v>43784</v>
      </c>
      <c r="B808" s="89" t="s">
        <v>125</v>
      </c>
      <c r="C808" s="89" t="s">
        <v>106</v>
      </c>
      <c r="D808" s="89">
        <v>38.182789999999997</v>
      </c>
      <c r="E808" s="89">
        <v>-121.66207</v>
      </c>
      <c r="F808" s="89" t="s">
        <v>4381</v>
      </c>
      <c r="G808" s="89" t="s">
        <v>90</v>
      </c>
      <c r="H808" s="89" t="s">
        <v>362</v>
      </c>
      <c r="I808" s="602">
        <v>0.30833333333333335</v>
      </c>
      <c r="J808" s="82">
        <v>137.17500000000001</v>
      </c>
      <c r="K808" s="82">
        <v>14.3</v>
      </c>
      <c r="L808" s="82">
        <v>4.96</v>
      </c>
      <c r="M808" s="82" t="s">
        <v>1233</v>
      </c>
      <c r="N808" s="82">
        <v>16.399999999999999</v>
      </c>
      <c r="O808" s="89" t="s">
        <v>48</v>
      </c>
      <c r="P808" s="89">
        <v>4</v>
      </c>
      <c r="Q808" s="89">
        <v>10</v>
      </c>
      <c r="R808" s="89" t="s">
        <v>49</v>
      </c>
      <c r="S808" s="89" t="s">
        <v>50</v>
      </c>
      <c r="T808" s="89" t="s">
        <v>50</v>
      </c>
      <c r="U808" s="89" t="s">
        <v>50</v>
      </c>
      <c r="V808" s="89" t="s">
        <v>50</v>
      </c>
      <c r="W808" s="89" t="s">
        <v>50</v>
      </c>
      <c r="X808" s="89" t="s">
        <v>50</v>
      </c>
      <c r="Y808" s="600" t="s">
        <v>4382</v>
      </c>
    </row>
    <row r="809" spans="1:25" x14ac:dyDescent="0.25">
      <c r="A809" s="26">
        <v>43784</v>
      </c>
      <c r="B809" s="89" t="s">
        <v>125</v>
      </c>
      <c r="C809" s="89" t="s">
        <v>106</v>
      </c>
      <c r="D809" s="89">
        <v>38.25271</v>
      </c>
      <c r="E809" s="89">
        <v>-121.6679</v>
      </c>
      <c r="F809" s="89" t="s">
        <v>4383</v>
      </c>
      <c r="G809" s="89" t="s">
        <v>90</v>
      </c>
      <c r="H809" s="89" t="s">
        <v>362</v>
      </c>
      <c r="I809" s="602">
        <v>0.36874999999999997</v>
      </c>
      <c r="J809" s="82">
        <v>145.15</v>
      </c>
      <c r="K809" s="82">
        <v>14.4</v>
      </c>
      <c r="L809" s="82">
        <v>7.0225</v>
      </c>
      <c r="M809" s="82">
        <v>1.78</v>
      </c>
      <c r="N809" s="82">
        <v>8.15</v>
      </c>
      <c r="O809" s="89" t="s">
        <v>48</v>
      </c>
      <c r="P809" s="89">
        <v>4</v>
      </c>
      <c r="Q809" s="89">
        <v>10</v>
      </c>
      <c r="R809" s="89" t="s">
        <v>49</v>
      </c>
      <c r="S809" s="89" t="s">
        <v>50</v>
      </c>
      <c r="T809" s="89" t="s">
        <v>50</v>
      </c>
      <c r="U809" s="89" t="s">
        <v>50</v>
      </c>
      <c r="V809" s="89" t="s">
        <v>50</v>
      </c>
      <c r="W809" s="89" t="s">
        <v>50</v>
      </c>
      <c r="X809" s="89" t="s">
        <v>50</v>
      </c>
    </row>
    <row r="810" spans="1:25" x14ac:dyDescent="0.25">
      <c r="A810" s="26">
        <v>43784</v>
      </c>
      <c r="B810" s="89" t="s">
        <v>125</v>
      </c>
      <c r="C810" s="89" t="s">
        <v>106</v>
      </c>
      <c r="D810" s="89">
        <v>38.43817</v>
      </c>
      <c r="E810" s="89">
        <v>-121.59989</v>
      </c>
      <c r="F810" s="89" t="s">
        <v>4384</v>
      </c>
      <c r="G810" s="89" t="s">
        <v>90</v>
      </c>
      <c r="H810" s="89" t="s">
        <v>362</v>
      </c>
      <c r="I810" s="602">
        <v>0.43472222222222223</v>
      </c>
      <c r="J810" s="82">
        <v>623.25</v>
      </c>
      <c r="K810" s="82">
        <v>14.875</v>
      </c>
      <c r="L810" s="82">
        <v>40.825000000000003</v>
      </c>
      <c r="M810" s="82">
        <v>0.30250000000000005</v>
      </c>
      <c r="N810" s="82">
        <v>10.125</v>
      </c>
      <c r="O810" s="89" t="s">
        <v>48</v>
      </c>
      <c r="P810" s="89">
        <v>4</v>
      </c>
      <c r="Q810" s="89">
        <v>10</v>
      </c>
      <c r="R810" s="89" t="s">
        <v>49</v>
      </c>
      <c r="S810" s="89" t="s">
        <v>50</v>
      </c>
      <c r="T810" s="89" t="s">
        <v>50</v>
      </c>
      <c r="U810" s="89" t="s">
        <v>50</v>
      </c>
      <c r="V810" s="89" t="s">
        <v>50</v>
      </c>
      <c r="W810" s="89" t="s">
        <v>50</v>
      </c>
      <c r="X810" s="89" t="s">
        <v>50</v>
      </c>
      <c r="Y810" s="600" t="s">
        <v>4385</v>
      </c>
    </row>
    <row r="811" spans="1:25" x14ac:dyDescent="0.25">
      <c r="A811" s="26">
        <v>43784</v>
      </c>
      <c r="B811" s="89" t="s">
        <v>125</v>
      </c>
      <c r="C811" s="89" t="s">
        <v>118</v>
      </c>
      <c r="D811" s="89">
        <v>38.015639999999998</v>
      </c>
      <c r="E811" s="89">
        <v>-122.29749</v>
      </c>
      <c r="F811" s="89" t="s">
        <v>4386</v>
      </c>
      <c r="G811" s="89" t="s">
        <v>80</v>
      </c>
      <c r="H811" s="89" t="s">
        <v>123</v>
      </c>
      <c r="I811" s="602">
        <v>0.34097222222222223</v>
      </c>
      <c r="J811" s="82">
        <v>35387.25</v>
      </c>
      <c r="K811" s="82">
        <v>14.149999999999999</v>
      </c>
      <c r="L811" s="82">
        <v>48.975000000000001</v>
      </c>
      <c r="M811" s="82">
        <v>1.07</v>
      </c>
      <c r="N811" s="82">
        <v>2.75</v>
      </c>
      <c r="O811" s="89" t="s">
        <v>48</v>
      </c>
      <c r="P811" s="89">
        <v>4</v>
      </c>
      <c r="Q811" s="89">
        <v>10</v>
      </c>
      <c r="R811" s="89" t="s">
        <v>49</v>
      </c>
      <c r="S811" s="89" t="s">
        <v>50</v>
      </c>
      <c r="T811" s="89" t="s">
        <v>50</v>
      </c>
      <c r="U811" s="89" t="s">
        <v>50</v>
      </c>
      <c r="V811" s="89" t="s">
        <v>50</v>
      </c>
      <c r="W811" s="89" t="s">
        <v>50</v>
      </c>
      <c r="X811" s="89" t="s">
        <v>50</v>
      </c>
    </row>
    <row r="812" spans="1:25" x14ac:dyDescent="0.25">
      <c r="A812" s="26">
        <v>43784</v>
      </c>
      <c r="B812" s="89" t="s">
        <v>125</v>
      </c>
      <c r="C812" s="89" t="s">
        <v>118</v>
      </c>
      <c r="D812" s="89">
        <v>38.04468</v>
      </c>
      <c r="E812" s="89">
        <v>-122.31747</v>
      </c>
      <c r="F812" s="89" t="s">
        <v>4387</v>
      </c>
      <c r="G812" s="89" t="s">
        <v>80</v>
      </c>
      <c r="H812" s="89" t="s">
        <v>123</v>
      </c>
      <c r="I812" s="602">
        <v>0.40625</v>
      </c>
      <c r="J812" s="100">
        <v>31697.75</v>
      </c>
      <c r="K812" s="100">
        <v>14.55</v>
      </c>
      <c r="L812" s="100">
        <v>53.349999999999994</v>
      </c>
      <c r="M812" s="100">
        <v>1.1150000000000002</v>
      </c>
      <c r="N812" s="100">
        <v>10.025</v>
      </c>
      <c r="O812" s="98" t="s">
        <v>48</v>
      </c>
      <c r="P812" s="98">
        <v>4</v>
      </c>
      <c r="Q812" s="98">
        <v>10</v>
      </c>
      <c r="R812" s="89" t="s">
        <v>49</v>
      </c>
      <c r="S812" s="89" t="s">
        <v>50</v>
      </c>
      <c r="T812" s="89" t="s">
        <v>50</v>
      </c>
      <c r="U812" s="89" t="s">
        <v>50</v>
      </c>
      <c r="V812" s="89" t="s">
        <v>50</v>
      </c>
      <c r="W812" s="89" t="s">
        <v>50</v>
      </c>
      <c r="X812" s="89" t="s">
        <v>50</v>
      </c>
    </row>
    <row r="813" spans="1:25" s="362" customFormat="1" x14ac:dyDescent="0.25">
      <c r="A813" s="360">
        <v>43784</v>
      </c>
      <c r="B813" s="362" t="s">
        <v>125</v>
      </c>
      <c r="C813" s="362" t="s">
        <v>118</v>
      </c>
      <c r="D813" s="362">
        <v>38.06494</v>
      </c>
      <c r="E813" s="362">
        <v>-122.28270000000001</v>
      </c>
      <c r="F813" s="362" t="s">
        <v>4388</v>
      </c>
      <c r="G813" s="362" t="s">
        <v>80</v>
      </c>
      <c r="H813" s="362" t="s">
        <v>123</v>
      </c>
      <c r="I813" s="618">
        <v>0.4597222222222222</v>
      </c>
      <c r="J813" s="364">
        <v>27901.25</v>
      </c>
      <c r="K813" s="364">
        <v>15.074999999999999</v>
      </c>
      <c r="L813" s="364">
        <v>57.849999999999994</v>
      </c>
      <c r="M813" s="364">
        <v>0.97750000000000004</v>
      </c>
      <c r="N813" s="364">
        <v>6.0574999999999992</v>
      </c>
      <c r="O813" s="362" t="s">
        <v>48</v>
      </c>
      <c r="P813" s="362">
        <v>4</v>
      </c>
      <c r="Q813" s="362">
        <v>10</v>
      </c>
      <c r="R813" s="362" t="s">
        <v>64</v>
      </c>
      <c r="S813" s="362" t="s">
        <v>50</v>
      </c>
      <c r="T813" s="362" t="s">
        <v>50</v>
      </c>
      <c r="U813" s="362" t="s">
        <v>50</v>
      </c>
      <c r="V813" s="362" t="s">
        <v>50</v>
      </c>
      <c r="W813" s="362" t="s">
        <v>50</v>
      </c>
      <c r="X813" s="362" t="s">
        <v>50</v>
      </c>
      <c r="Y813" s="603" t="s">
        <v>3878</v>
      </c>
    </row>
    <row r="814" spans="1:25" x14ac:dyDescent="0.25">
      <c r="A814" s="26">
        <v>43787</v>
      </c>
      <c r="B814" s="89" t="s">
        <v>43</v>
      </c>
      <c r="C814" s="89" t="s">
        <v>95</v>
      </c>
      <c r="D814" s="89">
        <v>38.096609999999998</v>
      </c>
      <c r="E814" s="89">
        <v>-121.58154</v>
      </c>
      <c r="F814" s="89" t="s">
        <v>4389</v>
      </c>
      <c r="G814" s="89" t="s">
        <v>46</v>
      </c>
      <c r="H814" s="89" t="s">
        <v>115</v>
      </c>
      <c r="I814" s="602">
        <v>0.30555555555555552</v>
      </c>
      <c r="J814" s="82">
        <v>154.94999999999999</v>
      </c>
      <c r="K814" s="82">
        <v>14.7</v>
      </c>
      <c r="L814" s="82">
        <v>2.7475000000000005</v>
      </c>
      <c r="M814" s="82" t="s">
        <v>1233</v>
      </c>
      <c r="N814" s="82">
        <v>14.900000000000002</v>
      </c>
      <c r="O814" s="89" t="s">
        <v>48</v>
      </c>
      <c r="P814" s="89">
        <v>4</v>
      </c>
      <c r="Q814" s="89">
        <v>10</v>
      </c>
      <c r="R814" s="89" t="s">
        <v>64</v>
      </c>
      <c r="S814" s="89" t="s">
        <v>50</v>
      </c>
      <c r="T814" s="89" t="s">
        <v>50</v>
      </c>
      <c r="U814" s="89" t="s">
        <v>50</v>
      </c>
      <c r="V814" s="89" t="s">
        <v>50</v>
      </c>
      <c r="W814" s="89" t="s">
        <v>50</v>
      </c>
      <c r="X814" s="89" t="s">
        <v>50</v>
      </c>
    </row>
    <row r="815" spans="1:25" x14ac:dyDescent="0.25">
      <c r="A815" s="26">
        <v>43787</v>
      </c>
      <c r="B815" s="89" t="s">
        <v>43</v>
      </c>
      <c r="C815" s="89" t="s">
        <v>95</v>
      </c>
      <c r="D815" s="89">
        <v>38.094740000000002</v>
      </c>
      <c r="E815" s="89">
        <v>-121.62658999999999</v>
      </c>
      <c r="F815" s="89" t="s">
        <v>4390</v>
      </c>
      <c r="G815" s="89" t="s">
        <v>46</v>
      </c>
      <c r="H815" s="89" t="s">
        <v>908</v>
      </c>
      <c r="I815" s="602">
        <v>0.35625000000000001</v>
      </c>
      <c r="J815" s="82">
        <v>160.35</v>
      </c>
      <c r="K815" s="82">
        <v>14.8</v>
      </c>
      <c r="L815" s="82">
        <v>4.9074999999999998</v>
      </c>
      <c r="M815" s="82" t="s">
        <v>1233</v>
      </c>
      <c r="N815" s="82">
        <v>5.25</v>
      </c>
      <c r="O815" s="89" t="s">
        <v>48</v>
      </c>
      <c r="P815" s="89">
        <v>4</v>
      </c>
      <c r="Q815" s="89">
        <v>10</v>
      </c>
      <c r="R815" s="89" t="s">
        <v>64</v>
      </c>
      <c r="S815" s="89" t="s">
        <v>50</v>
      </c>
      <c r="T815" s="89" t="s">
        <v>50</v>
      </c>
      <c r="U815" s="89" t="s">
        <v>50</v>
      </c>
      <c r="V815" s="89" t="s">
        <v>50</v>
      </c>
      <c r="W815" s="89" t="s">
        <v>50</v>
      </c>
      <c r="X815" s="89" t="s">
        <v>50</v>
      </c>
      <c r="Y815" s="600" t="s">
        <v>124</v>
      </c>
    </row>
    <row r="816" spans="1:25" x14ac:dyDescent="0.25">
      <c r="A816" s="26">
        <v>43787</v>
      </c>
      <c r="B816" s="89" t="s">
        <v>43</v>
      </c>
      <c r="C816" s="89" t="s">
        <v>95</v>
      </c>
      <c r="D816" s="89">
        <v>38.065519999999999</v>
      </c>
      <c r="E816" s="89">
        <v>-121.6718</v>
      </c>
      <c r="F816" s="89" t="s">
        <v>4391</v>
      </c>
      <c r="G816" s="89" t="s">
        <v>46</v>
      </c>
      <c r="H816" s="89" t="s">
        <v>908</v>
      </c>
      <c r="I816" s="602">
        <v>0.41875000000000001</v>
      </c>
      <c r="J816" s="82">
        <v>335.79999999999995</v>
      </c>
      <c r="K816" s="82">
        <v>15</v>
      </c>
      <c r="L816" s="82">
        <v>7.1825000000000001</v>
      </c>
      <c r="M816" s="82">
        <v>1.5249999999999999</v>
      </c>
      <c r="N816" s="82">
        <v>4.9000000000000004</v>
      </c>
      <c r="O816" s="89" t="s">
        <v>48</v>
      </c>
      <c r="P816" s="89">
        <v>4</v>
      </c>
      <c r="Q816" s="89">
        <v>10</v>
      </c>
      <c r="R816" s="89" t="s">
        <v>64</v>
      </c>
      <c r="S816" s="89" t="s">
        <v>50</v>
      </c>
      <c r="T816" s="89" t="s">
        <v>50</v>
      </c>
      <c r="U816" s="89" t="s">
        <v>50</v>
      </c>
      <c r="V816" s="89" t="s">
        <v>50</v>
      </c>
      <c r="W816" s="89" t="s">
        <v>50</v>
      </c>
      <c r="X816" s="89" t="s">
        <v>50</v>
      </c>
    </row>
    <row r="817" spans="1:25" x14ac:dyDescent="0.25">
      <c r="A817" s="26">
        <v>43787</v>
      </c>
      <c r="B817" s="89" t="s">
        <v>43</v>
      </c>
      <c r="C817" s="89" t="s">
        <v>126</v>
      </c>
      <c r="D817" s="89">
        <v>38.233029999999999</v>
      </c>
      <c r="E817" s="89">
        <v>-121.67674</v>
      </c>
      <c r="F817" s="89" t="s">
        <v>4392</v>
      </c>
      <c r="G817" s="89" t="s">
        <v>90</v>
      </c>
      <c r="H817" s="89" t="s">
        <v>845</v>
      </c>
      <c r="I817" s="602">
        <v>0.3354166666666667</v>
      </c>
      <c r="J817" s="82">
        <v>151.64999999999998</v>
      </c>
      <c r="K817" s="82">
        <v>14.3</v>
      </c>
      <c r="L817" s="82">
        <v>5.5449999999999999</v>
      </c>
      <c r="M817" s="82" t="s">
        <v>1233</v>
      </c>
      <c r="N817" s="82">
        <v>12.7</v>
      </c>
      <c r="O817" s="89" t="s">
        <v>48</v>
      </c>
      <c r="P817" s="89">
        <v>4</v>
      </c>
      <c r="Q817" s="89">
        <v>10</v>
      </c>
      <c r="R817" s="89" t="s">
        <v>64</v>
      </c>
      <c r="S817" s="89" t="s">
        <v>50</v>
      </c>
      <c r="T817" s="89" t="s">
        <v>50</v>
      </c>
      <c r="U817" s="89" t="s">
        <v>50</v>
      </c>
      <c r="V817" s="89" t="s">
        <v>50</v>
      </c>
      <c r="W817" s="89" t="s">
        <v>50</v>
      </c>
      <c r="X817" s="89" t="s">
        <v>50</v>
      </c>
    </row>
    <row r="818" spans="1:25" x14ac:dyDescent="0.25">
      <c r="A818" s="26">
        <v>43787</v>
      </c>
      <c r="B818" s="89" t="s">
        <v>43</v>
      </c>
      <c r="C818" s="89" t="s">
        <v>126</v>
      </c>
      <c r="D818" s="89">
        <v>38.241889999999998</v>
      </c>
      <c r="E818" s="89">
        <v>-121.68127</v>
      </c>
      <c r="F818" s="89" t="s">
        <v>4393</v>
      </c>
      <c r="G818" s="89" t="s">
        <v>90</v>
      </c>
      <c r="H818" s="89" t="s">
        <v>845</v>
      </c>
      <c r="I818" s="602">
        <v>0.38819444444444445</v>
      </c>
      <c r="J818" s="82">
        <v>151.75</v>
      </c>
      <c r="K818" s="82">
        <v>14.3</v>
      </c>
      <c r="L818" s="82">
        <v>6.7225000000000001</v>
      </c>
      <c r="M818" s="82" t="s">
        <v>1233</v>
      </c>
      <c r="N818" s="82">
        <v>14.424999999999999</v>
      </c>
      <c r="O818" s="89" t="s">
        <v>48</v>
      </c>
      <c r="P818" s="89">
        <v>4</v>
      </c>
      <c r="Q818" s="89">
        <v>10</v>
      </c>
      <c r="R818" s="89" t="s">
        <v>64</v>
      </c>
      <c r="S818" s="89" t="s">
        <v>50</v>
      </c>
      <c r="T818" s="89" t="s">
        <v>50</v>
      </c>
      <c r="U818" s="89" t="s">
        <v>50</v>
      </c>
      <c r="V818" s="89" t="s">
        <v>50</v>
      </c>
      <c r="W818" s="89" t="s">
        <v>50</v>
      </c>
      <c r="X818" s="89" t="s">
        <v>50</v>
      </c>
    </row>
    <row r="819" spans="1:25" x14ac:dyDescent="0.25">
      <c r="A819" s="26">
        <v>43787</v>
      </c>
      <c r="B819" s="89" t="s">
        <v>43</v>
      </c>
      <c r="C819" s="89" t="s">
        <v>126</v>
      </c>
      <c r="D819" s="89">
        <v>38.273389999999999</v>
      </c>
      <c r="E819" s="89">
        <v>-121.70747</v>
      </c>
      <c r="F819" s="89" t="s">
        <v>4394</v>
      </c>
      <c r="G819" s="89" t="s">
        <v>90</v>
      </c>
      <c r="H819" s="89" t="s">
        <v>845</v>
      </c>
      <c r="I819" s="602">
        <v>0.44097222222222227</v>
      </c>
      <c r="J819" s="82">
        <v>174.69999999999996</v>
      </c>
      <c r="K819" s="82">
        <v>14.699999999999998</v>
      </c>
      <c r="L819" s="82">
        <v>7.1966666666666663</v>
      </c>
      <c r="M819" s="82" t="s">
        <v>1233</v>
      </c>
      <c r="N819" s="82">
        <v>5.166666666666667</v>
      </c>
      <c r="O819" s="89" t="s">
        <v>48</v>
      </c>
      <c r="P819" s="89">
        <v>3</v>
      </c>
      <c r="Q819" s="89">
        <v>10</v>
      </c>
      <c r="R819" s="89" t="s">
        <v>49</v>
      </c>
      <c r="S819" s="89" t="s">
        <v>50</v>
      </c>
      <c r="T819" s="89" t="s">
        <v>50</v>
      </c>
      <c r="U819" s="89" t="s">
        <v>50</v>
      </c>
      <c r="V819" s="89" t="s">
        <v>50</v>
      </c>
      <c r="W819" s="89" t="s">
        <v>50</v>
      </c>
      <c r="X819" s="89" t="s">
        <v>50</v>
      </c>
      <c r="Y819" s="600" t="s">
        <v>4395</v>
      </c>
    </row>
    <row r="820" spans="1:25" x14ac:dyDescent="0.25">
      <c r="A820" s="26">
        <v>43787</v>
      </c>
      <c r="B820" s="89" t="s">
        <v>43</v>
      </c>
      <c r="C820" s="89" t="s">
        <v>118</v>
      </c>
      <c r="D820" s="89">
        <v>38.153440000000003</v>
      </c>
      <c r="E820" s="89">
        <v>-122.2937</v>
      </c>
      <c r="F820" s="89" t="s">
        <v>4396</v>
      </c>
      <c r="G820" s="89" t="s">
        <v>80</v>
      </c>
      <c r="H820" s="89" t="s">
        <v>191</v>
      </c>
      <c r="I820" s="602">
        <v>0.38819444444444445</v>
      </c>
      <c r="J820" s="100">
        <v>25887.25</v>
      </c>
      <c r="K820" s="100">
        <v>14.95</v>
      </c>
      <c r="L820" s="100">
        <v>19.200000000000003</v>
      </c>
      <c r="M820" s="100">
        <v>0.6399999999999999</v>
      </c>
      <c r="N820" s="100">
        <v>5.6425000000000001</v>
      </c>
      <c r="O820" s="89" t="s">
        <v>48</v>
      </c>
      <c r="P820" s="89">
        <v>4</v>
      </c>
      <c r="Q820" s="89">
        <v>10</v>
      </c>
      <c r="R820" s="89" t="s">
        <v>49</v>
      </c>
      <c r="S820" s="89" t="s">
        <v>50</v>
      </c>
      <c r="T820" s="89" t="s">
        <v>50</v>
      </c>
      <c r="U820" s="89" t="s">
        <v>50</v>
      </c>
      <c r="V820" s="89" t="s">
        <v>50</v>
      </c>
      <c r="W820" s="89" t="s">
        <v>50</v>
      </c>
      <c r="X820" s="89" t="s">
        <v>50</v>
      </c>
    </row>
    <row r="821" spans="1:25" x14ac:dyDescent="0.25">
      <c r="A821" s="26">
        <v>43787</v>
      </c>
      <c r="B821" s="89" t="s">
        <v>43</v>
      </c>
      <c r="C821" s="89" t="s">
        <v>118</v>
      </c>
      <c r="D821" s="89">
        <v>38.035299999999999</v>
      </c>
      <c r="E821" s="89">
        <v>-122.30807</v>
      </c>
      <c r="F821" s="89" t="s">
        <v>4397</v>
      </c>
      <c r="G821" s="89" t="s">
        <v>80</v>
      </c>
      <c r="H821" s="89" t="s">
        <v>123</v>
      </c>
      <c r="I821" s="602">
        <v>0.45347222222222222</v>
      </c>
      <c r="J821" s="100">
        <v>34513.25</v>
      </c>
      <c r="K821" s="100">
        <v>14.649999999999999</v>
      </c>
      <c r="L821" s="100">
        <v>15.95</v>
      </c>
      <c r="M821" s="100">
        <v>1.0449999999999999</v>
      </c>
      <c r="N821" s="100">
        <v>3.4</v>
      </c>
      <c r="O821" s="89" t="s">
        <v>48</v>
      </c>
      <c r="P821" s="89">
        <v>4</v>
      </c>
      <c r="Q821" s="89">
        <v>10</v>
      </c>
      <c r="R821" s="89" t="s">
        <v>49</v>
      </c>
      <c r="S821" s="89" t="s">
        <v>50</v>
      </c>
      <c r="T821" s="89" t="s">
        <v>50</v>
      </c>
      <c r="U821" s="89" t="s">
        <v>50</v>
      </c>
      <c r="V821" s="89" t="s">
        <v>50</v>
      </c>
      <c r="W821" s="89" t="s">
        <v>50</v>
      </c>
      <c r="X821" s="89" t="s">
        <v>50</v>
      </c>
    </row>
    <row r="822" spans="1:25" x14ac:dyDescent="0.25">
      <c r="A822" s="26">
        <v>43787</v>
      </c>
      <c r="B822" s="89" t="s">
        <v>43</v>
      </c>
      <c r="C822" s="89" t="s">
        <v>118</v>
      </c>
      <c r="D822" s="89">
        <v>38.060479999999998</v>
      </c>
      <c r="E822" s="89">
        <v>-122.27779</v>
      </c>
      <c r="F822" s="89" t="s">
        <v>4398</v>
      </c>
      <c r="G822" s="89" t="s">
        <v>80</v>
      </c>
      <c r="H822" s="89" t="s">
        <v>123</v>
      </c>
      <c r="I822" s="602">
        <v>0.50694444444444442</v>
      </c>
      <c r="J822" s="100">
        <v>29482</v>
      </c>
      <c r="K822" s="100">
        <v>14.824999999999999</v>
      </c>
      <c r="L822" s="100">
        <v>13.9</v>
      </c>
      <c r="M822" s="100">
        <v>0.86499999999999999</v>
      </c>
      <c r="N822" s="100">
        <v>15.1</v>
      </c>
      <c r="O822" s="89" t="s">
        <v>48</v>
      </c>
      <c r="P822" s="98">
        <v>4</v>
      </c>
      <c r="Q822" s="98">
        <v>10</v>
      </c>
      <c r="R822" s="89" t="s">
        <v>49</v>
      </c>
      <c r="S822" s="89" t="s">
        <v>50</v>
      </c>
      <c r="T822" s="89" t="s">
        <v>50</v>
      </c>
      <c r="U822" s="89" t="s">
        <v>50</v>
      </c>
      <c r="V822" s="89" t="s">
        <v>50</v>
      </c>
      <c r="W822" s="89" t="s">
        <v>50</v>
      </c>
      <c r="X822" s="89" t="s">
        <v>50</v>
      </c>
    </row>
    <row r="823" spans="1:25" x14ac:dyDescent="0.25">
      <c r="A823" s="26">
        <v>43787</v>
      </c>
      <c r="B823" s="89" t="s">
        <v>43</v>
      </c>
      <c r="C823" s="89" t="s">
        <v>78</v>
      </c>
      <c r="D823" s="89">
        <v>38.032359999999997</v>
      </c>
      <c r="E823" s="89">
        <v>-122.14027</v>
      </c>
      <c r="F823" s="89" t="s">
        <v>4399</v>
      </c>
      <c r="G823" s="89" t="s">
        <v>80</v>
      </c>
      <c r="H823" s="89" t="s">
        <v>81</v>
      </c>
      <c r="I823" s="602">
        <v>0.58888888888888891</v>
      </c>
      <c r="J823" s="82">
        <v>23789.5</v>
      </c>
      <c r="K823" s="82">
        <v>15.2</v>
      </c>
      <c r="L823" s="82">
        <v>11.55</v>
      </c>
      <c r="M823" s="82">
        <v>0.77</v>
      </c>
      <c r="N823" s="82">
        <v>17.350000000000001</v>
      </c>
      <c r="O823" s="89" t="s">
        <v>48</v>
      </c>
      <c r="P823" s="89">
        <v>2</v>
      </c>
      <c r="Q823" s="89">
        <v>10</v>
      </c>
      <c r="R823" s="89" t="s">
        <v>64</v>
      </c>
      <c r="S823" s="89" t="s">
        <v>50</v>
      </c>
      <c r="T823" s="89" t="s">
        <v>50</v>
      </c>
      <c r="U823" s="89" t="s">
        <v>50</v>
      </c>
      <c r="V823" s="89" t="s">
        <v>50</v>
      </c>
      <c r="W823" s="89" t="s">
        <v>50</v>
      </c>
      <c r="X823" s="89" t="s">
        <v>50</v>
      </c>
      <c r="Y823" s="600" t="s">
        <v>4400</v>
      </c>
    </row>
    <row r="824" spans="1:25" x14ac:dyDescent="0.25">
      <c r="A824" s="26">
        <v>43788</v>
      </c>
      <c r="B824" s="89" t="s">
        <v>849</v>
      </c>
      <c r="C824" s="89" t="s">
        <v>78</v>
      </c>
      <c r="D824" s="89">
        <v>38.06165</v>
      </c>
      <c r="E824" s="89">
        <v>-122.02038</v>
      </c>
      <c r="F824" s="89" t="s">
        <v>4401</v>
      </c>
      <c r="G824" s="89" t="s">
        <v>27</v>
      </c>
      <c r="H824" s="89" t="s">
        <v>86</v>
      </c>
      <c r="I824" s="602">
        <v>0.34097222222222223</v>
      </c>
      <c r="J824" s="82">
        <v>18444</v>
      </c>
      <c r="K824" s="82">
        <v>14.65</v>
      </c>
      <c r="L824" s="82">
        <v>17.824999999999999</v>
      </c>
      <c r="M824" s="82">
        <v>0.65749999999999997</v>
      </c>
      <c r="N824" s="82">
        <v>13.5</v>
      </c>
      <c r="O824" s="89" t="s">
        <v>48</v>
      </c>
      <c r="P824" s="89">
        <v>4</v>
      </c>
      <c r="Q824" s="89">
        <v>10</v>
      </c>
      <c r="R824" s="89" t="s">
        <v>64</v>
      </c>
      <c r="S824" s="89" t="s">
        <v>50</v>
      </c>
      <c r="T824" s="89" t="s">
        <v>50</v>
      </c>
      <c r="U824" s="89" t="s">
        <v>50</v>
      </c>
      <c r="V824" s="89" t="s">
        <v>50</v>
      </c>
      <c r="W824" s="89" t="s">
        <v>50</v>
      </c>
      <c r="X824" s="89" t="s">
        <v>50</v>
      </c>
      <c r="Y824" s="600" t="s">
        <v>4402</v>
      </c>
    </row>
    <row r="825" spans="1:25" x14ac:dyDescent="0.25">
      <c r="A825" s="26">
        <v>43788</v>
      </c>
      <c r="B825" s="89" t="s">
        <v>849</v>
      </c>
      <c r="C825" s="89" t="s">
        <v>78</v>
      </c>
      <c r="D825" s="89">
        <v>38.061309999999999</v>
      </c>
      <c r="E825" s="89">
        <v>-122.00060000000001</v>
      </c>
      <c r="F825" s="89" t="s">
        <v>4403</v>
      </c>
      <c r="G825" s="89" t="s">
        <v>27</v>
      </c>
      <c r="H825" s="89" t="s">
        <v>86</v>
      </c>
      <c r="I825" s="602">
        <v>0.39513888888888887</v>
      </c>
      <c r="J825" s="82">
        <v>15634.5</v>
      </c>
      <c r="K825" s="82">
        <v>14.9</v>
      </c>
      <c r="L825" s="82">
        <v>23.85</v>
      </c>
      <c r="M825" s="82">
        <v>0.59</v>
      </c>
      <c r="N825" s="82">
        <v>13.75</v>
      </c>
      <c r="O825" s="89" t="s">
        <v>48</v>
      </c>
      <c r="P825" s="89">
        <v>4</v>
      </c>
      <c r="Q825" s="89">
        <v>10</v>
      </c>
      <c r="R825" s="89" t="s">
        <v>64</v>
      </c>
      <c r="S825" s="89" t="s">
        <v>50</v>
      </c>
      <c r="T825" s="89" t="s">
        <v>50</v>
      </c>
      <c r="U825" s="89" t="s">
        <v>50</v>
      </c>
      <c r="V825" s="89" t="s">
        <v>50</v>
      </c>
      <c r="W825" s="89" t="s">
        <v>50</v>
      </c>
      <c r="X825" s="89" t="s">
        <v>50</v>
      </c>
    </row>
    <row r="826" spans="1:25" x14ac:dyDescent="0.25">
      <c r="A826" s="26">
        <v>43788</v>
      </c>
      <c r="B826" s="89" t="s">
        <v>849</v>
      </c>
      <c r="C826" s="89" t="s">
        <v>78</v>
      </c>
      <c r="D826" s="89">
        <v>38.054560000000002</v>
      </c>
      <c r="E826" s="89">
        <v>-121.97244999999999</v>
      </c>
      <c r="F826" s="89" t="s">
        <v>4404</v>
      </c>
      <c r="G826" s="89" t="s">
        <v>27</v>
      </c>
      <c r="H826" s="89" t="s">
        <v>86</v>
      </c>
      <c r="I826" s="602">
        <v>0.43958333333333338</v>
      </c>
      <c r="J826" s="82">
        <v>15403.25</v>
      </c>
      <c r="K826" s="82">
        <v>14.925000000000001</v>
      </c>
      <c r="L826" s="82">
        <v>20.100000000000001</v>
      </c>
      <c r="M826" s="82">
        <v>0.625</v>
      </c>
      <c r="N826" s="82">
        <v>8.7249999999999996</v>
      </c>
      <c r="O826" s="89" t="s">
        <v>48</v>
      </c>
      <c r="P826" s="89">
        <v>4</v>
      </c>
      <c r="Q826" s="89">
        <v>10</v>
      </c>
      <c r="R826" s="89" t="s">
        <v>64</v>
      </c>
      <c r="S826" s="89" t="s">
        <v>50</v>
      </c>
      <c r="T826" s="89" t="s">
        <v>50</v>
      </c>
      <c r="U826" s="89" t="s">
        <v>50</v>
      </c>
      <c r="V826" s="89" t="s">
        <v>50</v>
      </c>
      <c r="W826" s="89" t="s">
        <v>50</v>
      </c>
      <c r="X826" s="89" t="s">
        <v>50</v>
      </c>
    </row>
    <row r="827" spans="1:25" s="150" customFormat="1" x14ac:dyDescent="0.25">
      <c r="A827" s="178">
        <v>43788</v>
      </c>
      <c r="B827" s="150" t="s">
        <v>849</v>
      </c>
      <c r="C827" s="150" t="s">
        <v>126</v>
      </c>
      <c r="D827" s="150">
        <v>38.259120000000003</v>
      </c>
      <c r="E827" s="150">
        <v>-121.75852999999999</v>
      </c>
      <c r="F827" s="150" t="s">
        <v>4405</v>
      </c>
      <c r="G827" s="150" t="s">
        <v>90</v>
      </c>
      <c r="H827" s="150" t="s">
        <v>845</v>
      </c>
      <c r="I827" s="614">
        <v>0.3298611111111111</v>
      </c>
      <c r="J827" s="197" t="s">
        <v>50</v>
      </c>
      <c r="K827" s="197" t="s">
        <v>50</v>
      </c>
      <c r="L827" s="197" t="s">
        <v>50</v>
      </c>
      <c r="M827" s="197" t="s">
        <v>50</v>
      </c>
      <c r="N827" s="197" t="s">
        <v>50</v>
      </c>
      <c r="O827" s="150" t="s">
        <v>48</v>
      </c>
      <c r="P827" s="150">
        <v>0</v>
      </c>
      <c r="Q827" s="150" t="s">
        <v>50</v>
      </c>
      <c r="R827" s="150" t="s">
        <v>50</v>
      </c>
      <c r="S827" s="150" t="s">
        <v>50</v>
      </c>
      <c r="T827" s="150" t="s">
        <v>50</v>
      </c>
      <c r="U827" s="150" t="s">
        <v>50</v>
      </c>
      <c r="V827" s="150" t="s">
        <v>50</v>
      </c>
      <c r="W827" s="150" t="s">
        <v>50</v>
      </c>
      <c r="X827" s="150" t="s">
        <v>50</v>
      </c>
      <c r="Y827" s="604" t="s">
        <v>784</v>
      </c>
    </row>
    <row r="828" spans="1:25" x14ac:dyDescent="0.25">
      <c r="A828" s="26">
        <v>43788</v>
      </c>
      <c r="B828" s="89" t="s">
        <v>849</v>
      </c>
      <c r="C828" s="89" t="s">
        <v>126</v>
      </c>
      <c r="D828" s="89">
        <v>38.24044</v>
      </c>
      <c r="E828" s="89">
        <v>-121.68151</v>
      </c>
      <c r="F828" s="89" t="s">
        <v>4406</v>
      </c>
      <c r="G828" s="89" t="s">
        <v>90</v>
      </c>
      <c r="H828" s="89" t="s">
        <v>845</v>
      </c>
      <c r="I828" s="602">
        <v>0.44791666666666669</v>
      </c>
      <c r="J828" s="82">
        <v>152.125</v>
      </c>
      <c r="K828" s="82">
        <v>14.6</v>
      </c>
      <c r="L828" s="82">
        <v>4.7475000000000005</v>
      </c>
      <c r="M828" s="82" t="s">
        <v>1233</v>
      </c>
      <c r="N828" s="82">
        <v>15.424999999999999</v>
      </c>
      <c r="O828" s="89" t="s">
        <v>48</v>
      </c>
      <c r="P828" s="89">
        <v>4</v>
      </c>
      <c r="Q828" s="89">
        <v>10</v>
      </c>
      <c r="R828" s="89" t="s">
        <v>64</v>
      </c>
      <c r="S828" s="89" t="s">
        <v>50</v>
      </c>
      <c r="T828" s="89" t="s">
        <v>50</v>
      </c>
      <c r="U828" s="89" t="s">
        <v>50</v>
      </c>
      <c r="V828" s="89" t="s">
        <v>50</v>
      </c>
      <c r="W828" s="89" t="s">
        <v>50</v>
      </c>
      <c r="X828" s="89" t="s">
        <v>50</v>
      </c>
      <c r="Y828" s="600" t="s">
        <v>124</v>
      </c>
    </row>
    <row r="829" spans="1:25" x14ac:dyDescent="0.25">
      <c r="A829" s="194">
        <v>43788</v>
      </c>
      <c r="B829" s="98" t="s">
        <v>849</v>
      </c>
      <c r="C829" s="98" t="s">
        <v>126</v>
      </c>
      <c r="D829" s="98">
        <v>38.25123</v>
      </c>
      <c r="E829" s="98">
        <v>-121.68747999999999</v>
      </c>
      <c r="F829" s="98" t="s">
        <v>4407</v>
      </c>
      <c r="G829" s="98" t="s">
        <v>90</v>
      </c>
      <c r="H829" s="98" t="s">
        <v>845</v>
      </c>
      <c r="I829" s="621">
        <v>0.3979166666666667</v>
      </c>
      <c r="J829" s="100">
        <v>154.82499999999999</v>
      </c>
      <c r="K829" s="100">
        <v>14.575000000000001</v>
      </c>
      <c r="L829" s="100">
        <v>5.84</v>
      </c>
      <c r="M829" s="100" t="s">
        <v>1233</v>
      </c>
      <c r="N829" s="100">
        <v>10.475</v>
      </c>
      <c r="O829" s="98" t="s">
        <v>48</v>
      </c>
      <c r="P829" s="98">
        <v>4</v>
      </c>
      <c r="Q829" s="98">
        <v>10</v>
      </c>
      <c r="R829" s="98" t="s">
        <v>64</v>
      </c>
      <c r="S829" s="98" t="s">
        <v>50</v>
      </c>
      <c r="T829" s="98" t="s">
        <v>50</v>
      </c>
      <c r="U829" s="98" t="s">
        <v>50</v>
      </c>
      <c r="V829" s="98" t="s">
        <v>50</v>
      </c>
      <c r="W829" s="98" t="s">
        <v>50</v>
      </c>
      <c r="X829" s="98" t="s">
        <v>50</v>
      </c>
      <c r="Y829" s="622"/>
    </row>
    <row r="830" spans="1:25" x14ac:dyDescent="0.25">
      <c r="A830" s="26">
        <v>43788</v>
      </c>
      <c r="B830" s="89" t="s">
        <v>849</v>
      </c>
      <c r="C830" s="89" t="s">
        <v>126</v>
      </c>
      <c r="D830" s="89">
        <v>38.263210000000001</v>
      </c>
      <c r="E830" s="89">
        <v>-121.69087</v>
      </c>
      <c r="F830" s="89" t="s">
        <v>4408</v>
      </c>
      <c r="G830" s="89" t="s">
        <v>90</v>
      </c>
      <c r="H830" s="89" t="s">
        <v>845</v>
      </c>
      <c r="I830" s="602">
        <v>0.34791666666666665</v>
      </c>
      <c r="J830" s="82">
        <v>160.82499999999999</v>
      </c>
      <c r="K830" s="82">
        <v>14.7</v>
      </c>
      <c r="L830" s="82">
        <v>6.4124999999999996</v>
      </c>
      <c r="M830" s="82">
        <v>1.6975</v>
      </c>
      <c r="N830" s="82">
        <v>7.6</v>
      </c>
      <c r="O830" s="89" t="s">
        <v>48</v>
      </c>
      <c r="P830" s="89">
        <v>4</v>
      </c>
      <c r="Q830" s="89">
        <v>10</v>
      </c>
      <c r="R830" s="89" t="s">
        <v>64</v>
      </c>
      <c r="S830" s="89" t="s">
        <v>50</v>
      </c>
      <c r="T830" s="89" t="s">
        <v>50</v>
      </c>
      <c r="U830" s="89" t="s">
        <v>50</v>
      </c>
      <c r="V830" s="89" t="s">
        <v>50</v>
      </c>
      <c r="W830" s="89" t="s">
        <v>50</v>
      </c>
      <c r="X830" s="89" t="s">
        <v>50</v>
      </c>
    </row>
    <row r="831" spans="1:25" x14ac:dyDescent="0.25">
      <c r="A831" s="26">
        <v>43788</v>
      </c>
      <c r="B831" s="89" t="s">
        <v>849</v>
      </c>
      <c r="C831" s="89" t="s">
        <v>78</v>
      </c>
      <c r="D831" s="89">
        <v>38.05048</v>
      </c>
      <c r="E831" s="89">
        <v>-122.10214000000001</v>
      </c>
      <c r="F831" s="89" t="s">
        <v>4409</v>
      </c>
      <c r="G831" s="89" t="s">
        <v>80</v>
      </c>
      <c r="H831" s="89" t="s">
        <v>81</v>
      </c>
      <c r="I831" s="602">
        <v>0.38541666666666669</v>
      </c>
      <c r="J831" s="82">
        <v>26147.75</v>
      </c>
      <c r="K831" s="82">
        <v>14.8</v>
      </c>
      <c r="L831" s="82">
        <v>20.225000000000001</v>
      </c>
      <c r="M831" s="82">
        <v>0.59750000000000003</v>
      </c>
      <c r="N831" s="82">
        <v>11.55</v>
      </c>
      <c r="O831" s="89" t="s">
        <v>48</v>
      </c>
      <c r="P831" s="89">
        <v>4</v>
      </c>
      <c r="Q831" s="89">
        <v>10</v>
      </c>
      <c r="R831" s="89" t="s">
        <v>64</v>
      </c>
      <c r="S831" s="89" t="s">
        <v>50</v>
      </c>
      <c r="T831" s="89" t="s">
        <v>50</v>
      </c>
      <c r="U831" s="89" t="s">
        <v>50</v>
      </c>
      <c r="V831" s="89" t="s">
        <v>50</v>
      </c>
      <c r="W831" s="89" t="s">
        <v>50</v>
      </c>
      <c r="X831" s="89" t="s">
        <v>50</v>
      </c>
    </row>
    <row r="832" spans="1:25" x14ac:dyDescent="0.25">
      <c r="A832" s="26">
        <v>43788</v>
      </c>
      <c r="B832" s="89" t="s">
        <v>849</v>
      </c>
      <c r="C832" s="89" t="s">
        <v>78</v>
      </c>
      <c r="D832" s="89">
        <v>38.096870000000003</v>
      </c>
      <c r="E832" s="89">
        <v>-122.04747999999999</v>
      </c>
      <c r="F832" s="89" t="s">
        <v>4410</v>
      </c>
      <c r="G832" s="89" t="s">
        <v>80</v>
      </c>
      <c r="H832" s="89" t="s">
        <v>81</v>
      </c>
      <c r="I832" s="602">
        <v>0.4465277777777778</v>
      </c>
      <c r="J832" s="82">
        <v>18883.5</v>
      </c>
      <c r="K832" s="82">
        <v>15.05</v>
      </c>
      <c r="L832" s="82">
        <v>21.849999999999998</v>
      </c>
      <c r="M832" s="82">
        <v>0.57750000000000001</v>
      </c>
      <c r="N832" s="82">
        <v>6.4250000000000007</v>
      </c>
      <c r="O832" s="89" t="s">
        <v>48</v>
      </c>
      <c r="P832" s="89">
        <v>4</v>
      </c>
      <c r="Q832" s="89">
        <v>10</v>
      </c>
      <c r="R832" s="89" t="s">
        <v>64</v>
      </c>
      <c r="S832" s="89" t="s">
        <v>50</v>
      </c>
      <c r="T832" s="89" t="s">
        <v>50</v>
      </c>
      <c r="U832" s="89" t="s">
        <v>50</v>
      </c>
      <c r="V832" s="89" t="s">
        <v>50</v>
      </c>
      <c r="W832" s="89" t="s">
        <v>50</v>
      </c>
      <c r="X832" s="89" t="s">
        <v>50</v>
      </c>
    </row>
    <row r="833" spans="1:25" x14ac:dyDescent="0.25">
      <c r="A833" s="26">
        <v>43788</v>
      </c>
      <c r="B833" s="89" t="s">
        <v>849</v>
      </c>
      <c r="C833" s="89" t="s">
        <v>78</v>
      </c>
      <c r="D833" s="89">
        <v>38.06908</v>
      </c>
      <c r="E833" s="89">
        <v>-121.96462</v>
      </c>
      <c r="F833" s="89" t="s">
        <v>4411</v>
      </c>
      <c r="G833" s="89" t="s">
        <v>27</v>
      </c>
      <c r="H833" s="98" t="s">
        <v>170</v>
      </c>
      <c r="I833" s="602">
        <v>0.52708333333333335</v>
      </c>
      <c r="J833" s="82">
        <v>14920.5</v>
      </c>
      <c r="K833" s="82">
        <v>15</v>
      </c>
      <c r="L833" s="82">
        <v>22.450000000000003</v>
      </c>
      <c r="M833" s="82">
        <v>0.61499999999999999</v>
      </c>
      <c r="N833" s="82">
        <v>2.4500000000000002</v>
      </c>
      <c r="O833" s="89" t="s">
        <v>48</v>
      </c>
      <c r="P833" s="89">
        <v>2</v>
      </c>
      <c r="Q833" s="89">
        <v>10</v>
      </c>
      <c r="R833" s="89" t="s">
        <v>49</v>
      </c>
      <c r="S833" s="89" t="s">
        <v>50</v>
      </c>
      <c r="T833" s="89" t="s">
        <v>50</v>
      </c>
      <c r="U833" s="89" t="s">
        <v>50</v>
      </c>
      <c r="V833" s="89" t="s">
        <v>50</v>
      </c>
      <c r="W833" s="89" t="s">
        <v>50</v>
      </c>
      <c r="X833" s="89" t="s">
        <v>50</v>
      </c>
      <c r="Y833" s="622" t="s">
        <v>4412</v>
      </c>
    </row>
    <row r="834" spans="1:25" x14ac:dyDescent="0.25">
      <c r="A834" s="26">
        <v>43789</v>
      </c>
      <c r="B834" s="89" t="s">
        <v>87</v>
      </c>
      <c r="C834" s="89" t="s">
        <v>62</v>
      </c>
      <c r="D834" s="89">
        <v>38.173360000000002</v>
      </c>
      <c r="E834" s="89">
        <v>-121.94746000000001</v>
      </c>
      <c r="F834" s="89" t="s">
        <v>4413</v>
      </c>
      <c r="G834" s="89" t="s">
        <v>27</v>
      </c>
      <c r="H834" s="89" t="s">
        <v>62</v>
      </c>
      <c r="I834" s="602">
        <v>0.37291666666666662</v>
      </c>
      <c r="J834" s="82">
        <v>5264</v>
      </c>
      <c r="K834" s="82">
        <v>14.6</v>
      </c>
      <c r="L834" s="82">
        <v>30.9</v>
      </c>
      <c r="M834" s="82">
        <v>0.37</v>
      </c>
      <c r="N834" s="82">
        <v>10.01</v>
      </c>
      <c r="O834" s="89" t="s">
        <v>48</v>
      </c>
      <c r="P834" s="89">
        <v>2</v>
      </c>
      <c r="Q834" s="89">
        <v>10</v>
      </c>
      <c r="R834" s="89" t="s">
        <v>64</v>
      </c>
      <c r="S834" s="89" t="s">
        <v>50</v>
      </c>
      <c r="T834" s="89" t="s">
        <v>50</v>
      </c>
      <c r="U834" s="89" t="s">
        <v>50</v>
      </c>
      <c r="V834" s="89" t="s">
        <v>50</v>
      </c>
      <c r="W834" s="89" t="s">
        <v>50</v>
      </c>
      <c r="X834" s="89" t="s">
        <v>50</v>
      </c>
      <c r="Y834" s="600" t="s">
        <v>4414</v>
      </c>
    </row>
    <row r="835" spans="1:25" x14ac:dyDescent="0.25">
      <c r="A835" s="26">
        <v>43790</v>
      </c>
      <c r="B835" s="89" t="s">
        <v>876</v>
      </c>
      <c r="C835" s="89" t="s">
        <v>95</v>
      </c>
      <c r="D835" s="89">
        <v>38.030589999999997</v>
      </c>
      <c r="E835" s="89">
        <v>-121.81692</v>
      </c>
      <c r="F835" s="89" t="s">
        <v>4415</v>
      </c>
      <c r="G835" s="89" t="s">
        <v>27</v>
      </c>
      <c r="H835" s="89" t="s">
        <v>25</v>
      </c>
      <c r="I835" s="602">
        <v>0.33055555555555555</v>
      </c>
      <c r="J835" s="100">
        <v>1030</v>
      </c>
      <c r="K835" s="100">
        <v>14.2</v>
      </c>
      <c r="L835" s="100">
        <v>20.125</v>
      </c>
      <c r="M835" s="100">
        <v>0.57250000000000001</v>
      </c>
      <c r="N835" s="100">
        <v>5</v>
      </c>
      <c r="O835" s="89" t="s">
        <v>48</v>
      </c>
      <c r="P835" s="89">
        <v>4</v>
      </c>
      <c r="Q835" s="89">
        <v>10</v>
      </c>
      <c r="R835" s="89" t="s">
        <v>64</v>
      </c>
      <c r="S835" s="89" t="s">
        <v>50</v>
      </c>
      <c r="T835" s="89" t="s">
        <v>50</v>
      </c>
      <c r="U835" s="89" t="s">
        <v>50</v>
      </c>
      <c r="V835" s="89" t="s">
        <v>50</v>
      </c>
      <c r="W835" s="89" t="s">
        <v>50</v>
      </c>
      <c r="X835" s="89" t="s">
        <v>50</v>
      </c>
    </row>
    <row r="836" spans="1:25" x14ac:dyDescent="0.25">
      <c r="A836" s="26">
        <v>43790</v>
      </c>
      <c r="B836" s="89" t="s">
        <v>876</v>
      </c>
      <c r="C836" s="89" t="s">
        <v>95</v>
      </c>
      <c r="D836" s="89">
        <v>38.113050000000001</v>
      </c>
      <c r="E836" s="89">
        <v>-121.70992</v>
      </c>
      <c r="F836" s="89" t="s">
        <v>4416</v>
      </c>
      <c r="G836" s="89" t="s">
        <v>90</v>
      </c>
      <c r="H836" s="89" t="s">
        <v>91</v>
      </c>
      <c r="I836" s="602">
        <v>0.3923611111111111</v>
      </c>
      <c r="J836" s="82">
        <v>153.125</v>
      </c>
      <c r="K836" s="82">
        <v>13.95</v>
      </c>
      <c r="L836" s="82">
        <v>8.8175000000000008</v>
      </c>
      <c r="M836" s="82">
        <v>1.5175000000000001</v>
      </c>
      <c r="N836" s="82">
        <v>10.125</v>
      </c>
      <c r="O836" s="89" t="s">
        <v>48</v>
      </c>
      <c r="P836" s="89">
        <v>4</v>
      </c>
      <c r="Q836" s="89">
        <v>10</v>
      </c>
      <c r="R836" s="89" t="s">
        <v>64</v>
      </c>
      <c r="S836" s="89" t="s">
        <v>50</v>
      </c>
      <c r="T836" s="89" t="s">
        <v>50</v>
      </c>
      <c r="U836" s="89" t="s">
        <v>50</v>
      </c>
      <c r="V836" s="89" t="s">
        <v>50</v>
      </c>
      <c r="W836" s="89" t="s">
        <v>50</v>
      </c>
      <c r="X836" s="89" t="s">
        <v>50</v>
      </c>
      <c r="Y836" s="600" t="s">
        <v>124</v>
      </c>
    </row>
    <row r="837" spans="1:25" x14ac:dyDescent="0.25">
      <c r="A837" s="194">
        <v>43790</v>
      </c>
      <c r="B837" s="98" t="s">
        <v>876</v>
      </c>
      <c r="C837" s="98" t="s">
        <v>95</v>
      </c>
      <c r="D837" s="98">
        <v>38.121180000000003</v>
      </c>
      <c r="E837" s="98">
        <v>-121.69892</v>
      </c>
      <c r="F837" s="98" t="s">
        <v>4417</v>
      </c>
      <c r="G837" s="98" t="s">
        <v>90</v>
      </c>
      <c r="H837" s="98" t="s">
        <v>91</v>
      </c>
      <c r="I837" s="621">
        <v>0.44166666666666665</v>
      </c>
      <c r="J837" s="100">
        <v>157.44999999999999</v>
      </c>
      <c r="K837" s="100">
        <v>14.025</v>
      </c>
      <c r="L837" s="100">
        <v>8.68</v>
      </c>
      <c r="M837" s="100">
        <v>1.7174999999999998</v>
      </c>
      <c r="N837" s="100">
        <v>9.625</v>
      </c>
      <c r="O837" s="98" t="s">
        <v>48</v>
      </c>
      <c r="P837" s="98">
        <v>4</v>
      </c>
      <c r="Q837" s="98">
        <v>10</v>
      </c>
      <c r="R837" s="98" t="s">
        <v>64</v>
      </c>
      <c r="S837" s="98" t="s">
        <v>50</v>
      </c>
      <c r="T837" s="98" t="s">
        <v>50</v>
      </c>
      <c r="U837" s="98" t="s">
        <v>50</v>
      </c>
      <c r="V837" s="98" t="s">
        <v>50</v>
      </c>
      <c r="W837" s="98" t="s">
        <v>50</v>
      </c>
      <c r="X837" s="98" t="s">
        <v>50</v>
      </c>
      <c r="Y837" s="622"/>
    </row>
    <row r="838" spans="1:25" x14ac:dyDescent="0.25">
      <c r="A838" s="26">
        <v>43790</v>
      </c>
      <c r="B838" s="89" t="s">
        <v>876</v>
      </c>
      <c r="C838" s="89" t="s">
        <v>106</v>
      </c>
      <c r="D838" s="89">
        <v>38.186300000000003</v>
      </c>
      <c r="E838" s="89">
        <v>-121.6613</v>
      </c>
      <c r="F838" s="89" t="s">
        <v>4418</v>
      </c>
      <c r="G838" s="89" t="s">
        <v>90</v>
      </c>
      <c r="H838" s="89" t="s">
        <v>362</v>
      </c>
      <c r="I838" s="602">
        <v>0.5</v>
      </c>
      <c r="J838" s="82">
        <v>154.57499999999999</v>
      </c>
      <c r="K838" s="82">
        <v>14.25</v>
      </c>
      <c r="L838" s="82">
        <v>39.340000000000003</v>
      </c>
      <c r="M838" s="82">
        <v>1.6125</v>
      </c>
      <c r="N838" s="82">
        <v>15.750000000000002</v>
      </c>
      <c r="O838" s="89" t="s">
        <v>48</v>
      </c>
      <c r="P838" s="89">
        <v>4</v>
      </c>
      <c r="Q838" s="89">
        <v>10</v>
      </c>
      <c r="R838" s="89" t="s">
        <v>49</v>
      </c>
      <c r="S838" s="89" t="s">
        <v>50</v>
      </c>
      <c r="T838" s="89" t="s">
        <v>50</v>
      </c>
      <c r="U838" s="89" t="s">
        <v>50</v>
      </c>
      <c r="V838" s="89" t="s">
        <v>50</v>
      </c>
      <c r="W838" s="89" t="s">
        <v>50</v>
      </c>
      <c r="X838" s="89" t="s">
        <v>50</v>
      </c>
      <c r="Y838" s="600" t="s">
        <v>4419</v>
      </c>
    </row>
    <row r="839" spans="1:25" x14ac:dyDescent="0.25">
      <c r="A839" s="194">
        <v>43790</v>
      </c>
      <c r="B839" s="98" t="s">
        <v>876</v>
      </c>
      <c r="C839" s="98" t="s">
        <v>106</v>
      </c>
      <c r="D839" s="98">
        <v>38.317059999999998</v>
      </c>
      <c r="E839" s="98">
        <v>-121.65176</v>
      </c>
      <c r="F839" s="98" t="s">
        <v>4420</v>
      </c>
      <c r="G839" s="98" t="s">
        <v>90</v>
      </c>
      <c r="H839" s="98" t="s">
        <v>362</v>
      </c>
      <c r="I839" s="621">
        <v>0.4368055555555555</v>
      </c>
      <c r="J839" s="100">
        <v>226.89999999999998</v>
      </c>
      <c r="K839" s="100">
        <v>14.3</v>
      </c>
      <c r="L839" s="100">
        <v>57.05</v>
      </c>
      <c r="M839" s="100">
        <v>0.65749999999999997</v>
      </c>
      <c r="N839" s="100">
        <v>10.149999999999999</v>
      </c>
      <c r="O839" s="98" t="s">
        <v>48</v>
      </c>
      <c r="P839" s="98">
        <v>4</v>
      </c>
      <c r="Q839" s="98">
        <v>10</v>
      </c>
      <c r="R839" s="98" t="s">
        <v>64</v>
      </c>
      <c r="S839" s="98" t="s">
        <v>50</v>
      </c>
      <c r="T839" s="98" t="s">
        <v>50</v>
      </c>
      <c r="U839" s="98" t="s">
        <v>50</v>
      </c>
      <c r="V839" s="98" t="s">
        <v>50</v>
      </c>
      <c r="W839" s="98" t="s">
        <v>50</v>
      </c>
      <c r="X839" s="98" t="s">
        <v>50</v>
      </c>
      <c r="Y839" s="622" t="s">
        <v>4421</v>
      </c>
    </row>
    <row r="840" spans="1:25" x14ac:dyDescent="0.25">
      <c r="A840" s="26">
        <v>43790</v>
      </c>
      <c r="B840" s="89" t="s">
        <v>876</v>
      </c>
      <c r="C840" s="89" t="s">
        <v>106</v>
      </c>
      <c r="D840" s="89">
        <v>38.370800000000003</v>
      </c>
      <c r="E840" s="89">
        <v>-121.63167</v>
      </c>
      <c r="F840" s="89" t="s">
        <v>4422</v>
      </c>
      <c r="G840" s="89" t="s">
        <v>90</v>
      </c>
      <c r="H840" s="89" t="s">
        <v>362</v>
      </c>
      <c r="I840" s="602">
        <v>0.33611111111111108</v>
      </c>
      <c r="J840" s="82">
        <v>424.57499999999999</v>
      </c>
      <c r="K840" s="82">
        <v>14.149999999999999</v>
      </c>
      <c r="L840" s="82">
        <v>66.3</v>
      </c>
      <c r="M840" s="82">
        <v>0.24249999999999999</v>
      </c>
      <c r="N840" s="82">
        <v>8.5250000000000004</v>
      </c>
      <c r="O840" s="89" t="s">
        <v>48</v>
      </c>
      <c r="P840" s="89">
        <v>4</v>
      </c>
      <c r="Q840" s="89">
        <v>10</v>
      </c>
      <c r="R840" s="89" t="s">
        <v>64</v>
      </c>
      <c r="S840" s="89" t="s">
        <v>50</v>
      </c>
      <c r="T840" s="89" t="s">
        <v>50</v>
      </c>
      <c r="U840" s="89" t="s">
        <v>50</v>
      </c>
      <c r="V840" s="89" t="s">
        <v>50</v>
      </c>
      <c r="W840" s="89" t="s">
        <v>50</v>
      </c>
      <c r="X840" s="89" t="s">
        <v>50</v>
      </c>
      <c r="Y840" s="600" t="s">
        <v>4423</v>
      </c>
    </row>
    <row r="841" spans="1:25" s="206" customFormat="1" x14ac:dyDescent="0.25">
      <c r="A841" s="204">
        <v>43790</v>
      </c>
      <c r="B841" s="206" t="s">
        <v>876</v>
      </c>
      <c r="C841" s="206" t="s">
        <v>62</v>
      </c>
      <c r="D841" s="206">
        <v>38.182740000000003</v>
      </c>
      <c r="E841" s="206">
        <v>-121.96392</v>
      </c>
      <c r="F841" s="206" t="s">
        <v>4424</v>
      </c>
      <c r="G841" s="206" t="s">
        <v>27</v>
      </c>
      <c r="H841" s="206" t="s">
        <v>62</v>
      </c>
      <c r="I841" s="613">
        <v>0.38750000000000001</v>
      </c>
      <c r="J841" s="208">
        <v>6713.75</v>
      </c>
      <c r="K841" s="208">
        <v>14.149999999999999</v>
      </c>
      <c r="L841" s="208">
        <v>50.975000000000001</v>
      </c>
      <c r="M841" s="208">
        <v>0.27500000000000002</v>
      </c>
      <c r="N841" s="208">
        <v>9.9500000000000011</v>
      </c>
      <c r="O841" s="206" t="s">
        <v>48</v>
      </c>
      <c r="P841" s="206">
        <v>4</v>
      </c>
      <c r="Q841" s="206">
        <v>10</v>
      </c>
      <c r="R841" s="206" t="s">
        <v>64</v>
      </c>
      <c r="S841" s="206" t="s">
        <v>31</v>
      </c>
      <c r="T841" s="206">
        <v>2</v>
      </c>
      <c r="U841" s="206" t="s">
        <v>4425</v>
      </c>
      <c r="V841" s="206" t="s">
        <v>66</v>
      </c>
      <c r="W841" s="206" t="s">
        <v>50</v>
      </c>
      <c r="X841" s="206" t="s">
        <v>50</v>
      </c>
      <c r="Y841" s="605" t="s">
        <v>124</v>
      </c>
    </row>
    <row r="842" spans="1:25" s="206" customFormat="1" x14ac:dyDescent="0.25">
      <c r="A842" s="204">
        <v>43790</v>
      </c>
      <c r="B842" s="206" t="s">
        <v>876</v>
      </c>
      <c r="C842" s="206" t="s">
        <v>62</v>
      </c>
      <c r="D842" s="206">
        <v>38.104700000000001</v>
      </c>
      <c r="E842" s="206">
        <v>-122.05647999999999</v>
      </c>
      <c r="F842" s="206" t="s">
        <v>4426</v>
      </c>
      <c r="G842" s="206" t="s">
        <v>27</v>
      </c>
      <c r="H842" s="206" t="s">
        <v>173</v>
      </c>
      <c r="I842" s="613">
        <v>0.45833333333333331</v>
      </c>
      <c r="J842" s="208">
        <v>19584.75</v>
      </c>
      <c r="K842" s="208">
        <v>14.350000000000001</v>
      </c>
      <c r="L842" s="208">
        <v>35.625</v>
      </c>
      <c r="M842" s="208">
        <v>0.35499999999999998</v>
      </c>
      <c r="N842" s="208">
        <v>3.85</v>
      </c>
      <c r="O842" s="206" t="s">
        <v>48</v>
      </c>
      <c r="P842" s="206">
        <v>4</v>
      </c>
      <c r="Q842" s="206">
        <v>10</v>
      </c>
      <c r="R842" s="206" t="s">
        <v>49</v>
      </c>
      <c r="S842" s="206" t="s">
        <v>31</v>
      </c>
      <c r="T842" s="206">
        <v>2</v>
      </c>
      <c r="U842" s="206" t="s">
        <v>4427</v>
      </c>
      <c r="V842" s="206" t="s">
        <v>66</v>
      </c>
      <c r="W842" s="206" t="s">
        <v>50</v>
      </c>
      <c r="X842" s="206" t="s">
        <v>50</v>
      </c>
      <c r="Y842" s="605"/>
    </row>
    <row r="843" spans="1:25" s="150" customFormat="1" x14ac:dyDescent="0.25">
      <c r="A843" s="178">
        <v>43790</v>
      </c>
      <c r="B843" s="150" t="s">
        <v>876</v>
      </c>
      <c r="C843" s="150" t="s">
        <v>62</v>
      </c>
      <c r="D843" s="150">
        <v>38.154310000000002</v>
      </c>
      <c r="E843" s="150">
        <v>-122.07187999999999</v>
      </c>
      <c r="F843" s="150" t="s">
        <v>4428</v>
      </c>
      <c r="G843" s="150" t="s">
        <v>27</v>
      </c>
      <c r="H843" s="150" t="s">
        <v>62</v>
      </c>
      <c r="I843" s="614">
        <v>0.36805555555555558</v>
      </c>
      <c r="J843" s="197" t="s">
        <v>50</v>
      </c>
      <c r="K843" s="197" t="s">
        <v>50</v>
      </c>
      <c r="L843" s="197" t="s">
        <v>50</v>
      </c>
      <c r="M843" s="197" t="s">
        <v>50</v>
      </c>
      <c r="N843" s="197" t="s">
        <v>50</v>
      </c>
      <c r="O843" s="150" t="s">
        <v>48</v>
      </c>
      <c r="P843" s="150">
        <v>0</v>
      </c>
      <c r="Q843" s="150" t="s">
        <v>50</v>
      </c>
      <c r="R843" s="150" t="s">
        <v>50</v>
      </c>
      <c r="S843" s="150" t="s">
        <v>50</v>
      </c>
      <c r="T843" s="150" t="s">
        <v>50</v>
      </c>
      <c r="U843" s="150" t="s">
        <v>50</v>
      </c>
      <c r="V843" s="150" t="s">
        <v>50</v>
      </c>
      <c r="W843" s="150" t="s">
        <v>50</v>
      </c>
      <c r="X843" s="150" t="s">
        <v>50</v>
      </c>
      <c r="Y843" s="604" t="s">
        <v>734</v>
      </c>
    </row>
    <row r="844" spans="1:25" s="206" customFormat="1" x14ac:dyDescent="0.25">
      <c r="A844" s="204">
        <v>43790</v>
      </c>
      <c r="B844" s="206" t="s">
        <v>876</v>
      </c>
      <c r="C844" s="206" t="s">
        <v>62</v>
      </c>
      <c r="D844" s="206">
        <v>38.105919999999998</v>
      </c>
      <c r="E844" s="206">
        <v>-122.03937999999999</v>
      </c>
      <c r="F844" s="206" t="s">
        <v>4429</v>
      </c>
      <c r="G844" s="206" t="s">
        <v>27</v>
      </c>
      <c r="H844" s="206" t="s">
        <v>173</v>
      </c>
      <c r="I844" s="613">
        <v>0.50763888888888886</v>
      </c>
      <c r="J844" s="208">
        <v>19363.25</v>
      </c>
      <c r="K844" s="208">
        <v>14.4</v>
      </c>
      <c r="L844" s="208">
        <v>24.049999999999997</v>
      </c>
      <c r="M844" s="208">
        <v>0.48249999999999998</v>
      </c>
      <c r="N844" s="208">
        <v>2.65</v>
      </c>
      <c r="O844" s="206" t="s">
        <v>48</v>
      </c>
      <c r="P844" s="206">
        <v>4</v>
      </c>
      <c r="Q844" s="206">
        <v>10</v>
      </c>
      <c r="R844" s="206" t="s">
        <v>49</v>
      </c>
      <c r="S844" s="206" t="s">
        <v>31</v>
      </c>
      <c r="T844" s="206">
        <v>2</v>
      </c>
      <c r="U844" s="206" t="s">
        <v>4430</v>
      </c>
      <c r="V844" s="206" t="s">
        <v>66</v>
      </c>
      <c r="W844" s="206" t="s">
        <v>50</v>
      </c>
      <c r="X844" s="206" t="s">
        <v>50</v>
      </c>
      <c r="Y844" s="605"/>
    </row>
    <row r="845" spans="1:25" x14ac:dyDescent="0.25">
      <c r="A845" s="26">
        <v>43791</v>
      </c>
      <c r="B845" s="89" t="s">
        <v>125</v>
      </c>
      <c r="C845" s="89" t="s">
        <v>106</v>
      </c>
      <c r="D845" s="89">
        <v>38.187489999999997</v>
      </c>
      <c r="E845" s="89">
        <v>-121.66048000000001</v>
      </c>
      <c r="F845" s="89" t="s">
        <v>4431</v>
      </c>
      <c r="G845" s="89" t="s">
        <v>90</v>
      </c>
      <c r="H845" s="89" t="s">
        <v>362</v>
      </c>
      <c r="I845" s="602">
        <v>0.32083333333333336</v>
      </c>
      <c r="J845" s="82">
        <v>159.75</v>
      </c>
      <c r="K845" s="82">
        <v>13.68</v>
      </c>
      <c r="L845" s="82">
        <v>11.49</v>
      </c>
      <c r="M845" s="82">
        <v>0.8</v>
      </c>
      <c r="N845" s="82">
        <v>15.43</v>
      </c>
      <c r="O845" s="89" t="s">
        <v>48</v>
      </c>
      <c r="P845" s="89">
        <v>4</v>
      </c>
      <c r="Q845" s="89">
        <v>10</v>
      </c>
      <c r="R845" s="89" t="s">
        <v>64</v>
      </c>
      <c r="S845" s="89" t="s">
        <v>50</v>
      </c>
      <c r="T845" s="89" t="s">
        <v>50</v>
      </c>
      <c r="U845" s="89" t="s">
        <v>50</v>
      </c>
      <c r="V845" s="89" t="s">
        <v>50</v>
      </c>
      <c r="W845" s="89" t="s">
        <v>50</v>
      </c>
      <c r="X845" s="89" t="s">
        <v>50</v>
      </c>
    </row>
    <row r="846" spans="1:25" x14ac:dyDescent="0.25">
      <c r="A846" s="26">
        <v>43791</v>
      </c>
      <c r="B846" s="89" t="s">
        <v>125</v>
      </c>
      <c r="C846" s="89" t="s">
        <v>106</v>
      </c>
      <c r="D846" s="89">
        <v>38.339849999999998</v>
      </c>
      <c r="E846" s="89">
        <v>-121.64570000000001</v>
      </c>
      <c r="F846" s="89" t="s">
        <v>4432</v>
      </c>
      <c r="G846" s="89" t="s">
        <v>90</v>
      </c>
      <c r="H846" s="89" t="s">
        <v>362</v>
      </c>
      <c r="I846" s="602">
        <v>0.37916666666666665</v>
      </c>
      <c r="J846" s="89">
        <v>361.75</v>
      </c>
      <c r="K846" s="89">
        <v>14.03</v>
      </c>
      <c r="L846" s="89">
        <v>34.08</v>
      </c>
      <c r="M846" s="89">
        <v>0.38</v>
      </c>
      <c r="N846" s="89">
        <v>10.5</v>
      </c>
      <c r="O846" s="89" t="s">
        <v>48</v>
      </c>
      <c r="P846" s="89">
        <v>4</v>
      </c>
      <c r="Q846" s="89">
        <v>10</v>
      </c>
      <c r="R846" s="89" t="s">
        <v>64</v>
      </c>
      <c r="S846" s="89" t="s">
        <v>50</v>
      </c>
      <c r="T846" s="89" t="s">
        <v>50</v>
      </c>
      <c r="U846" s="89" t="s">
        <v>50</v>
      </c>
      <c r="V846" s="89" t="s">
        <v>50</v>
      </c>
      <c r="W846" s="89" t="s">
        <v>50</v>
      </c>
      <c r="X846" s="89" t="s">
        <v>50</v>
      </c>
      <c r="Y846" s="600" t="s">
        <v>4433</v>
      </c>
    </row>
    <row r="847" spans="1:25" x14ac:dyDescent="0.25">
      <c r="A847" s="26">
        <v>43791</v>
      </c>
      <c r="B847" s="89" t="s">
        <v>125</v>
      </c>
      <c r="C847" s="89" t="s">
        <v>106</v>
      </c>
      <c r="D847" s="89">
        <v>38.548220000000001</v>
      </c>
      <c r="E847" s="89">
        <v>-121.58195000000001</v>
      </c>
      <c r="F847" s="89" t="s">
        <v>4434</v>
      </c>
      <c r="G847" s="89" t="s">
        <v>90</v>
      </c>
      <c r="H847" s="89" t="s">
        <v>1787</v>
      </c>
      <c r="I847" s="602">
        <v>0.46180555555555558</v>
      </c>
      <c r="J847" s="89">
        <v>1026</v>
      </c>
      <c r="K847" s="89">
        <v>15.03</v>
      </c>
      <c r="L847" s="89">
        <v>5.32</v>
      </c>
      <c r="M847" s="89">
        <v>1.47</v>
      </c>
      <c r="N847" s="89">
        <v>11.68</v>
      </c>
      <c r="O847" s="89" t="s">
        <v>48</v>
      </c>
      <c r="P847" s="89">
        <v>4</v>
      </c>
      <c r="Q847" s="89">
        <v>10</v>
      </c>
      <c r="R847" s="89" t="s">
        <v>64</v>
      </c>
      <c r="S847" s="89" t="s">
        <v>50</v>
      </c>
      <c r="T847" s="89" t="s">
        <v>50</v>
      </c>
      <c r="U847" s="89" t="s">
        <v>50</v>
      </c>
      <c r="V847" s="89" t="s">
        <v>50</v>
      </c>
      <c r="W847" s="89" t="s">
        <v>50</v>
      </c>
      <c r="X847" s="89" t="s">
        <v>50</v>
      </c>
    </row>
    <row r="848" spans="1:25" x14ac:dyDescent="0.25">
      <c r="A848" s="26">
        <v>43791</v>
      </c>
      <c r="B848" s="89" t="s">
        <v>125</v>
      </c>
      <c r="C848" s="89" t="s">
        <v>88</v>
      </c>
      <c r="D848" s="89">
        <v>38.130209999999998</v>
      </c>
      <c r="E848" s="89">
        <v>-121.69104</v>
      </c>
      <c r="F848" s="89" t="s">
        <v>4435</v>
      </c>
      <c r="G848" s="89" t="s">
        <v>90</v>
      </c>
      <c r="H848" s="89" t="s">
        <v>91</v>
      </c>
      <c r="I848" s="602">
        <v>0.34166666666666662</v>
      </c>
      <c r="J848" s="89">
        <v>155.32</v>
      </c>
      <c r="K848" s="89">
        <v>13.66</v>
      </c>
      <c r="L848" s="89">
        <v>6</v>
      </c>
      <c r="M848" s="89">
        <v>1.78</v>
      </c>
      <c r="N848" s="89">
        <v>3.12</v>
      </c>
      <c r="O848" s="89" t="s">
        <v>48</v>
      </c>
      <c r="P848" s="89">
        <v>5</v>
      </c>
      <c r="Q848" s="89">
        <v>10</v>
      </c>
      <c r="R848" s="89" t="s">
        <v>64</v>
      </c>
      <c r="S848" s="89" t="s">
        <v>50</v>
      </c>
      <c r="T848" s="89" t="s">
        <v>50</v>
      </c>
      <c r="U848" s="89" t="s">
        <v>50</v>
      </c>
      <c r="V848" s="89" t="s">
        <v>50</v>
      </c>
      <c r="W848" s="89" t="s">
        <v>50</v>
      </c>
      <c r="X848" s="89" t="s">
        <v>50</v>
      </c>
      <c r="Y848" s="600" t="s">
        <v>4436</v>
      </c>
    </row>
    <row r="849" spans="1:25" x14ac:dyDescent="0.25">
      <c r="A849" s="194">
        <v>43791</v>
      </c>
      <c r="B849" s="98" t="s">
        <v>125</v>
      </c>
      <c r="C849" s="98" t="s">
        <v>88</v>
      </c>
      <c r="D849" s="98">
        <v>38.08023</v>
      </c>
      <c r="E849" s="98">
        <v>-121.75088</v>
      </c>
      <c r="F849" s="98" t="s">
        <v>4437</v>
      </c>
      <c r="G849" s="98" t="s">
        <v>27</v>
      </c>
      <c r="H849" s="98" t="s">
        <v>25</v>
      </c>
      <c r="I849" s="621">
        <v>0.4145833333333333</v>
      </c>
      <c r="J849" s="98">
        <v>428.08</v>
      </c>
      <c r="K849" s="98">
        <v>13.95</v>
      </c>
      <c r="L849" s="98">
        <v>15.38</v>
      </c>
      <c r="M849" s="98">
        <v>0.81</v>
      </c>
      <c r="N849" s="98">
        <v>11.4</v>
      </c>
      <c r="O849" s="98" t="s">
        <v>48</v>
      </c>
      <c r="P849" s="98">
        <v>4</v>
      </c>
      <c r="Q849" s="98">
        <v>10</v>
      </c>
      <c r="R849" s="98" t="s">
        <v>64</v>
      </c>
      <c r="S849" s="98" t="s">
        <v>50</v>
      </c>
      <c r="T849" s="98" t="s">
        <v>50</v>
      </c>
      <c r="U849" s="98" t="s">
        <v>50</v>
      </c>
      <c r="V849" s="98" t="s">
        <v>50</v>
      </c>
      <c r="W849" s="98" t="s">
        <v>50</v>
      </c>
      <c r="X849" s="98" t="s">
        <v>50</v>
      </c>
      <c r="Y849" s="622"/>
    </row>
    <row r="850" spans="1:25" x14ac:dyDescent="0.25">
      <c r="A850" s="194">
        <v>43791</v>
      </c>
      <c r="B850" s="98" t="s">
        <v>125</v>
      </c>
      <c r="C850" s="98" t="s">
        <v>88</v>
      </c>
      <c r="D850" s="98">
        <v>38.061639999999997</v>
      </c>
      <c r="E850" s="98">
        <v>-121.79461000000001</v>
      </c>
      <c r="F850" s="98" t="s">
        <v>4438</v>
      </c>
      <c r="G850" s="98" t="s">
        <v>27</v>
      </c>
      <c r="H850" s="98" t="s">
        <v>25</v>
      </c>
      <c r="I850" s="621">
        <v>0.46527777777777773</v>
      </c>
      <c r="J850" s="98">
        <v>2194.83</v>
      </c>
      <c r="K850" s="98">
        <v>14.25</v>
      </c>
      <c r="L850" s="98">
        <v>37.380000000000003</v>
      </c>
      <c r="M850" s="98">
        <v>0.45</v>
      </c>
      <c r="N850" s="98">
        <v>12.15</v>
      </c>
      <c r="O850" s="98" t="s">
        <v>48</v>
      </c>
      <c r="P850" s="98">
        <v>4</v>
      </c>
      <c r="Q850" s="98">
        <v>10</v>
      </c>
      <c r="R850" s="98" t="s">
        <v>64</v>
      </c>
      <c r="S850" s="98" t="s">
        <v>50</v>
      </c>
      <c r="T850" s="98" t="s">
        <v>50</v>
      </c>
      <c r="U850" s="98" t="s">
        <v>50</v>
      </c>
      <c r="V850" s="98" t="s">
        <v>50</v>
      </c>
      <c r="W850" s="98" t="s">
        <v>50</v>
      </c>
      <c r="X850" s="98" t="s">
        <v>50</v>
      </c>
      <c r="Y850" s="622" t="s">
        <v>4439</v>
      </c>
    </row>
    <row r="851" spans="1:25" s="206" customFormat="1" x14ac:dyDescent="0.25">
      <c r="A851" s="204">
        <v>43791</v>
      </c>
      <c r="B851" s="206" t="s">
        <v>125</v>
      </c>
      <c r="C851" s="206" t="s">
        <v>62</v>
      </c>
      <c r="D851" s="206">
        <v>38.103090000000002</v>
      </c>
      <c r="E851" s="206">
        <v>-122.06180000000001</v>
      </c>
      <c r="F851" s="206" t="s">
        <v>4440</v>
      </c>
      <c r="G851" s="206" t="s">
        <v>27</v>
      </c>
      <c r="H851" s="206" t="s">
        <v>173</v>
      </c>
      <c r="I851" s="613">
        <v>0.35902777777777778</v>
      </c>
      <c r="J851" s="208">
        <v>16147</v>
      </c>
      <c r="K851" s="208">
        <v>14.08</v>
      </c>
      <c r="L851" s="208" t="s">
        <v>50</v>
      </c>
      <c r="M851" s="208">
        <v>0.2</v>
      </c>
      <c r="N851" s="208">
        <v>3.45</v>
      </c>
      <c r="O851" s="206" t="s">
        <v>48</v>
      </c>
      <c r="P851" s="206">
        <v>4</v>
      </c>
      <c r="Q851" s="206">
        <v>10</v>
      </c>
      <c r="R851" s="206" t="s">
        <v>64</v>
      </c>
      <c r="S851" s="206" t="s">
        <v>31</v>
      </c>
      <c r="T851" s="206">
        <v>6</v>
      </c>
      <c r="U851" s="206" t="s">
        <v>4441</v>
      </c>
      <c r="V851" s="206" t="s">
        <v>66</v>
      </c>
      <c r="W851" s="206" t="s">
        <v>50</v>
      </c>
      <c r="X851" s="206" t="s">
        <v>50</v>
      </c>
      <c r="Y851" s="605" t="s">
        <v>4442</v>
      </c>
    </row>
    <row r="852" spans="1:25" s="414" customFormat="1" x14ac:dyDescent="0.25">
      <c r="A852" s="412">
        <v>43791</v>
      </c>
      <c r="B852" s="414" t="s">
        <v>125</v>
      </c>
      <c r="C852" s="414" t="s">
        <v>62</v>
      </c>
      <c r="D852" s="414">
        <v>38.111350000000002</v>
      </c>
      <c r="E852" s="414">
        <v>-122.05565</v>
      </c>
      <c r="F852" s="414" t="s">
        <v>4443</v>
      </c>
      <c r="G852" s="414" t="s">
        <v>27</v>
      </c>
      <c r="H852" s="414" t="s">
        <v>173</v>
      </c>
      <c r="I852" s="629">
        <v>0.40625</v>
      </c>
      <c r="J852" s="416">
        <v>16749.75</v>
      </c>
      <c r="K852" s="416">
        <v>14.15</v>
      </c>
      <c r="L852" s="416" t="s">
        <v>50</v>
      </c>
      <c r="M852" s="416">
        <v>0.17</v>
      </c>
      <c r="N852" s="416">
        <v>3.8</v>
      </c>
      <c r="O852" s="414" t="s">
        <v>48</v>
      </c>
      <c r="P852" s="414">
        <v>4</v>
      </c>
      <c r="Q852" s="414">
        <v>10</v>
      </c>
      <c r="R852" s="414" t="s">
        <v>64</v>
      </c>
      <c r="S852" s="414" t="s">
        <v>31</v>
      </c>
      <c r="T852" s="414">
        <v>6</v>
      </c>
      <c r="U852" s="414" t="s">
        <v>4444</v>
      </c>
      <c r="V852" s="414" t="s">
        <v>66</v>
      </c>
      <c r="W852" s="414" t="s">
        <v>50</v>
      </c>
      <c r="X852" s="414" t="s">
        <v>50</v>
      </c>
      <c r="Y852" s="630" t="s">
        <v>4442</v>
      </c>
    </row>
    <row r="853" spans="1:25" x14ac:dyDescent="0.25">
      <c r="A853" s="26">
        <v>43794</v>
      </c>
      <c r="B853" s="89" t="s">
        <v>43</v>
      </c>
      <c r="C853" s="89" t="s">
        <v>106</v>
      </c>
      <c r="D853" s="89">
        <v>38.401020000000003</v>
      </c>
      <c r="E853" s="89">
        <v>-121.61696000000001</v>
      </c>
      <c r="F853" s="89" t="s">
        <v>4445</v>
      </c>
      <c r="G853" s="89" t="s">
        <v>90</v>
      </c>
      <c r="H853" s="89" t="s">
        <v>362</v>
      </c>
      <c r="I853" s="602">
        <v>0.34236111111111112</v>
      </c>
      <c r="J853" s="82">
        <v>531</v>
      </c>
      <c r="K853" s="82">
        <v>13.5</v>
      </c>
      <c r="L853" s="82">
        <v>53.149999999999991</v>
      </c>
      <c r="M853" s="82">
        <v>0.2525</v>
      </c>
      <c r="N853" s="82">
        <v>8.6000000000000014</v>
      </c>
      <c r="O853" s="89" t="s">
        <v>48</v>
      </c>
      <c r="P853" s="89">
        <v>4</v>
      </c>
      <c r="Q853" s="89">
        <v>10</v>
      </c>
      <c r="R853" s="89" t="s">
        <v>49</v>
      </c>
      <c r="S853" s="89" t="s">
        <v>50</v>
      </c>
      <c r="T853" s="89" t="s">
        <v>50</v>
      </c>
      <c r="U853" s="89" t="s">
        <v>50</v>
      </c>
      <c r="V853" s="89" t="s">
        <v>50</v>
      </c>
      <c r="W853" s="89" t="s">
        <v>50</v>
      </c>
      <c r="X853" s="89" t="s">
        <v>50</v>
      </c>
      <c r="Y853" s="600" t="s">
        <v>4421</v>
      </c>
    </row>
    <row r="854" spans="1:25" x14ac:dyDescent="0.25">
      <c r="A854" s="26">
        <v>43794</v>
      </c>
      <c r="B854" s="89" t="s">
        <v>43</v>
      </c>
      <c r="C854" s="89" t="s">
        <v>106</v>
      </c>
      <c r="D854" s="89">
        <v>38.509659999999997</v>
      </c>
      <c r="E854" s="89">
        <v>-121.58463</v>
      </c>
      <c r="F854" s="89" t="s">
        <v>4446</v>
      </c>
      <c r="G854" s="89" t="s">
        <v>90</v>
      </c>
      <c r="H854" s="89" t="s">
        <v>1787</v>
      </c>
      <c r="I854" s="602">
        <v>0.41388888888888892</v>
      </c>
      <c r="J854" s="82">
        <v>924.25</v>
      </c>
      <c r="K854" s="82">
        <v>14.175000000000001</v>
      </c>
      <c r="L854" s="82">
        <v>12.032500000000001</v>
      </c>
      <c r="M854" s="82">
        <v>0.96250000000000013</v>
      </c>
      <c r="N854" s="82">
        <v>10.25</v>
      </c>
      <c r="O854" s="89" t="s">
        <v>48</v>
      </c>
      <c r="P854" s="89">
        <v>4</v>
      </c>
      <c r="Q854" s="89">
        <v>10</v>
      </c>
      <c r="R854" s="89" t="s">
        <v>49</v>
      </c>
      <c r="S854" s="89" t="s">
        <v>50</v>
      </c>
      <c r="T854" s="89" t="s">
        <v>50</v>
      </c>
      <c r="U854" s="89" t="s">
        <v>50</v>
      </c>
      <c r="V854" s="89" t="s">
        <v>50</v>
      </c>
      <c r="W854" s="89" t="s">
        <v>50</v>
      </c>
      <c r="X854" s="89" t="s">
        <v>50</v>
      </c>
      <c r="Y854" s="600" t="s">
        <v>4447</v>
      </c>
    </row>
    <row r="855" spans="1:25" x14ac:dyDescent="0.25">
      <c r="A855" s="26">
        <v>43794</v>
      </c>
      <c r="B855" s="89" t="s">
        <v>43</v>
      </c>
      <c r="C855" s="89" t="s">
        <v>106</v>
      </c>
      <c r="D855" s="89">
        <v>38.560980000000001</v>
      </c>
      <c r="E855" s="89">
        <v>-121.54454</v>
      </c>
      <c r="F855" s="89" t="s">
        <v>4448</v>
      </c>
      <c r="G855" s="89" t="s">
        <v>90</v>
      </c>
      <c r="H855" s="89" t="s">
        <v>1787</v>
      </c>
      <c r="I855" s="602">
        <v>0.4770833333333333</v>
      </c>
      <c r="J855" s="82">
        <v>1046.5</v>
      </c>
      <c r="K855" s="82">
        <v>14.824999999999999</v>
      </c>
      <c r="L855" s="82">
        <v>2.7524999999999999</v>
      </c>
      <c r="M855" s="82" t="s">
        <v>1233</v>
      </c>
      <c r="N855" s="82">
        <v>10.899999999999999</v>
      </c>
      <c r="O855" s="89" t="s">
        <v>48</v>
      </c>
      <c r="P855" s="89">
        <v>4</v>
      </c>
      <c r="Q855" s="89">
        <v>10</v>
      </c>
      <c r="R855" s="89" t="s">
        <v>64</v>
      </c>
      <c r="S855" s="89" t="s">
        <v>50</v>
      </c>
      <c r="T855" s="89" t="s">
        <v>50</v>
      </c>
      <c r="U855" s="89" t="s">
        <v>50</v>
      </c>
      <c r="V855" s="89" t="s">
        <v>50</v>
      </c>
      <c r="W855" s="89" t="s">
        <v>50</v>
      </c>
      <c r="X855" s="89" t="s">
        <v>50</v>
      </c>
      <c r="Y855" s="600" t="s">
        <v>4449</v>
      </c>
    </row>
    <row r="856" spans="1:25" x14ac:dyDescent="0.25">
      <c r="A856" s="26">
        <v>43794</v>
      </c>
      <c r="B856" s="89" t="s">
        <v>43</v>
      </c>
      <c r="C856" s="89" t="s">
        <v>62</v>
      </c>
      <c r="D856" s="89">
        <v>38.157110000000003</v>
      </c>
      <c r="E856" s="89">
        <v>-121.92546</v>
      </c>
      <c r="F856" s="89" t="s">
        <v>4450</v>
      </c>
      <c r="G856" s="89" t="s">
        <v>27</v>
      </c>
      <c r="H856" s="89" t="s">
        <v>62</v>
      </c>
      <c r="I856" s="602">
        <v>0.3666666666666667</v>
      </c>
      <c r="J856" s="82">
        <v>4496.75</v>
      </c>
      <c r="K856" s="82">
        <v>13.775000000000002</v>
      </c>
      <c r="L856" s="82">
        <v>29.524999999999999</v>
      </c>
      <c r="M856" s="82">
        <v>0.58249999999999991</v>
      </c>
      <c r="N856" s="82">
        <v>4.7249999999999996</v>
      </c>
      <c r="O856" s="89" t="s">
        <v>48</v>
      </c>
      <c r="P856" s="89">
        <v>4</v>
      </c>
      <c r="Q856" s="89">
        <v>10</v>
      </c>
      <c r="R856" s="89" t="s">
        <v>49</v>
      </c>
      <c r="S856" s="89" t="s">
        <v>50</v>
      </c>
      <c r="T856" s="89" t="s">
        <v>50</v>
      </c>
      <c r="U856" s="89" t="s">
        <v>50</v>
      </c>
      <c r="V856" s="89" t="s">
        <v>50</v>
      </c>
      <c r="W856" s="89" t="s">
        <v>50</v>
      </c>
      <c r="X856" s="89" t="s">
        <v>50</v>
      </c>
      <c r="Y856" s="600" t="s">
        <v>67</v>
      </c>
    </row>
    <row r="857" spans="1:25" s="206" customFormat="1" x14ac:dyDescent="0.25">
      <c r="A857" s="204">
        <v>43794</v>
      </c>
      <c r="B857" s="206" t="s">
        <v>43</v>
      </c>
      <c r="C857" s="206" t="s">
        <v>62</v>
      </c>
      <c r="D857" s="206">
        <v>38.18074</v>
      </c>
      <c r="E857" s="206">
        <v>-121.99782</v>
      </c>
      <c r="F857" s="206" t="s">
        <v>4451</v>
      </c>
      <c r="G857" s="206" t="s">
        <v>27</v>
      </c>
      <c r="H857" s="206" t="s">
        <v>62</v>
      </c>
      <c r="I857" s="613">
        <v>0.44166666666666665</v>
      </c>
      <c r="J857" s="208">
        <v>6452</v>
      </c>
      <c r="K857" s="208">
        <v>13.7</v>
      </c>
      <c r="L857" s="208">
        <v>52.5</v>
      </c>
      <c r="M857" s="208">
        <v>0.39749999999999996</v>
      </c>
      <c r="N857" s="208">
        <v>8.4749999999999996</v>
      </c>
      <c r="O857" s="206" t="s">
        <v>48</v>
      </c>
      <c r="P857" s="206">
        <v>4</v>
      </c>
      <c r="Q857" s="206">
        <v>10</v>
      </c>
      <c r="R857" s="206" t="s">
        <v>64</v>
      </c>
      <c r="S857" s="206" t="s">
        <v>31</v>
      </c>
      <c r="T857" s="206">
        <v>2</v>
      </c>
      <c r="U857" s="206">
        <v>70</v>
      </c>
      <c r="V857" s="206" t="s">
        <v>66</v>
      </c>
      <c r="W857" s="206" t="s">
        <v>50</v>
      </c>
      <c r="X857" s="206" t="s">
        <v>50</v>
      </c>
      <c r="Y857" s="605"/>
    </row>
    <row r="858" spans="1:25" x14ac:dyDescent="0.25">
      <c r="A858" s="26">
        <v>43794</v>
      </c>
      <c r="B858" s="89" t="s">
        <v>43</v>
      </c>
      <c r="C858" s="89" t="s">
        <v>62</v>
      </c>
      <c r="D858" s="89">
        <v>38.153799999999997</v>
      </c>
      <c r="E858" s="89">
        <v>-122.05192</v>
      </c>
      <c r="F858" s="89" t="s">
        <v>4452</v>
      </c>
      <c r="G858" s="89" t="s">
        <v>27</v>
      </c>
      <c r="H858" s="89" t="s">
        <v>62</v>
      </c>
      <c r="I858" s="602">
        <v>0.4993055555555555</v>
      </c>
      <c r="J858" s="82">
        <v>14291.75</v>
      </c>
      <c r="K858" s="82">
        <v>13.55</v>
      </c>
      <c r="L858" s="82">
        <v>39.4</v>
      </c>
      <c r="M858" s="82">
        <v>0.505</v>
      </c>
      <c r="N858" s="82">
        <v>9.9499999999999993</v>
      </c>
      <c r="O858" s="89" t="s">
        <v>48</v>
      </c>
      <c r="P858" s="89">
        <v>4</v>
      </c>
      <c r="Q858" s="89">
        <v>10</v>
      </c>
      <c r="R858" s="89" t="s">
        <v>64</v>
      </c>
      <c r="S858" s="89" t="s">
        <v>50</v>
      </c>
      <c r="T858" s="89" t="s">
        <v>50</v>
      </c>
      <c r="U858" s="89" t="s">
        <v>50</v>
      </c>
      <c r="V858" s="89" t="s">
        <v>50</v>
      </c>
      <c r="W858" s="89" t="s">
        <v>50</v>
      </c>
      <c r="X858" s="89" t="s">
        <v>50</v>
      </c>
      <c r="Y858" s="600" t="s">
        <v>1445</v>
      </c>
    </row>
    <row r="859" spans="1:25" s="150" customFormat="1" x14ac:dyDescent="0.25">
      <c r="A859" s="178">
        <v>43794</v>
      </c>
      <c r="B859" s="150" t="s">
        <v>43</v>
      </c>
      <c r="C859" s="150" t="s">
        <v>88</v>
      </c>
      <c r="D859" s="150">
        <v>38.050130000000003</v>
      </c>
      <c r="E859" s="150">
        <v>-121.78619999999999</v>
      </c>
      <c r="F859" s="150" t="s">
        <v>4453</v>
      </c>
      <c r="G859" s="150" t="s">
        <v>27</v>
      </c>
      <c r="H859" s="150" t="s">
        <v>25</v>
      </c>
      <c r="I859" s="614">
        <v>0.32013888888888892</v>
      </c>
      <c r="J859" s="156" t="s">
        <v>50</v>
      </c>
      <c r="K859" s="156" t="s">
        <v>50</v>
      </c>
      <c r="L859" s="156" t="s">
        <v>50</v>
      </c>
      <c r="M859" s="156" t="s">
        <v>50</v>
      </c>
      <c r="N859" s="156" t="s">
        <v>50</v>
      </c>
      <c r="O859" s="154" t="s">
        <v>48</v>
      </c>
      <c r="P859" s="154">
        <v>0</v>
      </c>
      <c r="Q859" s="154" t="s">
        <v>50</v>
      </c>
      <c r="R859" s="150" t="s">
        <v>50</v>
      </c>
      <c r="S859" s="150" t="s">
        <v>50</v>
      </c>
      <c r="T859" s="150" t="s">
        <v>50</v>
      </c>
      <c r="U859" s="150" t="s">
        <v>50</v>
      </c>
      <c r="V859" s="150" t="s">
        <v>50</v>
      </c>
      <c r="W859" s="150" t="s">
        <v>50</v>
      </c>
      <c r="X859" s="150" t="s">
        <v>50</v>
      </c>
      <c r="Y859" s="604" t="s">
        <v>4454</v>
      </c>
    </row>
    <row r="860" spans="1:25" x14ac:dyDescent="0.25">
      <c r="A860" s="26">
        <v>43794</v>
      </c>
      <c r="B860" s="89" t="s">
        <v>43</v>
      </c>
      <c r="C860" s="89" t="s">
        <v>88</v>
      </c>
      <c r="D860" s="89">
        <v>38.072809999999997</v>
      </c>
      <c r="E860" s="89">
        <v>-121.77038</v>
      </c>
      <c r="F860" s="89" t="s">
        <v>4455</v>
      </c>
      <c r="G860" s="89" t="s">
        <v>27</v>
      </c>
      <c r="H860" s="89" t="s">
        <v>25</v>
      </c>
      <c r="I860" s="602">
        <v>0.33333333333333331</v>
      </c>
      <c r="J860" s="82">
        <v>328.95</v>
      </c>
      <c r="K860" s="82">
        <v>13.7</v>
      </c>
      <c r="L860" s="82">
        <v>18.45</v>
      </c>
      <c r="M860" s="82">
        <v>0.76249999999999996</v>
      </c>
      <c r="N860" s="82">
        <v>9.1000000000000014</v>
      </c>
      <c r="O860" s="89" t="s">
        <v>48</v>
      </c>
      <c r="P860" s="89">
        <v>4</v>
      </c>
      <c r="Q860" s="89">
        <v>10</v>
      </c>
      <c r="R860" s="89" t="s">
        <v>49</v>
      </c>
      <c r="S860" s="89" t="s">
        <v>50</v>
      </c>
      <c r="T860" s="89" t="s">
        <v>50</v>
      </c>
      <c r="U860" s="89" t="s">
        <v>50</v>
      </c>
      <c r="V860" s="89" t="s">
        <v>50</v>
      </c>
      <c r="W860" s="89" t="s">
        <v>50</v>
      </c>
      <c r="X860" s="89" t="s">
        <v>50</v>
      </c>
    </row>
    <row r="861" spans="1:25" x14ac:dyDescent="0.25">
      <c r="A861" s="26">
        <v>43794</v>
      </c>
      <c r="B861" s="89" t="s">
        <v>43</v>
      </c>
      <c r="C861" s="89" t="s">
        <v>88</v>
      </c>
      <c r="D861" s="89">
        <v>38.090310000000002</v>
      </c>
      <c r="E861" s="89">
        <v>-121.68537999999999</v>
      </c>
      <c r="F861" s="89" t="s">
        <v>4456</v>
      </c>
      <c r="G861" s="89" t="s">
        <v>90</v>
      </c>
      <c r="H861" s="89" t="s">
        <v>91</v>
      </c>
      <c r="I861" s="602">
        <v>0.45555555555555555</v>
      </c>
      <c r="J861" s="82">
        <v>270.59999999999997</v>
      </c>
      <c r="K861" s="82">
        <v>13.9</v>
      </c>
      <c r="L861" s="82">
        <v>7.5950000000000006</v>
      </c>
      <c r="M861" s="82">
        <v>1.2050000000000001</v>
      </c>
      <c r="N861" s="82">
        <v>5.1750000000000007</v>
      </c>
      <c r="O861" s="89" t="s">
        <v>48</v>
      </c>
      <c r="P861" s="89">
        <v>4</v>
      </c>
      <c r="Q861" s="89">
        <v>10</v>
      </c>
      <c r="R861" s="89" t="s">
        <v>64</v>
      </c>
      <c r="S861" s="89" t="s">
        <v>50</v>
      </c>
      <c r="T861" s="89" t="s">
        <v>50</v>
      </c>
      <c r="U861" s="89" t="s">
        <v>50</v>
      </c>
      <c r="V861" s="89" t="s">
        <v>50</v>
      </c>
      <c r="W861" s="89" t="s">
        <v>50</v>
      </c>
      <c r="X861" s="89" t="s">
        <v>50</v>
      </c>
    </row>
    <row r="862" spans="1:25" x14ac:dyDescent="0.25">
      <c r="A862" s="26">
        <v>43794</v>
      </c>
      <c r="B862" s="89" t="s">
        <v>43</v>
      </c>
      <c r="C862" s="89" t="s">
        <v>88</v>
      </c>
      <c r="D862" s="89">
        <v>38.106650000000002</v>
      </c>
      <c r="E862" s="89">
        <v>-121.70196</v>
      </c>
      <c r="F862" s="89" t="s">
        <v>4457</v>
      </c>
      <c r="G862" s="89" t="s">
        <v>90</v>
      </c>
      <c r="H862" s="89" t="s">
        <v>91</v>
      </c>
      <c r="I862" s="602">
        <v>0.38819444444444445</v>
      </c>
      <c r="J862" s="82">
        <v>247.6</v>
      </c>
      <c r="K862" s="82">
        <v>13.7</v>
      </c>
      <c r="L862" s="82">
        <v>9.0500000000000007</v>
      </c>
      <c r="M862" s="82">
        <v>1.25</v>
      </c>
      <c r="N862" s="82">
        <v>6.4</v>
      </c>
      <c r="O862" s="89" t="s">
        <v>48</v>
      </c>
      <c r="P862" s="89">
        <v>4</v>
      </c>
      <c r="Q862" s="89">
        <v>10</v>
      </c>
      <c r="R862" s="89" t="s">
        <v>64</v>
      </c>
      <c r="S862" s="89" t="s">
        <v>50</v>
      </c>
      <c r="T862" s="89" t="s">
        <v>50</v>
      </c>
      <c r="U862" s="89" t="s">
        <v>50</v>
      </c>
      <c r="V862" s="89" t="s">
        <v>50</v>
      </c>
      <c r="W862" s="89" t="s">
        <v>50</v>
      </c>
      <c r="X862" s="89" t="s">
        <v>50</v>
      </c>
    </row>
    <row r="863" spans="1:25" x14ac:dyDescent="0.25">
      <c r="A863" s="26">
        <v>43795</v>
      </c>
      <c r="B863" s="89" t="s">
        <v>849</v>
      </c>
      <c r="C863" s="89" t="s">
        <v>88</v>
      </c>
      <c r="D863" s="89">
        <v>38.067489999999999</v>
      </c>
      <c r="E863" s="89">
        <v>-121.82404</v>
      </c>
      <c r="F863" s="89" t="s">
        <v>4458</v>
      </c>
      <c r="G863" s="89" t="s">
        <v>27</v>
      </c>
      <c r="H863" s="89" t="s">
        <v>25</v>
      </c>
      <c r="I863" s="602">
        <v>0.3263888888888889</v>
      </c>
      <c r="J863" s="82">
        <v>3621.75</v>
      </c>
      <c r="K863" s="82">
        <v>13.6</v>
      </c>
      <c r="L863" s="82">
        <v>39.150000000000006</v>
      </c>
      <c r="M863" s="82">
        <v>0.43</v>
      </c>
      <c r="N863" s="82">
        <v>6.6499999999999995</v>
      </c>
      <c r="O863" s="89" t="s">
        <v>48</v>
      </c>
      <c r="P863" s="89">
        <v>4</v>
      </c>
      <c r="Q863" s="89">
        <v>10</v>
      </c>
      <c r="R863" s="89" t="s">
        <v>49</v>
      </c>
      <c r="S863" s="89" t="s">
        <v>50</v>
      </c>
      <c r="T863" s="89" t="s">
        <v>50</v>
      </c>
      <c r="U863" s="89" t="s">
        <v>50</v>
      </c>
      <c r="V863" s="89" t="s">
        <v>50</v>
      </c>
      <c r="W863" s="89" t="s">
        <v>50</v>
      </c>
      <c r="X863" s="89" t="s">
        <v>50</v>
      </c>
      <c r="Y863" s="600" t="s">
        <v>4459</v>
      </c>
    </row>
    <row r="864" spans="1:25" x14ac:dyDescent="0.25">
      <c r="A864" s="26">
        <v>43795</v>
      </c>
      <c r="B864" s="89" t="s">
        <v>849</v>
      </c>
      <c r="C864" s="89" t="s">
        <v>88</v>
      </c>
      <c r="D864" s="89">
        <v>38.07047</v>
      </c>
      <c r="E864" s="89">
        <v>-121.77489</v>
      </c>
      <c r="F864" s="89" t="s">
        <v>4460</v>
      </c>
      <c r="G864" s="89" t="s">
        <v>27</v>
      </c>
      <c r="H864" s="89" t="s">
        <v>25</v>
      </c>
      <c r="I864" s="602">
        <v>0.37777777777777777</v>
      </c>
      <c r="J864" s="82">
        <v>447.125</v>
      </c>
      <c r="K864" s="82">
        <v>13.125</v>
      </c>
      <c r="L864" s="82">
        <v>21.875</v>
      </c>
      <c r="M864" s="82">
        <v>0.79999999999999993</v>
      </c>
      <c r="N864" s="82">
        <v>9.3249999999999993</v>
      </c>
      <c r="O864" s="89" t="s">
        <v>48</v>
      </c>
      <c r="P864" s="89">
        <v>4</v>
      </c>
      <c r="Q864" s="89">
        <v>10</v>
      </c>
      <c r="R864" s="89" t="s">
        <v>49</v>
      </c>
      <c r="S864" s="89" t="s">
        <v>50</v>
      </c>
      <c r="T864" s="89" t="s">
        <v>50</v>
      </c>
      <c r="U864" s="89" t="s">
        <v>50</v>
      </c>
      <c r="V864" s="89" t="s">
        <v>50</v>
      </c>
      <c r="W864" s="89" t="s">
        <v>50</v>
      </c>
      <c r="X864" s="89" t="s">
        <v>50</v>
      </c>
    </row>
    <row r="865" spans="1:25" x14ac:dyDescent="0.25">
      <c r="A865" s="26">
        <v>43795</v>
      </c>
      <c r="B865" s="89" t="s">
        <v>849</v>
      </c>
      <c r="C865" s="89" t="s">
        <v>88</v>
      </c>
      <c r="D865" s="89">
        <v>38.132199999999997</v>
      </c>
      <c r="E865" s="89">
        <v>-121.68956</v>
      </c>
      <c r="F865" s="89" t="s">
        <v>4461</v>
      </c>
      <c r="G865" s="89" t="s">
        <v>90</v>
      </c>
      <c r="H865" s="89" t="s">
        <v>91</v>
      </c>
      <c r="I865" s="602">
        <v>0.44027777777777777</v>
      </c>
      <c r="J865" s="82">
        <v>159.27500000000001</v>
      </c>
      <c r="K865" s="82">
        <v>12.8</v>
      </c>
      <c r="L865" s="82">
        <v>8.16</v>
      </c>
      <c r="M865" s="82" t="s">
        <v>1233</v>
      </c>
      <c r="N865" s="82">
        <v>4.55</v>
      </c>
      <c r="O865" s="89" t="s">
        <v>48</v>
      </c>
      <c r="P865" s="89">
        <v>4</v>
      </c>
      <c r="Q865" s="89">
        <v>10</v>
      </c>
      <c r="R865" s="89" t="s">
        <v>64</v>
      </c>
      <c r="S865" s="89" t="s">
        <v>50</v>
      </c>
      <c r="T865" s="89" t="s">
        <v>50</v>
      </c>
      <c r="U865" s="89" t="s">
        <v>50</v>
      </c>
      <c r="V865" s="89" t="s">
        <v>50</v>
      </c>
      <c r="W865" s="89" t="s">
        <v>50</v>
      </c>
      <c r="X865" s="89" t="s">
        <v>50</v>
      </c>
    </row>
    <row r="866" spans="1:25" x14ac:dyDescent="0.25">
      <c r="A866" s="26">
        <v>43795</v>
      </c>
      <c r="B866" s="89" t="s">
        <v>849</v>
      </c>
      <c r="C866" s="89" t="s">
        <v>106</v>
      </c>
      <c r="D866" s="89">
        <v>38.555</v>
      </c>
      <c r="E866" s="89">
        <v>-121.57583</v>
      </c>
      <c r="F866" s="89" t="s">
        <v>4462</v>
      </c>
      <c r="G866" s="89" t="s">
        <v>90</v>
      </c>
      <c r="H866" s="89" t="s">
        <v>1787</v>
      </c>
      <c r="I866" s="602">
        <v>0.34722222222222227</v>
      </c>
      <c r="J866" s="82">
        <v>1127</v>
      </c>
      <c r="K866" s="82">
        <v>14.324999999999999</v>
      </c>
      <c r="L866" s="82">
        <v>3.8875000000000002</v>
      </c>
      <c r="M866" s="82" t="s">
        <v>1233</v>
      </c>
      <c r="N866" s="82">
        <v>10.824999999999999</v>
      </c>
      <c r="O866" s="89" t="s">
        <v>48</v>
      </c>
      <c r="P866" s="89">
        <v>4</v>
      </c>
      <c r="Q866" s="89">
        <v>10</v>
      </c>
      <c r="R866" s="89" t="s">
        <v>49</v>
      </c>
      <c r="S866" s="89" t="s">
        <v>50</v>
      </c>
      <c r="T866" s="89" t="s">
        <v>50</v>
      </c>
      <c r="U866" s="89" t="s">
        <v>50</v>
      </c>
      <c r="V866" s="89" t="s">
        <v>50</v>
      </c>
      <c r="W866" s="89" t="s">
        <v>50</v>
      </c>
      <c r="X866" s="89" t="s">
        <v>50</v>
      </c>
    </row>
    <row r="867" spans="1:25" x14ac:dyDescent="0.25">
      <c r="A867" s="26">
        <v>43795</v>
      </c>
      <c r="B867" s="89" t="s">
        <v>849</v>
      </c>
      <c r="C867" s="89" t="s">
        <v>106</v>
      </c>
      <c r="D867" s="89">
        <v>38.341410000000003</v>
      </c>
      <c r="E867" s="89">
        <v>-121.64447</v>
      </c>
      <c r="F867" s="89" t="s">
        <v>4463</v>
      </c>
      <c r="G867" s="89" t="s">
        <v>90</v>
      </c>
      <c r="H867" s="89" t="s">
        <v>362</v>
      </c>
      <c r="I867" s="602">
        <v>0.42430555555555555</v>
      </c>
      <c r="J867" s="82">
        <v>403.07499999999993</v>
      </c>
      <c r="K867" s="82">
        <v>13.1</v>
      </c>
      <c r="L867" s="82">
        <v>37.550000000000004</v>
      </c>
      <c r="M867" s="82" t="s">
        <v>50</v>
      </c>
      <c r="N867" s="82">
        <v>9.8249999999999993</v>
      </c>
      <c r="O867" s="89" t="s">
        <v>48</v>
      </c>
      <c r="P867" s="89">
        <v>4</v>
      </c>
      <c r="Q867" s="89">
        <v>10</v>
      </c>
      <c r="R867" s="89" t="s">
        <v>49</v>
      </c>
      <c r="S867" s="89" t="s">
        <v>50</v>
      </c>
      <c r="T867" s="89" t="s">
        <v>50</v>
      </c>
      <c r="U867" s="89" t="s">
        <v>50</v>
      </c>
      <c r="V867" s="89" t="s">
        <v>50</v>
      </c>
      <c r="W867" s="89" t="s">
        <v>50</v>
      </c>
      <c r="X867" s="89" t="s">
        <v>50</v>
      </c>
      <c r="Y867" s="600" t="s">
        <v>4464</v>
      </c>
    </row>
    <row r="868" spans="1:25" x14ac:dyDescent="0.25">
      <c r="A868" s="26">
        <v>43795</v>
      </c>
      <c r="B868" s="89" t="s">
        <v>849</v>
      </c>
      <c r="C868" s="89" t="s">
        <v>106</v>
      </c>
      <c r="D868" s="89">
        <v>38.200830000000003</v>
      </c>
      <c r="E868" s="89">
        <v>-121.65788999999999</v>
      </c>
      <c r="F868" s="89" t="s">
        <v>4465</v>
      </c>
      <c r="G868" s="89" t="s">
        <v>90</v>
      </c>
      <c r="H868" s="89" t="s">
        <v>362</v>
      </c>
      <c r="I868" s="602">
        <v>0.49513888888888885</v>
      </c>
      <c r="J868" s="82">
        <v>174.75</v>
      </c>
      <c r="K868" s="82">
        <v>12.5</v>
      </c>
      <c r="L868" s="82">
        <v>17.024999999999999</v>
      </c>
      <c r="M868" s="82" t="s">
        <v>50</v>
      </c>
      <c r="N868" s="82">
        <v>10.35</v>
      </c>
      <c r="O868" s="89" t="s">
        <v>48</v>
      </c>
      <c r="P868" s="89">
        <v>4</v>
      </c>
      <c r="Q868" s="89">
        <v>10</v>
      </c>
      <c r="R868" s="89" t="s">
        <v>64</v>
      </c>
      <c r="S868" s="89" t="s">
        <v>50</v>
      </c>
      <c r="T868" s="89" t="s">
        <v>50</v>
      </c>
      <c r="U868" s="89" t="s">
        <v>50</v>
      </c>
      <c r="V868" s="89" t="s">
        <v>50</v>
      </c>
      <c r="W868" s="89" t="s">
        <v>50</v>
      </c>
      <c r="X868" s="89" t="s">
        <v>50</v>
      </c>
      <c r="Y868" s="600" t="s">
        <v>4466</v>
      </c>
    </row>
    <row r="869" spans="1:25" s="150" customFormat="1" x14ac:dyDescent="0.25">
      <c r="A869" s="178">
        <v>43795</v>
      </c>
      <c r="B869" s="150" t="s">
        <v>849</v>
      </c>
      <c r="C869" s="150" t="s">
        <v>78</v>
      </c>
      <c r="D869" s="150">
        <v>38.070569999999996</v>
      </c>
      <c r="E869" s="150">
        <v>-121.99902</v>
      </c>
      <c r="F869" s="150" t="s">
        <v>4467</v>
      </c>
      <c r="G869" s="150" t="s">
        <v>27</v>
      </c>
      <c r="H869" s="150" t="s">
        <v>86</v>
      </c>
      <c r="I869" s="614">
        <v>0.33958333333333335</v>
      </c>
      <c r="J869" s="197" t="s">
        <v>50</v>
      </c>
      <c r="K869" s="197" t="s">
        <v>50</v>
      </c>
      <c r="L869" s="197" t="s">
        <v>50</v>
      </c>
      <c r="M869" s="197" t="s">
        <v>50</v>
      </c>
      <c r="N869" s="197" t="s">
        <v>50</v>
      </c>
      <c r="O869" s="150" t="s">
        <v>48</v>
      </c>
      <c r="P869" s="150">
        <v>0</v>
      </c>
      <c r="Q869" s="150" t="s">
        <v>50</v>
      </c>
      <c r="R869" s="150" t="s">
        <v>50</v>
      </c>
      <c r="S869" s="150" t="s">
        <v>50</v>
      </c>
      <c r="T869" s="150" t="s">
        <v>50</v>
      </c>
      <c r="U869" s="150" t="s">
        <v>50</v>
      </c>
      <c r="V869" s="150" t="s">
        <v>50</v>
      </c>
      <c r="W869" s="150" t="s">
        <v>50</v>
      </c>
      <c r="X869" s="150" t="s">
        <v>50</v>
      </c>
      <c r="Y869" s="604" t="s">
        <v>734</v>
      </c>
    </row>
    <row r="870" spans="1:25" x14ac:dyDescent="0.25">
      <c r="A870" s="26">
        <v>43795</v>
      </c>
      <c r="B870" s="89" t="s">
        <v>849</v>
      </c>
      <c r="C870" s="89" t="s">
        <v>78</v>
      </c>
      <c r="D870" s="89">
        <v>38.066490000000002</v>
      </c>
      <c r="E870" s="89">
        <v>-122.08476</v>
      </c>
      <c r="F870" s="89" t="s">
        <v>4468</v>
      </c>
      <c r="G870" s="89" t="s">
        <v>80</v>
      </c>
      <c r="H870" s="89" t="s">
        <v>81</v>
      </c>
      <c r="I870" s="602">
        <v>0.35555555555555557</v>
      </c>
      <c r="J870" s="82">
        <v>17318</v>
      </c>
      <c r="K870" s="82">
        <v>13.224999999999998</v>
      </c>
      <c r="L870" s="82">
        <v>26.325000000000003</v>
      </c>
      <c r="M870" s="82">
        <v>0.6</v>
      </c>
      <c r="N870" s="82">
        <v>5.65</v>
      </c>
      <c r="O870" s="89" t="s">
        <v>48</v>
      </c>
      <c r="P870" s="89">
        <v>4</v>
      </c>
      <c r="Q870" s="89">
        <v>10</v>
      </c>
      <c r="R870" s="89" t="s">
        <v>64</v>
      </c>
      <c r="S870" s="89" t="s">
        <v>50</v>
      </c>
      <c r="T870" s="89" t="s">
        <v>50</v>
      </c>
      <c r="U870" s="89" t="s">
        <v>50</v>
      </c>
      <c r="V870" s="89" t="s">
        <v>50</v>
      </c>
      <c r="W870" s="89" t="s">
        <v>50</v>
      </c>
      <c r="X870" s="89" t="s">
        <v>50</v>
      </c>
    </row>
    <row r="871" spans="1:25" x14ac:dyDescent="0.25">
      <c r="A871" s="26">
        <v>43795</v>
      </c>
      <c r="B871" s="89" t="s">
        <v>849</v>
      </c>
      <c r="C871" s="89" t="s">
        <v>78</v>
      </c>
      <c r="D871" s="89">
        <v>38.054090000000002</v>
      </c>
      <c r="E871" s="89">
        <v>-122.1058</v>
      </c>
      <c r="F871" s="89" t="s">
        <v>4469</v>
      </c>
      <c r="G871" s="89" t="s">
        <v>80</v>
      </c>
      <c r="H871" s="89" t="s">
        <v>81</v>
      </c>
      <c r="I871" s="602">
        <v>0.4055555555555555</v>
      </c>
      <c r="J871" s="82">
        <v>19969</v>
      </c>
      <c r="K871" s="82">
        <v>13.45</v>
      </c>
      <c r="L871" s="82">
        <v>23.5</v>
      </c>
      <c r="M871" s="82">
        <v>0.7024999999999999</v>
      </c>
      <c r="N871" s="82">
        <v>6.5250000000000004</v>
      </c>
      <c r="O871" s="89" t="s">
        <v>48</v>
      </c>
      <c r="P871" s="89">
        <v>4</v>
      </c>
      <c r="Q871" s="89">
        <v>10</v>
      </c>
      <c r="R871" s="89" t="s">
        <v>64</v>
      </c>
      <c r="S871" s="89" t="s">
        <v>50</v>
      </c>
      <c r="T871" s="89" t="s">
        <v>50</v>
      </c>
      <c r="U871" s="89" t="s">
        <v>50</v>
      </c>
      <c r="V871" s="89" t="s">
        <v>50</v>
      </c>
      <c r="W871" s="89" t="s">
        <v>50</v>
      </c>
      <c r="X871" s="89" t="s">
        <v>50</v>
      </c>
    </row>
    <row r="872" spans="1:25" x14ac:dyDescent="0.25">
      <c r="A872" s="26">
        <v>43795</v>
      </c>
      <c r="B872" s="89" t="s">
        <v>849</v>
      </c>
      <c r="C872" s="89" t="s">
        <v>118</v>
      </c>
      <c r="D872" s="89">
        <v>38.04466</v>
      </c>
      <c r="E872" s="89">
        <v>-122.31148</v>
      </c>
      <c r="F872" s="89" t="s">
        <v>4470</v>
      </c>
      <c r="G872" s="89" t="s">
        <v>80</v>
      </c>
      <c r="H872" s="89" t="s">
        <v>123</v>
      </c>
      <c r="I872" s="602">
        <v>0.49236111111111108</v>
      </c>
      <c r="J872" s="82">
        <v>31201.75</v>
      </c>
      <c r="K872" s="82">
        <v>13.5</v>
      </c>
      <c r="L872" s="82">
        <v>25.125</v>
      </c>
      <c r="M872" s="82">
        <v>0.8</v>
      </c>
      <c r="N872" s="82">
        <v>10.725</v>
      </c>
      <c r="O872" s="89" t="s">
        <v>48</v>
      </c>
      <c r="P872" s="89">
        <v>4</v>
      </c>
      <c r="Q872" s="89">
        <v>10</v>
      </c>
      <c r="R872" s="89" t="s">
        <v>64</v>
      </c>
      <c r="S872" s="89" t="s">
        <v>50</v>
      </c>
      <c r="T872" s="89" t="s">
        <v>50</v>
      </c>
      <c r="U872" s="89" t="s">
        <v>50</v>
      </c>
      <c r="V872" s="89" t="s">
        <v>50</v>
      </c>
      <c r="W872" s="89" t="s">
        <v>50</v>
      </c>
      <c r="X872" s="89" t="s">
        <v>50</v>
      </c>
      <c r="Y872" s="600" t="s">
        <v>67</v>
      </c>
    </row>
    <row r="873" spans="1:25" x14ac:dyDescent="0.25">
      <c r="A873" s="194">
        <v>43795</v>
      </c>
      <c r="B873" s="98" t="s">
        <v>849</v>
      </c>
      <c r="C873" s="98" t="s">
        <v>118</v>
      </c>
      <c r="D873" s="98">
        <v>38.034210000000002</v>
      </c>
      <c r="E873" s="98">
        <v>-122.18832</v>
      </c>
      <c r="F873" s="98" t="s">
        <v>4471</v>
      </c>
      <c r="G873" s="98" t="s">
        <v>80</v>
      </c>
      <c r="H873" s="98" t="s">
        <v>3332</v>
      </c>
      <c r="I873" s="621">
        <v>0.55555555555555558</v>
      </c>
      <c r="J873" s="100">
        <v>34120.25</v>
      </c>
      <c r="K873" s="100">
        <v>13.399999999999999</v>
      </c>
      <c r="L873" s="100">
        <v>32.35</v>
      </c>
      <c r="M873" s="100">
        <v>0.70499999999999996</v>
      </c>
      <c r="N873" s="100">
        <v>19.075000000000003</v>
      </c>
      <c r="O873" s="98" t="s">
        <v>48</v>
      </c>
      <c r="P873" s="98">
        <v>4</v>
      </c>
      <c r="Q873" s="98">
        <v>10</v>
      </c>
      <c r="R873" s="98" t="s">
        <v>64</v>
      </c>
      <c r="S873" s="98" t="s">
        <v>50</v>
      </c>
      <c r="T873" s="98" t="s">
        <v>50</v>
      </c>
      <c r="U873" s="98" t="s">
        <v>50</v>
      </c>
      <c r="V873" s="98" t="s">
        <v>50</v>
      </c>
      <c r="W873" s="98" t="s">
        <v>50</v>
      </c>
      <c r="X873" s="98" t="s">
        <v>50</v>
      </c>
      <c r="Y873" s="622" t="s">
        <v>4472</v>
      </c>
    </row>
    <row r="874" spans="1:25" x14ac:dyDescent="0.25">
      <c r="A874" s="26">
        <v>43795</v>
      </c>
      <c r="B874" s="89" t="s">
        <v>849</v>
      </c>
      <c r="C874" s="98" t="s">
        <v>118</v>
      </c>
      <c r="D874" s="98">
        <v>38.061920000000001</v>
      </c>
      <c r="E874" s="98">
        <v>-122.2131</v>
      </c>
      <c r="F874" s="98" t="s">
        <v>4473</v>
      </c>
      <c r="G874" s="98" t="s">
        <v>80</v>
      </c>
      <c r="H874" s="98" t="s">
        <v>3332</v>
      </c>
      <c r="I874" s="602">
        <v>0.62847222222222221</v>
      </c>
      <c r="J874" s="100">
        <v>33096.5</v>
      </c>
      <c r="K874" s="100">
        <v>13.375</v>
      </c>
      <c r="L874" s="100">
        <v>24.824999999999999</v>
      </c>
      <c r="M874" s="100">
        <v>0.70499999999999996</v>
      </c>
      <c r="N874" s="100">
        <v>18.48</v>
      </c>
      <c r="O874" s="98" t="s">
        <v>48</v>
      </c>
      <c r="P874" s="98">
        <v>4</v>
      </c>
      <c r="Q874" s="98">
        <v>10</v>
      </c>
      <c r="R874" s="89" t="s">
        <v>49</v>
      </c>
      <c r="S874" s="89" t="s">
        <v>50</v>
      </c>
      <c r="T874" s="89" t="s">
        <v>50</v>
      </c>
      <c r="U874" s="89" t="s">
        <v>50</v>
      </c>
      <c r="V874" s="89" t="s">
        <v>50</v>
      </c>
      <c r="W874" s="89" t="s">
        <v>50</v>
      </c>
      <c r="X874" s="89" t="s">
        <v>50</v>
      </c>
      <c r="Y874" s="600" t="s">
        <v>4474</v>
      </c>
    </row>
    <row r="875" spans="1:25" x14ac:dyDescent="0.25">
      <c r="A875" s="26">
        <v>43796</v>
      </c>
      <c r="B875" s="89" t="s">
        <v>915</v>
      </c>
      <c r="C875" s="89" t="s">
        <v>126</v>
      </c>
      <c r="D875" s="89">
        <v>38.252119999999998</v>
      </c>
      <c r="E875" s="89">
        <v>-121.67232</v>
      </c>
      <c r="F875" s="89" t="s">
        <v>4475</v>
      </c>
      <c r="G875" s="89" t="s">
        <v>90</v>
      </c>
      <c r="H875" s="89" t="s">
        <v>845</v>
      </c>
      <c r="I875" s="602">
        <v>0.31944444444444448</v>
      </c>
      <c r="J875" s="82">
        <v>177.875</v>
      </c>
      <c r="K875" s="82">
        <v>11.65</v>
      </c>
      <c r="L875" s="82" t="s">
        <v>50</v>
      </c>
      <c r="M875" s="82">
        <v>0.92</v>
      </c>
      <c r="N875" s="82">
        <v>7.0749999999999993</v>
      </c>
      <c r="O875" s="89" t="s">
        <v>48</v>
      </c>
      <c r="P875" s="89">
        <v>4</v>
      </c>
      <c r="Q875" s="89">
        <v>10</v>
      </c>
      <c r="R875" s="89" t="s">
        <v>49</v>
      </c>
      <c r="S875" s="89" t="s">
        <v>50</v>
      </c>
      <c r="T875" s="89" t="s">
        <v>50</v>
      </c>
      <c r="U875" s="89" t="s">
        <v>50</v>
      </c>
      <c r="V875" s="89" t="s">
        <v>50</v>
      </c>
      <c r="W875" s="89" t="s">
        <v>50</v>
      </c>
      <c r="X875" s="89" t="s">
        <v>50</v>
      </c>
      <c r="Y875" s="600" t="s">
        <v>766</v>
      </c>
    </row>
    <row r="876" spans="1:25" s="150" customFormat="1" x14ac:dyDescent="0.25">
      <c r="A876" s="178">
        <v>43796</v>
      </c>
      <c r="B876" s="150" t="s">
        <v>915</v>
      </c>
      <c r="C876" s="150" t="s">
        <v>126</v>
      </c>
      <c r="D876" s="150">
        <v>38.286299999999997</v>
      </c>
      <c r="E876" s="150">
        <v>-121.71908999999999</v>
      </c>
      <c r="F876" s="150" t="s">
        <v>4476</v>
      </c>
      <c r="G876" s="150" t="s">
        <v>90</v>
      </c>
      <c r="H876" s="150" t="s">
        <v>845</v>
      </c>
      <c r="I876" s="614">
        <v>0.41736111111111113</v>
      </c>
      <c r="J876" s="197" t="s">
        <v>50</v>
      </c>
      <c r="K876" s="197" t="s">
        <v>50</v>
      </c>
      <c r="L876" s="197" t="s">
        <v>50</v>
      </c>
      <c r="M876" s="197" t="s">
        <v>50</v>
      </c>
      <c r="N876" s="197" t="s">
        <v>50</v>
      </c>
      <c r="O876" s="150" t="s">
        <v>48</v>
      </c>
      <c r="P876" s="150">
        <v>0</v>
      </c>
      <c r="Q876" s="150" t="s">
        <v>50</v>
      </c>
      <c r="R876" s="150" t="s">
        <v>50</v>
      </c>
      <c r="S876" s="150" t="s">
        <v>50</v>
      </c>
      <c r="T876" s="150" t="s">
        <v>50</v>
      </c>
      <c r="U876" s="150" t="s">
        <v>50</v>
      </c>
      <c r="V876" s="150" t="s">
        <v>50</v>
      </c>
      <c r="W876" s="150" t="s">
        <v>50</v>
      </c>
      <c r="X876" s="150" t="s">
        <v>50</v>
      </c>
      <c r="Y876" s="604" t="s">
        <v>784</v>
      </c>
    </row>
    <row r="877" spans="1:25" x14ac:dyDescent="0.25">
      <c r="A877" s="26">
        <v>43796</v>
      </c>
      <c r="B877" s="89" t="s">
        <v>915</v>
      </c>
      <c r="C877" s="89" t="s">
        <v>126</v>
      </c>
      <c r="D877" s="89">
        <v>38.32488</v>
      </c>
      <c r="E877" s="89">
        <v>-121.66703</v>
      </c>
      <c r="F877" s="89" t="s">
        <v>4477</v>
      </c>
      <c r="G877" s="89" t="s">
        <v>90</v>
      </c>
      <c r="H877" s="89" t="s">
        <v>845</v>
      </c>
      <c r="I877" s="602">
        <v>0.36805555555555558</v>
      </c>
      <c r="J877" s="82">
        <v>239.3</v>
      </c>
      <c r="K877" s="82">
        <v>10.275</v>
      </c>
      <c r="L877" s="82" t="s">
        <v>50</v>
      </c>
      <c r="M877" s="82">
        <v>0.71499999999999997</v>
      </c>
      <c r="N877" s="82">
        <v>5.9249999999999998</v>
      </c>
      <c r="O877" s="89" t="s">
        <v>48</v>
      </c>
      <c r="P877" s="89">
        <v>4</v>
      </c>
      <c r="Q877" s="89">
        <v>10</v>
      </c>
      <c r="R877" s="89" t="s">
        <v>49</v>
      </c>
      <c r="S877" s="89" t="s">
        <v>50</v>
      </c>
      <c r="T877" s="89" t="s">
        <v>50</v>
      </c>
      <c r="U877" s="89" t="s">
        <v>50</v>
      </c>
      <c r="V877" s="89" t="s">
        <v>50</v>
      </c>
      <c r="W877" s="89" t="s">
        <v>50</v>
      </c>
      <c r="X877" s="89" t="s">
        <v>50</v>
      </c>
      <c r="Y877" s="600" t="s">
        <v>766</v>
      </c>
    </row>
    <row r="878" spans="1:25" x14ac:dyDescent="0.25">
      <c r="A878" s="26">
        <v>43796</v>
      </c>
      <c r="B878" s="89" t="s">
        <v>915</v>
      </c>
      <c r="C878" s="89" t="s">
        <v>126</v>
      </c>
      <c r="D878" s="89">
        <v>38.25712</v>
      </c>
      <c r="E878" s="89">
        <v>-121.72945</v>
      </c>
      <c r="F878" s="89" t="s">
        <v>4478</v>
      </c>
      <c r="G878" s="89" t="s">
        <v>90</v>
      </c>
      <c r="H878" s="89" t="s">
        <v>845</v>
      </c>
      <c r="I878" s="602">
        <v>0.43124999999999997</v>
      </c>
      <c r="J878" s="82">
        <v>189.82499999999999</v>
      </c>
      <c r="K878" s="82">
        <v>11.4</v>
      </c>
      <c r="L878" s="82" t="s">
        <v>50</v>
      </c>
      <c r="M878" s="82">
        <v>1.0024999999999999</v>
      </c>
      <c r="N878" s="82">
        <v>5.7500000000000009</v>
      </c>
      <c r="O878" s="89" t="s">
        <v>48</v>
      </c>
      <c r="P878" s="89">
        <v>4</v>
      </c>
      <c r="Q878" s="89">
        <v>10</v>
      </c>
      <c r="R878" s="89" t="s">
        <v>49</v>
      </c>
      <c r="S878" s="89" t="s">
        <v>50</v>
      </c>
      <c r="T878" s="89" t="s">
        <v>50</v>
      </c>
      <c r="U878" s="89" t="s">
        <v>50</v>
      </c>
      <c r="V878" s="89" t="s">
        <v>50</v>
      </c>
      <c r="W878" s="89" t="s">
        <v>50</v>
      </c>
      <c r="X878" s="89" t="s">
        <v>50</v>
      </c>
      <c r="Y878" s="600" t="s">
        <v>4479</v>
      </c>
    </row>
    <row r="879" spans="1:25" x14ac:dyDescent="0.25">
      <c r="A879" s="26">
        <v>43796</v>
      </c>
      <c r="B879" s="89" t="s">
        <v>915</v>
      </c>
      <c r="C879" s="89" t="s">
        <v>78</v>
      </c>
      <c r="D879" s="89">
        <v>38.057110000000002</v>
      </c>
      <c r="E879" s="89">
        <v>-121.87421000000001</v>
      </c>
      <c r="F879" s="89" t="s">
        <v>4480</v>
      </c>
      <c r="G879" s="89" t="s">
        <v>27</v>
      </c>
      <c r="H879" s="89" t="s">
        <v>101</v>
      </c>
      <c r="I879" s="602">
        <v>0.32777777777777778</v>
      </c>
      <c r="J879" s="82">
        <v>8079.5</v>
      </c>
      <c r="K879" s="82">
        <v>12.875</v>
      </c>
      <c r="L879" s="82">
        <v>19.450000000000003</v>
      </c>
      <c r="M879" s="82">
        <v>0.58499999999999996</v>
      </c>
      <c r="N879" s="82">
        <v>13.249999999999998</v>
      </c>
      <c r="O879" s="89" t="s">
        <v>48</v>
      </c>
      <c r="P879" s="89">
        <v>4</v>
      </c>
      <c r="Q879" s="89">
        <v>10</v>
      </c>
      <c r="R879" s="89" t="s">
        <v>49</v>
      </c>
      <c r="S879" s="89" t="s">
        <v>50</v>
      </c>
      <c r="T879" s="89" t="s">
        <v>50</v>
      </c>
      <c r="U879" s="89" t="s">
        <v>50</v>
      </c>
      <c r="V879" s="89" t="s">
        <v>50</v>
      </c>
      <c r="W879" s="89" t="s">
        <v>50</v>
      </c>
      <c r="X879" s="89" t="s">
        <v>50</v>
      </c>
    </row>
    <row r="880" spans="1:25" x14ac:dyDescent="0.25">
      <c r="A880" s="194">
        <v>43796</v>
      </c>
      <c r="B880" s="98" t="s">
        <v>915</v>
      </c>
      <c r="C880" s="98" t="s">
        <v>78</v>
      </c>
      <c r="D880" s="98">
        <v>38.051259999999999</v>
      </c>
      <c r="E880" s="98">
        <v>-121.94156</v>
      </c>
      <c r="F880" s="98" t="s">
        <v>4481</v>
      </c>
      <c r="G880" s="98" t="s">
        <v>27</v>
      </c>
      <c r="H880" s="98" t="s">
        <v>170</v>
      </c>
      <c r="I880" s="621">
        <v>0.37708333333333338</v>
      </c>
      <c r="J880" s="100">
        <v>9920.25</v>
      </c>
      <c r="K880" s="100">
        <v>12.9</v>
      </c>
      <c r="L880" s="100">
        <v>21.324999999999999</v>
      </c>
      <c r="M880" s="100">
        <v>0.6399999999999999</v>
      </c>
      <c r="N880" s="100">
        <v>13.499999999999998</v>
      </c>
      <c r="O880" s="98" t="s">
        <v>48</v>
      </c>
      <c r="P880" s="98">
        <v>4</v>
      </c>
      <c r="Q880" s="98">
        <v>10</v>
      </c>
      <c r="R880" s="98" t="s">
        <v>49</v>
      </c>
      <c r="S880" s="98" t="s">
        <v>50</v>
      </c>
      <c r="T880" s="98" t="s">
        <v>50</v>
      </c>
      <c r="U880" s="98" t="s">
        <v>50</v>
      </c>
      <c r="V880" s="98" t="s">
        <v>50</v>
      </c>
      <c r="W880" s="98" t="s">
        <v>50</v>
      </c>
      <c r="X880" s="98" t="s">
        <v>50</v>
      </c>
      <c r="Y880" s="622"/>
    </row>
    <row r="881" spans="1:25" x14ac:dyDescent="0.25">
      <c r="A881" s="194">
        <v>43796</v>
      </c>
      <c r="B881" s="98" t="s">
        <v>915</v>
      </c>
      <c r="C881" s="98" t="s">
        <v>78</v>
      </c>
      <c r="D881" s="98">
        <v>38.050249999999998</v>
      </c>
      <c r="E881" s="98">
        <v>-121.83586</v>
      </c>
      <c r="F881" s="98" t="s">
        <v>4482</v>
      </c>
      <c r="G881" s="98" t="s">
        <v>27</v>
      </c>
      <c r="H881" s="98" t="s">
        <v>101</v>
      </c>
      <c r="I881" s="621">
        <v>0.43333333333333335</v>
      </c>
      <c r="J881" s="100">
        <v>5187</v>
      </c>
      <c r="K881" s="100">
        <v>12.924999999999999</v>
      </c>
      <c r="L881" s="100">
        <v>19.574999999999999</v>
      </c>
      <c r="M881" s="100">
        <v>0.66750000000000009</v>
      </c>
      <c r="N881" s="100">
        <v>9.0250000000000004</v>
      </c>
      <c r="O881" s="98" t="s">
        <v>48</v>
      </c>
      <c r="P881" s="98">
        <v>4</v>
      </c>
      <c r="Q881" s="98">
        <v>10</v>
      </c>
      <c r="R881" s="98" t="s">
        <v>64</v>
      </c>
      <c r="S881" s="98" t="s">
        <v>50</v>
      </c>
      <c r="T881" s="98" t="s">
        <v>50</v>
      </c>
      <c r="U881" s="98" t="s">
        <v>50</v>
      </c>
      <c r="V881" s="98" t="s">
        <v>50</v>
      </c>
      <c r="W881" s="98" t="s">
        <v>50</v>
      </c>
      <c r="X881" s="98" t="s">
        <v>50</v>
      </c>
      <c r="Y881" s="622" t="s">
        <v>1531</v>
      </c>
    </row>
    <row r="882" spans="1:25" x14ac:dyDescent="0.25">
      <c r="A882" s="26">
        <v>43796</v>
      </c>
      <c r="B882" s="89" t="s">
        <v>915</v>
      </c>
      <c r="C882" s="89" t="s">
        <v>78</v>
      </c>
      <c r="D882" s="89">
        <v>38.065860000000001</v>
      </c>
      <c r="E882" s="89">
        <v>-122.0532</v>
      </c>
      <c r="F882" s="89" t="s">
        <v>4483</v>
      </c>
      <c r="G882" s="89" t="s">
        <v>27</v>
      </c>
      <c r="H882" s="89" t="s">
        <v>86</v>
      </c>
      <c r="I882" s="602">
        <v>0.31805555555555554</v>
      </c>
      <c r="J882" s="82">
        <v>15325.5</v>
      </c>
      <c r="K882" s="82">
        <v>12.55</v>
      </c>
      <c r="L882" s="82">
        <v>30</v>
      </c>
      <c r="M882" s="82">
        <v>0.54749999999999999</v>
      </c>
      <c r="N882" s="82">
        <v>15.25</v>
      </c>
      <c r="O882" s="89" t="s">
        <v>48</v>
      </c>
      <c r="P882" s="89">
        <v>4</v>
      </c>
      <c r="Q882" s="89">
        <v>10</v>
      </c>
      <c r="R882" s="89" t="s">
        <v>49</v>
      </c>
      <c r="S882" s="89" t="s">
        <v>50</v>
      </c>
      <c r="T882" s="89" t="s">
        <v>50</v>
      </c>
      <c r="U882" s="89" t="s">
        <v>50</v>
      </c>
      <c r="V882" s="89" t="s">
        <v>50</v>
      </c>
      <c r="W882" s="89" t="s">
        <v>50</v>
      </c>
      <c r="X882" s="89" t="s">
        <v>50</v>
      </c>
    </row>
    <row r="883" spans="1:25" x14ac:dyDescent="0.25">
      <c r="A883" s="26">
        <v>43796</v>
      </c>
      <c r="B883" s="89" t="s">
        <v>915</v>
      </c>
      <c r="C883" s="89" t="s">
        <v>78</v>
      </c>
      <c r="D883" s="89">
        <v>38.050409999999999</v>
      </c>
      <c r="E883" s="89">
        <v>-121.93638</v>
      </c>
      <c r="F883" s="89" t="s">
        <v>4484</v>
      </c>
      <c r="G883" s="89" t="s">
        <v>27</v>
      </c>
      <c r="H883" s="89" t="s">
        <v>170</v>
      </c>
      <c r="I883" s="602">
        <v>0.37708333333333338</v>
      </c>
      <c r="J883" s="82">
        <v>9654</v>
      </c>
      <c r="K883" s="82">
        <v>12.975</v>
      </c>
      <c r="L883" s="82">
        <v>19.049999999999997</v>
      </c>
      <c r="M883" s="82">
        <v>0.65749999999999997</v>
      </c>
      <c r="N883" s="82">
        <v>16.100000000000001</v>
      </c>
      <c r="O883" s="89" t="s">
        <v>48</v>
      </c>
      <c r="P883" s="89">
        <v>4</v>
      </c>
      <c r="Q883" s="89">
        <v>10</v>
      </c>
      <c r="R883" s="89" t="s">
        <v>49</v>
      </c>
      <c r="S883" s="89" t="s">
        <v>50</v>
      </c>
      <c r="T883" s="89" t="s">
        <v>50</v>
      </c>
      <c r="U883" s="89" t="s">
        <v>50</v>
      </c>
      <c r="V883" s="89" t="s">
        <v>50</v>
      </c>
      <c r="W883" s="89" t="s">
        <v>50</v>
      </c>
      <c r="X883" s="89" t="s">
        <v>50</v>
      </c>
    </row>
    <row r="884" spans="1:25" x14ac:dyDescent="0.25">
      <c r="A884" s="26">
        <v>43798</v>
      </c>
      <c r="B884" s="89" t="s">
        <v>125</v>
      </c>
      <c r="C884" s="89" t="s">
        <v>126</v>
      </c>
      <c r="D884" s="89">
        <v>38.418750000000003</v>
      </c>
      <c r="E884" s="89">
        <v>-121.6147</v>
      </c>
      <c r="F884" s="89" t="s">
        <v>4485</v>
      </c>
      <c r="G884" s="89" t="s">
        <v>90</v>
      </c>
      <c r="H884" s="89" t="s">
        <v>845</v>
      </c>
      <c r="I884" s="602">
        <v>0.34166666666666662</v>
      </c>
      <c r="J884" s="82">
        <v>223.25</v>
      </c>
      <c r="K884" s="82">
        <v>9.9</v>
      </c>
      <c r="L884" s="82">
        <v>26.375</v>
      </c>
      <c r="M884" s="82">
        <v>0.40249999999999997</v>
      </c>
      <c r="N884" s="82">
        <v>3.625</v>
      </c>
      <c r="O884" s="89" t="s">
        <v>48</v>
      </c>
      <c r="P884" s="89">
        <v>4</v>
      </c>
      <c r="Q884" s="89">
        <v>10</v>
      </c>
      <c r="R884" s="89" t="s">
        <v>64</v>
      </c>
      <c r="S884" s="89" t="s">
        <v>50</v>
      </c>
      <c r="T884" s="89" t="s">
        <v>50</v>
      </c>
      <c r="U884" s="89" t="s">
        <v>50</v>
      </c>
      <c r="V884" s="89" t="s">
        <v>50</v>
      </c>
      <c r="W884" s="89" t="s">
        <v>50</v>
      </c>
      <c r="X884" s="89" t="s">
        <v>50</v>
      </c>
    </row>
    <row r="885" spans="1:25" x14ac:dyDescent="0.25">
      <c r="A885" s="26">
        <v>43798</v>
      </c>
      <c r="B885" s="89" t="s">
        <v>125</v>
      </c>
      <c r="C885" s="89" t="s">
        <v>126</v>
      </c>
      <c r="D885" s="89">
        <v>38.271650000000001</v>
      </c>
      <c r="E885" s="89">
        <v>-121.70385</v>
      </c>
      <c r="F885" s="89" t="s">
        <v>4486</v>
      </c>
      <c r="G885" s="89" t="s">
        <v>90</v>
      </c>
      <c r="H885" s="89" t="s">
        <v>845</v>
      </c>
      <c r="I885" s="602">
        <v>0.4055555555555555</v>
      </c>
      <c r="J885" s="82">
        <v>184.7</v>
      </c>
      <c r="K885" s="82">
        <v>10</v>
      </c>
      <c r="L885" s="82">
        <v>14.6</v>
      </c>
      <c r="M885" s="82">
        <v>1.03</v>
      </c>
      <c r="N885" s="82">
        <v>4</v>
      </c>
      <c r="O885" s="89" t="s">
        <v>48</v>
      </c>
      <c r="P885" s="89">
        <v>1</v>
      </c>
      <c r="Q885" s="89">
        <v>9</v>
      </c>
      <c r="R885" s="89" t="s">
        <v>49</v>
      </c>
      <c r="S885" s="89" t="s">
        <v>50</v>
      </c>
      <c r="T885" s="89" t="s">
        <v>50</v>
      </c>
      <c r="U885" s="89" t="s">
        <v>50</v>
      </c>
      <c r="V885" s="89" t="s">
        <v>50</v>
      </c>
      <c r="W885" s="89" t="s">
        <v>50</v>
      </c>
      <c r="X885" s="89" t="s">
        <v>50</v>
      </c>
      <c r="Y885" s="600" t="s">
        <v>4487</v>
      </c>
    </row>
    <row r="886" spans="1:25" x14ac:dyDescent="0.25">
      <c r="A886" s="26">
        <v>43798</v>
      </c>
      <c r="B886" s="89" t="s">
        <v>125</v>
      </c>
      <c r="C886" s="89" t="s">
        <v>126</v>
      </c>
      <c r="D886" s="89">
        <v>38.24389</v>
      </c>
      <c r="E886" s="89">
        <v>-121.6939</v>
      </c>
      <c r="F886" s="89" t="s">
        <v>4488</v>
      </c>
      <c r="G886" s="89" t="s">
        <v>90</v>
      </c>
      <c r="H886" s="89" t="s">
        <v>845</v>
      </c>
      <c r="I886" s="602">
        <v>0.42777777777777781</v>
      </c>
      <c r="J886" s="82">
        <v>170.75</v>
      </c>
      <c r="K886" s="82">
        <v>10.350000000000001</v>
      </c>
      <c r="L886" s="82">
        <v>11.1</v>
      </c>
      <c r="M886" s="82">
        <v>1.1599999999999999</v>
      </c>
      <c r="N886" s="82">
        <v>5.4</v>
      </c>
      <c r="O886" s="89" t="s">
        <v>48</v>
      </c>
      <c r="P886" s="89">
        <v>4</v>
      </c>
      <c r="Q886" s="89">
        <v>10</v>
      </c>
      <c r="R886" s="89" t="s">
        <v>64</v>
      </c>
      <c r="S886" s="89" t="s">
        <v>50</v>
      </c>
      <c r="T886" s="89" t="s">
        <v>50</v>
      </c>
      <c r="U886" s="89" t="s">
        <v>50</v>
      </c>
      <c r="V886" s="89" t="s">
        <v>50</v>
      </c>
      <c r="W886" s="89" t="s">
        <v>50</v>
      </c>
      <c r="X886" s="89" t="s">
        <v>50</v>
      </c>
      <c r="Y886" s="600" t="s">
        <v>4489</v>
      </c>
    </row>
    <row r="887" spans="1:25" x14ac:dyDescent="0.25">
      <c r="A887" s="26">
        <v>43798</v>
      </c>
      <c r="B887" s="89" t="s">
        <v>125</v>
      </c>
      <c r="C887" s="89" t="s">
        <v>126</v>
      </c>
      <c r="D887" s="89">
        <v>38.23883</v>
      </c>
      <c r="E887" s="89">
        <v>-121.68456</v>
      </c>
      <c r="F887" s="89" t="s">
        <v>4490</v>
      </c>
      <c r="G887" s="89" t="s">
        <v>90</v>
      </c>
      <c r="H887" s="89" t="s">
        <v>845</v>
      </c>
      <c r="I887" s="602">
        <v>0.50972222222222219</v>
      </c>
      <c r="J887" s="82">
        <v>166.70000000000002</v>
      </c>
      <c r="K887" s="82">
        <v>10.6</v>
      </c>
      <c r="L887" s="82">
        <v>9.8275000000000006</v>
      </c>
      <c r="M887" s="82">
        <v>1.2749999999999999</v>
      </c>
      <c r="N887" s="82">
        <v>14.65</v>
      </c>
      <c r="O887" s="89" t="s">
        <v>48</v>
      </c>
      <c r="P887" s="89">
        <v>4</v>
      </c>
      <c r="Q887" s="89">
        <v>10</v>
      </c>
      <c r="R887" s="89" t="s">
        <v>49</v>
      </c>
      <c r="S887" s="89" t="s">
        <v>50</v>
      </c>
      <c r="T887" s="89" t="s">
        <v>50</v>
      </c>
      <c r="U887" s="89" t="s">
        <v>50</v>
      </c>
      <c r="V887" s="89" t="s">
        <v>50</v>
      </c>
      <c r="W887" s="89" t="s">
        <v>50</v>
      </c>
      <c r="X887" s="89" t="s">
        <v>50</v>
      </c>
    </row>
    <row r="888" spans="1:25" x14ac:dyDescent="0.25">
      <c r="A888" s="26">
        <v>43798</v>
      </c>
      <c r="B888" s="89" t="s">
        <v>125</v>
      </c>
      <c r="C888" s="89" t="s">
        <v>95</v>
      </c>
      <c r="D888" s="89">
        <v>38.021650000000001</v>
      </c>
      <c r="E888" s="89">
        <v>-121.80459999999999</v>
      </c>
      <c r="F888" s="89" t="s">
        <v>4491</v>
      </c>
      <c r="G888" s="89" t="s">
        <v>27</v>
      </c>
      <c r="H888" s="89" t="s">
        <v>863</v>
      </c>
      <c r="I888" s="602">
        <v>0.32916666666666666</v>
      </c>
      <c r="J888" s="100">
        <v>4491.75</v>
      </c>
      <c r="K888" s="100">
        <v>11.9</v>
      </c>
      <c r="L888" s="100">
        <v>19.399999999999999</v>
      </c>
      <c r="M888" s="100">
        <v>0.62749999999999995</v>
      </c>
      <c r="N888" s="100">
        <v>11.8</v>
      </c>
      <c r="O888" s="98" t="s">
        <v>48</v>
      </c>
      <c r="P888" s="98">
        <v>4</v>
      </c>
      <c r="Q888" s="98">
        <v>10</v>
      </c>
      <c r="R888" s="89" t="s">
        <v>64</v>
      </c>
      <c r="S888" s="89" t="s">
        <v>50</v>
      </c>
      <c r="T888" s="89" t="s">
        <v>50</v>
      </c>
      <c r="U888" s="89" t="s">
        <v>50</v>
      </c>
      <c r="V888" s="89" t="s">
        <v>50</v>
      </c>
      <c r="W888" s="89" t="s">
        <v>50</v>
      </c>
      <c r="X888" s="89" t="s">
        <v>50</v>
      </c>
    </row>
    <row r="889" spans="1:25" x14ac:dyDescent="0.25">
      <c r="A889" s="26">
        <v>43798</v>
      </c>
      <c r="B889" s="89" t="s">
        <v>125</v>
      </c>
      <c r="C889" s="89" t="s">
        <v>95</v>
      </c>
      <c r="D889" s="89">
        <v>38.026339999999998</v>
      </c>
      <c r="E889" s="89">
        <v>-121.76076</v>
      </c>
      <c r="F889" s="89" t="s">
        <v>4492</v>
      </c>
      <c r="G889" s="89" t="s">
        <v>27</v>
      </c>
      <c r="H889" s="89" t="s">
        <v>863</v>
      </c>
      <c r="I889" s="602">
        <v>0.38541666666666669</v>
      </c>
      <c r="J889" s="82">
        <v>2702.75</v>
      </c>
      <c r="K889" s="82">
        <v>12</v>
      </c>
      <c r="L889" s="82">
        <v>15.35</v>
      </c>
      <c r="M889" s="82">
        <v>0.72250000000000003</v>
      </c>
      <c r="N889" s="82">
        <v>10.8</v>
      </c>
      <c r="O889" s="89" t="s">
        <v>48</v>
      </c>
      <c r="P889" s="89">
        <v>4</v>
      </c>
      <c r="Q889" s="89">
        <v>10</v>
      </c>
      <c r="R889" s="89" t="s">
        <v>49</v>
      </c>
      <c r="S889" s="89" t="s">
        <v>50</v>
      </c>
      <c r="T889" s="89" t="s">
        <v>50</v>
      </c>
      <c r="U889" s="89" t="s">
        <v>50</v>
      </c>
      <c r="V889" s="89" t="s">
        <v>50</v>
      </c>
      <c r="W889" s="89" t="s">
        <v>50</v>
      </c>
      <c r="X889" s="89" t="s">
        <v>50</v>
      </c>
    </row>
    <row r="890" spans="1:25" x14ac:dyDescent="0.25">
      <c r="A890" s="26">
        <v>43798</v>
      </c>
      <c r="B890" s="89" t="s">
        <v>125</v>
      </c>
      <c r="C890" s="89" t="s">
        <v>95</v>
      </c>
      <c r="D890" s="89">
        <v>38.056539999999998</v>
      </c>
      <c r="E890" s="89">
        <v>-121.6828</v>
      </c>
      <c r="F890" s="89" t="s">
        <v>4493</v>
      </c>
      <c r="G890" s="89" t="s">
        <v>46</v>
      </c>
      <c r="H890" s="89" t="s">
        <v>908</v>
      </c>
      <c r="I890" s="602">
        <v>0.45208333333333334</v>
      </c>
      <c r="J890" s="82">
        <v>529.5</v>
      </c>
      <c r="K890" s="82">
        <v>12.65</v>
      </c>
      <c r="L890" s="82">
        <v>13.125</v>
      </c>
      <c r="M890" s="82">
        <v>1.085</v>
      </c>
      <c r="N890" s="82">
        <v>11.1</v>
      </c>
      <c r="O890" s="89" t="s">
        <v>48</v>
      </c>
      <c r="P890" s="89">
        <v>4</v>
      </c>
      <c r="Q890" s="89">
        <v>10</v>
      </c>
      <c r="R890" s="89" t="s">
        <v>49</v>
      </c>
      <c r="S890" s="89" t="s">
        <v>50</v>
      </c>
      <c r="T890" s="89" t="s">
        <v>50</v>
      </c>
      <c r="U890" s="89" t="s">
        <v>50</v>
      </c>
      <c r="V890" s="89" t="s">
        <v>50</v>
      </c>
      <c r="W890" s="89" t="s">
        <v>50</v>
      </c>
      <c r="X890" s="89" t="s">
        <v>50</v>
      </c>
      <c r="Y890" s="600" t="s">
        <v>4494</v>
      </c>
    </row>
    <row r="891" spans="1:25" x14ac:dyDescent="0.25">
      <c r="A891" s="26">
        <v>43798</v>
      </c>
      <c r="B891" s="89" t="s">
        <v>125</v>
      </c>
      <c r="C891" s="89" t="s">
        <v>62</v>
      </c>
      <c r="D891" s="89">
        <v>38.111890000000002</v>
      </c>
      <c r="E891" s="89">
        <v>-122.05654</v>
      </c>
      <c r="F891" s="89" t="s">
        <v>4495</v>
      </c>
      <c r="G891" s="89" t="s">
        <v>27</v>
      </c>
      <c r="H891" s="89" t="s">
        <v>173</v>
      </c>
      <c r="I891" s="602">
        <v>0.33194444444444443</v>
      </c>
      <c r="J891" s="82">
        <v>15322.75</v>
      </c>
      <c r="K891" s="82">
        <v>11.225000000000001</v>
      </c>
      <c r="L891" s="82">
        <v>27.549999999999997</v>
      </c>
      <c r="M891" s="82">
        <v>0.5</v>
      </c>
      <c r="N891" s="82">
        <v>3.3</v>
      </c>
      <c r="O891" s="89" t="s">
        <v>48</v>
      </c>
      <c r="P891" s="89">
        <v>4</v>
      </c>
      <c r="Q891" s="89">
        <v>10</v>
      </c>
      <c r="R891" s="89" t="s">
        <v>49</v>
      </c>
      <c r="S891" s="89" t="s">
        <v>50</v>
      </c>
      <c r="T891" s="89" t="s">
        <v>50</v>
      </c>
      <c r="U891" s="89" t="s">
        <v>50</v>
      </c>
      <c r="V891" s="89" t="s">
        <v>50</v>
      </c>
      <c r="W891" s="89" t="s">
        <v>50</v>
      </c>
      <c r="X891" s="89" t="s">
        <v>50</v>
      </c>
    </row>
    <row r="892" spans="1:25" s="496" customFormat="1" x14ac:dyDescent="0.25">
      <c r="A892" s="495">
        <v>43798</v>
      </c>
      <c r="B892" s="496" t="s">
        <v>125</v>
      </c>
      <c r="C892" s="496" t="s">
        <v>62</v>
      </c>
      <c r="D892" s="496">
        <v>38.179229999999997</v>
      </c>
      <c r="E892" s="496">
        <v>-122.00732000000001</v>
      </c>
      <c r="F892" s="496" t="s">
        <v>4496</v>
      </c>
      <c r="G892" s="496" t="s">
        <v>27</v>
      </c>
      <c r="H892" s="496" t="s">
        <v>62</v>
      </c>
      <c r="I892" s="615">
        <v>0.38541666666666669</v>
      </c>
      <c r="J892" s="498">
        <v>5741.5</v>
      </c>
      <c r="K892" s="498">
        <v>11.3</v>
      </c>
      <c r="L892" s="498">
        <v>54.400000000000006</v>
      </c>
      <c r="M892" s="498">
        <v>0.28500000000000003</v>
      </c>
      <c r="N892" s="498">
        <v>6.45</v>
      </c>
      <c r="O892" s="496" t="s">
        <v>48</v>
      </c>
      <c r="P892" s="496">
        <v>2</v>
      </c>
      <c r="Q892" s="496">
        <v>10</v>
      </c>
      <c r="R892" s="496" t="s">
        <v>49</v>
      </c>
      <c r="S892" s="496" t="s">
        <v>323</v>
      </c>
      <c r="T892" s="496">
        <v>1</v>
      </c>
      <c r="U892" s="496">
        <v>64</v>
      </c>
      <c r="V892" s="496" t="s">
        <v>66</v>
      </c>
      <c r="W892" s="496" t="s">
        <v>50</v>
      </c>
      <c r="X892" s="496" t="s">
        <v>50</v>
      </c>
      <c r="Y892" s="601"/>
    </row>
    <row r="893" spans="1:25" s="362" customFormat="1" x14ac:dyDescent="0.25">
      <c r="A893" s="360">
        <v>43798</v>
      </c>
      <c r="B893" s="362" t="s">
        <v>125</v>
      </c>
      <c r="C893" s="362" t="s">
        <v>62</v>
      </c>
      <c r="D893" s="362">
        <v>38.172559999999997</v>
      </c>
      <c r="E893" s="362">
        <v>-121.94701999999999</v>
      </c>
      <c r="F893" s="362" t="s">
        <v>4497</v>
      </c>
      <c r="G893" s="362" t="s">
        <v>27</v>
      </c>
      <c r="H893" s="362" t="s">
        <v>62</v>
      </c>
      <c r="I893" s="618">
        <v>0.41944444444444445</v>
      </c>
      <c r="J893" s="364">
        <v>6928</v>
      </c>
      <c r="K893" s="364">
        <v>11.45</v>
      </c>
      <c r="L893" s="364">
        <v>33.625</v>
      </c>
      <c r="M893" s="364">
        <v>0.44499999999999995</v>
      </c>
      <c r="N893" s="364">
        <v>9.0249999999999986</v>
      </c>
      <c r="O893" s="362" t="s">
        <v>48</v>
      </c>
      <c r="P893" s="362">
        <v>4</v>
      </c>
      <c r="Q893" s="362">
        <v>10</v>
      </c>
      <c r="R893" s="362" t="s">
        <v>49</v>
      </c>
      <c r="S893" s="362" t="s">
        <v>50</v>
      </c>
      <c r="T893" s="362" t="s">
        <v>50</v>
      </c>
      <c r="U893" s="362" t="s">
        <v>50</v>
      </c>
      <c r="V893" s="362" t="s">
        <v>50</v>
      </c>
      <c r="W893" s="362" t="s">
        <v>50</v>
      </c>
      <c r="X893" s="362" t="s">
        <v>50</v>
      </c>
      <c r="Y893" s="603"/>
    </row>
  </sheetData>
  <autoFilter ref="F1:F893" xr:uid="{00000000-0009-0000-0000-000007000000}"/>
  <conditionalFormatting sqref="S207:S209 S372:S373 S387 S453 S509 S576 S667:S669 S781 S842 S290 S126 S107:S108 S110 S1:S3 S147 S223 T3:X3 S114:S118 S121:S123 S149 S287 S299 S292 S316 S338 S342 S358:S360 S362:S367 S414 S455 S470 S475 S477:S486 S535 S538:S552 T550:X550 S554 S580 S585 S587:S619 S637 S678 S684 S686 S688 S696 S703:S704 S709 S713 S717 S723 S819 S844:S850 S857 S868 S885 S894:S1048576 S889 S891:S892">
    <cfRule type="cellIs" dxfId="2243" priority="846" operator="equal">
      <formula>"DSM"</formula>
    </cfRule>
  </conditionalFormatting>
  <conditionalFormatting sqref="A4 A6:A7 J51:N51 R51:X51 S65:X65">
    <cfRule type="expression" dxfId="2242" priority="841">
      <formula>$T4="DSM"</formula>
    </cfRule>
    <cfRule type="expression" dxfId="2241" priority="842">
      <formula>SEARCH("RBT",#REF!)&gt;0</formula>
    </cfRule>
    <cfRule type="expression" dxfId="2240" priority="843">
      <formula>SEARCH("GST",#REF!)&gt;0</formula>
    </cfRule>
    <cfRule type="expression" dxfId="2239" priority="844">
      <formula>SEARCH("CHN",$T4)&gt;0</formula>
    </cfRule>
    <cfRule type="expression" dxfId="2238" priority="845">
      <formula>$T4="LFS"</formula>
    </cfRule>
  </conditionalFormatting>
  <conditionalFormatting sqref="S6:V7 S4:X4">
    <cfRule type="expression" dxfId="2237" priority="836">
      <formula>$S4="DSM"</formula>
    </cfRule>
    <cfRule type="expression" dxfId="2236" priority="837">
      <formula>SEARCH("GST",$S4)</formula>
    </cfRule>
    <cfRule type="expression" dxfId="2235" priority="838">
      <formula>SEARCH("RBT",$S4)</formula>
    </cfRule>
    <cfRule type="expression" dxfId="2234" priority="839">
      <formula>SEARCH("LFS",$S4)</formula>
    </cfRule>
    <cfRule type="expression" dxfId="2233" priority="840">
      <formula>SEARCH("CHN",$S4)</formula>
    </cfRule>
  </conditionalFormatting>
  <conditionalFormatting sqref="S6:S7 S4:X4">
    <cfRule type="cellIs" dxfId="2232" priority="835" operator="equal">
      <formula>"DSM"</formula>
    </cfRule>
  </conditionalFormatting>
  <conditionalFormatting sqref="S6:S7 S4:X4">
    <cfRule type="expression" dxfId="2231" priority="831">
      <formula>SEARCH("RBT",$S4)</formula>
    </cfRule>
    <cfRule type="expression" dxfId="2230" priority="832">
      <formula>SEARCH("GST",$S4)</formula>
    </cfRule>
    <cfRule type="expression" dxfId="2229" priority="833">
      <formula>SEARCH("CHN",$S4)</formula>
    </cfRule>
    <cfRule type="expression" dxfId="2228" priority="834">
      <formula>SEARCH("LFS",$S4)</formula>
    </cfRule>
  </conditionalFormatting>
  <conditionalFormatting sqref="X6:X7">
    <cfRule type="expression" dxfId="2227" priority="826">
      <formula>$S6="DSM"</formula>
    </cfRule>
    <cfRule type="expression" dxfId="2226" priority="827">
      <formula>SEARCH("GST",$S6)</formula>
    </cfRule>
    <cfRule type="expression" dxfId="2225" priority="828">
      <formula>SEARCH("RBT",$S6)</formula>
    </cfRule>
    <cfRule type="expression" dxfId="2224" priority="829">
      <formula>SEARCH("LFS",$S6)</formula>
    </cfRule>
    <cfRule type="expression" dxfId="2223" priority="830">
      <formula>SEARCH("CHN",$S6)</formula>
    </cfRule>
  </conditionalFormatting>
  <conditionalFormatting sqref="W6:W7">
    <cfRule type="expression" dxfId="2222" priority="821">
      <formula>$S6="DSM"</formula>
    </cfRule>
    <cfRule type="expression" dxfId="2221" priority="822">
      <formula>SEARCH("GST",$S6)</formula>
    </cfRule>
    <cfRule type="expression" dxfId="2220" priority="823">
      <formula>SEARCH("RBT",$S6)</formula>
    </cfRule>
    <cfRule type="expression" dxfId="2219" priority="824">
      <formula>SEARCH("LFS",$S6)</formula>
    </cfRule>
    <cfRule type="expression" dxfId="2218" priority="825">
      <formula>SEARCH("CHN",$S6)</formula>
    </cfRule>
  </conditionalFormatting>
  <conditionalFormatting sqref="S11:V12">
    <cfRule type="expression" dxfId="2217" priority="811">
      <formula>$S11="DSM"</formula>
    </cfRule>
    <cfRule type="expression" dxfId="2216" priority="812">
      <formula>SEARCH("GST",$S11)</formula>
    </cfRule>
    <cfRule type="expression" dxfId="2215" priority="813">
      <formula>SEARCH("RBT",$S11)</formula>
    </cfRule>
    <cfRule type="expression" dxfId="2214" priority="814">
      <formula>SEARCH("LFS",$S11)</formula>
    </cfRule>
    <cfRule type="expression" dxfId="2213" priority="815">
      <formula>SEARCH("CHN",$S11)</formula>
    </cfRule>
  </conditionalFormatting>
  <conditionalFormatting sqref="S11:S12">
    <cfRule type="cellIs" dxfId="2212" priority="810" operator="equal">
      <formula>"DSM"</formula>
    </cfRule>
  </conditionalFormatting>
  <conditionalFormatting sqref="S11:S12">
    <cfRule type="expression" dxfId="2211" priority="806">
      <formula>SEARCH("RBT",$S11)</formula>
    </cfRule>
    <cfRule type="expression" dxfId="2210" priority="807">
      <formula>SEARCH("GST",$S11)</formula>
    </cfRule>
    <cfRule type="expression" dxfId="2209" priority="808">
      <formula>SEARCH("CHN",$S11)</formula>
    </cfRule>
    <cfRule type="expression" dxfId="2208" priority="809">
      <formula>SEARCH("LFS",$S11)</formula>
    </cfRule>
  </conditionalFormatting>
  <conditionalFormatting sqref="W11:W12">
    <cfRule type="expression" dxfId="2207" priority="801">
      <formula>$S11="DSM"</formula>
    </cfRule>
    <cfRule type="expression" dxfId="2206" priority="802">
      <formula>SEARCH("GST",$S11)</formula>
    </cfRule>
    <cfRule type="expression" dxfId="2205" priority="803">
      <formula>SEARCH("RBT",$S11)</formula>
    </cfRule>
    <cfRule type="expression" dxfId="2204" priority="804">
      <formula>SEARCH("LFS",$S11)</formula>
    </cfRule>
    <cfRule type="expression" dxfId="2203" priority="805">
      <formula>SEARCH("CHN",$S11)</formula>
    </cfRule>
  </conditionalFormatting>
  <conditionalFormatting sqref="J84:X84 C82:H84 J87:R87 J70:N70 P70:X70 J82:N83 R82:X83 S27:X31">
    <cfRule type="expression" dxfId="2202" priority="796">
      <formula>$T27="DSM"</formula>
    </cfRule>
    <cfRule type="expression" dxfId="2201" priority="797">
      <formula>SEARCH("RBT",$T1048574)&gt;0</formula>
    </cfRule>
    <cfRule type="expression" dxfId="2200" priority="798">
      <formula>SEARCH("GST",$T1048574)&gt;0</formula>
    </cfRule>
    <cfRule type="expression" dxfId="2199" priority="799">
      <formula>SEARCH("CHN",$T27)&gt;0</formula>
    </cfRule>
    <cfRule type="expression" dxfId="2198" priority="800">
      <formula>$T27="LFS"</formula>
    </cfRule>
  </conditionalFormatting>
  <conditionalFormatting sqref="S158">
    <cfRule type="cellIs" dxfId="2197" priority="675" operator="equal">
      <formula>"DSM"</formula>
    </cfRule>
  </conditionalFormatting>
  <conditionalFormatting sqref="S171:S172">
    <cfRule type="cellIs" dxfId="2196" priority="671" operator="equal">
      <formula>"DSM"</formula>
    </cfRule>
  </conditionalFormatting>
  <conditionalFormatting sqref="S178 S180 S184">
    <cfRule type="cellIs" dxfId="2195" priority="668" operator="equal">
      <formula>"DSM"</formula>
    </cfRule>
  </conditionalFormatting>
  <conditionalFormatting sqref="S188">
    <cfRule type="cellIs" dxfId="2194" priority="667" operator="equal">
      <formula>"DSM"</formula>
    </cfRule>
  </conditionalFormatting>
  <conditionalFormatting sqref="S248">
    <cfRule type="cellIs" dxfId="2193" priority="658" operator="equal">
      <formula>"DSM"</formula>
    </cfRule>
  </conditionalFormatting>
  <conditionalFormatting sqref="S368:S371">
    <cfRule type="cellIs" dxfId="2192" priority="649" operator="equal">
      <formula>"DSM"</formula>
    </cfRule>
  </conditionalFormatting>
  <conditionalFormatting sqref="S374:S375">
    <cfRule type="cellIs" dxfId="2191" priority="648" operator="equal">
      <formula>"DSM"</formula>
    </cfRule>
  </conditionalFormatting>
  <conditionalFormatting sqref="S432">
    <cfRule type="cellIs" dxfId="2190" priority="641" operator="equal">
      <formula>"DSM"</formula>
    </cfRule>
  </conditionalFormatting>
  <conditionalFormatting sqref="S555:S562">
    <cfRule type="cellIs" dxfId="2189" priority="632" operator="equal">
      <formula>"DSM"</formula>
    </cfRule>
  </conditionalFormatting>
  <conditionalFormatting sqref="S563:S564 S566:S567">
    <cfRule type="cellIs" dxfId="2188" priority="631" operator="equal">
      <formula>"DSM"</formula>
    </cfRule>
  </conditionalFormatting>
  <conditionalFormatting sqref="S568">
    <cfRule type="cellIs" dxfId="2187" priority="630" operator="equal">
      <formula>"DSM"</formula>
    </cfRule>
  </conditionalFormatting>
  <conditionalFormatting sqref="S569:S574">
    <cfRule type="cellIs" dxfId="2186" priority="629" operator="equal">
      <formula>"DSM"</formula>
    </cfRule>
  </conditionalFormatting>
  <conditionalFormatting sqref="S575">
    <cfRule type="cellIs" dxfId="2185" priority="628" operator="equal">
      <formula>"DSM"</formula>
    </cfRule>
  </conditionalFormatting>
  <conditionalFormatting sqref="S659:S666">
    <cfRule type="cellIs" dxfId="2184" priority="625" operator="equal">
      <formula>"DSM"</formula>
    </cfRule>
  </conditionalFormatting>
  <conditionalFormatting sqref="S755">
    <cfRule type="cellIs" dxfId="2183" priority="618" operator="equal">
      <formula>"DSM"</formula>
    </cfRule>
  </conditionalFormatting>
  <conditionalFormatting sqref="S793">
    <cfRule type="cellIs" dxfId="2182" priority="608" operator="equal">
      <formula>"DSM"</formula>
    </cfRule>
  </conditionalFormatting>
  <conditionalFormatting sqref="S766:S768">
    <cfRule type="cellIs" dxfId="2181" priority="615" operator="equal">
      <formula>"DSM"</formula>
    </cfRule>
  </conditionalFormatting>
  <conditionalFormatting sqref="S776">
    <cfRule type="cellIs" dxfId="2180" priority="612" operator="equal">
      <formula>"DSM"</formula>
    </cfRule>
  </conditionalFormatting>
  <conditionalFormatting sqref="S779">
    <cfRule type="cellIs" dxfId="2179" priority="610" operator="equal">
      <formula>"DSM"</formula>
    </cfRule>
  </conditionalFormatting>
  <conditionalFormatting sqref="S800">
    <cfRule type="cellIs" dxfId="2178" priority="606" operator="equal">
      <formula>"DSM"</formula>
    </cfRule>
  </conditionalFormatting>
  <conditionalFormatting sqref="S841">
    <cfRule type="cellIs" dxfId="2177" priority="599" operator="equal">
      <formula>"DSM"</formula>
    </cfRule>
  </conditionalFormatting>
  <conditionalFormatting sqref="S823 S833:S834">
    <cfRule type="cellIs" dxfId="2176" priority="600" operator="equal">
      <formula>"DSM"</formula>
    </cfRule>
  </conditionalFormatting>
  <conditionalFormatting sqref="J78:N80 C78:H80 S67:X67 S69:X69 J72:X73 C74:H76 S71:X71 S35:X36 J37:N38 R37:X38 S50:X50 J74:N76 R74:X76 R78:X80 O74:Q83 S98:X98">
    <cfRule type="expression" dxfId="2175" priority="1911">
      <formula>$T35="DSM"</formula>
    </cfRule>
    <cfRule type="expression" dxfId="2174" priority="1912">
      <formula>SEARCH("RBT",$T7)&gt;0</formula>
    </cfRule>
    <cfRule type="expression" dxfId="2173" priority="1913">
      <formula>SEARCH("GST",$T7)&gt;0</formula>
    </cfRule>
    <cfRule type="expression" dxfId="2172" priority="1914">
      <formula>SEARCH("CHN",$T35)&gt;0</formula>
    </cfRule>
    <cfRule type="expression" dxfId="2171" priority="1915">
      <formula>$T35="LFS"</formula>
    </cfRule>
  </conditionalFormatting>
  <conditionalFormatting sqref="S32:X34 J111:X113 S90:X90 J91:R91 S97:X97 S92:X92 S94:X94 S99:X99 S103:X106">
    <cfRule type="expression" dxfId="2170" priority="1981">
      <formula>$T32="DSM"</formula>
    </cfRule>
    <cfRule type="expression" dxfId="2169" priority="1982">
      <formula>SEARCH("RBT",$T2)&gt;0</formula>
    </cfRule>
    <cfRule type="expression" dxfId="2168" priority="1983">
      <formula>SEARCH("GST",$T2)&gt;0</formula>
    </cfRule>
    <cfRule type="expression" dxfId="2167" priority="1984">
      <formula>SEARCH("CHN",$T32)&gt;0</formula>
    </cfRule>
    <cfRule type="expression" dxfId="2166" priority="1985">
      <formula>$T32="LFS"</formula>
    </cfRule>
  </conditionalFormatting>
  <conditionalFormatting sqref="J60:N61 R60:X61">
    <cfRule type="expression" dxfId="2165" priority="2056">
      <formula>$T60="DSM"</formula>
    </cfRule>
    <cfRule type="expression" dxfId="2164" priority="2057">
      <formula>SEARCH("RBT",#REF!)&gt;0</formula>
    </cfRule>
    <cfRule type="expression" dxfId="2163" priority="2058">
      <formula>SEARCH("GST",#REF!)&gt;0</formula>
    </cfRule>
    <cfRule type="expression" dxfId="2162" priority="2059">
      <formula>SEARCH("CHN",$T60)&gt;0</formula>
    </cfRule>
    <cfRule type="expression" dxfId="2161" priority="2060">
      <formula>$T60="LFS"</formula>
    </cfRule>
  </conditionalFormatting>
  <conditionalFormatting sqref="J62:N62 S63:X64 P62:X62 Q63 S39:X42 J52:N52 R52:X52 J48:N48 R48:X48 S44:X47">
    <cfRule type="expression" dxfId="2160" priority="2131">
      <formula>$T39="DSM"</formula>
    </cfRule>
    <cfRule type="expression" dxfId="2159" priority="2132">
      <formula>SEARCH("RBT",$T12)&gt;0</formula>
    </cfRule>
    <cfRule type="expression" dxfId="2158" priority="2133">
      <formula>SEARCH("GST",$T12)&gt;0</formula>
    </cfRule>
    <cfRule type="expression" dxfId="2157" priority="2134">
      <formula>SEARCH("CHN",$T39)&gt;0</formula>
    </cfRule>
    <cfRule type="expression" dxfId="2156" priority="2135">
      <formula>$T39="LFS"</formula>
    </cfRule>
  </conditionalFormatting>
  <conditionalFormatting sqref="S53:X56">
    <cfRule type="expression" dxfId="2155" priority="2246">
      <formula>$T53="DSM"</formula>
    </cfRule>
    <cfRule type="expression" dxfId="2154" priority="2247">
      <formula>SEARCH("RBT",$T27)&gt;0</formula>
    </cfRule>
    <cfRule type="expression" dxfId="2153" priority="2248">
      <formula>SEARCH("GST",$T27)&gt;0</formula>
    </cfRule>
    <cfRule type="expression" dxfId="2152" priority="2249">
      <formula>SEARCH("CHN",$T53)&gt;0</formula>
    </cfRule>
    <cfRule type="expression" dxfId="2151" priority="2250">
      <formula>$T53="LFS"</formula>
    </cfRule>
  </conditionalFormatting>
  <conditionalFormatting sqref="J81:N81 C81:H81 J77:N77 C77:H77 R77:X77 R81:X81">
    <cfRule type="expression" dxfId="2150" priority="2291">
      <formula>$T77="DSM"</formula>
    </cfRule>
    <cfRule type="expression" dxfId="2149" priority="2292">
      <formula>SEARCH("RBT",#REF!)&gt;0</formula>
    </cfRule>
    <cfRule type="expression" dxfId="2148" priority="2293">
      <formula>SEARCH("GST",#REF!)&gt;0</formula>
    </cfRule>
    <cfRule type="expression" dxfId="2147" priority="2294">
      <formula>SEARCH("CHN",$T77)&gt;0</formula>
    </cfRule>
    <cfRule type="expression" dxfId="2146" priority="2295">
      <formula>$T77="LFS"</formula>
    </cfRule>
  </conditionalFormatting>
  <conditionalFormatting sqref="S95:X95">
    <cfRule type="expression" dxfId="2145" priority="2361">
      <formula>$T95="DSM"</formula>
    </cfRule>
    <cfRule type="expression" dxfId="2144" priority="2362">
      <formula>SEARCH("RBT",#REF!)&gt;0</formula>
    </cfRule>
    <cfRule type="expression" dxfId="2143" priority="2363">
      <formula>SEARCH("GST",#REF!)&gt;0</formula>
    </cfRule>
    <cfRule type="expression" dxfId="2142" priority="2364">
      <formula>SEARCH("CHN",$T95)&gt;0</formula>
    </cfRule>
    <cfRule type="expression" dxfId="2141" priority="2365">
      <formula>$T95="LFS"</formula>
    </cfRule>
  </conditionalFormatting>
  <conditionalFormatting sqref="S57:X59 S49:X49">
    <cfRule type="expression" dxfId="2140" priority="2491">
      <formula>$T49="DSM"</formula>
    </cfRule>
    <cfRule type="expression" dxfId="2139" priority="2492">
      <formula>SEARCH("RBT",$T24)&gt;0</formula>
    </cfRule>
    <cfRule type="expression" dxfId="2138" priority="2493">
      <formula>SEARCH("GST",$T24)&gt;0</formula>
    </cfRule>
    <cfRule type="expression" dxfId="2137" priority="2494">
      <formula>SEARCH("CHN",$T49)&gt;0</formula>
    </cfRule>
    <cfRule type="expression" dxfId="2136" priority="2495">
      <formula>$T49="LFS"</formula>
    </cfRule>
  </conditionalFormatting>
  <conditionalFormatting sqref="J43:X43">
    <cfRule type="expression" dxfId="2135" priority="2601">
      <formula>$T43="DSM"</formula>
    </cfRule>
    <cfRule type="expression" dxfId="2134" priority="2602">
      <formula>SEARCH("RBT",$T2)&gt;0</formula>
    </cfRule>
    <cfRule type="expression" dxfId="2133" priority="2603">
      <formula>SEARCH("GST",$T2)&gt;0</formula>
    </cfRule>
    <cfRule type="expression" dxfId="2132" priority="2604">
      <formula>SEARCH("CHN",$T43)&gt;0</formula>
    </cfRule>
    <cfRule type="expression" dxfId="2131" priority="2605">
      <formula>$T43="LFS"</formula>
    </cfRule>
  </conditionalFormatting>
  <conditionalFormatting sqref="O93:Q93">
    <cfRule type="expression" dxfId="2130" priority="499">
      <formula>$T93="DSM"</formula>
    </cfRule>
    <cfRule type="expression" dxfId="2129" priority="500">
      <formula>SEARCH("RBT",$T64)&gt;0</formula>
    </cfRule>
    <cfRule type="expression" dxfId="2128" priority="501">
      <formula>SEARCH("GST",$T64)&gt;0</formula>
    </cfRule>
    <cfRule type="expression" dxfId="2127" priority="502">
      <formula>SEARCH("CHN",$T93)&gt;0</formula>
    </cfRule>
    <cfRule type="expression" dxfId="2126" priority="503">
      <formula>$T93="LFS"</formula>
    </cfRule>
  </conditionalFormatting>
  <conditionalFormatting sqref="J93:N93 R93:X93">
    <cfRule type="expression" dxfId="2125" priority="504">
      <formula>$T93="DSM"</formula>
    </cfRule>
    <cfRule type="expression" dxfId="2124" priority="505">
      <formula>SEARCH("RBT",#REF!)&gt;0</formula>
    </cfRule>
    <cfRule type="expression" dxfId="2123" priority="506">
      <formula>SEARCH("GST",#REF!)&gt;0</formula>
    </cfRule>
    <cfRule type="expression" dxfId="2122" priority="507">
      <formula>SEARCH("CHN",$T93)&gt;0</formula>
    </cfRule>
    <cfRule type="expression" dxfId="2121" priority="508">
      <formula>$T93="LFS"</formula>
    </cfRule>
  </conditionalFormatting>
  <conditionalFormatting sqref="S96:X96">
    <cfRule type="expression" dxfId="2120" priority="2661">
      <formula>$T96="DSM"</formula>
    </cfRule>
    <cfRule type="expression" dxfId="2119" priority="2662">
      <formula>SEARCH("RBT",$T65)&gt;0</formula>
    </cfRule>
    <cfRule type="expression" dxfId="2118" priority="2663">
      <formula>SEARCH("GST",$T65)&gt;0</formula>
    </cfRule>
    <cfRule type="expression" dxfId="2117" priority="2664">
      <formula>SEARCH("CHN",$T96)&gt;0</formula>
    </cfRule>
    <cfRule type="expression" dxfId="2116" priority="2665">
      <formula>$T96="LFS"</formula>
    </cfRule>
  </conditionalFormatting>
  <conditionalFormatting sqref="S100:X100">
    <cfRule type="expression" dxfId="2115" priority="494">
      <formula>$T100="DSM"</formula>
    </cfRule>
    <cfRule type="expression" dxfId="2114" priority="495">
      <formula>SEARCH("RBT",$T70)&gt;0</formula>
    </cfRule>
    <cfRule type="expression" dxfId="2113" priority="496">
      <formula>SEARCH("GST",$T70)&gt;0</formula>
    </cfRule>
    <cfRule type="expression" dxfId="2112" priority="497">
      <formula>SEARCH("CHN",$T100)&gt;0</formula>
    </cfRule>
    <cfRule type="expression" dxfId="2111" priority="498">
      <formula>$T100="LFS"</formula>
    </cfRule>
  </conditionalFormatting>
  <conditionalFormatting sqref="S101:X101">
    <cfRule type="expression" dxfId="2110" priority="489">
      <formula>$T101="DSM"</formula>
    </cfRule>
    <cfRule type="expression" dxfId="2109" priority="490">
      <formula>SEARCH("RBT",$T71)&gt;0</formula>
    </cfRule>
    <cfRule type="expression" dxfId="2108" priority="491">
      <formula>SEARCH("GST",$T71)&gt;0</formula>
    </cfRule>
    <cfRule type="expression" dxfId="2107" priority="492">
      <formula>SEARCH("CHN",$T101)&gt;0</formula>
    </cfRule>
    <cfRule type="expression" dxfId="2106" priority="493">
      <formula>$T101="LFS"</formula>
    </cfRule>
  </conditionalFormatting>
  <conditionalFormatting sqref="S102:X102">
    <cfRule type="expression" dxfId="2105" priority="484">
      <formula>$T102="DSM"</formula>
    </cfRule>
    <cfRule type="expression" dxfId="2104" priority="485">
      <formula>SEARCH("RBT",$T72)&gt;0</formula>
    </cfRule>
    <cfRule type="expression" dxfId="2103" priority="486">
      <formula>SEARCH("GST",$T72)&gt;0</formula>
    </cfRule>
    <cfRule type="expression" dxfId="2102" priority="487">
      <formula>SEARCH("CHN",$T102)&gt;0</formula>
    </cfRule>
    <cfRule type="expression" dxfId="2101" priority="488">
      <formula>$T102="LFS"</formula>
    </cfRule>
  </conditionalFormatting>
  <conditionalFormatting sqref="S124">
    <cfRule type="cellIs" dxfId="2100" priority="483" operator="equal">
      <formula>"DSM"</formula>
    </cfRule>
  </conditionalFormatting>
  <conditionalFormatting sqref="S175">
    <cfRule type="cellIs" dxfId="2099" priority="482" operator="equal">
      <formula>"DSM"</formula>
    </cfRule>
  </conditionalFormatting>
  <conditionalFormatting sqref="S179">
    <cfRule type="cellIs" dxfId="2098" priority="481" operator="equal">
      <formula>"DSM"</formula>
    </cfRule>
  </conditionalFormatting>
  <conditionalFormatting sqref="S189">
    <cfRule type="cellIs" dxfId="2097" priority="480" operator="equal">
      <formula>"DSM"</formula>
    </cfRule>
  </conditionalFormatting>
  <conditionalFormatting sqref="S206">
    <cfRule type="cellIs" dxfId="2096" priority="479" operator="equal">
      <formula>"DSM"</formula>
    </cfRule>
  </conditionalFormatting>
  <conditionalFormatting sqref="S210">
    <cfRule type="cellIs" dxfId="2095" priority="478" operator="equal">
      <formula>"DSM"</formula>
    </cfRule>
  </conditionalFormatting>
  <conditionalFormatting sqref="S211">
    <cfRule type="cellIs" dxfId="2094" priority="477" operator="equal">
      <formula>"DSM"</formula>
    </cfRule>
  </conditionalFormatting>
  <conditionalFormatting sqref="S213">
    <cfRule type="cellIs" dxfId="2093" priority="476" operator="equal">
      <formula>"DSM"</formula>
    </cfRule>
  </conditionalFormatting>
  <conditionalFormatting sqref="S214">
    <cfRule type="cellIs" dxfId="2092" priority="475" operator="equal">
      <formula>"DSM"</formula>
    </cfRule>
  </conditionalFormatting>
  <conditionalFormatting sqref="S215">
    <cfRule type="cellIs" dxfId="2091" priority="474" operator="equal">
      <formula>"DSM"</formula>
    </cfRule>
  </conditionalFormatting>
  <conditionalFormatting sqref="S216">
    <cfRule type="cellIs" dxfId="2090" priority="473" operator="equal">
      <formula>"DSM"</formula>
    </cfRule>
  </conditionalFormatting>
  <conditionalFormatting sqref="S217">
    <cfRule type="cellIs" dxfId="2089" priority="472" operator="equal">
      <formula>"DSM"</formula>
    </cfRule>
  </conditionalFormatting>
  <conditionalFormatting sqref="S218">
    <cfRule type="cellIs" dxfId="2088" priority="471" operator="equal">
      <formula>"DSM"</formula>
    </cfRule>
  </conditionalFormatting>
  <conditionalFormatting sqref="S219">
    <cfRule type="cellIs" dxfId="2087" priority="470" operator="equal">
      <formula>"DSM"</formula>
    </cfRule>
  </conditionalFormatting>
  <conditionalFormatting sqref="S220">
    <cfRule type="cellIs" dxfId="2086" priority="469" operator="equal">
      <formula>"DSM"</formula>
    </cfRule>
  </conditionalFormatting>
  <conditionalFormatting sqref="S212">
    <cfRule type="cellIs" dxfId="2085" priority="468" operator="equal">
      <formula>"DSM"</formula>
    </cfRule>
  </conditionalFormatting>
  <conditionalFormatting sqref="S221">
    <cfRule type="cellIs" dxfId="2084" priority="467" operator="equal">
      <formula>"DSM"</formula>
    </cfRule>
  </conditionalFormatting>
  <conditionalFormatting sqref="S224">
    <cfRule type="cellIs" dxfId="2083" priority="466" operator="equal">
      <formula>"DSM"</formula>
    </cfRule>
  </conditionalFormatting>
  <conditionalFormatting sqref="S225">
    <cfRule type="cellIs" dxfId="2082" priority="465" operator="equal">
      <formula>"DSM"</formula>
    </cfRule>
  </conditionalFormatting>
  <conditionalFormatting sqref="S226">
    <cfRule type="cellIs" dxfId="2081" priority="464" operator="equal">
      <formula>"DSM"</formula>
    </cfRule>
  </conditionalFormatting>
  <conditionalFormatting sqref="S222">
    <cfRule type="cellIs" dxfId="2080" priority="463" operator="equal">
      <formula>"DSM"</formula>
    </cfRule>
  </conditionalFormatting>
  <conditionalFormatting sqref="S227">
    <cfRule type="cellIs" dxfId="2079" priority="462" operator="equal">
      <formula>"DSM"</formula>
    </cfRule>
  </conditionalFormatting>
  <conditionalFormatting sqref="S228">
    <cfRule type="cellIs" dxfId="2078" priority="461" operator="equal">
      <formula>"DSM"</formula>
    </cfRule>
  </conditionalFormatting>
  <conditionalFormatting sqref="S230">
    <cfRule type="cellIs" dxfId="2077" priority="460" operator="equal">
      <formula>"DSM"</formula>
    </cfRule>
  </conditionalFormatting>
  <conditionalFormatting sqref="S231">
    <cfRule type="cellIs" dxfId="2076" priority="459" operator="equal">
      <formula>"DSM"</formula>
    </cfRule>
  </conditionalFormatting>
  <conditionalFormatting sqref="S232">
    <cfRule type="cellIs" dxfId="2075" priority="458" operator="equal">
      <formula>"DSM"</formula>
    </cfRule>
  </conditionalFormatting>
  <conditionalFormatting sqref="S233">
    <cfRule type="cellIs" dxfId="2074" priority="457" operator="equal">
      <formula>"DSM"</formula>
    </cfRule>
  </conditionalFormatting>
  <conditionalFormatting sqref="S234">
    <cfRule type="cellIs" dxfId="2073" priority="456" operator="equal">
      <formula>"DSM"</formula>
    </cfRule>
  </conditionalFormatting>
  <conditionalFormatting sqref="S235">
    <cfRule type="cellIs" dxfId="2072" priority="455" operator="equal">
      <formula>"DSM"</formula>
    </cfRule>
  </conditionalFormatting>
  <conditionalFormatting sqref="S229">
    <cfRule type="cellIs" dxfId="2071" priority="454" operator="equal">
      <formula>"DSM"</formula>
    </cfRule>
  </conditionalFormatting>
  <conditionalFormatting sqref="S236">
    <cfRule type="cellIs" dxfId="2070" priority="453" operator="equal">
      <formula>"DSM"</formula>
    </cfRule>
  </conditionalFormatting>
  <conditionalFormatting sqref="S237">
    <cfRule type="cellIs" dxfId="2069" priority="452" operator="equal">
      <formula>"DSM"</formula>
    </cfRule>
  </conditionalFormatting>
  <conditionalFormatting sqref="S238:S239">
    <cfRule type="cellIs" dxfId="2068" priority="451" operator="equal">
      <formula>"DSM"</formula>
    </cfRule>
  </conditionalFormatting>
  <conditionalFormatting sqref="S241">
    <cfRule type="cellIs" dxfId="2067" priority="450" operator="equal">
      <formula>"DSM"</formula>
    </cfRule>
  </conditionalFormatting>
  <conditionalFormatting sqref="S242">
    <cfRule type="cellIs" dxfId="2066" priority="449" operator="equal">
      <formula>"DSM"</formula>
    </cfRule>
  </conditionalFormatting>
  <conditionalFormatting sqref="S243">
    <cfRule type="cellIs" dxfId="2065" priority="448" operator="equal">
      <formula>"DSM"</formula>
    </cfRule>
  </conditionalFormatting>
  <conditionalFormatting sqref="S244">
    <cfRule type="cellIs" dxfId="2064" priority="447" operator="equal">
      <formula>"DSM"</formula>
    </cfRule>
  </conditionalFormatting>
  <conditionalFormatting sqref="S245">
    <cfRule type="cellIs" dxfId="2063" priority="446" operator="equal">
      <formula>"DSM"</formula>
    </cfRule>
  </conditionalFormatting>
  <conditionalFormatting sqref="S246">
    <cfRule type="cellIs" dxfId="2062" priority="445" operator="equal">
      <formula>"DSM"</formula>
    </cfRule>
  </conditionalFormatting>
  <conditionalFormatting sqref="S240">
    <cfRule type="cellIs" dxfId="2061" priority="444" operator="equal">
      <formula>"DSM"</formula>
    </cfRule>
  </conditionalFormatting>
  <conditionalFormatting sqref="S247">
    <cfRule type="cellIs" dxfId="2060" priority="443" operator="equal">
      <formula>"DSM"</formula>
    </cfRule>
  </conditionalFormatting>
  <conditionalFormatting sqref="S253">
    <cfRule type="cellIs" dxfId="2059" priority="442" operator="equal">
      <formula>"DSM"</formula>
    </cfRule>
  </conditionalFormatting>
  <conditionalFormatting sqref="S254">
    <cfRule type="cellIs" dxfId="2058" priority="441" operator="equal">
      <formula>"DSM"</formula>
    </cfRule>
  </conditionalFormatting>
  <conditionalFormatting sqref="S249">
    <cfRule type="cellIs" dxfId="2057" priority="440" operator="equal">
      <formula>"DSM"</formula>
    </cfRule>
  </conditionalFormatting>
  <conditionalFormatting sqref="S250">
    <cfRule type="cellIs" dxfId="2056" priority="439" operator="equal">
      <formula>"DSM"</formula>
    </cfRule>
  </conditionalFormatting>
  <conditionalFormatting sqref="S251">
    <cfRule type="cellIs" dxfId="2055" priority="438" operator="equal">
      <formula>"DSM"</formula>
    </cfRule>
  </conditionalFormatting>
  <conditionalFormatting sqref="S252">
    <cfRule type="cellIs" dxfId="2054" priority="437" operator="equal">
      <formula>"DSM"</formula>
    </cfRule>
  </conditionalFormatting>
  <conditionalFormatting sqref="S255">
    <cfRule type="cellIs" dxfId="2053" priority="436" operator="equal">
      <formula>"DSM"</formula>
    </cfRule>
  </conditionalFormatting>
  <conditionalFormatting sqref="S262">
    <cfRule type="cellIs" dxfId="2052" priority="424" operator="equal">
      <formula>"DSM"</formula>
    </cfRule>
  </conditionalFormatting>
  <conditionalFormatting sqref="S265">
    <cfRule type="cellIs" dxfId="2051" priority="423" operator="equal">
      <formula>"DSM"</formula>
    </cfRule>
  </conditionalFormatting>
  <conditionalFormatting sqref="S266">
    <cfRule type="cellIs" dxfId="2050" priority="422" operator="equal">
      <formula>"DSM"</formula>
    </cfRule>
  </conditionalFormatting>
  <conditionalFormatting sqref="S267">
    <cfRule type="cellIs" dxfId="2049" priority="421" operator="equal">
      <formula>"DSM"</formula>
    </cfRule>
  </conditionalFormatting>
  <conditionalFormatting sqref="S259">
    <cfRule type="cellIs" dxfId="2048" priority="431" operator="equal">
      <formula>"DSM"</formula>
    </cfRule>
  </conditionalFormatting>
  <conditionalFormatting sqref="S256">
    <cfRule type="cellIs" dxfId="2047" priority="430" operator="equal">
      <formula>"DSM"</formula>
    </cfRule>
  </conditionalFormatting>
  <conditionalFormatting sqref="S257">
    <cfRule type="cellIs" dxfId="2046" priority="429" operator="equal">
      <formula>"DSM"</formula>
    </cfRule>
  </conditionalFormatting>
  <conditionalFormatting sqref="S258">
    <cfRule type="cellIs" dxfId="2045" priority="428" operator="equal">
      <formula>"DSM"</formula>
    </cfRule>
  </conditionalFormatting>
  <conditionalFormatting sqref="S260">
    <cfRule type="cellIs" dxfId="2044" priority="427" operator="equal">
      <formula>"DSM"</formula>
    </cfRule>
  </conditionalFormatting>
  <conditionalFormatting sqref="S261">
    <cfRule type="cellIs" dxfId="2043" priority="426" operator="equal">
      <formula>"DSM"</formula>
    </cfRule>
  </conditionalFormatting>
  <conditionalFormatting sqref="S263">
    <cfRule type="cellIs" dxfId="2042" priority="425" operator="equal">
      <formula>"DSM"</formula>
    </cfRule>
  </conditionalFormatting>
  <conditionalFormatting sqref="S264">
    <cfRule type="cellIs" dxfId="2041" priority="420" operator="equal">
      <formula>"DSM"</formula>
    </cfRule>
  </conditionalFormatting>
  <conditionalFormatting sqref="S271">
    <cfRule type="cellIs" dxfId="2040" priority="419" operator="equal">
      <formula>"DSM"</formula>
    </cfRule>
  </conditionalFormatting>
  <conditionalFormatting sqref="S272">
    <cfRule type="cellIs" dxfId="2039" priority="418" operator="equal">
      <formula>"DSM"</formula>
    </cfRule>
  </conditionalFormatting>
  <conditionalFormatting sqref="S273">
    <cfRule type="cellIs" dxfId="2038" priority="417" operator="equal">
      <formula>"DSM"</formula>
    </cfRule>
  </conditionalFormatting>
  <conditionalFormatting sqref="S275">
    <cfRule type="cellIs" dxfId="2037" priority="416" operator="equal">
      <formula>"DSM"</formula>
    </cfRule>
  </conditionalFormatting>
  <conditionalFormatting sqref="S276">
    <cfRule type="cellIs" dxfId="2036" priority="415" operator="equal">
      <formula>"DSM"</formula>
    </cfRule>
  </conditionalFormatting>
  <conditionalFormatting sqref="S277">
    <cfRule type="cellIs" dxfId="2035" priority="414" operator="equal">
      <formula>"DSM"</formula>
    </cfRule>
  </conditionalFormatting>
  <conditionalFormatting sqref="S270">
    <cfRule type="cellIs" dxfId="2034" priority="413" operator="equal">
      <formula>"DSM"</formula>
    </cfRule>
  </conditionalFormatting>
  <conditionalFormatting sqref="S274">
    <cfRule type="cellIs" dxfId="2033" priority="412" operator="equal">
      <formula>"DSM"</formula>
    </cfRule>
  </conditionalFormatting>
  <conditionalFormatting sqref="S278">
    <cfRule type="cellIs" dxfId="2032" priority="411" operator="equal">
      <formula>"DSM"</formula>
    </cfRule>
  </conditionalFormatting>
  <conditionalFormatting sqref="S279">
    <cfRule type="cellIs" dxfId="2031" priority="410" operator="equal">
      <formula>"DSM"</formula>
    </cfRule>
  </conditionalFormatting>
  <conditionalFormatting sqref="S280">
    <cfRule type="cellIs" dxfId="2030" priority="409" operator="equal">
      <formula>"DSM"</formula>
    </cfRule>
  </conditionalFormatting>
  <conditionalFormatting sqref="S281">
    <cfRule type="cellIs" dxfId="2029" priority="408" operator="equal">
      <formula>"DSM"</formula>
    </cfRule>
  </conditionalFormatting>
  <conditionalFormatting sqref="S282">
    <cfRule type="cellIs" dxfId="2028" priority="407" operator="equal">
      <formula>"DSM"</formula>
    </cfRule>
  </conditionalFormatting>
  <conditionalFormatting sqref="S284">
    <cfRule type="cellIs" dxfId="2027" priority="406" operator="equal">
      <formula>"DSM"</formula>
    </cfRule>
  </conditionalFormatting>
  <conditionalFormatting sqref="S285">
    <cfRule type="cellIs" dxfId="2026" priority="405" operator="equal">
      <formula>"DSM"</formula>
    </cfRule>
  </conditionalFormatting>
  <conditionalFormatting sqref="S286">
    <cfRule type="cellIs" dxfId="2025" priority="404" operator="equal">
      <formula>"DSM"</formula>
    </cfRule>
  </conditionalFormatting>
  <conditionalFormatting sqref="S283">
    <cfRule type="cellIs" dxfId="2024" priority="403" operator="equal">
      <formula>"DSM"</formula>
    </cfRule>
  </conditionalFormatting>
  <conditionalFormatting sqref="S294">
    <cfRule type="cellIs" dxfId="2023" priority="402" operator="equal">
      <formula>"DSM"</formula>
    </cfRule>
  </conditionalFormatting>
  <conditionalFormatting sqref="S295">
    <cfRule type="cellIs" dxfId="2022" priority="401" operator="equal">
      <formula>"DSM"</formula>
    </cfRule>
  </conditionalFormatting>
  <conditionalFormatting sqref="S288">
    <cfRule type="cellIs" dxfId="2021" priority="400" operator="equal">
      <formula>"DSM"</formula>
    </cfRule>
  </conditionalFormatting>
  <conditionalFormatting sqref="S289">
    <cfRule type="cellIs" dxfId="2020" priority="399" operator="equal">
      <formula>"DSM"</formula>
    </cfRule>
  </conditionalFormatting>
  <conditionalFormatting sqref="S291">
    <cfRule type="cellIs" dxfId="2019" priority="398" operator="equal">
      <formula>"DSM"</formula>
    </cfRule>
  </conditionalFormatting>
  <conditionalFormatting sqref="S293">
    <cfRule type="cellIs" dxfId="2018" priority="397" operator="equal">
      <formula>"DSM"</formula>
    </cfRule>
  </conditionalFormatting>
  <conditionalFormatting sqref="S296">
    <cfRule type="cellIs" dxfId="2017" priority="396" operator="equal">
      <formula>"DSM"</formula>
    </cfRule>
  </conditionalFormatting>
  <conditionalFormatting sqref="S297">
    <cfRule type="cellIs" dxfId="2016" priority="395" operator="equal">
      <formula>"DSM"</formula>
    </cfRule>
  </conditionalFormatting>
  <conditionalFormatting sqref="S300">
    <cfRule type="cellIs" dxfId="2015" priority="394" operator="equal">
      <formula>"DSM"</formula>
    </cfRule>
  </conditionalFormatting>
  <conditionalFormatting sqref="S301">
    <cfRule type="cellIs" dxfId="2014" priority="393" operator="equal">
      <formula>"DSM"</formula>
    </cfRule>
  </conditionalFormatting>
  <conditionalFormatting sqref="S302">
    <cfRule type="cellIs" dxfId="2013" priority="392" operator="equal">
      <formula>"DSM"</formula>
    </cfRule>
  </conditionalFormatting>
  <conditionalFormatting sqref="S303">
    <cfRule type="cellIs" dxfId="2012" priority="391" operator="equal">
      <formula>"DSM"</formula>
    </cfRule>
  </conditionalFormatting>
  <conditionalFormatting sqref="S304:S313">
    <cfRule type="cellIs" dxfId="2011" priority="390" operator="equal">
      <formula>"DSM"</formula>
    </cfRule>
  </conditionalFormatting>
  <conditionalFormatting sqref="S298">
    <cfRule type="cellIs" dxfId="2010" priority="389" operator="equal">
      <formula>"DSM"</formula>
    </cfRule>
  </conditionalFormatting>
  <conditionalFormatting sqref="S314">
    <cfRule type="cellIs" dxfId="2009" priority="388" operator="equal">
      <formula>"DSM"</formula>
    </cfRule>
  </conditionalFormatting>
  <conditionalFormatting sqref="S315">
    <cfRule type="cellIs" dxfId="2008" priority="387" operator="equal">
      <formula>"DSM"</formula>
    </cfRule>
  </conditionalFormatting>
  <conditionalFormatting sqref="S320">
    <cfRule type="cellIs" dxfId="2007" priority="382" operator="equal">
      <formula>"DSM"</formula>
    </cfRule>
  </conditionalFormatting>
  <conditionalFormatting sqref="S317">
    <cfRule type="cellIs" dxfId="2006" priority="385" operator="equal">
      <formula>"DSM"</formula>
    </cfRule>
  </conditionalFormatting>
  <conditionalFormatting sqref="S318">
    <cfRule type="cellIs" dxfId="2005" priority="384" operator="equal">
      <formula>"DSM"</formula>
    </cfRule>
  </conditionalFormatting>
  <conditionalFormatting sqref="S319">
    <cfRule type="cellIs" dxfId="2004" priority="383" operator="equal">
      <formula>"DSM"</formula>
    </cfRule>
  </conditionalFormatting>
  <conditionalFormatting sqref="S321">
    <cfRule type="cellIs" dxfId="2003" priority="381" operator="equal">
      <formula>"DSM"</formula>
    </cfRule>
  </conditionalFormatting>
  <conditionalFormatting sqref="S322">
    <cfRule type="cellIs" dxfId="2002" priority="380" operator="equal">
      <formula>"DSM"</formula>
    </cfRule>
  </conditionalFormatting>
  <conditionalFormatting sqref="S323">
    <cfRule type="cellIs" dxfId="2001" priority="379" operator="equal">
      <formula>"DSM"</formula>
    </cfRule>
  </conditionalFormatting>
  <conditionalFormatting sqref="S324:S325">
    <cfRule type="cellIs" dxfId="2000" priority="378" operator="equal">
      <formula>"DSM"</formula>
    </cfRule>
  </conditionalFormatting>
  <conditionalFormatting sqref="S326">
    <cfRule type="cellIs" dxfId="1999" priority="377" operator="equal">
      <formula>"DSM"</formula>
    </cfRule>
  </conditionalFormatting>
  <conditionalFormatting sqref="S327">
    <cfRule type="cellIs" dxfId="1998" priority="376" operator="equal">
      <formula>"DSM"</formula>
    </cfRule>
  </conditionalFormatting>
  <conditionalFormatting sqref="S329">
    <cfRule type="cellIs" dxfId="1997" priority="375" operator="equal">
      <formula>"DSM"</formula>
    </cfRule>
  </conditionalFormatting>
  <conditionalFormatting sqref="S330">
    <cfRule type="cellIs" dxfId="1996" priority="374" operator="equal">
      <formula>"DSM"</formula>
    </cfRule>
  </conditionalFormatting>
  <conditionalFormatting sqref="S331">
    <cfRule type="cellIs" dxfId="1995" priority="373" operator="equal">
      <formula>"DSM"</formula>
    </cfRule>
  </conditionalFormatting>
  <conditionalFormatting sqref="S333">
    <cfRule type="cellIs" dxfId="1994" priority="372" operator="equal">
      <formula>"DSM"</formula>
    </cfRule>
  </conditionalFormatting>
  <conditionalFormatting sqref="S334">
    <cfRule type="cellIs" dxfId="1993" priority="371" operator="equal">
      <formula>"DSM"</formula>
    </cfRule>
  </conditionalFormatting>
  <conditionalFormatting sqref="S336">
    <cfRule type="cellIs" dxfId="1992" priority="370" operator="equal">
      <formula>"DSM"</formula>
    </cfRule>
  </conditionalFormatting>
  <conditionalFormatting sqref="S335">
    <cfRule type="cellIs" dxfId="1991" priority="369" operator="equal">
      <formula>"DSM"</formula>
    </cfRule>
  </conditionalFormatting>
  <conditionalFormatting sqref="S328">
    <cfRule type="cellIs" dxfId="1990" priority="367" operator="equal">
      <formula>"DSM"</formula>
    </cfRule>
  </conditionalFormatting>
  <conditionalFormatting sqref="S332">
    <cfRule type="cellIs" dxfId="1989" priority="366" operator="equal">
      <formula>"DSM"</formula>
    </cfRule>
  </conditionalFormatting>
  <conditionalFormatting sqref="S337">
    <cfRule type="cellIs" dxfId="1988" priority="365" operator="equal">
      <formula>"DSM"</formula>
    </cfRule>
  </conditionalFormatting>
  <conditionalFormatting sqref="S339">
    <cfRule type="cellIs" dxfId="1987" priority="364" operator="equal">
      <formula>"DSM"</formula>
    </cfRule>
  </conditionalFormatting>
  <conditionalFormatting sqref="S343">
    <cfRule type="cellIs" dxfId="1986" priority="363" operator="equal">
      <formula>"DSM"</formula>
    </cfRule>
  </conditionalFormatting>
  <conditionalFormatting sqref="S341">
    <cfRule type="cellIs" dxfId="1985" priority="362" operator="equal">
      <formula>"DSM"</formula>
    </cfRule>
  </conditionalFormatting>
  <conditionalFormatting sqref="S344">
    <cfRule type="cellIs" dxfId="1984" priority="361" operator="equal">
      <formula>"DSM"</formula>
    </cfRule>
  </conditionalFormatting>
  <conditionalFormatting sqref="S345">
    <cfRule type="cellIs" dxfId="1983" priority="360" operator="equal">
      <formula>"DSM"</formula>
    </cfRule>
  </conditionalFormatting>
  <conditionalFormatting sqref="S346">
    <cfRule type="cellIs" dxfId="1982" priority="359" operator="equal">
      <formula>"DSM"</formula>
    </cfRule>
  </conditionalFormatting>
  <conditionalFormatting sqref="S347">
    <cfRule type="cellIs" dxfId="1981" priority="358" operator="equal">
      <formula>"DSM"</formula>
    </cfRule>
  </conditionalFormatting>
  <conditionalFormatting sqref="S340">
    <cfRule type="cellIs" dxfId="1980" priority="357" operator="equal">
      <formula>"DSM"</formula>
    </cfRule>
  </conditionalFormatting>
  <conditionalFormatting sqref="S348">
    <cfRule type="cellIs" dxfId="1979" priority="356" operator="equal">
      <formula>"DSM"</formula>
    </cfRule>
  </conditionalFormatting>
  <conditionalFormatting sqref="S349">
    <cfRule type="cellIs" dxfId="1978" priority="355" operator="equal">
      <formula>"DSM"</formula>
    </cfRule>
  </conditionalFormatting>
  <conditionalFormatting sqref="S350">
    <cfRule type="cellIs" dxfId="1977" priority="354" operator="equal">
      <formula>"DSM"</formula>
    </cfRule>
  </conditionalFormatting>
  <conditionalFormatting sqref="S351">
    <cfRule type="cellIs" dxfId="1976" priority="353" operator="equal">
      <formula>"DSM"</formula>
    </cfRule>
  </conditionalFormatting>
  <conditionalFormatting sqref="S352">
    <cfRule type="cellIs" dxfId="1975" priority="352" operator="equal">
      <formula>"DSM"</formula>
    </cfRule>
  </conditionalFormatting>
  <conditionalFormatting sqref="S354:S355">
    <cfRule type="cellIs" dxfId="1974" priority="351" operator="equal">
      <formula>"DSM"</formula>
    </cfRule>
  </conditionalFormatting>
  <conditionalFormatting sqref="S356">
    <cfRule type="cellIs" dxfId="1973" priority="350" operator="equal">
      <formula>"DSM"</formula>
    </cfRule>
  </conditionalFormatting>
  <conditionalFormatting sqref="S357">
    <cfRule type="cellIs" dxfId="1972" priority="349" operator="equal">
      <formula>"DSM"</formula>
    </cfRule>
  </conditionalFormatting>
  <conditionalFormatting sqref="S353">
    <cfRule type="cellIs" dxfId="1971" priority="348" operator="equal">
      <formula>"DSM"</formula>
    </cfRule>
  </conditionalFormatting>
  <conditionalFormatting sqref="S376">
    <cfRule type="cellIs" dxfId="1970" priority="347" operator="equal">
      <formula>"DSM"</formula>
    </cfRule>
  </conditionalFormatting>
  <conditionalFormatting sqref="S377">
    <cfRule type="cellIs" dxfId="1969" priority="346" operator="equal">
      <formula>"DSM"</formula>
    </cfRule>
  </conditionalFormatting>
  <conditionalFormatting sqref="S380">
    <cfRule type="cellIs" dxfId="1968" priority="345" operator="equal">
      <formula>"DSM"</formula>
    </cfRule>
  </conditionalFormatting>
  <conditionalFormatting sqref="S378">
    <cfRule type="cellIs" dxfId="1967" priority="344" operator="equal">
      <formula>"DSM"</formula>
    </cfRule>
  </conditionalFormatting>
  <conditionalFormatting sqref="S379">
    <cfRule type="cellIs" dxfId="1966" priority="343" operator="equal">
      <formula>"DSM"</formula>
    </cfRule>
  </conditionalFormatting>
  <conditionalFormatting sqref="S381">
    <cfRule type="cellIs" dxfId="1965" priority="342" operator="equal">
      <formula>"DSM"</formula>
    </cfRule>
  </conditionalFormatting>
  <conditionalFormatting sqref="S382">
    <cfRule type="cellIs" dxfId="1964" priority="341" operator="equal">
      <formula>"DSM"</formula>
    </cfRule>
  </conditionalFormatting>
  <conditionalFormatting sqref="S383">
    <cfRule type="cellIs" dxfId="1963" priority="340" operator="equal">
      <formula>"DSM"</formula>
    </cfRule>
  </conditionalFormatting>
  <conditionalFormatting sqref="S384">
    <cfRule type="cellIs" dxfId="1962" priority="339" operator="equal">
      <formula>"DSM"</formula>
    </cfRule>
  </conditionalFormatting>
  <conditionalFormatting sqref="S385">
    <cfRule type="cellIs" dxfId="1961" priority="338" operator="equal">
      <formula>"DSM"</formula>
    </cfRule>
  </conditionalFormatting>
  <conditionalFormatting sqref="S386">
    <cfRule type="cellIs" dxfId="1960" priority="337" operator="equal">
      <formula>"DSM"</formula>
    </cfRule>
  </conditionalFormatting>
  <conditionalFormatting sqref="S388">
    <cfRule type="cellIs" dxfId="1959" priority="336" operator="equal">
      <formula>"DSM"</formula>
    </cfRule>
  </conditionalFormatting>
  <conditionalFormatting sqref="S389">
    <cfRule type="cellIs" dxfId="1958" priority="335" operator="equal">
      <formula>"DSM"</formula>
    </cfRule>
  </conditionalFormatting>
  <conditionalFormatting sqref="S390">
    <cfRule type="cellIs" dxfId="1957" priority="334" operator="equal">
      <formula>"DSM"</formula>
    </cfRule>
  </conditionalFormatting>
  <conditionalFormatting sqref="S391">
    <cfRule type="cellIs" dxfId="1956" priority="333" operator="equal">
      <formula>"DSM"</formula>
    </cfRule>
  </conditionalFormatting>
  <conditionalFormatting sqref="S392">
    <cfRule type="cellIs" dxfId="1955" priority="332" operator="equal">
      <formula>"DSM"</formula>
    </cfRule>
  </conditionalFormatting>
  <conditionalFormatting sqref="S393">
    <cfRule type="cellIs" dxfId="1954" priority="331" operator="equal">
      <formula>"DSM"</formula>
    </cfRule>
  </conditionalFormatting>
  <conditionalFormatting sqref="S394">
    <cfRule type="cellIs" dxfId="1953" priority="330" operator="equal">
      <formula>"DSM"</formula>
    </cfRule>
  </conditionalFormatting>
  <conditionalFormatting sqref="S402">
    <cfRule type="cellIs" dxfId="1952" priority="329" operator="equal">
      <formula>"DSM"</formula>
    </cfRule>
  </conditionalFormatting>
  <conditionalFormatting sqref="S395">
    <cfRule type="cellIs" dxfId="1951" priority="328" operator="equal">
      <formula>"DSM"</formula>
    </cfRule>
  </conditionalFormatting>
  <conditionalFormatting sqref="S398">
    <cfRule type="cellIs" dxfId="1950" priority="327" operator="equal">
      <formula>"DSM"</formula>
    </cfRule>
  </conditionalFormatting>
  <conditionalFormatting sqref="S403">
    <cfRule type="cellIs" dxfId="1949" priority="326" operator="equal">
      <formula>"DSM"</formula>
    </cfRule>
  </conditionalFormatting>
  <conditionalFormatting sqref="S399">
    <cfRule type="cellIs" dxfId="1948" priority="325" operator="equal">
      <formula>"DSM"</formula>
    </cfRule>
  </conditionalFormatting>
  <conditionalFormatting sqref="S404">
    <cfRule type="cellIs" dxfId="1947" priority="324" operator="equal">
      <formula>"DSM"</formula>
    </cfRule>
  </conditionalFormatting>
  <conditionalFormatting sqref="S400">
    <cfRule type="cellIs" dxfId="1946" priority="323" operator="equal">
      <formula>"DSM"</formula>
    </cfRule>
  </conditionalFormatting>
  <conditionalFormatting sqref="S396">
    <cfRule type="cellIs" dxfId="1945" priority="322" operator="equal">
      <formula>"DSM"</formula>
    </cfRule>
  </conditionalFormatting>
  <conditionalFormatting sqref="S397">
    <cfRule type="cellIs" dxfId="1944" priority="321" operator="equal">
      <formula>"DSM"</formula>
    </cfRule>
  </conditionalFormatting>
  <conditionalFormatting sqref="S401">
    <cfRule type="cellIs" dxfId="1943" priority="320" operator="equal">
      <formula>"DSM"</formula>
    </cfRule>
  </conditionalFormatting>
  <conditionalFormatting sqref="S411">
    <cfRule type="cellIs" dxfId="1942" priority="319" operator="equal">
      <formula>"DSM"</formula>
    </cfRule>
  </conditionalFormatting>
  <conditionalFormatting sqref="S410">
    <cfRule type="cellIs" dxfId="1941" priority="318" operator="equal">
      <formula>"DSM"</formula>
    </cfRule>
  </conditionalFormatting>
  <conditionalFormatting sqref="S409">
    <cfRule type="cellIs" dxfId="1940" priority="317" operator="equal">
      <formula>"DSM"</formula>
    </cfRule>
  </conditionalFormatting>
  <conditionalFormatting sqref="S412">
    <cfRule type="cellIs" dxfId="1939" priority="316" operator="equal">
      <formula>"DSM"</formula>
    </cfRule>
  </conditionalFormatting>
  <conditionalFormatting sqref="S413">
    <cfRule type="cellIs" dxfId="1938" priority="315" operator="equal">
      <formula>"DSM"</formula>
    </cfRule>
  </conditionalFormatting>
  <conditionalFormatting sqref="S408">
    <cfRule type="cellIs" dxfId="1937" priority="314" operator="equal">
      <formula>"DSM"</formula>
    </cfRule>
  </conditionalFormatting>
  <conditionalFormatting sqref="S405">
    <cfRule type="cellIs" dxfId="1936" priority="313" operator="equal">
      <formula>"DSM"</formula>
    </cfRule>
  </conditionalFormatting>
  <conditionalFormatting sqref="S406">
    <cfRule type="cellIs" dxfId="1935" priority="312" operator="equal">
      <formula>"DSM"</formula>
    </cfRule>
  </conditionalFormatting>
  <conditionalFormatting sqref="S407">
    <cfRule type="cellIs" dxfId="1934" priority="311" operator="equal">
      <formula>"DSM"</formula>
    </cfRule>
  </conditionalFormatting>
  <conditionalFormatting sqref="S415">
    <cfRule type="cellIs" dxfId="1933" priority="310" operator="equal">
      <formula>"DSM"</formula>
    </cfRule>
  </conditionalFormatting>
  <conditionalFormatting sqref="S416">
    <cfRule type="cellIs" dxfId="1932" priority="309" operator="equal">
      <formula>"DSM"</formula>
    </cfRule>
  </conditionalFormatting>
  <conditionalFormatting sqref="S418">
    <cfRule type="cellIs" dxfId="1931" priority="308" operator="equal">
      <formula>"DSM"</formula>
    </cfRule>
  </conditionalFormatting>
  <conditionalFormatting sqref="S419">
    <cfRule type="cellIs" dxfId="1930" priority="307" operator="equal">
      <formula>"DSM"</formula>
    </cfRule>
  </conditionalFormatting>
  <conditionalFormatting sqref="S420">
    <cfRule type="cellIs" dxfId="1929" priority="306" operator="equal">
      <formula>"DSM"</formula>
    </cfRule>
  </conditionalFormatting>
  <conditionalFormatting sqref="S421">
    <cfRule type="cellIs" dxfId="1928" priority="305" operator="equal">
      <formula>"DSM"</formula>
    </cfRule>
  </conditionalFormatting>
  <conditionalFormatting sqref="S422">
    <cfRule type="cellIs" dxfId="1927" priority="304" operator="equal">
      <formula>"DSM"</formula>
    </cfRule>
  </conditionalFormatting>
  <conditionalFormatting sqref="S423">
    <cfRule type="cellIs" dxfId="1926" priority="303" operator="equal">
      <formula>"DSM"</formula>
    </cfRule>
  </conditionalFormatting>
  <conditionalFormatting sqref="S417">
    <cfRule type="cellIs" dxfId="1925" priority="302" operator="equal">
      <formula>"DSM"</formula>
    </cfRule>
  </conditionalFormatting>
  <conditionalFormatting sqref="S424">
    <cfRule type="cellIs" dxfId="1924" priority="301" operator="equal">
      <formula>"DSM"</formula>
    </cfRule>
  </conditionalFormatting>
  <conditionalFormatting sqref="S426">
    <cfRule type="cellIs" dxfId="1923" priority="300" operator="equal">
      <formula>"DSM"</formula>
    </cfRule>
  </conditionalFormatting>
  <conditionalFormatting sqref="S427">
    <cfRule type="cellIs" dxfId="1922" priority="299" operator="equal">
      <formula>"DSM"</formula>
    </cfRule>
  </conditionalFormatting>
  <conditionalFormatting sqref="S429">
    <cfRule type="cellIs" dxfId="1921" priority="298" operator="equal">
      <formula>"DSM"</formula>
    </cfRule>
  </conditionalFormatting>
  <conditionalFormatting sqref="S430">
    <cfRule type="cellIs" dxfId="1920" priority="297" operator="equal">
      <formula>"DSM"</formula>
    </cfRule>
  </conditionalFormatting>
  <conditionalFormatting sqref="S431">
    <cfRule type="cellIs" dxfId="1919" priority="296" operator="equal">
      <formula>"DSM"</formula>
    </cfRule>
  </conditionalFormatting>
  <conditionalFormatting sqref="S433">
    <cfRule type="cellIs" dxfId="1918" priority="295" operator="equal">
      <formula>"DSM"</formula>
    </cfRule>
  </conditionalFormatting>
  <conditionalFormatting sqref="S434">
    <cfRule type="cellIs" dxfId="1917" priority="293" operator="equal">
      <formula>"DSM"</formula>
    </cfRule>
  </conditionalFormatting>
  <conditionalFormatting sqref="S435">
    <cfRule type="cellIs" dxfId="1916" priority="292" operator="equal">
      <formula>"DSM"</formula>
    </cfRule>
  </conditionalFormatting>
  <conditionalFormatting sqref="S428">
    <cfRule type="cellIs" dxfId="1915" priority="291" operator="equal">
      <formula>"DSM"</formula>
    </cfRule>
  </conditionalFormatting>
  <conditionalFormatting sqref="S436">
    <cfRule type="cellIs" dxfId="1914" priority="290" operator="equal">
      <formula>"DSM"</formula>
    </cfRule>
  </conditionalFormatting>
  <conditionalFormatting sqref="S442">
    <cfRule type="cellIs" dxfId="1913" priority="289" operator="equal">
      <formula>"DSM"</formula>
    </cfRule>
  </conditionalFormatting>
  <conditionalFormatting sqref="S441">
    <cfRule type="cellIs" dxfId="1912" priority="288" operator="equal">
      <formula>"DSM"</formula>
    </cfRule>
  </conditionalFormatting>
  <conditionalFormatting sqref="S440">
    <cfRule type="cellIs" dxfId="1911" priority="287" operator="equal">
      <formula>"DSM"</formula>
    </cfRule>
  </conditionalFormatting>
  <conditionalFormatting sqref="S438">
    <cfRule type="cellIs" dxfId="1910" priority="286" operator="equal">
      <formula>"DSM"</formula>
    </cfRule>
  </conditionalFormatting>
  <conditionalFormatting sqref="S443">
    <cfRule type="cellIs" dxfId="1909" priority="285" operator="equal">
      <formula>"DSM"</formula>
    </cfRule>
  </conditionalFormatting>
  <conditionalFormatting sqref="S444">
    <cfRule type="cellIs" dxfId="1908" priority="284" operator="equal">
      <formula>"DSM"</formula>
    </cfRule>
  </conditionalFormatting>
  <conditionalFormatting sqref="S439">
    <cfRule type="cellIs" dxfId="1907" priority="283" operator="equal">
      <formula>"DSM"</formula>
    </cfRule>
  </conditionalFormatting>
  <conditionalFormatting sqref="S445">
    <cfRule type="cellIs" dxfId="1906" priority="282" operator="equal">
      <formula>"DSM"</formula>
    </cfRule>
  </conditionalFormatting>
  <conditionalFormatting sqref="S446">
    <cfRule type="cellIs" dxfId="1905" priority="281" operator="equal">
      <formula>"DSM"</formula>
    </cfRule>
  </conditionalFormatting>
  <conditionalFormatting sqref="S449">
    <cfRule type="cellIs" dxfId="1904" priority="280" operator="equal">
      <formula>"DSM"</formula>
    </cfRule>
  </conditionalFormatting>
  <conditionalFormatting sqref="S450">
    <cfRule type="cellIs" dxfId="1903" priority="279" operator="equal">
      <formula>"DSM"</formula>
    </cfRule>
  </conditionalFormatting>
  <conditionalFormatting sqref="S451">
    <cfRule type="cellIs" dxfId="1902" priority="278" operator="equal">
      <formula>"DSM"</formula>
    </cfRule>
  </conditionalFormatting>
  <conditionalFormatting sqref="S452">
    <cfRule type="cellIs" dxfId="1901" priority="277" operator="equal">
      <formula>"DSM"</formula>
    </cfRule>
  </conditionalFormatting>
  <conditionalFormatting sqref="S454">
    <cfRule type="cellIs" dxfId="1900" priority="276" operator="equal">
      <formula>"DSM"</formula>
    </cfRule>
  </conditionalFormatting>
  <conditionalFormatting sqref="S456">
    <cfRule type="cellIs" dxfId="1899" priority="275" operator="equal">
      <formula>"DSM"</formula>
    </cfRule>
  </conditionalFormatting>
  <conditionalFormatting sqref="S457">
    <cfRule type="cellIs" dxfId="1898" priority="274" operator="equal">
      <formula>"DSM"</formula>
    </cfRule>
  </conditionalFormatting>
  <conditionalFormatting sqref="S458:S463">
    <cfRule type="cellIs" dxfId="1897" priority="273" operator="equal">
      <formula>"DSM"</formula>
    </cfRule>
  </conditionalFormatting>
  <conditionalFormatting sqref="S465:S467">
    <cfRule type="cellIs" dxfId="1896" priority="272" operator="equal">
      <formula>"DSM"</formula>
    </cfRule>
  </conditionalFormatting>
  <conditionalFormatting sqref="S468">
    <cfRule type="cellIs" dxfId="1895" priority="271" operator="equal">
      <formula>"DSM"</formula>
    </cfRule>
  </conditionalFormatting>
  <conditionalFormatting sqref="S469">
    <cfRule type="cellIs" dxfId="1894" priority="270" operator="equal">
      <formula>"DSM"</formula>
    </cfRule>
  </conditionalFormatting>
  <conditionalFormatting sqref="S471">
    <cfRule type="cellIs" dxfId="1893" priority="269" operator="equal">
      <formula>"DSM"</formula>
    </cfRule>
  </conditionalFormatting>
  <conditionalFormatting sqref="S472">
    <cfRule type="cellIs" dxfId="1892" priority="268" operator="equal">
      <formula>"DSM"</formula>
    </cfRule>
  </conditionalFormatting>
  <conditionalFormatting sqref="S474">
    <cfRule type="cellIs" dxfId="1891" priority="267" operator="equal">
      <formula>"DSM"</formula>
    </cfRule>
  </conditionalFormatting>
  <conditionalFormatting sqref="S476">
    <cfRule type="cellIs" dxfId="1890" priority="266" operator="equal">
      <formula>"DSM"</formula>
    </cfRule>
  </conditionalFormatting>
  <conditionalFormatting sqref="S473">
    <cfRule type="cellIs" dxfId="1889" priority="265" operator="equal">
      <formula>"DSM"</formula>
    </cfRule>
  </conditionalFormatting>
  <conditionalFormatting sqref="S487">
    <cfRule type="cellIs" dxfId="1888" priority="264" operator="equal">
      <formula>"DSM"</formula>
    </cfRule>
  </conditionalFormatting>
  <conditionalFormatting sqref="S488">
    <cfRule type="cellIs" dxfId="1887" priority="262" operator="equal">
      <formula>"DSM"</formula>
    </cfRule>
  </conditionalFormatting>
  <conditionalFormatting sqref="S490">
    <cfRule type="cellIs" dxfId="1886" priority="261" operator="equal">
      <formula>"DSM"</formula>
    </cfRule>
  </conditionalFormatting>
  <conditionalFormatting sqref="S491">
    <cfRule type="cellIs" dxfId="1885" priority="260" operator="equal">
      <formula>"DSM"</formula>
    </cfRule>
  </conditionalFormatting>
  <conditionalFormatting sqref="S493">
    <cfRule type="cellIs" dxfId="1884" priority="259" operator="equal">
      <formula>"DSM"</formula>
    </cfRule>
  </conditionalFormatting>
  <conditionalFormatting sqref="S494">
    <cfRule type="cellIs" dxfId="1883" priority="258" operator="equal">
      <formula>"DSM"</formula>
    </cfRule>
  </conditionalFormatting>
  <conditionalFormatting sqref="S489">
    <cfRule type="cellIs" dxfId="1882" priority="257" operator="equal">
      <formula>"DSM"</formula>
    </cfRule>
  </conditionalFormatting>
  <conditionalFormatting sqref="S495">
    <cfRule type="cellIs" dxfId="1881" priority="256" operator="equal">
      <formula>"DSM"</formula>
    </cfRule>
  </conditionalFormatting>
  <conditionalFormatting sqref="S496">
    <cfRule type="cellIs" dxfId="1880" priority="255" operator="equal">
      <formula>"DSM"</formula>
    </cfRule>
  </conditionalFormatting>
  <conditionalFormatting sqref="S492">
    <cfRule type="cellIs" dxfId="1879" priority="254" operator="equal">
      <formula>"DSM"</formula>
    </cfRule>
  </conditionalFormatting>
  <conditionalFormatting sqref="S497">
    <cfRule type="cellIs" dxfId="1878" priority="253" operator="equal">
      <formula>"DSM"</formula>
    </cfRule>
  </conditionalFormatting>
  <conditionalFormatting sqref="S498">
    <cfRule type="cellIs" dxfId="1877" priority="252" operator="equal">
      <formula>"DSM"</formula>
    </cfRule>
  </conditionalFormatting>
  <conditionalFormatting sqref="S499">
    <cfRule type="cellIs" dxfId="1876" priority="251" operator="equal">
      <formula>"DSM"</formula>
    </cfRule>
  </conditionalFormatting>
  <conditionalFormatting sqref="S500">
    <cfRule type="cellIs" dxfId="1875" priority="250" operator="equal">
      <formula>"DSM"</formula>
    </cfRule>
  </conditionalFormatting>
  <conditionalFormatting sqref="S501">
    <cfRule type="cellIs" dxfId="1874" priority="249" operator="equal">
      <formula>"DSM"</formula>
    </cfRule>
  </conditionalFormatting>
  <conditionalFormatting sqref="S502">
    <cfRule type="cellIs" dxfId="1873" priority="248" operator="equal">
      <formula>"DSM"</formula>
    </cfRule>
  </conditionalFormatting>
  <conditionalFormatting sqref="S503">
    <cfRule type="cellIs" dxfId="1872" priority="247" operator="equal">
      <formula>"DSM"</formula>
    </cfRule>
  </conditionalFormatting>
  <conditionalFormatting sqref="S505">
    <cfRule type="cellIs" dxfId="1871" priority="246" operator="equal">
      <formula>"DSM"</formula>
    </cfRule>
  </conditionalFormatting>
  <conditionalFormatting sqref="S506">
    <cfRule type="cellIs" dxfId="1870" priority="245" operator="equal">
      <formula>"DSM"</formula>
    </cfRule>
  </conditionalFormatting>
  <conditionalFormatting sqref="S507">
    <cfRule type="cellIs" dxfId="1869" priority="244" operator="equal">
      <formula>"DSM"</formula>
    </cfRule>
  </conditionalFormatting>
  <conditionalFormatting sqref="S504">
    <cfRule type="cellIs" dxfId="1868" priority="243" operator="equal">
      <formula>"DSM"</formula>
    </cfRule>
  </conditionalFormatting>
  <conditionalFormatting sqref="S508">
    <cfRule type="cellIs" dxfId="1867" priority="242" operator="equal">
      <formula>"DSM"</formula>
    </cfRule>
  </conditionalFormatting>
  <conditionalFormatting sqref="S511">
    <cfRule type="cellIs" dxfId="1866" priority="241" operator="equal">
      <formula>"DSM"</formula>
    </cfRule>
  </conditionalFormatting>
  <conditionalFormatting sqref="S512">
    <cfRule type="cellIs" dxfId="1865" priority="240" operator="equal">
      <formula>"DSM"</formula>
    </cfRule>
  </conditionalFormatting>
  <conditionalFormatting sqref="S513">
    <cfRule type="cellIs" dxfId="1864" priority="239" operator="equal">
      <formula>"DSM"</formula>
    </cfRule>
  </conditionalFormatting>
  <conditionalFormatting sqref="S514">
    <cfRule type="cellIs" dxfId="1863" priority="238" operator="equal">
      <formula>"DSM"</formula>
    </cfRule>
  </conditionalFormatting>
  <conditionalFormatting sqref="S515">
    <cfRule type="cellIs" dxfId="1862" priority="237" operator="equal">
      <formula>"DSM"</formula>
    </cfRule>
  </conditionalFormatting>
  <conditionalFormatting sqref="S517:S526">
    <cfRule type="cellIs" dxfId="1861" priority="236" operator="equal">
      <formula>"DSM"</formula>
    </cfRule>
  </conditionalFormatting>
  <conditionalFormatting sqref="S510">
    <cfRule type="cellIs" dxfId="1860" priority="235" operator="equal">
      <formula>"DSM"</formula>
    </cfRule>
  </conditionalFormatting>
  <conditionalFormatting sqref="S516">
    <cfRule type="cellIs" dxfId="1859" priority="234" operator="equal">
      <formula>"DSM"</formula>
    </cfRule>
  </conditionalFormatting>
  <conditionalFormatting sqref="S527">
    <cfRule type="cellIs" dxfId="1858" priority="233" operator="equal">
      <formula>"DSM"</formula>
    </cfRule>
  </conditionalFormatting>
  <conditionalFormatting sqref="S529">
    <cfRule type="cellIs" dxfId="1857" priority="232" operator="equal">
      <formula>"DSM"</formula>
    </cfRule>
  </conditionalFormatting>
  <conditionalFormatting sqref="S530">
    <cfRule type="cellIs" dxfId="1856" priority="231" operator="equal">
      <formula>"DSM"</formula>
    </cfRule>
  </conditionalFormatting>
  <conditionalFormatting sqref="S531">
    <cfRule type="cellIs" dxfId="1855" priority="230" operator="equal">
      <formula>"DSM"</formula>
    </cfRule>
  </conditionalFormatting>
  <conditionalFormatting sqref="S533">
    <cfRule type="cellIs" dxfId="1854" priority="229" operator="equal">
      <formula>"DSM"</formula>
    </cfRule>
  </conditionalFormatting>
  <conditionalFormatting sqref="S534">
    <cfRule type="cellIs" dxfId="1853" priority="228" operator="equal">
      <formula>"DSM"</formula>
    </cfRule>
  </conditionalFormatting>
  <conditionalFormatting sqref="S532">
    <cfRule type="cellIs" dxfId="1852" priority="227" operator="equal">
      <formula>"DSM"</formula>
    </cfRule>
  </conditionalFormatting>
  <conditionalFormatting sqref="S536">
    <cfRule type="cellIs" dxfId="1851" priority="226" operator="equal">
      <formula>"DSM"</formula>
    </cfRule>
  </conditionalFormatting>
  <conditionalFormatting sqref="S537">
    <cfRule type="cellIs" dxfId="1850" priority="225" operator="equal">
      <formula>"DSM"</formula>
    </cfRule>
  </conditionalFormatting>
  <conditionalFormatting sqref="S553">
    <cfRule type="cellIs" dxfId="1849" priority="224" operator="equal">
      <formula>"DSM"</formula>
    </cfRule>
  </conditionalFormatting>
  <conditionalFormatting sqref="S565">
    <cfRule type="cellIs" dxfId="1848" priority="223" operator="equal">
      <formula>"DSM"</formula>
    </cfRule>
  </conditionalFormatting>
  <conditionalFormatting sqref="S577">
    <cfRule type="cellIs" dxfId="1847" priority="222" operator="equal">
      <formula>"DSM"</formula>
    </cfRule>
  </conditionalFormatting>
  <conditionalFormatting sqref="S578">
    <cfRule type="cellIs" dxfId="1846" priority="221" operator="equal">
      <formula>"DSM"</formula>
    </cfRule>
  </conditionalFormatting>
  <conditionalFormatting sqref="S579">
    <cfRule type="cellIs" dxfId="1845" priority="220" operator="equal">
      <formula>"DSM"</formula>
    </cfRule>
  </conditionalFormatting>
  <conditionalFormatting sqref="S581">
    <cfRule type="cellIs" dxfId="1844" priority="219" operator="equal">
      <formula>"DSM"</formula>
    </cfRule>
  </conditionalFormatting>
  <conditionalFormatting sqref="S582">
    <cfRule type="cellIs" dxfId="1843" priority="218" operator="equal">
      <formula>"DSM"</formula>
    </cfRule>
  </conditionalFormatting>
  <conditionalFormatting sqref="S583">
    <cfRule type="cellIs" dxfId="1842" priority="217" operator="equal">
      <formula>"DSM"</formula>
    </cfRule>
  </conditionalFormatting>
  <conditionalFormatting sqref="S584">
    <cfRule type="cellIs" dxfId="1841" priority="216" operator="equal">
      <formula>"DSM"</formula>
    </cfRule>
  </conditionalFormatting>
  <conditionalFormatting sqref="S586">
    <cfRule type="cellIs" dxfId="1840" priority="215" operator="equal">
      <formula>"DSM"</formula>
    </cfRule>
  </conditionalFormatting>
  <conditionalFormatting sqref="S629">
    <cfRule type="cellIs" dxfId="1839" priority="214" operator="equal">
      <formula>"DSM"</formula>
    </cfRule>
  </conditionalFormatting>
  <conditionalFormatting sqref="S620">
    <cfRule type="cellIs" dxfId="1838" priority="213" operator="equal">
      <formula>"DSM"</formula>
    </cfRule>
  </conditionalFormatting>
  <conditionalFormatting sqref="S627">
    <cfRule type="cellIs" dxfId="1837" priority="212" operator="equal">
      <formula>"DSM"</formula>
    </cfRule>
  </conditionalFormatting>
  <conditionalFormatting sqref="S622">
    <cfRule type="cellIs" dxfId="1836" priority="211" operator="equal">
      <formula>"DSM"</formula>
    </cfRule>
  </conditionalFormatting>
  <conditionalFormatting sqref="S623">
    <cfRule type="cellIs" dxfId="1835" priority="210" operator="equal">
      <formula>"DSM"</formula>
    </cfRule>
  </conditionalFormatting>
  <conditionalFormatting sqref="S624">
    <cfRule type="cellIs" dxfId="1834" priority="209" operator="equal">
      <formula>"DSM"</formula>
    </cfRule>
  </conditionalFormatting>
  <conditionalFormatting sqref="S625:S626">
    <cfRule type="cellIs" dxfId="1833" priority="208" operator="equal">
      <formula>"DSM"</formula>
    </cfRule>
  </conditionalFormatting>
  <conditionalFormatting sqref="S628">
    <cfRule type="cellIs" dxfId="1832" priority="207" operator="equal">
      <formula>"DSM"</formula>
    </cfRule>
  </conditionalFormatting>
  <conditionalFormatting sqref="S621">
    <cfRule type="cellIs" dxfId="1831" priority="206" operator="equal">
      <formula>"DSM"</formula>
    </cfRule>
  </conditionalFormatting>
  <conditionalFormatting sqref="S630">
    <cfRule type="cellIs" dxfId="1830" priority="205" operator="equal">
      <formula>"DSM"</formula>
    </cfRule>
  </conditionalFormatting>
  <conditionalFormatting sqref="S631">
    <cfRule type="cellIs" dxfId="1829" priority="204" operator="equal">
      <formula>"DSM"</formula>
    </cfRule>
  </conditionalFormatting>
  <conditionalFormatting sqref="S632">
    <cfRule type="cellIs" dxfId="1828" priority="203" operator="equal">
      <formula>"DSM"</formula>
    </cfRule>
  </conditionalFormatting>
  <conditionalFormatting sqref="S633">
    <cfRule type="cellIs" dxfId="1827" priority="202" operator="equal">
      <formula>"DSM"</formula>
    </cfRule>
  </conditionalFormatting>
  <conditionalFormatting sqref="S634">
    <cfRule type="cellIs" dxfId="1826" priority="201" operator="equal">
      <formula>"DSM"</formula>
    </cfRule>
  </conditionalFormatting>
  <conditionalFormatting sqref="S635">
    <cfRule type="cellIs" dxfId="1825" priority="200" operator="equal">
      <formula>"DSM"</formula>
    </cfRule>
  </conditionalFormatting>
  <conditionalFormatting sqref="S636">
    <cfRule type="cellIs" dxfId="1824" priority="199" operator="equal">
      <formula>"DSM"</formula>
    </cfRule>
  </conditionalFormatting>
  <conditionalFormatting sqref="S638">
    <cfRule type="cellIs" dxfId="1823" priority="198" operator="equal">
      <formula>"DSM"</formula>
    </cfRule>
  </conditionalFormatting>
  <conditionalFormatting sqref="S639">
    <cfRule type="cellIs" dxfId="1822" priority="197" operator="equal">
      <formula>"DSM"</formula>
    </cfRule>
  </conditionalFormatting>
  <conditionalFormatting sqref="S640">
    <cfRule type="cellIs" dxfId="1821" priority="196" operator="equal">
      <formula>"DSM"</formula>
    </cfRule>
  </conditionalFormatting>
  <conditionalFormatting sqref="S641">
    <cfRule type="cellIs" dxfId="1820" priority="195" operator="equal">
      <formula>"DSM"</formula>
    </cfRule>
  </conditionalFormatting>
  <conditionalFormatting sqref="S642">
    <cfRule type="cellIs" dxfId="1819" priority="194" operator="equal">
      <formula>"DSM"</formula>
    </cfRule>
  </conditionalFormatting>
  <conditionalFormatting sqref="S643">
    <cfRule type="cellIs" dxfId="1818" priority="193" operator="equal">
      <formula>"DSM"</formula>
    </cfRule>
  </conditionalFormatting>
  <conditionalFormatting sqref="S644">
    <cfRule type="cellIs" dxfId="1817" priority="192" operator="equal">
      <formula>"DSM"</formula>
    </cfRule>
  </conditionalFormatting>
  <conditionalFormatting sqref="S645">
    <cfRule type="cellIs" dxfId="1816" priority="191" operator="equal">
      <formula>"DSM"</formula>
    </cfRule>
  </conditionalFormatting>
  <conditionalFormatting sqref="S647">
    <cfRule type="cellIs" dxfId="1815" priority="190" operator="equal">
      <formula>"DSM"</formula>
    </cfRule>
  </conditionalFormatting>
  <conditionalFormatting sqref="S646">
    <cfRule type="cellIs" dxfId="1814" priority="189" operator="equal">
      <formula>"DSM"</formula>
    </cfRule>
  </conditionalFormatting>
  <conditionalFormatting sqref="S648">
    <cfRule type="cellIs" dxfId="1813" priority="188" operator="equal">
      <formula>"DSM"</formula>
    </cfRule>
  </conditionalFormatting>
  <conditionalFormatting sqref="S649">
    <cfRule type="cellIs" dxfId="1812" priority="187" operator="equal">
      <formula>"DSM"</formula>
    </cfRule>
  </conditionalFormatting>
  <conditionalFormatting sqref="S653">
    <cfRule type="cellIs" dxfId="1811" priority="186" operator="equal">
      <formula>"DSM"</formula>
    </cfRule>
  </conditionalFormatting>
  <conditionalFormatting sqref="S654">
    <cfRule type="cellIs" dxfId="1810" priority="185" operator="equal">
      <formula>"DSM"</formula>
    </cfRule>
  </conditionalFormatting>
  <conditionalFormatting sqref="S656">
    <cfRule type="cellIs" dxfId="1809" priority="184" operator="equal">
      <formula>"DSM"</formula>
    </cfRule>
  </conditionalFormatting>
  <conditionalFormatting sqref="S657">
    <cfRule type="cellIs" dxfId="1808" priority="183" operator="equal">
      <formula>"DSM"</formula>
    </cfRule>
  </conditionalFormatting>
  <conditionalFormatting sqref="S650">
    <cfRule type="cellIs" dxfId="1807" priority="182" operator="equal">
      <formula>"DSM"</formula>
    </cfRule>
  </conditionalFormatting>
  <conditionalFormatting sqref="S651">
    <cfRule type="cellIs" dxfId="1806" priority="181" operator="equal">
      <formula>"DSM"</formula>
    </cfRule>
  </conditionalFormatting>
  <conditionalFormatting sqref="S652">
    <cfRule type="cellIs" dxfId="1805" priority="180" operator="equal">
      <formula>"DSM"</formula>
    </cfRule>
  </conditionalFormatting>
  <conditionalFormatting sqref="S655">
    <cfRule type="cellIs" dxfId="1804" priority="179" operator="equal">
      <formula>"DSM"</formula>
    </cfRule>
  </conditionalFormatting>
  <conditionalFormatting sqref="S658">
    <cfRule type="cellIs" dxfId="1803" priority="178" operator="equal">
      <formula>"DSM"</formula>
    </cfRule>
  </conditionalFormatting>
  <conditionalFormatting sqref="S670">
    <cfRule type="cellIs" dxfId="1802" priority="177" operator="equal">
      <formula>"DSM"</formula>
    </cfRule>
  </conditionalFormatting>
  <conditionalFormatting sqref="S671">
    <cfRule type="cellIs" dxfId="1801" priority="176" operator="equal">
      <formula>"DSM"</formula>
    </cfRule>
  </conditionalFormatting>
  <conditionalFormatting sqref="S672">
    <cfRule type="cellIs" dxfId="1800" priority="175" operator="equal">
      <formula>"DSM"</formula>
    </cfRule>
  </conditionalFormatting>
  <conditionalFormatting sqref="S673">
    <cfRule type="cellIs" dxfId="1799" priority="174" operator="equal">
      <formula>"DSM"</formula>
    </cfRule>
  </conditionalFormatting>
  <conditionalFormatting sqref="S674">
    <cfRule type="cellIs" dxfId="1798" priority="173" operator="equal">
      <formula>"DSM"</formula>
    </cfRule>
  </conditionalFormatting>
  <conditionalFormatting sqref="S675">
    <cfRule type="cellIs" dxfId="1797" priority="172" operator="equal">
      <formula>"DSM"</formula>
    </cfRule>
  </conditionalFormatting>
  <conditionalFormatting sqref="S676">
    <cfRule type="cellIs" dxfId="1796" priority="171" operator="equal">
      <formula>"DSM"</formula>
    </cfRule>
  </conditionalFormatting>
  <conditionalFormatting sqref="S677">
    <cfRule type="cellIs" dxfId="1795" priority="170" operator="equal">
      <formula>"DSM"</formula>
    </cfRule>
  </conditionalFormatting>
  <conditionalFormatting sqref="S679">
    <cfRule type="cellIs" dxfId="1794" priority="169" operator="equal">
      <formula>"DSM"</formula>
    </cfRule>
  </conditionalFormatting>
  <conditionalFormatting sqref="S680">
    <cfRule type="cellIs" dxfId="1793" priority="168" operator="equal">
      <formula>"DSM"</formula>
    </cfRule>
  </conditionalFormatting>
  <conditionalFormatting sqref="S681">
    <cfRule type="cellIs" dxfId="1792" priority="167" operator="equal">
      <formula>"DSM"</formula>
    </cfRule>
  </conditionalFormatting>
  <conditionalFormatting sqref="S682">
    <cfRule type="cellIs" dxfId="1791" priority="166" operator="equal">
      <formula>"DSM"</formula>
    </cfRule>
  </conditionalFormatting>
  <conditionalFormatting sqref="S683">
    <cfRule type="cellIs" dxfId="1790" priority="165" operator="equal">
      <formula>"DSM"</formula>
    </cfRule>
  </conditionalFormatting>
  <conditionalFormatting sqref="S685">
    <cfRule type="cellIs" dxfId="1789" priority="164" operator="equal">
      <formula>"DSM"</formula>
    </cfRule>
  </conditionalFormatting>
  <conditionalFormatting sqref="J22:X22">
    <cfRule type="expression" dxfId="1788" priority="2835">
      <formula>$T22="DSM"</formula>
    </cfRule>
    <cfRule type="expression" dxfId="1787" priority="2836">
      <formula>SEARCH("RBT",$T1048561)&gt;0</formula>
    </cfRule>
    <cfRule type="expression" dxfId="1786" priority="2837">
      <formula>SEARCH("GST",$T1048561)&gt;0</formula>
    </cfRule>
    <cfRule type="expression" dxfId="1785" priority="2838">
      <formula>SEARCH("CHN",$T22)&gt;0</formula>
    </cfRule>
    <cfRule type="expression" dxfId="1784" priority="2839">
      <formula>$T22="LFS"</formula>
    </cfRule>
  </conditionalFormatting>
  <conditionalFormatting sqref="S687">
    <cfRule type="cellIs" dxfId="1783" priority="163" operator="equal">
      <formula>"DSM"</formula>
    </cfRule>
  </conditionalFormatting>
  <conditionalFormatting sqref="S689">
    <cfRule type="cellIs" dxfId="1782" priority="162" operator="equal">
      <formula>"DSM"</formula>
    </cfRule>
  </conditionalFormatting>
  <conditionalFormatting sqref="S690">
    <cfRule type="cellIs" dxfId="1781" priority="161" operator="equal">
      <formula>"DSM"</formula>
    </cfRule>
  </conditionalFormatting>
  <conditionalFormatting sqref="S692">
    <cfRule type="cellIs" dxfId="1780" priority="160" operator="equal">
      <formula>"DSM"</formula>
    </cfRule>
  </conditionalFormatting>
  <conditionalFormatting sqref="S693">
    <cfRule type="cellIs" dxfId="1779" priority="159" operator="equal">
      <formula>"DSM"</formula>
    </cfRule>
  </conditionalFormatting>
  <conditionalFormatting sqref="S694">
    <cfRule type="cellIs" dxfId="1778" priority="158" operator="equal">
      <formula>"DSM"</formula>
    </cfRule>
  </conditionalFormatting>
  <conditionalFormatting sqref="S691">
    <cfRule type="cellIs" dxfId="1777" priority="157" operator="equal">
      <formula>"DSM"</formula>
    </cfRule>
  </conditionalFormatting>
  <conditionalFormatting sqref="S695">
    <cfRule type="cellIs" dxfId="1776" priority="156" operator="equal">
      <formula>"DSM"</formula>
    </cfRule>
  </conditionalFormatting>
  <conditionalFormatting sqref="S697">
    <cfRule type="cellIs" dxfId="1775" priority="155" operator="equal">
      <formula>"DSM"</formula>
    </cfRule>
  </conditionalFormatting>
  <conditionalFormatting sqref="S698">
    <cfRule type="cellIs" dxfId="1774" priority="154" operator="equal">
      <formula>"DSM"</formula>
    </cfRule>
  </conditionalFormatting>
  <conditionalFormatting sqref="S699">
    <cfRule type="cellIs" dxfId="1773" priority="153" operator="equal">
      <formula>"DSM"</formula>
    </cfRule>
  </conditionalFormatting>
  <conditionalFormatting sqref="S700">
    <cfRule type="cellIs" dxfId="1772" priority="152" operator="equal">
      <formula>"DSM"</formula>
    </cfRule>
  </conditionalFormatting>
  <conditionalFormatting sqref="S701">
    <cfRule type="cellIs" dxfId="1771" priority="151" operator="equal">
      <formula>"DSM"</formula>
    </cfRule>
  </conditionalFormatting>
  <conditionalFormatting sqref="S702">
    <cfRule type="cellIs" dxfId="1770" priority="150" operator="equal">
      <formula>"DSM"</formula>
    </cfRule>
  </conditionalFormatting>
  <conditionalFormatting sqref="S705">
    <cfRule type="cellIs" dxfId="1769" priority="149" operator="equal">
      <formula>"DSM"</formula>
    </cfRule>
  </conditionalFormatting>
  <conditionalFormatting sqref="S706">
    <cfRule type="cellIs" dxfId="1768" priority="148" operator="equal">
      <formula>"DSM"</formula>
    </cfRule>
  </conditionalFormatting>
  <conditionalFormatting sqref="S707">
    <cfRule type="cellIs" dxfId="1767" priority="147" operator="equal">
      <formula>"DSM"</formula>
    </cfRule>
  </conditionalFormatting>
  <conditionalFormatting sqref="S710">
    <cfRule type="cellIs" dxfId="1766" priority="146" operator="equal">
      <formula>"DSM"</formula>
    </cfRule>
  </conditionalFormatting>
  <conditionalFormatting sqref="S708">
    <cfRule type="cellIs" dxfId="1765" priority="145" operator="equal">
      <formula>"DSM"</formula>
    </cfRule>
  </conditionalFormatting>
  <conditionalFormatting sqref="S711">
    <cfRule type="cellIs" dxfId="1764" priority="144" operator="equal">
      <formula>"DSM"</formula>
    </cfRule>
  </conditionalFormatting>
  <conditionalFormatting sqref="S712">
    <cfRule type="cellIs" dxfId="1763" priority="143" operator="equal">
      <formula>"DSM"</formula>
    </cfRule>
  </conditionalFormatting>
  <conditionalFormatting sqref="S714">
    <cfRule type="cellIs" dxfId="1762" priority="142" operator="equal">
      <formula>"DSM"</formula>
    </cfRule>
  </conditionalFormatting>
  <conditionalFormatting sqref="S715">
    <cfRule type="cellIs" dxfId="1761" priority="141" operator="equal">
      <formula>"DSM"</formula>
    </cfRule>
  </conditionalFormatting>
  <conditionalFormatting sqref="S716">
    <cfRule type="cellIs" dxfId="1760" priority="140" operator="equal">
      <formula>"DSM"</formula>
    </cfRule>
  </conditionalFormatting>
  <conditionalFormatting sqref="S718">
    <cfRule type="cellIs" dxfId="1759" priority="139" operator="equal">
      <formula>"DSM"</formula>
    </cfRule>
  </conditionalFormatting>
  <conditionalFormatting sqref="S719">
    <cfRule type="cellIs" dxfId="1758" priority="138" operator="equal">
      <formula>"DSM"</formula>
    </cfRule>
  </conditionalFormatting>
  <conditionalFormatting sqref="S720">
    <cfRule type="cellIs" dxfId="1757" priority="137" operator="equal">
      <formula>"DSM"</formula>
    </cfRule>
  </conditionalFormatting>
  <conditionalFormatting sqref="S721">
    <cfRule type="cellIs" dxfId="1756" priority="136" operator="equal">
      <formula>"DSM"</formula>
    </cfRule>
  </conditionalFormatting>
  <conditionalFormatting sqref="S722">
    <cfRule type="cellIs" dxfId="1755" priority="135" operator="equal">
      <formula>"DSM"</formula>
    </cfRule>
  </conditionalFormatting>
  <conditionalFormatting sqref="S724">
    <cfRule type="cellIs" dxfId="1754" priority="134" operator="equal">
      <formula>"DSM"</formula>
    </cfRule>
  </conditionalFormatting>
  <conditionalFormatting sqref="S725">
    <cfRule type="cellIs" dxfId="1753" priority="133" operator="equal">
      <formula>"DSM"</formula>
    </cfRule>
  </conditionalFormatting>
  <conditionalFormatting sqref="S726">
    <cfRule type="cellIs" dxfId="1752" priority="132" operator="equal">
      <formula>"DSM"</formula>
    </cfRule>
  </conditionalFormatting>
  <conditionalFormatting sqref="S727">
    <cfRule type="cellIs" dxfId="1751" priority="131" operator="equal">
      <formula>"DSM"</formula>
    </cfRule>
  </conditionalFormatting>
  <conditionalFormatting sqref="S728">
    <cfRule type="cellIs" dxfId="1750" priority="130" operator="equal">
      <formula>"DSM"</formula>
    </cfRule>
  </conditionalFormatting>
  <conditionalFormatting sqref="S729">
    <cfRule type="cellIs" dxfId="1749" priority="129" operator="equal">
      <formula>"DSM"</formula>
    </cfRule>
  </conditionalFormatting>
  <conditionalFormatting sqref="S730">
    <cfRule type="cellIs" dxfId="1748" priority="128" operator="equal">
      <formula>"DSM"</formula>
    </cfRule>
  </conditionalFormatting>
  <conditionalFormatting sqref="S731">
    <cfRule type="cellIs" dxfId="1747" priority="127" operator="equal">
      <formula>"DSM"</formula>
    </cfRule>
  </conditionalFormatting>
  <conditionalFormatting sqref="S732">
    <cfRule type="cellIs" dxfId="1746" priority="126" operator="equal">
      <formula>"DSM"</formula>
    </cfRule>
  </conditionalFormatting>
  <conditionalFormatting sqref="S733">
    <cfRule type="cellIs" dxfId="1745" priority="125" operator="equal">
      <formula>"DSM"</formula>
    </cfRule>
  </conditionalFormatting>
  <conditionalFormatting sqref="S734">
    <cfRule type="cellIs" dxfId="1744" priority="124" operator="equal">
      <formula>"DSM"</formula>
    </cfRule>
  </conditionalFormatting>
  <conditionalFormatting sqref="S735">
    <cfRule type="cellIs" dxfId="1743" priority="123" operator="equal">
      <formula>"DSM"</formula>
    </cfRule>
  </conditionalFormatting>
  <conditionalFormatting sqref="S736">
    <cfRule type="cellIs" dxfId="1742" priority="122" operator="equal">
      <formula>"DSM"</formula>
    </cfRule>
  </conditionalFormatting>
  <conditionalFormatting sqref="S738">
    <cfRule type="cellIs" dxfId="1741" priority="121" operator="equal">
      <formula>"DSM"</formula>
    </cfRule>
  </conditionalFormatting>
  <conditionalFormatting sqref="S739">
    <cfRule type="cellIs" dxfId="1740" priority="120" operator="equal">
      <formula>"DSM"</formula>
    </cfRule>
  </conditionalFormatting>
  <conditionalFormatting sqref="S741">
    <cfRule type="cellIs" dxfId="1739" priority="119" operator="equal">
      <formula>"DSM"</formula>
    </cfRule>
  </conditionalFormatting>
  <conditionalFormatting sqref="S737">
    <cfRule type="cellIs" dxfId="1738" priority="118" operator="equal">
      <formula>"DSM"</formula>
    </cfRule>
  </conditionalFormatting>
  <conditionalFormatting sqref="S740">
    <cfRule type="cellIs" dxfId="1737" priority="117" operator="equal">
      <formula>"DSM"</formula>
    </cfRule>
  </conditionalFormatting>
  <conditionalFormatting sqref="S742">
    <cfRule type="cellIs" dxfId="1736" priority="116" operator="equal">
      <formula>"DSM"</formula>
    </cfRule>
  </conditionalFormatting>
  <conditionalFormatting sqref="S743:S746">
    <cfRule type="cellIs" dxfId="1735" priority="115" operator="equal">
      <formula>"DSM"</formula>
    </cfRule>
  </conditionalFormatting>
  <conditionalFormatting sqref="S747:S748">
    <cfRule type="cellIs" dxfId="1734" priority="114" operator="equal">
      <formula>"DSM"</formula>
    </cfRule>
  </conditionalFormatting>
  <conditionalFormatting sqref="J8:X8 J13:X16 S17:X21 S25:X26">
    <cfRule type="expression" dxfId="1733" priority="2865">
      <formula>$T8="DSM"</formula>
    </cfRule>
    <cfRule type="expression" dxfId="1732" priority="2866">
      <formula>SEARCH("RBT",$T1048546)&gt;0</formula>
    </cfRule>
    <cfRule type="expression" dxfId="1731" priority="2867">
      <formula>SEARCH("GST",$T1048546)&gt;0</formula>
    </cfRule>
    <cfRule type="expression" dxfId="1730" priority="2868">
      <formula>SEARCH("CHN",$T8)&gt;0</formula>
    </cfRule>
    <cfRule type="expression" dxfId="1729" priority="2869">
      <formula>$T8="LFS"</formula>
    </cfRule>
  </conditionalFormatting>
  <conditionalFormatting sqref="S749:S753">
    <cfRule type="cellIs" dxfId="1728" priority="113" operator="equal">
      <formula>"DSM"</formula>
    </cfRule>
  </conditionalFormatting>
  <conditionalFormatting sqref="S754">
    <cfRule type="cellIs" dxfId="1727" priority="112" operator="equal">
      <formula>"DSM"</formula>
    </cfRule>
  </conditionalFormatting>
  <conditionalFormatting sqref="S758">
    <cfRule type="cellIs" dxfId="1726" priority="111" operator="equal">
      <formula>"DSM"</formula>
    </cfRule>
  </conditionalFormatting>
  <conditionalFormatting sqref="S759">
    <cfRule type="cellIs" dxfId="1725" priority="110" operator="equal">
      <formula>"DSM"</formula>
    </cfRule>
  </conditionalFormatting>
  <conditionalFormatting sqref="S760">
    <cfRule type="cellIs" dxfId="1724" priority="109" operator="equal">
      <formula>"DSM"</formula>
    </cfRule>
  </conditionalFormatting>
  <conditionalFormatting sqref="S762">
    <cfRule type="cellIs" dxfId="1723" priority="108" operator="equal">
      <formula>"DSM"</formula>
    </cfRule>
  </conditionalFormatting>
  <conditionalFormatting sqref="S761">
    <cfRule type="cellIs" dxfId="1722" priority="107" operator="equal">
      <formula>"DSM"</formula>
    </cfRule>
  </conditionalFormatting>
  <conditionalFormatting sqref="S756">
    <cfRule type="cellIs" dxfId="1721" priority="106" operator="equal">
      <formula>"DSM"</formula>
    </cfRule>
  </conditionalFormatting>
  <conditionalFormatting sqref="S763">
    <cfRule type="cellIs" dxfId="1720" priority="105" operator="equal">
      <formula>"DSM"</formula>
    </cfRule>
  </conditionalFormatting>
  <conditionalFormatting sqref="S764">
    <cfRule type="cellIs" dxfId="1719" priority="104" operator="equal">
      <formula>"DSM"</formula>
    </cfRule>
  </conditionalFormatting>
  <conditionalFormatting sqref="S757">
    <cfRule type="cellIs" dxfId="1718" priority="103" operator="equal">
      <formula>"DSM"</formula>
    </cfRule>
  </conditionalFormatting>
  <conditionalFormatting sqref="S765">
    <cfRule type="cellIs" dxfId="1717" priority="102" operator="equal">
      <formula>"DSM"</formula>
    </cfRule>
  </conditionalFormatting>
  <conditionalFormatting sqref="S769">
    <cfRule type="cellIs" dxfId="1716" priority="101" operator="equal">
      <formula>"DSM"</formula>
    </cfRule>
  </conditionalFormatting>
  <conditionalFormatting sqref="S770">
    <cfRule type="cellIs" dxfId="1715" priority="100" operator="equal">
      <formula>"DSM"</formula>
    </cfRule>
  </conditionalFormatting>
  <conditionalFormatting sqref="S774">
    <cfRule type="cellIs" dxfId="1714" priority="99" operator="equal">
      <formula>"DSM"</formula>
    </cfRule>
  </conditionalFormatting>
  <conditionalFormatting sqref="S772">
    <cfRule type="cellIs" dxfId="1713" priority="98" operator="equal">
      <formula>"DSM"</formula>
    </cfRule>
  </conditionalFormatting>
  <conditionalFormatting sqref="S773">
    <cfRule type="cellIs" dxfId="1712" priority="97" operator="equal">
      <formula>"DSM"</formula>
    </cfRule>
  </conditionalFormatting>
  <conditionalFormatting sqref="S771">
    <cfRule type="cellIs" dxfId="1711" priority="96" operator="equal">
      <formula>"DSM"</formula>
    </cfRule>
  </conditionalFormatting>
  <conditionalFormatting sqref="S775">
    <cfRule type="cellIs" dxfId="1710" priority="95" operator="equal">
      <formula>"DSM"</formula>
    </cfRule>
  </conditionalFormatting>
  <conditionalFormatting sqref="S777">
    <cfRule type="cellIs" dxfId="1709" priority="94" operator="equal">
      <formula>"DSM"</formula>
    </cfRule>
  </conditionalFormatting>
  <conditionalFormatting sqref="S778">
    <cfRule type="cellIs" dxfId="1708" priority="93" operator="equal">
      <formula>"DSM"</formula>
    </cfRule>
  </conditionalFormatting>
  <conditionalFormatting sqref="S780">
    <cfRule type="cellIs" dxfId="1707" priority="92" operator="equal">
      <formula>"DSM"</formula>
    </cfRule>
  </conditionalFormatting>
  <conditionalFormatting sqref="S782">
    <cfRule type="cellIs" dxfId="1706" priority="91" operator="equal">
      <formula>"DSM"</formula>
    </cfRule>
  </conditionalFormatting>
  <conditionalFormatting sqref="S783">
    <cfRule type="cellIs" dxfId="1705" priority="90" operator="equal">
      <formula>"DSM"</formula>
    </cfRule>
  </conditionalFormatting>
  <conditionalFormatting sqref="S784">
    <cfRule type="cellIs" dxfId="1704" priority="89" operator="equal">
      <formula>"DSM"</formula>
    </cfRule>
  </conditionalFormatting>
  <conditionalFormatting sqref="S785">
    <cfRule type="cellIs" dxfId="1703" priority="88" operator="equal">
      <formula>"DSM"</formula>
    </cfRule>
  </conditionalFormatting>
  <conditionalFormatting sqref="S786">
    <cfRule type="cellIs" dxfId="1702" priority="87" operator="equal">
      <formula>"DSM"</formula>
    </cfRule>
  </conditionalFormatting>
  <conditionalFormatting sqref="S788">
    <cfRule type="cellIs" dxfId="1701" priority="86" operator="equal">
      <formula>"DSM"</formula>
    </cfRule>
  </conditionalFormatting>
  <conditionalFormatting sqref="S789">
    <cfRule type="cellIs" dxfId="1700" priority="85" operator="equal">
      <formula>"DSM"</formula>
    </cfRule>
  </conditionalFormatting>
  <conditionalFormatting sqref="S787">
    <cfRule type="cellIs" dxfId="1699" priority="84" operator="equal">
      <formula>"DSM"</formula>
    </cfRule>
  </conditionalFormatting>
  <conditionalFormatting sqref="S791">
    <cfRule type="cellIs" dxfId="1698" priority="83" operator="equal">
      <formula>"DSM"</formula>
    </cfRule>
  </conditionalFormatting>
  <conditionalFormatting sqref="S792">
    <cfRule type="cellIs" dxfId="1697" priority="82" operator="equal">
      <formula>"DSM"</formula>
    </cfRule>
  </conditionalFormatting>
  <conditionalFormatting sqref="S790">
    <cfRule type="cellIs" dxfId="1696" priority="81" operator="equal">
      <formula>"DSM"</formula>
    </cfRule>
  </conditionalFormatting>
  <conditionalFormatting sqref="S794">
    <cfRule type="cellIs" dxfId="1695" priority="80" operator="equal">
      <formula>"DSM"</formula>
    </cfRule>
  </conditionalFormatting>
  <conditionalFormatting sqref="S795">
    <cfRule type="cellIs" dxfId="1694" priority="79" operator="equal">
      <formula>"DSM"</formula>
    </cfRule>
  </conditionalFormatting>
  <conditionalFormatting sqref="S796">
    <cfRule type="cellIs" dxfId="1693" priority="78" operator="equal">
      <formula>"DSM"</formula>
    </cfRule>
  </conditionalFormatting>
  <conditionalFormatting sqref="S797">
    <cfRule type="cellIs" dxfId="1692" priority="77" operator="equal">
      <formula>"DSM"</formula>
    </cfRule>
  </conditionalFormatting>
  <conditionalFormatting sqref="S798">
    <cfRule type="cellIs" dxfId="1691" priority="76" operator="equal">
      <formula>"DSM"</formula>
    </cfRule>
  </conditionalFormatting>
  <conditionalFormatting sqref="S799">
    <cfRule type="cellIs" dxfId="1690" priority="75" operator="equal">
      <formula>"DSM"</formula>
    </cfRule>
  </conditionalFormatting>
  <conditionalFormatting sqref="S801:S802">
    <cfRule type="cellIs" dxfId="1689" priority="74" operator="equal">
      <formula>"DSM"</formula>
    </cfRule>
  </conditionalFormatting>
  <conditionalFormatting sqref="S803">
    <cfRule type="cellIs" dxfId="1688" priority="72" operator="equal">
      <formula>"DSM"</formula>
    </cfRule>
  </conditionalFormatting>
  <conditionalFormatting sqref="S804">
    <cfRule type="cellIs" dxfId="1687" priority="71" operator="equal">
      <formula>"DSM"</formula>
    </cfRule>
  </conditionalFormatting>
  <conditionalFormatting sqref="S805">
    <cfRule type="cellIs" dxfId="1686" priority="70" operator="equal">
      <formula>"DSM"</formula>
    </cfRule>
  </conditionalFormatting>
  <conditionalFormatting sqref="S806">
    <cfRule type="cellIs" dxfId="1685" priority="69" operator="equal">
      <formula>"DSM"</formula>
    </cfRule>
  </conditionalFormatting>
  <conditionalFormatting sqref="S807">
    <cfRule type="cellIs" dxfId="1684" priority="68" operator="equal">
      <formula>"DSM"</formula>
    </cfRule>
  </conditionalFormatting>
  <conditionalFormatting sqref="S808">
    <cfRule type="cellIs" dxfId="1683" priority="67" operator="equal">
      <formula>"DSM"</formula>
    </cfRule>
  </conditionalFormatting>
  <conditionalFormatting sqref="S809">
    <cfRule type="cellIs" dxfId="1682" priority="66" operator="equal">
      <formula>"DSM"</formula>
    </cfRule>
  </conditionalFormatting>
  <conditionalFormatting sqref="S810">
    <cfRule type="cellIs" dxfId="1681" priority="65" operator="equal">
      <formula>"DSM"</formula>
    </cfRule>
  </conditionalFormatting>
  <conditionalFormatting sqref="S811">
    <cfRule type="cellIs" dxfId="1680" priority="64" operator="equal">
      <formula>"DSM"</formula>
    </cfRule>
  </conditionalFormatting>
  <conditionalFormatting sqref="S812">
    <cfRule type="cellIs" dxfId="1679" priority="63" operator="equal">
      <formula>"DSM"</formula>
    </cfRule>
  </conditionalFormatting>
  <conditionalFormatting sqref="S813">
    <cfRule type="cellIs" dxfId="1678" priority="62" operator="equal">
      <formula>"DSM"</formula>
    </cfRule>
  </conditionalFormatting>
  <conditionalFormatting sqref="S814">
    <cfRule type="cellIs" dxfId="1677" priority="61" operator="equal">
      <formula>"DSM"</formula>
    </cfRule>
  </conditionalFormatting>
  <conditionalFormatting sqref="S815">
    <cfRule type="cellIs" dxfId="1676" priority="60" operator="equal">
      <formula>"DSM"</formula>
    </cfRule>
  </conditionalFormatting>
  <conditionalFormatting sqref="S816">
    <cfRule type="cellIs" dxfId="1675" priority="59" operator="equal">
      <formula>"DSM"</formula>
    </cfRule>
  </conditionalFormatting>
  <conditionalFormatting sqref="S23:X23">
    <cfRule type="expression" dxfId="1674" priority="2896">
      <formula>$T23="DSM"</formula>
    </cfRule>
    <cfRule type="expression" dxfId="1673" priority="2897">
      <formula>SEARCH("RBT",$T1048560)&gt;0</formula>
    </cfRule>
    <cfRule type="expression" dxfId="1672" priority="2898">
      <formula>SEARCH("GST",$T1048560)&gt;0</formula>
    </cfRule>
    <cfRule type="expression" dxfId="1671" priority="2899">
      <formula>SEARCH("CHN",$T23)&gt;0</formula>
    </cfRule>
    <cfRule type="expression" dxfId="1670" priority="2900">
      <formula>$T23="LFS"</formula>
    </cfRule>
  </conditionalFormatting>
  <conditionalFormatting sqref="S817">
    <cfRule type="cellIs" dxfId="1669" priority="58" operator="equal">
      <formula>"DSM"</formula>
    </cfRule>
  </conditionalFormatting>
  <conditionalFormatting sqref="S818">
    <cfRule type="cellIs" dxfId="1668" priority="57" operator="equal">
      <formula>"DSM"</formula>
    </cfRule>
  </conditionalFormatting>
  <conditionalFormatting sqref="S820">
    <cfRule type="cellIs" dxfId="1667" priority="56" operator="equal">
      <formula>"DSM"</formula>
    </cfRule>
  </conditionalFormatting>
  <conditionalFormatting sqref="S821">
    <cfRule type="cellIs" dxfId="1666" priority="55" operator="equal">
      <formula>"DSM"</formula>
    </cfRule>
  </conditionalFormatting>
  <conditionalFormatting sqref="S822">
    <cfRule type="cellIs" dxfId="1665" priority="54" operator="equal">
      <formula>"DSM"</formula>
    </cfRule>
  </conditionalFormatting>
  <conditionalFormatting sqref="S824">
    <cfRule type="cellIs" dxfId="1664" priority="53" operator="equal">
      <formula>"DSM"</formula>
    </cfRule>
  </conditionalFormatting>
  <conditionalFormatting sqref="S825">
    <cfRule type="cellIs" dxfId="1663" priority="52" operator="equal">
      <formula>"DSM"</formula>
    </cfRule>
  </conditionalFormatting>
  <conditionalFormatting sqref="S827">
    <cfRule type="cellIs" dxfId="1662" priority="51" operator="equal">
      <formula>"DSM"</formula>
    </cfRule>
  </conditionalFormatting>
  <conditionalFormatting sqref="S829">
    <cfRule type="cellIs" dxfId="1661" priority="50" operator="equal">
      <formula>"DSM"</formula>
    </cfRule>
  </conditionalFormatting>
  <conditionalFormatting sqref="S830">
    <cfRule type="cellIs" dxfId="1660" priority="49" operator="equal">
      <formula>"DSM"</formula>
    </cfRule>
  </conditionalFormatting>
  <conditionalFormatting sqref="S831">
    <cfRule type="cellIs" dxfId="1659" priority="48" operator="equal">
      <formula>"DSM"</formula>
    </cfRule>
  </conditionalFormatting>
  <conditionalFormatting sqref="S826">
    <cfRule type="cellIs" dxfId="1658" priority="47" operator="equal">
      <formula>"DSM"</formula>
    </cfRule>
  </conditionalFormatting>
  <conditionalFormatting sqref="S828">
    <cfRule type="cellIs" dxfId="1657" priority="46" operator="equal">
      <formula>"DSM"</formula>
    </cfRule>
  </conditionalFormatting>
  <conditionalFormatting sqref="S832">
    <cfRule type="cellIs" dxfId="1656" priority="45" operator="equal">
      <formula>"DSM"</formula>
    </cfRule>
  </conditionalFormatting>
  <conditionalFormatting sqref="S835">
    <cfRule type="cellIs" dxfId="1655" priority="44" operator="equal">
      <formula>"DSM"</formula>
    </cfRule>
  </conditionalFormatting>
  <conditionalFormatting sqref="S836">
    <cfRule type="cellIs" dxfId="1654" priority="43" operator="equal">
      <formula>"DSM"</formula>
    </cfRule>
  </conditionalFormatting>
  <conditionalFormatting sqref="S837">
    <cfRule type="cellIs" dxfId="1653" priority="42" operator="equal">
      <formula>"DSM"</formula>
    </cfRule>
  </conditionalFormatting>
  <conditionalFormatting sqref="S838">
    <cfRule type="cellIs" dxfId="1652" priority="41" operator="equal">
      <formula>"DSM"</formula>
    </cfRule>
  </conditionalFormatting>
  <conditionalFormatting sqref="S839">
    <cfRule type="cellIs" dxfId="1651" priority="40" operator="equal">
      <formula>"DSM"</formula>
    </cfRule>
  </conditionalFormatting>
  <conditionalFormatting sqref="S840">
    <cfRule type="cellIs" dxfId="1650" priority="39" operator="equal">
      <formula>"DSM"</formula>
    </cfRule>
  </conditionalFormatting>
  <conditionalFormatting sqref="S843">
    <cfRule type="cellIs" dxfId="1649" priority="38" operator="equal">
      <formula>"DSM"</formula>
    </cfRule>
  </conditionalFormatting>
  <conditionalFormatting sqref="S851">
    <cfRule type="cellIs" dxfId="1648" priority="37" operator="equal">
      <formula>"DSM"</formula>
    </cfRule>
  </conditionalFormatting>
  <conditionalFormatting sqref="S852">
    <cfRule type="cellIs" dxfId="1647" priority="36" operator="equal">
      <formula>"DSM"</formula>
    </cfRule>
  </conditionalFormatting>
  <conditionalFormatting sqref="S853">
    <cfRule type="cellIs" dxfId="1646" priority="35" operator="equal">
      <formula>"DSM"</formula>
    </cfRule>
  </conditionalFormatting>
  <conditionalFormatting sqref="S854">
    <cfRule type="cellIs" dxfId="1645" priority="34" operator="equal">
      <formula>"DSM"</formula>
    </cfRule>
  </conditionalFormatting>
  <conditionalFormatting sqref="S855">
    <cfRule type="cellIs" dxfId="1644" priority="33" operator="equal">
      <formula>"DSM"</formula>
    </cfRule>
  </conditionalFormatting>
  <conditionalFormatting sqref="S856">
    <cfRule type="cellIs" dxfId="1643" priority="32" operator="equal">
      <formula>"DSM"</formula>
    </cfRule>
  </conditionalFormatting>
  <conditionalFormatting sqref="S858">
    <cfRule type="cellIs" dxfId="1642" priority="31" operator="equal">
      <formula>"DSM"</formula>
    </cfRule>
  </conditionalFormatting>
  <conditionalFormatting sqref="S859">
    <cfRule type="cellIs" dxfId="1641" priority="30" operator="equal">
      <formula>"DSM"</formula>
    </cfRule>
  </conditionalFormatting>
  <conditionalFormatting sqref="S860">
    <cfRule type="cellIs" dxfId="1640" priority="29" operator="equal">
      <formula>"DSM"</formula>
    </cfRule>
  </conditionalFormatting>
  <conditionalFormatting sqref="S861">
    <cfRule type="cellIs" dxfId="1639" priority="28" operator="equal">
      <formula>"DSM"</formula>
    </cfRule>
  </conditionalFormatting>
  <conditionalFormatting sqref="S862">
    <cfRule type="cellIs" dxfId="1638" priority="27" operator="equal">
      <formula>"DSM"</formula>
    </cfRule>
  </conditionalFormatting>
  <conditionalFormatting sqref="S863">
    <cfRule type="cellIs" dxfId="1637" priority="26" operator="equal">
      <formula>"DSM"</formula>
    </cfRule>
  </conditionalFormatting>
  <conditionalFormatting sqref="S864">
    <cfRule type="cellIs" dxfId="1636" priority="25" operator="equal">
      <formula>"DSM"</formula>
    </cfRule>
  </conditionalFormatting>
  <conditionalFormatting sqref="S865">
    <cfRule type="cellIs" dxfId="1635" priority="24" operator="equal">
      <formula>"DSM"</formula>
    </cfRule>
  </conditionalFormatting>
  <conditionalFormatting sqref="S866">
    <cfRule type="cellIs" dxfId="1634" priority="23" operator="equal">
      <formula>"DSM"</formula>
    </cfRule>
  </conditionalFormatting>
  <conditionalFormatting sqref="S869">
    <cfRule type="cellIs" dxfId="1633" priority="22" operator="equal">
      <formula>"DSM"</formula>
    </cfRule>
  </conditionalFormatting>
  <conditionalFormatting sqref="S870">
    <cfRule type="cellIs" dxfId="1632" priority="21" operator="equal">
      <formula>"DSM"</formula>
    </cfRule>
  </conditionalFormatting>
  <conditionalFormatting sqref="S871">
    <cfRule type="cellIs" dxfId="1631" priority="20" operator="equal">
      <formula>"DSM"</formula>
    </cfRule>
  </conditionalFormatting>
  <conditionalFormatting sqref="S867">
    <cfRule type="cellIs" dxfId="1630" priority="19" operator="equal">
      <formula>"DSM"</formula>
    </cfRule>
  </conditionalFormatting>
  <conditionalFormatting sqref="S872">
    <cfRule type="cellIs" dxfId="1629" priority="18" operator="equal">
      <formula>"DSM"</formula>
    </cfRule>
  </conditionalFormatting>
  <conditionalFormatting sqref="S873">
    <cfRule type="cellIs" dxfId="1628" priority="17" operator="equal">
      <formula>"DSM"</formula>
    </cfRule>
  </conditionalFormatting>
  <conditionalFormatting sqref="S874">
    <cfRule type="cellIs" dxfId="1627" priority="16" operator="equal">
      <formula>"DSM"</formula>
    </cfRule>
  </conditionalFormatting>
  <conditionalFormatting sqref="S875">
    <cfRule type="cellIs" dxfId="1626" priority="15" operator="equal">
      <formula>"DSM"</formula>
    </cfRule>
  </conditionalFormatting>
  <conditionalFormatting sqref="S876">
    <cfRule type="cellIs" dxfId="1625" priority="14" operator="equal">
      <formula>"DSM"</formula>
    </cfRule>
  </conditionalFormatting>
  <conditionalFormatting sqref="S877">
    <cfRule type="cellIs" dxfId="1624" priority="13" operator="equal">
      <formula>"DSM"</formula>
    </cfRule>
  </conditionalFormatting>
  <conditionalFormatting sqref="S879">
    <cfRule type="cellIs" dxfId="1623" priority="12" operator="equal">
      <formula>"DSM"</formula>
    </cfRule>
  </conditionalFormatting>
  <conditionalFormatting sqref="S880">
    <cfRule type="cellIs" dxfId="1622" priority="11" operator="equal">
      <formula>"DSM"</formula>
    </cfRule>
  </conditionalFormatting>
  <conditionalFormatting sqref="S881">
    <cfRule type="cellIs" dxfId="1621" priority="10" operator="equal">
      <formula>"DSM"</formula>
    </cfRule>
  </conditionalFormatting>
  <conditionalFormatting sqref="S882">
    <cfRule type="cellIs" dxfId="1620" priority="9" operator="equal">
      <formula>"DSM"</formula>
    </cfRule>
  </conditionalFormatting>
  <conditionalFormatting sqref="S883">
    <cfRule type="cellIs" dxfId="1619" priority="8" operator="equal">
      <formula>"DSM"</formula>
    </cfRule>
  </conditionalFormatting>
  <conditionalFormatting sqref="S878">
    <cfRule type="cellIs" dxfId="1618" priority="7" operator="equal">
      <formula>"DSM"</formula>
    </cfRule>
  </conditionalFormatting>
  <conditionalFormatting sqref="S893">
    <cfRule type="cellIs" dxfId="1617" priority="6" operator="equal">
      <formula>"DSM"</formula>
    </cfRule>
  </conditionalFormatting>
  <conditionalFormatting sqref="S884">
    <cfRule type="cellIs" dxfId="1616" priority="5" operator="equal">
      <formula>"DSM"</formula>
    </cfRule>
  </conditionalFormatting>
  <conditionalFormatting sqref="S886">
    <cfRule type="cellIs" dxfId="1615" priority="4" operator="equal">
      <formula>"DSM"</formula>
    </cfRule>
  </conditionalFormatting>
  <conditionalFormatting sqref="S887">
    <cfRule type="cellIs" dxfId="1614" priority="3" operator="equal">
      <formula>"DSM"</formula>
    </cfRule>
  </conditionalFormatting>
  <conditionalFormatting sqref="S888">
    <cfRule type="cellIs" dxfId="1613" priority="2" operator="equal">
      <formula>"DSM"</formula>
    </cfRule>
  </conditionalFormatting>
  <conditionalFormatting sqref="S890">
    <cfRule type="cellIs" dxfId="1612" priority="1" operator="equal">
      <formula>"DSM"</formula>
    </cfRule>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
    <tabColor theme="4" tint="0.59999389629810485"/>
  </sheetPr>
  <dimension ref="A1:Y156"/>
  <sheetViews>
    <sheetView topLeftCell="R1" workbookViewId="0">
      <pane ySplit="2" topLeftCell="A3" activePane="bottomLeft" state="frozen"/>
      <selection pane="bottomLeft" activeCell="Y53" sqref="Y53:Y54"/>
    </sheetView>
  </sheetViews>
  <sheetFormatPr defaultColWidth="10.5703125" defaultRowHeight="15" x14ac:dyDescent="0.25"/>
  <cols>
    <col min="1" max="2" width="16.7109375" style="502" customWidth="1"/>
    <col min="3" max="3" width="30.85546875" style="508" bestFit="1" customWidth="1"/>
    <col min="4" max="4" width="12.42578125" style="502" bestFit="1" customWidth="1"/>
    <col min="5" max="5" width="14" style="502" bestFit="1" customWidth="1"/>
    <col min="6" max="6" width="13.85546875" style="502" bestFit="1" customWidth="1"/>
    <col min="7" max="7" width="12.42578125" style="502" customWidth="1"/>
    <col min="8" max="8" width="34.42578125" style="502" customWidth="1"/>
    <col min="9" max="9" width="9.85546875" style="502" customWidth="1"/>
    <col min="10" max="10" width="7.42578125" style="502" customWidth="1"/>
    <col min="11" max="11" width="9.7109375" style="502" customWidth="1"/>
    <col min="12" max="12" width="13.42578125" style="502" customWidth="1"/>
    <col min="13" max="13" width="15.5703125" style="502" customWidth="1"/>
    <col min="14" max="14" width="12.140625" style="502" customWidth="1"/>
    <col min="15" max="15" width="31.7109375" style="502" bestFit="1" customWidth="1"/>
    <col min="16" max="16" width="20.42578125" style="502" customWidth="1"/>
    <col min="17" max="17" width="23.42578125" style="502" customWidth="1"/>
    <col min="18" max="18" width="18.28515625" style="502" customWidth="1"/>
    <col min="19" max="19" width="27.140625" style="502" customWidth="1"/>
    <col min="20" max="20" width="30.140625" style="502" customWidth="1"/>
    <col min="21" max="21" width="7.42578125" style="502" customWidth="1"/>
    <col min="22" max="22" width="6" style="502" customWidth="1"/>
    <col min="23" max="23" width="14.7109375" style="502" customWidth="1"/>
    <col min="24" max="24" width="82.5703125" style="5" bestFit="1" customWidth="1"/>
    <col min="25" max="25" width="9.85546875" style="502" bestFit="1" customWidth="1"/>
    <col min="26" max="16384" width="10.5703125" style="502"/>
  </cols>
  <sheetData>
    <row r="1" spans="1:25" s="505" customFormat="1" ht="14.25" x14ac:dyDescent="0.25">
      <c r="A1" s="503" t="s">
        <v>4498</v>
      </c>
      <c r="B1" s="503"/>
      <c r="C1" s="504"/>
      <c r="O1" s="541"/>
      <c r="P1" s="541"/>
      <c r="Q1" s="541"/>
      <c r="R1" s="541"/>
      <c r="S1" s="541"/>
      <c r="T1" s="541"/>
      <c r="X1" s="503"/>
    </row>
    <row r="2" spans="1:25" s="141" customFormat="1" ht="15.75" thickBot="1" x14ac:dyDescent="0.3">
      <c r="A2" s="506" t="s">
        <v>1</v>
      </c>
      <c r="B2" s="506" t="s">
        <v>2</v>
      </c>
      <c r="C2" s="507" t="s">
        <v>3</v>
      </c>
      <c r="D2" s="141" t="s">
        <v>4</v>
      </c>
      <c r="E2" s="141" t="s">
        <v>5</v>
      </c>
      <c r="F2" s="141" t="s">
        <v>6</v>
      </c>
      <c r="G2" s="141" t="s">
        <v>7</v>
      </c>
      <c r="H2" s="141" t="s">
        <v>8</v>
      </c>
      <c r="I2" s="506" t="s">
        <v>9</v>
      </c>
      <c r="J2" s="506" t="s">
        <v>10</v>
      </c>
      <c r="K2" s="506" t="s">
        <v>11</v>
      </c>
      <c r="L2" s="506" t="s">
        <v>12</v>
      </c>
      <c r="M2" s="506" t="s">
        <v>13</v>
      </c>
      <c r="N2" s="506" t="s">
        <v>14</v>
      </c>
      <c r="O2" s="144" t="s">
        <v>15</v>
      </c>
      <c r="P2" s="144" t="s">
        <v>16</v>
      </c>
      <c r="Q2" s="144" t="s">
        <v>1746</v>
      </c>
      <c r="R2" s="143" t="s">
        <v>17</v>
      </c>
      <c r="S2" s="143" t="s">
        <v>18</v>
      </c>
      <c r="T2" s="143" t="s">
        <v>1747</v>
      </c>
      <c r="U2" s="506" t="s">
        <v>19</v>
      </c>
      <c r="V2" s="506" t="s">
        <v>20</v>
      </c>
      <c r="W2" s="506" t="s">
        <v>21</v>
      </c>
      <c r="X2" s="145" t="s">
        <v>22</v>
      </c>
      <c r="Y2" s="506" t="s">
        <v>23</v>
      </c>
    </row>
    <row r="3" spans="1:25" x14ac:dyDescent="0.25">
      <c r="A3" s="41">
        <v>43619</v>
      </c>
      <c r="B3" s="324" t="s">
        <v>43</v>
      </c>
      <c r="C3" s="508" t="s">
        <v>845</v>
      </c>
      <c r="D3" s="631">
        <v>38.251730000000002</v>
      </c>
      <c r="E3" s="631">
        <v>-121.72263</v>
      </c>
      <c r="F3" s="631" t="s">
        <v>4499</v>
      </c>
      <c r="G3" s="631" t="s">
        <v>90</v>
      </c>
      <c r="H3" s="631" t="s">
        <v>126</v>
      </c>
      <c r="I3" s="231">
        <v>0.3354166666666667</v>
      </c>
      <c r="J3" s="42" t="s">
        <v>4500</v>
      </c>
      <c r="K3" s="42" t="s">
        <v>4501</v>
      </c>
      <c r="L3" s="42" t="s">
        <v>30</v>
      </c>
      <c r="M3" s="42">
        <v>2</v>
      </c>
      <c r="N3" s="42">
        <v>10</v>
      </c>
      <c r="O3" s="90">
        <f>AVERAGE(15.5,14.5)</f>
        <v>15</v>
      </c>
      <c r="P3" s="90">
        <f>AVERAGE(284.9,285.7)</f>
        <v>285.29999999999995</v>
      </c>
      <c r="Q3" s="90">
        <f>AVERAGE(284.2,283.1)</f>
        <v>283.64999999999998</v>
      </c>
      <c r="R3" s="509" t="s">
        <v>1233</v>
      </c>
      <c r="S3" s="509">
        <f>AVERAGE(4.65,3.86)</f>
        <v>4.2549999999999999</v>
      </c>
      <c r="T3" s="509">
        <f>AVERAGE(89.9,6.02)</f>
        <v>47.96</v>
      </c>
      <c r="U3" s="42" t="s">
        <v>50</v>
      </c>
      <c r="V3" s="240" t="s">
        <v>50</v>
      </c>
      <c r="W3" s="240" t="s">
        <v>50</v>
      </c>
      <c r="Y3" s="240" t="s">
        <v>32</v>
      </c>
    </row>
    <row r="4" spans="1:25" x14ac:dyDescent="0.25">
      <c r="A4" s="44">
        <v>43619</v>
      </c>
      <c r="B4" s="324" t="s">
        <v>43</v>
      </c>
      <c r="C4" s="508" t="s">
        <v>845</v>
      </c>
      <c r="D4" s="631">
        <v>38.236989999999999</v>
      </c>
      <c r="E4" s="631">
        <v>-121.68247</v>
      </c>
      <c r="F4" s="631" t="s">
        <v>4502</v>
      </c>
      <c r="G4" s="631" t="s">
        <v>90</v>
      </c>
      <c r="H4" s="631" t="s">
        <v>126</v>
      </c>
      <c r="I4" s="239">
        <v>0.37638888888888888</v>
      </c>
      <c r="J4" s="43" t="s">
        <v>4500</v>
      </c>
      <c r="K4" s="43" t="s">
        <v>4501</v>
      </c>
      <c r="L4" s="43" t="s">
        <v>30</v>
      </c>
      <c r="M4" s="43">
        <v>2</v>
      </c>
      <c r="N4" s="43">
        <v>10</v>
      </c>
      <c r="O4" s="28">
        <f>AVERAGE(9.2,37.9)</f>
        <v>23.549999999999997</v>
      </c>
      <c r="P4" s="28">
        <f>AVERAGE(201.9,225.5)</f>
        <v>213.7</v>
      </c>
      <c r="Q4" s="28">
        <f>AVERAGE(191.9,224.1)</f>
        <v>208</v>
      </c>
      <c r="R4" s="28">
        <f>AVERAGE(0.99,0.91)</f>
        <v>0.95</v>
      </c>
      <c r="S4" s="28">
        <f>AVERAGE(12.6,17.6)</f>
        <v>15.100000000000001</v>
      </c>
      <c r="T4" s="28">
        <f>AVERAGE(13,19.4)</f>
        <v>16.2</v>
      </c>
      <c r="U4" s="43" t="s">
        <v>50</v>
      </c>
      <c r="V4" s="240" t="s">
        <v>50</v>
      </c>
      <c r="W4" s="240" t="s">
        <v>50</v>
      </c>
      <c r="Y4" s="240" t="s">
        <v>32</v>
      </c>
    </row>
    <row r="5" spans="1:25" x14ac:dyDescent="0.25">
      <c r="A5" s="44">
        <v>43619</v>
      </c>
      <c r="B5" s="324" t="s">
        <v>43</v>
      </c>
      <c r="C5" s="508" t="s">
        <v>845</v>
      </c>
      <c r="D5" s="631">
        <v>38.255409999999998</v>
      </c>
      <c r="E5" s="631">
        <v>-121.67174</v>
      </c>
      <c r="F5" s="631" t="s">
        <v>4503</v>
      </c>
      <c r="G5" s="631" t="s">
        <v>90</v>
      </c>
      <c r="H5" s="631" t="s">
        <v>126</v>
      </c>
      <c r="I5" s="239">
        <v>0.40972222222222227</v>
      </c>
      <c r="J5" s="43" t="s">
        <v>4500</v>
      </c>
      <c r="K5" s="43" t="s">
        <v>4501</v>
      </c>
      <c r="L5" s="43" t="s">
        <v>30</v>
      </c>
      <c r="M5" s="43">
        <v>2</v>
      </c>
      <c r="N5" s="43">
        <v>10</v>
      </c>
      <c r="O5" s="28">
        <f>AVERAGE(25.7,28.7)</f>
        <v>27.2</v>
      </c>
      <c r="P5" s="28">
        <f>AVERAGE(331.3,359.8)</f>
        <v>345.55</v>
      </c>
      <c r="Q5" s="28">
        <f>AVERAGE(342.3,352)</f>
        <v>347.15</v>
      </c>
      <c r="R5" s="28">
        <f>AVERAGE(0.72,0.78)</f>
        <v>0.75</v>
      </c>
      <c r="S5" s="28">
        <f>AVERAGE(15.8,17.2)</f>
        <v>16.5</v>
      </c>
      <c r="T5" s="28">
        <f>AVERAGE(19.4,20.1)</f>
        <v>19.75</v>
      </c>
      <c r="U5" s="43" t="s">
        <v>50</v>
      </c>
      <c r="V5" s="240" t="s">
        <v>50</v>
      </c>
      <c r="W5" s="240" t="s">
        <v>50</v>
      </c>
      <c r="Y5" s="240" t="s">
        <v>32</v>
      </c>
    </row>
    <row r="6" spans="1:25" x14ac:dyDescent="0.25">
      <c r="A6" s="44">
        <v>43619</v>
      </c>
      <c r="B6" s="324" t="s">
        <v>43</v>
      </c>
      <c r="C6" s="508" t="s">
        <v>845</v>
      </c>
      <c r="D6" s="631">
        <v>38.24736</v>
      </c>
      <c r="E6" s="631">
        <v>-121.67294</v>
      </c>
      <c r="F6" s="631" t="s">
        <v>4504</v>
      </c>
      <c r="G6" s="631" t="s">
        <v>90</v>
      </c>
      <c r="H6" s="631" t="s">
        <v>126</v>
      </c>
      <c r="I6" s="239">
        <v>0.44166666666666665</v>
      </c>
      <c r="J6" s="43" t="s">
        <v>4500</v>
      </c>
      <c r="K6" s="43" t="s">
        <v>4501</v>
      </c>
      <c r="L6" s="43" t="s">
        <v>30</v>
      </c>
      <c r="M6" s="43">
        <v>2</v>
      </c>
      <c r="N6" s="43">
        <v>10</v>
      </c>
      <c r="O6" s="28">
        <f>AVERAGE(20.7,21.1)</f>
        <v>20.9</v>
      </c>
      <c r="P6" s="28">
        <f>AVERAGE(314,329.9)</f>
        <v>321.95</v>
      </c>
      <c r="Q6" s="28">
        <f>AVERAGE(307.7,328)</f>
        <v>317.85000000000002</v>
      </c>
      <c r="R6" s="28">
        <f>AVERAGE(0.75,0.7)</f>
        <v>0.72499999999999998</v>
      </c>
      <c r="S6" s="28">
        <f>AVERAGE(17.1,14.2)</f>
        <v>15.65</v>
      </c>
      <c r="T6" s="28">
        <f>AVERAGE(21.2,19.2)</f>
        <v>20.2</v>
      </c>
      <c r="U6" s="43" t="s">
        <v>50</v>
      </c>
      <c r="V6" s="240" t="s">
        <v>50</v>
      </c>
      <c r="W6" s="240" t="s">
        <v>50</v>
      </c>
      <c r="Y6" s="240" t="s">
        <v>32</v>
      </c>
    </row>
    <row r="7" spans="1:25" x14ac:dyDescent="0.25">
      <c r="A7" s="44">
        <v>43619</v>
      </c>
      <c r="B7" s="324" t="s">
        <v>43</v>
      </c>
      <c r="C7" s="508" t="s">
        <v>845</v>
      </c>
      <c r="D7" s="631">
        <v>38.275480000000002</v>
      </c>
      <c r="E7" s="631">
        <v>-121.69488</v>
      </c>
      <c r="F7" s="631" t="s">
        <v>4505</v>
      </c>
      <c r="G7" s="631" t="s">
        <v>90</v>
      </c>
      <c r="H7" s="631" t="s">
        <v>126</v>
      </c>
      <c r="I7" s="239">
        <v>0.47430555555555554</v>
      </c>
      <c r="J7" s="43" t="s">
        <v>4500</v>
      </c>
      <c r="K7" s="43" t="s">
        <v>4501</v>
      </c>
      <c r="L7" s="43" t="s">
        <v>30</v>
      </c>
      <c r="M7" s="43">
        <v>2</v>
      </c>
      <c r="N7" s="43">
        <v>10</v>
      </c>
      <c r="O7" s="28">
        <f>AVERAGE(19.4,19.2)</f>
        <v>19.299999999999997</v>
      </c>
      <c r="P7" s="28">
        <f>AVERAGE(349.2,396.8)</f>
        <v>373</v>
      </c>
      <c r="Q7" s="28">
        <f>AVERAGE(330.3,352)</f>
        <v>341.15</v>
      </c>
      <c r="R7" s="233" t="s">
        <v>1233</v>
      </c>
      <c r="S7" s="28">
        <f>AVERAGE(7.15,7.71)</f>
        <v>7.43</v>
      </c>
      <c r="T7" s="28">
        <f>AVERAGE(4.94,6.47)</f>
        <v>5.7050000000000001</v>
      </c>
      <c r="U7" s="43" t="s">
        <v>50</v>
      </c>
      <c r="V7" s="240" t="s">
        <v>50</v>
      </c>
      <c r="W7" s="240" t="s">
        <v>50</v>
      </c>
      <c r="Y7" s="240" t="s">
        <v>32</v>
      </c>
    </row>
    <row r="8" spans="1:25" x14ac:dyDescent="0.25">
      <c r="A8" s="44">
        <v>43619</v>
      </c>
      <c r="B8" s="324" t="s">
        <v>43</v>
      </c>
      <c r="C8" s="508" t="s">
        <v>95</v>
      </c>
      <c r="D8" s="631">
        <v>38.050020000000004</v>
      </c>
      <c r="E8" s="631">
        <v>-121.49729000000001</v>
      </c>
      <c r="F8" s="631" t="s">
        <v>4506</v>
      </c>
      <c r="G8" s="631" t="s">
        <v>46</v>
      </c>
      <c r="H8" s="631" t="s">
        <v>115</v>
      </c>
      <c r="I8" s="239">
        <v>0.38611111111111113</v>
      </c>
      <c r="J8" s="43" t="s">
        <v>4500</v>
      </c>
      <c r="K8" s="43" t="s">
        <v>4501</v>
      </c>
      <c r="L8" s="43" t="s">
        <v>30</v>
      </c>
      <c r="M8" s="43">
        <v>2</v>
      </c>
      <c r="N8" s="43">
        <v>10</v>
      </c>
      <c r="O8" s="28">
        <f>AVERAGE(22,19.9)</f>
        <v>20.95</v>
      </c>
      <c r="P8" s="28">
        <f>AVERAGE(138.5,138.6)</f>
        <v>138.55000000000001</v>
      </c>
      <c r="Q8" s="28">
        <f>AVERAGE(140.5,139.3)</f>
        <v>139.9</v>
      </c>
      <c r="R8" s="28">
        <f>AVERAGE(1.61,1.02)</f>
        <v>1.3149999999999999</v>
      </c>
      <c r="S8" s="28">
        <f>AVERAGE(6.11,5.93)</f>
        <v>6.02</v>
      </c>
      <c r="T8" s="28">
        <f>AVERAGE(10.5,10.6)</f>
        <v>10.55</v>
      </c>
      <c r="U8" s="43" t="s">
        <v>50</v>
      </c>
      <c r="V8" s="240" t="s">
        <v>50</v>
      </c>
      <c r="W8" s="240" t="s">
        <v>50</v>
      </c>
      <c r="Y8" s="240" t="s">
        <v>32</v>
      </c>
    </row>
    <row r="9" spans="1:25" x14ac:dyDescent="0.25">
      <c r="A9" s="44">
        <v>43619</v>
      </c>
      <c r="B9" s="324" t="s">
        <v>43</v>
      </c>
      <c r="C9" s="508" t="s">
        <v>95</v>
      </c>
      <c r="D9" s="631">
        <v>38.036169999999998</v>
      </c>
      <c r="E9" s="631">
        <v>-121.70411</v>
      </c>
      <c r="F9" s="631" t="s">
        <v>4507</v>
      </c>
      <c r="G9" s="631" t="s">
        <v>27</v>
      </c>
      <c r="H9" s="631" t="s">
        <v>863</v>
      </c>
      <c r="I9" s="239">
        <v>0.51666666666666672</v>
      </c>
      <c r="J9" s="43" t="s">
        <v>4500</v>
      </c>
      <c r="K9" s="43" t="s">
        <v>4501</v>
      </c>
      <c r="L9" s="43" t="s">
        <v>30</v>
      </c>
      <c r="M9" s="43">
        <v>2</v>
      </c>
      <c r="N9" s="43">
        <v>10</v>
      </c>
      <c r="O9" s="28">
        <f>AVERAGE(39.1,36.1)</f>
        <v>37.6</v>
      </c>
      <c r="P9" s="28">
        <f>AVERAGE(145.9,149.1)</f>
        <v>147.5</v>
      </c>
      <c r="Q9" s="28">
        <f>AVERAGE(150.8,150.2)</f>
        <v>150.5</v>
      </c>
      <c r="R9" s="28">
        <f>AVERAGE(1.48,1.42)</f>
        <v>1.45</v>
      </c>
      <c r="S9" s="28">
        <f>AVERAGE(9.16,6.41)</f>
        <v>7.7850000000000001</v>
      </c>
      <c r="T9" s="28">
        <f>AVERAGE(7.21,6.47)</f>
        <v>6.84</v>
      </c>
      <c r="U9" s="43" t="s">
        <v>50</v>
      </c>
      <c r="V9" s="240" t="s">
        <v>50</v>
      </c>
      <c r="W9" s="240" t="s">
        <v>50</v>
      </c>
      <c r="Y9" s="240" t="s">
        <v>32</v>
      </c>
    </row>
    <row r="10" spans="1:25" x14ac:dyDescent="0.25">
      <c r="A10" s="324">
        <v>43620</v>
      </c>
      <c r="B10" s="631" t="s">
        <v>70</v>
      </c>
      <c r="C10" s="508" t="s">
        <v>106</v>
      </c>
      <c r="D10" s="631">
        <v>38.23254</v>
      </c>
      <c r="E10" s="631">
        <v>-121.67332</v>
      </c>
      <c r="F10" s="631" t="s">
        <v>4508</v>
      </c>
      <c r="G10" s="631" t="s">
        <v>90</v>
      </c>
      <c r="H10" s="631" t="s">
        <v>362</v>
      </c>
      <c r="I10" s="239">
        <v>0.32777777777777778</v>
      </c>
      <c r="J10" s="43" t="s">
        <v>4500</v>
      </c>
      <c r="K10" s="43" t="s">
        <v>4501</v>
      </c>
      <c r="L10" s="43" t="s">
        <v>30</v>
      </c>
      <c r="M10" s="43">
        <v>2</v>
      </c>
      <c r="N10" s="238">
        <v>10</v>
      </c>
      <c r="O10" s="28">
        <v>8.5</v>
      </c>
      <c r="P10" s="28">
        <v>115.6</v>
      </c>
      <c r="Q10" s="28">
        <v>102.1</v>
      </c>
      <c r="R10" s="28">
        <v>0.95</v>
      </c>
      <c r="S10" s="28">
        <v>11.255000000000001</v>
      </c>
      <c r="T10" s="28">
        <v>23.5</v>
      </c>
      <c r="U10" s="43" t="s">
        <v>50</v>
      </c>
      <c r="V10" s="240" t="s">
        <v>50</v>
      </c>
      <c r="W10" s="240" t="s">
        <v>50</v>
      </c>
      <c r="X10" s="5" t="s">
        <v>4509</v>
      </c>
      <c r="Y10" s="240" t="s">
        <v>32</v>
      </c>
    </row>
    <row r="11" spans="1:25" x14ac:dyDescent="0.25">
      <c r="A11" s="324">
        <v>43620</v>
      </c>
      <c r="B11" s="631" t="s">
        <v>70</v>
      </c>
      <c r="C11" s="508" t="s">
        <v>106</v>
      </c>
      <c r="D11" s="631">
        <v>38.504809999999999</v>
      </c>
      <c r="E11" s="631">
        <v>-121.58421</v>
      </c>
      <c r="F11" s="631" t="s">
        <v>4510</v>
      </c>
      <c r="G11" s="631" t="s">
        <v>90</v>
      </c>
      <c r="H11" s="631" t="s">
        <v>1787</v>
      </c>
      <c r="I11" s="239">
        <v>0.39166666666666666</v>
      </c>
      <c r="J11" s="43" t="s">
        <v>4500</v>
      </c>
      <c r="K11" s="43" t="s">
        <v>4501</v>
      </c>
      <c r="L11" s="43" t="s">
        <v>30</v>
      </c>
      <c r="M11" s="43">
        <v>2</v>
      </c>
      <c r="N11" s="43">
        <v>10</v>
      </c>
      <c r="O11" s="28">
        <v>38.299999999999997</v>
      </c>
      <c r="P11" s="28">
        <v>880.5</v>
      </c>
      <c r="Q11" s="28">
        <v>877.5</v>
      </c>
      <c r="R11" s="28">
        <v>0.65500000000000003</v>
      </c>
      <c r="S11" s="28">
        <v>44.9</v>
      </c>
      <c r="T11" s="28">
        <v>215.65</v>
      </c>
      <c r="U11" s="43" t="s">
        <v>50</v>
      </c>
      <c r="V11" s="240" t="s">
        <v>50</v>
      </c>
      <c r="W11" s="240" t="s">
        <v>50</v>
      </c>
      <c r="Y11" s="81" t="s">
        <v>32</v>
      </c>
    </row>
    <row r="12" spans="1:25" x14ac:dyDescent="0.25">
      <c r="A12" s="324">
        <v>43620</v>
      </c>
      <c r="B12" s="631" t="s">
        <v>70</v>
      </c>
      <c r="C12" s="508" t="s">
        <v>106</v>
      </c>
      <c r="D12" s="631">
        <v>38.564599999999999</v>
      </c>
      <c r="E12" s="631">
        <v>-121.55412</v>
      </c>
      <c r="F12" s="631" t="s">
        <v>4511</v>
      </c>
      <c r="G12" s="631" t="s">
        <v>90</v>
      </c>
      <c r="H12" s="631" t="s">
        <v>1787</v>
      </c>
      <c r="I12" s="239">
        <v>0.42777777777777781</v>
      </c>
      <c r="J12" s="43" t="s">
        <v>4500</v>
      </c>
      <c r="K12" s="43" t="s">
        <v>4501</v>
      </c>
      <c r="L12" s="43" t="s">
        <v>30</v>
      </c>
      <c r="M12" s="43">
        <v>2</v>
      </c>
      <c r="N12" s="43">
        <v>10</v>
      </c>
      <c r="O12" s="28">
        <v>35.85</v>
      </c>
      <c r="P12" s="28">
        <v>705.5</v>
      </c>
      <c r="Q12" s="28">
        <v>752</v>
      </c>
      <c r="R12" s="28">
        <v>1.8</v>
      </c>
      <c r="S12" s="28">
        <v>4.28</v>
      </c>
      <c r="T12" s="28">
        <v>8.0250000000000004</v>
      </c>
      <c r="U12" s="43" t="s">
        <v>50</v>
      </c>
      <c r="V12" s="45" t="s">
        <v>50</v>
      </c>
      <c r="W12" s="45" t="s">
        <v>50</v>
      </c>
      <c r="Y12" s="40" t="s">
        <v>32</v>
      </c>
    </row>
    <row r="13" spans="1:25" x14ac:dyDescent="0.25">
      <c r="A13" s="324">
        <v>43620</v>
      </c>
      <c r="B13" s="631" t="s">
        <v>70</v>
      </c>
      <c r="C13" s="508" t="s">
        <v>106</v>
      </c>
      <c r="D13" s="631">
        <v>38.521120000000003</v>
      </c>
      <c r="E13" s="631">
        <v>-121.58405</v>
      </c>
      <c r="F13" s="631" t="s">
        <v>4512</v>
      </c>
      <c r="G13" s="631" t="s">
        <v>90</v>
      </c>
      <c r="H13" s="631" t="s">
        <v>1787</v>
      </c>
      <c r="I13" s="239">
        <v>0.46388888888888885</v>
      </c>
      <c r="J13" s="43" t="s">
        <v>4500</v>
      </c>
      <c r="K13" s="43" t="s">
        <v>4501</v>
      </c>
      <c r="L13" s="43" t="s">
        <v>30</v>
      </c>
      <c r="M13" s="43">
        <v>2</v>
      </c>
      <c r="N13" s="43">
        <v>10</v>
      </c>
      <c r="O13" s="28">
        <v>34.4</v>
      </c>
      <c r="P13" s="28">
        <v>885</v>
      </c>
      <c r="Q13" s="28">
        <v>873.5</v>
      </c>
      <c r="R13" s="28">
        <v>0.82</v>
      </c>
      <c r="S13" s="28">
        <v>11.45</v>
      </c>
      <c r="T13" s="28">
        <v>44.25</v>
      </c>
      <c r="U13" s="43" t="s">
        <v>50</v>
      </c>
      <c r="V13" s="45" t="s">
        <v>50</v>
      </c>
      <c r="W13" s="45" t="s">
        <v>50</v>
      </c>
      <c r="Y13" s="49" t="s">
        <v>32</v>
      </c>
    </row>
    <row r="14" spans="1:25" x14ac:dyDescent="0.25">
      <c r="A14" s="324">
        <v>43620</v>
      </c>
      <c r="B14" s="631" t="s">
        <v>70</v>
      </c>
      <c r="C14" s="508" t="s">
        <v>106</v>
      </c>
      <c r="D14" s="631">
        <v>38.454659999999997</v>
      </c>
      <c r="E14" s="631">
        <v>-121.59196</v>
      </c>
      <c r="F14" s="631" t="s">
        <v>4513</v>
      </c>
      <c r="G14" s="631" t="s">
        <v>90</v>
      </c>
      <c r="H14" s="631" t="s">
        <v>362</v>
      </c>
      <c r="I14" s="239">
        <v>0.49861111111111112</v>
      </c>
      <c r="J14" s="43" t="s">
        <v>4500</v>
      </c>
      <c r="K14" s="43" t="s">
        <v>4501</v>
      </c>
      <c r="L14" s="43" t="s">
        <v>30</v>
      </c>
      <c r="M14" s="43">
        <v>2</v>
      </c>
      <c r="N14" s="43">
        <v>10</v>
      </c>
      <c r="O14" s="28">
        <v>31.375</v>
      </c>
      <c r="P14" s="28">
        <v>878.5</v>
      </c>
      <c r="Q14" s="28">
        <v>883</v>
      </c>
      <c r="R14" s="28">
        <v>0.69</v>
      </c>
      <c r="S14" s="28">
        <v>22.3</v>
      </c>
      <c r="T14" s="28">
        <v>108.7</v>
      </c>
      <c r="U14" s="43" t="s">
        <v>50</v>
      </c>
      <c r="V14" s="40" t="s">
        <v>50</v>
      </c>
      <c r="W14" s="40" t="s">
        <v>50</v>
      </c>
      <c r="Y14" s="49" t="s">
        <v>32</v>
      </c>
    </row>
    <row r="15" spans="1:25" s="516" customFormat="1" x14ac:dyDescent="0.25">
      <c r="A15" s="515">
        <v>43620</v>
      </c>
      <c r="B15" s="516" t="s">
        <v>70</v>
      </c>
      <c r="C15" s="517" t="s">
        <v>78</v>
      </c>
      <c r="D15" s="516">
        <v>38.079000000000001</v>
      </c>
      <c r="E15" s="516">
        <v>-122.03784</v>
      </c>
      <c r="F15" s="516" t="s">
        <v>4514</v>
      </c>
      <c r="G15" s="516" t="s">
        <v>27</v>
      </c>
      <c r="H15" s="516" t="s">
        <v>86</v>
      </c>
      <c r="I15" s="518">
        <v>0.35486111111111113</v>
      </c>
      <c r="J15" s="519" t="s">
        <v>4500</v>
      </c>
      <c r="K15" s="519" t="s">
        <v>4501</v>
      </c>
      <c r="L15" s="519" t="s">
        <v>30</v>
      </c>
      <c r="M15" s="519">
        <v>2</v>
      </c>
      <c r="N15" s="519">
        <v>10</v>
      </c>
      <c r="O15" s="529">
        <v>21.8</v>
      </c>
      <c r="P15" s="529">
        <v>291.85000000000002</v>
      </c>
      <c r="Q15" s="529">
        <v>296.2</v>
      </c>
      <c r="R15" s="529">
        <v>0.42</v>
      </c>
      <c r="S15" s="529">
        <v>37.5</v>
      </c>
      <c r="T15" s="529">
        <v>48.7</v>
      </c>
      <c r="U15" s="532" t="s">
        <v>926</v>
      </c>
      <c r="V15" s="520">
        <v>1</v>
      </c>
      <c r="W15" s="520">
        <v>17.100000000000001</v>
      </c>
      <c r="X15" s="367"/>
      <c r="Y15" s="531" t="s">
        <v>32</v>
      </c>
    </row>
    <row r="16" spans="1:25" x14ac:dyDescent="0.25">
      <c r="A16" s="324">
        <v>43620</v>
      </c>
      <c r="B16" s="631" t="s">
        <v>70</v>
      </c>
      <c r="C16" s="508" t="s">
        <v>78</v>
      </c>
      <c r="D16" s="631">
        <v>38.091619999999999</v>
      </c>
      <c r="E16" s="631">
        <v>-122.06205</v>
      </c>
      <c r="F16" s="631" t="s">
        <v>4515</v>
      </c>
      <c r="G16" s="631" t="s">
        <v>27</v>
      </c>
      <c r="H16" s="631" t="s">
        <v>86</v>
      </c>
      <c r="I16" s="239">
        <v>0.4069444444444445</v>
      </c>
      <c r="J16" s="43" t="s">
        <v>4500</v>
      </c>
      <c r="K16" s="43" t="s">
        <v>4501</v>
      </c>
      <c r="L16" s="43" t="s">
        <v>30</v>
      </c>
      <c r="M16" s="43">
        <v>2</v>
      </c>
      <c r="N16" s="43">
        <v>10</v>
      </c>
      <c r="O16" s="28">
        <v>18.75</v>
      </c>
      <c r="P16" s="28">
        <v>319.2</v>
      </c>
      <c r="Q16" s="28">
        <v>315.5</v>
      </c>
      <c r="R16" s="28">
        <v>0.38</v>
      </c>
      <c r="S16" s="28">
        <v>47.7</v>
      </c>
      <c r="T16" s="28">
        <v>94.3</v>
      </c>
      <c r="U16" s="43" t="s">
        <v>50</v>
      </c>
      <c r="V16" s="40" t="s">
        <v>50</v>
      </c>
      <c r="W16" s="40" t="s">
        <v>50</v>
      </c>
      <c r="Y16" s="49" t="s">
        <v>32</v>
      </c>
    </row>
    <row r="17" spans="1:25" x14ac:dyDescent="0.25">
      <c r="A17" s="324">
        <v>43620</v>
      </c>
      <c r="B17" s="631" t="s">
        <v>70</v>
      </c>
      <c r="C17" s="508" t="s">
        <v>78</v>
      </c>
      <c r="D17" s="631">
        <v>38.077730000000003</v>
      </c>
      <c r="E17" s="631">
        <v>-122.09372999999999</v>
      </c>
      <c r="F17" s="631" t="s">
        <v>4516</v>
      </c>
      <c r="G17" s="631" t="s">
        <v>80</v>
      </c>
      <c r="H17" s="631" t="s">
        <v>81</v>
      </c>
      <c r="I17" s="239">
        <v>0.43541666666666662</v>
      </c>
      <c r="J17" s="43" t="s">
        <v>4500</v>
      </c>
      <c r="K17" s="43" t="s">
        <v>4501</v>
      </c>
      <c r="L17" s="43" t="s">
        <v>30</v>
      </c>
      <c r="M17" s="43">
        <v>2</v>
      </c>
      <c r="N17" s="43">
        <v>10</v>
      </c>
      <c r="O17" s="28">
        <v>21.15</v>
      </c>
      <c r="P17" s="28">
        <v>353.65</v>
      </c>
      <c r="Q17" s="28">
        <v>355</v>
      </c>
      <c r="R17" s="28">
        <v>0.255</v>
      </c>
      <c r="S17" s="28">
        <v>80.150000000000006</v>
      </c>
      <c r="T17" s="28">
        <v>104.45</v>
      </c>
      <c r="U17" s="43" t="s">
        <v>50</v>
      </c>
      <c r="V17" s="240" t="s">
        <v>50</v>
      </c>
      <c r="W17" s="240" t="s">
        <v>50</v>
      </c>
      <c r="Y17" s="49" t="s">
        <v>32</v>
      </c>
    </row>
    <row r="18" spans="1:25" s="516" customFormat="1" x14ac:dyDescent="0.25">
      <c r="A18" s="515">
        <v>43620</v>
      </c>
      <c r="B18" s="516" t="s">
        <v>70</v>
      </c>
      <c r="C18" s="517" t="s">
        <v>78</v>
      </c>
      <c r="D18" s="516">
        <v>38.057980000000001</v>
      </c>
      <c r="E18" s="516">
        <v>-122.10439</v>
      </c>
      <c r="F18" s="516" t="s">
        <v>4517</v>
      </c>
      <c r="G18" s="516" t="s">
        <v>80</v>
      </c>
      <c r="H18" s="516" t="s">
        <v>81</v>
      </c>
      <c r="I18" s="518">
        <v>0.46527777777777773</v>
      </c>
      <c r="J18" s="519" t="s">
        <v>4500</v>
      </c>
      <c r="K18" s="519" t="s">
        <v>4501</v>
      </c>
      <c r="L18" s="519" t="s">
        <v>30</v>
      </c>
      <c r="M18" s="519">
        <v>2</v>
      </c>
      <c r="N18" s="519">
        <v>10</v>
      </c>
      <c r="O18" s="529">
        <v>26.4</v>
      </c>
      <c r="P18" s="529">
        <v>359.85</v>
      </c>
      <c r="Q18" s="529">
        <v>388.15</v>
      </c>
      <c r="R18" s="529">
        <v>0.375</v>
      </c>
      <c r="S18" s="529">
        <v>48.85</v>
      </c>
      <c r="T18" s="529">
        <v>67.650000000000006</v>
      </c>
      <c r="U18" s="519" t="s">
        <v>31</v>
      </c>
      <c r="V18" s="521">
        <v>3</v>
      </c>
      <c r="W18" s="521" t="s">
        <v>4518</v>
      </c>
      <c r="X18" s="367"/>
      <c r="Y18" s="521" t="s">
        <v>32</v>
      </c>
    </row>
    <row r="19" spans="1:25" s="516" customFormat="1" x14ac:dyDescent="0.25">
      <c r="A19" s="515">
        <v>43620</v>
      </c>
      <c r="B19" s="516" t="s">
        <v>70</v>
      </c>
      <c r="C19" s="517" t="s">
        <v>78</v>
      </c>
      <c r="D19" s="516">
        <v>38.057980000000001</v>
      </c>
      <c r="E19" s="516">
        <v>-122.10439</v>
      </c>
      <c r="F19" s="516" t="s">
        <v>4517</v>
      </c>
      <c r="G19" s="516" t="s">
        <v>80</v>
      </c>
      <c r="H19" s="516" t="s">
        <v>81</v>
      </c>
      <c r="I19" s="518">
        <v>0.46527777777777773</v>
      </c>
      <c r="J19" s="519" t="s">
        <v>4500</v>
      </c>
      <c r="K19" s="519" t="s">
        <v>4501</v>
      </c>
      <c r="L19" s="519" t="s">
        <v>30</v>
      </c>
      <c r="M19" s="519">
        <v>2</v>
      </c>
      <c r="N19" s="519">
        <v>10</v>
      </c>
      <c r="O19" s="529">
        <v>26.4</v>
      </c>
      <c r="P19" s="529">
        <v>359.85</v>
      </c>
      <c r="Q19" s="529">
        <v>388.15</v>
      </c>
      <c r="R19" s="529">
        <v>0.375</v>
      </c>
      <c r="S19" s="529">
        <v>48.85</v>
      </c>
      <c r="T19" s="529">
        <v>67.650000000000006</v>
      </c>
      <c r="U19" s="519" t="s">
        <v>926</v>
      </c>
      <c r="V19" s="521">
        <v>2</v>
      </c>
      <c r="W19" s="521" t="s">
        <v>4519</v>
      </c>
      <c r="X19" s="367" t="s">
        <v>4520</v>
      </c>
      <c r="Y19" s="521" t="s">
        <v>32</v>
      </c>
    </row>
    <row r="20" spans="1:25" x14ac:dyDescent="0.25">
      <c r="A20" s="324">
        <v>43620</v>
      </c>
      <c r="B20" s="631" t="s">
        <v>70</v>
      </c>
      <c r="C20" s="508" t="s">
        <v>78</v>
      </c>
      <c r="D20" s="631">
        <v>38.061340000000001</v>
      </c>
      <c r="E20" s="631">
        <v>-121.95571</v>
      </c>
      <c r="F20" s="631" t="s">
        <v>4521</v>
      </c>
      <c r="G20" s="631" t="s">
        <v>27</v>
      </c>
      <c r="H20" s="631" t="s">
        <v>170</v>
      </c>
      <c r="I20" s="239">
        <v>0.50694444444444442</v>
      </c>
      <c r="J20" s="43" t="s">
        <v>4500</v>
      </c>
      <c r="K20" s="43" t="s">
        <v>4501</v>
      </c>
      <c r="L20" s="43" t="s">
        <v>30</v>
      </c>
      <c r="M20" s="43">
        <v>2</v>
      </c>
      <c r="N20" s="43">
        <v>10</v>
      </c>
      <c r="O20" s="28">
        <v>11.75</v>
      </c>
      <c r="P20" s="28">
        <v>143.9</v>
      </c>
      <c r="Q20" s="28">
        <v>146.55000000000001</v>
      </c>
      <c r="R20" s="28">
        <v>0.55000000000000004</v>
      </c>
      <c r="S20" s="28">
        <v>32.5</v>
      </c>
      <c r="T20" s="28">
        <v>31.6</v>
      </c>
      <c r="U20" s="43" t="s">
        <v>50</v>
      </c>
      <c r="V20" s="240" t="s">
        <v>50</v>
      </c>
      <c r="W20" s="240" t="s">
        <v>50</v>
      </c>
      <c r="Y20" s="240" t="s">
        <v>32</v>
      </c>
    </row>
    <row r="21" spans="1:25" x14ac:dyDescent="0.25">
      <c r="A21" s="20">
        <v>43621</v>
      </c>
      <c r="B21" s="324" t="s">
        <v>87</v>
      </c>
      <c r="C21" s="508" t="s">
        <v>106</v>
      </c>
      <c r="D21" s="631">
        <v>38.197099999999999</v>
      </c>
      <c r="E21" s="631">
        <v>-121.65697</v>
      </c>
      <c r="F21" s="631" t="s">
        <v>4522</v>
      </c>
      <c r="G21" s="631" t="s">
        <v>90</v>
      </c>
      <c r="H21" s="631" t="s">
        <v>362</v>
      </c>
      <c r="I21" s="239">
        <v>0.31805555555555554</v>
      </c>
      <c r="J21" s="43" t="s">
        <v>4500</v>
      </c>
      <c r="K21" s="43" t="s">
        <v>4501</v>
      </c>
      <c r="L21" s="43" t="s">
        <v>30</v>
      </c>
      <c r="M21" s="43">
        <v>2</v>
      </c>
      <c r="N21" s="43">
        <v>10</v>
      </c>
      <c r="O21" s="28">
        <f>AVERAGE(48,50.5)</f>
        <v>49.25</v>
      </c>
      <c r="P21" s="28">
        <f>AVERAGE(113.6,115.8)</f>
        <v>114.69999999999999</v>
      </c>
      <c r="Q21" s="28">
        <f>AVERAGE(119.1,115.9)</f>
        <v>117.5</v>
      </c>
      <c r="R21" s="28">
        <f>AVERAGE(1.29,1.05)</f>
        <v>1.17</v>
      </c>
      <c r="S21" s="28">
        <f>AVERAGE(82.8,12.1)</f>
        <v>47.449999999999996</v>
      </c>
      <c r="T21" s="28">
        <f>AVERAGE(11.5,13.5)</f>
        <v>12.5</v>
      </c>
      <c r="U21" s="43" t="s">
        <v>50</v>
      </c>
      <c r="V21" s="240" t="s">
        <v>50</v>
      </c>
      <c r="W21" s="240" t="s">
        <v>50</v>
      </c>
      <c r="X21" s="5" t="s">
        <v>4523</v>
      </c>
      <c r="Y21" s="240" t="s">
        <v>32</v>
      </c>
    </row>
    <row r="22" spans="1:25" x14ac:dyDescent="0.25">
      <c r="A22" s="44">
        <v>43621</v>
      </c>
      <c r="B22" s="324" t="s">
        <v>87</v>
      </c>
      <c r="C22" s="508" t="s">
        <v>106</v>
      </c>
      <c r="D22" s="631">
        <v>38.20355</v>
      </c>
      <c r="E22" s="631">
        <v>-121.65863</v>
      </c>
      <c r="F22" s="631" t="s">
        <v>4524</v>
      </c>
      <c r="G22" s="631" t="s">
        <v>90</v>
      </c>
      <c r="H22" s="631" t="s">
        <v>362</v>
      </c>
      <c r="I22" s="239">
        <v>0.35138888888888892</v>
      </c>
      <c r="J22" s="43" t="s">
        <v>4500</v>
      </c>
      <c r="K22" s="43" t="s">
        <v>4501</v>
      </c>
      <c r="L22" s="43" t="s">
        <v>30</v>
      </c>
      <c r="M22" s="43">
        <v>2</v>
      </c>
      <c r="N22" s="43">
        <v>10</v>
      </c>
      <c r="O22" s="28">
        <f>AVERAGE(41.5,38)</f>
        <v>39.75</v>
      </c>
      <c r="P22" s="28">
        <f>AVERAGE(112,117.2)</f>
        <v>114.6</v>
      </c>
      <c r="Q22" s="28">
        <f>AVERAGE(112.4,117.5)</f>
        <v>114.95</v>
      </c>
      <c r="R22" s="28">
        <f>AVERAGE(1.04,0.92)</f>
        <v>0.98</v>
      </c>
      <c r="S22" s="28">
        <f>AVERAGE(11.9,17.9)</f>
        <v>14.899999999999999</v>
      </c>
      <c r="T22" s="28">
        <f>AVERAGE(44.9,13.9)</f>
        <v>29.4</v>
      </c>
      <c r="U22" s="43" t="s">
        <v>50</v>
      </c>
      <c r="V22" s="240" t="s">
        <v>50</v>
      </c>
      <c r="W22" s="240" t="s">
        <v>50</v>
      </c>
      <c r="Y22" s="240" t="s">
        <v>32</v>
      </c>
    </row>
    <row r="23" spans="1:25" s="421" customFormat="1" x14ac:dyDescent="0.25">
      <c r="A23" s="522">
        <v>43621</v>
      </c>
      <c r="B23" s="523" t="s">
        <v>87</v>
      </c>
      <c r="C23" s="524" t="s">
        <v>106</v>
      </c>
      <c r="D23" s="421">
        <v>38.321669999999997</v>
      </c>
      <c r="E23" s="421">
        <v>-121.65085999999999</v>
      </c>
      <c r="F23" s="421" t="s">
        <v>4525</v>
      </c>
      <c r="G23" s="421" t="s">
        <v>90</v>
      </c>
      <c r="H23" s="421" t="s">
        <v>362</v>
      </c>
      <c r="I23" s="525">
        <v>0.40347222222222223</v>
      </c>
      <c r="J23" s="526" t="s">
        <v>4500</v>
      </c>
      <c r="K23" s="526" t="s">
        <v>4501</v>
      </c>
      <c r="L23" s="526" t="s">
        <v>30</v>
      </c>
      <c r="M23" s="526">
        <v>2</v>
      </c>
      <c r="N23" s="526">
        <v>10</v>
      </c>
      <c r="O23" s="530">
        <f>AVERAGE(20.6,25.9)</f>
        <v>23.25</v>
      </c>
      <c r="P23" s="530">
        <f>AVERAGE(442.8,480)</f>
        <v>461.4</v>
      </c>
      <c r="Q23" s="530">
        <f>AVERAGE(463,225.1)</f>
        <v>344.05</v>
      </c>
      <c r="R23" s="530">
        <f>AVERAGE(0.42,0.4)</f>
        <v>0.41000000000000003</v>
      </c>
      <c r="S23" s="530">
        <f>AVERAGE(25.7,28.5)</f>
        <v>27.1</v>
      </c>
      <c r="T23" s="530">
        <f>AVERAGE(33.5,73.6)</f>
        <v>53.55</v>
      </c>
      <c r="U23" s="526" t="s">
        <v>323</v>
      </c>
      <c r="V23" s="527">
        <v>1</v>
      </c>
      <c r="W23" s="527">
        <v>20.7</v>
      </c>
      <c r="X23" s="397"/>
      <c r="Y23" s="527" t="s">
        <v>32</v>
      </c>
    </row>
    <row r="24" spans="1:25" s="631" customFormat="1" x14ac:dyDescent="0.25">
      <c r="A24" s="44">
        <v>43621</v>
      </c>
      <c r="B24" s="324" t="s">
        <v>87</v>
      </c>
      <c r="C24" s="508" t="s">
        <v>106</v>
      </c>
      <c r="D24" s="631">
        <v>38.321669999999997</v>
      </c>
      <c r="E24" s="631">
        <v>-121.65085999999999</v>
      </c>
      <c r="F24" s="631" t="s">
        <v>4525</v>
      </c>
      <c r="G24" s="631" t="s">
        <v>90</v>
      </c>
      <c r="H24" s="631" t="s">
        <v>362</v>
      </c>
      <c r="I24" s="239">
        <v>0.40347222222222223</v>
      </c>
      <c r="J24" s="43" t="s">
        <v>4500</v>
      </c>
      <c r="K24" s="43" t="s">
        <v>4501</v>
      </c>
      <c r="L24" s="43" t="s">
        <v>30</v>
      </c>
      <c r="M24" s="43">
        <v>2</v>
      </c>
      <c r="N24" s="43">
        <v>10</v>
      </c>
      <c r="O24" s="28">
        <f>AVERAGE(20.6,25.9)</f>
        <v>23.25</v>
      </c>
      <c r="P24" s="28">
        <f>AVERAGE(442.8,480)</f>
        <v>461.4</v>
      </c>
      <c r="Q24" s="28">
        <f>AVERAGE(463,225.1)</f>
        <v>344.05</v>
      </c>
      <c r="R24" s="28">
        <f>AVERAGE(0.42,0.4)</f>
        <v>0.41000000000000003</v>
      </c>
      <c r="S24" s="28">
        <f>AVERAGE(25.7,28.5)</f>
        <v>27.1</v>
      </c>
      <c r="T24" s="28">
        <f>AVERAGE(33.5,73.6)</f>
        <v>53.55</v>
      </c>
      <c r="U24" s="680" t="s">
        <v>4526</v>
      </c>
      <c r="V24" s="45">
        <v>1</v>
      </c>
      <c r="W24" s="45">
        <v>15.7</v>
      </c>
      <c r="X24" s="5" t="s">
        <v>4527</v>
      </c>
      <c r="Y24" s="40" t="s">
        <v>32</v>
      </c>
    </row>
    <row r="25" spans="1:25" x14ac:dyDescent="0.25">
      <c r="A25" s="44">
        <v>43621</v>
      </c>
      <c r="B25" s="324" t="s">
        <v>87</v>
      </c>
      <c r="C25" s="508" t="s">
        <v>106</v>
      </c>
      <c r="D25" s="631">
        <v>38.35774</v>
      </c>
      <c r="E25" s="631">
        <v>-121.63736</v>
      </c>
      <c r="F25" s="631" t="s">
        <v>4528</v>
      </c>
      <c r="G25" s="631" t="s">
        <v>90</v>
      </c>
      <c r="H25" s="631" t="s">
        <v>362</v>
      </c>
      <c r="I25" s="239">
        <v>0.43402777777777773</v>
      </c>
      <c r="J25" s="43" t="s">
        <v>4500</v>
      </c>
      <c r="K25" s="43" t="s">
        <v>4501</v>
      </c>
      <c r="L25" s="43" t="s">
        <v>30</v>
      </c>
      <c r="M25" s="43">
        <v>2</v>
      </c>
      <c r="N25" s="43">
        <v>10</v>
      </c>
      <c r="O25" s="28">
        <f>AVERAGE(34.6,32.8)</f>
        <v>33.700000000000003</v>
      </c>
      <c r="P25" s="28">
        <f>AVERAGE(645,629)</f>
        <v>637</v>
      </c>
      <c r="Q25" s="28">
        <f>AVERAGE(654,647)</f>
        <v>650.5</v>
      </c>
      <c r="R25" s="28">
        <f>AVERAGE(0.34,0.38)</f>
        <v>0.36</v>
      </c>
      <c r="S25" s="28">
        <f>AVERAGE(39.8,37.1)</f>
        <v>38.450000000000003</v>
      </c>
      <c r="T25" s="28">
        <f>AVERAGE(53.3,48.4)</f>
        <v>50.849999999999994</v>
      </c>
      <c r="U25" s="43" t="s">
        <v>50</v>
      </c>
      <c r="V25" s="45" t="s">
        <v>50</v>
      </c>
      <c r="W25" s="45" t="s">
        <v>50</v>
      </c>
      <c r="Y25" s="40" t="s">
        <v>32</v>
      </c>
    </row>
    <row r="26" spans="1:25" x14ac:dyDescent="0.25">
      <c r="A26" s="44">
        <v>43621</v>
      </c>
      <c r="B26" s="324" t="s">
        <v>87</v>
      </c>
      <c r="C26" s="508" t="s">
        <v>106</v>
      </c>
      <c r="D26" s="631">
        <v>38.560969999999998</v>
      </c>
      <c r="E26" s="631">
        <v>-121.54161999999999</v>
      </c>
      <c r="F26" s="631" t="s">
        <v>4529</v>
      </c>
      <c r="G26" s="631" t="s">
        <v>90</v>
      </c>
      <c r="H26" s="631" t="s">
        <v>1787</v>
      </c>
      <c r="I26" s="239">
        <v>0.4909722222222222</v>
      </c>
      <c r="J26" s="43" t="s">
        <v>4500</v>
      </c>
      <c r="K26" s="43" t="s">
        <v>4501</v>
      </c>
      <c r="L26" s="43" t="s">
        <v>30</v>
      </c>
      <c r="M26" s="43">
        <v>2</v>
      </c>
      <c r="N26" s="43">
        <v>10</v>
      </c>
      <c r="O26" s="28">
        <f>AVERAGE(29,31.5)</f>
        <v>30.25</v>
      </c>
      <c r="P26" s="28">
        <f>AVERAGE(663,654)</f>
        <v>658.5</v>
      </c>
      <c r="Q26" s="28">
        <f>AVERAGE(816,683)</f>
        <v>749.5</v>
      </c>
      <c r="R26" s="28">
        <f>AVERAGE(1.42,1.32)</f>
        <v>1.37</v>
      </c>
      <c r="S26" s="28">
        <f>AVERAGE(13.1,5.65)</f>
        <v>9.375</v>
      </c>
      <c r="T26" s="28">
        <f>AVERAGE(18.7,31.9)</f>
        <v>25.299999999999997</v>
      </c>
      <c r="U26" s="43" t="s">
        <v>50</v>
      </c>
      <c r="V26" s="45" t="s">
        <v>50</v>
      </c>
      <c r="W26" s="45" t="s">
        <v>50</v>
      </c>
      <c r="Y26" s="40" t="s">
        <v>32</v>
      </c>
    </row>
    <row r="27" spans="1:25" x14ac:dyDescent="0.25">
      <c r="A27" s="44">
        <v>43621</v>
      </c>
      <c r="B27" s="324" t="s">
        <v>87</v>
      </c>
      <c r="C27" s="508" t="s">
        <v>95</v>
      </c>
      <c r="D27" s="631">
        <v>38.025359999999999</v>
      </c>
      <c r="E27" s="631">
        <v>-121.76202000000001</v>
      </c>
      <c r="F27" s="631" t="s">
        <v>4530</v>
      </c>
      <c r="G27" s="631" t="s">
        <v>27</v>
      </c>
      <c r="H27" s="631" t="s">
        <v>863</v>
      </c>
      <c r="I27" s="239">
        <v>0.36319444444444443</v>
      </c>
      <c r="J27" s="43" t="s">
        <v>4500</v>
      </c>
      <c r="K27" s="43" t="s">
        <v>4501</v>
      </c>
      <c r="L27" s="43" t="s">
        <v>30</v>
      </c>
      <c r="M27" s="43">
        <v>2</v>
      </c>
      <c r="N27" s="43">
        <v>10</v>
      </c>
      <c r="O27" s="28">
        <f>AVERAGE(15.1,13.9)</f>
        <v>14.5</v>
      </c>
      <c r="P27" s="28">
        <f>AVERAGE(153.4,153.1)</f>
        <v>153.25</v>
      </c>
      <c r="Q27" s="28">
        <f>AVERAGE(154.8,153.5)</f>
        <v>154.15</v>
      </c>
      <c r="R27" s="28">
        <f>AVERAGE(1.18,1.23)</f>
        <v>1.2050000000000001</v>
      </c>
      <c r="S27" s="28">
        <f>AVERAGE(11.3,11.6)</f>
        <v>11.45</v>
      </c>
      <c r="T27" s="28">
        <f>AVERAGE(10.4,11.3)</f>
        <v>10.850000000000001</v>
      </c>
      <c r="U27" s="43" t="s">
        <v>50</v>
      </c>
      <c r="V27" s="240" t="s">
        <v>50</v>
      </c>
      <c r="W27" s="240" t="s">
        <v>50</v>
      </c>
      <c r="Y27" s="240" t="s">
        <v>32</v>
      </c>
    </row>
    <row r="28" spans="1:25" x14ac:dyDescent="0.25">
      <c r="A28" s="20">
        <v>43621</v>
      </c>
      <c r="B28" s="631" t="s">
        <v>87</v>
      </c>
      <c r="C28" s="508" t="s">
        <v>95</v>
      </c>
      <c r="D28" s="631">
        <v>38.01885</v>
      </c>
      <c r="E28" s="631">
        <v>-121.79134999999999</v>
      </c>
      <c r="F28" s="631" t="s">
        <v>4531</v>
      </c>
      <c r="G28" s="631" t="s">
        <v>27</v>
      </c>
      <c r="H28" s="631" t="s">
        <v>863</v>
      </c>
      <c r="I28" s="21">
        <v>0.39583333333333331</v>
      </c>
      <c r="J28" s="631" t="s">
        <v>4500</v>
      </c>
      <c r="K28" s="631" t="s">
        <v>4501</v>
      </c>
      <c r="L28" s="631" t="s">
        <v>30</v>
      </c>
      <c r="M28" s="631">
        <v>2</v>
      </c>
      <c r="N28" s="631">
        <v>10</v>
      </c>
      <c r="O28" s="4">
        <f>AVERAGE(25.5,29.7)</f>
        <v>27.6</v>
      </c>
      <c r="P28" s="4">
        <f>AVERAGE(153.6,153.6)</f>
        <v>153.6</v>
      </c>
      <c r="Q28" s="4">
        <f>AVERAGE(155,153.4)</f>
        <v>154.19999999999999</v>
      </c>
      <c r="R28" s="4">
        <f>AVERAGE(1.12,1.02)</f>
        <v>1.07</v>
      </c>
      <c r="S28" s="4">
        <f>AVERAGE(16.8,11.2)</f>
        <v>14</v>
      </c>
      <c r="T28" s="4">
        <f>AVERAGE(15.8,15.8)</f>
        <v>15.8</v>
      </c>
      <c r="U28" s="631" t="s">
        <v>50</v>
      </c>
      <c r="V28" s="631" t="s">
        <v>50</v>
      </c>
      <c r="W28" s="631" t="s">
        <v>50</v>
      </c>
      <c r="Y28" s="631" t="s">
        <v>32</v>
      </c>
    </row>
    <row r="29" spans="1:25" x14ac:dyDescent="0.25">
      <c r="A29" s="44">
        <v>43621</v>
      </c>
      <c r="B29" s="324" t="s">
        <v>87</v>
      </c>
      <c r="C29" s="508" t="s">
        <v>95</v>
      </c>
      <c r="D29" s="631">
        <v>38.021189999999997</v>
      </c>
      <c r="E29" s="631">
        <v>-121.80645</v>
      </c>
      <c r="F29" s="631" t="s">
        <v>4532</v>
      </c>
      <c r="G29" s="631" t="s">
        <v>27</v>
      </c>
      <c r="H29" s="631" t="s">
        <v>863</v>
      </c>
      <c r="I29" s="239">
        <v>0.42499999999999999</v>
      </c>
      <c r="J29" s="43" t="s">
        <v>4500</v>
      </c>
      <c r="K29" s="43" t="s">
        <v>4501</v>
      </c>
      <c r="L29" s="43" t="s">
        <v>30</v>
      </c>
      <c r="M29" s="43">
        <v>2</v>
      </c>
      <c r="N29" s="43">
        <v>10</v>
      </c>
      <c r="O29" s="28">
        <f>AVERAGE(36.2,35.8)</f>
        <v>36</v>
      </c>
      <c r="P29" s="28">
        <f>AVERAGE(153.2,150.5)</f>
        <v>151.85</v>
      </c>
      <c r="Q29" s="28">
        <f>AVERAGE(153.3,150.7)</f>
        <v>152</v>
      </c>
      <c r="R29" s="28">
        <f>AVERAGE(1.21,1.02)</f>
        <v>1.115</v>
      </c>
      <c r="S29" s="28">
        <f>AVERAGE(14.7,12.4)</f>
        <v>13.55</v>
      </c>
      <c r="T29" s="28">
        <f>AVERAGE(13.8,11)</f>
        <v>12.4</v>
      </c>
      <c r="U29" s="43" t="s">
        <v>50</v>
      </c>
      <c r="V29" s="45" t="s">
        <v>50</v>
      </c>
      <c r="W29" s="45" t="s">
        <v>50</v>
      </c>
      <c r="Y29" s="40" t="s">
        <v>32</v>
      </c>
    </row>
    <row r="30" spans="1:25" x14ac:dyDescent="0.25">
      <c r="A30" s="20">
        <v>43621</v>
      </c>
      <c r="B30" s="631" t="s">
        <v>87</v>
      </c>
      <c r="C30" s="508" t="s">
        <v>78</v>
      </c>
      <c r="D30" s="631">
        <v>38.066209999999998</v>
      </c>
      <c r="E30" s="631">
        <v>-122.03625</v>
      </c>
      <c r="F30" s="631" t="s">
        <v>4533</v>
      </c>
      <c r="G30" s="631" t="s">
        <v>27</v>
      </c>
      <c r="H30" s="631" t="s">
        <v>86</v>
      </c>
      <c r="I30" s="21">
        <v>0.4777777777777778</v>
      </c>
      <c r="J30" s="631" t="s">
        <v>4500</v>
      </c>
      <c r="K30" s="631" t="s">
        <v>4501</v>
      </c>
      <c r="L30" s="631" t="s">
        <v>30</v>
      </c>
      <c r="M30" s="631">
        <v>2</v>
      </c>
      <c r="N30" s="631">
        <v>10</v>
      </c>
      <c r="O30" s="4">
        <f>AVERAGE(19.8,22.1)</f>
        <v>20.950000000000003</v>
      </c>
      <c r="P30" s="4">
        <f>AVERAGE(194.3,159.8)</f>
        <v>177.05</v>
      </c>
      <c r="Q30" s="4">
        <f>AVERAGE(173.3,195.5)</f>
        <v>184.4</v>
      </c>
      <c r="R30" s="4">
        <f>AVERAGE(0.78,0.89)</f>
        <v>0.83499999999999996</v>
      </c>
      <c r="S30" s="4">
        <f>AVERAGE(34.6,30.7)</f>
        <v>32.65</v>
      </c>
      <c r="T30" s="4">
        <f>AVERAGE(29.8,34.2)</f>
        <v>32</v>
      </c>
      <c r="U30" s="631" t="s">
        <v>50</v>
      </c>
      <c r="V30" s="631" t="s">
        <v>50</v>
      </c>
      <c r="W30" s="631" t="s">
        <v>50</v>
      </c>
      <c r="Y30" s="631" t="s">
        <v>32</v>
      </c>
    </row>
    <row r="31" spans="1:25" x14ac:dyDescent="0.25">
      <c r="A31" s="44">
        <v>43621</v>
      </c>
      <c r="B31" s="324" t="s">
        <v>87</v>
      </c>
      <c r="C31" s="508" t="s">
        <v>78</v>
      </c>
      <c r="D31" s="631">
        <v>38.054279999999999</v>
      </c>
      <c r="E31" s="631">
        <v>-121.93594</v>
      </c>
      <c r="F31" s="631" t="s">
        <v>4534</v>
      </c>
      <c r="G31" s="631" t="s">
        <v>27</v>
      </c>
      <c r="H31" s="631" t="s">
        <v>170</v>
      </c>
      <c r="I31" s="239">
        <v>0.51527777777777783</v>
      </c>
      <c r="J31" s="43" t="s">
        <v>4535</v>
      </c>
      <c r="K31" s="43" t="s">
        <v>4501</v>
      </c>
      <c r="L31" s="43" t="s">
        <v>30</v>
      </c>
      <c r="M31" s="43">
        <v>2</v>
      </c>
      <c r="N31" s="43">
        <v>10</v>
      </c>
      <c r="O31" s="28">
        <f>AVERAGE(11.4,10.2)</f>
        <v>10.8</v>
      </c>
      <c r="P31" s="28">
        <f>AVERAGE(149.1,151.3)</f>
        <v>150.19999999999999</v>
      </c>
      <c r="Q31" s="28">
        <f>AVERAGE(164.5,157.4)</f>
        <v>160.94999999999999</v>
      </c>
      <c r="R31" s="28">
        <f>AVERAGE(0.87,0.9)</f>
        <v>0.88500000000000001</v>
      </c>
      <c r="S31" s="28">
        <f>AVERAGE(34.6,27.9)</f>
        <v>31.25</v>
      </c>
      <c r="T31" s="28">
        <f>AVERAGE(36.4,56.7)</f>
        <v>46.55</v>
      </c>
      <c r="U31" s="43" t="s">
        <v>50</v>
      </c>
      <c r="V31" s="45" t="s">
        <v>50</v>
      </c>
      <c r="W31" s="45" t="s">
        <v>50</v>
      </c>
      <c r="Y31" s="40" t="s">
        <v>32</v>
      </c>
    </row>
    <row r="32" spans="1:25" x14ac:dyDescent="0.25">
      <c r="A32" s="44">
        <v>43622</v>
      </c>
      <c r="B32" s="324" t="s">
        <v>105</v>
      </c>
      <c r="C32" s="508" t="s">
        <v>88</v>
      </c>
      <c r="D32" s="631">
        <v>38.157980000000002</v>
      </c>
      <c r="E32" s="631">
        <v>-121.68586000000001</v>
      </c>
      <c r="F32" s="631" t="s">
        <v>4536</v>
      </c>
      <c r="G32" s="631" t="s">
        <v>90</v>
      </c>
      <c r="H32" s="631" t="s">
        <v>91</v>
      </c>
      <c r="I32" s="239">
        <v>0.32361111111111113</v>
      </c>
      <c r="J32" s="43" t="s">
        <v>4535</v>
      </c>
      <c r="K32" s="43" t="s">
        <v>4501</v>
      </c>
      <c r="L32" s="43" t="s">
        <v>30</v>
      </c>
      <c r="M32" s="43">
        <v>2</v>
      </c>
      <c r="N32" s="43">
        <v>10</v>
      </c>
      <c r="O32" s="28">
        <f>AVERAGE(30.3,30.3)</f>
        <v>30.3</v>
      </c>
      <c r="P32" s="28">
        <f>AVERAGE(114.4,110.5)</f>
        <v>112.45</v>
      </c>
      <c r="Q32" s="28">
        <f>AVERAGE(113.5,109.4)</f>
        <v>111.45</v>
      </c>
      <c r="R32" s="28">
        <f>AVERAGE(1.59,1.12)</f>
        <v>1.355</v>
      </c>
      <c r="S32" s="28">
        <f>AVERAGE(8.12,8.36)</f>
        <v>8.2399999999999984</v>
      </c>
      <c r="T32" s="28">
        <f>AVERAGE(11.1,14.2)</f>
        <v>12.649999999999999</v>
      </c>
      <c r="U32" s="43" t="s">
        <v>50</v>
      </c>
      <c r="V32" s="45" t="s">
        <v>50</v>
      </c>
      <c r="W32" s="45" t="s">
        <v>50</v>
      </c>
      <c r="Y32" s="40" t="s">
        <v>32</v>
      </c>
    </row>
    <row r="33" spans="1:25" x14ac:dyDescent="0.25">
      <c r="A33" s="44">
        <v>43622</v>
      </c>
      <c r="B33" s="324" t="s">
        <v>105</v>
      </c>
      <c r="C33" s="508" t="s">
        <v>88</v>
      </c>
      <c r="D33" s="631">
        <v>38.094929999999998</v>
      </c>
      <c r="E33" s="631">
        <v>-121.70891</v>
      </c>
      <c r="F33" s="631" t="s">
        <v>4537</v>
      </c>
      <c r="G33" s="631" t="s">
        <v>90</v>
      </c>
      <c r="H33" s="631" t="s">
        <v>91</v>
      </c>
      <c r="I33" s="239">
        <v>0.3666666666666667</v>
      </c>
      <c r="J33" s="43" t="s">
        <v>4535</v>
      </c>
      <c r="K33" s="43" t="s">
        <v>4501</v>
      </c>
      <c r="L33" s="43" t="s">
        <v>30</v>
      </c>
      <c r="M33" s="43">
        <v>2</v>
      </c>
      <c r="N33" s="43">
        <v>10</v>
      </c>
      <c r="O33" s="28">
        <f>AVERAGE(17.3,17.3)</f>
        <v>17.3</v>
      </c>
      <c r="P33" s="28">
        <f>AVERAGE(111.3,111.9)</f>
        <v>111.6</v>
      </c>
      <c r="Q33" s="28">
        <f>AVERAGE(112.9,111.8)</f>
        <v>112.35</v>
      </c>
      <c r="R33" s="28">
        <f>AVERAGE(1.01,1.17)</f>
        <v>1.0899999999999999</v>
      </c>
      <c r="S33" s="28">
        <f>AVERAGE(9.52,9.14)</f>
        <v>9.33</v>
      </c>
      <c r="T33" s="28">
        <f>AVERAGE(8.14,10.9)</f>
        <v>9.52</v>
      </c>
      <c r="U33" s="43" t="s">
        <v>50</v>
      </c>
      <c r="V33" s="45" t="s">
        <v>50</v>
      </c>
      <c r="W33" s="45" t="s">
        <v>50</v>
      </c>
      <c r="Y33" s="40" t="s">
        <v>32</v>
      </c>
    </row>
    <row r="34" spans="1:25" x14ac:dyDescent="0.25">
      <c r="A34" s="44">
        <v>43622</v>
      </c>
      <c r="B34" s="324" t="s">
        <v>105</v>
      </c>
      <c r="C34" s="508" t="s">
        <v>88</v>
      </c>
      <c r="D34" s="631">
        <v>38.063360000000003</v>
      </c>
      <c r="E34" s="631">
        <v>-121.8302</v>
      </c>
      <c r="F34" s="631" t="s">
        <v>4538</v>
      </c>
      <c r="G34" s="631" t="s">
        <v>27</v>
      </c>
      <c r="H34" s="631" t="s">
        <v>25</v>
      </c>
      <c r="I34" s="239">
        <v>0.4145833333333333</v>
      </c>
      <c r="J34" s="43" t="s">
        <v>4535</v>
      </c>
      <c r="K34" s="43" t="s">
        <v>4501</v>
      </c>
      <c r="L34" s="43" t="s">
        <v>30</v>
      </c>
      <c r="M34" s="43">
        <v>2</v>
      </c>
      <c r="N34" s="43">
        <v>10</v>
      </c>
      <c r="O34" s="28">
        <f>AVERAGE(36.9,35.8)</f>
        <v>36.349999999999994</v>
      </c>
      <c r="P34" s="28">
        <f>AVERAGE(129.7,125.4)</f>
        <v>127.55</v>
      </c>
      <c r="Q34" s="28">
        <f>AVERAGE(130.3,125.9)</f>
        <v>128.10000000000002</v>
      </c>
      <c r="R34" s="28">
        <f>AVERAGE(0.7,0.82)</f>
        <v>0.76</v>
      </c>
      <c r="S34" s="28">
        <f>AVERAGE(17.2,16.4)</f>
        <v>16.799999999999997</v>
      </c>
      <c r="T34" s="28">
        <f>AVERAGE(18.5,32.2)</f>
        <v>25.35</v>
      </c>
      <c r="U34" s="43" t="s">
        <v>50</v>
      </c>
      <c r="V34" s="45" t="s">
        <v>50</v>
      </c>
      <c r="W34" s="45" t="s">
        <v>50</v>
      </c>
      <c r="Y34" s="40" t="s">
        <v>32</v>
      </c>
    </row>
    <row r="35" spans="1:25" x14ac:dyDescent="0.25">
      <c r="A35" s="44">
        <v>43622</v>
      </c>
      <c r="B35" s="324" t="s">
        <v>105</v>
      </c>
      <c r="C35" s="508" t="s">
        <v>88</v>
      </c>
      <c r="D35" s="631">
        <v>38.058729999999997</v>
      </c>
      <c r="E35" s="631">
        <v>-121.79521</v>
      </c>
      <c r="F35" s="631" t="s">
        <v>4539</v>
      </c>
      <c r="G35" s="631" t="s">
        <v>27</v>
      </c>
      <c r="H35" s="631" t="s">
        <v>25</v>
      </c>
      <c r="I35" s="239">
        <v>0.45</v>
      </c>
      <c r="J35" s="43" t="s">
        <v>4535</v>
      </c>
      <c r="K35" s="43" t="s">
        <v>4501</v>
      </c>
      <c r="L35" s="43" t="s">
        <v>30</v>
      </c>
      <c r="M35" s="43">
        <v>2</v>
      </c>
      <c r="N35" s="43">
        <v>10</v>
      </c>
      <c r="O35" s="28">
        <f>AVERAGE(28,27)</f>
        <v>27.5</v>
      </c>
      <c r="P35" s="28">
        <f>AVERAGE(114.8,112.2)</f>
        <v>113.5</v>
      </c>
      <c r="Q35" s="28">
        <f>AVERAGE(115.2,112.9)</f>
        <v>114.05000000000001</v>
      </c>
      <c r="R35" s="28">
        <f>AVERAGE(0.8,0.84)</f>
        <v>0.82000000000000006</v>
      </c>
      <c r="S35" s="28">
        <f>AVERAGE(29.1,25.6)</f>
        <v>27.35</v>
      </c>
      <c r="T35" s="28">
        <f>AVERAGE(28.8,24.2)</f>
        <v>26.5</v>
      </c>
      <c r="U35" s="43" t="s">
        <v>50</v>
      </c>
      <c r="V35" s="45" t="s">
        <v>50</v>
      </c>
      <c r="W35" s="45" t="s">
        <v>50</v>
      </c>
      <c r="Y35" s="40" t="s">
        <v>32</v>
      </c>
    </row>
    <row r="36" spans="1:25" x14ac:dyDescent="0.25">
      <c r="A36" s="44">
        <v>43622</v>
      </c>
      <c r="B36" s="324" t="s">
        <v>105</v>
      </c>
      <c r="C36" s="508" t="s">
        <v>88</v>
      </c>
      <c r="D36" s="291">
        <v>38.136299999999999</v>
      </c>
      <c r="E36" s="631">
        <v>-121.69537</v>
      </c>
      <c r="F36" s="631" t="s">
        <v>4540</v>
      </c>
      <c r="G36" s="631" t="s">
        <v>90</v>
      </c>
      <c r="H36" s="631" t="s">
        <v>91</v>
      </c>
      <c r="I36" s="239">
        <v>0.49583333333333335</v>
      </c>
      <c r="J36" s="43" t="s">
        <v>4535</v>
      </c>
      <c r="K36" s="43" t="s">
        <v>4501</v>
      </c>
      <c r="L36" s="43" t="s">
        <v>30</v>
      </c>
      <c r="M36" s="43">
        <v>2</v>
      </c>
      <c r="N36" s="43">
        <v>10</v>
      </c>
      <c r="O36" s="28">
        <f>AVERAGE(29.3,29.7)</f>
        <v>29.5</v>
      </c>
      <c r="P36" s="28">
        <f>AVERAGE(108,107.2)</f>
        <v>107.6</v>
      </c>
      <c r="Q36" s="28">
        <f>AVERAGE(108.1,106.3)</f>
        <v>107.19999999999999</v>
      </c>
      <c r="R36" s="28">
        <f>AVERAGE(0.99,0.86)</f>
        <v>0.92500000000000004</v>
      </c>
      <c r="S36" s="28">
        <f>AVERAGE(18.3,16)</f>
        <v>17.149999999999999</v>
      </c>
      <c r="T36" s="28">
        <f>AVERAGE(15.7,17.6)</f>
        <v>16.649999999999999</v>
      </c>
      <c r="U36" s="43" t="s">
        <v>50</v>
      </c>
      <c r="V36" s="45" t="s">
        <v>50</v>
      </c>
      <c r="W36" s="45" t="s">
        <v>50</v>
      </c>
      <c r="Y36" s="40" t="s">
        <v>32</v>
      </c>
    </row>
    <row r="37" spans="1:25" x14ac:dyDescent="0.25">
      <c r="A37" s="44">
        <v>43622</v>
      </c>
      <c r="B37" s="324" t="s">
        <v>105</v>
      </c>
      <c r="C37" s="508" t="s">
        <v>62</v>
      </c>
      <c r="D37" s="291">
        <v>38.180599999999998</v>
      </c>
      <c r="E37" s="631">
        <v>-121.96366</v>
      </c>
      <c r="F37" s="631" t="s">
        <v>4541</v>
      </c>
      <c r="G37" s="631" t="s">
        <v>27</v>
      </c>
      <c r="H37" s="631" t="s">
        <v>62</v>
      </c>
      <c r="I37" s="239">
        <v>0.36458333333333331</v>
      </c>
      <c r="J37" s="43" t="s">
        <v>4535</v>
      </c>
      <c r="K37" s="43" t="s">
        <v>4501</v>
      </c>
      <c r="L37" s="43" t="s">
        <v>30</v>
      </c>
      <c r="M37" s="43">
        <v>2</v>
      </c>
      <c r="N37" s="43">
        <v>10</v>
      </c>
      <c r="O37" s="28">
        <f>AVERAGE(31.5,31.5)</f>
        <v>31.5</v>
      </c>
      <c r="P37" s="28">
        <f>AVERAGE(831,796)</f>
        <v>813.5</v>
      </c>
      <c r="Q37" s="28">
        <f>AVERAGE(932,798)</f>
        <v>865</v>
      </c>
      <c r="R37" s="28">
        <f>AVERAGE(0.38,0.48)</f>
        <v>0.43</v>
      </c>
      <c r="S37" s="28">
        <f>AVERAGE(48.2,51.9)</f>
        <v>50.05</v>
      </c>
      <c r="T37" s="28">
        <f>AVERAGE(63.7,67.6)</f>
        <v>65.650000000000006</v>
      </c>
      <c r="U37" s="43" t="s">
        <v>50</v>
      </c>
      <c r="V37" s="45" t="s">
        <v>50</v>
      </c>
      <c r="W37" s="45" t="s">
        <v>50</v>
      </c>
      <c r="Y37" s="40" t="s">
        <v>32</v>
      </c>
    </row>
    <row r="38" spans="1:25" x14ac:dyDescent="0.25">
      <c r="A38" s="44">
        <v>43622</v>
      </c>
      <c r="B38" s="324" t="s">
        <v>105</v>
      </c>
      <c r="C38" s="508" t="s">
        <v>62</v>
      </c>
      <c r="D38" s="631">
        <v>38.166589999999999</v>
      </c>
      <c r="E38" s="631">
        <v>-121.93353</v>
      </c>
      <c r="F38" s="631" t="s">
        <v>4542</v>
      </c>
      <c r="G38" s="631" t="s">
        <v>27</v>
      </c>
      <c r="H38" s="631" t="s">
        <v>62</v>
      </c>
      <c r="I38" s="239">
        <v>0.4069444444444445</v>
      </c>
      <c r="J38" s="43" t="s">
        <v>4535</v>
      </c>
      <c r="K38" s="43" t="s">
        <v>4501</v>
      </c>
      <c r="L38" s="43" t="s">
        <v>30</v>
      </c>
      <c r="M38" s="43">
        <v>2</v>
      </c>
      <c r="N38" s="43">
        <v>10</v>
      </c>
      <c r="O38" s="28">
        <f>AVERAGE(15.5,17.8)</f>
        <v>16.649999999999999</v>
      </c>
      <c r="P38" s="28">
        <f>AVERAGE(794,791)</f>
        <v>792.5</v>
      </c>
      <c r="Q38" s="28">
        <f>AVERAGE(790,752)</f>
        <v>771</v>
      </c>
      <c r="R38" s="28">
        <f>AVERAGE(0.26,0.2)</f>
        <v>0.23</v>
      </c>
      <c r="S38" s="28">
        <f>AVERAGE(57.4,92.6)</f>
        <v>75</v>
      </c>
      <c r="T38" s="28">
        <f>AVERAGE(196,81.9)</f>
        <v>138.94999999999999</v>
      </c>
      <c r="U38" s="43" t="s">
        <v>50</v>
      </c>
      <c r="V38" s="45" t="s">
        <v>50</v>
      </c>
      <c r="W38" s="45" t="s">
        <v>50</v>
      </c>
      <c r="Y38" s="40" t="s">
        <v>32</v>
      </c>
    </row>
    <row r="39" spans="1:25" x14ac:dyDescent="0.25">
      <c r="A39" s="44">
        <v>43622</v>
      </c>
      <c r="B39" s="324" t="s">
        <v>105</v>
      </c>
      <c r="C39" s="508" t="s">
        <v>62</v>
      </c>
      <c r="D39" s="631">
        <v>38.180660000000003</v>
      </c>
      <c r="E39" s="631">
        <v>-121.99489</v>
      </c>
      <c r="F39" s="631" t="s">
        <v>4543</v>
      </c>
      <c r="G39" s="631" t="s">
        <v>27</v>
      </c>
      <c r="H39" s="631" t="s">
        <v>62</v>
      </c>
      <c r="I39" s="239">
        <v>0.44375000000000003</v>
      </c>
      <c r="J39" s="43" t="s">
        <v>4535</v>
      </c>
      <c r="K39" s="43" t="s">
        <v>4501</v>
      </c>
      <c r="L39" s="43" t="s">
        <v>30</v>
      </c>
      <c r="M39" s="43">
        <v>2</v>
      </c>
      <c r="N39" s="43">
        <v>10</v>
      </c>
      <c r="O39" s="28">
        <f>AVERAGE(26.6,25.7)</f>
        <v>26.15</v>
      </c>
      <c r="P39" s="28">
        <f>AVERAGE(819,814)</f>
        <v>816.5</v>
      </c>
      <c r="Q39" s="28">
        <f>AVERAGE(816,805)</f>
        <v>810.5</v>
      </c>
      <c r="R39" s="28">
        <f>AVERAGE(0.2,0.39)</f>
        <v>0.29500000000000004</v>
      </c>
      <c r="S39" s="28">
        <f>AVERAGE(64.5,83.1)</f>
        <v>73.8</v>
      </c>
      <c r="T39" s="28">
        <f>AVERAGE(63.5,68.6)</f>
        <v>66.05</v>
      </c>
      <c r="U39" s="43" t="s">
        <v>50</v>
      </c>
      <c r="V39" s="45" t="s">
        <v>50</v>
      </c>
      <c r="W39" s="45" t="s">
        <v>50</v>
      </c>
      <c r="X39" s="5" t="s">
        <v>4544</v>
      </c>
      <c r="Y39" s="40" t="s">
        <v>32</v>
      </c>
    </row>
    <row r="40" spans="1:25" x14ac:dyDescent="0.25">
      <c r="A40" s="20">
        <v>43622</v>
      </c>
      <c r="B40" s="631" t="s">
        <v>105</v>
      </c>
      <c r="C40" s="508" t="s">
        <v>62</v>
      </c>
      <c r="D40" s="631">
        <v>38.146619999999999</v>
      </c>
      <c r="E40" s="631">
        <v>-122.05893</v>
      </c>
      <c r="F40" s="631" t="s">
        <v>4545</v>
      </c>
      <c r="G40" s="631" t="s">
        <v>27</v>
      </c>
      <c r="H40" s="631" t="s">
        <v>62</v>
      </c>
      <c r="I40" s="21">
        <v>0.48333333333333334</v>
      </c>
      <c r="J40" s="631" t="s">
        <v>4500</v>
      </c>
      <c r="K40" s="631" t="s">
        <v>4501</v>
      </c>
      <c r="L40" s="631" t="s">
        <v>30</v>
      </c>
      <c r="M40" s="631">
        <v>2</v>
      </c>
      <c r="N40" s="631">
        <v>10</v>
      </c>
      <c r="O40" s="28">
        <f>AVERAGE(30.4,30.9)</f>
        <v>30.65</v>
      </c>
      <c r="P40" s="28">
        <f>AVERAGE(848,911)</f>
        <v>879.5</v>
      </c>
      <c r="Q40" s="28">
        <f>AVERAGE(856,888)</f>
        <v>872</v>
      </c>
      <c r="R40" s="28">
        <f>AVERAGE(0.57,0.49)</f>
        <v>0.53</v>
      </c>
      <c r="S40" s="28">
        <f>AVERAGE(74.7,192)</f>
        <v>133.35</v>
      </c>
      <c r="T40" s="28">
        <f>AVERAGE(331,140)</f>
        <v>235.5</v>
      </c>
      <c r="U40" s="631" t="s">
        <v>50</v>
      </c>
      <c r="V40" s="631" t="s">
        <v>50</v>
      </c>
      <c r="W40" s="631" t="s">
        <v>50</v>
      </c>
      <c r="Y40" s="631" t="s">
        <v>32</v>
      </c>
    </row>
    <row r="41" spans="1:25" x14ac:dyDescent="0.25">
      <c r="A41" s="44">
        <v>43622</v>
      </c>
      <c r="B41" s="324" t="s">
        <v>105</v>
      </c>
      <c r="C41" s="508" t="s">
        <v>62</v>
      </c>
      <c r="D41" s="631">
        <v>38.1068</v>
      </c>
      <c r="E41" s="631">
        <v>-122.05934000000001</v>
      </c>
      <c r="F41" s="631" t="s">
        <v>4546</v>
      </c>
      <c r="G41" s="631" t="s">
        <v>27</v>
      </c>
      <c r="H41" s="631" t="s">
        <v>173</v>
      </c>
      <c r="I41" s="239">
        <v>0.51736111111111105</v>
      </c>
      <c r="J41" s="43" t="s">
        <v>4535</v>
      </c>
      <c r="K41" s="43" t="s">
        <v>4501</v>
      </c>
      <c r="L41" s="43" t="s">
        <v>30</v>
      </c>
      <c r="M41" s="43">
        <v>2</v>
      </c>
      <c r="N41" s="43">
        <v>10</v>
      </c>
      <c r="O41" s="28">
        <f>AVERAGE(7.2,6)</f>
        <v>6.6</v>
      </c>
      <c r="P41" s="28">
        <f>AVERAGE(607,622)</f>
        <v>614.5</v>
      </c>
      <c r="Q41" s="28">
        <f>AVERAGE(607,631)</f>
        <v>619</v>
      </c>
      <c r="R41" s="28">
        <f>AVERAGE(0.15,0.2)</f>
        <v>0.17499999999999999</v>
      </c>
      <c r="S41" s="28">
        <f>AVERAGE(94.2,105)</f>
        <v>99.6</v>
      </c>
      <c r="T41" s="28">
        <f>AVERAGE(92.7,743)</f>
        <v>417.85</v>
      </c>
      <c r="U41" s="43" t="s">
        <v>50</v>
      </c>
      <c r="V41" s="45" t="s">
        <v>50</v>
      </c>
      <c r="W41" s="45" t="s">
        <v>50</v>
      </c>
      <c r="X41" s="5" t="s">
        <v>4547</v>
      </c>
      <c r="Y41" s="40" t="s">
        <v>32</v>
      </c>
    </row>
    <row r="42" spans="1:25" x14ac:dyDescent="0.25">
      <c r="A42" s="44">
        <v>43626</v>
      </c>
      <c r="B42" s="324" t="s">
        <v>43</v>
      </c>
      <c r="C42" s="508" t="s">
        <v>62</v>
      </c>
      <c r="D42" s="631">
        <v>38.075069999999997</v>
      </c>
      <c r="E42" s="631">
        <v>-121.88126</v>
      </c>
      <c r="F42" s="631" t="s">
        <v>4548</v>
      </c>
      <c r="G42" s="631" t="s">
        <v>27</v>
      </c>
      <c r="H42" s="631" t="s">
        <v>62</v>
      </c>
      <c r="I42" s="239">
        <v>0.33958333333333335</v>
      </c>
      <c r="J42" s="43" t="s">
        <v>4500</v>
      </c>
      <c r="K42" s="43" t="s">
        <v>4501</v>
      </c>
      <c r="L42" s="43" t="s">
        <v>30</v>
      </c>
      <c r="M42" s="43">
        <v>2</v>
      </c>
      <c r="N42" s="43">
        <v>10</v>
      </c>
      <c r="O42" s="28">
        <f>AVERAGE(24.8,24.8)</f>
        <v>24.8</v>
      </c>
      <c r="P42" s="28">
        <f>AVERAGE(131.8,136.5)</f>
        <v>134.15</v>
      </c>
      <c r="Q42" s="28" t="s">
        <v>4549</v>
      </c>
      <c r="R42" s="28">
        <f>AVERAGE(0.74,0.71)</f>
        <v>0.72499999999999998</v>
      </c>
      <c r="S42" s="28">
        <f>AVERAGE(14.3,18.5)</f>
        <v>16.399999999999999</v>
      </c>
      <c r="T42" s="28" t="s">
        <v>4549</v>
      </c>
      <c r="U42" s="43" t="s">
        <v>50</v>
      </c>
      <c r="V42" s="240" t="s">
        <v>50</v>
      </c>
      <c r="W42" s="240" t="s">
        <v>50</v>
      </c>
      <c r="X42" s="5" t="s">
        <v>4550</v>
      </c>
      <c r="Y42" s="240" t="s">
        <v>32</v>
      </c>
    </row>
    <row r="43" spans="1:25" x14ac:dyDescent="0.25">
      <c r="A43" s="44">
        <v>43626</v>
      </c>
      <c r="B43" s="324" t="s">
        <v>43</v>
      </c>
      <c r="C43" s="508" t="s">
        <v>62</v>
      </c>
      <c r="D43" s="631">
        <v>38.192369999999997</v>
      </c>
      <c r="E43" s="631">
        <v>-121.92988</v>
      </c>
      <c r="F43" s="631" t="s">
        <v>4551</v>
      </c>
      <c r="G43" s="631" t="s">
        <v>27</v>
      </c>
      <c r="H43" s="631" t="s">
        <v>62</v>
      </c>
      <c r="I43" s="239">
        <v>0.38541666666666669</v>
      </c>
      <c r="J43" s="43" t="s">
        <v>4500</v>
      </c>
      <c r="K43" s="43" t="s">
        <v>4501</v>
      </c>
      <c r="L43" s="43" t="s">
        <v>30</v>
      </c>
      <c r="M43" s="43">
        <v>2</v>
      </c>
      <c r="N43" s="43">
        <v>10</v>
      </c>
      <c r="O43" s="28">
        <f>AVERAGE(18.5,18.2)</f>
        <v>18.350000000000001</v>
      </c>
      <c r="P43" s="28">
        <f>AVERAGE(803,789)</f>
        <v>796</v>
      </c>
      <c r="Q43" s="28">
        <f>AVERAGE(808,829)</f>
        <v>818.5</v>
      </c>
      <c r="R43" s="28">
        <f>AVERAGE(0.26,0.37)</f>
        <v>0.315</v>
      </c>
      <c r="S43" s="28">
        <f>AVERAGE(49.6,46.6)</f>
        <v>48.1</v>
      </c>
      <c r="T43" s="28">
        <f>AVERAGE(56.9,140)</f>
        <v>98.45</v>
      </c>
      <c r="U43" s="43" t="s">
        <v>50</v>
      </c>
      <c r="V43" s="240" t="s">
        <v>50</v>
      </c>
      <c r="W43" s="240" t="s">
        <v>50</v>
      </c>
      <c r="Y43" s="49" t="s">
        <v>32</v>
      </c>
    </row>
    <row r="44" spans="1:25" x14ac:dyDescent="0.25">
      <c r="A44" s="44">
        <v>43626</v>
      </c>
      <c r="B44" s="324" t="s">
        <v>43</v>
      </c>
      <c r="C44" s="508" t="s">
        <v>62</v>
      </c>
      <c r="D44" s="631">
        <v>38.120719999999999</v>
      </c>
      <c r="E44" s="631">
        <v>-122.06676</v>
      </c>
      <c r="F44" s="631" t="s">
        <v>4552</v>
      </c>
      <c r="G44" s="631" t="s">
        <v>27</v>
      </c>
      <c r="H44" s="631" t="s">
        <v>62</v>
      </c>
      <c r="I44" s="239">
        <v>0.43333333333333335</v>
      </c>
      <c r="J44" s="43" t="s">
        <v>4500</v>
      </c>
      <c r="K44" s="43" t="s">
        <v>4501</v>
      </c>
      <c r="L44" s="43" t="s">
        <v>30</v>
      </c>
      <c r="M44" s="43">
        <v>2</v>
      </c>
      <c r="N44" s="43">
        <v>10</v>
      </c>
      <c r="O44" s="28">
        <f>AVERAGE(9,10)</f>
        <v>9.5</v>
      </c>
      <c r="P44" s="28">
        <f>AVERAGE(288.5,305.4)</f>
        <v>296.95</v>
      </c>
      <c r="Q44" s="28">
        <f>AVERAGE(292.3,303.5)</f>
        <v>297.89999999999998</v>
      </c>
      <c r="R44" s="28">
        <f>AVERAGE(0.32,0.32)</f>
        <v>0.32</v>
      </c>
      <c r="S44" s="28">
        <f>AVERAGE(275,52.1)</f>
        <v>163.55000000000001</v>
      </c>
      <c r="T44" s="28">
        <f>AVERAGE(129,681)</f>
        <v>405</v>
      </c>
      <c r="U44" s="43" t="s">
        <v>50</v>
      </c>
      <c r="V44" s="240" t="s">
        <v>50</v>
      </c>
      <c r="W44" s="240" t="s">
        <v>50</v>
      </c>
      <c r="Y44" s="240" t="s">
        <v>32</v>
      </c>
    </row>
    <row r="45" spans="1:25" x14ac:dyDescent="0.25">
      <c r="A45" s="44">
        <v>43626</v>
      </c>
      <c r="B45" s="324" t="s">
        <v>43</v>
      </c>
      <c r="C45" s="508" t="s">
        <v>62</v>
      </c>
      <c r="D45" s="631">
        <v>38.202509999999997</v>
      </c>
      <c r="E45" s="631">
        <v>-122.04024</v>
      </c>
      <c r="F45" s="631" t="s">
        <v>4553</v>
      </c>
      <c r="G45" s="631" t="s">
        <v>27</v>
      </c>
      <c r="H45" s="631" t="s">
        <v>62</v>
      </c>
      <c r="I45" s="239">
        <v>0.47569444444444442</v>
      </c>
      <c r="J45" s="43" t="s">
        <v>4500</v>
      </c>
      <c r="K45" s="43" t="s">
        <v>4501</v>
      </c>
      <c r="L45" s="43" t="s">
        <v>30</v>
      </c>
      <c r="M45" s="43">
        <v>2</v>
      </c>
      <c r="N45" s="43">
        <v>10</v>
      </c>
      <c r="O45" s="28">
        <f>AVERAGE(19.1,19.4)</f>
        <v>19.25</v>
      </c>
      <c r="P45" s="28">
        <f>AVERAGE(1812,1851)</f>
        <v>1831.5</v>
      </c>
      <c r="Q45" s="28">
        <f>AVERAGE(1820,1850)</f>
        <v>1835</v>
      </c>
      <c r="R45" s="28">
        <f>AVERAGE(0.3,0.22)</f>
        <v>0.26</v>
      </c>
      <c r="S45" s="28">
        <f>AVERAGE(297,88.5)</f>
        <v>192.75</v>
      </c>
      <c r="T45" s="28">
        <f>AVERAGE(115,154)</f>
        <v>134.5</v>
      </c>
      <c r="U45" s="43" t="s">
        <v>50</v>
      </c>
      <c r="V45" s="240" t="s">
        <v>50</v>
      </c>
      <c r="W45" s="240" t="s">
        <v>50</v>
      </c>
      <c r="X45" s="5" t="s">
        <v>4554</v>
      </c>
      <c r="Y45" s="40" t="s">
        <v>32</v>
      </c>
    </row>
    <row r="46" spans="1:25" x14ac:dyDescent="0.25">
      <c r="A46" s="44">
        <v>43626</v>
      </c>
      <c r="B46" s="324" t="s">
        <v>43</v>
      </c>
      <c r="C46" s="508" t="s">
        <v>106</v>
      </c>
      <c r="D46" s="631">
        <v>38.261980000000001</v>
      </c>
      <c r="E46" s="631">
        <v>-121.66545000000001</v>
      </c>
      <c r="F46" s="631" t="s">
        <v>4555</v>
      </c>
      <c r="G46" s="631" t="s">
        <v>90</v>
      </c>
      <c r="H46" s="631" t="s">
        <v>362</v>
      </c>
      <c r="I46" s="239">
        <v>0.32777777777777778</v>
      </c>
      <c r="J46" s="43" t="s">
        <v>4500</v>
      </c>
      <c r="K46" s="43" t="s">
        <v>4501</v>
      </c>
      <c r="L46" s="43" t="s">
        <v>30</v>
      </c>
      <c r="M46" s="43">
        <v>2</v>
      </c>
      <c r="N46" s="43">
        <v>10</v>
      </c>
      <c r="O46" s="28">
        <f>AVERAGE(35.7,35.3)</f>
        <v>35.5</v>
      </c>
      <c r="P46" s="28">
        <f>AVERAGE(232.2,213.4)</f>
        <v>222.8</v>
      </c>
      <c r="Q46" s="28">
        <f>AVERAGE(213.6,213.4)</f>
        <v>213.5</v>
      </c>
      <c r="R46" s="28">
        <f>AVERAGE(0.81,0.89)</f>
        <v>0.85000000000000009</v>
      </c>
      <c r="S46" s="28">
        <f>AVERAGE(9.44,10.2)</f>
        <v>9.82</v>
      </c>
      <c r="T46" s="28">
        <f>AVERAGE(12.2,15.7)</f>
        <v>13.95</v>
      </c>
      <c r="U46" s="43" t="s">
        <v>50</v>
      </c>
      <c r="V46" s="240" t="s">
        <v>50</v>
      </c>
      <c r="W46" s="240" t="s">
        <v>50</v>
      </c>
      <c r="Y46" s="49" t="s">
        <v>32</v>
      </c>
    </row>
    <row r="47" spans="1:25" x14ac:dyDescent="0.25">
      <c r="A47" s="44">
        <v>43626</v>
      </c>
      <c r="B47" s="324" t="s">
        <v>43</v>
      </c>
      <c r="C47" s="508" t="s">
        <v>106</v>
      </c>
      <c r="D47" s="631">
        <v>38.426900000000003</v>
      </c>
      <c r="E47" s="631">
        <v>-121.60521</v>
      </c>
      <c r="F47" s="631" t="s">
        <v>4556</v>
      </c>
      <c r="G47" s="631" t="s">
        <v>90</v>
      </c>
      <c r="H47" s="631" t="s">
        <v>362</v>
      </c>
      <c r="I47" s="239">
        <v>0.38055555555555554</v>
      </c>
      <c r="J47" s="43" t="s">
        <v>4500</v>
      </c>
      <c r="K47" s="43" t="s">
        <v>4501</v>
      </c>
      <c r="L47" s="43" t="s">
        <v>30</v>
      </c>
      <c r="M47" s="43">
        <v>2</v>
      </c>
      <c r="N47" s="43">
        <v>10</v>
      </c>
      <c r="O47" s="28">
        <f>AVERAGE(35.4,31.5)</f>
        <v>33.450000000000003</v>
      </c>
      <c r="P47" s="28">
        <f>AVERAGE(821,821)</f>
        <v>821</v>
      </c>
      <c r="Q47" s="28">
        <f>AVERAGE(827,824)</f>
        <v>825.5</v>
      </c>
      <c r="R47" s="28">
        <f>AVERAGE(0.38,0.38)</f>
        <v>0.38</v>
      </c>
      <c r="S47" s="28">
        <f>AVERAGE(10.2,31)</f>
        <v>20.6</v>
      </c>
      <c r="T47" s="28">
        <f>AVERAGE(38.3,31.7)</f>
        <v>35</v>
      </c>
      <c r="U47" s="43" t="s">
        <v>50</v>
      </c>
      <c r="V47" s="240" t="s">
        <v>50</v>
      </c>
      <c r="W47" s="240" t="s">
        <v>50</v>
      </c>
      <c r="X47" s="5" t="s">
        <v>4557</v>
      </c>
      <c r="Y47" s="49" t="s">
        <v>32</v>
      </c>
    </row>
    <row r="48" spans="1:25" x14ac:dyDescent="0.25">
      <c r="A48" s="44">
        <v>43626</v>
      </c>
      <c r="B48" s="324" t="s">
        <v>43</v>
      </c>
      <c r="C48" s="508" t="s">
        <v>106</v>
      </c>
      <c r="D48" s="631">
        <v>38.527589999999996</v>
      </c>
      <c r="E48" s="631">
        <v>-121.58472999999999</v>
      </c>
      <c r="F48" s="631" t="s">
        <v>4558</v>
      </c>
      <c r="G48" s="631" t="s">
        <v>90</v>
      </c>
      <c r="H48" s="631" t="s">
        <v>1787</v>
      </c>
      <c r="I48" s="239">
        <v>0.4284722222222222</v>
      </c>
      <c r="J48" s="43" t="s">
        <v>4500</v>
      </c>
      <c r="K48" s="43" t="s">
        <v>4501</v>
      </c>
      <c r="L48" s="43" t="s">
        <v>30</v>
      </c>
      <c r="M48" s="43">
        <v>2</v>
      </c>
      <c r="N48" s="43">
        <v>10</v>
      </c>
      <c r="O48" s="28">
        <f>AVERAGE(37.5,39.1)</f>
        <v>38.299999999999997</v>
      </c>
      <c r="P48" s="28">
        <f>AVERAGE(869,874)</f>
        <v>871.5</v>
      </c>
      <c r="Q48" s="28">
        <f>AVERAGE(898,898)</f>
        <v>898</v>
      </c>
      <c r="R48" s="28">
        <f>AVERAGE(0.72,0.67)</f>
        <v>0.69500000000000006</v>
      </c>
      <c r="S48" s="28">
        <f>AVERAGE(11.8,15.2)</f>
        <v>13.5</v>
      </c>
      <c r="T48" s="28">
        <f>AVERAGE(25.6,55.6)</f>
        <v>40.6</v>
      </c>
      <c r="U48" s="43" t="s">
        <v>50</v>
      </c>
      <c r="V48" s="240" t="s">
        <v>50</v>
      </c>
      <c r="W48" s="240" t="s">
        <v>50</v>
      </c>
      <c r="X48" s="5" t="s">
        <v>4559</v>
      </c>
      <c r="Y48" s="49" t="s">
        <v>32</v>
      </c>
    </row>
    <row r="49" spans="1:25" x14ac:dyDescent="0.25">
      <c r="A49" s="44">
        <v>43626</v>
      </c>
      <c r="B49" s="324" t="s">
        <v>43</v>
      </c>
      <c r="C49" s="508" t="s">
        <v>106</v>
      </c>
      <c r="D49" s="631">
        <v>38.494709999999998</v>
      </c>
      <c r="E49" s="631">
        <v>-121.58461</v>
      </c>
      <c r="F49" s="631" t="s">
        <v>4560</v>
      </c>
      <c r="G49" s="631" t="s">
        <v>90</v>
      </c>
      <c r="H49" s="631" t="s">
        <v>1787</v>
      </c>
      <c r="I49" s="239">
        <v>0.45902777777777781</v>
      </c>
      <c r="J49" s="43" t="s">
        <v>4500</v>
      </c>
      <c r="K49" s="43" t="s">
        <v>4501</v>
      </c>
      <c r="L49" s="43" t="s">
        <v>30</v>
      </c>
      <c r="M49" s="43">
        <v>2</v>
      </c>
      <c r="N49" s="43">
        <v>10</v>
      </c>
      <c r="O49" s="28">
        <f>AVERAGE(39.4,37.8)</f>
        <v>38.599999999999994</v>
      </c>
      <c r="P49" s="28">
        <f>AVERAGE(888,888)</f>
        <v>888</v>
      </c>
      <c r="Q49" s="28">
        <f>AVERAGE(892,900)</f>
        <v>896</v>
      </c>
      <c r="R49" s="28">
        <f>AVERAGE(0.56,0.56)</f>
        <v>0.56000000000000005</v>
      </c>
      <c r="S49" s="28">
        <f>AVERAGE(18.2,21.5)</f>
        <v>19.850000000000001</v>
      </c>
      <c r="T49" s="28">
        <f>AVERAGE(58.1,33.2)</f>
        <v>45.650000000000006</v>
      </c>
      <c r="U49" s="43" t="s">
        <v>50</v>
      </c>
      <c r="V49" s="240" t="s">
        <v>50</v>
      </c>
      <c r="W49" s="240" t="s">
        <v>50</v>
      </c>
      <c r="X49" s="5" t="s">
        <v>4561</v>
      </c>
      <c r="Y49" s="49" t="s">
        <v>32</v>
      </c>
    </row>
    <row r="50" spans="1:25" x14ac:dyDescent="0.25">
      <c r="A50" s="44">
        <v>43626</v>
      </c>
      <c r="B50" s="324" t="s">
        <v>43</v>
      </c>
      <c r="C50" s="508" t="s">
        <v>106</v>
      </c>
      <c r="D50" s="631">
        <v>38.372309999999999</v>
      </c>
      <c r="E50" s="631">
        <v>-121.63027</v>
      </c>
      <c r="F50" s="631" t="s">
        <v>4562</v>
      </c>
      <c r="G50" s="631" t="s">
        <v>90</v>
      </c>
      <c r="H50" s="631" t="s">
        <v>362</v>
      </c>
      <c r="I50" s="239">
        <v>0.50208333333333333</v>
      </c>
      <c r="J50" s="43" t="s">
        <v>4500</v>
      </c>
      <c r="K50" s="43" t="s">
        <v>4501</v>
      </c>
      <c r="L50" s="43" t="s">
        <v>30</v>
      </c>
      <c r="M50" s="43">
        <v>2</v>
      </c>
      <c r="N50" s="43">
        <v>10</v>
      </c>
      <c r="O50" s="28">
        <f>AVERAGE(33.3,32.8)</f>
        <v>33.049999999999997</v>
      </c>
      <c r="P50" s="28">
        <f>AVERAGE(625,624)</f>
        <v>624.5</v>
      </c>
      <c r="Q50" s="28">
        <f>AVERAGE(623,422)</f>
        <v>522.5</v>
      </c>
      <c r="R50" s="28">
        <f>AVERAGE(0.47,0.52)</f>
        <v>0.495</v>
      </c>
      <c r="S50" s="28">
        <f>AVERAGE(29.8,29.1)</f>
        <v>29.450000000000003</v>
      </c>
      <c r="T50" s="28">
        <f>AVERAGE(88.1,66.5)</f>
        <v>77.3</v>
      </c>
      <c r="U50" s="43" t="s">
        <v>50</v>
      </c>
      <c r="V50" s="240" t="s">
        <v>50</v>
      </c>
      <c r="W50" s="240" t="s">
        <v>50</v>
      </c>
      <c r="Y50" s="81" t="s">
        <v>32</v>
      </c>
    </row>
    <row r="51" spans="1:25" x14ac:dyDescent="0.25">
      <c r="A51" s="44">
        <v>43628</v>
      </c>
      <c r="B51" s="324" t="s">
        <v>87</v>
      </c>
      <c r="C51" s="508" t="s">
        <v>845</v>
      </c>
      <c r="D51" s="631">
        <v>38.235680000000002</v>
      </c>
      <c r="E51" s="631">
        <v>-121.67971</v>
      </c>
      <c r="F51" s="631" t="s">
        <v>4563</v>
      </c>
      <c r="G51" s="631" t="s">
        <v>90</v>
      </c>
      <c r="H51" s="631" t="s">
        <v>126</v>
      </c>
      <c r="I51" s="239">
        <v>0.3263888888888889</v>
      </c>
      <c r="J51" s="43" t="s">
        <v>4500</v>
      </c>
      <c r="K51" s="43" t="s">
        <v>4501</v>
      </c>
      <c r="L51" s="43" t="s">
        <v>30</v>
      </c>
      <c r="M51" s="43">
        <v>2</v>
      </c>
      <c r="N51" s="43">
        <v>10</v>
      </c>
      <c r="O51" s="28">
        <f>AVERAGE(22.9,22.4)</f>
        <v>22.65</v>
      </c>
      <c r="P51" s="28">
        <f>AVERAGE(176.9,170.6)</f>
        <v>173.75</v>
      </c>
      <c r="Q51" s="28">
        <f>AVERAGE(155.3,159.8)</f>
        <v>157.55000000000001</v>
      </c>
      <c r="R51" s="28">
        <f>AVERAGE(0.98,1.1)</f>
        <v>1.04</v>
      </c>
      <c r="S51" s="28">
        <f>AVERAGE(8.74,10.9)</f>
        <v>9.82</v>
      </c>
      <c r="T51" s="28">
        <f>AVERAGE(19.4,11.3)</f>
        <v>15.35</v>
      </c>
      <c r="U51" s="43" t="s">
        <v>50</v>
      </c>
      <c r="V51" s="240" t="s">
        <v>50</v>
      </c>
      <c r="W51" s="240" t="s">
        <v>50</v>
      </c>
      <c r="Y51" s="240" t="s">
        <v>32</v>
      </c>
    </row>
    <row r="52" spans="1:25" x14ac:dyDescent="0.25">
      <c r="A52" s="44">
        <v>43628</v>
      </c>
      <c r="B52" s="324" t="s">
        <v>87</v>
      </c>
      <c r="C52" s="508" t="s">
        <v>845</v>
      </c>
      <c r="D52" s="631">
        <v>38.253860000000003</v>
      </c>
      <c r="E52" s="631">
        <v>-121.68764</v>
      </c>
      <c r="F52" s="631" t="s">
        <v>4564</v>
      </c>
      <c r="G52" s="631" t="s">
        <v>90</v>
      </c>
      <c r="H52" s="631" t="s">
        <v>126</v>
      </c>
      <c r="I52" s="239">
        <v>0.36180555555555555</v>
      </c>
      <c r="J52" s="43" t="s">
        <v>4500</v>
      </c>
      <c r="K52" s="43" t="s">
        <v>4501</v>
      </c>
      <c r="L52" s="43" t="s">
        <v>30</v>
      </c>
      <c r="M52" s="43">
        <v>2</v>
      </c>
      <c r="N52" s="43">
        <v>10</v>
      </c>
      <c r="O52" s="28">
        <f>AVERAGE(18.4,16.4)</f>
        <v>17.399999999999999</v>
      </c>
      <c r="P52" s="28">
        <f>AVERAGE(199.4,215.6)</f>
        <v>207.5</v>
      </c>
      <c r="Q52" s="28">
        <f>AVERAGE(195.5,202.8)</f>
        <v>199.15</v>
      </c>
      <c r="R52" s="28" t="s">
        <v>2882</v>
      </c>
      <c r="S52" s="28">
        <f>AVERAGE(6.63,6.14)</f>
        <v>6.3849999999999998</v>
      </c>
      <c r="T52" s="28">
        <f>AVERAGE(7.54,12)</f>
        <v>9.77</v>
      </c>
      <c r="U52" s="43" t="s">
        <v>50</v>
      </c>
      <c r="V52" s="240" t="s">
        <v>50</v>
      </c>
      <c r="W52" s="240" t="s">
        <v>50</v>
      </c>
      <c r="Y52" s="240" t="s">
        <v>32</v>
      </c>
    </row>
    <row r="53" spans="1:25" s="149" customFormat="1" x14ac:dyDescent="0.25">
      <c r="A53" s="160">
        <v>43628</v>
      </c>
      <c r="B53" s="148" t="s">
        <v>87</v>
      </c>
      <c r="C53" s="528" t="s">
        <v>845</v>
      </c>
      <c r="D53" s="149">
        <v>38.27666</v>
      </c>
      <c r="E53" s="149">
        <v>-121.70695000000001</v>
      </c>
      <c r="F53" s="149" t="s">
        <v>4565</v>
      </c>
      <c r="G53" s="149" t="s">
        <v>90</v>
      </c>
      <c r="H53" s="149" t="s">
        <v>126</v>
      </c>
      <c r="I53" s="165">
        <v>0.40138888888888885</v>
      </c>
      <c r="J53" s="161" t="s">
        <v>4500</v>
      </c>
      <c r="K53" s="161" t="s">
        <v>4501</v>
      </c>
      <c r="L53" s="161" t="s">
        <v>30</v>
      </c>
      <c r="M53" s="161">
        <v>0</v>
      </c>
      <c r="N53" s="161" t="s">
        <v>50</v>
      </c>
      <c r="O53" s="163" t="s">
        <v>50</v>
      </c>
      <c r="P53" s="163" t="s">
        <v>50</v>
      </c>
      <c r="Q53" s="163" t="s">
        <v>50</v>
      </c>
      <c r="R53" s="163" t="s">
        <v>50</v>
      </c>
      <c r="S53" s="163" t="s">
        <v>50</v>
      </c>
      <c r="T53" s="163" t="s">
        <v>50</v>
      </c>
      <c r="U53" s="161" t="s">
        <v>50</v>
      </c>
      <c r="V53" s="161" t="s">
        <v>50</v>
      </c>
      <c r="W53" s="161" t="s">
        <v>50</v>
      </c>
      <c r="X53" s="152" t="s">
        <v>4566</v>
      </c>
      <c r="Y53" s="164" t="s">
        <v>32</v>
      </c>
    </row>
    <row r="54" spans="1:25" x14ac:dyDescent="0.25">
      <c r="A54" s="160">
        <v>43628</v>
      </c>
      <c r="B54" s="148" t="s">
        <v>87</v>
      </c>
      <c r="C54" s="528" t="s">
        <v>845</v>
      </c>
      <c r="D54" s="149">
        <v>38.28689</v>
      </c>
      <c r="E54" s="149">
        <v>-121.71746</v>
      </c>
      <c r="F54" s="149" t="s">
        <v>4567</v>
      </c>
      <c r="G54" s="149" t="s">
        <v>90</v>
      </c>
      <c r="H54" s="149" t="s">
        <v>126</v>
      </c>
      <c r="I54" s="165">
        <v>0.40416666666666662</v>
      </c>
      <c r="J54" s="161" t="s">
        <v>4500</v>
      </c>
      <c r="K54" s="161" t="s">
        <v>4501</v>
      </c>
      <c r="L54" s="161" t="s">
        <v>30</v>
      </c>
      <c r="M54" s="161">
        <v>0</v>
      </c>
      <c r="N54" s="161" t="s">
        <v>50</v>
      </c>
      <c r="O54" s="163" t="s">
        <v>50</v>
      </c>
      <c r="P54" s="163" t="s">
        <v>50</v>
      </c>
      <c r="Q54" s="163" t="s">
        <v>50</v>
      </c>
      <c r="R54" s="163" t="s">
        <v>50</v>
      </c>
      <c r="S54" s="163" t="s">
        <v>50</v>
      </c>
      <c r="T54" s="163" t="s">
        <v>50</v>
      </c>
      <c r="U54" s="161" t="s">
        <v>50</v>
      </c>
      <c r="V54" s="161" t="s">
        <v>50</v>
      </c>
      <c r="W54" s="161" t="s">
        <v>50</v>
      </c>
      <c r="X54" s="152" t="s">
        <v>4568</v>
      </c>
      <c r="Y54" s="164" t="s">
        <v>32</v>
      </c>
    </row>
    <row r="55" spans="1:25" x14ac:dyDescent="0.25">
      <c r="A55" s="44">
        <v>43628</v>
      </c>
      <c r="B55" s="324" t="s">
        <v>87</v>
      </c>
      <c r="C55" s="508" t="s">
        <v>845</v>
      </c>
      <c r="D55" s="631">
        <v>38.245910000000002</v>
      </c>
      <c r="E55" s="631">
        <v>-121.6777</v>
      </c>
      <c r="F55" s="631" t="s">
        <v>4569</v>
      </c>
      <c r="G55" s="631" t="s">
        <v>90</v>
      </c>
      <c r="H55" s="631" t="s">
        <v>126</v>
      </c>
      <c r="I55" s="239">
        <v>0.4145833333333333</v>
      </c>
      <c r="J55" s="43" t="s">
        <v>4500</v>
      </c>
      <c r="K55" s="43" t="s">
        <v>4501</v>
      </c>
      <c r="L55" s="43" t="s">
        <v>30</v>
      </c>
      <c r="M55" s="43">
        <v>3</v>
      </c>
      <c r="N55" s="43">
        <v>10</v>
      </c>
      <c r="O55" s="28">
        <f>AVERAGE(41.3,28.7,28.7)</f>
        <v>32.9</v>
      </c>
      <c r="P55" s="28">
        <f>AVERAGE(253.3,226.7,226.7)</f>
        <v>235.56666666666669</v>
      </c>
      <c r="Q55" s="28">
        <f>AVERAGE(250.6,221.1,221.1)</f>
        <v>230.93333333333331</v>
      </c>
      <c r="R55" s="28">
        <f>AVERAGE(0.95,1.09,1.09)</f>
        <v>1.0433333333333332</v>
      </c>
      <c r="S55" s="28">
        <f>AVERAGE(12.3,17.8,17.8)</f>
        <v>15.966666666666669</v>
      </c>
      <c r="T55" s="28">
        <f>AVERAGE(13.5,34.8,22.6)</f>
        <v>23.633333333333336</v>
      </c>
      <c r="U55" s="43" t="s">
        <v>50</v>
      </c>
      <c r="V55" s="240" t="s">
        <v>50</v>
      </c>
      <c r="W55" s="240" t="s">
        <v>50</v>
      </c>
      <c r="X55" s="5" t="s">
        <v>4570</v>
      </c>
      <c r="Y55" s="240" t="s">
        <v>32</v>
      </c>
    </row>
    <row r="56" spans="1:25" x14ac:dyDescent="0.25">
      <c r="A56" s="44">
        <v>43628</v>
      </c>
      <c r="B56" s="324" t="s">
        <v>87</v>
      </c>
      <c r="C56" s="508" t="s">
        <v>845</v>
      </c>
      <c r="D56" s="631">
        <v>38.263190000000002</v>
      </c>
      <c r="E56" s="631">
        <v>-121.69744</v>
      </c>
      <c r="F56" s="631" t="s">
        <v>4571</v>
      </c>
      <c r="G56" s="631" t="s">
        <v>90</v>
      </c>
      <c r="H56" s="631" t="s">
        <v>126</v>
      </c>
      <c r="I56" s="239">
        <v>0.47291666666666665</v>
      </c>
      <c r="J56" s="43" t="s">
        <v>4500</v>
      </c>
      <c r="K56" s="43" t="s">
        <v>4501</v>
      </c>
      <c r="L56" s="43" t="s">
        <v>30</v>
      </c>
      <c r="M56" s="43">
        <v>2</v>
      </c>
      <c r="N56" s="43">
        <v>10</v>
      </c>
      <c r="O56" s="28">
        <f>AVERAGE(14,12.9)</f>
        <v>13.45</v>
      </c>
      <c r="P56" s="28">
        <f>AVERAGE(201.1,188.1)</f>
        <v>194.6</v>
      </c>
      <c r="Q56" s="28">
        <f>AVERAGE(196.9,190.9)</f>
        <v>193.9</v>
      </c>
      <c r="R56" s="28" t="s">
        <v>1233</v>
      </c>
      <c r="S56" s="28">
        <f>AVERAGE(7.58,15.4)</f>
        <v>11.49</v>
      </c>
      <c r="T56" s="28">
        <f>AVERAGE(39.9,63.9)</f>
        <v>51.9</v>
      </c>
      <c r="U56" s="43" t="s">
        <v>50</v>
      </c>
      <c r="V56" s="240" t="s">
        <v>50</v>
      </c>
      <c r="W56" s="240" t="s">
        <v>50</v>
      </c>
      <c r="Y56" s="240" t="s">
        <v>32</v>
      </c>
    </row>
    <row r="57" spans="1:25" x14ac:dyDescent="0.25">
      <c r="A57" s="44">
        <v>43628</v>
      </c>
      <c r="B57" s="324" t="s">
        <v>87</v>
      </c>
      <c r="C57" s="508" t="s">
        <v>845</v>
      </c>
      <c r="D57" s="631">
        <v>38.289059999999999</v>
      </c>
      <c r="E57" s="631">
        <v>-121.71096</v>
      </c>
      <c r="F57" s="631" t="s">
        <v>4572</v>
      </c>
      <c r="G57" s="631" t="s">
        <v>90</v>
      </c>
      <c r="H57" s="631" t="s">
        <v>126</v>
      </c>
      <c r="I57" s="239">
        <v>0.50277777777777777</v>
      </c>
      <c r="J57" s="43" t="s">
        <v>4500</v>
      </c>
      <c r="K57" s="43" t="s">
        <v>4501</v>
      </c>
      <c r="L57" s="43" t="s">
        <v>30</v>
      </c>
      <c r="M57" s="43">
        <v>2</v>
      </c>
      <c r="N57" s="43">
        <v>10</v>
      </c>
      <c r="O57" s="28">
        <f>AVERAGE(14.3,14.8)</f>
        <v>14.55</v>
      </c>
      <c r="P57" s="28">
        <f>AVERAGE(233.8,232.6)</f>
        <v>233.2</v>
      </c>
      <c r="Q57" s="28">
        <f>AVERAGE(229.2,229.1)</f>
        <v>229.14999999999998</v>
      </c>
      <c r="R57" s="28" t="s">
        <v>1233</v>
      </c>
      <c r="S57" s="28">
        <f>AVERAGE(9.63,5.24)</f>
        <v>7.4350000000000005</v>
      </c>
      <c r="T57" s="28">
        <f>AVERAGE(8.04,10.7)</f>
        <v>9.3699999999999992</v>
      </c>
      <c r="U57" s="43" t="s">
        <v>50</v>
      </c>
      <c r="V57" s="240" t="s">
        <v>50</v>
      </c>
      <c r="W57" s="240" t="s">
        <v>50</v>
      </c>
      <c r="Y57" s="240" t="s">
        <v>32</v>
      </c>
    </row>
    <row r="58" spans="1:25" x14ac:dyDescent="0.25">
      <c r="A58" s="44">
        <v>43628</v>
      </c>
      <c r="B58" s="324" t="s">
        <v>87</v>
      </c>
      <c r="C58" s="508" t="s">
        <v>95</v>
      </c>
      <c r="D58" s="631">
        <v>38.0291</v>
      </c>
      <c r="E58" s="631">
        <v>-121.78411</v>
      </c>
      <c r="F58" s="631" t="s">
        <v>4573</v>
      </c>
      <c r="G58" s="631" t="s">
        <v>27</v>
      </c>
      <c r="H58" s="631" t="s">
        <v>863</v>
      </c>
      <c r="I58" s="239">
        <v>0.34652777777777777</v>
      </c>
      <c r="J58" s="43" t="s">
        <v>4500</v>
      </c>
      <c r="K58" s="43" t="s">
        <v>4501</v>
      </c>
      <c r="L58" s="43" t="s">
        <v>30</v>
      </c>
      <c r="M58" s="43">
        <v>2</v>
      </c>
      <c r="N58" s="43">
        <v>10</v>
      </c>
      <c r="O58" s="28">
        <f>AVERAGE(17.4,17.4)</f>
        <v>17.399999999999999</v>
      </c>
      <c r="P58" s="28">
        <f>AVERAGE(124.5,123.9)</f>
        <v>124.2</v>
      </c>
      <c r="Q58" s="28">
        <f>AVERAGE(122.2,124.8)</f>
        <v>123.5</v>
      </c>
      <c r="R58" s="28">
        <f>AVERAGE(1.08,0.99)</f>
        <v>1.0350000000000001</v>
      </c>
      <c r="S58" s="28">
        <f>AVERAGE(8.98,7.94)</f>
        <v>8.4600000000000009</v>
      </c>
      <c r="T58" s="28">
        <f>AVERAGE(11.2,28.1)</f>
        <v>19.649999999999999</v>
      </c>
      <c r="U58" s="43" t="s">
        <v>50</v>
      </c>
      <c r="V58" s="240" t="s">
        <v>50</v>
      </c>
      <c r="W58" s="240" t="s">
        <v>50</v>
      </c>
      <c r="Y58" s="240" t="s">
        <v>32</v>
      </c>
    </row>
    <row r="59" spans="1:25" x14ac:dyDescent="0.25">
      <c r="A59" s="44">
        <v>43628</v>
      </c>
      <c r="B59" s="324" t="s">
        <v>87</v>
      </c>
      <c r="C59" s="508" t="s">
        <v>95</v>
      </c>
      <c r="D59" s="631">
        <v>38.0411</v>
      </c>
      <c r="E59" s="631">
        <v>-121.71407000000001</v>
      </c>
      <c r="F59" s="631" t="s">
        <v>4574</v>
      </c>
      <c r="G59" s="631" t="s">
        <v>27</v>
      </c>
      <c r="H59" s="631" t="s">
        <v>863</v>
      </c>
      <c r="I59" s="239">
        <v>0.3840277777777778</v>
      </c>
      <c r="J59" s="43" t="s">
        <v>4500</v>
      </c>
      <c r="K59" s="43" t="s">
        <v>4501</v>
      </c>
      <c r="L59" s="43" t="s">
        <v>30</v>
      </c>
      <c r="M59" s="43">
        <v>2</v>
      </c>
      <c r="N59" s="43">
        <v>10</v>
      </c>
      <c r="O59" s="28">
        <f>AVERAGE(16,12.4)</f>
        <v>14.2</v>
      </c>
      <c r="P59" s="28">
        <f>AVERAGE(113.8,113.7)</f>
        <v>113.75</v>
      </c>
      <c r="Q59" s="28">
        <f>AVERAGE(114,114.5)</f>
        <v>114.25</v>
      </c>
      <c r="R59" s="28">
        <f>AVERAGE(1.19,1.23)</f>
        <v>1.21</v>
      </c>
      <c r="S59" s="28">
        <f>AVERAGE(33.8,7.53)</f>
        <v>20.664999999999999</v>
      </c>
      <c r="T59" s="28">
        <f>AVERAGE(10.6,14)</f>
        <v>12.3</v>
      </c>
      <c r="U59" s="43" t="s">
        <v>50</v>
      </c>
      <c r="V59" s="240" t="s">
        <v>50</v>
      </c>
      <c r="W59" s="240" t="s">
        <v>50</v>
      </c>
      <c r="Y59" s="240" t="s">
        <v>32</v>
      </c>
    </row>
    <row r="60" spans="1:25" x14ac:dyDescent="0.25">
      <c r="A60" s="44">
        <v>43628</v>
      </c>
      <c r="B60" s="324" t="s">
        <v>87</v>
      </c>
      <c r="C60" s="508" t="s">
        <v>95</v>
      </c>
      <c r="D60" s="631">
        <v>38.065519999999999</v>
      </c>
      <c r="E60" s="631">
        <v>-121.67764</v>
      </c>
      <c r="F60" s="631" t="s">
        <v>4575</v>
      </c>
      <c r="G60" s="631" t="s">
        <v>46</v>
      </c>
      <c r="H60" s="631" t="s">
        <v>908</v>
      </c>
      <c r="I60" s="239">
        <v>0.41736111111111113</v>
      </c>
      <c r="J60" s="43" t="s">
        <v>4500</v>
      </c>
      <c r="K60" s="43" t="s">
        <v>4501</v>
      </c>
      <c r="L60" s="43" t="s">
        <v>30</v>
      </c>
      <c r="M60" s="43">
        <v>2</v>
      </c>
      <c r="N60" s="43">
        <v>10</v>
      </c>
      <c r="O60" s="28">
        <f>AVERAGE(37.9,32.5)</f>
        <v>35.200000000000003</v>
      </c>
      <c r="P60" s="28">
        <f>AVERAGE(106.4,108)</f>
        <v>107.2</v>
      </c>
      <c r="Q60" s="28">
        <f>AVERAGE(107.4,107.2)</f>
        <v>107.30000000000001</v>
      </c>
      <c r="R60" s="28">
        <f>AVERAGE(1.25,1.12)</f>
        <v>1.1850000000000001</v>
      </c>
      <c r="S60" s="28">
        <f>AVERAGE(7.94,7.9)</f>
        <v>7.92</v>
      </c>
      <c r="T60" s="28">
        <f>AVERAGE(10.8,9.92)</f>
        <v>10.36</v>
      </c>
      <c r="U60" s="43" t="s">
        <v>50</v>
      </c>
      <c r="V60" s="240" t="s">
        <v>50</v>
      </c>
      <c r="W60" s="240" t="s">
        <v>50</v>
      </c>
      <c r="Y60" s="240" t="s">
        <v>32</v>
      </c>
    </row>
    <row r="61" spans="1:25" x14ac:dyDescent="0.25">
      <c r="A61" s="44">
        <v>43628</v>
      </c>
      <c r="B61" s="324" t="s">
        <v>87</v>
      </c>
      <c r="C61" s="508" t="s">
        <v>95</v>
      </c>
      <c r="D61" s="631">
        <v>38.08625</v>
      </c>
      <c r="E61" s="631">
        <v>-121.68194</v>
      </c>
      <c r="F61" s="631" t="s">
        <v>4576</v>
      </c>
      <c r="G61" s="631" t="s">
        <v>46</v>
      </c>
      <c r="H61" s="631" t="s">
        <v>908</v>
      </c>
      <c r="I61" s="239">
        <v>0.44861111111111113</v>
      </c>
      <c r="J61" s="43" t="s">
        <v>4500</v>
      </c>
      <c r="K61" s="43" t="s">
        <v>4501</v>
      </c>
      <c r="L61" s="43" t="s">
        <v>30</v>
      </c>
      <c r="M61" s="43">
        <v>2</v>
      </c>
      <c r="N61" s="631">
        <v>10</v>
      </c>
      <c r="O61" s="28">
        <f>AVERAGE(29.3,31.6)</f>
        <v>30.450000000000003</v>
      </c>
      <c r="P61" s="28">
        <f>AVERAGE(106.8,107)</f>
        <v>106.9</v>
      </c>
      <c r="Q61" s="28">
        <f>AVERAGE(106.8,108.2)</f>
        <v>107.5</v>
      </c>
      <c r="R61" s="28">
        <f>AVERAGE(1.15,1.13)</f>
        <v>1.1399999999999999</v>
      </c>
      <c r="S61" s="28">
        <f>AVERAGE(10.5,6.97)</f>
        <v>8.7349999999999994</v>
      </c>
      <c r="T61" s="28">
        <f>AVERAGE(10.8,9.62)</f>
        <v>10.210000000000001</v>
      </c>
      <c r="U61" s="43" t="s">
        <v>50</v>
      </c>
      <c r="V61" s="240" t="s">
        <v>50</v>
      </c>
      <c r="W61" s="240" t="s">
        <v>50</v>
      </c>
      <c r="Y61" s="240" t="s">
        <v>32</v>
      </c>
    </row>
    <row r="62" spans="1:25" x14ac:dyDescent="0.25">
      <c r="A62" s="44">
        <v>43628</v>
      </c>
      <c r="B62" s="324" t="s">
        <v>87</v>
      </c>
      <c r="C62" s="508" t="s">
        <v>95</v>
      </c>
      <c r="D62" s="631">
        <v>38.058160000000001</v>
      </c>
      <c r="E62" s="631">
        <v>-121.53073999999999</v>
      </c>
      <c r="F62" s="631" t="s">
        <v>4577</v>
      </c>
      <c r="G62" s="631" t="s">
        <v>46</v>
      </c>
      <c r="H62" s="631" t="s">
        <v>115</v>
      </c>
      <c r="I62" s="239">
        <v>0.49374999999999997</v>
      </c>
      <c r="J62" s="43" t="s">
        <v>4500</v>
      </c>
      <c r="K62" s="43" t="s">
        <v>4501</v>
      </c>
      <c r="L62" s="43" t="s">
        <v>30</v>
      </c>
      <c r="M62" s="43">
        <v>2</v>
      </c>
      <c r="N62" s="631">
        <v>10</v>
      </c>
      <c r="O62" s="28">
        <f>AVERAGE(20.3,23.1)</f>
        <v>21.700000000000003</v>
      </c>
      <c r="P62" s="28">
        <f>AVERAGE(107.2,107.6)</f>
        <v>107.4</v>
      </c>
      <c r="Q62" s="28">
        <f>AVERAGE(108.6,108.6)</f>
        <v>108.6</v>
      </c>
      <c r="R62" s="28">
        <f>AVERAGE(1.62,1.5)</f>
        <v>1.56</v>
      </c>
      <c r="S62" s="28">
        <f>AVERAGE(7.3,13.8)</f>
        <v>10.55</v>
      </c>
      <c r="T62" s="28">
        <f>AVERAGE(44,23.3)</f>
        <v>33.65</v>
      </c>
      <c r="U62" s="43" t="s">
        <v>50</v>
      </c>
      <c r="V62" s="240" t="s">
        <v>50</v>
      </c>
      <c r="W62" s="240" t="s">
        <v>50</v>
      </c>
      <c r="Y62" s="240" t="s">
        <v>32</v>
      </c>
    </row>
    <row r="63" spans="1:25" s="149" customFormat="1" x14ac:dyDescent="0.25">
      <c r="A63" s="160">
        <v>43629</v>
      </c>
      <c r="B63" s="148" t="s">
        <v>105</v>
      </c>
      <c r="C63" s="528" t="s">
        <v>88</v>
      </c>
      <c r="D63" s="149">
        <v>38.12256</v>
      </c>
      <c r="E63" s="149">
        <v>-121.69475</v>
      </c>
      <c r="F63" s="149" t="s">
        <v>4578</v>
      </c>
      <c r="G63" s="149" t="s">
        <v>90</v>
      </c>
      <c r="H63" s="149" t="s">
        <v>91</v>
      </c>
      <c r="I63" s="165">
        <v>0.32847222222222222</v>
      </c>
      <c r="J63" s="43" t="s">
        <v>4500</v>
      </c>
      <c r="K63" s="161" t="s">
        <v>4501</v>
      </c>
      <c r="L63" s="161" t="s">
        <v>30</v>
      </c>
      <c r="M63" s="161">
        <v>0</v>
      </c>
      <c r="N63" s="149" t="s">
        <v>50</v>
      </c>
      <c r="O63" s="197" t="s">
        <v>50</v>
      </c>
      <c r="P63" s="197" t="s">
        <v>50</v>
      </c>
      <c r="Q63" s="197" t="s">
        <v>50</v>
      </c>
      <c r="R63" s="197" t="s">
        <v>50</v>
      </c>
      <c r="S63" s="197" t="s">
        <v>50</v>
      </c>
      <c r="T63" s="197" t="s">
        <v>50</v>
      </c>
      <c r="U63" s="149" t="s">
        <v>50</v>
      </c>
      <c r="V63" s="149" t="s">
        <v>50</v>
      </c>
      <c r="W63" s="149" t="s">
        <v>50</v>
      </c>
      <c r="X63" s="152" t="s">
        <v>858</v>
      </c>
      <c r="Y63" s="164" t="s">
        <v>32</v>
      </c>
    </row>
    <row r="64" spans="1:25" x14ac:dyDescent="0.25">
      <c r="A64" s="44">
        <v>43629</v>
      </c>
      <c r="B64" s="324" t="s">
        <v>105</v>
      </c>
      <c r="C64" s="508" t="s">
        <v>88</v>
      </c>
      <c r="D64" s="631">
        <v>38.104529999999997</v>
      </c>
      <c r="E64" s="631">
        <v>-121.72063</v>
      </c>
      <c r="F64" s="631" t="s">
        <v>4579</v>
      </c>
      <c r="G64" s="631" t="s">
        <v>90</v>
      </c>
      <c r="H64" s="631" t="s">
        <v>91</v>
      </c>
      <c r="I64" s="239">
        <v>0.3430555555555555</v>
      </c>
      <c r="J64" s="43" t="s">
        <v>4500</v>
      </c>
      <c r="K64" s="43" t="s">
        <v>4501</v>
      </c>
      <c r="L64" s="43" t="s">
        <v>30</v>
      </c>
      <c r="M64" s="43">
        <v>1</v>
      </c>
      <c r="N64" s="631">
        <v>10</v>
      </c>
      <c r="O64" s="28">
        <v>32.1</v>
      </c>
      <c r="P64" s="28">
        <v>97.7</v>
      </c>
      <c r="Q64" s="28">
        <v>98.7</v>
      </c>
      <c r="R64" s="28">
        <v>0.85</v>
      </c>
      <c r="S64" s="28">
        <v>11.1</v>
      </c>
      <c r="T64" s="28">
        <v>19.100000000000001</v>
      </c>
      <c r="U64" s="43" t="s">
        <v>50</v>
      </c>
      <c r="V64" s="240" t="s">
        <v>50</v>
      </c>
      <c r="W64" s="240" t="s">
        <v>50</v>
      </c>
      <c r="X64" s="5" t="s">
        <v>4580</v>
      </c>
      <c r="Y64" s="240" t="s">
        <v>32</v>
      </c>
    </row>
    <row r="65" spans="1:25" s="27" customFormat="1" x14ac:dyDescent="0.25">
      <c r="A65" s="26">
        <v>43630</v>
      </c>
      <c r="B65" s="27" t="s">
        <v>125</v>
      </c>
      <c r="C65" s="533" t="s">
        <v>78</v>
      </c>
      <c r="D65" s="27">
        <v>38.099020000000003</v>
      </c>
      <c r="E65" s="27">
        <v>-122.02587</v>
      </c>
      <c r="F65" s="27" t="s">
        <v>4581</v>
      </c>
      <c r="G65" s="27" t="s">
        <v>27</v>
      </c>
      <c r="H65" s="27" t="s">
        <v>86</v>
      </c>
      <c r="I65" s="84">
        <v>0.35347222222222219</v>
      </c>
      <c r="J65" s="43" t="s">
        <v>4500</v>
      </c>
      <c r="K65" s="32" t="s">
        <v>4501</v>
      </c>
      <c r="L65" s="32" t="s">
        <v>30</v>
      </c>
      <c r="M65" s="27">
        <v>2</v>
      </c>
      <c r="N65" s="27">
        <v>10</v>
      </c>
      <c r="O65" s="82">
        <f>AVERAGE(22.2,20.1)</f>
        <v>21.15</v>
      </c>
      <c r="P65" s="82">
        <f>AVERAGE(520,479.9)</f>
        <v>499.95</v>
      </c>
      <c r="Q65" s="82">
        <f>AVERAGE(557,516.5)</f>
        <v>536.75</v>
      </c>
      <c r="R65" s="82">
        <f>AVERAGE(0.22,0.25)</f>
        <v>0.23499999999999999</v>
      </c>
      <c r="S65" s="82">
        <f>AVERAGE(52.2,93.3)</f>
        <v>72.75</v>
      </c>
      <c r="T65" s="82">
        <f>AVERAGE(175,83.2)</f>
        <v>129.1</v>
      </c>
      <c r="U65" s="43" t="s">
        <v>50</v>
      </c>
      <c r="V65" s="240" t="s">
        <v>50</v>
      </c>
      <c r="W65" s="240" t="s">
        <v>50</v>
      </c>
      <c r="X65" s="35"/>
      <c r="Y65" s="27" t="s">
        <v>32</v>
      </c>
    </row>
    <row r="66" spans="1:25" s="27" customFormat="1" x14ac:dyDescent="0.25">
      <c r="A66" s="26">
        <v>43630</v>
      </c>
      <c r="B66" s="27" t="s">
        <v>125</v>
      </c>
      <c r="C66" s="533" t="s">
        <v>78</v>
      </c>
      <c r="D66" s="27">
        <v>38.075670000000002</v>
      </c>
      <c r="E66" s="27">
        <v>-122.09695000000001</v>
      </c>
      <c r="F66" s="27" t="s">
        <v>4582</v>
      </c>
      <c r="G66" s="27" t="s">
        <v>80</v>
      </c>
      <c r="H66" s="27" t="s">
        <v>81</v>
      </c>
      <c r="I66" s="84">
        <v>0.39444444444444443</v>
      </c>
      <c r="J66" s="43" t="s">
        <v>4500</v>
      </c>
      <c r="K66" s="32" t="s">
        <v>4501</v>
      </c>
      <c r="L66" s="32" t="s">
        <v>30</v>
      </c>
      <c r="M66" s="27">
        <v>2</v>
      </c>
      <c r="N66" s="27">
        <v>10</v>
      </c>
      <c r="O66" s="82">
        <f>AVERAGE(20,20.5)</f>
        <v>20.25</v>
      </c>
      <c r="P66" s="82">
        <f>AVERAGE(1240,1198)</f>
        <v>1219</v>
      </c>
      <c r="Q66" s="82">
        <f>AVERAGE(1355,1359)</f>
        <v>1357</v>
      </c>
      <c r="R66" s="82">
        <f>AVERAGE(0.2,0.19)</f>
        <v>0.19500000000000001</v>
      </c>
      <c r="S66" s="82">
        <f>AVERAGE(81.9,92.7)</f>
        <v>87.300000000000011</v>
      </c>
      <c r="T66" s="82">
        <f>AVERAGE(133,83.7)</f>
        <v>108.35</v>
      </c>
      <c r="U66" s="43" t="s">
        <v>50</v>
      </c>
      <c r="V66" s="240" t="s">
        <v>50</v>
      </c>
      <c r="W66" s="240" t="s">
        <v>50</v>
      </c>
      <c r="Y66" s="27" t="s">
        <v>32</v>
      </c>
    </row>
    <row r="67" spans="1:25" s="355" customFormat="1" x14ac:dyDescent="0.25">
      <c r="A67" s="354">
        <v>43630</v>
      </c>
      <c r="B67" s="355" t="s">
        <v>125</v>
      </c>
      <c r="C67" s="534" t="s">
        <v>78</v>
      </c>
      <c r="D67" s="355">
        <v>38.074849999999998</v>
      </c>
      <c r="E67" s="355">
        <v>-122.07371999999999</v>
      </c>
      <c r="F67" s="355" t="s">
        <v>4583</v>
      </c>
      <c r="G67" s="355" t="s">
        <v>80</v>
      </c>
      <c r="H67" s="355" t="s">
        <v>81</v>
      </c>
      <c r="I67" s="357">
        <v>0.42499999999999999</v>
      </c>
      <c r="J67" s="516" t="s">
        <v>4500</v>
      </c>
      <c r="K67" s="532" t="s">
        <v>4501</v>
      </c>
      <c r="L67" s="532" t="s">
        <v>30</v>
      </c>
      <c r="M67" s="355">
        <v>2</v>
      </c>
      <c r="N67" s="355">
        <v>10</v>
      </c>
      <c r="O67" s="358">
        <f>AVERAGE(13.7,16.5)</f>
        <v>15.1</v>
      </c>
      <c r="P67" s="358">
        <f>AVERAGE(2168,2482)</f>
        <v>2325</v>
      </c>
      <c r="Q67" s="358">
        <f>AVERAGE(2052,2455)</f>
        <v>2253.5</v>
      </c>
      <c r="R67" s="358">
        <f>AVERAGE(0.24,0.2)</f>
        <v>0.22</v>
      </c>
      <c r="S67" s="358">
        <f>AVERAGE(54,64.9)</f>
        <v>59.45</v>
      </c>
      <c r="T67" s="358">
        <f>AVERAGE(84.7,156)</f>
        <v>120.35</v>
      </c>
      <c r="U67" s="519" t="s">
        <v>31</v>
      </c>
      <c r="V67" s="521">
        <v>4</v>
      </c>
      <c r="W67" s="521" t="s">
        <v>4584</v>
      </c>
      <c r="Y67" s="355" t="s">
        <v>32</v>
      </c>
    </row>
    <row r="68" spans="1:25" x14ac:dyDescent="0.25">
      <c r="A68" s="44">
        <v>43630</v>
      </c>
      <c r="B68" s="324" t="s">
        <v>125</v>
      </c>
      <c r="C68" s="508" t="s">
        <v>62</v>
      </c>
      <c r="D68" s="631">
        <v>38.113680000000002</v>
      </c>
      <c r="E68" s="631">
        <v>-121.89064</v>
      </c>
      <c r="F68" s="631" t="s">
        <v>4585</v>
      </c>
      <c r="G68" s="631" t="s">
        <v>27</v>
      </c>
      <c r="H68" s="631" t="s">
        <v>62</v>
      </c>
      <c r="I68" s="21">
        <v>0.48194444444444445</v>
      </c>
      <c r="J68" s="43" t="s">
        <v>4500</v>
      </c>
      <c r="K68" s="43" t="s">
        <v>4501</v>
      </c>
      <c r="L68" s="43" t="s">
        <v>30</v>
      </c>
      <c r="M68" s="631">
        <v>2</v>
      </c>
      <c r="N68" s="631">
        <v>10</v>
      </c>
      <c r="O68" s="4">
        <f>AVERAGE(18.6,16.1)</f>
        <v>17.350000000000001</v>
      </c>
      <c r="P68" s="4">
        <f>AVERAGE(180.5,183.9)</f>
        <v>182.2</v>
      </c>
      <c r="Q68" s="4">
        <f>AVERAGE(179.6,162.8)</f>
        <v>171.2</v>
      </c>
      <c r="R68" s="4">
        <f>AVERAGE(0.32,0.4)</f>
        <v>0.36</v>
      </c>
      <c r="S68" s="4">
        <f>AVERAGE(105,42.4)</f>
        <v>73.7</v>
      </c>
      <c r="T68" s="4">
        <f>AVERAGE(38,35.3)</f>
        <v>36.65</v>
      </c>
      <c r="U68" s="43" t="s">
        <v>50</v>
      </c>
      <c r="V68" s="240" t="s">
        <v>50</v>
      </c>
      <c r="W68" s="240" t="s">
        <v>50</v>
      </c>
      <c r="Y68" s="631" t="s">
        <v>32</v>
      </c>
    </row>
    <row r="69" spans="1:25" x14ac:dyDescent="0.25">
      <c r="A69" s="44">
        <v>43630</v>
      </c>
      <c r="B69" s="324" t="s">
        <v>125</v>
      </c>
      <c r="C69" s="508" t="s">
        <v>78</v>
      </c>
      <c r="D69" s="631">
        <v>38.034599999999998</v>
      </c>
      <c r="E69" s="631">
        <v>-121.83839</v>
      </c>
      <c r="F69" s="631" t="s">
        <v>4586</v>
      </c>
      <c r="G69" s="631" t="s">
        <v>27</v>
      </c>
      <c r="H69" s="631" t="s">
        <v>101</v>
      </c>
      <c r="I69" s="21">
        <v>0.52083333333333337</v>
      </c>
      <c r="J69" s="43" t="s">
        <v>4500</v>
      </c>
      <c r="K69" s="43" t="s">
        <v>4501</v>
      </c>
      <c r="L69" s="43" t="s">
        <v>30</v>
      </c>
      <c r="M69" s="631">
        <v>2</v>
      </c>
      <c r="N69" s="631">
        <v>10</v>
      </c>
      <c r="O69" s="4">
        <f>AVERAGE(28.1,28.1)</f>
        <v>28.1</v>
      </c>
      <c r="P69" s="4">
        <f>AVERAGE(111.9,112.1)</f>
        <v>112</v>
      </c>
      <c r="Q69" s="4">
        <f>AVERAGE(111.5,112.1)</f>
        <v>111.8</v>
      </c>
      <c r="R69" s="4">
        <f>AVERAGE(1.01,0.91)</f>
        <v>0.96</v>
      </c>
      <c r="S69" s="4">
        <f>AVERAGE(16,11.4)</f>
        <v>13.7</v>
      </c>
      <c r="T69" s="4">
        <f>AVERAGE(12.6,24.7)</f>
        <v>18.649999999999999</v>
      </c>
      <c r="U69" s="43" t="s">
        <v>50</v>
      </c>
      <c r="V69" s="240" t="s">
        <v>50</v>
      </c>
      <c r="W69" s="240" t="s">
        <v>50</v>
      </c>
      <c r="Y69" s="631" t="s">
        <v>32</v>
      </c>
    </row>
    <row r="70" spans="1:25" x14ac:dyDescent="0.25">
      <c r="A70" s="44">
        <v>43630</v>
      </c>
      <c r="B70" s="324" t="s">
        <v>125</v>
      </c>
      <c r="C70" s="508" t="s">
        <v>88</v>
      </c>
      <c r="D70" s="631">
        <v>38.084380000000003</v>
      </c>
      <c r="E70" s="631">
        <v>-121.73723</v>
      </c>
      <c r="F70" s="631" t="s">
        <v>4587</v>
      </c>
      <c r="G70" s="631" t="s">
        <v>90</v>
      </c>
      <c r="H70" s="631" t="s">
        <v>91</v>
      </c>
      <c r="I70" s="239">
        <v>0.33819444444444446</v>
      </c>
      <c r="J70" s="43" t="s">
        <v>4500</v>
      </c>
      <c r="K70" s="43" t="s">
        <v>4501</v>
      </c>
      <c r="L70" s="43" t="s">
        <v>30</v>
      </c>
      <c r="M70" s="43">
        <v>2</v>
      </c>
      <c r="N70" s="631">
        <v>10</v>
      </c>
      <c r="O70" s="28">
        <f>AVERAGE(29.3,38.7)</f>
        <v>34</v>
      </c>
      <c r="P70" s="28">
        <f>AVERAGE(96.5,97)</f>
        <v>96.75</v>
      </c>
      <c r="Q70" s="28">
        <f>AVERAGE(97.1,97.3)</f>
        <v>97.199999999999989</v>
      </c>
      <c r="R70" s="28">
        <f>AVERAGE(0.78,0.82)</f>
        <v>0.8</v>
      </c>
      <c r="S70" s="28">
        <f>AVERAGE(13.6,12.6)</f>
        <v>13.1</v>
      </c>
      <c r="T70" s="28">
        <f>AVERAGE(18.1,15.5)</f>
        <v>16.8</v>
      </c>
      <c r="U70" s="43" t="s">
        <v>50</v>
      </c>
      <c r="V70" s="240" t="s">
        <v>50</v>
      </c>
      <c r="W70" s="240" t="s">
        <v>50</v>
      </c>
      <c r="Y70" s="40" t="s">
        <v>32</v>
      </c>
    </row>
    <row r="71" spans="1:25" x14ac:dyDescent="0.25">
      <c r="A71" s="160">
        <v>43630</v>
      </c>
      <c r="B71" s="148" t="s">
        <v>125</v>
      </c>
      <c r="C71" s="528" t="s">
        <v>88</v>
      </c>
      <c r="D71" s="149">
        <v>38.068919999999999</v>
      </c>
      <c r="E71" s="149">
        <v>-121.77124000000001</v>
      </c>
      <c r="F71" s="149" t="s">
        <v>4588</v>
      </c>
      <c r="G71" s="149" t="s">
        <v>90</v>
      </c>
      <c r="H71" s="149" t="s">
        <v>25</v>
      </c>
      <c r="I71" s="151">
        <v>0.37361111111111112</v>
      </c>
      <c r="J71" s="43" t="s">
        <v>4500</v>
      </c>
      <c r="K71" s="161" t="s">
        <v>4501</v>
      </c>
      <c r="L71" s="161" t="s">
        <v>30</v>
      </c>
      <c r="M71" s="149">
        <v>0</v>
      </c>
      <c r="N71" s="149" t="s">
        <v>50</v>
      </c>
      <c r="O71" s="197" t="s">
        <v>50</v>
      </c>
      <c r="P71" s="197" t="s">
        <v>50</v>
      </c>
      <c r="Q71" s="197" t="s">
        <v>50</v>
      </c>
      <c r="R71" s="197" t="s">
        <v>50</v>
      </c>
      <c r="S71" s="197" t="s">
        <v>50</v>
      </c>
      <c r="T71" s="197" t="s">
        <v>50</v>
      </c>
      <c r="U71" s="161" t="s">
        <v>50</v>
      </c>
      <c r="V71" s="164" t="s">
        <v>50</v>
      </c>
      <c r="W71" s="164" t="s">
        <v>50</v>
      </c>
      <c r="X71" s="152" t="s">
        <v>4589</v>
      </c>
      <c r="Y71" s="149" t="s">
        <v>32</v>
      </c>
    </row>
    <row r="72" spans="1:25" x14ac:dyDescent="0.25">
      <c r="A72" s="160">
        <v>43630</v>
      </c>
      <c r="B72" s="148" t="s">
        <v>125</v>
      </c>
      <c r="C72" s="528" t="s">
        <v>88</v>
      </c>
      <c r="D72" s="149">
        <v>38.056930000000001</v>
      </c>
      <c r="E72" s="149">
        <v>-121.80177</v>
      </c>
      <c r="F72" s="149" t="s">
        <v>4590</v>
      </c>
      <c r="G72" s="149" t="s">
        <v>90</v>
      </c>
      <c r="H72" s="149" t="s">
        <v>25</v>
      </c>
      <c r="I72" s="151">
        <v>0.37638888888888888</v>
      </c>
      <c r="J72" s="43" t="s">
        <v>4500</v>
      </c>
      <c r="K72" s="161" t="s">
        <v>4501</v>
      </c>
      <c r="L72" s="161" t="s">
        <v>30</v>
      </c>
      <c r="M72" s="149">
        <v>0</v>
      </c>
      <c r="N72" s="149" t="s">
        <v>50</v>
      </c>
      <c r="O72" s="197" t="s">
        <v>50</v>
      </c>
      <c r="P72" s="197" t="s">
        <v>50</v>
      </c>
      <c r="Q72" s="197" t="s">
        <v>50</v>
      </c>
      <c r="R72" s="197" t="s">
        <v>50</v>
      </c>
      <c r="S72" s="197" t="s">
        <v>50</v>
      </c>
      <c r="T72" s="197" t="s">
        <v>50</v>
      </c>
      <c r="U72" s="149" t="s">
        <v>50</v>
      </c>
      <c r="V72" s="149" t="s">
        <v>50</v>
      </c>
      <c r="W72" s="149" t="s">
        <v>50</v>
      </c>
      <c r="X72" s="152" t="s">
        <v>4591</v>
      </c>
      <c r="Y72" s="149" t="s">
        <v>32</v>
      </c>
    </row>
    <row r="73" spans="1:25" s="27" customFormat="1" x14ac:dyDescent="0.25">
      <c r="A73" s="26">
        <v>43633</v>
      </c>
      <c r="B73" s="26" t="s">
        <v>43</v>
      </c>
      <c r="C73" s="533" t="s">
        <v>88</v>
      </c>
      <c r="D73" s="27">
        <v>38.084229999999998</v>
      </c>
      <c r="E73" s="27">
        <v>-121.73763</v>
      </c>
      <c r="F73" s="27" t="s">
        <v>4592</v>
      </c>
      <c r="G73" s="27" t="s">
        <v>90</v>
      </c>
      <c r="H73" s="27" t="s">
        <v>91</v>
      </c>
      <c r="I73" s="84">
        <v>0.32569444444444445</v>
      </c>
      <c r="J73" s="43" t="s">
        <v>4500</v>
      </c>
      <c r="K73" s="34" t="s">
        <v>4501</v>
      </c>
      <c r="L73" s="34" t="s">
        <v>30</v>
      </c>
      <c r="M73" s="27">
        <v>2</v>
      </c>
      <c r="N73" s="27">
        <v>10</v>
      </c>
      <c r="O73" s="28">
        <f>AVERAGE(31.4,31.2)</f>
        <v>31.299999999999997</v>
      </c>
      <c r="P73" s="28">
        <f>AVERAGE(106.3,107.6)</f>
        <v>106.94999999999999</v>
      </c>
      <c r="Q73" s="28">
        <f>AVERAGE(110.5,109.6)</f>
        <v>110.05</v>
      </c>
      <c r="R73" s="28">
        <f>AVERAGE(0.86,1)</f>
        <v>0.92999999999999994</v>
      </c>
      <c r="S73" s="28">
        <f>AVERAGE(13.3,18)</f>
        <v>15.65</v>
      </c>
      <c r="T73" s="28">
        <f>AVERAGE(15.8,25.1)</f>
        <v>20.450000000000003</v>
      </c>
      <c r="U73" s="631" t="s">
        <v>50</v>
      </c>
      <c r="V73" s="631" t="s">
        <v>50</v>
      </c>
      <c r="W73" s="631" t="s">
        <v>50</v>
      </c>
      <c r="X73" s="35"/>
      <c r="Y73" s="16" t="s">
        <v>32</v>
      </c>
    </row>
    <row r="74" spans="1:25" x14ac:dyDescent="0.25">
      <c r="A74" s="20">
        <v>43633</v>
      </c>
      <c r="B74" s="20" t="s">
        <v>43</v>
      </c>
      <c r="C74" s="508" t="s">
        <v>88</v>
      </c>
      <c r="D74" s="631">
        <v>38.091830000000002</v>
      </c>
      <c r="E74" s="631">
        <v>-121.73047</v>
      </c>
      <c r="F74" s="631" t="s">
        <v>4593</v>
      </c>
      <c r="G74" s="631" t="s">
        <v>90</v>
      </c>
      <c r="H74" s="631" t="s">
        <v>91</v>
      </c>
      <c r="I74" s="21">
        <v>0.35416666666666669</v>
      </c>
      <c r="J74" s="43" t="s">
        <v>4500</v>
      </c>
      <c r="K74" s="631" t="s">
        <v>4501</v>
      </c>
      <c r="L74" s="631" t="s">
        <v>30</v>
      </c>
      <c r="M74" s="631">
        <v>2</v>
      </c>
      <c r="N74" s="631">
        <v>10</v>
      </c>
      <c r="O74" s="28">
        <f>AVERAGE(16.2,15.2)</f>
        <v>15.7</v>
      </c>
      <c r="P74" s="28">
        <f>AVERAGE(109.7,108.8)</f>
        <v>109.25</v>
      </c>
      <c r="Q74" s="28">
        <f>AVERAGE(110,107.4)</f>
        <v>108.7</v>
      </c>
      <c r="R74" s="28">
        <f>AVERAGE(1.04,1.07)</f>
        <v>1.0550000000000002</v>
      </c>
      <c r="S74" s="28">
        <f>AVERAGE(11.6,17.2)</f>
        <v>14.399999999999999</v>
      </c>
      <c r="T74" s="28">
        <f>AVERAGE(20.8,14.3)</f>
        <v>17.55</v>
      </c>
      <c r="U74" s="631" t="s">
        <v>50</v>
      </c>
      <c r="V74" s="631" t="s">
        <v>50</v>
      </c>
      <c r="W74" s="631" t="s">
        <v>50</v>
      </c>
      <c r="Y74" s="631" t="s">
        <v>32</v>
      </c>
    </row>
    <row r="75" spans="1:25" x14ac:dyDescent="0.25">
      <c r="A75" s="20">
        <v>43633</v>
      </c>
      <c r="B75" s="20" t="s">
        <v>43</v>
      </c>
      <c r="C75" s="508" t="s">
        <v>88</v>
      </c>
      <c r="D75" s="631">
        <v>38.161270000000002</v>
      </c>
      <c r="E75" s="631">
        <v>-121.68277999999999</v>
      </c>
      <c r="F75" s="631" t="s">
        <v>4594</v>
      </c>
      <c r="G75" s="631" t="s">
        <v>90</v>
      </c>
      <c r="H75" s="631" t="s">
        <v>91</v>
      </c>
      <c r="I75" s="21">
        <v>0.39027777777777778</v>
      </c>
      <c r="J75" s="43" t="s">
        <v>4500</v>
      </c>
      <c r="K75" s="631" t="s">
        <v>4501</v>
      </c>
      <c r="L75" s="631" t="s">
        <v>30</v>
      </c>
      <c r="M75" s="631">
        <v>2</v>
      </c>
      <c r="N75" s="631">
        <v>10</v>
      </c>
      <c r="O75" s="28">
        <f>AVERAGE(33.5,31.8)</f>
        <v>32.65</v>
      </c>
      <c r="P75" s="28">
        <f>AVERAGE(117.4,118.8)</f>
        <v>118.1</v>
      </c>
      <c r="Q75" s="28">
        <f>AVERAGE(122.6,121.2)</f>
        <v>121.9</v>
      </c>
      <c r="R75" s="28">
        <f>AVERAGE(1.02,1.12)</f>
        <v>1.07</v>
      </c>
      <c r="S75" s="28">
        <f>AVERAGE(10.8,12.4)</f>
        <v>11.600000000000001</v>
      </c>
      <c r="T75" s="28">
        <f>AVERAGE(14.4,11.7)</f>
        <v>13.05</v>
      </c>
      <c r="U75" s="631" t="s">
        <v>50</v>
      </c>
      <c r="V75" s="631" t="s">
        <v>50</v>
      </c>
      <c r="W75" s="631" t="s">
        <v>50</v>
      </c>
      <c r="Y75" s="631" t="s">
        <v>32</v>
      </c>
    </row>
    <row r="76" spans="1:25" x14ac:dyDescent="0.25">
      <c r="A76" s="20">
        <v>43633</v>
      </c>
      <c r="B76" s="20" t="s">
        <v>43</v>
      </c>
      <c r="C76" s="508" t="s">
        <v>88</v>
      </c>
      <c r="D76" s="631">
        <v>38.175060000000002</v>
      </c>
      <c r="E76" s="631">
        <v>-121.66879</v>
      </c>
      <c r="F76" s="631" t="s">
        <v>4595</v>
      </c>
      <c r="G76" s="631" t="s">
        <v>90</v>
      </c>
      <c r="H76" s="631" t="s">
        <v>91</v>
      </c>
      <c r="I76" s="21">
        <v>0.4291666666666667</v>
      </c>
      <c r="J76" s="43" t="s">
        <v>4500</v>
      </c>
      <c r="K76" s="631" t="s">
        <v>4501</v>
      </c>
      <c r="L76" s="631" t="s">
        <v>30</v>
      </c>
      <c r="M76" s="631">
        <v>2</v>
      </c>
      <c r="N76" s="631">
        <v>10</v>
      </c>
      <c r="O76" s="28">
        <f>AVERAGE(50.1,48.4)</f>
        <v>49.25</v>
      </c>
      <c r="P76" s="28">
        <f>AVERAGE(121,120.4)</f>
        <v>120.7</v>
      </c>
      <c r="Q76" s="28">
        <f>AVERAGE(122,123.7)</f>
        <v>122.85</v>
      </c>
      <c r="R76" s="28">
        <f>AVERAGE(0.98,0.97)</f>
        <v>0.97499999999999998</v>
      </c>
      <c r="S76" s="28">
        <f>AVERAGE(15.9,20.1)</f>
        <v>18</v>
      </c>
      <c r="T76" s="28">
        <f>AVERAGE(21.6,16.7)</f>
        <v>19.149999999999999</v>
      </c>
      <c r="U76" s="631" t="s">
        <v>50</v>
      </c>
      <c r="V76" s="631" t="s">
        <v>50</v>
      </c>
      <c r="W76" s="631" t="s">
        <v>50</v>
      </c>
      <c r="Y76" s="16" t="s">
        <v>32</v>
      </c>
    </row>
    <row r="77" spans="1:25" x14ac:dyDescent="0.25">
      <c r="A77" s="20">
        <v>43633</v>
      </c>
      <c r="B77" s="20" t="s">
        <v>43</v>
      </c>
      <c r="C77" s="508" t="s">
        <v>88</v>
      </c>
      <c r="D77" s="631">
        <v>38.144829999999999</v>
      </c>
      <c r="E77" s="631">
        <v>-121.68855000000001</v>
      </c>
      <c r="F77" s="631" t="s">
        <v>4596</v>
      </c>
      <c r="G77" s="631" t="s">
        <v>90</v>
      </c>
      <c r="H77" s="631" t="s">
        <v>91</v>
      </c>
      <c r="I77" s="21">
        <v>0.4597222222222222</v>
      </c>
      <c r="J77" s="43" t="s">
        <v>4500</v>
      </c>
      <c r="K77" s="631" t="s">
        <v>4501</v>
      </c>
      <c r="L77" s="631" t="s">
        <v>30</v>
      </c>
      <c r="M77" s="631">
        <v>2</v>
      </c>
      <c r="N77" s="631">
        <v>10</v>
      </c>
      <c r="O77" s="28">
        <f>AVERAGE(16.2,15.9)</f>
        <v>16.05</v>
      </c>
      <c r="P77" s="28">
        <f>AVERAGE(120.2,120.5)</f>
        <v>120.35</v>
      </c>
      <c r="Q77" s="28">
        <f>AVERAGE(120.9,126.7)</f>
        <v>123.80000000000001</v>
      </c>
      <c r="R77" s="28">
        <f>AVERAGE(1.05,1.06)</f>
        <v>1.0550000000000002</v>
      </c>
      <c r="S77" s="28">
        <f>AVERAGE(15,16.2)</f>
        <v>15.6</v>
      </c>
      <c r="T77" s="28">
        <f>AVERAGE(16.1,16.2)</f>
        <v>16.149999999999999</v>
      </c>
      <c r="U77" s="631" t="s">
        <v>50</v>
      </c>
      <c r="V77" s="631" t="s">
        <v>50</v>
      </c>
      <c r="W77" s="631" t="s">
        <v>50</v>
      </c>
      <c r="Y77" s="631" t="s">
        <v>32</v>
      </c>
    </row>
    <row r="78" spans="1:25" x14ac:dyDescent="0.25">
      <c r="A78" s="20">
        <v>43633</v>
      </c>
      <c r="B78" s="20" t="s">
        <v>43</v>
      </c>
      <c r="C78" s="508" t="s">
        <v>78</v>
      </c>
      <c r="D78" s="631">
        <v>38.037460000000003</v>
      </c>
      <c r="E78" s="631">
        <v>-121.88035000000001</v>
      </c>
      <c r="F78" s="631" t="s">
        <v>4597</v>
      </c>
      <c r="G78" s="631" t="s">
        <v>27</v>
      </c>
      <c r="H78" s="631" t="s">
        <v>101</v>
      </c>
      <c r="I78" s="21">
        <v>0.32847222222222222</v>
      </c>
      <c r="J78" s="43" t="s">
        <v>4500</v>
      </c>
      <c r="K78" s="631" t="s">
        <v>4501</v>
      </c>
      <c r="L78" s="631" t="s">
        <v>30</v>
      </c>
      <c r="M78" s="631">
        <v>2</v>
      </c>
      <c r="N78" s="631">
        <v>10</v>
      </c>
      <c r="O78" s="28">
        <f>AVERAGE(12.3,11.6)</f>
        <v>11.95</v>
      </c>
      <c r="P78" s="28">
        <f>AVERAGE(122.7,121.7)</f>
        <v>122.2</v>
      </c>
      <c r="Q78" s="28">
        <f>AVERAGE(124.1,122.1)</f>
        <v>123.1</v>
      </c>
      <c r="R78" s="28">
        <f>AVERAGE(0.61,0.6)</f>
        <v>0.60499999999999998</v>
      </c>
      <c r="S78" s="28">
        <f>AVERAGE(28.5,20.4)</f>
        <v>24.45</v>
      </c>
      <c r="T78" s="28">
        <f>AVERAGE(25.9,20.4)</f>
        <v>23.15</v>
      </c>
      <c r="U78" s="631" t="s">
        <v>50</v>
      </c>
      <c r="V78" s="631" t="s">
        <v>50</v>
      </c>
      <c r="W78" s="631" t="s">
        <v>50</v>
      </c>
      <c r="Y78" s="16" t="s">
        <v>32</v>
      </c>
    </row>
    <row r="79" spans="1:25" x14ac:dyDescent="0.25">
      <c r="A79" s="20">
        <v>43633</v>
      </c>
      <c r="B79" s="20" t="s">
        <v>43</v>
      </c>
      <c r="C79" s="508" t="s">
        <v>78</v>
      </c>
      <c r="D79" s="631">
        <v>38.056330000000003</v>
      </c>
      <c r="E79" s="631">
        <v>-121.9597</v>
      </c>
      <c r="F79" s="631" t="s">
        <v>4598</v>
      </c>
      <c r="G79" s="631" t="s">
        <v>27</v>
      </c>
      <c r="H79" s="631" t="s">
        <v>170</v>
      </c>
      <c r="I79" s="21">
        <v>0.36527777777777781</v>
      </c>
      <c r="J79" s="43" t="s">
        <v>4500</v>
      </c>
      <c r="K79" s="631" t="s">
        <v>4501</v>
      </c>
      <c r="L79" s="631" t="s">
        <v>30</v>
      </c>
      <c r="M79" s="631">
        <v>2</v>
      </c>
      <c r="N79" s="631">
        <v>10</v>
      </c>
      <c r="O79" s="28">
        <f>AVERAGE(13.9,15.1)</f>
        <v>14.5</v>
      </c>
      <c r="P79" s="28">
        <f>AVERAGE(104.6,174.1)</f>
        <v>139.35</v>
      </c>
      <c r="Q79" s="28">
        <f>AVERAGE(188.1,180.6)</f>
        <v>184.35</v>
      </c>
      <c r="R79" s="28">
        <f>AVERAGE(0.54,0.47)</f>
        <v>0.505</v>
      </c>
      <c r="S79" s="28">
        <f>AVERAGE(36.9,44.2)</f>
        <v>40.549999999999997</v>
      </c>
      <c r="T79" s="28">
        <f>AVERAGE(45.7,61.4)</f>
        <v>53.55</v>
      </c>
      <c r="U79" s="631" t="s">
        <v>50</v>
      </c>
      <c r="V79" s="631" t="s">
        <v>50</v>
      </c>
      <c r="W79" s="631" t="s">
        <v>50</v>
      </c>
      <c r="Y79" s="16" t="s">
        <v>32</v>
      </c>
    </row>
    <row r="80" spans="1:25" s="516" customFormat="1" x14ac:dyDescent="0.25">
      <c r="A80" s="536">
        <v>43633</v>
      </c>
      <c r="B80" s="536" t="s">
        <v>43</v>
      </c>
      <c r="C80" s="517" t="s">
        <v>78</v>
      </c>
      <c r="D80" s="516">
        <v>38.038420000000002</v>
      </c>
      <c r="E80" s="516">
        <v>-122.13867999999999</v>
      </c>
      <c r="F80" s="516" t="s">
        <v>4599</v>
      </c>
      <c r="G80" s="516" t="s">
        <v>80</v>
      </c>
      <c r="H80" s="516" t="s">
        <v>81</v>
      </c>
      <c r="I80" s="537">
        <v>0.41736111111111113</v>
      </c>
      <c r="J80" s="516" t="s">
        <v>4500</v>
      </c>
      <c r="K80" s="516" t="s">
        <v>4501</v>
      </c>
      <c r="L80" s="516" t="s">
        <v>30</v>
      </c>
      <c r="M80" s="516">
        <v>2</v>
      </c>
      <c r="N80" s="516">
        <v>10</v>
      </c>
      <c r="O80" s="529">
        <f>AVERAGE(13.9,14.6)</f>
        <v>14.25</v>
      </c>
      <c r="P80" s="529">
        <f>AVERAGE(1535,1284)</f>
        <v>1409.5</v>
      </c>
      <c r="Q80" s="529">
        <f>AVERAGE(2021,1821)</f>
        <v>1921</v>
      </c>
      <c r="R80" s="529">
        <f>AVERAGE(0.22,0.25)</f>
        <v>0.23499999999999999</v>
      </c>
      <c r="S80" s="529">
        <f>AVERAGE(134,164)</f>
        <v>149</v>
      </c>
      <c r="T80" s="529">
        <f>AVERAGE(218,279)</f>
        <v>248.5</v>
      </c>
      <c r="U80" s="355" t="s">
        <v>31</v>
      </c>
      <c r="V80" s="567">
        <v>23</v>
      </c>
      <c r="W80" s="355" t="s">
        <v>4600</v>
      </c>
      <c r="X80" s="371"/>
      <c r="Y80" s="567" t="s">
        <v>32</v>
      </c>
    </row>
    <row r="81" spans="1:25" x14ac:dyDescent="0.25">
      <c r="A81" s="20">
        <v>43633</v>
      </c>
      <c r="B81" s="20" t="s">
        <v>43</v>
      </c>
      <c r="C81" s="508" t="s">
        <v>78</v>
      </c>
      <c r="D81" s="631">
        <v>38.077849999999998</v>
      </c>
      <c r="E81" s="631">
        <v>-121.99208</v>
      </c>
      <c r="F81" s="631" t="s">
        <v>4601</v>
      </c>
      <c r="G81" s="631" t="s">
        <v>27</v>
      </c>
      <c r="H81" s="631" t="s">
        <v>86</v>
      </c>
      <c r="I81" s="21">
        <v>0.46666666666666662</v>
      </c>
      <c r="J81" s="43" t="s">
        <v>4500</v>
      </c>
      <c r="K81" s="631" t="s">
        <v>4501</v>
      </c>
      <c r="L81" s="631" t="s">
        <v>30</v>
      </c>
      <c r="M81" s="631">
        <v>2</v>
      </c>
      <c r="N81" s="631">
        <v>10</v>
      </c>
      <c r="O81" s="28">
        <f>AVERAGE(6,5.4)</f>
        <v>5.7</v>
      </c>
      <c r="P81" s="28">
        <f>AVERAGE(190.9,180.3)</f>
        <v>185.60000000000002</v>
      </c>
      <c r="Q81" s="28">
        <f>AVERAGE(173.4,181)</f>
        <v>177.2</v>
      </c>
      <c r="R81" s="28">
        <f>AVERAGE(0.47,0.47)</f>
        <v>0.47</v>
      </c>
      <c r="S81" s="28">
        <f>AVERAGE(34.1,33.4)</f>
        <v>33.75</v>
      </c>
      <c r="T81" s="28">
        <f>AVERAGE(33,38.4)</f>
        <v>35.700000000000003</v>
      </c>
      <c r="U81" s="631" t="s">
        <v>50</v>
      </c>
      <c r="V81" s="631" t="s">
        <v>50</v>
      </c>
      <c r="W81" s="631" t="s">
        <v>50</v>
      </c>
      <c r="Y81" s="16" t="s">
        <v>32</v>
      </c>
    </row>
    <row r="82" spans="1:25" s="631" customFormat="1" x14ac:dyDescent="0.25">
      <c r="A82" s="20">
        <v>43634</v>
      </c>
      <c r="B82" s="20" t="s">
        <v>70</v>
      </c>
      <c r="C82" s="508" t="s">
        <v>106</v>
      </c>
      <c r="D82" s="631">
        <v>38.460749999999997</v>
      </c>
      <c r="E82" s="631">
        <v>-121.58936</v>
      </c>
      <c r="F82" s="631" t="s">
        <v>4602</v>
      </c>
      <c r="G82" s="631" t="s">
        <v>90</v>
      </c>
      <c r="H82" s="631" t="s">
        <v>362</v>
      </c>
      <c r="I82" s="21">
        <v>0.34375</v>
      </c>
      <c r="J82" s="43" t="s">
        <v>4500</v>
      </c>
      <c r="K82" s="631" t="s">
        <v>4501</v>
      </c>
      <c r="L82" s="631" t="s">
        <v>30</v>
      </c>
      <c r="M82" s="631">
        <v>2</v>
      </c>
      <c r="N82" s="631">
        <v>10</v>
      </c>
      <c r="O82" s="28">
        <f>AVERAGE(34.5,33.9)</f>
        <v>34.200000000000003</v>
      </c>
      <c r="P82" s="28">
        <f>AVERAGE(832,835)</f>
        <v>833.5</v>
      </c>
      <c r="Q82" s="28">
        <f>AVERAGE(833,844)</f>
        <v>838.5</v>
      </c>
      <c r="R82" s="28">
        <f>AVERAGE(0.27,0.26)</f>
        <v>0.26500000000000001</v>
      </c>
      <c r="S82" s="28">
        <f>AVERAGE(38.7,40.4)</f>
        <v>39.549999999999997</v>
      </c>
      <c r="T82" s="28">
        <f>AVERAGE(66.8,51.2)</f>
        <v>59</v>
      </c>
      <c r="U82" s="679" t="s">
        <v>4526</v>
      </c>
      <c r="V82" s="631">
        <v>1</v>
      </c>
      <c r="W82" s="631">
        <v>22.9</v>
      </c>
      <c r="X82" s="5" t="s">
        <v>4603</v>
      </c>
      <c r="Y82" s="16" t="s">
        <v>32</v>
      </c>
    </row>
    <row r="83" spans="1:25" s="535" customFormat="1" x14ac:dyDescent="0.25">
      <c r="A83" s="20">
        <v>43634</v>
      </c>
      <c r="B83" s="20" t="s">
        <v>70</v>
      </c>
      <c r="C83" s="508" t="s">
        <v>106</v>
      </c>
      <c r="D83" s="631">
        <v>38.385869999999997</v>
      </c>
      <c r="E83" s="631">
        <v>-121.62407</v>
      </c>
      <c r="F83" s="631" t="s">
        <v>4604</v>
      </c>
      <c r="G83" s="631" t="s">
        <v>90</v>
      </c>
      <c r="H83" s="631" t="s">
        <v>362</v>
      </c>
      <c r="I83" s="21">
        <v>0.38194444444444442</v>
      </c>
      <c r="J83" s="43" t="s">
        <v>4500</v>
      </c>
      <c r="K83" s="631" t="s">
        <v>4501</v>
      </c>
      <c r="L83" s="631" t="s">
        <v>30</v>
      </c>
      <c r="M83" s="631">
        <v>2</v>
      </c>
      <c r="N83" s="631">
        <v>10</v>
      </c>
      <c r="O83" s="28">
        <f>AVERAGE(34.2,32.4)</f>
        <v>33.299999999999997</v>
      </c>
      <c r="P83" s="28">
        <f>AVERAGE(690,682)</f>
        <v>686</v>
      </c>
      <c r="Q83" s="28">
        <f>AVERAGE(684,682)</f>
        <v>683</v>
      </c>
      <c r="R83" s="28">
        <f>AVERAGE(0.3,0.26)</f>
        <v>0.28000000000000003</v>
      </c>
      <c r="S83" s="28">
        <f>AVERAGE(49.1,57.8)</f>
        <v>53.45</v>
      </c>
      <c r="T83" s="28">
        <f>AVERAGE(139,162)</f>
        <v>150.5</v>
      </c>
      <c r="U83" s="631" t="s">
        <v>50</v>
      </c>
      <c r="V83" s="631" t="s">
        <v>50</v>
      </c>
      <c r="W83" s="631" t="s">
        <v>50</v>
      </c>
      <c r="X83" s="5" t="s">
        <v>4605</v>
      </c>
      <c r="Y83" s="16" t="s">
        <v>32</v>
      </c>
    </row>
    <row r="84" spans="1:25" s="421" customFormat="1" x14ac:dyDescent="0.25">
      <c r="A84" s="348">
        <v>43634</v>
      </c>
      <c r="B84" s="348" t="s">
        <v>70</v>
      </c>
      <c r="C84" s="524" t="s">
        <v>106</v>
      </c>
      <c r="D84" s="421">
        <v>38.29618</v>
      </c>
      <c r="E84" s="421">
        <v>-121.65691</v>
      </c>
      <c r="F84" s="421" t="s">
        <v>4606</v>
      </c>
      <c r="G84" s="421" t="s">
        <v>90</v>
      </c>
      <c r="H84" s="421" t="s">
        <v>362</v>
      </c>
      <c r="I84" s="539">
        <v>0.41805555555555557</v>
      </c>
      <c r="J84" s="494" t="s">
        <v>4500</v>
      </c>
      <c r="K84" s="421" t="s">
        <v>4501</v>
      </c>
      <c r="L84" s="421" t="s">
        <v>30</v>
      </c>
      <c r="M84" s="421">
        <v>2</v>
      </c>
      <c r="N84" s="421">
        <v>10</v>
      </c>
      <c r="O84" s="530">
        <f>AVERAGE(21.5,36.8)</f>
        <v>29.15</v>
      </c>
      <c r="P84" s="530">
        <f>AVERAGE(329.1,354.5)</f>
        <v>341.8</v>
      </c>
      <c r="Q84" s="530">
        <f>AVERAGE(331.5,341.9)</f>
        <v>336.7</v>
      </c>
      <c r="R84" s="530">
        <f>AVERAGE(0.31,0.3)</f>
        <v>0.30499999999999999</v>
      </c>
      <c r="S84" s="530">
        <f>AVERAGE(42.1,37.1)</f>
        <v>39.6</v>
      </c>
      <c r="T84" s="530">
        <f>AVERAGE(37.4,47.1)</f>
        <v>42.25</v>
      </c>
      <c r="U84" s="421" t="s">
        <v>323</v>
      </c>
      <c r="V84" s="421">
        <v>1</v>
      </c>
      <c r="W84" s="421">
        <v>27.2</v>
      </c>
      <c r="X84" s="397"/>
      <c r="Y84" s="501" t="s">
        <v>32</v>
      </c>
    </row>
    <row r="85" spans="1:25" x14ac:dyDescent="0.25">
      <c r="A85" s="20">
        <v>43634</v>
      </c>
      <c r="B85" s="20" t="s">
        <v>70</v>
      </c>
      <c r="C85" s="508" t="s">
        <v>106</v>
      </c>
      <c r="D85" s="631">
        <v>38.268509999999999</v>
      </c>
      <c r="E85" s="631">
        <v>-121.66345</v>
      </c>
      <c r="F85" s="631" t="s">
        <v>4607</v>
      </c>
      <c r="G85" s="631" t="s">
        <v>90</v>
      </c>
      <c r="H85" s="631" t="s">
        <v>362</v>
      </c>
      <c r="I85" s="21">
        <v>0.44791666666666669</v>
      </c>
      <c r="J85" s="43" t="s">
        <v>4500</v>
      </c>
      <c r="K85" s="631" t="s">
        <v>4501</v>
      </c>
      <c r="L85" s="631" t="s">
        <v>30</v>
      </c>
      <c r="M85" s="631">
        <v>2</v>
      </c>
      <c r="N85" s="631">
        <v>10</v>
      </c>
      <c r="O85" s="28">
        <f>AVERAGE(35.8,34.8)</f>
        <v>35.299999999999997</v>
      </c>
      <c r="P85" s="28">
        <f>AVERAGE(234.6,253.3)</f>
        <v>243.95</v>
      </c>
      <c r="Q85" s="28">
        <f>AVERAGE(235.7,247.8)</f>
        <v>241.75</v>
      </c>
      <c r="R85" s="28">
        <f>AVERAGE(0.43,0.45)</f>
        <v>0.44</v>
      </c>
      <c r="S85" s="28">
        <f>AVERAGE(26.4,25)</f>
        <v>25.7</v>
      </c>
      <c r="T85" s="28">
        <f>AVERAGE(30.8,27.5)</f>
        <v>29.15</v>
      </c>
      <c r="U85" s="631" t="s">
        <v>50</v>
      </c>
      <c r="V85" s="631" t="s">
        <v>50</v>
      </c>
      <c r="W85" s="631" t="s">
        <v>50</v>
      </c>
      <c r="Y85" s="16" t="s">
        <v>32</v>
      </c>
    </row>
    <row r="86" spans="1:25" x14ac:dyDescent="0.25">
      <c r="A86" s="20">
        <v>43634</v>
      </c>
      <c r="B86" s="20" t="s">
        <v>70</v>
      </c>
      <c r="C86" s="508" t="s">
        <v>106</v>
      </c>
      <c r="D86" s="631">
        <v>38.193249999999999</v>
      </c>
      <c r="E86" s="631">
        <v>-121.65667000000001</v>
      </c>
      <c r="F86" s="631" t="s">
        <v>4608</v>
      </c>
      <c r="G86" s="631" t="s">
        <v>90</v>
      </c>
      <c r="H86" s="631" t="s">
        <v>362</v>
      </c>
      <c r="I86" s="21">
        <v>0.48194444444444445</v>
      </c>
      <c r="J86" s="43" t="s">
        <v>4500</v>
      </c>
      <c r="K86" s="631" t="s">
        <v>4501</v>
      </c>
      <c r="L86" s="631" t="s">
        <v>30</v>
      </c>
      <c r="M86" s="631">
        <v>2</v>
      </c>
      <c r="N86" s="631">
        <v>10</v>
      </c>
      <c r="O86" s="28">
        <f>AVERAGE(46.7,45.4)</f>
        <v>46.05</v>
      </c>
      <c r="P86" s="28">
        <f>AVERAGE(138.6,143)</f>
        <v>140.80000000000001</v>
      </c>
      <c r="Q86" s="28">
        <f>AVERAGE(152.7,137)</f>
        <v>144.85</v>
      </c>
      <c r="R86" s="28">
        <f>AVERAGE(0.7,0.75)</f>
        <v>0.72499999999999998</v>
      </c>
      <c r="S86" s="28">
        <f>AVERAGE(14.7,11.6)</f>
        <v>13.149999999999999</v>
      </c>
      <c r="T86" s="28">
        <f>AVERAGE(12.6,17)</f>
        <v>14.8</v>
      </c>
      <c r="U86" s="631" t="s">
        <v>50</v>
      </c>
      <c r="V86" s="631" t="s">
        <v>50</v>
      </c>
      <c r="W86" s="631" t="s">
        <v>50</v>
      </c>
      <c r="X86" s="5" t="s">
        <v>4609</v>
      </c>
      <c r="Y86" s="16" t="s">
        <v>32</v>
      </c>
    </row>
    <row r="87" spans="1:25" s="421" customFormat="1" x14ac:dyDescent="0.25">
      <c r="A87" s="348">
        <v>43635</v>
      </c>
      <c r="B87" s="348" t="s">
        <v>87</v>
      </c>
      <c r="C87" s="524" t="s">
        <v>106</v>
      </c>
      <c r="D87" s="421">
        <v>38.41854</v>
      </c>
      <c r="E87" s="421">
        <v>-121.6087</v>
      </c>
      <c r="F87" s="421" t="s">
        <v>4610</v>
      </c>
      <c r="G87" s="421" t="s">
        <v>90</v>
      </c>
      <c r="H87" s="421" t="s">
        <v>362</v>
      </c>
      <c r="I87" s="539">
        <v>0.34027777777777773</v>
      </c>
      <c r="J87" s="494" t="s">
        <v>4500</v>
      </c>
      <c r="K87" s="421" t="s">
        <v>4501</v>
      </c>
      <c r="L87" s="421" t="s">
        <v>30</v>
      </c>
      <c r="M87" s="421">
        <v>2</v>
      </c>
      <c r="N87" s="421">
        <v>10</v>
      </c>
      <c r="O87" s="530">
        <f>AVERAGE(32,32.1)</f>
        <v>32.049999999999997</v>
      </c>
      <c r="P87" s="530">
        <f>AVERAGE(741,753)</f>
        <v>747</v>
      </c>
      <c r="Q87" s="530">
        <f>AVERAGE(682,754)</f>
        <v>718</v>
      </c>
      <c r="R87" s="530">
        <f>AVERAGE(0.32,0.3)</f>
        <v>0.31</v>
      </c>
      <c r="S87" s="530">
        <f>AVERAGE(38.4,44.7)</f>
        <v>41.55</v>
      </c>
      <c r="T87" s="530">
        <f>AVERAGE(62.5,46.3)</f>
        <v>54.4</v>
      </c>
      <c r="U87" s="421" t="s">
        <v>323</v>
      </c>
      <c r="V87" s="421">
        <v>1</v>
      </c>
      <c r="W87" s="421">
        <v>24.7</v>
      </c>
      <c r="X87" s="397" t="s">
        <v>4611</v>
      </c>
      <c r="Y87" s="501" t="s">
        <v>32</v>
      </c>
    </row>
    <row r="88" spans="1:25" s="538" customFormat="1" x14ac:dyDescent="0.25">
      <c r="A88" s="20">
        <v>43635</v>
      </c>
      <c r="B88" s="20" t="s">
        <v>87</v>
      </c>
      <c r="C88" s="508" t="s">
        <v>106</v>
      </c>
      <c r="D88" s="631">
        <v>38.55247</v>
      </c>
      <c r="E88" s="631">
        <v>-121.57852</v>
      </c>
      <c r="F88" s="631" t="s">
        <v>4612</v>
      </c>
      <c r="G88" s="631" t="s">
        <v>90</v>
      </c>
      <c r="H88" s="631" t="s">
        <v>1787</v>
      </c>
      <c r="I88" s="21">
        <v>0.38541666666666669</v>
      </c>
      <c r="J88" s="43" t="s">
        <v>4500</v>
      </c>
      <c r="K88" s="631" t="s">
        <v>4501</v>
      </c>
      <c r="L88" s="631" t="s">
        <v>30</v>
      </c>
      <c r="M88" s="631">
        <v>2</v>
      </c>
      <c r="N88" s="631">
        <v>10</v>
      </c>
      <c r="O88" s="28">
        <f>AVERAGE(37.6,37.9)</f>
        <v>37.75</v>
      </c>
      <c r="P88" s="28">
        <f>AVERAGE(913,913)</f>
        <v>913</v>
      </c>
      <c r="Q88" s="28">
        <f>AVERAGE(919,911)</f>
        <v>915</v>
      </c>
      <c r="R88" s="28">
        <f>AVERAGE(0.89,0.91)</f>
        <v>0.9</v>
      </c>
      <c r="S88" s="28">
        <f>AVERAGE(11.9,12.4)</f>
        <v>12.15</v>
      </c>
      <c r="T88" s="28">
        <f>AVERAGE(58.7,43.5)</f>
        <v>51.1</v>
      </c>
      <c r="U88" s="631" t="s">
        <v>50</v>
      </c>
      <c r="V88" s="631" t="s">
        <v>50</v>
      </c>
      <c r="W88" s="631" t="s">
        <v>50</v>
      </c>
      <c r="X88" s="5"/>
      <c r="Y88" s="16" t="s">
        <v>32</v>
      </c>
    </row>
    <row r="89" spans="1:25" x14ac:dyDescent="0.25">
      <c r="A89" s="20">
        <v>43635</v>
      </c>
      <c r="B89" s="20" t="s">
        <v>87</v>
      </c>
      <c r="C89" s="508" t="s">
        <v>106</v>
      </c>
      <c r="D89" s="631">
        <v>38.560299999999998</v>
      </c>
      <c r="E89" s="631">
        <v>-121.56492</v>
      </c>
      <c r="F89" s="631" t="s">
        <v>4613</v>
      </c>
      <c r="G89" s="631" t="s">
        <v>90</v>
      </c>
      <c r="H89" s="631" t="s">
        <v>1787</v>
      </c>
      <c r="I89" s="21">
        <v>0.41944444444444445</v>
      </c>
      <c r="J89" s="43" t="s">
        <v>4500</v>
      </c>
      <c r="K89" s="631" t="s">
        <v>4501</v>
      </c>
      <c r="L89" s="631" t="s">
        <v>30</v>
      </c>
      <c r="M89" s="631">
        <v>2</v>
      </c>
      <c r="N89" s="631">
        <v>10</v>
      </c>
      <c r="O89" s="28">
        <f>AVERAGE(37.5,37.7)</f>
        <v>37.6</v>
      </c>
      <c r="P89" s="28">
        <f>AVERAGE(865,854)</f>
        <v>859.5</v>
      </c>
      <c r="Q89" s="28">
        <f>AVERAGE(946,924)</f>
        <v>935</v>
      </c>
      <c r="R89" s="28">
        <f>AVERAGE(1.33,1.7)</f>
        <v>1.5150000000000001</v>
      </c>
      <c r="S89" s="28">
        <f>AVERAGE(13,5.61)</f>
        <v>9.3049999999999997</v>
      </c>
      <c r="T89" s="28">
        <f>AVERAGE(17.2,13.8)</f>
        <v>15.5</v>
      </c>
      <c r="U89" s="631" t="s">
        <v>50</v>
      </c>
      <c r="V89" s="631" t="s">
        <v>50</v>
      </c>
      <c r="W89" s="631" t="s">
        <v>50</v>
      </c>
      <c r="Y89" s="16" t="s">
        <v>32</v>
      </c>
    </row>
    <row r="90" spans="1:25" x14ac:dyDescent="0.25">
      <c r="A90" s="20">
        <v>43635</v>
      </c>
      <c r="B90" s="20" t="s">
        <v>87</v>
      </c>
      <c r="C90" s="508" t="s">
        <v>106</v>
      </c>
      <c r="D90" s="631">
        <v>38.562109999999997</v>
      </c>
      <c r="E90" s="631">
        <v>-121.54667999999999</v>
      </c>
      <c r="F90" s="631" t="s">
        <v>4614</v>
      </c>
      <c r="G90" s="631" t="s">
        <v>90</v>
      </c>
      <c r="H90" s="631" t="s">
        <v>1787</v>
      </c>
      <c r="I90" s="21">
        <v>0.45069444444444445</v>
      </c>
      <c r="J90" s="43" t="s">
        <v>4500</v>
      </c>
      <c r="K90" s="631" t="s">
        <v>4501</v>
      </c>
      <c r="L90" s="631" t="s">
        <v>30</v>
      </c>
      <c r="M90" s="631">
        <v>2</v>
      </c>
      <c r="N90" s="631">
        <v>10</v>
      </c>
      <c r="O90" s="28">
        <f>AVERAGE(44.5,34.8)</f>
        <v>39.65</v>
      </c>
      <c r="P90" s="28">
        <f>AVERAGE(787,781)</f>
        <v>784</v>
      </c>
      <c r="Q90" s="28">
        <f>AVERAGE(976,915)</f>
        <v>945.5</v>
      </c>
      <c r="R90" s="28">
        <f>AVERAGE(1.7,1.55)</f>
        <v>1.625</v>
      </c>
      <c r="S90" s="28">
        <f>AVERAGE(3.56,6.98)</f>
        <v>5.2700000000000005</v>
      </c>
      <c r="T90" s="28">
        <f>AVERAGE(32.8,12.9)</f>
        <v>22.849999999999998</v>
      </c>
      <c r="U90" s="631" t="s">
        <v>50</v>
      </c>
      <c r="V90" s="631" t="s">
        <v>50</v>
      </c>
      <c r="W90" s="631" t="s">
        <v>50</v>
      </c>
      <c r="Y90" s="16" t="s">
        <v>32</v>
      </c>
    </row>
    <row r="91" spans="1:25" s="421" customFormat="1" x14ac:dyDescent="0.25">
      <c r="A91" s="348">
        <v>43635</v>
      </c>
      <c r="B91" s="348" t="s">
        <v>87</v>
      </c>
      <c r="C91" s="524" t="s">
        <v>106</v>
      </c>
      <c r="D91" s="421">
        <v>38.511099999999999</v>
      </c>
      <c r="E91" s="421">
        <v>-121.58452</v>
      </c>
      <c r="F91" s="421" t="s">
        <v>4615</v>
      </c>
      <c r="G91" s="421" t="s">
        <v>90</v>
      </c>
      <c r="H91" s="421" t="s">
        <v>1787</v>
      </c>
      <c r="I91" s="539">
        <v>0.48680555555555555</v>
      </c>
      <c r="J91" s="494" t="s">
        <v>4500</v>
      </c>
      <c r="K91" s="421" t="s">
        <v>4501</v>
      </c>
      <c r="L91" s="421" t="s">
        <v>30</v>
      </c>
      <c r="M91" s="421">
        <v>2</v>
      </c>
      <c r="N91" s="421">
        <v>10</v>
      </c>
      <c r="O91" s="530">
        <f>AVERAGE(37.3,36.9)</f>
        <v>37.099999999999994</v>
      </c>
      <c r="P91" s="530">
        <f>AVERAGE(905,919)</f>
        <v>912</v>
      </c>
      <c r="Q91" s="530">
        <f>AVERAGE(913,922)</f>
        <v>917.5</v>
      </c>
      <c r="R91" s="530">
        <f>AVERAGE(0.5,0.52)</f>
        <v>0.51</v>
      </c>
      <c r="S91" s="530">
        <f>AVERAGE(18.3,22.5)</f>
        <v>20.399999999999999</v>
      </c>
      <c r="T91" s="530">
        <f>AVERAGE(22.1,107)</f>
        <v>64.55</v>
      </c>
      <c r="U91" s="421" t="s">
        <v>323</v>
      </c>
      <c r="V91" s="421">
        <v>1</v>
      </c>
      <c r="W91" s="421">
        <v>50</v>
      </c>
      <c r="X91" s="397" t="s">
        <v>4616</v>
      </c>
      <c r="Y91" s="501" t="s">
        <v>32</v>
      </c>
    </row>
    <row r="92" spans="1:25" x14ac:dyDescent="0.25">
      <c r="A92" s="20">
        <v>43636</v>
      </c>
      <c r="B92" s="20" t="s">
        <v>4617</v>
      </c>
      <c r="C92" s="508" t="s">
        <v>845</v>
      </c>
      <c r="D92" s="631">
        <v>38.31335</v>
      </c>
      <c r="E92" s="631">
        <v>-121.69313</v>
      </c>
      <c r="F92" s="631" t="s">
        <v>4618</v>
      </c>
      <c r="G92" s="631" t="s">
        <v>90</v>
      </c>
      <c r="H92" s="631" t="s">
        <v>126</v>
      </c>
      <c r="I92" s="21">
        <v>0.32708333333333334</v>
      </c>
      <c r="J92" s="43" t="s">
        <v>4500</v>
      </c>
      <c r="K92" s="631" t="s">
        <v>4501</v>
      </c>
      <c r="L92" s="631" t="s">
        <v>30</v>
      </c>
      <c r="M92" s="631">
        <v>2</v>
      </c>
      <c r="N92" s="631">
        <v>10</v>
      </c>
      <c r="O92" s="4">
        <f>AVERAGE(18,21)</f>
        <v>19.5</v>
      </c>
      <c r="P92" s="4">
        <f>AVERAGE(435.5,443.1)</f>
        <v>439.3</v>
      </c>
      <c r="Q92" s="4">
        <f>AVERAGE(429.2,432.8)</f>
        <v>431</v>
      </c>
      <c r="R92" s="4">
        <f>AVERAGE(1.18,0.96)</f>
        <v>1.0699999999999998</v>
      </c>
      <c r="S92" s="4">
        <f>AVERAGE(7.32,9.83)</f>
        <v>8.5749999999999993</v>
      </c>
      <c r="T92" s="4">
        <f>AVERAGE(15.9,11.7)</f>
        <v>13.8</v>
      </c>
      <c r="U92" s="631" t="s">
        <v>50</v>
      </c>
      <c r="V92" s="631" t="s">
        <v>50</v>
      </c>
      <c r="W92" s="631" t="s">
        <v>50</v>
      </c>
      <c r="Y92" s="16" t="s">
        <v>32</v>
      </c>
    </row>
    <row r="93" spans="1:25" x14ac:dyDescent="0.25">
      <c r="A93" s="20">
        <v>43636</v>
      </c>
      <c r="B93" s="20" t="s">
        <v>4617</v>
      </c>
      <c r="C93" s="508" t="s">
        <v>845</v>
      </c>
      <c r="D93" s="631">
        <v>38.264470000000003</v>
      </c>
      <c r="E93" s="631">
        <v>-121.69692000000001</v>
      </c>
      <c r="F93" s="631" t="s">
        <v>4619</v>
      </c>
      <c r="G93" s="631" t="s">
        <v>90</v>
      </c>
      <c r="H93" s="631" t="s">
        <v>126</v>
      </c>
      <c r="I93" s="21">
        <v>0.35972222222222222</v>
      </c>
      <c r="J93" s="43" t="s">
        <v>4500</v>
      </c>
      <c r="K93" s="631" t="s">
        <v>4501</v>
      </c>
      <c r="L93" s="631" t="s">
        <v>30</v>
      </c>
      <c r="M93" s="631">
        <v>2</v>
      </c>
      <c r="N93" s="631">
        <v>10</v>
      </c>
      <c r="O93" s="4">
        <f>AVERAGE(14.5,14.2)</f>
        <v>14.35</v>
      </c>
      <c r="P93" s="4">
        <f>AVERAGE(150.2,151.4)</f>
        <v>150.80000000000001</v>
      </c>
      <c r="Q93" s="4">
        <f>AVERAGE(147,152.4)</f>
        <v>149.69999999999999</v>
      </c>
      <c r="R93" s="4">
        <f>AVERAGE(1.04,1.1)</f>
        <v>1.07</v>
      </c>
      <c r="S93" s="4">
        <f>AVERAGE(8.74,8.72)</f>
        <v>8.73</v>
      </c>
      <c r="T93" s="4">
        <f>AVERAGE(11.3,35.2)</f>
        <v>23.25</v>
      </c>
      <c r="U93" s="631" t="s">
        <v>50</v>
      </c>
      <c r="V93" s="631" t="s">
        <v>50</v>
      </c>
      <c r="W93" s="631" t="s">
        <v>50</v>
      </c>
      <c r="X93" s="5" t="s">
        <v>4620</v>
      </c>
      <c r="Y93" s="16" t="s">
        <v>32</v>
      </c>
    </row>
    <row r="94" spans="1:25" x14ac:dyDescent="0.25">
      <c r="A94" s="20">
        <v>43636</v>
      </c>
      <c r="B94" s="20" t="s">
        <v>4617</v>
      </c>
      <c r="C94" s="508" t="s">
        <v>845</v>
      </c>
      <c r="D94" s="631">
        <v>38.246870000000001</v>
      </c>
      <c r="E94" s="631">
        <v>-121.6978</v>
      </c>
      <c r="F94" s="631" t="s">
        <v>4621</v>
      </c>
      <c r="G94" s="631" t="s">
        <v>90</v>
      </c>
      <c r="H94" s="631" t="s">
        <v>126</v>
      </c>
      <c r="I94" s="21">
        <v>0.38750000000000001</v>
      </c>
      <c r="J94" s="43" t="s">
        <v>4500</v>
      </c>
      <c r="K94" s="631" t="s">
        <v>4501</v>
      </c>
      <c r="L94" s="631" t="s">
        <v>30</v>
      </c>
      <c r="M94" s="631">
        <v>2</v>
      </c>
      <c r="N94" s="631">
        <v>10</v>
      </c>
      <c r="O94" s="4">
        <f>AVERAGE(27.2,25.3)</f>
        <v>26.25</v>
      </c>
      <c r="P94" s="4">
        <f>AVERAGE(153.1,154.5)</f>
        <v>153.80000000000001</v>
      </c>
      <c r="Q94" s="4">
        <f>AVERAGE(150.2,153.7)</f>
        <v>151.94999999999999</v>
      </c>
      <c r="R94" s="4">
        <f>AVERAGE(1.25,1.24)</f>
        <v>1.2450000000000001</v>
      </c>
      <c r="S94" s="4">
        <f>AVERAGE(13.4,7.48)</f>
        <v>10.440000000000001</v>
      </c>
      <c r="T94" s="4">
        <f>AVERAGE(11.3,91.6)</f>
        <v>51.449999999999996</v>
      </c>
      <c r="U94" s="631" t="s">
        <v>50</v>
      </c>
      <c r="V94" s="631" t="s">
        <v>50</v>
      </c>
      <c r="W94" s="631" t="s">
        <v>50</v>
      </c>
      <c r="Y94" s="631" t="s">
        <v>32</v>
      </c>
    </row>
    <row r="95" spans="1:25" x14ac:dyDescent="0.25">
      <c r="A95" s="20">
        <v>43636</v>
      </c>
      <c r="B95" s="20" t="s">
        <v>4617</v>
      </c>
      <c r="C95" s="508" t="s">
        <v>845</v>
      </c>
      <c r="D95" s="631">
        <v>38.250300000000003</v>
      </c>
      <c r="E95" s="631">
        <v>-121.68770000000001</v>
      </c>
      <c r="F95" s="631" t="s">
        <v>4622</v>
      </c>
      <c r="G95" s="631" t="s">
        <v>90</v>
      </c>
      <c r="H95" s="631" t="s">
        <v>126</v>
      </c>
      <c r="I95" s="21">
        <v>0.41805555555555557</v>
      </c>
      <c r="J95" s="631" t="s">
        <v>4500</v>
      </c>
      <c r="K95" s="631" t="s">
        <v>4501</v>
      </c>
      <c r="L95" s="631" t="s">
        <v>30</v>
      </c>
      <c r="M95" s="631">
        <v>2</v>
      </c>
      <c r="N95" s="631">
        <v>10</v>
      </c>
      <c r="O95" s="4">
        <f>AVERAGE(32.8,24.2)</f>
        <v>28.5</v>
      </c>
      <c r="P95" s="4">
        <f>AVERAGE(143.6,148.1)</f>
        <v>145.85</v>
      </c>
      <c r="Q95" s="4">
        <f>AVERAGE(141.5,146.4)</f>
        <v>143.94999999999999</v>
      </c>
      <c r="R95" s="4">
        <f>AVERAGE(1.2,1.04)</f>
        <v>1.1200000000000001</v>
      </c>
      <c r="S95" s="4">
        <f>AVERAGE(15.2,11.6)</f>
        <v>13.399999999999999</v>
      </c>
      <c r="T95" s="4">
        <f>AVERAGE(19.7,14.7)</f>
        <v>17.2</v>
      </c>
      <c r="U95" s="631" t="s">
        <v>50</v>
      </c>
      <c r="V95" s="631" t="s">
        <v>50</v>
      </c>
      <c r="W95" s="631" t="s">
        <v>50</v>
      </c>
      <c r="Y95" s="16" t="s">
        <v>32</v>
      </c>
    </row>
    <row r="96" spans="1:25" x14ac:dyDescent="0.25">
      <c r="A96" s="20">
        <v>43636</v>
      </c>
      <c r="B96" s="20" t="s">
        <v>4617</v>
      </c>
      <c r="C96" s="508" t="s">
        <v>845</v>
      </c>
      <c r="D96" s="631">
        <v>38.238059999999997</v>
      </c>
      <c r="E96" s="631">
        <v>-121.6841</v>
      </c>
      <c r="F96" s="631" t="s">
        <v>4623</v>
      </c>
      <c r="G96" s="631" t="s">
        <v>90</v>
      </c>
      <c r="H96" s="631" t="s">
        <v>126</v>
      </c>
      <c r="I96" s="21">
        <v>0.44861111111111113</v>
      </c>
      <c r="J96" s="43" t="s">
        <v>4500</v>
      </c>
      <c r="K96" s="631" t="s">
        <v>4501</v>
      </c>
      <c r="L96" s="631" t="s">
        <v>30</v>
      </c>
      <c r="M96" s="631">
        <v>2</v>
      </c>
      <c r="N96" s="631">
        <v>10</v>
      </c>
      <c r="O96" s="4">
        <f>AVERAGE(55.6,50.9)</f>
        <v>53.25</v>
      </c>
      <c r="P96" s="4">
        <f>AVERAGE(151.8,140.4)</f>
        <v>146.10000000000002</v>
      </c>
      <c r="Q96" s="4">
        <f>AVERAGE(151,161.5)</f>
        <v>156.25</v>
      </c>
      <c r="R96" s="4">
        <f>AVERAGE(0.95,1.02)</f>
        <v>0.98499999999999999</v>
      </c>
      <c r="S96" s="4">
        <f>AVERAGE(12.1,13.6)</f>
        <v>12.85</v>
      </c>
      <c r="T96" s="4">
        <f>AVERAGE(24.1,31.4)</f>
        <v>27.75</v>
      </c>
      <c r="U96" s="631" t="s">
        <v>50</v>
      </c>
      <c r="V96" s="631" t="s">
        <v>50</v>
      </c>
      <c r="W96" s="631" t="s">
        <v>50</v>
      </c>
      <c r="Y96" s="16" t="s">
        <v>32</v>
      </c>
    </row>
    <row r="97" spans="1:25" x14ac:dyDescent="0.25">
      <c r="A97" s="20">
        <v>43636</v>
      </c>
      <c r="B97" s="20" t="s">
        <v>4617</v>
      </c>
      <c r="C97" s="508" t="s">
        <v>62</v>
      </c>
      <c r="D97" s="631">
        <v>38.175229999999999</v>
      </c>
      <c r="E97" s="631">
        <v>-121.94973</v>
      </c>
      <c r="F97" s="631" t="s">
        <v>4624</v>
      </c>
      <c r="G97" s="631" t="s">
        <v>27</v>
      </c>
      <c r="H97" s="631" t="s">
        <v>62</v>
      </c>
      <c r="I97" s="21">
        <v>0.35416666666666669</v>
      </c>
      <c r="J97" s="631" t="s">
        <v>4500</v>
      </c>
      <c r="K97" s="631" t="s">
        <v>4501</v>
      </c>
      <c r="L97" s="631" t="s">
        <v>30</v>
      </c>
      <c r="M97" s="631">
        <v>2</v>
      </c>
      <c r="N97" s="631">
        <v>10</v>
      </c>
      <c r="O97" s="4">
        <f>AVERAGE(35.8,35.6)</f>
        <v>35.700000000000003</v>
      </c>
      <c r="P97" s="4">
        <f>AVERAGE(767,777)</f>
        <v>772</v>
      </c>
      <c r="Q97" s="4">
        <f>AVERAGE(614,765)</f>
        <v>689.5</v>
      </c>
      <c r="R97" s="4">
        <f>AVERAGE(0.23,0.22)</f>
        <v>0.22500000000000001</v>
      </c>
      <c r="S97" s="4">
        <f>AVERAGE(89.3,120)</f>
        <v>104.65</v>
      </c>
      <c r="T97" s="4">
        <f>AVERAGE(108,118)</f>
        <v>113</v>
      </c>
      <c r="U97" s="631" t="s">
        <v>50</v>
      </c>
      <c r="V97" s="631" t="s">
        <v>50</v>
      </c>
      <c r="W97" s="631" t="s">
        <v>50</v>
      </c>
      <c r="Y97" s="16" t="s">
        <v>32</v>
      </c>
    </row>
    <row r="98" spans="1:25" x14ac:dyDescent="0.25">
      <c r="A98" s="20">
        <v>43636</v>
      </c>
      <c r="B98" s="20" t="s">
        <v>4617</v>
      </c>
      <c r="C98" s="508" t="s">
        <v>62</v>
      </c>
      <c r="D98" s="631">
        <v>38.179220000000001</v>
      </c>
      <c r="E98" s="631">
        <v>-122.00493</v>
      </c>
      <c r="F98" s="631" t="s">
        <v>4625</v>
      </c>
      <c r="G98" s="631" t="s">
        <v>27</v>
      </c>
      <c r="H98" s="631" t="s">
        <v>62</v>
      </c>
      <c r="I98" s="21">
        <v>0.39374999999999999</v>
      </c>
      <c r="J98" s="631" t="s">
        <v>4500</v>
      </c>
      <c r="K98" s="631" t="s">
        <v>4501</v>
      </c>
      <c r="L98" s="631" t="s">
        <v>30</v>
      </c>
      <c r="M98" s="631">
        <v>2</v>
      </c>
      <c r="N98" s="631">
        <v>10</v>
      </c>
      <c r="O98" s="4">
        <f>AVERAGE(24.9,22.7)</f>
        <v>23.799999999999997</v>
      </c>
      <c r="P98" s="4">
        <f>AVERAGE(837,839)</f>
        <v>838</v>
      </c>
      <c r="Q98" s="4">
        <f>AVERAGE(838,836)</f>
        <v>837</v>
      </c>
      <c r="R98" s="4">
        <f>AVERAGE(0.26,0.19)</f>
        <v>0.22500000000000001</v>
      </c>
      <c r="S98" s="4">
        <f>AVERAGE(128,228)</f>
        <v>178</v>
      </c>
      <c r="T98" s="4">
        <f>AVERAGE(265,290)</f>
        <v>277.5</v>
      </c>
      <c r="U98" s="631" t="s">
        <v>50</v>
      </c>
      <c r="V98" s="631" t="s">
        <v>50</v>
      </c>
      <c r="W98" s="631" t="s">
        <v>50</v>
      </c>
      <c r="Y98" s="16" t="s">
        <v>32</v>
      </c>
    </row>
    <row r="99" spans="1:25" s="149" customFormat="1" x14ac:dyDescent="0.25">
      <c r="A99" s="178">
        <v>43636</v>
      </c>
      <c r="B99" s="178" t="s">
        <v>4617</v>
      </c>
      <c r="C99" s="528" t="s">
        <v>62</v>
      </c>
      <c r="D99" s="149">
        <v>38.171219999999998</v>
      </c>
      <c r="E99" s="149">
        <v>-122.06738</v>
      </c>
      <c r="F99" s="149" t="s">
        <v>4626</v>
      </c>
      <c r="G99" s="149" t="s">
        <v>27</v>
      </c>
      <c r="H99" s="149" t="s">
        <v>62</v>
      </c>
      <c r="I99" s="151">
        <v>0.43402777777777773</v>
      </c>
      <c r="J99" s="161" t="s">
        <v>4535</v>
      </c>
      <c r="K99" s="149" t="s">
        <v>4501</v>
      </c>
      <c r="L99" s="149" t="s">
        <v>30</v>
      </c>
      <c r="M99" s="149">
        <v>1</v>
      </c>
      <c r="N99" s="149" t="s">
        <v>50</v>
      </c>
      <c r="O99" s="197" t="s">
        <v>50</v>
      </c>
      <c r="P99" s="197">
        <v>1063</v>
      </c>
      <c r="Q99" s="197">
        <v>1073</v>
      </c>
      <c r="R99" s="197">
        <v>0.16</v>
      </c>
      <c r="S99" s="197">
        <v>145</v>
      </c>
      <c r="T99" s="197">
        <v>254</v>
      </c>
      <c r="U99" s="149" t="s">
        <v>50</v>
      </c>
      <c r="V99" s="149" t="s">
        <v>50</v>
      </c>
      <c r="W99" s="149" t="s">
        <v>50</v>
      </c>
      <c r="X99" s="152" t="s">
        <v>4627</v>
      </c>
      <c r="Y99" s="149" t="s">
        <v>32</v>
      </c>
    </row>
    <row r="100" spans="1:25" x14ac:dyDescent="0.25">
      <c r="A100" s="20">
        <v>43637</v>
      </c>
      <c r="B100" s="20" t="s">
        <v>125</v>
      </c>
      <c r="C100" s="508" t="s">
        <v>95</v>
      </c>
      <c r="D100" s="631">
        <v>38.018979999999999</v>
      </c>
      <c r="E100" s="631">
        <v>-121.79142</v>
      </c>
      <c r="F100" s="631" t="s">
        <v>4628</v>
      </c>
      <c r="G100" s="631" t="s">
        <v>27</v>
      </c>
      <c r="H100" s="631" t="s">
        <v>863</v>
      </c>
      <c r="I100" s="21">
        <v>0.33611111111111108</v>
      </c>
      <c r="J100" s="43" t="s">
        <v>4500</v>
      </c>
      <c r="K100" s="631" t="s">
        <v>4501</v>
      </c>
      <c r="L100" s="631" t="s">
        <v>30</v>
      </c>
      <c r="M100" s="631">
        <v>2</v>
      </c>
      <c r="N100" s="631">
        <v>10</v>
      </c>
      <c r="O100" s="4">
        <f>AVERAGE(22.6,22.1)</f>
        <v>22.35</v>
      </c>
      <c r="P100" s="4">
        <f>AVERAGE(135.9,135.7)</f>
        <v>135.80000000000001</v>
      </c>
      <c r="Q100" s="4">
        <f>AVERAGE(136.1,138.1)</f>
        <v>137.1</v>
      </c>
      <c r="R100" s="4">
        <f>AVERAGE(0.74,0.7)</f>
        <v>0.72</v>
      </c>
      <c r="S100" s="4">
        <f>AVERAGE(12,15.8)</f>
        <v>13.9</v>
      </c>
      <c r="T100" s="4">
        <f>AVERAGE(27.8,17)</f>
        <v>22.4</v>
      </c>
      <c r="U100" s="631" t="s">
        <v>50</v>
      </c>
      <c r="V100" s="631" t="s">
        <v>50</v>
      </c>
      <c r="W100" s="631" t="s">
        <v>50</v>
      </c>
      <c r="Y100" s="16" t="s">
        <v>32</v>
      </c>
    </row>
    <row r="101" spans="1:25" x14ac:dyDescent="0.25">
      <c r="A101" s="20">
        <v>43637</v>
      </c>
      <c r="B101" s="20" t="s">
        <v>125</v>
      </c>
      <c r="C101" s="508" t="s">
        <v>95</v>
      </c>
      <c r="D101" s="631">
        <v>38.028660000000002</v>
      </c>
      <c r="E101" s="631">
        <v>-121.74759</v>
      </c>
      <c r="F101" s="631" t="s">
        <v>4629</v>
      </c>
      <c r="G101" s="631" t="s">
        <v>27</v>
      </c>
      <c r="H101" s="631" t="s">
        <v>863</v>
      </c>
      <c r="I101" s="21">
        <v>0.36458333333333331</v>
      </c>
      <c r="J101" s="43" t="s">
        <v>4500</v>
      </c>
      <c r="K101" s="631" t="s">
        <v>4501</v>
      </c>
      <c r="L101" s="631" t="s">
        <v>30</v>
      </c>
      <c r="M101" s="631">
        <v>2</v>
      </c>
      <c r="N101" s="631">
        <v>10</v>
      </c>
      <c r="O101" s="4">
        <f>AVERAGE(34.5,34.6)</f>
        <v>34.549999999999997</v>
      </c>
      <c r="P101" s="4">
        <f>AVERAGE(127.8,126.1)</f>
        <v>126.94999999999999</v>
      </c>
      <c r="Q101" s="4">
        <f>AVERAGE(129.5,125.7)</f>
        <v>127.6</v>
      </c>
      <c r="R101" s="4">
        <f>AVERAGE(0.66,0.83)</f>
        <v>0.745</v>
      </c>
      <c r="S101" s="4">
        <f>AVERAGE(13.4,11.1)</f>
        <v>12.25</v>
      </c>
      <c r="T101" s="4">
        <f>AVERAGE(14.9,13.8)</f>
        <v>14.350000000000001</v>
      </c>
      <c r="U101" s="631" t="s">
        <v>50</v>
      </c>
      <c r="V101" s="631" t="s">
        <v>50</v>
      </c>
      <c r="W101" s="631" t="s">
        <v>50</v>
      </c>
      <c r="Y101" s="16" t="s">
        <v>32</v>
      </c>
    </row>
    <row r="102" spans="1:25" x14ac:dyDescent="0.25">
      <c r="A102" s="20">
        <v>43637</v>
      </c>
      <c r="B102" s="20" t="s">
        <v>125</v>
      </c>
      <c r="C102" s="508" t="s">
        <v>95</v>
      </c>
      <c r="D102" s="631">
        <v>38.086919999999999</v>
      </c>
      <c r="E102" s="631">
        <v>-121.64596</v>
      </c>
      <c r="F102" s="631" t="s">
        <v>4630</v>
      </c>
      <c r="G102" s="631" t="s">
        <v>46</v>
      </c>
      <c r="H102" s="631" t="s">
        <v>908</v>
      </c>
      <c r="I102" s="21">
        <v>0.40416666666666662</v>
      </c>
      <c r="J102" s="43" t="s">
        <v>4500</v>
      </c>
      <c r="K102" s="631" t="s">
        <v>4501</v>
      </c>
      <c r="L102" s="631" t="s">
        <v>30</v>
      </c>
      <c r="M102" s="631">
        <v>2</v>
      </c>
      <c r="N102" s="631">
        <v>10</v>
      </c>
      <c r="O102" s="4">
        <f>AVERAGE(58.5,59.1)</f>
        <v>58.8</v>
      </c>
      <c r="P102" s="4">
        <f>AVERAGE(110.9,109.8)</f>
        <v>110.35</v>
      </c>
      <c r="Q102" s="4">
        <f>AVERAGE(111.1,110.2)</f>
        <v>110.65</v>
      </c>
      <c r="R102" s="4">
        <f>AVERAGE(1.85,1.27)</f>
        <v>1.56</v>
      </c>
      <c r="S102" s="4">
        <f>AVERAGE(9.4,8.48)</f>
        <v>8.9400000000000013</v>
      </c>
      <c r="T102" s="4">
        <f>AVERAGE(8.66,8.44)</f>
        <v>8.5500000000000007</v>
      </c>
      <c r="U102" s="631" t="s">
        <v>50</v>
      </c>
      <c r="V102" s="631" t="s">
        <v>50</v>
      </c>
      <c r="W102" s="631" t="s">
        <v>50</v>
      </c>
      <c r="Y102" s="16" t="s">
        <v>32</v>
      </c>
    </row>
    <row r="103" spans="1:25" x14ac:dyDescent="0.25">
      <c r="A103" s="20">
        <v>43637</v>
      </c>
      <c r="B103" s="20" t="s">
        <v>125</v>
      </c>
      <c r="C103" s="508" t="s">
        <v>95</v>
      </c>
      <c r="D103" s="631">
        <v>38.097189999999998</v>
      </c>
      <c r="E103" s="631">
        <v>-121.58054</v>
      </c>
      <c r="F103" s="631" t="s">
        <v>4631</v>
      </c>
      <c r="G103" s="631" t="s">
        <v>46</v>
      </c>
      <c r="H103" s="631" t="s">
        <v>115</v>
      </c>
      <c r="I103" s="21">
        <v>0.43472222222222223</v>
      </c>
      <c r="J103" s="43" t="s">
        <v>4500</v>
      </c>
      <c r="K103" s="631" t="s">
        <v>4501</v>
      </c>
      <c r="L103" s="631" t="s">
        <v>30</v>
      </c>
      <c r="M103" s="631">
        <v>2</v>
      </c>
      <c r="N103" s="631">
        <v>10</v>
      </c>
      <c r="O103" s="4">
        <f>AVERAGE(59.5,58.1)</f>
        <v>58.8</v>
      </c>
      <c r="P103" s="4">
        <f>AVERAGE(109.4,109.2)</f>
        <v>109.30000000000001</v>
      </c>
      <c r="Q103" s="4">
        <f>AVERAGE(108.7,109.7)</f>
        <v>109.2</v>
      </c>
      <c r="R103" s="4">
        <f>AVERAGE(1.48,1.32)</f>
        <v>1.4</v>
      </c>
      <c r="S103" s="4">
        <f>AVERAGE(7.65,6.8)</f>
        <v>7.2249999999999996</v>
      </c>
      <c r="T103" s="4">
        <f>AVERAGE(8.14,9.54)</f>
        <v>8.84</v>
      </c>
      <c r="U103" s="631" t="s">
        <v>50</v>
      </c>
      <c r="V103" s="631" t="s">
        <v>50</v>
      </c>
      <c r="W103" s="631" t="s">
        <v>50</v>
      </c>
      <c r="Y103" s="16" t="s">
        <v>32</v>
      </c>
    </row>
    <row r="104" spans="1:25" x14ac:dyDescent="0.25">
      <c r="A104" s="20">
        <v>43637</v>
      </c>
      <c r="B104" s="20" t="s">
        <v>125</v>
      </c>
      <c r="C104" s="508" t="s">
        <v>95</v>
      </c>
      <c r="D104" s="631">
        <v>38.07761</v>
      </c>
      <c r="E104" s="631">
        <v>-121.67852999999999</v>
      </c>
      <c r="F104" s="631" t="s">
        <v>4632</v>
      </c>
      <c r="G104" s="631" t="s">
        <v>46</v>
      </c>
      <c r="H104" s="631" t="s">
        <v>908</v>
      </c>
      <c r="I104" s="21">
        <v>0.47152777777777777</v>
      </c>
      <c r="J104" s="43" t="s">
        <v>4500</v>
      </c>
      <c r="K104" s="631" t="s">
        <v>4501</v>
      </c>
      <c r="L104" s="631" t="s">
        <v>30</v>
      </c>
      <c r="M104" s="631">
        <v>2</v>
      </c>
      <c r="N104" s="631">
        <v>10</v>
      </c>
      <c r="O104" s="4">
        <f>AVERAGE(40.2,38.3)</f>
        <v>39.25</v>
      </c>
      <c r="P104" s="4">
        <f>AVERAGE(112.8,112.6)</f>
        <v>112.69999999999999</v>
      </c>
      <c r="Q104" s="4">
        <f>AVERAGE(113.7,114.9)</f>
        <v>114.30000000000001</v>
      </c>
      <c r="R104" s="4">
        <f>AVERAGE(1.26,1.15)</f>
        <v>1.2050000000000001</v>
      </c>
      <c r="S104" s="4">
        <f>AVERAGE(9.61,10.8)</f>
        <v>10.205</v>
      </c>
      <c r="T104" s="4">
        <f>AVERAGE(13.8,11.8)</f>
        <v>12.8</v>
      </c>
      <c r="U104" s="631" t="s">
        <v>50</v>
      </c>
      <c r="V104" s="631" t="s">
        <v>50</v>
      </c>
      <c r="W104" s="631" t="s">
        <v>50</v>
      </c>
      <c r="Y104" s="16" t="s">
        <v>32</v>
      </c>
    </row>
    <row r="105" spans="1:25" x14ac:dyDescent="0.25">
      <c r="A105" s="20">
        <v>43640</v>
      </c>
      <c r="B105" s="20" t="s">
        <v>43</v>
      </c>
      <c r="C105" s="508" t="s">
        <v>62</v>
      </c>
      <c r="D105" s="631">
        <v>38.095910000000003</v>
      </c>
      <c r="E105" s="631">
        <v>-121.89245</v>
      </c>
      <c r="F105" s="631" t="s">
        <v>4633</v>
      </c>
      <c r="G105" s="631" t="s">
        <v>27</v>
      </c>
      <c r="H105" s="631" t="s">
        <v>62</v>
      </c>
      <c r="I105" s="21">
        <v>0.3743055555555555</v>
      </c>
      <c r="J105" s="43" t="s">
        <v>4500</v>
      </c>
      <c r="K105" s="631" t="s">
        <v>4501</v>
      </c>
      <c r="L105" s="631" t="s">
        <v>30</v>
      </c>
      <c r="M105" s="631">
        <v>2</v>
      </c>
      <c r="N105" s="631">
        <v>10</v>
      </c>
      <c r="O105" s="4">
        <f>AVERAGE(22.5,23.2)</f>
        <v>22.85</v>
      </c>
      <c r="P105" s="4">
        <f>AVERAGE(224.5,230.6)</f>
        <v>227.55</v>
      </c>
      <c r="Q105" s="4">
        <f>AVERAGE(227.3,231.9)</f>
        <v>229.60000000000002</v>
      </c>
      <c r="R105" s="4">
        <f>AVERAGE(0.58,0.57)</f>
        <v>0.57499999999999996</v>
      </c>
      <c r="S105" s="4">
        <f>AVERAGE(27.1,21.7)</f>
        <v>24.4</v>
      </c>
      <c r="T105" s="4">
        <f>AVERAGE(31.6,26.5)</f>
        <v>29.05</v>
      </c>
      <c r="U105" s="631" t="s">
        <v>50</v>
      </c>
      <c r="V105" s="631" t="s">
        <v>50</v>
      </c>
      <c r="W105" s="631" t="s">
        <v>50</v>
      </c>
      <c r="Y105" s="16" t="s">
        <v>32</v>
      </c>
    </row>
    <row r="106" spans="1:25" x14ac:dyDescent="0.25">
      <c r="A106" s="20">
        <v>43640</v>
      </c>
      <c r="B106" s="20" t="s">
        <v>43</v>
      </c>
      <c r="C106" s="508" t="s">
        <v>62</v>
      </c>
      <c r="D106" s="631">
        <v>38.17454</v>
      </c>
      <c r="E106" s="631">
        <v>-121.94861</v>
      </c>
      <c r="F106" s="631" t="s">
        <v>4634</v>
      </c>
      <c r="G106" s="631" t="s">
        <v>27</v>
      </c>
      <c r="H106" s="631" t="s">
        <v>62</v>
      </c>
      <c r="I106" s="21">
        <v>0.41180555555555554</v>
      </c>
      <c r="J106" s="43" t="s">
        <v>4500</v>
      </c>
      <c r="K106" s="631" t="s">
        <v>4501</v>
      </c>
      <c r="L106" s="631" t="s">
        <v>30</v>
      </c>
      <c r="M106" s="631">
        <v>2</v>
      </c>
      <c r="N106" s="631">
        <v>10</v>
      </c>
      <c r="O106" s="4">
        <f>AVERAGE(32.5,32.7)</f>
        <v>32.6</v>
      </c>
      <c r="P106" s="4">
        <f>AVERAGE(771,774)</f>
        <v>772.5</v>
      </c>
      <c r="Q106" s="4">
        <f>AVERAGE(771,773)</f>
        <v>772</v>
      </c>
      <c r="R106" s="4">
        <f>AVERAGE(0.28,0.46)</f>
        <v>0.37</v>
      </c>
      <c r="S106" s="4">
        <f>AVERAGE(55.6,60.4)</f>
        <v>58</v>
      </c>
      <c r="T106" s="4">
        <f>AVERAGE(55.5,55.2)</f>
        <v>55.35</v>
      </c>
      <c r="U106" s="631" t="s">
        <v>50</v>
      </c>
      <c r="V106" s="631" t="s">
        <v>50</v>
      </c>
      <c r="W106" s="631" t="s">
        <v>50</v>
      </c>
      <c r="Y106" s="16" t="s">
        <v>32</v>
      </c>
    </row>
    <row r="107" spans="1:25" s="199" customFormat="1" x14ac:dyDescent="0.25">
      <c r="A107" s="198">
        <v>43640</v>
      </c>
      <c r="B107" s="198" t="s">
        <v>43</v>
      </c>
      <c r="C107" s="543" t="s">
        <v>62</v>
      </c>
      <c r="D107" s="199">
        <v>38.109450000000002</v>
      </c>
      <c r="E107" s="199">
        <v>-122.04882000000001</v>
      </c>
      <c r="F107" s="199" t="s">
        <v>4635</v>
      </c>
      <c r="G107" s="199" t="s">
        <v>27</v>
      </c>
      <c r="H107" s="199" t="s">
        <v>173</v>
      </c>
      <c r="I107" s="202">
        <v>0.45277777777777778</v>
      </c>
      <c r="J107" s="545" t="s">
        <v>4500</v>
      </c>
      <c r="K107" s="199" t="s">
        <v>4501</v>
      </c>
      <c r="L107" s="199" t="s">
        <v>30</v>
      </c>
      <c r="M107" s="199">
        <v>0</v>
      </c>
      <c r="N107" s="199" t="s">
        <v>50</v>
      </c>
      <c r="O107" s="203" t="s">
        <v>50</v>
      </c>
      <c r="P107" s="203" t="s">
        <v>50</v>
      </c>
      <c r="Q107" s="203" t="s">
        <v>50</v>
      </c>
      <c r="R107" s="203" t="s">
        <v>50</v>
      </c>
      <c r="S107" s="203" t="s">
        <v>50</v>
      </c>
      <c r="T107" s="203" t="s">
        <v>50</v>
      </c>
      <c r="U107" s="199" t="s">
        <v>50</v>
      </c>
      <c r="V107" s="199" t="s">
        <v>50</v>
      </c>
      <c r="W107" s="199" t="s">
        <v>50</v>
      </c>
      <c r="X107" s="200" t="s">
        <v>734</v>
      </c>
      <c r="Y107" s="199" t="s">
        <v>32</v>
      </c>
    </row>
    <row r="108" spans="1:25" x14ac:dyDescent="0.25">
      <c r="A108" s="20">
        <v>43640</v>
      </c>
      <c r="B108" s="20" t="s">
        <v>43</v>
      </c>
      <c r="C108" s="508" t="s">
        <v>62</v>
      </c>
      <c r="D108" s="631">
        <v>38.137630000000001</v>
      </c>
      <c r="E108" s="631">
        <v>-122.06159</v>
      </c>
      <c r="F108" s="631" t="s">
        <v>4636</v>
      </c>
      <c r="G108" s="631" t="s">
        <v>27</v>
      </c>
      <c r="H108" s="631" t="s">
        <v>62</v>
      </c>
      <c r="I108" s="21">
        <v>0.46111111111111108</v>
      </c>
      <c r="J108" s="43" t="s">
        <v>4500</v>
      </c>
      <c r="K108" s="631" t="s">
        <v>4501</v>
      </c>
      <c r="L108" s="631" t="s">
        <v>30</v>
      </c>
      <c r="M108" s="631">
        <v>2</v>
      </c>
      <c r="N108" s="631">
        <v>10</v>
      </c>
      <c r="O108" s="4">
        <f>AVERAGE(49.7,39.2)</f>
        <v>44.45</v>
      </c>
      <c r="P108" s="4">
        <f>AVERAGE(582,537)</f>
        <v>559.5</v>
      </c>
      <c r="Q108" s="4">
        <f>AVERAGE(594,626)</f>
        <v>610</v>
      </c>
      <c r="R108" s="4">
        <f>AVERAGE(0.43,0.39)</f>
        <v>0.41000000000000003</v>
      </c>
      <c r="S108" s="4">
        <f>AVERAGE(61.6,59.7)</f>
        <v>60.650000000000006</v>
      </c>
      <c r="T108" s="4">
        <f>AVERAGE(64.2,327)</f>
        <v>195.6</v>
      </c>
      <c r="U108" s="631" t="s">
        <v>50</v>
      </c>
      <c r="V108" s="631" t="s">
        <v>50</v>
      </c>
      <c r="W108" s="631" t="s">
        <v>50</v>
      </c>
      <c r="Y108" s="16" t="s">
        <v>32</v>
      </c>
    </row>
    <row r="109" spans="1:25" x14ac:dyDescent="0.25">
      <c r="A109" s="20">
        <v>43640</v>
      </c>
      <c r="B109" s="20" t="s">
        <v>43</v>
      </c>
      <c r="C109" s="508" t="s">
        <v>62</v>
      </c>
      <c r="D109" s="631">
        <v>38.122630000000001</v>
      </c>
      <c r="E109" s="631">
        <v>-122.05574</v>
      </c>
      <c r="F109" s="631" t="s">
        <v>4637</v>
      </c>
      <c r="G109" s="631" t="s">
        <v>27</v>
      </c>
      <c r="H109" s="631" t="s">
        <v>62</v>
      </c>
      <c r="I109" s="21">
        <v>0.4909722222222222</v>
      </c>
      <c r="J109" s="43" t="s">
        <v>4500</v>
      </c>
      <c r="K109" s="631" t="s">
        <v>4501</v>
      </c>
      <c r="L109" s="631" t="s">
        <v>30</v>
      </c>
      <c r="M109" s="631">
        <v>2</v>
      </c>
      <c r="N109" s="631">
        <v>10</v>
      </c>
      <c r="O109" s="28">
        <f>AVERAGE(11.2,11.4)</f>
        <v>11.3</v>
      </c>
      <c r="P109" s="28">
        <f>AVERAGE(583,586)</f>
        <v>584.5</v>
      </c>
      <c r="Q109" s="28">
        <f>AVERAGE(576,586)</f>
        <v>581</v>
      </c>
      <c r="R109" s="28">
        <f>AVERAGE(0.33,0.33)</f>
        <v>0.33</v>
      </c>
      <c r="S109" s="28">
        <f>AVERAGE(82.4,66.4)</f>
        <v>74.400000000000006</v>
      </c>
      <c r="T109" s="28">
        <f>AVERAGE(77.9,107)</f>
        <v>92.45</v>
      </c>
      <c r="U109" s="43" t="s">
        <v>50</v>
      </c>
      <c r="V109" s="45" t="s">
        <v>50</v>
      </c>
      <c r="W109" s="45" t="s">
        <v>50</v>
      </c>
      <c r="Y109" s="269" t="s">
        <v>32</v>
      </c>
    </row>
    <row r="110" spans="1:25" s="199" customFormat="1" x14ac:dyDescent="0.25">
      <c r="A110" s="198">
        <v>43640</v>
      </c>
      <c r="B110" s="198" t="s">
        <v>43</v>
      </c>
      <c r="C110" s="543" t="s">
        <v>62</v>
      </c>
      <c r="D110" s="199">
        <v>38.104039999999998</v>
      </c>
      <c r="E110" s="199">
        <v>-122.03091000000001</v>
      </c>
      <c r="F110" s="199" t="s">
        <v>4638</v>
      </c>
      <c r="G110" s="199" t="s">
        <v>27</v>
      </c>
      <c r="H110" s="199" t="s">
        <v>173</v>
      </c>
      <c r="I110" s="202">
        <v>0.51944444444444449</v>
      </c>
      <c r="J110" s="545" t="s">
        <v>4500</v>
      </c>
      <c r="K110" s="199" t="s">
        <v>4501</v>
      </c>
      <c r="L110" s="199" t="s">
        <v>30</v>
      </c>
      <c r="M110" s="199">
        <v>0</v>
      </c>
      <c r="N110" s="199" t="s">
        <v>50</v>
      </c>
      <c r="O110" s="203" t="s">
        <v>50</v>
      </c>
      <c r="P110" s="203" t="s">
        <v>50</v>
      </c>
      <c r="Q110" s="203" t="s">
        <v>50</v>
      </c>
      <c r="R110" s="203" t="s">
        <v>50</v>
      </c>
      <c r="S110" s="203" t="s">
        <v>50</v>
      </c>
      <c r="T110" s="203" t="s">
        <v>50</v>
      </c>
      <c r="U110" s="199" t="s">
        <v>50</v>
      </c>
      <c r="V110" s="199" t="s">
        <v>50</v>
      </c>
      <c r="W110" s="199" t="s">
        <v>50</v>
      </c>
      <c r="X110" s="200" t="s">
        <v>858</v>
      </c>
      <c r="Y110" s="544" t="s">
        <v>32</v>
      </c>
    </row>
    <row r="111" spans="1:25" x14ac:dyDescent="0.25">
      <c r="A111" s="20">
        <v>43640</v>
      </c>
      <c r="B111" s="20" t="s">
        <v>43</v>
      </c>
      <c r="C111" s="508" t="s">
        <v>62</v>
      </c>
      <c r="D111" s="631">
        <v>38.185809999999996</v>
      </c>
      <c r="E111" s="631">
        <v>-121.97002000000001</v>
      </c>
      <c r="F111" s="631" t="s">
        <v>4639</v>
      </c>
      <c r="G111" s="631" t="s">
        <v>27</v>
      </c>
      <c r="H111" s="631" t="s">
        <v>62</v>
      </c>
      <c r="I111" s="21">
        <v>0.5395833333333333</v>
      </c>
      <c r="J111" s="43" t="s">
        <v>4500</v>
      </c>
      <c r="K111" s="631" t="s">
        <v>4501</v>
      </c>
      <c r="L111" s="631" t="s">
        <v>30</v>
      </c>
      <c r="M111" s="631">
        <v>2</v>
      </c>
      <c r="N111" s="631">
        <v>10</v>
      </c>
      <c r="O111" s="4">
        <f>AVERAGE(27,25.9)</f>
        <v>26.45</v>
      </c>
      <c r="P111" s="4">
        <f>AVERAGE(782,776)</f>
        <v>779</v>
      </c>
      <c r="Q111" s="4">
        <f>AVERAGE(778,775)</f>
        <v>776.5</v>
      </c>
      <c r="R111" s="4">
        <f>AVERAGE(0.35,0.3)</f>
        <v>0.32499999999999996</v>
      </c>
      <c r="S111" s="4">
        <f>AVERAGE(65.4,65.1)</f>
        <v>65.25</v>
      </c>
      <c r="T111" s="4">
        <f>AVERAGE(100,64.7)</f>
        <v>82.35</v>
      </c>
      <c r="U111" s="631" t="s">
        <v>50</v>
      </c>
      <c r="V111" s="631" t="s">
        <v>50</v>
      </c>
      <c r="W111" s="631" t="s">
        <v>50</v>
      </c>
      <c r="Y111" s="16" t="s">
        <v>32</v>
      </c>
    </row>
    <row r="112" spans="1:25" x14ac:dyDescent="0.25">
      <c r="A112" s="20">
        <v>43640</v>
      </c>
      <c r="B112" s="20" t="s">
        <v>43</v>
      </c>
      <c r="C112" s="508" t="s">
        <v>88</v>
      </c>
      <c r="D112" s="631">
        <v>38.110480000000003</v>
      </c>
      <c r="E112" s="631">
        <v>-121.70121</v>
      </c>
      <c r="F112" s="631" t="s">
        <v>4640</v>
      </c>
      <c r="G112" s="631" t="s">
        <v>90</v>
      </c>
      <c r="H112" s="631" t="s">
        <v>91</v>
      </c>
      <c r="I112" s="21">
        <v>0.37361111111111112</v>
      </c>
      <c r="J112" s="43" t="s">
        <v>4500</v>
      </c>
      <c r="K112" s="631" t="s">
        <v>4501</v>
      </c>
      <c r="L112" s="631" t="s">
        <v>30</v>
      </c>
      <c r="M112" s="631">
        <v>2</v>
      </c>
      <c r="N112" s="631">
        <v>10</v>
      </c>
      <c r="O112" s="4">
        <f>AVERAGE(29.3,32.8)</f>
        <v>31.049999999999997</v>
      </c>
      <c r="P112" s="4">
        <f>AVERAGE(120.8,121.6)</f>
        <v>121.19999999999999</v>
      </c>
      <c r="Q112" s="4">
        <f>AVERAGE(124.1,123)</f>
        <v>123.55</v>
      </c>
      <c r="R112" s="4">
        <f>AVERAGE(1.5,1.55)</f>
        <v>1.5249999999999999</v>
      </c>
      <c r="S112" s="4">
        <f>AVERAGE(6.66,6.8)</f>
        <v>6.73</v>
      </c>
      <c r="T112" s="4">
        <f>AVERAGE(10,9.88)</f>
        <v>9.9400000000000013</v>
      </c>
      <c r="U112" s="631" t="s">
        <v>50</v>
      </c>
      <c r="V112" s="631" t="s">
        <v>50</v>
      </c>
      <c r="W112" s="631" t="s">
        <v>50</v>
      </c>
      <c r="Y112" s="631" t="s">
        <v>32</v>
      </c>
    </row>
    <row r="113" spans="1:25" x14ac:dyDescent="0.25">
      <c r="A113" s="20">
        <v>43640</v>
      </c>
      <c r="B113" s="20" t="s">
        <v>43</v>
      </c>
      <c r="C113" s="508" t="s">
        <v>88</v>
      </c>
      <c r="D113" s="631">
        <v>38.068100000000001</v>
      </c>
      <c r="E113" s="631">
        <v>-121.77084000000001</v>
      </c>
      <c r="F113" s="631" t="s">
        <v>4641</v>
      </c>
      <c r="G113" s="631" t="s">
        <v>27</v>
      </c>
      <c r="H113" s="631" t="s">
        <v>25</v>
      </c>
      <c r="I113" s="21">
        <v>0.4069444444444445</v>
      </c>
      <c r="J113" s="43" t="s">
        <v>4500</v>
      </c>
      <c r="K113" s="631" t="s">
        <v>4501</v>
      </c>
      <c r="L113" s="631" t="s">
        <v>30</v>
      </c>
      <c r="M113" s="631">
        <v>2</v>
      </c>
      <c r="N113" s="631">
        <v>10</v>
      </c>
      <c r="O113" s="4">
        <f>AVERAGE(24.6,21.7)</f>
        <v>23.15</v>
      </c>
      <c r="P113" s="4">
        <f>AVERAGE(120.4,121.2)</f>
        <v>120.80000000000001</v>
      </c>
      <c r="Q113" s="4">
        <f>AVERAGE(121.3,121.8)</f>
        <v>121.55</v>
      </c>
      <c r="R113" s="4">
        <f>AVERAGE(1.1,1.25)</f>
        <v>1.175</v>
      </c>
      <c r="S113" s="4">
        <f>AVERAGE(10.3,8.95)</f>
        <v>9.625</v>
      </c>
      <c r="T113" s="4">
        <f>AVERAGE(9.21,10.1)</f>
        <v>9.6550000000000011</v>
      </c>
      <c r="U113" s="43" t="s">
        <v>50</v>
      </c>
      <c r="V113" s="45" t="s">
        <v>50</v>
      </c>
      <c r="W113" s="45" t="s">
        <v>50</v>
      </c>
      <c r="Y113" s="40" t="s">
        <v>32</v>
      </c>
    </row>
    <row r="114" spans="1:25" x14ac:dyDescent="0.25">
      <c r="A114" s="20">
        <v>43640</v>
      </c>
      <c r="B114" s="631" t="s">
        <v>43</v>
      </c>
      <c r="C114" s="508" t="s">
        <v>88</v>
      </c>
      <c r="D114" s="631">
        <v>38.069130000000001</v>
      </c>
      <c r="E114" s="631">
        <v>-121.83566999999999</v>
      </c>
      <c r="F114" s="631" t="s">
        <v>4642</v>
      </c>
      <c r="G114" s="631" t="s">
        <v>27</v>
      </c>
      <c r="H114" s="631" t="s">
        <v>25</v>
      </c>
      <c r="I114" s="21">
        <v>0.44027777777777777</v>
      </c>
      <c r="J114" s="631" t="s">
        <v>4500</v>
      </c>
      <c r="K114" s="631" t="s">
        <v>4501</v>
      </c>
      <c r="L114" s="631" t="s">
        <v>30</v>
      </c>
      <c r="M114" s="631">
        <v>2</v>
      </c>
      <c r="N114" s="631">
        <v>10</v>
      </c>
      <c r="O114" s="4">
        <f>AVERAGE(21.3,21.7)</f>
        <v>21.5</v>
      </c>
      <c r="P114" s="4">
        <f>AVERAGE(138,136.2)</f>
        <v>137.1</v>
      </c>
      <c r="Q114" s="4">
        <f>AVERAGE(140,136.3)</f>
        <v>138.15</v>
      </c>
      <c r="R114" s="4">
        <f>AVERAGE(0.8,0.7)</f>
        <v>0.75</v>
      </c>
      <c r="S114" s="4">
        <f>AVERAGE(11.9,11.7)</f>
        <v>11.8</v>
      </c>
      <c r="T114" s="4">
        <f>AVERAGE(12.8,13.9)</f>
        <v>13.350000000000001</v>
      </c>
      <c r="U114" s="631" t="s">
        <v>50</v>
      </c>
      <c r="V114" s="631" t="s">
        <v>50</v>
      </c>
      <c r="W114" s="631" t="s">
        <v>50</v>
      </c>
      <c r="Y114" s="631" t="s">
        <v>32</v>
      </c>
    </row>
    <row r="115" spans="1:25" s="199" customFormat="1" x14ac:dyDescent="0.25">
      <c r="A115" s="198">
        <v>43640</v>
      </c>
      <c r="B115" s="198" t="s">
        <v>43</v>
      </c>
      <c r="C115" s="543" t="s">
        <v>88</v>
      </c>
      <c r="D115" s="199">
        <v>38.054819999999999</v>
      </c>
      <c r="E115" s="199">
        <v>-121.78455</v>
      </c>
      <c r="F115" s="199" t="s">
        <v>4643</v>
      </c>
      <c r="G115" s="199" t="s">
        <v>27</v>
      </c>
      <c r="H115" s="199" t="s">
        <v>25</v>
      </c>
      <c r="I115" s="202">
        <v>0.46319444444444446</v>
      </c>
      <c r="J115" s="545" t="s">
        <v>4500</v>
      </c>
      <c r="K115" s="199" t="s">
        <v>4501</v>
      </c>
      <c r="L115" s="199" t="s">
        <v>30</v>
      </c>
      <c r="M115" s="199">
        <v>0</v>
      </c>
      <c r="N115" s="199" t="s">
        <v>50</v>
      </c>
      <c r="O115" s="203" t="s">
        <v>50</v>
      </c>
      <c r="P115" s="203" t="s">
        <v>50</v>
      </c>
      <c r="Q115" s="203" t="s">
        <v>50</v>
      </c>
      <c r="R115" s="203" t="s">
        <v>50</v>
      </c>
      <c r="S115" s="203" t="s">
        <v>50</v>
      </c>
      <c r="T115" s="203" t="s">
        <v>50</v>
      </c>
      <c r="U115" s="199" t="s">
        <v>50</v>
      </c>
      <c r="V115" s="199" t="s">
        <v>50</v>
      </c>
      <c r="W115" s="199" t="s">
        <v>50</v>
      </c>
      <c r="X115" s="200" t="s">
        <v>4644</v>
      </c>
      <c r="Y115" s="544" t="s">
        <v>32</v>
      </c>
    </row>
    <row r="116" spans="1:25" x14ac:dyDescent="0.25">
      <c r="A116" s="20">
        <v>43640</v>
      </c>
      <c r="B116" s="20" t="s">
        <v>43</v>
      </c>
      <c r="C116" s="508" t="s">
        <v>88</v>
      </c>
      <c r="D116" s="631">
        <v>38.085079999999998</v>
      </c>
      <c r="E116" s="631">
        <v>-121.73916</v>
      </c>
      <c r="F116" s="631" t="s">
        <v>4645</v>
      </c>
      <c r="G116" s="631" t="s">
        <v>90</v>
      </c>
      <c r="H116" s="631" t="s">
        <v>91</v>
      </c>
      <c r="I116" s="21">
        <v>0.4777777777777778</v>
      </c>
      <c r="J116" s="43" t="s">
        <v>4500</v>
      </c>
      <c r="K116" s="631" t="s">
        <v>4501</v>
      </c>
      <c r="L116" s="631" t="s">
        <v>30</v>
      </c>
      <c r="M116" s="631">
        <v>2</v>
      </c>
      <c r="N116" s="631">
        <v>10</v>
      </c>
      <c r="O116" s="4">
        <f>AVERAGE(42,50.1)</f>
        <v>46.05</v>
      </c>
      <c r="P116" s="4">
        <f>AVERAGE(123.5,123.6)</f>
        <v>123.55</v>
      </c>
      <c r="Q116" s="4">
        <f>AVERAGE(123.7,122.9)</f>
        <v>123.30000000000001</v>
      </c>
      <c r="R116" s="4">
        <f>AVERAGE(1.37,1.2)</f>
        <v>1.2850000000000001</v>
      </c>
      <c r="S116" s="4">
        <f>AVERAGE(7.47,6.5)</f>
        <v>6.9849999999999994</v>
      </c>
      <c r="T116" s="4">
        <f>AVERAGE(7.22,8.5)</f>
        <v>7.8599999999999994</v>
      </c>
      <c r="U116" s="631" t="s">
        <v>50</v>
      </c>
      <c r="V116" s="631" t="s">
        <v>50</v>
      </c>
      <c r="W116" s="631" t="s">
        <v>50</v>
      </c>
      <c r="Y116" s="631" t="s">
        <v>32</v>
      </c>
    </row>
    <row r="117" spans="1:25" x14ac:dyDescent="0.25">
      <c r="A117" s="20">
        <v>43640</v>
      </c>
      <c r="B117" s="20" t="s">
        <v>43</v>
      </c>
      <c r="C117" s="508" t="s">
        <v>88</v>
      </c>
      <c r="D117" s="631">
        <v>38.131010000000003</v>
      </c>
      <c r="E117" s="631">
        <v>-121.69719000000001</v>
      </c>
      <c r="F117" s="631" t="s">
        <v>4646</v>
      </c>
      <c r="G117" s="631" t="s">
        <v>90</v>
      </c>
      <c r="H117" s="631" t="s">
        <v>91</v>
      </c>
      <c r="I117" s="21">
        <v>0.50972222222222219</v>
      </c>
      <c r="J117" s="546" t="s">
        <v>4500</v>
      </c>
      <c r="K117" s="631" t="s">
        <v>4501</v>
      </c>
      <c r="L117" s="631" t="s">
        <v>30</v>
      </c>
      <c r="M117" s="631">
        <v>2</v>
      </c>
      <c r="N117" s="631">
        <v>10</v>
      </c>
      <c r="O117" s="4">
        <f>AVERAGE(29.4,29.2)</f>
        <v>29.299999999999997</v>
      </c>
      <c r="P117" s="4">
        <f>AVERAGE(132.6,133.1)</f>
        <v>132.85</v>
      </c>
      <c r="Q117" s="4">
        <f>AVERAGE(133,133.4)</f>
        <v>133.19999999999999</v>
      </c>
      <c r="R117" s="4">
        <f>AVERAGE(1.65,1.55)</f>
        <v>1.6</v>
      </c>
      <c r="S117" s="4">
        <f>AVERAGE(7.03,7.29)</f>
        <v>7.16</v>
      </c>
      <c r="T117" s="4">
        <f>AVERAGE(9.64,9.69)</f>
        <v>9.6649999999999991</v>
      </c>
      <c r="U117" s="631" t="s">
        <v>50</v>
      </c>
      <c r="V117" s="631" t="s">
        <v>50</v>
      </c>
      <c r="W117" s="631" t="s">
        <v>50</v>
      </c>
      <c r="Y117" s="16" t="s">
        <v>32</v>
      </c>
    </row>
    <row r="118" spans="1:25" s="199" customFormat="1" x14ac:dyDescent="0.25">
      <c r="A118" s="198">
        <v>43641</v>
      </c>
      <c r="B118" s="198" t="s">
        <v>70</v>
      </c>
      <c r="C118" s="543" t="s">
        <v>845</v>
      </c>
      <c r="D118" s="199">
        <v>38.408290000000001</v>
      </c>
      <c r="E118" s="199">
        <v>-121.61781999999999</v>
      </c>
      <c r="F118" s="199" t="s">
        <v>4647</v>
      </c>
      <c r="G118" s="199" t="s">
        <v>90</v>
      </c>
      <c r="H118" s="199" t="s">
        <v>126</v>
      </c>
      <c r="I118" s="202">
        <v>0.30208333333333331</v>
      </c>
      <c r="J118" s="555" t="s">
        <v>4500</v>
      </c>
      <c r="K118" s="199" t="s">
        <v>4501</v>
      </c>
      <c r="L118" s="199" t="s">
        <v>30</v>
      </c>
      <c r="M118" s="199">
        <v>0</v>
      </c>
      <c r="N118" s="199" t="s">
        <v>50</v>
      </c>
      <c r="O118" s="203" t="s">
        <v>50</v>
      </c>
      <c r="P118" s="203" t="s">
        <v>50</v>
      </c>
      <c r="Q118" s="203" t="s">
        <v>50</v>
      </c>
      <c r="R118" s="203" t="s">
        <v>50</v>
      </c>
      <c r="S118" s="203" t="s">
        <v>50</v>
      </c>
      <c r="T118" s="203" t="s">
        <v>50</v>
      </c>
      <c r="U118" s="199" t="s">
        <v>50</v>
      </c>
      <c r="V118" s="199" t="s">
        <v>50</v>
      </c>
      <c r="W118" s="199" t="s">
        <v>50</v>
      </c>
      <c r="X118" s="200" t="s">
        <v>4648</v>
      </c>
      <c r="Y118" s="199" t="s">
        <v>32</v>
      </c>
    </row>
    <row r="119" spans="1:25" s="548" customFormat="1" x14ac:dyDescent="0.25">
      <c r="A119" s="20">
        <v>43641</v>
      </c>
      <c r="B119" s="20" t="s">
        <v>70</v>
      </c>
      <c r="C119" s="508" t="s">
        <v>845</v>
      </c>
      <c r="D119" s="631">
        <v>38.262</v>
      </c>
      <c r="E119" s="631">
        <v>-121.69123999999999</v>
      </c>
      <c r="F119" s="631" t="s">
        <v>4649</v>
      </c>
      <c r="G119" s="631" t="s">
        <v>90</v>
      </c>
      <c r="H119" s="631" t="s">
        <v>126</v>
      </c>
      <c r="I119" s="21">
        <v>0.31319444444444444</v>
      </c>
      <c r="J119" s="546" t="s">
        <v>4500</v>
      </c>
      <c r="K119" s="631" t="s">
        <v>4501</v>
      </c>
      <c r="L119" s="631" t="s">
        <v>30</v>
      </c>
      <c r="M119" s="631">
        <v>2</v>
      </c>
      <c r="N119" s="631">
        <v>10</v>
      </c>
      <c r="O119" s="4">
        <f>AVERAGE(20.1,22.2)</f>
        <v>21.15</v>
      </c>
      <c r="P119" s="4">
        <f>AVERAGE(198.3,198)</f>
        <v>198.15</v>
      </c>
      <c r="Q119" s="4">
        <f>AVERAGE(196.6,195.3)</f>
        <v>195.95</v>
      </c>
      <c r="R119" s="4">
        <f>AVERAGE(1.27,1.22)</f>
        <v>1.2450000000000001</v>
      </c>
      <c r="S119" s="4">
        <f>AVERAGE(6.33,6.72)</f>
        <v>6.5250000000000004</v>
      </c>
      <c r="T119" s="4">
        <f>AVERAGE(9.52,10.4)</f>
        <v>9.9600000000000009</v>
      </c>
      <c r="U119" s="43" t="s">
        <v>50</v>
      </c>
      <c r="V119" s="45" t="s">
        <v>50</v>
      </c>
      <c r="W119" s="45" t="s">
        <v>50</v>
      </c>
      <c r="X119" s="5"/>
      <c r="Y119" s="269" t="s">
        <v>32</v>
      </c>
    </row>
    <row r="120" spans="1:25" s="548" customFormat="1" x14ac:dyDescent="0.25">
      <c r="A120" s="20">
        <v>43641</v>
      </c>
      <c r="B120" s="20" t="s">
        <v>70</v>
      </c>
      <c r="C120" s="508" t="s">
        <v>845</v>
      </c>
      <c r="D120" s="631">
        <v>38.243270000000003</v>
      </c>
      <c r="E120" s="631">
        <v>-121.6888</v>
      </c>
      <c r="F120" s="631" t="s">
        <v>4650</v>
      </c>
      <c r="G120" s="631" t="s">
        <v>90</v>
      </c>
      <c r="H120" s="631" t="s">
        <v>126</v>
      </c>
      <c r="I120" s="21">
        <v>0.33958333333333335</v>
      </c>
      <c r="J120" s="546" t="s">
        <v>4500</v>
      </c>
      <c r="K120" s="631" t="s">
        <v>4501</v>
      </c>
      <c r="L120" s="631" t="s">
        <v>30</v>
      </c>
      <c r="M120" s="631">
        <v>2</v>
      </c>
      <c r="N120" s="631">
        <v>10</v>
      </c>
      <c r="O120" s="4">
        <f>AVERAGE(28.8,28.4)</f>
        <v>28.6</v>
      </c>
      <c r="P120" s="4">
        <f>AVERAGE(179.2,186.1)</f>
        <v>182.64999999999998</v>
      </c>
      <c r="Q120" s="4">
        <f>AVERAGE(173.1,180)</f>
        <v>176.55</v>
      </c>
      <c r="R120" s="4">
        <f>AVERAGE(1.12,0.95)</f>
        <v>1.0350000000000001</v>
      </c>
      <c r="S120" s="4">
        <f>AVERAGE(7.74,12.2)</f>
        <v>9.9699999999999989</v>
      </c>
      <c r="T120" s="4">
        <f>AVERAGE(13.3,19)</f>
        <v>16.149999999999999</v>
      </c>
      <c r="U120" s="43" t="s">
        <v>50</v>
      </c>
      <c r="V120" s="45" t="s">
        <v>50</v>
      </c>
      <c r="W120" s="45" t="s">
        <v>50</v>
      </c>
      <c r="X120" s="5"/>
      <c r="Y120" s="269" t="s">
        <v>32</v>
      </c>
    </row>
    <row r="121" spans="1:25" s="548" customFormat="1" x14ac:dyDescent="0.25">
      <c r="A121" s="20">
        <v>43641</v>
      </c>
      <c r="B121" s="20" t="s">
        <v>70</v>
      </c>
      <c r="C121" s="508" t="s">
        <v>845</v>
      </c>
      <c r="D121" s="631">
        <v>38.24409</v>
      </c>
      <c r="E121" s="631">
        <v>-121.6777</v>
      </c>
      <c r="F121" s="631" t="s">
        <v>4651</v>
      </c>
      <c r="G121" s="631" t="s">
        <v>90</v>
      </c>
      <c r="H121" s="631" t="s">
        <v>126</v>
      </c>
      <c r="I121" s="21">
        <v>0.3666666666666667</v>
      </c>
      <c r="J121" s="546" t="s">
        <v>4500</v>
      </c>
      <c r="K121" s="631" t="s">
        <v>4501</v>
      </c>
      <c r="L121" s="631" t="s">
        <v>30</v>
      </c>
      <c r="M121" s="631">
        <v>2</v>
      </c>
      <c r="N121" s="631">
        <v>10</v>
      </c>
      <c r="O121" s="4">
        <f>AVERAGE(39.9,39.5)</f>
        <v>39.700000000000003</v>
      </c>
      <c r="P121" s="4">
        <f>AVERAGE(196.7,183)</f>
        <v>189.85</v>
      </c>
      <c r="Q121" s="4">
        <f>AVERAGE(198.1,188.3)</f>
        <v>193.2</v>
      </c>
      <c r="R121" s="4">
        <f>AVERAGE(0.79,0.83)</f>
        <v>0.81</v>
      </c>
      <c r="S121" s="4">
        <f>AVERAGE(14.5,13.7)</f>
        <v>14.1</v>
      </c>
      <c r="T121" s="4">
        <f>AVERAGE(21.7,15.4)</f>
        <v>18.55</v>
      </c>
      <c r="U121" s="43" t="s">
        <v>50</v>
      </c>
      <c r="V121" s="45" t="s">
        <v>50</v>
      </c>
      <c r="W121" s="45" t="s">
        <v>50</v>
      </c>
      <c r="X121" s="5"/>
      <c r="Y121" s="269" t="s">
        <v>32</v>
      </c>
    </row>
    <row r="122" spans="1:25" s="548" customFormat="1" x14ac:dyDescent="0.25">
      <c r="A122" s="20">
        <v>43641</v>
      </c>
      <c r="B122" s="20" t="s">
        <v>70</v>
      </c>
      <c r="C122" s="508" t="s">
        <v>845</v>
      </c>
      <c r="D122" s="631">
        <v>38.326540000000001</v>
      </c>
      <c r="E122" s="631">
        <v>-121.66772899999999</v>
      </c>
      <c r="F122" s="631" t="s">
        <v>4652</v>
      </c>
      <c r="G122" s="631" t="s">
        <v>90</v>
      </c>
      <c r="H122" s="631" t="s">
        <v>126</v>
      </c>
      <c r="I122" s="21">
        <v>0.40347222222222223</v>
      </c>
      <c r="J122" s="546" t="s">
        <v>4500</v>
      </c>
      <c r="K122" s="631" t="s">
        <v>4501</v>
      </c>
      <c r="L122" s="631" t="s">
        <v>30</v>
      </c>
      <c r="M122" s="631">
        <v>2</v>
      </c>
      <c r="N122" s="631">
        <v>10</v>
      </c>
      <c r="O122" s="4">
        <f>AVERAGE(19.4,20.4)</f>
        <v>19.899999999999999</v>
      </c>
      <c r="P122" s="4">
        <f>AVERAGE(362.8,357.6)</f>
        <v>360.20000000000005</v>
      </c>
      <c r="Q122" s="4">
        <f>AVERAGE(366.2,363.1)</f>
        <v>364.65</v>
      </c>
      <c r="R122" s="4">
        <f>AVERAGE(0.58,0.65)</f>
        <v>0.61499999999999999</v>
      </c>
      <c r="S122" s="4">
        <f>AVERAGE(17,15.5)</f>
        <v>16.25</v>
      </c>
      <c r="T122" s="4">
        <f>AVERAGE(19.2,24)</f>
        <v>21.6</v>
      </c>
      <c r="U122" s="43" t="s">
        <v>50</v>
      </c>
      <c r="V122" s="45" t="s">
        <v>50</v>
      </c>
      <c r="W122" s="45" t="s">
        <v>50</v>
      </c>
      <c r="X122" s="5"/>
      <c r="Y122" s="269" t="s">
        <v>32</v>
      </c>
    </row>
    <row r="123" spans="1:25" s="548" customFormat="1" x14ac:dyDescent="0.25">
      <c r="A123" s="20">
        <v>43641</v>
      </c>
      <c r="B123" s="20" t="s">
        <v>70</v>
      </c>
      <c r="C123" s="508" t="s">
        <v>845</v>
      </c>
      <c r="D123" s="631">
        <v>38.24991</v>
      </c>
      <c r="E123" s="631">
        <v>-121.67438</v>
      </c>
      <c r="F123" s="631" t="s">
        <v>4653</v>
      </c>
      <c r="G123" s="631" t="s">
        <v>90</v>
      </c>
      <c r="H123" s="631" t="s">
        <v>126</v>
      </c>
      <c r="I123" s="21">
        <v>0.43611111111111112</v>
      </c>
      <c r="J123" s="546" t="s">
        <v>4500</v>
      </c>
      <c r="K123" s="631" t="s">
        <v>4501</v>
      </c>
      <c r="L123" s="631" t="s">
        <v>30</v>
      </c>
      <c r="M123" s="631">
        <v>2</v>
      </c>
      <c r="N123" s="631">
        <v>10</v>
      </c>
      <c r="O123" s="4">
        <f>AVERAGE(39.2,42.8)</f>
        <v>41</v>
      </c>
      <c r="P123" s="4">
        <f>AVERAGE(171.5,173.1)</f>
        <v>172.3</v>
      </c>
      <c r="Q123" s="4">
        <f>AVERAGE(171.8,168.8)</f>
        <v>170.3</v>
      </c>
      <c r="R123" s="4">
        <f>AVERAGE(0.82,0.88)</f>
        <v>0.85</v>
      </c>
      <c r="S123" s="4">
        <f>AVERAGE(12.7,13.3)</f>
        <v>13</v>
      </c>
      <c r="T123" s="4">
        <f>AVERAGE(33,15)</f>
        <v>24</v>
      </c>
      <c r="U123" s="43" t="s">
        <v>50</v>
      </c>
      <c r="V123" s="45" t="s">
        <v>50</v>
      </c>
      <c r="W123" s="45" t="s">
        <v>50</v>
      </c>
      <c r="X123" s="5"/>
      <c r="Y123" s="269" t="s">
        <v>32</v>
      </c>
    </row>
    <row r="124" spans="1:25" s="548" customFormat="1" x14ac:dyDescent="0.25">
      <c r="A124" s="20">
        <v>43641</v>
      </c>
      <c r="B124" s="20" t="s">
        <v>70</v>
      </c>
      <c r="C124" s="508" t="s">
        <v>95</v>
      </c>
      <c r="D124" s="631">
        <v>38.058070000000001</v>
      </c>
      <c r="E124" s="631">
        <v>-121.67737</v>
      </c>
      <c r="F124" s="631" t="s">
        <v>4654</v>
      </c>
      <c r="G124" s="631" t="s">
        <v>46</v>
      </c>
      <c r="H124" s="631" t="s">
        <v>908</v>
      </c>
      <c r="I124" s="21">
        <v>0.33402777777777781</v>
      </c>
      <c r="J124" s="546" t="s">
        <v>4500</v>
      </c>
      <c r="K124" s="631" t="s">
        <v>4501</v>
      </c>
      <c r="L124" s="631" t="s">
        <v>30</v>
      </c>
      <c r="M124" s="631">
        <v>2</v>
      </c>
      <c r="N124" s="631">
        <v>10</v>
      </c>
      <c r="O124" s="4">
        <f>AVERAGE(23.8,24.6)</f>
        <v>24.200000000000003</v>
      </c>
      <c r="P124" s="4">
        <f>AVERAGE(104.5,104)</f>
        <v>104.25</v>
      </c>
      <c r="Q124" s="4">
        <f>AVERAGE(105.7,104.5)</f>
        <v>105.1</v>
      </c>
      <c r="R124" s="4">
        <f>AVERAGE(1.36,1.25)</f>
        <v>1.3050000000000002</v>
      </c>
      <c r="S124" s="4">
        <f>AVERAGE(5.86,6.43)</f>
        <v>6.1449999999999996</v>
      </c>
      <c r="T124" s="4">
        <f>AVERAGE(6.74,10.5)</f>
        <v>8.620000000000001</v>
      </c>
      <c r="U124" s="43" t="s">
        <v>50</v>
      </c>
      <c r="V124" s="45" t="s">
        <v>50</v>
      </c>
      <c r="W124" s="45" t="s">
        <v>50</v>
      </c>
      <c r="X124" s="5"/>
      <c r="Y124" s="269" t="s">
        <v>32</v>
      </c>
    </row>
    <row r="125" spans="1:25" s="548" customFormat="1" x14ac:dyDescent="0.25">
      <c r="A125" s="20">
        <v>43641</v>
      </c>
      <c r="B125" s="20" t="s">
        <v>70</v>
      </c>
      <c r="C125" s="508" t="s">
        <v>95</v>
      </c>
      <c r="D125" s="631">
        <v>38.093739999999997</v>
      </c>
      <c r="E125" s="631">
        <v>-121.62893</v>
      </c>
      <c r="F125" s="631" t="s">
        <v>4655</v>
      </c>
      <c r="G125" s="631" t="s">
        <v>46</v>
      </c>
      <c r="H125" s="631" t="s">
        <v>908</v>
      </c>
      <c r="I125" s="21">
        <v>0.3666666666666667</v>
      </c>
      <c r="J125" s="546" t="s">
        <v>4500</v>
      </c>
      <c r="K125" s="631" t="s">
        <v>4501</v>
      </c>
      <c r="L125" s="631" t="s">
        <v>30</v>
      </c>
      <c r="M125" s="631">
        <v>2</v>
      </c>
      <c r="N125" s="631">
        <v>10</v>
      </c>
      <c r="O125" s="4">
        <f>AVERAGE(15.9,15)</f>
        <v>15.45</v>
      </c>
      <c r="P125" s="4">
        <f>AVERAGE(104.6,105)</f>
        <v>104.8</v>
      </c>
      <c r="Q125" s="4">
        <f>AVERAGE(104.8,105.8)</f>
        <v>105.3</v>
      </c>
      <c r="R125" s="4" t="s">
        <v>1233</v>
      </c>
      <c r="S125" s="4">
        <f>AVERAGE(6.06,5.39)</f>
        <v>5.7249999999999996</v>
      </c>
      <c r="T125" s="4">
        <f>AVERAGE(7.33,8.29)</f>
        <v>7.81</v>
      </c>
      <c r="U125" s="43" t="s">
        <v>50</v>
      </c>
      <c r="V125" s="45" t="s">
        <v>50</v>
      </c>
      <c r="W125" s="45" t="s">
        <v>50</v>
      </c>
      <c r="X125" s="5"/>
      <c r="Y125" s="269" t="s">
        <v>32</v>
      </c>
    </row>
    <row r="126" spans="1:25" s="548" customFormat="1" x14ac:dyDescent="0.25">
      <c r="A126" s="20">
        <v>43641</v>
      </c>
      <c r="B126" s="20" t="s">
        <v>70</v>
      </c>
      <c r="C126" s="508" t="s">
        <v>95</v>
      </c>
      <c r="D126" s="631">
        <v>38.100209999999997</v>
      </c>
      <c r="E126" s="631">
        <v>-121.59406</v>
      </c>
      <c r="F126" s="21" t="s">
        <v>4656</v>
      </c>
      <c r="G126" s="631" t="s">
        <v>46</v>
      </c>
      <c r="H126" s="631" t="s">
        <v>115</v>
      </c>
      <c r="I126" s="21">
        <v>0.3972222222222222</v>
      </c>
      <c r="J126" s="546" t="s">
        <v>4500</v>
      </c>
      <c r="K126" s="631" t="s">
        <v>4501</v>
      </c>
      <c r="L126" s="631" t="s">
        <v>30</v>
      </c>
      <c r="M126" s="631">
        <v>2</v>
      </c>
      <c r="N126" s="631">
        <v>10</v>
      </c>
      <c r="O126" s="4">
        <f>AVERAGE(42.4,43.9)</f>
        <v>43.15</v>
      </c>
      <c r="P126" s="4">
        <f>AVERAGE(106.3,106.2)</f>
        <v>106.25</v>
      </c>
      <c r="Q126" s="4">
        <f>AVERAGE(107.3,108.4)</f>
        <v>107.85</v>
      </c>
      <c r="R126" s="4" t="s">
        <v>1233</v>
      </c>
      <c r="S126" s="4">
        <f>AVERAGE(4.8,5.49)</f>
        <v>5.1449999999999996</v>
      </c>
      <c r="T126" s="4">
        <f>AVERAGE(5.51,5.45)</f>
        <v>5.48</v>
      </c>
      <c r="U126" s="43" t="s">
        <v>50</v>
      </c>
      <c r="V126" s="45" t="s">
        <v>50</v>
      </c>
      <c r="W126" s="45" t="s">
        <v>50</v>
      </c>
      <c r="X126" s="5"/>
      <c r="Y126" s="269" t="s">
        <v>32</v>
      </c>
    </row>
    <row r="127" spans="1:25" s="548" customFormat="1" x14ac:dyDescent="0.25">
      <c r="A127" s="20">
        <v>43641</v>
      </c>
      <c r="B127" s="20" t="s">
        <v>70</v>
      </c>
      <c r="C127" s="508" t="s">
        <v>95</v>
      </c>
      <c r="D127" s="631">
        <v>38.067570000000003</v>
      </c>
      <c r="E127" s="631">
        <v>-121.53693</v>
      </c>
      <c r="F127" s="631" t="s">
        <v>4657</v>
      </c>
      <c r="G127" s="631" t="s">
        <v>46</v>
      </c>
      <c r="H127" s="631" t="s">
        <v>115</v>
      </c>
      <c r="I127" s="21">
        <v>0.43055555555555558</v>
      </c>
      <c r="J127" s="546" t="s">
        <v>4500</v>
      </c>
      <c r="K127" s="631" t="s">
        <v>4501</v>
      </c>
      <c r="L127" s="631" t="s">
        <v>30</v>
      </c>
      <c r="M127" s="631">
        <v>2</v>
      </c>
      <c r="N127" s="631">
        <v>10</v>
      </c>
      <c r="O127" s="4">
        <f>AVERAGE(36.5,32.3)</f>
        <v>34.4</v>
      </c>
      <c r="P127" s="4">
        <f>AVERAGE(117.4,117.7)</f>
        <v>117.55000000000001</v>
      </c>
      <c r="Q127" s="4">
        <f>AVERAGE(116.8,117.6)</f>
        <v>117.19999999999999</v>
      </c>
      <c r="R127" s="4" t="s">
        <v>1233</v>
      </c>
      <c r="S127" s="4">
        <f>AVERAGE(5.4,5.66)</f>
        <v>5.53</v>
      </c>
      <c r="T127" s="4">
        <f>AVERAGE(6.38,6.5)</f>
        <v>6.4399999999999995</v>
      </c>
      <c r="U127" s="631" t="s">
        <v>50</v>
      </c>
      <c r="V127" s="631" t="s">
        <v>50</v>
      </c>
      <c r="W127" s="631" t="s">
        <v>50</v>
      </c>
      <c r="X127" s="5"/>
      <c r="Y127" s="16" t="s">
        <v>32</v>
      </c>
    </row>
    <row r="128" spans="1:25" s="548" customFormat="1" x14ac:dyDescent="0.25">
      <c r="A128" s="20">
        <v>43641</v>
      </c>
      <c r="B128" s="20" t="s">
        <v>70</v>
      </c>
      <c r="C128" s="508" t="s">
        <v>95</v>
      </c>
      <c r="D128" s="631">
        <v>38.048099999999998</v>
      </c>
      <c r="E128" s="631">
        <v>-121.69335</v>
      </c>
      <c r="F128" s="631" t="s">
        <v>4658</v>
      </c>
      <c r="G128" s="631" t="s">
        <v>27</v>
      </c>
      <c r="H128" s="631" t="s">
        <v>863</v>
      </c>
      <c r="I128" s="21">
        <v>0.47222222222222227</v>
      </c>
      <c r="J128" s="546" t="s">
        <v>4500</v>
      </c>
      <c r="K128" s="631" t="s">
        <v>4501</v>
      </c>
      <c r="L128" s="631" t="s">
        <v>30</v>
      </c>
      <c r="M128" s="631">
        <v>2</v>
      </c>
      <c r="N128" s="631">
        <v>10</v>
      </c>
      <c r="O128" s="4">
        <f>AVERAGE(50.1,40.8)</f>
        <v>45.45</v>
      </c>
      <c r="P128" s="4">
        <f>AVERAGE(108.3,107.8)</f>
        <v>108.05</v>
      </c>
      <c r="Q128" s="4">
        <f>AVERAGE(108.8,108.6)</f>
        <v>108.69999999999999</v>
      </c>
      <c r="R128" s="4">
        <f>AVERAGE(1.8,1.58)</f>
        <v>1.69</v>
      </c>
      <c r="S128" s="4">
        <f>AVERAGE(6.15,6.22)</f>
        <v>6.1850000000000005</v>
      </c>
      <c r="T128" s="4">
        <f>AVERAGE(5.81,6.37)</f>
        <v>6.09</v>
      </c>
      <c r="U128" s="631" t="s">
        <v>50</v>
      </c>
      <c r="V128" s="631" t="s">
        <v>50</v>
      </c>
      <c r="W128" s="631" t="s">
        <v>50</v>
      </c>
      <c r="X128" s="5"/>
      <c r="Y128" s="631" t="s">
        <v>32</v>
      </c>
    </row>
    <row r="129" spans="1:25" s="554" customFormat="1" x14ac:dyDescent="0.25">
      <c r="A129" s="20">
        <v>43642</v>
      </c>
      <c r="B129" s="20" t="s">
        <v>87</v>
      </c>
      <c r="C129" s="508" t="s">
        <v>106</v>
      </c>
      <c r="D129" s="631">
        <v>38.55348</v>
      </c>
      <c r="E129" s="631">
        <v>-121.57786</v>
      </c>
      <c r="F129" s="631" t="s">
        <v>4659</v>
      </c>
      <c r="G129" s="631" t="s">
        <v>90</v>
      </c>
      <c r="H129" s="631" t="s">
        <v>1787</v>
      </c>
      <c r="I129" s="21">
        <v>0.3611111111111111</v>
      </c>
      <c r="J129" s="546" t="s">
        <v>4500</v>
      </c>
      <c r="K129" s="631" t="s">
        <v>4501</v>
      </c>
      <c r="L129" s="631" t="s">
        <v>30</v>
      </c>
      <c r="M129" s="631">
        <v>2</v>
      </c>
      <c r="N129" s="631">
        <v>10</v>
      </c>
      <c r="O129" s="4">
        <f>AVERAGE(35.6,35.4)</f>
        <v>35.5</v>
      </c>
      <c r="P129" s="4">
        <f>AVERAGE(884,885)</f>
        <v>884.5</v>
      </c>
      <c r="Q129" s="4">
        <f>AVERAGE(932,889)</f>
        <v>910.5</v>
      </c>
      <c r="R129" s="4">
        <f>AVERAGE(1.1,1.12)</f>
        <v>1.1100000000000001</v>
      </c>
      <c r="S129" s="4">
        <f>AVERAGE(9.74,20.6)</f>
        <v>15.170000000000002</v>
      </c>
      <c r="T129" s="4">
        <f>AVERAGE(36.8,295)</f>
        <v>165.9</v>
      </c>
      <c r="U129" s="631" t="s">
        <v>50</v>
      </c>
      <c r="V129" s="631" t="s">
        <v>50</v>
      </c>
      <c r="W129" s="631" t="s">
        <v>50</v>
      </c>
      <c r="X129" s="5"/>
      <c r="Y129" s="631" t="s">
        <v>32</v>
      </c>
    </row>
    <row r="130" spans="1:25" s="554" customFormat="1" x14ac:dyDescent="0.25">
      <c r="A130" s="20">
        <v>43642</v>
      </c>
      <c r="B130" s="20" t="s">
        <v>87</v>
      </c>
      <c r="C130" s="508" t="s">
        <v>106</v>
      </c>
      <c r="D130" s="631">
        <v>38.560659999999999</v>
      </c>
      <c r="E130" s="631">
        <v>-121.56312</v>
      </c>
      <c r="F130" s="631" t="s">
        <v>4660</v>
      </c>
      <c r="G130" s="631" t="s">
        <v>90</v>
      </c>
      <c r="H130" s="631" t="s">
        <v>1787</v>
      </c>
      <c r="I130" s="21">
        <v>0.3923611111111111</v>
      </c>
      <c r="J130" s="546" t="s">
        <v>4500</v>
      </c>
      <c r="K130" s="631" t="s">
        <v>4501</v>
      </c>
      <c r="L130" s="631" t="s">
        <v>30</v>
      </c>
      <c r="M130" s="631">
        <v>2</v>
      </c>
      <c r="N130" s="631">
        <v>10</v>
      </c>
      <c r="O130" s="4">
        <f>AVERAGE(35.5,35.4)</f>
        <v>35.450000000000003</v>
      </c>
      <c r="P130" s="4">
        <f>AVERAGE(843,843)</f>
        <v>843</v>
      </c>
      <c r="Q130" s="4">
        <f>AVERAGE(888,922)</f>
        <v>905</v>
      </c>
      <c r="R130" s="4">
        <f>AVERAGE(1.14,1.2)</f>
        <v>1.17</v>
      </c>
      <c r="S130" s="4">
        <f>AVERAGE(35.3,21.1)</f>
        <v>28.2</v>
      </c>
      <c r="T130" s="4">
        <f>AVERAGE(73.9,21.7)</f>
        <v>47.800000000000004</v>
      </c>
      <c r="U130" s="631" t="s">
        <v>50</v>
      </c>
      <c r="V130" s="631" t="s">
        <v>50</v>
      </c>
      <c r="W130" s="631" t="s">
        <v>50</v>
      </c>
      <c r="X130" s="5"/>
      <c r="Y130" s="16" t="s">
        <v>32</v>
      </c>
    </row>
    <row r="131" spans="1:25" s="554" customFormat="1" x14ac:dyDescent="0.25">
      <c r="A131" s="20">
        <v>43642</v>
      </c>
      <c r="B131" s="20" t="s">
        <v>87</v>
      </c>
      <c r="C131" s="508" t="s">
        <v>106</v>
      </c>
      <c r="D131" s="631">
        <v>38.563040000000001</v>
      </c>
      <c r="E131" s="631">
        <v>-121.55134</v>
      </c>
      <c r="F131" s="631" t="s">
        <v>4661</v>
      </c>
      <c r="G131" s="631" t="s">
        <v>90</v>
      </c>
      <c r="H131" s="631" t="s">
        <v>1787</v>
      </c>
      <c r="I131" s="21">
        <v>0.4201388888888889</v>
      </c>
      <c r="J131" s="546" t="s">
        <v>4500</v>
      </c>
      <c r="K131" s="631" t="s">
        <v>4501</v>
      </c>
      <c r="L131" s="631" t="s">
        <v>30</v>
      </c>
      <c r="M131" s="631">
        <v>2</v>
      </c>
      <c r="N131" s="631">
        <v>10</v>
      </c>
      <c r="O131" s="4">
        <f>AVERAGE(36.1,36.7)</f>
        <v>36.400000000000006</v>
      </c>
      <c r="P131" s="4">
        <f>AVERAGE(830,832)</f>
        <v>831</v>
      </c>
      <c r="Q131" s="4">
        <f>AVERAGE(876,882)</f>
        <v>879</v>
      </c>
      <c r="R131" s="4">
        <f>AVERAGE(1.36,1.6)</f>
        <v>1.48</v>
      </c>
      <c r="S131" s="4">
        <f>AVERAGE(7.12,5.08)</f>
        <v>6.1</v>
      </c>
      <c r="T131" s="4">
        <f>AVERAGE(10.7,9.1)</f>
        <v>9.8999999999999986</v>
      </c>
      <c r="U131" s="631" t="s">
        <v>50</v>
      </c>
      <c r="V131" s="631" t="s">
        <v>50</v>
      </c>
      <c r="W131" s="631" t="s">
        <v>50</v>
      </c>
      <c r="X131" s="5"/>
      <c r="Y131" s="16" t="s">
        <v>32</v>
      </c>
    </row>
    <row r="132" spans="1:25" s="554" customFormat="1" x14ac:dyDescent="0.25">
      <c r="A132" s="20">
        <v>43642</v>
      </c>
      <c r="B132" s="20" t="s">
        <v>87</v>
      </c>
      <c r="C132" s="508" t="s">
        <v>106</v>
      </c>
      <c r="D132" s="631">
        <v>38.47587</v>
      </c>
      <c r="E132" s="631">
        <v>-121.58450999999999</v>
      </c>
      <c r="F132" s="631" t="s">
        <v>4662</v>
      </c>
      <c r="G132" s="631" t="s">
        <v>90</v>
      </c>
      <c r="H132" s="631" t="s">
        <v>1787</v>
      </c>
      <c r="I132" s="21">
        <v>0.4604166666666667</v>
      </c>
      <c r="J132" s="546" t="s">
        <v>4500</v>
      </c>
      <c r="K132" s="631" t="s">
        <v>4501</v>
      </c>
      <c r="L132" s="631" t="s">
        <v>30</v>
      </c>
      <c r="M132" s="631">
        <v>2</v>
      </c>
      <c r="N132" s="631">
        <v>10</v>
      </c>
      <c r="O132" s="4">
        <f>AVERAGE(36.8,33.4)</f>
        <v>35.099999999999994</v>
      </c>
      <c r="P132" s="4">
        <f>AVERAGE(863,862)</f>
        <v>862.5</v>
      </c>
      <c r="Q132" s="4">
        <f>AVERAGE(864,865)</f>
        <v>864.5</v>
      </c>
      <c r="R132" s="4">
        <f>AVERAGE(0.49,0.82)</f>
        <v>0.65500000000000003</v>
      </c>
      <c r="S132" s="4">
        <f>AVERAGE(18.5,18.4)</f>
        <v>18.45</v>
      </c>
      <c r="T132" s="4">
        <f>AVERAGE(20.5,31.2)</f>
        <v>25.85</v>
      </c>
      <c r="U132" s="43" t="s">
        <v>50</v>
      </c>
      <c r="V132" s="45" t="s">
        <v>50</v>
      </c>
      <c r="W132" s="45" t="s">
        <v>50</v>
      </c>
      <c r="X132" s="5"/>
      <c r="Y132" s="269" t="s">
        <v>32</v>
      </c>
    </row>
    <row r="133" spans="1:25" s="554" customFormat="1" x14ac:dyDescent="0.25">
      <c r="A133" s="20">
        <v>43642</v>
      </c>
      <c r="B133" s="20" t="s">
        <v>87</v>
      </c>
      <c r="C133" s="508" t="s">
        <v>106</v>
      </c>
      <c r="D133" s="631">
        <v>38.415080000000003</v>
      </c>
      <c r="E133" s="631">
        <v>-121.61087999999999</v>
      </c>
      <c r="F133" s="631" t="s">
        <v>4663</v>
      </c>
      <c r="G133" s="631" t="s">
        <v>90</v>
      </c>
      <c r="H133" s="631" t="s">
        <v>362</v>
      </c>
      <c r="I133" s="21">
        <v>0.49444444444444446</v>
      </c>
      <c r="J133" s="546" t="s">
        <v>4500</v>
      </c>
      <c r="K133" s="631" t="s">
        <v>4501</v>
      </c>
      <c r="L133" s="631" t="s">
        <v>30</v>
      </c>
      <c r="M133" s="631">
        <v>2</v>
      </c>
      <c r="N133" s="631">
        <v>10</v>
      </c>
      <c r="O133" s="4">
        <f>AVERAGE(32.4,32.2)</f>
        <v>32.299999999999997</v>
      </c>
      <c r="P133" s="4">
        <f>AVERAGE(743,750)</f>
        <v>746.5</v>
      </c>
      <c r="Q133" s="4">
        <f>AVERAGE(739,737)</f>
        <v>738</v>
      </c>
      <c r="R133" s="4">
        <f>AVERAGE(0.42,0.58)</f>
        <v>0.5</v>
      </c>
      <c r="S133" s="4">
        <f>AVERAGE(30.4,30.8)</f>
        <v>30.6</v>
      </c>
      <c r="T133" s="4">
        <f>AVERAGE(30.3,31.4)</f>
        <v>30.85</v>
      </c>
      <c r="U133" s="43" t="s">
        <v>50</v>
      </c>
      <c r="V133" s="45" t="s">
        <v>50</v>
      </c>
      <c r="W133" s="45" t="s">
        <v>50</v>
      </c>
      <c r="X133" s="5"/>
      <c r="Y133" s="269" t="s">
        <v>32</v>
      </c>
    </row>
    <row r="134" spans="1:25" s="554" customFormat="1" x14ac:dyDescent="0.25">
      <c r="A134" s="20">
        <v>43642</v>
      </c>
      <c r="B134" s="20" t="s">
        <v>87</v>
      </c>
      <c r="C134" s="508" t="s">
        <v>78</v>
      </c>
      <c r="D134" s="631">
        <v>38.092059999999996</v>
      </c>
      <c r="E134" s="631">
        <v>-122.02339000000001</v>
      </c>
      <c r="F134" s="631" t="s">
        <v>4664</v>
      </c>
      <c r="G134" s="631" t="s">
        <v>27</v>
      </c>
      <c r="H134" s="631" t="s">
        <v>86</v>
      </c>
      <c r="I134" s="21">
        <v>0.33819444444444446</v>
      </c>
      <c r="J134" s="546" t="s">
        <v>4500</v>
      </c>
      <c r="K134" s="631" t="s">
        <v>4501</v>
      </c>
      <c r="L134" s="631" t="s">
        <v>30</v>
      </c>
      <c r="M134" s="631">
        <v>2</v>
      </c>
      <c r="N134" s="631">
        <v>10</v>
      </c>
      <c r="O134" s="4">
        <f>AVERAGE(14.8,14.2)</f>
        <v>14.5</v>
      </c>
      <c r="P134" s="4">
        <f>AVERAGE(3265,3315)</f>
        <v>3290</v>
      </c>
      <c r="Q134" s="4">
        <f>AVERAGE(1995,3318)</f>
        <v>2656.5</v>
      </c>
      <c r="R134" s="4">
        <f>AVERAGE(0.32,0.35)</f>
        <v>0.33499999999999996</v>
      </c>
      <c r="S134" s="4">
        <f>AVERAGE(20.1,23.3)</f>
        <v>21.700000000000003</v>
      </c>
      <c r="T134" s="4">
        <f>AVERAGE(132,56.4)</f>
        <v>94.2</v>
      </c>
      <c r="U134" s="43" t="s">
        <v>50</v>
      </c>
      <c r="V134" s="45" t="s">
        <v>50</v>
      </c>
      <c r="W134" s="45" t="s">
        <v>50</v>
      </c>
      <c r="X134" s="5"/>
      <c r="Y134" s="40" t="s">
        <v>32</v>
      </c>
    </row>
    <row r="135" spans="1:25" s="516" customFormat="1" x14ac:dyDescent="0.25">
      <c r="A135" s="536">
        <v>43642</v>
      </c>
      <c r="B135" s="536" t="s">
        <v>87</v>
      </c>
      <c r="C135" s="517" t="s">
        <v>78</v>
      </c>
      <c r="D135" s="516">
        <v>38.06118</v>
      </c>
      <c r="E135" s="516">
        <v>-122.10272000000001</v>
      </c>
      <c r="F135" s="516" t="s">
        <v>4665</v>
      </c>
      <c r="G135" s="516" t="s">
        <v>80</v>
      </c>
      <c r="H135" s="516" t="s">
        <v>81</v>
      </c>
      <c r="I135" s="537">
        <v>0.38263888888888892</v>
      </c>
      <c r="J135" s="557" t="s">
        <v>4500</v>
      </c>
      <c r="K135" s="516" t="s">
        <v>4501</v>
      </c>
      <c r="L135" s="516" t="s">
        <v>30</v>
      </c>
      <c r="M135" s="516">
        <v>2</v>
      </c>
      <c r="N135" s="516">
        <v>10</v>
      </c>
      <c r="O135" s="359">
        <f>AVERAGE(39.9,39.2)</f>
        <v>39.549999999999997</v>
      </c>
      <c r="P135" s="359">
        <f>AVERAGE(6325,7036)</f>
        <v>6680.5</v>
      </c>
      <c r="Q135" s="359">
        <f>AVERAGE(19795,19875)</f>
        <v>19835</v>
      </c>
      <c r="R135" s="359">
        <f>AVERAGE(0.54,0.68)</f>
        <v>0.6100000000000001</v>
      </c>
      <c r="S135" s="359">
        <f>AVERAGE(25.4,84.9)</f>
        <v>55.150000000000006</v>
      </c>
      <c r="T135" s="359">
        <f>AVERAGE(380,37.8)</f>
        <v>208.9</v>
      </c>
      <c r="U135" s="516" t="s">
        <v>31</v>
      </c>
      <c r="V135" s="516">
        <v>2</v>
      </c>
      <c r="W135" s="516" t="s">
        <v>4666</v>
      </c>
      <c r="X135" s="367"/>
      <c r="Y135" s="567" t="s">
        <v>32</v>
      </c>
    </row>
    <row r="136" spans="1:25" s="516" customFormat="1" x14ac:dyDescent="0.25">
      <c r="A136" s="536">
        <v>43642</v>
      </c>
      <c r="B136" s="536" t="s">
        <v>87</v>
      </c>
      <c r="C136" s="517" t="s">
        <v>78</v>
      </c>
      <c r="D136" s="516">
        <v>38.065489999999997</v>
      </c>
      <c r="E136" s="516">
        <v>-122.05663</v>
      </c>
      <c r="F136" s="516" t="s">
        <v>4667</v>
      </c>
      <c r="G136" s="516" t="s">
        <v>80</v>
      </c>
      <c r="H136" s="516" t="s">
        <v>81</v>
      </c>
      <c r="I136" s="537">
        <v>0.42291666666666666</v>
      </c>
      <c r="J136" s="557" t="s">
        <v>4500</v>
      </c>
      <c r="K136" s="516" t="s">
        <v>4501</v>
      </c>
      <c r="L136" s="516" t="s">
        <v>30</v>
      </c>
      <c r="M136" s="516">
        <v>2</v>
      </c>
      <c r="N136" s="516">
        <v>10</v>
      </c>
      <c r="O136" s="359">
        <f>AVERAGE(49.1,57.2)</f>
        <v>53.150000000000006</v>
      </c>
      <c r="P136" s="359">
        <f>AVERAGE(3802,4144)</f>
        <v>3973</v>
      </c>
      <c r="Q136" s="359">
        <f>AVERAGE(16560,16279)</f>
        <v>16419.5</v>
      </c>
      <c r="R136" s="359">
        <f>AVERAGE(0.52,0.64)</f>
        <v>0.58000000000000007</v>
      </c>
      <c r="S136" s="359">
        <f>AVERAGE(19.6,15.6)</f>
        <v>17.600000000000001</v>
      </c>
      <c r="T136" s="359">
        <f>AVERAGE(44.1,27.5)</f>
        <v>35.799999999999997</v>
      </c>
      <c r="U136" s="519" t="s">
        <v>31</v>
      </c>
      <c r="V136" s="558">
        <v>3</v>
      </c>
      <c r="W136" s="558" t="s">
        <v>4668</v>
      </c>
      <c r="X136" s="367"/>
      <c r="Y136" s="571" t="s">
        <v>32</v>
      </c>
    </row>
    <row r="137" spans="1:25" s="554" customFormat="1" x14ac:dyDescent="0.25">
      <c r="A137" s="20">
        <v>43642</v>
      </c>
      <c r="B137" s="20" t="s">
        <v>87</v>
      </c>
      <c r="C137" s="508" t="s">
        <v>78</v>
      </c>
      <c r="D137" s="631">
        <v>38.053660000000001</v>
      </c>
      <c r="E137" s="631">
        <v>-122.0791</v>
      </c>
      <c r="F137" s="631" t="s">
        <v>4669</v>
      </c>
      <c r="G137" s="631" t="s">
        <v>80</v>
      </c>
      <c r="H137" s="631" t="s">
        <v>81</v>
      </c>
      <c r="I137" s="21">
        <v>0.45416666666666666</v>
      </c>
      <c r="J137" s="546" t="s">
        <v>4500</v>
      </c>
      <c r="K137" s="631" t="s">
        <v>4501</v>
      </c>
      <c r="L137" s="631" t="s">
        <v>30</v>
      </c>
      <c r="M137" s="631">
        <v>2</v>
      </c>
      <c r="N137" s="631">
        <v>10</v>
      </c>
      <c r="O137" s="4">
        <f>AVERAGE(35.4,36.4)</f>
        <v>35.9</v>
      </c>
      <c r="P137" s="4">
        <f>AVERAGE(8746,7755)</f>
        <v>8250.5</v>
      </c>
      <c r="Q137" s="4">
        <f>AVERAGE(19429,19247)</f>
        <v>19338</v>
      </c>
      <c r="R137" s="4">
        <f>AVERAGE(0.81,0.82)</f>
        <v>0.81499999999999995</v>
      </c>
      <c r="S137" s="4">
        <f>AVERAGE(12.8,16.3)</f>
        <v>14.55</v>
      </c>
      <c r="T137" s="4">
        <f>AVERAGE(121,17.1)</f>
        <v>69.05</v>
      </c>
      <c r="U137" s="631" t="s">
        <v>50</v>
      </c>
      <c r="V137" s="631" t="s">
        <v>50</v>
      </c>
      <c r="W137" s="631" t="s">
        <v>50</v>
      </c>
      <c r="X137" s="5"/>
      <c r="Y137" s="631" t="s">
        <v>32</v>
      </c>
    </row>
    <row r="138" spans="1:25" s="563" customFormat="1" x14ac:dyDescent="0.25">
      <c r="A138" s="20">
        <v>43643</v>
      </c>
      <c r="B138" s="631" t="s">
        <v>105</v>
      </c>
      <c r="C138" s="508" t="s">
        <v>106</v>
      </c>
      <c r="D138" s="631">
        <v>38.35416</v>
      </c>
      <c r="E138" s="631">
        <v>-121.63876999999999</v>
      </c>
      <c r="F138" s="631" t="s">
        <v>4670</v>
      </c>
      <c r="G138" s="631" t="s">
        <v>90</v>
      </c>
      <c r="H138" s="631" t="s">
        <v>362</v>
      </c>
      <c r="I138" s="21">
        <v>0.34861111111111115</v>
      </c>
      <c r="J138" s="546" t="s">
        <v>4500</v>
      </c>
      <c r="K138" s="631" t="s">
        <v>4501</v>
      </c>
      <c r="L138" s="631" t="s">
        <v>30</v>
      </c>
      <c r="M138" s="631">
        <v>2</v>
      </c>
      <c r="N138" s="631">
        <v>10</v>
      </c>
      <c r="O138" s="4">
        <f>AVERAGE(32.9,32.2)</f>
        <v>32.549999999999997</v>
      </c>
      <c r="P138" s="4">
        <f>AVERAGE(627,635)</f>
        <v>631</v>
      </c>
      <c r="Q138" s="4">
        <f>AVERAGE(491,513)</f>
        <v>502</v>
      </c>
      <c r="R138" s="4">
        <f>AVERAGE(0.4,0.33)</f>
        <v>0.36499999999999999</v>
      </c>
      <c r="S138" s="4">
        <f>AVERAGE(28.5,28.9)</f>
        <v>28.7</v>
      </c>
      <c r="T138" s="4">
        <f>AVERAGE(32.2,56.2)</f>
        <v>44.2</v>
      </c>
      <c r="U138" s="631" t="s">
        <v>50</v>
      </c>
      <c r="V138" s="631" t="s">
        <v>50</v>
      </c>
      <c r="W138" s="631" t="s">
        <v>50</v>
      </c>
      <c r="X138" s="5"/>
      <c r="Y138" s="16" t="s">
        <v>32</v>
      </c>
    </row>
    <row r="139" spans="1:25" s="563" customFormat="1" x14ac:dyDescent="0.25">
      <c r="A139" s="20">
        <v>43643</v>
      </c>
      <c r="B139" s="20" t="s">
        <v>105</v>
      </c>
      <c r="C139" s="508" t="s">
        <v>106</v>
      </c>
      <c r="D139" s="631">
        <v>38.18289</v>
      </c>
      <c r="E139" s="631">
        <v>-121.66367</v>
      </c>
      <c r="F139" s="631" t="s">
        <v>4671</v>
      </c>
      <c r="G139" s="631" t="s">
        <v>90</v>
      </c>
      <c r="H139" s="631" t="s">
        <v>362</v>
      </c>
      <c r="I139" s="21">
        <v>0.39999999999999997</v>
      </c>
      <c r="J139" s="546" t="s">
        <v>4500</v>
      </c>
      <c r="K139" s="631" t="s">
        <v>4501</v>
      </c>
      <c r="L139" s="631" t="s">
        <v>30</v>
      </c>
      <c r="M139" s="631">
        <v>2</v>
      </c>
      <c r="N139" s="631">
        <v>10</v>
      </c>
      <c r="O139" s="4">
        <f>AVERAGE(37.2,47)</f>
        <v>42.1</v>
      </c>
      <c r="P139" s="4">
        <f>AVERAGE(139.5,112.9)</f>
        <v>126.2</v>
      </c>
      <c r="Q139" s="4">
        <f>AVERAGE(113.5,104)</f>
        <v>108.75</v>
      </c>
      <c r="R139" s="4">
        <f>AVERAGE(0.81,0.84)</f>
        <v>0.82499999999999996</v>
      </c>
      <c r="S139" s="4">
        <f>AVERAGE(29.4,21.9)</f>
        <v>25.65</v>
      </c>
      <c r="T139" s="4">
        <f>AVERAGE(30.4,13.7)</f>
        <v>22.049999999999997</v>
      </c>
      <c r="U139" s="43" t="s">
        <v>50</v>
      </c>
      <c r="V139" s="45" t="s">
        <v>50</v>
      </c>
      <c r="W139" s="45" t="s">
        <v>50</v>
      </c>
      <c r="X139" s="5"/>
      <c r="Y139" s="269" t="s">
        <v>32</v>
      </c>
    </row>
    <row r="140" spans="1:25" s="563" customFormat="1" x14ac:dyDescent="0.25">
      <c r="A140" s="20">
        <v>43643</v>
      </c>
      <c r="B140" s="20" t="s">
        <v>105</v>
      </c>
      <c r="C140" s="508" t="s">
        <v>78</v>
      </c>
      <c r="D140" s="631">
        <v>38.051940000000002</v>
      </c>
      <c r="E140" s="631">
        <v>-121.98308</v>
      </c>
      <c r="F140" s="631" t="s">
        <v>4672</v>
      </c>
      <c r="G140" s="631" t="s">
        <v>27</v>
      </c>
      <c r="H140" s="631" t="s">
        <v>86</v>
      </c>
      <c r="I140" s="21">
        <v>0.4680555555555555</v>
      </c>
      <c r="J140" s="546" t="s">
        <v>4500</v>
      </c>
      <c r="K140" s="631" t="s">
        <v>4501</v>
      </c>
      <c r="L140" s="631" t="s">
        <v>30</v>
      </c>
      <c r="M140" s="631">
        <v>2</v>
      </c>
      <c r="N140" s="631">
        <v>10</v>
      </c>
      <c r="O140" s="4">
        <f>AVERAGE(13.6,8.9)</f>
        <v>11.25</v>
      </c>
      <c r="P140" s="4">
        <f>AVERAGE(1042,1283)</f>
        <v>1162.5</v>
      </c>
      <c r="Q140" s="4">
        <f>AVERAGE(2276,2192)</f>
        <v>2234</v>
      </c>
      <c r="R140" s="4">
        <f>AVERAGE(0.62,0.69)</f>
        <v>0.65500000000000003</v>
      </c>
      <c r="S140" s="4">
        <f>AVERAGE(21.4,23.2)</f>
        <v>22.299999999999997</v>
      </c>
      <c r="T140" s="4">
        <f>AVERAGE(30.6,234)</f>
        <v>132.30000000000001</v>
      </c>
      <c r="U140" s="631" t="s">
        <v>50</v>
      </c>
      <c r="V140" s="631" t="s">
        <v>50</v>
      </c>
      <c r="W140" s="631" t="s">
        <v>50</v>
      </c>
      <c r="X140" s="5"/>
      <c r="Y140" s="16" t="s">
        <v>32</v>
      </c>
    </row>
    <row r="141" spans="1:25" s="563" customFormat="1" x14ac:dyDescent="0.25">
      <c r="A141" s="20">
        <v>43643</v>
      </c>
      <c r="B141" s="20" t="s">
        <v>105</v>
      </c>
      <c r="C141" s="508" t="s">
        <v>78</v>
      </c>
      <c r="D141" s="631">
        <v>38.095849999999999</v>
      </c>
      <c r="E141" s="631">
        <v>-122.04871</v>
      </c>
      <c r="F141" s="631" t="s">
        <v>4673</v>
      </c>
      <c r="G141" s="631" t="s">
        <v>27</v>
      </c>
      <c r="H141" s="631" t="s">
        <v>86</v>
      </c>
      <c r="I141" s="21">
        <v>0.52013888888888882</v>
      </c>
      <c r="J141" s="546" t="s">
        <v>4500</v>
      </c>
      <c r="K141" s="631" t="s">
        <v>4501</v>
      </c>
      <c r="L141" s="631" t="s">
        <v>30</v>
      </c>
      <c r="M141" s="631">
        <v>2</v>
      </c>
      <c r="N141" s="631">
        <v>10</v>
      </c>
      <c r="O141" s="4">
        <f>AVERAGE(16.3,15.2)</f>
        <v>15.75</v>
      </c>
      <c r="P141" s="4">
        <f>AVERAGE(6220,6384)</f>
        <v>6302</v>
      </c>
      <c r="Q141" s="4">
        <f>AVERAGE(6354,8042)</f>
        <v>7198</v>
      </c>
      <c r="R141" s="4">
        <f>AVERAGE(0.5,0.53)</f>
        <v>0.51500000000000001</v>
      </c>
      <c r="S141" s="4">
        <f>AVERAGE(82.4,221)</f>
        <v>151.69999999999999</v>
      </c>
      <c r="T141" s="4">
        <f>AVERAGE(837,202)</f>
        <v>519.5</v>
      </c>
      <c r="U141" s="631" t="s">
        <v>50</v>
      </c>
      <c r="V141" s="631" t="s">
        <v>50</v>
      </c>
      <c r="W141" s="631" t="s">
        <v>50</v>
      </c>
      <c r="X141" s="5"/>
      <c r="Y141" s="16" t="s">
        <v>32</v>
      </c>
    </row>
    <row r="142" spans="1:25" s="563" customFormat="1" x14ac:dyDescent="0.25">
      <c r="A142" s="20">
        <v>43643</v>
      </c>
      <c r="B142" s="20" t="s">
        <v>105</v>
      </c>
      <c r="C142" s="508" t="s">
        <v>78</v>
      </c>
      <c r="D142" s="631">
        <v>38.07376</v>
      </c>
      <c r="E142" s="631">
        <v>-122.00521999999999</v>
      </c>
      <c r="F142" s="631" t="s">
        <v>4674</v>
      </c>
      <c r="G142" s="631" t="s">
        <v>27</v>
      </c>
      <c r="H142" s="631" t="s">
        <v>86</v>
      </c>
      <c r="I142" s="21">
        <v>0.55694444444444446</v>
      </c>
      <c r="J142" s="546" t="s">
        <v>4500</v>
      </c>
      <c r="K142" s="631" t="s">
        <v>4501</v>
      </c>
      <c r="L142" s="631" t="s">
        <v>30</v>
      </c>
      <c r="M142" s="631">
        <v>2</v>
      </c>
      <c r="N142" s="631">
        <v>10</v>
      </c>
      <c r="O142" s="4">
        <f>AVERAGE(26.3,25.1)</f>
        <v>25.700000000000003</v>
      </c>
      <c r="P142" s="4">
        <f>AVERAGE(3163,3307)</f>
        <v>3235</v>
      </c>
      <c r="Q142" s="4">
        <f>AVERAGE(4009,3918)</f>
        <v>3963.5</v>
      </c>
      <c r="R142" s="4">
        <f>AVERAGE(0.5,0.5)</f>
        <v>0.5</v>
      </c>
      <c r="S142" s="4">
        <f>AVERAGE(21.9,34.5)</f>
        <v>28.2</v>
      </c>
      <c r="T142" s="4">
        <f>AVERAGE(34.5,28.4)</f>
        <v>31.45</v>
      </c>
      <c r="U142" s="631" t="s">
        <v>50</v>
      </c>
      <c r="V142" s="631" t="s">
        <v>50</v>
      </c>
      <c r="W142" s="631" t="s">
        <v>50</v>
      </c>
      <c r="X142" s="5"/>
      <c r="Y142" s="16" t="s">
        <v>32</v>
      </c>
    </row>
    <row r="143" spans="1:25" x14ac:dyDescent="0.25">
      <c r="A143" s="20"/>
      <c r="B143" s="20"/>
      <c r="D143" s="631"/>
      <c r="E143" s="631"/>
      <c r="F143" s="631"/>
      <c r="G143" s="631"/>
      <c r="H143" s="631"/>
      <c r="I143" s="631"/>
      <c r="J143" s="631"/>
      <c r="K143" s="631"/>
      <c r="L143" s="631"/>
      <c r="M143" s="631"/>
      <c r="N143" s="631"/>
      <c r="O143" s="631"/>
      <c r="P143" s="631"/>
      <c r="Q143" s="631"/>
      <c r="R143" s="631"/>
      <c r="S143" s="631"/>
      <c r="T143" s="631"/>
      <c r="U143" s="631"/>
      <c r="V143" s="631"/>
      <c r="W143" s="631"/>
      <c r="Y143" s="631"/>
    </row>
    <row r="144" spans="1:25" x14ac:dyDescent="0.25">
      <c r="A144" s="20"/>
      <c r="B144" s="20"/>
      <c r="D144" s="631"/>
      <c r="E144" s="631"/>
      <c r="F144" s="631"/>
      <c r="G144" s="631"/>
      <c r="H144" s="631"/>
      <c r="I144" s="21"/>
      <c r="J144" s="631"/>
      <c r="K144" s="631"/>
      <c r="L144" s="631"/>
      <c r="M144" s="631"/>
      <c r="N144" s="631"/>
      <c r="O144" s="631"/>
      <c r="P144" s="631"/>
      <c r="Q144" s="631"/>
      <c r="R144" s="631"/>
      <c r="S144" s="631"/>
      <c r="T144" s="631"/>
      <c r="U144" s="631"/>
      <c r="V144" s="631"/>
      <c r="W144" s="631"/>
      <c r="Y144" s="631"/>
    </row>
    <row r="145" spans="1:25" x14ac:dyDescent="0.25">
      <c r="A145" s="20"/>
      <c r="B145" s="20"/>
      <c r="D145" s="631"/>
      <c r="E145" s="631"/>
      <c r="F145" s="631"/>
      <c r="G145" s="631"/>
      <c r="H145" s="631"/>
      <c r="I145" s="21"/>
      <c r="J145" s="631"/>
      <c r="K145" s="631"/>
      <c r="L145" s="631"/>
      <c r="M145" s="631"/>
      <c r="N145" s="631"/>
      <c r="O145" s="631"/>
      <c r="P145" s="631"/>
      <c r="Q145" s="631"/>
      <c r="R145" s="631"/>
      <c r="S145" s="631"/>
      <c r="T145" s="631"/>
      <c r="U145" s="631"/>
      <c r="V145" s="631"/>
      <c r="W145" s="631"/>
      <c r="Y145" s="631"/>
    </row>
    <row r="146" spans="1:25" x14ac:dyDescent="0.25">
      <c r="A146" s="20"/>
      <c r="B146" s="20"/>
      <c r="D146" s="631"/>
      <c r="E146" s="631"/>
      <c r="F146" s="631"/>
      <c r="G146" s="631"/>
      <c r="H146" s="631"/>
      <c r="I146" s="631"/>
      <c r="J146" s="631"/>
      <c r="K146" s="631"/>
      <c r="L146" s="631"/>
      <c r="M146" s="631"/>
      <c r="N146" s="631"/>
      <c r="O146" s="631"/>
      <c r="P146" s="631"/>
      <c r="Q146" s="631"/>
      <c r="R146" s="631"/>
      <c r="S146" s="631"/>
      <c r="T146" s="631"/>
      <c r="U146" s="631"/>
      <c r="V146" s="631"/>
      <c r="W146" s="631"/>
      <c r="Y146" s="631"/>
    </row>
    <row r="147" spans="1:25" x14ac:dyDescent="0.25">
      <c r="A147" s="20"/>
      <c r="B147" s="20"/>
      <c r="D147" s="631"/>
      <c r="E147" s="631"/>
      <c r="F147" s="631"/>
      <c r="G147" s="631"/>
      <c r="H147" s="631"/>
      <c r="I147" s="631"/>
      <c r="J147" s="631"/>
      <c r="K147" s="631"/>
      <c r="L147" s="631"/>
      <c r="M147" s="631"/>
      <c r="N147" s="631"/>
      <c r="O147" s="631"/>
      <c r="P147" s="631"/>
      <c r="Q147" s="631"/>
      <c r="R147" s="631"/>
      <c r="S147" s="631"/>
      <c r="T147" s="631"/>
      <c r="U147" s="631">
        <f>5/2</f>
        <v>2.5</v>
      </c>
      <c r="V147" s="631"/>
      <c r="W147" s="631"/>
      <c r="Y147" s="631"/>
    </row>
    <row r="148" spans="1:25" x14ac:dyDescent="0.25">
      <c r="A148" s="20"/>
      <c r="B148" s="20"/>
      <c r="D148" s="631"/>
      <c r="E148" s="631"/>
      <c r="F148" s="631"/>
      <c r="G148" s="631"/>
      <c r="H148" s="631"/>
      <c r="I148" s="631"/>
      <c r="J148" s="631"/>
      <c r="K148" s="631"/>
      <c r="L148" s="631"/>
      <c r="M148" s="631"/>
      <c r="N148" s="631"/>
      <c r="O148" s="631"/>
      <c r="P148" s="631"/>
      <c r="Q148" s="631"/>
      <c r="R148" s="631"/>
      <c r="S148" s="631"/>
      <c r="T148" s="631"/>
      <c r="U148" s="631"/>
      <c r="V148" s="631"/>
      <c r="W148" s="631"/>
      <c r="Y148" s="631"/>
    </row>
    <row r="149" spans="1:25" x14ac:dyDescent="0.25">
      <c r="A149" s="20"/>
      <c r="B149" s="20"/>
      <c r="D149" s="631"/>
      <c r="E149" s="631"/>
      <c r="F149" s="631"/>
      <c r="G149" s="631"/>
      <c r="H149" s="631"/>
      <c r="I149" s="631"/>
      <c r="J149" s="631"/>
      <c r="K149" s="631"/>
      <c r="L149" s="631"/>
      <c r="M149" s="631"/>
      <c r="N149" s="631"/>
      <c r="O149" s="631"/>
      <c r="P149" s="631"/>
      <c r="Q149" s="631"/>
      <c r="R149" s="631"/>
      <c r="S149" s="631"/>
      <c r="T149" s="631"/>
      <c r="U149" s="631"/>
      <c r="V149" s="631"/>
      <c r="W149" s="631"/>
      <c r="Y149" s="631"/>
    </row>
    <row r="150" spans="1:25" x14ac:dyDescent="0.25">
      <c r="A150" s="20"/>
      <c r="B150" s="20"/>
      <c r="D150" s="631"/>
      <c r="E150" s="631"/>
      <c r="F150" s="631"/>
      <c r="G150" s="631"/>
      <c r="H150" s="631"/>
      <c r="I150" s="21"/>
      <c r="J150" s="43"/>
      <c r="K150" s="43"/>
      <c r="L150" s="43"/>
      <c r="M150" s="43"/>
      <c r="N150" s="631"/>
      <c r="O150" s="43"/>
      <c r="P150" s="43"/>
      <c r="Q150" s="43"/>
      <c r="R150" s="43"/>
      <c r="S150" s="43"/>
      <c r="T150" s="43"/>
      <c r="U150" s="43"/>
      <c r="V150" s="45"/>
      <c r="W150" s="45"/>
      <c r="Y150" s="40"/>
    </row>
    <row r="151" spans="1:25" x14ac:dyDescent="0.25">
      <c r="A151" s="20"/>
      <c r="B151" s="20"/>
      <c r="D151" s="631"/>
      <c r="E151" s="631"/>
      <c r="F151" s="631"/>
      <c r="G151" s="631"/>
      <c r="H151" s="631"/>
      <c r="I151" s="21"/>
      <c r="J151" s="631"/>
      <c r="K151" s="631"/>
      <c r="L151" s="631"/>
      <c r="M151" s="631"/>
      <c r="N151" s="631"/>
      <c r="O151" s="631"/>
      <c r="P151" s="631"/>
      <c r="Q151" s="631"/>
      <c r="R151" s="631"/>
      <c r="S151" s="631"/>
      <c r="T151" s="631"/>
      <c r="U151" s="631"/>
      <c r="V151" s="631"/>
      <c r="W151" s="631"/>
      <c r="Y151" s="631"/>
    </row>
    <row r="152" spans="1:25" x14ac:dyDescent="0.25">
      <c r="A152" s="20"/>
      <c r="B152" s="20"/>
      <c r="D152" s="631"/>
      <c r="E152" s="631"/>
      <c r="F152" s="631"/>
      <c r="G152" s="631"/>
      <c r="H152" s="631"/>
      <c r="I152" s="21"/>
      <c r="J152" s="631"/>
      <c r="K152" s="631"/>
      <c r="L152" s="631"/>
      <c r="M152" s="631"/>
      <c r="N152" s="631"/>
      <c r="O152" s="631"/>
      <c r="P152" s="631"/>
      <c r="Q152" s="631"/>
      <c r="R152" s="631"/>
      <c r="S152" s="631"/>
      <c r="T152" s="631"/>
      <c r="U152" s="631"/>
      <c r="V152" s="631"/>
      <c r="W152" s="631"/>
      <c r="Y152" s="631"/>
    </row>
    <row r="153" spans="1:25" x14ac:dyDescent="0.25">
      <c r="A153" s="20"/>
      <c r="B153" s="20"/>
      <c r="D153" s="631"/>
      <c r="E153" s="631"/>
      <c r="F153" s="631"/>
      <c r="G153" s="631"/>
      <c r="H153" s="631"/>
      <c r="I153" s="631"/>
      <c r="J153" s="631"/>
      <c r="K153" s="631"/>
      <c r="L153" s="631"/>
      <c r="M153" s="631"/>
      <c r="N153" s="631"/>
      <c r="O153" s="631"/>
      <c r="P153" s="631"/>
      <c r="Q153" s="631"/>
      <c r="R153" s="631"/>
      <c r="S153" s="631"/>
      <c r="T153" s="631"/>
      <c r="U153" s="631"/>
      <c r="V153" s="631"/>
      <c r="W153" s="631"/>
      <c r="Y153" s="631"/>
    </row>
    <row r="154" spans="1:25" x14ac:dyDescent="0.25">
      <c r="A154" s="20"/>
      <c r="B154" s="20"/>
      <c r="D154" s="631"/>
      <c r="E154" s="631"/>
      <c r="F154" s="631"/>
      <c r="G154" s="631"/>
      <c r="H154" s="631"/>
      <c r="I154" s="631"/>
      <c r="J154" s="631"/>
      <c r="K154" s="631"/>
      <c r="L154" s="631"/>
      <c r="M154" s="631"/>
      <c r="N154" s="631"/>
      <c r="O154" s="631"/>
      <c r="P154" s="631"/>
      <c r="Q154" s="631"/>
      <c r="R154" s="631"/>
      <c r="S154" s="631"/>
      <c r="T154" s="631"/>
      <c r="U154" s="631"/>
      <c r="V154" s="631"/>
      <c r="W154" s="631"/>
      <c r="Y154" s="631"/>
    </row>
    <row r="155" spans="1:25" x14ac:dyDescent="0.25">
      <c r="A155" s="20"/>
      <c r="B155" s="20"/>
      <c r="D155" s="631"/>
      <c r="E155" s="631"/>
      <c r="F155" s="631"/>
      <c r="G155" s="631"/>
      <c r="H155" s="631"/>
      <c r="I155" s="631"/>
      <c r="J155" s="631"/>
      <c r="K155" s="631"/>
      <c r="L155" s="631"/>
      <c r="M155" s="631"/>
      <c r="N155" s="631"/>
      <c r="O155" s="631"/>
      <c r="P155" s="631"/>
      <c r="Q155" s="631"/>
      <c r="R155" s="631"/>
      <c r="S155" s="631"/>
      <c r="T155" s="631"/>
      <c r="U155" s="631"/>
      <c r="V155" s="631"/>
      <c r="W155" s="631"/>
      <c r="Y155" s="631"/>
    </row>
    <row r="156" spans="1:25" x14ac:dyDescent="0.25">
      <c r="A156" s="20"/>
      <c r="B156" s="20"/>
      <c r="D156" s="631"/>
      <c r="E156" s="631"/>
      <c r="F156" s="631"/>
      <c r="G156" s="631"/>
      <c r="H156" s="631"/>
      <c r="I156" s="631"/>
      <c r="J156" s="631"/>
      <c r="K156" s="631"/>
      <c r="L156" s="631"/>
      <c r="M156" s="631"/>
      <c r="N156" s="631"/>
      <c r="O156" s="631"/>
      <c r="P156" s="631"/>
      <c r="Q156" s="631"/>
      <c r="R156" s="631"/>
      <c r="S156" s="631"/>
      <c r="T156" s="631"/>
      <c r="U156" s="631"/>
      <c r="V156" s="631"/>
      <c r="W156" s="631"/>
      <c r="Y156" s="631"/>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
    <tabColor theme="4" tint="0.59999389629810485"/>
  </sheetPr>
  <dimension ref="A1:Z733"/>
  <sheetViews>
    <sheetView zoomScaleNormal="100" workbookViewId="0">
      <pane xSplit="3" ySplit="2" topLeftCell="M372" activePane="bottomRight" state="frozen"/>
      <selection pane="topRight" activeCell="D1" sqref="D1"/>
      <selection pane="bottomLeft" activeCell="A3" sqref="A3"/>
      <selection pane="bottomRight" activeCell="S665" sqref="S665"/>
    </sheetView>
  </sheetViews>
  <sheetFormatPr defaultColWidth="9.140625" defaultRowHeight="15" x14ac:dyDescent="0.25"/>
  <cols>
    <col min="1" max="1" width="10.7109375" style="51" customWidth="1"/>
    <col min="2" max="2" width="9.140625" style="51" bestFit="1" customWidth="1"/>
    <col min="3" max="3" width="30.85546875" style="51" bestFit="1" customWidth="1"/>
    <col min="4" max="5" width="15.7109375" style="51" customWidth="1"/>
    <col min="6" max="6" width="13.42578125" style="51" customWidth="1"/>
    <col min="7" max="7" width="10.42578125" style="51" customWidth="1"/>
    <col min="8" max="8" width="43.7109375" style="51" customWidth="1"/>
    <col min="9" max="9" width="10.42578125" style="51" customWidth="1"/>
    <col min="10" max="14" width="20.7109375" style="51" customWidth="1"/>
    <col min="15" max="15" width="8" style="51" customWidth="1"/>
    <col min="16" max="16" width="15.7109375" style="51" customWidth="1"/>
    <col min="17" max="17" width="13" style="51" customWidth="1"/>
    <col min="18" max="18" width="13.42578125" style="51" customWidth="1"/>
    <col min="19" max="19" width="7.7109375" style="51" customWidth="1"/>
    <col min="20" max="20" width="6.85546875" style="51" customWidth="1"/>
    <col min="21" max="21" width="14.7109375" style="51" bestFit="1" customWidth="1"/>
    <col min="22" max="22" width="11.85546875" style="51" customWidth="1"/>
    <col min="23" max="23" width="6.85546875" style="51" customWidth="1"/>
    <col min="24" max="24" width="11.42578125" style="51" customWidth="1"/>
    <col min="25" max="25" width="54.85546875" style="52" customWidth="1"/>
    <col min="26" max="16384" width="9.140625" style="51"/>
  </cols>
  <sheetData>
    <row r="1" spans="1:25" s="434" customFormat="1" x14ac:dyDescent="0.25">
      <c r="A1" s="147" t="s">
        <v>33</v>
      </c>
      <c r="B1" s="147"/>
      <c r="C1" s="147"/>
      <c r="D1" s="147"/>
      <c r="E1" s="147"/>
      <c r="F1" s="147"/>
      <c r="G1" s="147"/>
      <c r="H1" s="147"/>
      <c r="I1" s="147"/>
      <c r="J1" s="147"/>
      <c r="K1" s="147"/>
      <c r="L1" s="147"/>
      <c r="M1" s="147"/>
      <c r="N1" s="147"/>
      <c r="O1" s="147"/>
      <c r="P1" s="147"/>
      <c r="Q1" s="147"/>
      <c r="R1" s="147"/>
      <c r="S1" s="147"/>
      <c r="T1" s="147"/>
      <c r="U1" s="147"/>
      <c r="V1" s="147"/>
      <c r="W1" s="146"/>
      <c r="X1" s="146"/>
      <c r="Y1" s="5"/>
    </row>
    <row r="2" spans="1:25" s="141" customFormat="1" ht="15.75" thickBot="1" x14ac:dyDescent="0.3">
      <c r="A2" s="140" t="s">
        <v>1</v>
      </c>
      <c r="B2" s="140" t="s">
        <v>2</v>
      </c>
      <c r="C2" s="141" t="s">
        <v>3</v>
      </c>
      <c r="D2" s="141" t="s">
        <v>4</v>
      </c>
      <c r="E2" s="141" t="s">
        <v>5</v>
      </c>
      <c r="F2" s="94" t="s">
        <v>6</v>
      </c>
      <c r="G2" s="141" t="s">
        <v>7</v>
      </c>
      <c r="H2" s="141" t="s">
        <v>8</v>
      </c>
      <c r="I2" s="140" t="s">
        <v>9</v>
      </c>
      <c r="J2" s="142" t="s">
        <v>4675</v>
      </c>
      <c r="K2" s="143" t="s">
        <v>35</v>
      </c>
      <c r="L2" s="142" t="s">
        <v>36</v>
      </c>
      <c r="M2" s="95" t="s">
        <v>37</v>
      </c>
      <c r="N2" s="144" t="s">
        <v>38</v>
      </c>
      <c r="O2" s="140" t="s">
        <v>10</v>
      </c>
      <c r="P2" s="140" t="s">
        <v>13</v>
      </c>
      <c r="Q2" s="140" t="s">
        <v>14</v>
      </c>
      <c r="R2" s="140" t="s">
        <v>39</v>
      </c>
      <c r="S2" s="140" t="s">
        <v>19</v>
      </c>
      <c r="T2" s="140" t="s">
        <v>20</v>
      </c>
      <c r="U2" s="140" t="s">
        <v>21</v>
      </c>
      <c r="V2" s="140" t="s">
        <v>40</v>
      </c>
      <c r="W2" s="140" t="s">
        <v>41</v>
      </c>
      <c r="X2" s="140" t="s">
        <v>42</v>
      </c>
      <c r="Y2" s="145" t="s">
        <v>22</v>
      </c>
    </row>
    <row r="3" spans="1:25" s="97" customFormat="1" x14ac:dyDescent="0.25">
      <c r="A3" s="93">
        <v>43437</v>
      </c>
      <c r="B3" s="92" t="s">
        <v>43</v>
      </c>
      <c r="C3" s="97" t="s">
        <v>44</v>
      </c>
      <c r="D3" s="98">
        <v>38.009970000000003</v>
      </c>
      <c r="E3" s="98">
        <v>-121.54925</v>
      </c>
      <c r="F3" s="97" t="s">
        <v>4676</v>
      </c>
      <c r="G3" s="97" t="s">
        <v>46</v>
      </c>
      <c r="H3" s="97" t="s">
        <v>59</v>
      </c>
      <c r="I3" s="99">
        <v>0.33958333333333335</v>
      </c>
      <c r="J3" s="100">
        <v>288.57500000000005</v>
      </c>
      <c r="K3" s="100">
        <v>12.25</v>
      </c>
      <c r="L3" s="100">
        <v>3.2075000000000005</v>
      </c>
      <c r="M3" s="100" t="s">
        <v>2547</v>
      </c>
      <c r="N3" s="101">
        <v>8.7750000000000004</v>
      </c>
      <c r="O3" s="97" t="s">
        <v>48</v>
      </c>
      <c r="P3" s="97">
        <v>4</v>
      </c>
      <c r="Q3" s="97">
        <v>10</v>
      </c>
      <c r="R3" s="97" t="s">
        <v>64</v>
      </c>
      <c r="S3" s="97" t="s">
        <v>50</v>
      </c>
      <c r="T3" s="97" t="s">
        <v>50</v>
      </c>
      <c r="U3" s="97" t="s">
        <v>50</v>
      </c>
      <c r="V3" s="97" t="s">
        <v>50</v>
      </c>
      <c r="W3" s="97" t="s">
        <v>50</v>
      </c>
      <c r="X3" s="97" t="s">
        <v>50</v>
      </c>
      <c r="Y3" s="102"/>
    </row>
    <row r="4" spans="1:25" s="424" customFormat="1" x14ac:dyDescent="0.25">
      <c r="A4" s="148">
        <v>43437</v>
      </c>
      <c r="B4" s="148" t="s">
        <v>43</v>
      </c>
      <c r="C4" s="153" t="s">
        <v>44</v>
      </c>
      <c r="D4" s="424">
        <v>38.041890000000002</v>
      </c>
      <c r="E4" s="424">
        <v>-121.59582</v>
      </c>
      <c r="F4" s="424" t="s">
        <v>4677</v>
      </c>
      <c r="G4" s="424" t="s">
        <v>46</v>
      </c>
      <c r="H4" s="424" t="s">
        <v>47</v>
      </c>
      <c r="I4" s="425">
        <v>0.38541666666666669</v>
      </c>
      <c r="J4" s="427" t="s">
        <v>50</v>
      </c>
      <c r="K4" s="427" t="s">
        <v>50</v>
      </c>
      <c r="L4" s="427" t="s">
        <v>50</v>
      </c>
      <c r="M4" s="427" t="s">
        <v>50</v>
      </c>
      <c r="N4" s="427" t="s">
        <v>50</v>
      </c>
      <c r="O4" s="424" t="s">
        <v>48</v>
      </c>
      <c r="P4" s="424">
        <v>0</v>
      </c>
      <c r="Q4" s="424" t="s">
        <v>50</v>
      </c>
      <c r="R4" s="424" t="s">
        <v>50</v>
      </c>
      <c r="S4" s="424" t="s">
        <v>50</v>
      </c>
      <c r="T4" s="424" t="s">
        <v>50</v>
      </c>
      <c r="U4" s="424" t="s">
        <v>50</v>
      </c>
      <c r="V4" s="424" t="s">
        <v>50</v>
      </c>
      <c r="W4" s="424" t="s">
        <v>50</v>
      </c>
      <c r="X4" s="424" t="s">
        <v>50</v>
      </c>
      <c r="Y4" s="426" t="s">
        <v>4678</v>
      </c>
    </row>
    <row r="5" spans="1:25" x14ac:dyDescent="0.25">
      <c r="A5" s="93">
        <v>43437</v>
      </c>
      <c r="B5" s="92" t="s">
        <v>43</v>
      </c>
      <c r="C5" s="97" t="s">
        <v>44</v>
      </c>
      <c r="D5" s="51">
        <v>38.033279999999998</v>
      </c>
      <c r="E5" s="51">
        <v>-121.52321999999999</v>
      </c>
      <c r="F5" s="442" t="s">
        <v>4679</v>
      </c>
      <c r="G5" s="442" t="s">
        <v>46</v>
      </c>
      <c r="H5" s="442" t="s">
        <v>59</v>
      </c>
      <c r="I5" s="66">
        <v>0.40416666666666662</v>
      </c>
      <c r="J5" s="428">
        <v>266.39999999999998</v>
      </c>
      <c r="K5" s="428">
        <v>12.2</v>
      </c>
      <c r="L5" s="428">
        <v>3.4274999999999998</v>
      </c>
      <c r="M5" s="428" t="s">
        <v>2547</v>
      </c>
      <c r="N5" s="428">
        <v>6.5250000000000004</v>
      </c>
      <c r="O5" s="51" t="s">
        <v>48</v>
      </c>
      <c r="P5" s="51">
        <v>4</v>
      </c>
      <c r="Q5" s="51">
        <v>10</v>
      </c>
      <c r="R5" s="51" t="s">
        <v>64</v>
      </c>
      <c r="S5" s="51" t="s">
        <v>50</v>
      </c>
      <c r="T5" s="51" t="s">
        <v>50</v>
      </c>
      <c r="U5" s="51" t="s">
        <v>50</v>
      </c>
      <c r="V5" s="51" t="s">
        <v>50</v>
      </c>
      <c r="W5" s="51" t="s">
        <v>50</v>
      </c>
      <c r="X5" s="51" t="s">
        <v>50</v>
      </c>
    </row>
    <row r="6" spans="1:25" s="424" customFormat="1" x14ac:dyDescent="0.25">
      <c r="A6" s="148">
        <v>43437</v>
      </c>
      <c r="B6" s="148" t="s">
        <v>43</v>
      </c>
      <c r="C6" s="153" t="s">
        <v>44</v>
      </c>
      <c r="D6" s="424">
        <v>38.029130000000002</v>
      </c>
      <c r="E6" s="424">
        <v>-121.61011999999999</v>
      </c>
      <c r="F6" s="424" t="s">
        <v>4680</v>
      </c>
      <c r="G6" s="424" t="s">
        <v>46</v>
      </c>
      <c r="H6" s="424" t="s">
        <v>47</v>
      </c>
      <c r="I6" s="425">
        <v>0.46458333333333335</v>
      </c>
      <c r="J6" s="427" t="s">
        <v>50</v>
      </c>
      <c r="K6" s="427" t="s">
        <v>50</v>
      </c>
      <c r="L6" s="427" t="s">
        <v>50</v>
      </c>
      <c r="M6" s="427" t="s">
        <v>50</v>
      </c>
      <c r="N6" s="427" t="s">
        <v>50</v>
      </c>
      <c r="O6" s="424" t="s">
        <v>48</v>
      </c>
      <c r="P6" s="424">
        <v>0</v>
      </c>
      <c r="Q6" s="424" t="s">
        <v>50</v>
      </c>
      <c r="R6" s="424" t="s">
        <v>50</v>
      </c>
      <c r="S6" s="424" t="s">
        <v>50</v>
      </c>
      <c r="T6" s="424" t="s">
        <v>50</v>
      </c>
      <c r="U6" s="424" t="s">
        <v>50</v>
      </c>
      <c r="V6" s="424" t="s">
        <v>50</v>
      </c>
      <c r="W6" s="424" t="s">
        <v>50</v>
      </c>
      <c r="X6" s="424" t="s">
        <v>50</v>
      </c>
      <c r="Y6" s="426" t="s">
        <v>4678</v>
      </c>
    </row>
    <row r="7" spans="1:25" s="424" customFormat="1" x14ac:dyDescent="0.25">
      <c r="A7" s="148">
        <v>43437</v>
      </c>
      <c r="B7" s="148" t="s">
        <v>43</v>
      </c>
      <c r="C7" s="153" t="s">
        <v>44</v>
      </c>
      <c r="D7" s="424">
        <v>37.997019999999999</v>
      </c>
      <c r="E7" s="424">
        <v>-121.51853</v>
      </c>
      <c r="F7" s="424" t="s">
        <v>4681</v>
      </c>
      <c r="G7" s="424" t="s">
        <v>46</v>
      </c>
      <c r="H7" s="424" t="s">
        <v>59</v>
      </c>
      <c r="I7" s="425">
        <v>0.48055555555555557</v>
      </c>
      <c r="J7" s="427" t="s">
        <v>50</v>
      </c>
      <c r="K7" s="427" t="s">
        <v>50</v>
      </c>
      <c r="L7" s="427" t="s">
        <v>50</v>
      </c>
      <c r="M7" s="427" t="s">
        <v>50</v>
      </c>
      <c r="N7" s="427" t="s">
        <v>50</v>
      </c>
      <c r="O7" s="424" t="s">
        <v>48</v>
      </c>
      <c r="P7" s="424">
        <v>0</v>
      </c>
      <c r="Q7" s="424" t="s">
        <v>50</v>
      </c>
      <c r="R7" s="424" t="s">
        <v>50</v>
      </c>
      <c r="S7" s="424" t="s">
        <v>50</v>
      </c>
      <c r="T7" s="424" t="s">
        <v>50</v>
      </c>
      <c r="U7" s="424" t="s">
        <v>50</v>
      </c>
      <c r="V7" s="424" t="s">
        <v>50</v>
      </c>
      <c r="W7" s="424" t="s">
        <v>50</v>
      </c>
      <c r="X7" s="424" t="s">
        <v>50</v>
      </c>
      <c r="Y7" s="426" t="s">
        <v>4682</v>
      </c>
    </row>
    <row r="8" spans="1:25" x14ac:dyDescent="0.25">
      <c r="A8" s="93">
        <v>43437</v>
      </c>
      <c r="B8" s="92" t="s">
        <v>43</v>
      </c>
      <c r="C8" s="97" t="s">
        <v>44</v>
      </c>
      <c r="D8" s="51">
        <v>37.980150000000002</v>
      </c>
      <c r="E8" s="51">
        <v>-121.51939</v>
      </c>
      <c r="F8" s="442" t="s">
        <v>4683</v>
      </c>
      <c r="G8" s="442" t="s">
        <v>46</v>
      </c>
      <c r="H8" s="442" t="s">
        <v>59</v>
      </c>
      <c r="I8" s="66">
        <v>0.48958333333333331</v>
      </c>
      <c r="J8" s="428">
        <v>286.67499999999995</v>
      </c>
      <c r="K8" s="428">
        <v>12.35</v>
      </c>
      <c r="L8" s="428">
        <v>2.1800000000000002</v>
      </c>
      <c r="M8" s="428" t="s">
        <v>2547</v>
      </c>
      <c r="N8" s="428">
        <v>5.0250000000000004</v>
      </c>
      <c r="O8" s="51" t="s">
        <v>48</v>
      </c>
      <c r="P8" s="51">
        <v>4</v>
      </c>
      <c r="Q8" s="51">
        <v>10</v>
      </c>
      <c r="R8" s="51" t="s">
        <v>64</v>
      </c>
      <c r="S8" s="51" t="s">
        <v>50</v>
      </c>
      <c r="T8" s="51" t="s">
        <v>50</v>
      </c>
      <c r="U8" s="51" t="s">
        <v>50</v>
      </c>
      <c r="V8" s="51" t="s">
        <v>50</v>
      </c>
      <c r="W8" s="51" t="s">
        <v>50</v>
      </c>
      <c r="X8" s="51" t="s">
        <v>50</v>
      </c>
    </row>
    <row r="9" spans="1:25" x14ac:dyDescent="0.25">
      <c r="A9" s="93">
        <v>43437</v>
      </c>
      <c r="B9" s="92" t="s">
        <v>43</v>
      </c>
      <c r="C9" s="27" t="s">
        <v>106</v>
      </c>
      <c r="D9" s="51">
        <v>38.562739999999998</v>
      </c>
      <c r="E9" s="51">
        <v>-121.55474</v>
      </c>
      <c r="F9" s="51" t="s">
        <v>4684</v>
      </c>
      <c r="G9" s="51" t="s">
        <v>90</v>
      </c>
      <c r="H9" s="27" t="s">
        <v>1787</v>
      </c>
      <c r="I9" s="66">
        <v>0.3840277777777778</v>
      </c>
      <c r="J9" s="428">
        <v>1046.75</v>
      </c>
      <c r="K9" s="428">
        <v>13.274999999999999</v>
      </c>
      <c r="L9" s="428">
        <v>6.5074999999999994</v>
      </c>
      <c r="M9" s="428" t="s">
        <v>2547</v>
      </c>
      <c r="N9" s="428">
        <v>10.675000000000001</v>
      </c>
      <c r="O9" s="51" t="s">
        <v>48</v>
      </c>
      <c r="P9" s="51">
        <v>4</v>
      </c>
      <c r="Q9" s="51">
        <v>10</v>
      </c>
      <c r="R9" s="51" t="s">
        <v>64</v>
      </c>
      <c r="S9" s="51" t="s">
        <v>50</v>
      </c>
      <c r="T9" s="51" t="s">
        <v>50</v>
      </c>
      <c r="U9" s="51" t="s">
        <v>50</v>
      </c>
      <c r="V9" s="51" t="s">
        <v>50</v>
      </c>
      <c r="W9" s="51" t="s">
        <v>50</v>
      </c>
      <c r="X9" s="51" t="s">
        <v>50</v>
      </c>
      <c r="Y9" s="52" t="s">
        <v>4685</v>
      </c>
    </row>
    <row r="10" spans="1:25" s="431" customFormat="1" x14ac:dyDescent="0.25">
      <c r="A10" s="429">
        <v>43437</v>
      </c>
      <c r="B10" s="430" t="s">
        <v>43</v>
      </c>
      <c r="C10" s="494" t="s">
        <v>106</v>
      </c>
      <c r="D10" s="431">
        <v>38.338990000000003</v>
      </c>
      <c r="E10" s="431">
        <v>-121.64606999999999</v>
      </c>
      <c r="F10" s="431" t="s">
        <v>4686</v>
      </c>
      <c r="G10" s="431" t="s">
        <v>90</v>
      </c>
      <c r="H10" s="494" t="s">
        <v>362</v>
      </c>
      <c r="I10" s="432">
        <v>0.46666666666666662</v>
      </c>
      <c r="J10" s="433">
        <v>302.04999999999995</v>
      </c>
      <c r="K10" s="433">
        <v>12.1</v>
      </c>
      <c r="L10" s="433">
        <v>31.85</v>
      </c>
      <c r="M10" s="433">
        <v>0.42000000000000004</v>
      </c>
      <c r="N10" s="433">
        <v>10.9</v>
      </c>
      <c r="O10" s="431" t="s">
        <v>48</v>
      </c>
      <c r="P10" s="431">
        <v>2</v>
      </c>
      <c r="Q10" s="431">
        <v>10</v>
      </c>
      <c r="R10" s="431" t="s">
        <v>64</v>
      </c>
      <c r="S10" s="431" t="s">
        <v>323</v>
      </c>
      <c r="T10" s="431">
        <v>4</v>
      </c>
      <c r="U10" s="431" t="s">
        <v>4687</v>
      </c>
      <c r="V10" s="431" t="s">
        <v>66</v>
      </c>
      <c r="W10" s="431" t="s">
        <v>50</v>
      </c>
      <c r="X10" s="431" t="s">
        <v>50</v>
      </c>
      <c r="Y10" s="455" t="s">
        <v>4688</v>
      </c>
    </row>
    <row r="11" spans="1:25" x14ac:dyDescent="0.25">
      <c r="A11" s="93">
        <v>43437</v>
      </c>
      <c r="B11" s="92" t="s">
        <v>43</v>
      </c>
      <c r="C11" s="27" t="s">
        <v>106</v>
      </c>
      <c r="D11" s="51">
        <v>38.316940000000002</v>
      </c>
      <c r="E11" s="51">
        <v>-121.65107999999999</v>
      </c>
      <c r="F11" s="51" t="s">
        <v>4689</v>
      </c>
      <c r="G11" s="51" t="s">
        <v>90</v>
      </c>
      <c r="H11" s="51" t="s">
        <v>362</v>
      </c>
      <c r="I11" s="66">
        <v>0.52638888888888891</v>
      </c>
      <c r="J11" s="428">
        <v>229.45</v>
      </c>
      <c r="K11" s="428">
        <v>12</v>
      </c>
      <c r="L11" s="428">
        <v>14.625</v>
      </c>
      <c r="M11" s="428">
        <v>0.88</v>
      </c>
      <c r="N11" s="428">
        <v>11.350000000000001</v>
      </c>
      <c r="O11" s="51" t="s">
        <v>48</v>
      </c>
      <c r="P11" s="51">
        <v>4</v>
      </c>
      <c r="Q11" s="51">
        <v>10</v>
      </c>
      <c r="R11" s="51" t="s">
        <v>64</v>
      </c>
      <c r="S11" s="51" t="s">
        <v>50</v>
      </c>
      <c r="T11" s="51" t="s">
        <v>50</v>
      </c>
      <c r="U11" s="51" t="s">
        <v>50</v>
      </c>
      <c r="V11" s="51" t="s">
        <v>50</v>
      </c>
      <c r="W11" s="51" t="s">
        <v>50</v>
      </c>
      <c r="X11" s="51" t="s">
        <v>50</v>
      </c>
    </row>
    <row r="12" spans="1:25" x14ac:dyDescent="0.25">
      <c r="A12" s="93">
        <v>43437</v>
      </c>
      <c r="B12" s="92" t="s">
        <v>43</v>
      </c>
      <c r="C12" s="27" t="s">
        <v>106</v>
      </c>
      <c r="D12" s="51">
        <v>38.226550000000003</v>
      </c>
      <c r="E12" s="51">
        <v>-121.67493</v>
      </c>
      <c r="F12" s="51" t="s">
        <v>4690</v>
      </c>
      <c r="G12" s="51" t="s">
        <v>90</v>
      </c>
      <c r="H12" s="51" t="s">
        <v>362</v>
      </c>
      <c r="I12" s="66">
        <v>0.58402777777777781</v>
      </c>
      <c r="J12" s="428">
        <v>201.73333333333335</v>
      </c>
      <c r="K12" s="428">
        <v>12.1</v>
      </c>
      <c r="L12" s="428">
        <v>9.48</v>
      </c>
      <c r="M12" s="428">
        <v>1.3966666666666667</v>
      </c>
      <c r="N12" s="428">
        <v>12.766666666666666</v>
      </c>
      <c r="O12" s="51" t="s">
        <v>48</v>
      </c>
      <c r="P12" s="51">
        <v>3</v>
      </c>
      <c r="Q12" s="51">
        <v>10</v>
      </c>
      <c r="R12" s="51" t="s">
        <v>49</v>
      </c>
      <c r="S12" s="51" t="s">
        <v>50</v>
      </c>
      <c r="T12" s="51" t="s">
        <v>50</v>
      </c>
      <c r="U12" s="51" t="s">
        <v>50</v>
      </c>
      <c r="V12" s="51" t="s">
        <v>50</v>
      </c>
      <c r="W12" s="51" t="s">
        <v>50</v>
      </c>
      <c r="X12" s="51" t="s">
        <v>50</v>
      </c>
      <c r="Y12" s="52" t="s">
        <v>4691</v>
      </c>
    </row>
    <row r="13" spans="1:25" x14ac:dyDescent="0.25">
      <c r="A13" s="93">
        <v>43437</v>
      </c>
      <c r="B13" s="92" t="s">
        <v>43</v>
      </c>
      <c r="C13" s="27" t="s">
        <v>118</v>
      </c>
      <c r="D13" s="51">
        <v>38.0381</v>
      </c>
      <c r="E13" s="51">
        <v>-122.15654000000001</v>
      </c>
      <c r="F13" s="51" t="s">
        <v>4692</v>
      </c>
      <c r="G13" s="27" t="s">
        <v>80</v>
      </c>
      <c r="H13" s="27" t="s">
        <v>120</v>
      </c>
      <c r="I13" s="66">
        <v>0.37013888888888885</v>
      </c>
      <c r="J13" s="428">
        <v>18795.75</v>
      </c>
      <c r="K13" s="428">
        <v>12.975</v>
      </c>
      <c r="L13" s="428">
        <v>18.524999999999999</v>
      </c>
      <c r="M13" s="428">
        <v>0.72499999999999987</v>
      </c>
      <c r="N13" s="428">
        <v>8.25</v>
      </c>
      <c r="O13" s="51" t="s">
        <v>48</v>
      </c>
      <c r="P13" s="51">
        <v>4</v>
      </c>
      <c r="Q13" s="51">
        <v>10</v>
      </c>
      <c r="R13" s="51" t="s">
        <v>64</v>
      </c>
      <c r="S13" s="51" t="s">
        <v>50</v>
      </c>
      <c r="T13" s="51" t="s">
        <v>50</v>
      </c>
      <c r="U13" s="51" t="s">
        <v>50</v>
      </c>
      <c r="V13" s="51" t="s">
        <v>50</v>
      </c>
      <c r="W13" s="51" t="s">
        <v>50</v>
      </c>
      <c r="X13" s="51" t="s">
        <v>50</v>
      </c>
      <c r="Y13" s="52" t="s">
        <v>4693</v>
      </c>
    </row>
    <row r="14" spans="1:25" x14ac:dyDescent="0.25">
      <c r="A14" s="93">
        <v>43437</v>
      </c>
      <c r="B14" s="92" t="s">
        <v>43</v>
      </c>
      <c r="C14" s="27" t="s">
        <v>118</v>
      </c>
      <c r="D14" s="51">
        <v>38.041910000000001</v>
      </c>
      <c r="E14" s="51">
        <v>-122.16306</v>
      </c>
      <c r="F14" s="51" t="s">
        <v>4694</v>
      </c>
      <c r="G14" s="27" t="s">
        <v>80</v>
      </c>
      <c r="H14" s="27" t="s">
        <v>120</v>
      </c>
      <c r="I14" s="66">
        <v>0.42638888888888887</v>
      </c>
      <c r="J14" s="428">
        <v>20850.5</v>
      </c>
      <c r="K14" s="428">
        <v>13</v>
      </c>
      <c r="L14" s="428">
        <v>27.5</v>
      </c>
      <c r="M14" s="428">
        <v>0.57250000000000001</v>
      </c>
      <c r="N14" s="428">
        <v>6.75</v>
      </c>
      <c r="O14" s="51" t="s">
        <v>48</v>
      </c>
      <c r="P14" s="51">
        <v>4</v>
      </c>
      <c r="Q14" s="51">
        <v>10</v>
      </c>
      <c r="R14" s="51" t="s">
        <v>64</v>
      </c>
      <c r="S14" s="51" t="s">
        <v>50</v>
      </c>
      <c r="T14" s="51" t="s">
        <v>50</v>
      </c>
      <c r="U14" s="51" t="s">
        <v>50</v>
      </c>
      <c r="V14" s="51" t="s">
        <v>50</v>
      </c>
      <c r="W14" s="51" t="s">
        <v>50</v>
      </c>
      <c r="X14" s="51" t="s">
        <v>50</v>
      </c>
    </row>
    <row r="15" spans="1:25" x14ac:dyDescent="0.25">
      <c r="A15" s="93">
        <v>43437</v>
      </c>
      <c r="B15" s="92" t="s">
        <v>43</v>
      </c>
      <c r="C15" s="51" t="s">
        <v>118</v>
      </c>
      <c r="D15" s="51">
        <v>38.0595</v>
      </c>
      <c r="E15" s="51">
        <v>-122.29061</v>
      </c>
      <c r="F15" s="51" t="s">
        <v>4695</v>
      </c>
      <c r="G15" s="51" t="s">
        <v>80</v>
      </c>
      <c r="H15" s="51" t="s">
        <v>123</v>
      </c>
      <c r="I15" s="66">
        <v>0.49305555555555558</v>
      </c>
      <c r="J15" s="428">
        <v>26997</v>
      </c>
      <c r="K15" s="428">
        <v>12.9</v>
      </c>
      <c r="L15" s="428">
        <v>32.125</v>
      </c>
      <c r="M15" s="428">
        <v>0.51</v>
      </c>
      <c r="N15" s="428">
        <v>10.199999999999999</v>
      </c>
      <c r="O15" s="51" t="s">
        <v>48</v>
      </c>
      <c r="P15" s="51">
        <v>4</v>
      </c>
      <c r="Q15" s="51">
        <v>10</v>
      </c>
      <c r="R15" s="51" t="s">
        <v>49</v>
      </c>
      <c r="S15" s="51" t="s">
        <v>50</v>
      </c>
      <c r="T15" s="51" t="s">
        <v>50</v>
      </c>
      <c r="U15" s="51" t="s">
        <v>50</v>
      </c>
      <c r="V15" s="51" t="s">
        <v>50</v>
      </c>
      <c r="W15" s="51" t="s">
        <v>50</v>
      </c>
      <c r="X15" s="51" t="s">
        <v>50</v>
      </c>
    </row>
    <row r="16" spans="1:25" x14ac:dyDescent="0.25">
      <c r="A16" s="93">
        <v>43437</v>
      </c>
      <c r="B16" s="92" t="s">
        <v>43</v>
      </c>
      <c r="C16" s="51" t="s">
        <v>118</v>
      </c>
      <c r="D16" s="51">
        <v>38.115929999999999</v>
      </c>
      <c r="E16" s="51">
        <v>-122.28060000000001</v>
      </c>
      <c r="F16" s="51" t="s">
        <v>4696</v>
      </c>
      <c r="G16" s="51" t="s">
        <v>80</v>
      </c>
      <c r="H16" s="51" t="s">
        <v>191</v>
      </c>
      <c r="I16" s="66">
        <v>0.55138888888888882</v>
      </c>
      <c r="J16" s="428">
        <v>21581</v>
      </c>
      <c r="K16" s="428">
        <v>13.125</v>
      </c>
      <c r="L16" s="428">
        <v>53.399999999999991</v>
      </c>
      <c r="M16" s="428">
        <v>0.33499999999999996</v>
      </c>
      <c r="N16" s="428">
        <v>4.875</v>
      </c>
      <c r="O16" s="51" t="s">
        <v>48</v>
      </c>
      <c r="P16" s="51">
        <v>4</v>
      </c>
      <c r="Q16" s="51">
        <v>10</v>
      </c>
      <c r="R16" s="51" t="s">
        <v>49</v>
      </c>
      <c r="S16" s="51" t="s">
        <v>50</v>
      </c>
      <c r="T16" s="51" t="s">
        <v>50</v>
      </c>
      <c r="U16" s="51" t="s">
        <v>50</v>
      </c>
      <c r="V16" s="51" t="s">
        <v>50</v>
      </c>
      <c r="W16" s="51" t="s">
        <v>50</v>
      </c>
      <c r="X16" s="51" t="s">
        <v>50</v>
      </c>
    </row>
    <row r="17" spans="1:25" x14ac:dyDescent="0.25">
      <c r="A17" s="93">
        <v>43437</v>
      </c>
      <c r="B17" s="92" t="s">
        <v>43</v>
      </c>
      <c r="C17" s="51" t="s">
        <v>118</v>
      </c>
      <c r="D17" s="51">
        <v>38.06447</v>
      </c>
      <c r="E17" s="51">
        <v>-122.21935000000001</v>
      </c>
      <c r="F17" s="51" t="s">
        <v>4697</v>
      </c>
      <c r="G17" s="51" t="s">
        <v>80</v>
      </c>
      <c r="H17" s="51" t="s">
        <v>120</v>
      </c>
      <c r="I17" s="66">
        <v>0.60416666666666663</v>
      </c>
      <c r="J17" s="428">
        <v>22108.75</v>
      </c>
      <c r="K17" s="428">
        <v>13.1</v>
      </c>
      <c r="L17" s="428">
        <v>26.575000000000003</v>
      </c>
      <c r="M17" s="428">
        <v>0.63249999999999995</v>
      </c>
      <c r="N17" s="428">
        <v>22.5</v>
      </c>
      <c r="O17" s="51" t="s">
        <v>48</v>
      </c>
      <c r="P17" s="51">
        <v>4</v>
      </c>
      <c r="Q17" s="51">
        <v>10</v>
      </c>
      <c r="R17" s="51" t="s">
        <v>49</v>
      </c>
      <c r="S17" s="51" t="s">
        <v>50</v>
      </c>
      <c r="T17" s="51" t="s">
        <v>50</v>
      </c>
      <c r="U17" s="51" t="s">
        <v>50</v>
      </c>
      <c r="V17" s="51" t="s">
        <v>50</v>
      </c>
      <c r="W17" s="51" t="s">
        <v>50</v>
      </c>
      <c r="X17" s="51" t="s">
        <v>50</v>
      </c>
      <c r="Y17" s="52" t="s">
        <v>4698</v>
      </c>
    </row>
    <row r="18" spans="1:25" s="437" customFormat="1" x14ac:dyDescent="0.25">
      <c r="A18" s="435">
        <v>43438</v>
      </c>
      <c r="B18" s="436" t="s">
        <v>70</v>
      </c>
      <c r="C18" s="437" t="s">
        <v>62</v>
      </c>
      <c r="D18" s="437">
        <v>38.114989999999999</v>
      </c>
      <c r="E18" s="437">
        <v>-122.06206</v>
      </c>
      <c r="F18" s="437" t="s">
        <v>4699</v>
      </c>
      <c r="G18" s="437" t="s">
        <v>27</v>
      </c>
      <c r="H18" s="437" t="s">
        <v>62</v>
      </c>
      <c r="I18" s="438">
        <v>0.38125000000000003</v>
      </c>
      <c r="J18" s="439">
        <v>10639.25</v>
      </c>
      <c r="K18" s="439">
        <v>11.475000000000001</v>
      </c>
      <c r="L18" s="439">
        <v>73.650000000000006</v>
      </c>
      <c r="M18" s="439">
        <v>0.35249999999999998</v>
      </c>
      <c r="N18" s="439">
        <v>2.95</v>
      </c>
      <c r="O18" s="437" t="s">
        <v>48</v>
      </c>
      <c r="P18" s="437">
        <v>4</v>
      </c>
      <c r="Q18" s="437">
        <v>10</v>
      </c>
      <c r="R18" s="437" t="s">
        <v>64</v>
      </c>
      <c r="S18" s="437" t="s">
        <v>31</v>
      </c>
      <c r="T18" s="437">
        <v>26</v>
      </c>
      <c r="U18" s="437" t="s">
        <v>4700</v>
      </c>
      <c r="V18" s="437" t="s">
        <v>66</v>
      </c>
      <c r="W18" s="437" t="s">
        <v>50</v>
      </c>
      <c r="X18" s="437" t="s">
        <v>50</v>
      </c>
      <c r="Y18" s="440"/>
    </row>
    <row r="19" spans="1:25" s="437" customFormat="1" x14ac:dyDescent="0.25">
      <c r="A19" s="435">
        <v>43438</v>
      </c>
      <c r="B19" s="436" t="s">
        <v>70</v>
      </c>
      <c r="C19" s="437" t="s">
        <v>62</v>
      </c>
      <c r="D19" s="437">
        <v>38.167050000000003</v>
      </c>
      <c r="E19" s="437">
        <v>-122.06677000000001</v>
      </c>
      <c r="F19" s="437" t="s">
        <v>4701</v>
      </c>
      <c r="G19" s="437" t="s">
        <v>27</v>
      </c>
      <c r="H19" s="437" t="s">
        <v>62</v>
      </c>
      <c r="I19" s="438">
        <v>0.43472222222222223</v>
      </c>
      <c r="J19" s="439">
        <v>8465.75</v>
      </c>
      <c r="K19" s="439">
        <v>11.324999999999999</v>
      </c>
      <c r="L19" s="439">
        <v>46.949999999999996</v>
      </c>
      <c r="M19" s="439">
        <v>0.34250000000000003</v>
      </c>
      <c r="N19" s="439">
        <v>6.125</v>
      </c>
      <c r="O19" s="437" t="s">
        <v>48</v>
      </c>
      <c r="P19" s="437">
        <v>4</v>
      </c>
      <c r="Q19" s="437">
        <v>10</v>
      </c>
      <c r="R19" s="437" t="s">
        <v>64</v>
      </c>
      <c r="S19" s="437" t="s">
        <v>31</v>
      </c>
      <c r="T19" s="437">
        <v>1</v>
      </c>
      <c r="U19" s="437">
        <v>110</v>
      </c>
      <c r="V19" s="437" t="s">
        <v>66</v>
      </c>
      <c r="W19" s="437" t="s">
        <v>50</v>
      </c>
      <c r="X19" s="437" t="s">
        <v>50</v>
      </c>
      <c r="Y19" s="440"/>
    </row>
    <row r="20" spans="1:25" x14ac:dyDescent="0.25">
      <c r="A20" s="93">
        <v>43438</v>
      </c>
      <c r="B20" s="92" t="s">
        <v>70</v>
      </c>
      <c r="C20" s="51" t="s">
        <v>62</v>
      </c>
      <c r="D20" s="51">
        <v>38.113140000000001</v>
      </c>
      <c r="E20" s="51">
        <v>-121.89085</v>
      </c>
      <c r="F20" s="51" t="s">
        <v>4702</v>
      </c>
      <c r="G20" s="51" t="s">
        <v>27</v>
      </c>
      <c r="H20" s="51" t="s">
        <v>62</v>
      </c>
      <c r="I20" s="66">
        <v>0.50138888888888888</v>
      </c>
      <c r="J20" s="428">
        <v>2800</v>
      </c>
      <c r="K20" s="428">
        <v>11.9</v>
      </c>
      <c r="L20" s="428">
        <v>17.350000000000001</v>
      </c>
      <c r="M20" s="428">
        <v>0.60500000000000009</v>
      </c>
      <c r="N20" s="428">
        <v>5.35</v>
      </c>
      <c r="O20" s="51" t="s">
        <v>48</v>
      </c>
      <c r="P20" s="51">
        <v>4</v>
      </c>
      <c r="Q20" s="51">
        <v>10</v>
      </c>
      <c r="R20" s="51" t="s">
        <v>49</v>
      </c>
      <c r="S20" s="51" t="s">
        <v>50</v>
      </c>
      <c r="T20" s="51" t="s">
        <v>50</v>
      </c>
      <c r="U20" s="51" t="s">
        <v>50</v>
      </c>
      <c r="V20" s="51" t="s">
        <v>50</v>
      </c>
      <c r="W20" s="51" t="s">
        <v>50</v>
      </c>
      <c r="X20" s="51" t="s">
        <v>50</v>
      </c>
    </row>
    <row r="21" spans="1:25" x14ac:dyDescent="0.25">
      <c r="A21" s="93">
        <v>43438</v>
      </c>
      <c r="B21" s="92" t="s">
        <v>70</v>
      </c>
      <c r="C21" s="51" t="s">
        <v>88</v>
      </c>
      <c r="D21" s="51">
        <v>38.16319</v>
      </c>
      <c r="E21" s="51">
        <v>-121.68247</v>
      </c>
      <c r="F21" s="51" t="s">
        <v>4703</v>
      </c>
      <c r="G21" s="51" t="s">
        <v>90</v>
      </c>
      <c r="H21" s="51" t="s">
        <v>91</v>
      </c>
      <c r="I21" s="66">
        <v>0.3972222222222222</v>
      </c>
      <c r="J21" s="428">
        <v>154.20000000000002</v>
      </c>
      <c r="K21" s="428">
        <v>11.8</v>
      </c>
      <c r="L21" s="428">
        <v>10.965</v>
      </c>
      <c r="M21" s="428">
        <v>1.4025000000000001</v>
      </c>
      <c r="N21" s="428">
        <v>9.0250000000000004</v>
      </c>
      <c r="O21" s="51" t="s">
        <v>48</v>
      </c>
      <c r="P21" s="51">
        <v>4</v>
      </c>
      <c r="Q21" s="51">
        <v>10</v>
      </c>
      <c r="R21" s="51" t="s">
        <v>64</v>
      </c>
      <c r="S21" s="51" t="s">
        <v>50</v>
      </c>
      <c r="T21" s="51" t="s">
        <v>50</v>
      </c>
      <c r="U21" s="51" t="s">
        <v>50</v>
      </c>
      <c r="V21" s="51" t="s">
        <v>50</v>
      </c>
      <c r="W21" s="51" t="s">
        <v>50</v>
      </c>
      <c r="X21" s="51" t="s">
        <v>50</v>
      </c>
      <c r="Y21" s="52" t="s">
        <v>4704</v>
      </c>
    </row>
    <row r="22" spans="1:25" x14ac:dyDescent="0.25">
      <c r="A22" s="93">
        <v>43438</v>
      </c>
      <c r="B22" s="92" t="s">
        <v>70</v>
      </c>
      <c r="C22" s="51" t="s">
        <v>88</v>
      </c>
      <c r="D22" s="51">
        <v>38.059550000000002</v>
      </c>
      <c r="E22" s="51">
        <v>-121.81214</v>
      </c>
      <c r="F22" s="51" t="s">
        <v>4705</v>
      </c>
      <c r="G22" s="51" t="s">
        <v>27</v>
      </c>
      <c r="H22" s="51" t="s">
        <v>4706</v>
      </c>
      <c r="I22" s="66">
        <v>0.3215277777777778</v>
      </c>
      <c r="J22" s="428">
        <v>394.1</v>
      </c>
      <c r="K22" s="428">
        <v>12</v>
      </c>
      <c r="L22" s="428">
        <v>14.1</v>
      </c>
      <c r="M22" s="428">
        <v>1.06</v>
      </c>
      <c r="N22" s="428">
        <v>8.8500000000000014</v>
      </c>
      <c r="O22" s="51" t="s">
        <v>48</v>
      </c>
      <c r="P22" s="51">
        <v>4</v>
      </c>
      <c r="Q22" s="51">
        <v>10</v>
      </c>
      <c r="R22" s="51" t="s">
        <v>49</v>
      </c>
      <c r="S22" s="51" t="s">
        <v>50</v>
      </c>
      <c r="T22" s="51" t="s">
        <v>50</v>
      </c>
      <c r="U22" s="51" t="s">
        <v>50</v>
      </c>
      <c r="V22" s="51" t="s">
        <v>50</v>
      </c>
      <c r="W22" s="51" t="s">
        <v>50</v>
      </c>
      <c r="X22" s="51" t="s">
        <v>50</v>
      </c>
    </row>
    <row r="23" spans="1:25" x14ac:dyDescent="0.25">
      <c r="A23" s="93">
        <v>43438</v>
      </c>
      <c r="B23" s="92" t="s">
        <v>70</v>
      </c>
      <c r="C23" s="51" t="s">
        <v>44</v>
      </c>
      <c r="D23" s="51">
        <v>37.919350000000001</v>
      </c>
      <c r="E23" s="51">
        <v>-121.51582999999999</v>
      </c>
      <c r="F23" s="51" t="s">
        <v>4707</v>
      </c>
      <c r="G23" s="51" t="s">
        <v>46</v>
      </c>
      <c r="H23" s="51" t="s">
        <v>56</v>
      </c>
      <c r="I23" s="66">
        <v>0.33333333333333331</v>
      </c>
      <c r="J23" s="428">
        <v>399.52499999999998</v>
      </c>
      <c r="K23" s="428">
        <v>12.1</v>
      </c>
      <c r="L23" s="428">
        <v>2.0175000000000001</v>
      </c>
      <c r="M23" s="428" t="s">
        <v>2547</v>
      </c>
      <c r="N23" s="428">
        <v>5.65</v>
      </c>
      <c r="O23" s="51" t="s">
        <v>48</v>
      </c>
      <c r="P23" s="51">
        <v>4</v>
      </c>
      <c r="Q23" s="51">
        <v>10</v>
      </c>
      <c r="R23" s="51" t="s">
        <v>49</v>
      </c>
      <c r="S23" s="51" t="s">
        <v>50</v>
      </c>
      <c r="T23" s="51" t="s">
        <v>50</v>
      </c>
      <c r="U23" s="51" t="s">
        <v>50</v>
      </c>
      <c r="V23" s="51" t="s">
        <v>50</v>
      </c>
      <c r="W23" s="51" t="s">
        <v>50</v>
      </c>
      <c r="X23" s="51" t="s">
        <v>50</v>
      </c>
    </row>
    <row r="24" spans="1:25" x14ac:dyDescent="0.25">
      <c r="A24" s="93">
        <v>43438</v>
      </c>
      <c r="B24" s="92" t="s">
        <v>70</v>
      </c>
      <c r="C24" s="51" t="s">
        <v>44</v>
      </c>
      <c r="D24" s="51">
        <v>37.92942</v>
      </c>
      <c r="E24" s="51">
        <v>-121.5579</v>
      </c>
      <c r="F24" s="51" t="s">
        <v>4708</v>
      </c>
      <c r="G24" s="51" t="s">
        <v>46</v>
      </c>
      <c r="H24" s="51" t="s">
        <v>199</v>
      </c>
      <c r="I24" s="66">
        <v>0.38472222222222219</v>
      </c>
      <c r="J24" s="428">
        <v>593</v>
      </c>
      <c r="K24" s="428">
        <v>11.975</v>
      </c>
      <c r="L24" s="428">
        <v>1.6975</v>
      </c>
      <c r="M24" s="428" t="s">
        <v>2547</v>
      </c>
      <c r="N24" s="428">
        <v>5.4249999999999998</v>
      </c>
      <c r="O24" s="51" t="s">
        <v>48</v>
      </c>
      <c r="P24" s="51">
        <v>4</v>
      </c>
      <c r="Q24" s="51">
        <v>10</v>
      </c>
      <c r="R24" s="51" t="s">
        <v>49</v>
      </c>
      <c r="S24" s="51" t="s">
        <v>50</v>
      </c>
      <c r="T24" s="51" t="s">
        <v>50</v>
      </c>
      <c r="U24" s="51" t="s">
        <v>50</v>
      </c>
      <c r="V24" s="51" t="s">
        <v>50</v>
      </c>
      <c r="W24" s="51" t="s">
        <v>50</v>
      </c>
      <c r="X24" s="51" t="s">
        <v>50</v>
      </c>
    </row>
    <row r="25" spans="1:25" x14ac:dyDescent="0.25">
      <c r="A25" s="93">
        <v>43438</v>
      </c>
      <c r="B25" s="92" t="s">
        <v>70</v>
      </c>
      <c r="C25" s="51" t="s">
        <v>44</v>
      </c>
      <c r="D25" s="51">
        <v>37.995399999999997</v>
      </c>
      <c r="E25" s="51">
        <v>-121.51224000000001</v>
      </c>
      <c r="F25" s="51" t="s">
        <v>4709</v>
      </c>
      <c r="G25" s="51" t="s">
        <v>46</v>
      </c>
      <c r="H25" s="51" t="s">
        <v>59</v>
      </c>
      <c r="I25" s="66">
        <v>0.44305555555555554</v>
      </c>
      <c r="J25" s="428">
        <v>370.92499999999995</v>
      </c>
      <c r="K25" s="428">
        <v>12.075000000000001</v>
      </c>
      <c r="L25" s="428">
        <v>2.625</v>
      </c>
      <c r="M25" s="428" t="s">
        <v>2547</v>
      </c>
      <c r="N25" s="428">
        <v>16.55</v>
      </c>
      <c r="O25" s="51" t="s">
        <v>48</v>
      </c>
      <c r="P25" s="51">
        <v>4</v>
      </c>
      <c r="Q25" s="51">
        <v>10</v>
      </c>
      <c r="R25" s="51" t="s">
        <v>64</v>
      </c>
      <c r="S25" s="51" t="s">
        <v>50</v>
      </c>
      <c r="T25" s="51" t="s">
        <v>50</v>
      </c>
      <c r="U25" s="51" t="s">
        <v>50</v>
      </c>
      <c r="V25" s="51" t="s">
        <v>50</v>
      </c>
      <c r="W25" s="51" t="s">
        <v>50</v>
      </c>
      <c r="X25" s="51" t="s">
        <v>50</v>
      </c>
    </row>
    <row r="26" spans="1:25" s="424" customFormat="1" x14ac:dyDescent="0.25">
      <c r="A26" s="148">
        <v>43438</v>
      </c>
      <c r="B26" s="148" t="s">
        <v>70</v>
      </c>
      <c r="C26" s="424" t="s">
        <v>44</v>
      </c>
      <c r="D26" s="424">
        <v>38.030589999999997</v>
      </c>
      <c r="E26" s="424">
        <v>-121.60464</v>
      </c>
      <c r="F26" s="424" t="s">
        <v>4710</v>
      </c>
      <c r="G26" s="424" t="s">
        <v>46</v>
      </c>
      <c r="H26" s="424" t="s">
        <v>47</v>
      </c>
      <c r="I26" s="425">
        <v>0.30624999999999997</v>
      </c>
      <c r="J26" s="427" t="s">
        <v>50</v>
      </c>
      <c r="K26" s="427" t="s">
        <v>50</v>
      </c>
      <c r="L26" s="427" t="s">
        <v>50</v>
      </c>
      <c r="M26" s="427" t="s">
        <v>50</v>
      </c>
      <c r="N26" s="427" t="s">
        <v>50</v>
      </c>
      <c r="O26" s="424" t="s">
        <v>48</v>
      </c>
      <c r="P26" s="424">
        <v>0</v>
      </c>
      <c r="Q26" s="424" t="s">
        <v>50</v>
      </c>
      <c r="R26" s="424" t="s">
        <v>50</v>
      </c>
      <c r="S26" s="424" t="s">
        <v>50</v>
      </c>
      <c r="T26" s="424" t="s">
        <v>50</v>
      </c>
      <c r="U26" s="424" t="s">
        <v>50</v>
      </c>
      <c r="V26" s="424" t="s">
        <v>50</v>
      </c>
      <c r="W26" s="424" t="s">
        <v>50</v>
      </c>
      <c r="X26" s="424" t="s">
        <v>50</v>
      </c>
      <c r="Y26" s="426" t="s">
        <v>4711</v>
      </c>
    </row>
    <row r="27" spans="1:25" s="424" customFormat="1" x14ac:dyDescent="0.25">
      <c r="A27" s="148">
        <v>43438</v>
      </c>
      <c r="B27" s="148" t="s">
        <v>70</v>
      </c>
      <c r="C27" s="424" t="s">
        <v>44</v>
      </c>
      <c r="D27" s="424">
        <v>38.049399999999999</v>
      </c>
      <c r="E27" s="424">
        <v>-121.59524999999999</v>
      </c>
      <c r="F27" s="424" t="s">
        <v>4712</v>
      </c>
      <c r="G27" s="424" t="s">
        <v>46</v>
      </c>
      <c r="H27" s="424" t="s">
        <v>47</v>
      </c>
      <c r="I27" s="425">
        <v>0.30555555555555552</v>
      </c>
      <c r="J27" s="427" t="s">
        <v>50</v>
      </c>
      <c r="K27" s="427" t="s">
        <v>50</v>
      </c>
      <c r="L27" s="427" t="s">
        <v>50</v>
      </c>
      <c r="M27" s="427" t="s">
        <v>50</v>
      </c>
      <c r="N27" s="427" t="s">
        <v>50</v>
      </c>
      <c r="O27" s="424" t="s">
        <v>48</v>
      </c>
      <c r="P27" s="424">
        <v>0</v>
      </c>
      <c r="Q27" s="424" t="s">
        <v>50</v>
      </c>
      <c r="R27" s="424" t="s">
        <v>50</v>
      </c>
      <c r="S27" s="424" t="s">
        <v>50</v>
      </c>
      <c r="T27" s="424" t="s">
        <v>50</v>
      </c>
      <c r="U27" s="424" t="s">
        <v>50</v>
      </c>
      <c r="V27" s="424" t="s">
        <v>50</v>
      </c>
      <c r="W27" s="424" t="s">
        <v>50</v>
      </c>
      <c r="X27" s="424" t="s">
        <v>50</v>
      </c>
      <c r="Y27" s="426" t="s">
        <v>4711</v>
      </c>
    </row>
    <row r="28" spans="1:25" x14ac:dyDescent="0.25">
      <c r="A28" s="443">
        <v>43440</v>
      </c>
      <c r="B28" s="51" t="s">
        <v>105</v>
      </c>
      <c r="C28" s="51" t="s">
        <v>95</v>
      </c>
      <c r="D28" s="51">
        <v>38.058959999999999</v>
      </c>
      <c r="E28" s="51">
        <v>-121.55556</v>
      </c>
      <c r="F28" s="51" t="s">
        <v>4713</v>
      </c>
      <c r="G28" s="51" t="s">
        <v>46</v>
      </c>
      <c r="H28" s="51" t="s">
        <v>115</v>
      </c>
      <c r="I28" s="66">
        <v>0.32777777777777778</v>
      </c>
      <c r="J28" s="428">
        <v>336.45</v>
      </c>
      <c r="K28" s="428">
        <v>11.675000000000001</v>
      </c>
      <c r="L28" s="428">
        <v>4.4775</v>
      </c>
      <c r="M28" s="428">
        <v>1.7874999999999999</v>
      </c>
      <c r="N28" s="428">
        <v>16.45</v>
      </c>
      <c r="O28" s="51" t="s">
        <v>48</v>
      </c>
      <c r="P28" s="51">
        <v>4</v>
      </c>
      <c r="Q28" s="51">
        <v>10</v>
      </c>
      <c r="R28" s="51" t="s">
        <v>49</v>
      </c>
      <c r="S28" s="51" t="s">
        <v>50</v>
      </c>
      <c r="T28" s="51" t="s">
        <v>50</v>
      </c>
      <c r="U28" s="51" t="s">
        <v>50</v>
      </c>
      <c r="V28" s="51" t="s">
        <v>50</v>
      </c>
      <c r="W28" s="51" t="s">
        <v>50</v>
      </c>
      <c r="X28" s="51" t="s">
        <v>50</v>
      </c>
    </row>
    <row r="29" spans="1:25" x14ac:dyDescent="0.25">
      <c r="A29" s="443">
        <v>43440</v>
      </c>
      <c r="B29" s="51" t="s">
        <v>105</v>
      </c>
      <c r="C29" s="51" t="s">
        <v>95</v>
      </c>
      <c r="D29" s="51">
        <v>38.092950000000002</v>
      </c>
      <c r="E29" s="51">
        <v>-121.67606000000001</v>
      </c>
      <c r="F29" s="51" t="s">
        <v>4714</v>
      </c>
      <c r="G29" s="51" t="s">
        <v>46</v>
      </c>
      <c r="H29" s="51" t="s">
        <v>908</v>
      </c>
      <c r="I29" s="66">
        <v>0.39097222222222222</v>
      </c>
      <c r="J29" s="428">
        <v>830.25</v>
      </c>
      <c r="K29" s="428">
        <v>11.825000000000001</v>
      </c>
      <c r="L29" s="428">
        <v>7.7175000000000002</v>
      </c>
      <c r="M29" s="428">
        <v>1.595</v>
      </c>
      <c r="N29" s="428">
        <v>9.7749999999999986</v>
      </c>
      <c r="O29" s="51" t="s">
        <v>48</v>
      </c>
      <c r="P29" s="51">
        <v>4</v>
      </c>
      <c r="Q29" s="51">
        <v>10</v>
      </c>
      <c r="R29" s="51" t="s">
        <v>49</v>
      </c>
      <c r="S29" s="51" t="s">
        <v>50</v>
      </c>
      <c r="T29" s="51" t="s">
        <v>50</v>
      </c>
      <c r="U29" s="51" t="s">
        <v>50</v>
      </c>
      <c r="V29" s="51" t="s">
        <v>50</v>
      </c>
      <c r="W29" s="51" t="s">
        <v>50</v>
      </c>
      <c r="X29" s="51" t="s">
        <v>50</v>
      </c>
    </row>
    <row r="30" spans="1:25" x14ac:dyDescent="0.25">
      <c r="A30" s="443">
        <v>43440</v>
      </c>
      <c r="B30" s="51" t="s">
        <v>105</v>
      </c>
      <c r="C30" s="51" t="s">
        <v>95</v>
      </c>
      <c r="D30" s="51">
        <v>38.088180000000001</v>
      </c>
      <c r="E30" s="51">
        <v>-121.68208</v>
      </c>
      <c r="F30" s="51" t="s">
        <v>4715</v>
      </c>
      <c r="G30" s="51" t="s">
        <v>46</v>
      </c>
      <c r="H30" s="51" t="s">
        <v>908</v>
      </c>
      <c r="I30" s="66">
        <v>0.41875000000000001</v>
      </c>
      <c r="J30" s="428">
        <v>895.75</v>
      </c>
      <c r="K30" s="428">
        <v>11.875</v>
      </c>
      <c r="L30" s="428">
        <v>6.4050000000000002</v>
      </c>
      <c r="M30" s="428">
        <v>1.6924999999999999</v>
      </c>
      <c r="N30" s="428">
        <v>16.3</v>
      </c>
      <c r="O30" s="51" t="s">
        <v>48</v>
      </c>
      <c r="P30" s="51">
        <v>4</v>
      </c>
      <c r="Q30" s="51">
        <v>10</v>
      </c>
      <c r="R30" s="51" t="s">
        <v>49</v>
      </c>
      <c r="S30" s="51" t="s">
        <v>50</v>
      </c>
      <c r="T30" s="51" t="s">
        <v>50</v>
      </c>
      <c r="U30" s="51" t="s">
        <v>50</v>
      </c>
      <c r="V30" s="51" t="s">
        <v>50</v>
      </c>
      <c r="W30" s="51" t="s">
        <v>50</v>
      </c>
      <c r="X30" s="51" t="s">
        <v>50</v>
      </c>
      <c r="Y30" s="52" t="s">
        <v>4716</v>
      </c>
    </row>
    <row r="31" spans="1:25" x14ac:dyDescent="0.25">
      <c r="A31" s="443">
        <v>43440</v>
      </c>
      <c r="B31" s="51" t="s">
        <v>105</v>
      </c>
      <c r="C31" s="51" t="s">
        <v>845</v>
      </c>
      <c r="D31" s="51">
        <v>38.267249999999997</v>
      </c>
      <c r="E31" s="51">
        <v>-121.69973</v>
      </c>
      <c r="F31" s="51" t="s">
        <v>4717</v>
      </c>
      <c r="G31" s="51" t="s">
        <v>90</v>
      </c>
      <c r="H31" s="51" t="s">
        <v>126</v>
      </c>
      <c r="I31" s="66">
        <v>0.32847222222222222</v>
      </c>
      <c r="J31" s="428">
        <v>582.75</v>
      </c>
      <c r="K31" s="428">
        <v>10.774999999999999</v>
      </c>
      <c r="L31" s="428">
        <v>4.9124999999999996</v>
      </c>
      <c r="M31" s="428">
        <v>1.5125000000000002</v>
      </c>
      <c r="N31" s="428">
        <v>3.25</v>
      </c>
      <c r="O31" s="51" t="s">
        <v>48</v>
      </c>
      <c r="P31" s="51">
        <v>4</v>
      </c>
      <c r="Q31" s="51">
        <v>10</v>
      </c>
      <c r="R31" s="51" t="s">
        <v>49</v>
      </c>
      <c r="S31" s="51" t="s">
        <v>50</v>
      </c>
      <c r="T31" s="51" t="s">
        <v>50</v>
      </c>
      <c r="U31" s="51" t="s">
        <v>50</v>
      </c>
      <c r="V31" s="51" t="s">
        <v>50</v>
      </c>
      <c r="W31" s="51" t="s">
        <v>50</v>
      </c>
      <c r="X31" s="51" t="s">
        <v>50</v>
      </c>
      <c r="Y31" s="52" t="s">
        <v>4718</v>
      </c>
    </row>
    <row r="32" spans="1:25" x14ac:dyDescent="0.25">
      <c r="A32" s="443">
        <v>43440</v>
      </c>
      <c r="B32" s="51" t="s">
        <v>105</v>
      </c>
      <c r="C32" s="51" t="s">
        <v>845</v>
      </c>
      <c r="D32" s="51">
        <v>38.234310000000001</v>
      </c>
      <c r="E32" s="51">
        <v>-121.68013999999999</v>
      </c>
      <c r="F32" s="51" t="s">
        <v>4719</v>
      </c>
      <c r="G32" s="51" t="s">
        <v>90</v>
      </c>
      <c r="H32" s="51" t="s">
        <v>126</v>
      </c>
      <c r="I32" s="66">
        <v>0.40138888888888885</v>
      </c>
      <c r="J32" s="428">
        <v>156.625</v>
      </c>
      <c r="K32" s="428">
        <v>11.35</v>
      </c>
      <c r="L32" s="428">
        <v>9.1350000000000016</v>
      </c>
      <c r="M32" s="428">
        <v>1.0874999999999999</v>
      </c>
      <c r="N32" s="428">
        <v>13.5</v>
      </c>
      <c r="O32" s="51" t="s">
        <v>48</v>
      </c>
      <c r="P32" s="51">
        <v>4</v>
      </c>
      <c r="Q32" s="51">
        <v>10</v>
      </c>
      <c r="R32" s="51" t="s">
        <v>49</v>
      </c>
      <c r="S32" s="51" t="s">
        <v>50</v>
      </c>
      <c r="T32" s="51" t="s">
        <v>50</v>
      </c>
      <c r="U32" s="51" t="s">
        <v>50</v>
      </c>
      <c r="V32" s="51" t="s">
        <v>50</v>
      </c>
      <c r="W32" s="51" t="s">
        <v>50</v>
      </c>
      <c r="X32" s="51" t="s">
        <v>50</v>
      </c>
    </row>
    <row r="33" spans="1:25" x14ac:dyDescent="0.25">
      <c r="A33" s="443">
        <v>43440</v>
      </c>
      <c r="B33" s="51" t="s">
        <v>105</v>
      </c>
      <c r="C33" s="51" t="s">
        <v>845</v>
      </c>
      <c r="D33" s="51">
        <v>38.288429999999998</v>
      </c>
      <c r="E33" s="51">
        <v>-121.66629</v>
      </c>
      <c r="F33" s="51" t="s">
        <v>4720</v>
      </c>
      <c r="G33" s="51" t="s">
        <v>90</v>
      </c>
      <c r="H33" s="51" t="s">
        <v>126</v>
      </c>
      <c r="I33" s="66">
        <v>0.46527777777777773</v>
      </c>
      <c r="J33" s="428">
        <v>219.72499999999999</v>
      </c>
      <c r="K33" s="428">
        <v>10.5</v>
      </c>
      <c r="L33" s="428">
        <v>6.4375</v>
      </c>
      <c r="M33" s="428">
        <v>1.4750000000000001</v>
      </c>
      <c r="N33" s="428">
        <v>8.875</v>
      </c>
      <c r="O33" s="51" t="s">
        <v>48</v>
      </c>
      <c r="P33" s="51">
        <v>4</v>
      </c>
      <c r="Q33" s="51">
        <v>10</v>
      </c>
      <c r="R33" s="51" t="s">
        <v>64</v>
      </c>
      <c r="S33" s="51" t="s">
        <v>50</v>
      </c>
      <c r="T33" s="51" t="s">
        <v>50</v>
      </c>
      <c r="U33" s="51" t="s">
        <v>50</v>
      </c>
      <c r="V33" s="51" t="s">
        <v>50</v>
      </c>
      <c r="W33" s="51" t="s">
        <v>50</v>
      </c>
      <c r="X33" s="51" t="s">
        <v>50</v>
      </c>
      <c r="Y33" s="52" t="s">
        <v>4721</v>
      </c>
    </row>
    <row r="34" spans="1:25" x14ac:dyDescent="0.25">
      <c r="A34" s="443">
        <v>43440</v>
      </c>
      <c r="B34" s="51" t="s">
        <v>105</v>
      </c>
      <c r="C34" s="51" t="s">
        <v>78</v>
      </c>
      <c r="D34" s="51">
        <v>38.056399999999996</v>
      </c>
      <c r="E34" s="51">
        <v>-122.11109999999999</v>
      </c>
      <c r="F34" s="51" t="s">
        <v>4722</v>
      </c>
      <c r="G34" s="51" t="s">
        <v>80</v>
      </c>
      <c r="H34" s="51" t="s">
        <v>81</v>
      </c>
      <c r="I34" s="66">
        <v>0.33680555555555558</v>
      </c>
      <c r="J34" s="428">
        <v>13512.75</v>
      </c>
      <c r="K34" s="428">
        <v>11.649999999999999</v>
      </c>
      <c r="L34" s="428">
        <v>24.4</v>
      </c>
      <c r="M34" s="428">
        <v>0.625</v>
      </c>
      <c r="N34" s="428">
        <v>11.15</v>
      </c>
      <c r="O34" s="51" t="s">
        <v>48</v>
      </c>
      <c r="P34" s="51">
        <v>4</v>
      </c>
      <c r="Q34" s="51">
        <v>10</v>
      </c>
      <c r="R34" s="51" t="s">
        <v>49</v>
      </c>
      <c r="S34" s="51" t="s">
        <v>50</v>
      </c>
      <c r="T34" s="51" t="s">
        <v>50</v>
      </c>
      <c r="U34" s="51" t="s">
        <v>50</v>
      </c>
      <c r="V34" s="51" t="s">
        <v>50</v>
      </c>
      <c r="W34" s="51" t="s">
        <v>50</v>
      </c>
      <c r="X34" s="51" t="s">
        <v>50</v>
      </c>
    </row>
    <row r="35" spans="1:25" x14ac:dyDescent="0.25">
      <c r="A35" s="443">
        <v>43440</v>
      </c>
      <c r="B35" s="51" t="s">
        <v>105</v>
      </c>
      <c r="C35" s="51" t="s">
        <v>78</v>
      </c>
      <c r="D35" s="51">
        <v>38.055459999999997</v>
      </c>
      <c r="E35" s="51">
        <v>-121.94803</v>
      </c>
      <c r="F35" s="51" t="s">
        <v>4723</v>
      </c>
      <c r="G35" s="51" t="s">
        <v>27</v>
      </c>
      <c r="H35" s="51" t="s">
        <v>170</v>
      </c>
      <c r="I35" s="66">
        <v>0.3972222222222222</v>
      </c>
      <c r="J35" s="428">
        <v>6023</v>
      </c>
      <c r="K35" s="428">
        <v>12</v>
      </c>
      <c r="L35" s="428">
        <v>14.074999999999999</v>
      </c>
      <c r="M35" s="428">
        <v>0.8125</v>
      </c>
      <c r="N35" s="428">
        <v>14.5</v>
      </c>
      <c r="O35" s="51" t="s">
        <v>48</v>
      </c>
      <c r="P35" s="51">
        <v>4</v>
      </c>
      <c r="Q35" s="51">
        <v>10</v>
      </c>
      <c r="R35" s="51" t="s">
        <v>49</v>
      </c>
      <c r="S35" s="51" t="s">
        <v>50</v>
      </c>
      <c r="T35" s="51" t="s">
        <v>50</v>
      </c>
      <c r="U35" s="51" t="s">
        <v>50</v>
      </c>
      <c r="V35" s="51" t="s">
        <v>50</v>
      </c>
      <c r="W35" s="51" t="s">
        <v>50</v>
      </c>
      <c r="X35" s="51" t="s">
        <v>50</v>
      </c>
    </row>
    <row r="36" spans="1:25" s="74" customFormat="1" x14ac:dyDescent="0.25">
      <c r="A36" s="444">
        <v>43440</v>
      </c>
      <c r="B36" s="74" t="s">
        <v>105</v>
      </c>
      <c r="C36" s="74" t="s">
        <v>78</v>
      </c>
      <c r="D36" s="74">
        <v>38.052410000000002</v>
      </c>
      <c r="E36" s="74">
        <v>-121.87707</v>
      </c>
      <c r="F36" s="74" t="s">
        <v>4724</v>
      </c>
      <c r="G36" s="74" t="s">
        <v>27</v>
      </c>
      <c r="H36" s="74" t="s">
        <v>101</v>
      </c>
      <c r="I36" s="73">
        <v>0.45208333333333334</v>
      </c>
      <c r="J36" s="445">
        <v>4528.75</v>
      </c>
      <c r="K36" s="445">
        <v>12.05</v>
      </c>
      <c r="L36" s="445">
        <v>14.224999999999998</v>
      </c>
      <c r="M36" s="445">
        <v>0.84000000000000008</v>
      </c>
      <c r="N36" s="445">
        <v>12.899999999999999</v>
      </c>
      <c r="O36" s="74" t="s">
        <v>48</v>
      </c>
      <c r="P36" s="74">
        <v>4</v>
      </c>
      <c r="Q36" s="74">
        <v>10</v>
      </c>
      <c r="R36" s="74" t="s">
        <v>64</v>
      </c>
      <c r="S36" s="74" t="s">
        <v>50</v>
      </c>
      <c r="T36" s="74" t="s">
        <v>50</v>
      </c>
      <c r="U36" s="74" t="s">
        <v>50</v>
      </c>
      <c r="V36" s="74" t="s">
        <v>50</v>
      </c>
      <c r="W36" s="74" t="s">
        <v>50</v>
      </c>
      <c r="X36" s="74" t="s">
        <v>50</v>
      </c>
      <c r="Y36" s="77"/>
    </row>
    <row r="37" spans="1:25" x14ac:dyDescent="0.25">
      <c r="A37" s="443">
        <v>43444</v>
      </c>
      <c r="B37" s="51" t="s">
        <v>43</v>
      </c>
      <c r="C37" s="51" t="s">
        <v>95</v>
      </c>
      <c r="D37" s="51">
        <v>38.092359999999999</v>
      </c>
      <c r="E37" s="51">
        <v>-121.62654000000001</v>
      </c>
      <c r="F37" s="51" t="s">
        <v>4725</v>
      </c>
      <c r="G37" s="51" t="s">
        <v>46</v>
      </c>
      <c r="H37" s="51" t="s">
        <v>908</v>
      </c>
      <c r="I37" s="66">
        <v>0.34027777777777773</v>
      </c>
      <c r="J37" s="428">
        <v>648.75</v>
      </c>
      <c r="K37" s="428">
        <v>11.7</v>
      </c>
      <c r="L37" s="428">
        <v>5.6025</v>
      </c>
      <c r="M37" s="428">
        <v>1.6950000000000001</v>
      </c>
      <c r="N37" s="428">
        <v>9.4500000000000011</v>
      </c>
      <c r="O37" s="51" t="s">
        <v>48</v>
      </c>
      <c r="P37" s="51">
        <v>4</v>
      </c>
      <c r="Q37" s="51">
        <v>10</v>
      </c>
      <c r="R37" s="51" t="s">
        <v>64</v>
      </c>
      <c r="S37" s="51" t="s">
        <v>50</v>
      </c>
      <c r="T37" s="51" t="s">
        <v>50</v>
      </c>
      <c r="U37" s="51" t="s">
        <v>50</v>
      </c>
      <c r="V37" s="51" t="s">
        <v>50</v>
      </c>
      <c r="W37" s="51" t="s">
        <v>50</v>
      </c>
      <c r="X37" s="51" t="s">
        <v>50</v>
      </c>
    </row>
    <row r="38" spans="1:25" x14ac:dyDescent="0.25">
      <c r="A38" s="443">
        <v>43444</v>
      </c>
      <c r="B38" s="51" t="s">
        <v>43</v>
      </c>
      <c r="C38" s="51" t="s">
        <v>95</v>
      </c>
      <c r="D38" s="51">
        <v>38.02167</v>
      </c>
      <c r="E38" s="51">
        <v>-121.81719</v>
      </c>
      <c r="F38" s="51" t="s">
        <v>4726</v>
      </c>
      <c r="G38" s="51" t="s">
        <v>27</v>
      </c>
      <c r="H38" s="51" t="s">
        <v>863</v>
      </c>
      <c r="I38" s="66">
        <v>0.40347222222222223</v>
      </c>
      <c r="J38" s="428">
        <v>2964</v>
      </c>
      <c r="K38" s="428">
        <v>11.7</v>
      </c>
      <c r="L38" s="428">
        <v>13.149999999999999</v>
      </c>
      <c r="M38" s="428">
        <v>0.86499999999999999</v>
      </c>
      <c r="N38" s="428">
        <v>14.799999999999999</v>
      </c>
      <c r="O38" s="51" t="s">
        <v>48</v>
      </c>
      <c r="P38" s="51">
        <v>4</v>
      </c>
      <c r="Q38" s="51">
        <v>10</v>
      </c>
      <c r="R38" s="51" t="s">
        <v>49</v>
      </c>
      <c r="S38" s="51" t="s">
        <v>50</v>
      </c>
      <c r="T38" s="51" t="s">
        <v>50</v>
      </c>
      <c r="U38" s="51" t="s">
        <v>50</v>
      </c>
      <c r="V38" s="51" t="s">
        <v>50</v>
      </c>
      <c r="W38" s="51" t="s">
        <v>50</v>
      </c>
      <c r="X38" s="51" t="s">
        <v>50</v>
      </c>
    </row>
    <row r="39" spans="1:25" x14ac:dyDescent="0.25">
      <c r="A39" s="443">
        <v>43444</v>
      </c>
      <c r="B39" s="51" t="s">
        <v>43</v>
      </c>
      <c r="C39" s="51" t="s">
        <v>95</v>
      </c>
      <c r="D39" s="51">
        <v>38.021929999999998</v>
      </c>
      <c r="E39" s="51">
        <v>-121.77454</v>
      </c>
      <c r="F39" s="51" t="s">
        <v>4727</v>
      </c>
      <c r="G39" s="51" t="s">
        <v>27</v>
      </c>
      <c r="H39" s="51" t="s">
        <v>863</v>
      </c>
      <c r="I39" s="66">
        <v>0.45416666666666666</v>
      </c>
      <c r="J39" s="428">
        <v>2037.75</v>
      </c>
      <c r="K39" s="428">
        <v>11.7</v>
      </c>
      <c r="L39" s="428">
        <v>11.975000000000001</v>
      </c>
      <c r="M39" s="428">
        <v>0.99</v>
      </c>
      <c r="N39" s="428">
        <v>5.6</v>
      </c>
      <c r="O39" s="51" t="s">
        <v>48</v>
      </c>
      <c r="P39" s="51">
        <v>4</v>
      </c>
      <c r="Q39" s="51">
        <v>10</v>
      </c>
      <c r="R39" s="51" t="s">
        <v>49</v>
      </c>
      <c r="S39" s="51" t="s">
        <v>50</v>
      </c>
      <c r="T39" s="51" t="s">
        <v>50</v>
      </c>
      <c r="U39" s="51" t="s">
        <v>50</v>
      </c>
      <c r="V39" s="51" t="s">
        <v>50</v>
      </c>
      <c r="W39" s="51" t="s">
        <v>50</v>
      </c>
      <c r="X39" s="51" t="s">
        <v>50</v>
      </c>
    </row>
    <row r="40" spans="1:25" s="424" customFormat="1" x14ac:dyDescent="0.25">
      <c r="A40" s="446">
        <v>43444</v>
      </c>
      <c r="B40" s="424" t="s">
        <v>43</v>
      </c>
      <c r="C40" s="424" t="s">
        <v>95</v>
      </c>
      <c r="D40" s="424">
        <v>38.062559999999998</v>
      </c>
      <c r="E40" s="424">
        <v>-121.5581</v>
      </c>
      <c r="F40" s="424" t="s">
        <v>4728</v>
      </c>
      <c r="G40" s="424" t="s">
        <v>46</v>
      </c>
      <c r="H40" s="424" t="s">
        <v>115</v>
      </c>
      <c r="I40" s="425">
        <v>0.3263888888888889</v>
      </c>
      <c r="J40" s="427" t="s">
        <v>50</v>
      </c>
      <c r="K40" s="427" t="s">
        <v>50</v>
      </c>
      <c r="L40" s="427" t="s">
        <v>50</v>
      </c>
      <c r="M40" s="427" t="s">
        <v>50</v>
      </c>
      <c r="N40" s="427" t="s">
        <v>50</v>
      </c>
      <c r="O40" s="424" t="s">
        <v>48</v>
      </c>
      <c r="P40" s="424">
        <v>0</v>
      </c>
      <c r="Q40" s="424" t="s">
        <v>50</v>
      </c>
      <c r="R40" s="424" t="s">
        <v>50</v>
      </c>
      <c r="S40" s="424" t="s">
        <v>50</v>
      </c>
      <c r="T40" s="424" t="s">
        <v>50</v>
      </c>
      <c r="U40" s="424" t="s">
        <v>50</v>
      </c>
      <c r="V40" s="424" t="s">
        <v>50</v>
      </c>
      <c r="W40" s="424" t="s">
        <v>50</v>
      </c>
      <c r="X40" s="424" t="s">
        <v>50</v>
      </c>
      <c r="Y40" s="426" t="s">
        <v>4729</v>
      </c>
    </row>
    <row r="41" spans="1:25" x14ac:dyDescent="0.25">
      <c r="A41" s="443">
        <v>43444</v>
      </c>
      <c r="B41" s="51" t="s">
        <v>43</v>
      </c>
      <c r="C41" s="51" t="s">
        <v>88</v>
      </c>
      <c r="D41" s="51">
        <v>38.06615</v>
      </c>
      <c r="E41" s="51">
        <v>-121.83785</v>
      </c>
      <c r="F41" s="51" t="s">
        <v>4730</v>
      </c>
      <c r="G41" s="51" t="s">
        <v>27</v>
      </c>
      <c r="H41" s="51" t="s">
        <v>25</v>
      </c>
      <c r="I41" s="66">
        <v>0.33263888888888887</v>
      </c>
      <c r="J41" s="428">
        <v>4154</v>
      </c>
      <c r="K41" s="428">
        <v>11.649999999999999</v>
      </c>
      <c r="L41" s="428">
        <v>12.75</v>
      </c>
      <c r="M41" s="428">
        <v>0.86499999999999999</v>
      </c>
      <c r="N41" s="428">
        <v>8.4249999999999989</v>
      </c>
      <c r="O41" s="51" t="s">
        <v>48</v>
      </c>
      <c r="P41" s="51">
        <v>4</v>
      </c>
      <c r="Q41" s="51">
        <v>10</v>
      </c>
      <c r="R41" s="51" t="s">
        <v>49</v>
      </c>
      <c r="S41" s="51" t="s">
        <v>50</v>
      </c>
      <c r="T41" s="51" t="s">
        <v>50</v>
      </c>
      <c r="U41" s="51" t="s">
        <v>50</v>
      </c>
      <c r="V41" s="51" t="s">
        <v>50</v>
      </c>
      <c r="W41" s="51" t="s">
        <v>50</v>
      </c>
      <c r="X41" s="51" t="s">
        <v>50</v>
      </c>
    </row>
    <row r="42" spans="1:25" x14ac:dyDescent="0.25">
      <c r="A42" s="443">
        <v>43444</v>
      </c>
      <c r="B42" s="51" t="s">
        <v>43</v>
      </c>
      <c r="C42" s="51" t="s">
        <v>88</v>
      </c>
      <c r="D42" s="51">
        <v>38.06521</v>
      </c>
      <c r="E42" s="51">
        <v>-121.78691000000001</v>
      </c>
      <c r="F42" s="51" t="s">
        <v>4731</v>
      </c>
      <c r="G42" s="51" t="s">
        <v>27</v>
      </c>
      <c r="H42" s="51" t="s">
        <v>25</v>
      </c>
      <c r="I42" s="66">
        <v>0.3833333333333333</v>
      </c>
      <c r="J42" s="428">
        <v>2459</v>
      </c>
      <c r="K42" s="428">
        <v>11.55</v>
      </c>
      <c r="L42" s="428">
        <v>12.95</v>
      </c>
      <c r="M42" s="428">
        <v>0.88250000000000006</v>
      </c>
      <c r="N42" s="428">
        <v>9.3999999999999986</v>
      </c>
      <c r="O42" s="51" t="s">
        <v>48</v>
      </c>
      <c r="P42" s="51">
        <v>4</v>
      </c>
      <c r="Q42" s="51">
        <v>10</v>
      </c>
      <c r="R42" s="51" t="s">
        <v>49</v>
      </c>
      <c r="S42" s="51" t="s">
        <v>50</v>
      </c>
      <c r="T42" s="51" t="s">
        <v>50</v>
      </c>
      <c r="U42" s="51" t="s">
        <v>50</v>
      </c>
      <c r="V42" s="51" t="s">
        <v>50</v>
      </c>
      <c r="W42" s="51" t="s">
        <v>50</v>
      </c>
      <c r="X42" s="51" t="s">
        <v>50</v>
      </c>
    </row>
    <row r="43" spans="1:25" s="431" customFormat="1" x14ac:dyDescent="0.25">
      <c r="A43" s="447">
        <v>43444</v>
      </c>
      <c r="B43" s="431" t="s">
        <v>43</v>
      </c>
      <c r="C43" s="431" t="s">
        <v>88</v>
      </c>
      <c r="D43" s="431">
        <v>38.075530000000001</v>
      </c>
      <c r="E43" s="431">
        <v>-121.77115000000001</v>
      </c>
      <c r="F43" s="431" t="s">
        <v>4732</v>
      </c>
      <c r="G43" s="431" t="s">
        <v>27</v>
      </c>
      <c r="H43" s="431" t="s">
        <v>25</v>
      </c>
      <c r="I43" s="432">
        <v>0.42986111111111108</v>
      </c>
      <c r="J43" s="433">
        <v>1020.25</v>
      </c>
      <c r="K43" s="433">
        <v>11.4</v>
      </c>
      <c r="L43" s="433">
        <v>10.5625</v>
      </c>
      <c r="M43" s="433">
        <v>1.0049999999999999</v>
      </c>
      <c r="N43" s="433">
        <v>8.375</v>
      </c>
      <c r="O43" s="431" t="s">
        <v>48</v>
      </c>
      <c r="P43" s="431">
        <v>4</v>
      </c>
      <c r="Q43" s="431">
        <v>10</v>
      </c>
      <c r="R43" s="431" t="s">
        <v>49</v>
      </c>
      <c r="S43" s="431" t="s">
        <v>323</v>
      </c>
      <c r="T43" s="431">
        <v>1</v>
      </c>
      <c r="U43" s="431">
        <v>64</v>
      </c>
      <c r="V43" s="431" t="s">
        <v>66</v>
      </c>
      <c r="W43" s="431" t="s">
        <v>50</v>
      </c>
      <c r="X43" s="431" t="s">
        <v>50</v>
      </c>
      <c r="Y43" s="448"/>
    </row>
    <row r="44" spans="1:25" x14ac:dyDescent="0.25">
      <c r="A44" s="443">
        <v>43444</v>
      </c>
      <c r="B44" s="51" t="s">
        <v>43</v>
      </c>
      <c r="C44" s="51" t="s">
        <v>88</v>
      </c>
      <c r="D44" s="51">
        <v>38.074779999999997</v>
      </c>
      <c r="E44" s="51">
        <v>-121.76888</v>
      </c>
      <c r="F44" s="51" t="s">
        <v>4733</v>
      </c>
      <c r="G44" s="51" t="s">
        <v>27</v>
      </c>
      <c r="H44" s="51" t="s">
        <v>25</v>
      </c>
      <c r="I44" s="66">
        <v>0.47847222222222219</v>
      </c>
      <c r="J44" s="428">
        <v>810.25</v>
      </c>
      <c r="K44" s="428">
        <v>11.424999999999999</v>
      </c>
      <c r="L44" s="428">
        <v>8.69</v>
      </c>
      <c r="M44" s="428">
        <v>1.0575000000000001</v>
      </c>
      <c r="N44" s="428">
        <v>9.5749999999999993</v>
      </c>
      <c r="O44" s="51" t="s">
        <v>48</v>
      </c>
      <c r="P44" s="51">
        <v>4</v>
      </c>
      <c r="Q44" s="51">
        <v>10</v>
      </c>
      <c r="R44" s="51" t="s">
        <v>49</v>
      </c>
      <c r="S44" s="51" t="s">
        <v>50</v>
      </c>
      <c r="T44" s="51" t="s">
        <v>50</v>
      </c>
      <c r="U44" s="51" t="s">
        <v>50</v>
      </c>
      <c r="V44" s="51" t="s">
        <v>50</v>
      </c>
      <c r="W44" s="51" t="s">
        <v>50</v>
      </c>
      <c r="X44" s="51" t="s">
        <v>50</v>
      </c>
    </row>
    <row r="45" spans="1:25" x14ac:dyDescent="0.25">
      <c r="A45" s="443">
        <v>43444</v>
      </c>
      <c r="B45" s="51" t="s">
        <v>43</v>
      </c>
      <c r="C45" s="51" t="s">
        <v>78</v>
      </c>
      <c r="D45" s="51">
        <v>38.068519999999999</v>
      </c>
      <c r="E45" s="51">
        <v>-122.1</v>
      </c>
      <c r="F45" s="51" t="s">
        <v>4734</v>
      </c>
      <c r="G45" s="51" t="s">
        <v>80</v>
      </c>
      <c r="H45" s="51" t="s">
        <v>81</v>
      </c>
      <c r="I45" s="66">
        <v>0.37361111111111112</v>
      </c>
      <c r="J45" s="428">
        <v>14112.75</v>
      </c>
      <c r="K45" s="428">
        <v>11.450000000000001</v>
      </c>
      <c r="L45" s="428">
        <v>16.725000000000001</v>
      </c>
      <c r="M45" s="428">
        <v>0.62249999999999994</v>
      </c>
      <c r="N45" s="428">
        <v>11.260000000000002</v>
      </c>
      <c r="O45" s="51" t="s">
        <v>48</v>
      </c>
      <c r="P45" s="51">
        <v>4</v>
      </c>
      <c r="Q45" s="51">
        <v>10</v>
      </c>
      <c r="R45" s="51" t="s">
        <v>49</v>
      </c>
      <c r="S45" s="51" t="s">
        <v>50</v>
      </c>
      <c r="T45" s="51" t="s">
        <v>50</v>
      </c>
      <c r="U45" s="51" t="s">
        <v>50</v>
      </c>
      <c r="V45" s="51" t="s">
        <v>50</v>
      </c>
      <c r="W45" s="51" t="s">
        <v>50</v>
      </c>
      <c r="X45" s="51" t="s">
        <v>50</v>
      </c>
    </row>
    <row r="46" spans="1:25" x14ac:dyDescent="0.25">
      <c r="A46" s="443">
        <v>43444</v>
      </c>
      <c r="B46" s="51" t="s">
        <v>43</v>
      </c>
      <c r="C46" s="51" t="s">
        <v>78</v>
      </c>
      <c r="D46" s="51">
        <v>38.06615</v>
      </c>
      <c r="E46" s="51">
        <v>-122.0891</v>
      </c>
      <c r="F46" s="51" t="s">
        <v>4735</v>
      </c>
      <c r="G46" s="51" t="s">
        <v>80</v>
      </c>
      <c r="H46" s="51" t="s">
        <v>81</v>
      </c>
      <c r="I46" s="66">
        <v>0.42638888888888887</v>
      </c>
      <c r="J46" s="428">
        <v>14038.5</v>
      </c>
      <c r="K46" s="428">
        <v>11.625</v>
      </c>
      <c r="L46" s="428">
        <v>18.724999999999998</v>
      </c>
      <c r="M46" s="428">
        <v>0.64250000000000007</v>
      </c>
      <c r="N46" s="428">
        <v>6.2750000000000004</v>
      </c>
      <c r="O46" s="51" t="s">
        <v>48</v>
      </c>
      <c r="P46" s="51">
        <v>4</v>
      </c>
      <c r="Q46" s="51">
        <v>10</v>
      </c>
      <c r="R46" s="51" t="s">
        <v>49</v>
      </c>
      <c r="S46" s="51" t="s">
        <v>50</v>
      </c>
      <c r="T46" s="51" t="s">
        <v>50</v>
      </c>
      <c r="U46" s="51" t="s">
        <v>50</v>
      </c>
      <c r="V46" s="51" t="s">
        <v>50</v>
      </c>
      <c r="W46" s="51" t="s">
        <v>50</v>
      </c>
      <c r="X46" s="51" t="s">
        <v>50</v>
      </c>
    </row>
    <row r="47" spans="1:25" s="450" customFormat="1" x14ac:dyDescent="0.25">
      <c r="A47" s="449">
        <v>43444</v>
      </c>
      <c r="B47" s="450" t="s">
        <v>43</v>
      </c>
      <c r="C47" s="450" t="s">
        <v>78</v>
      </c>
      <c r="D47" s="450">
        <v>38.099359999999997</v>
      </c>
      <c r="E47" s="450">
        <v>-122.05977</v>
      </c>
      <c r="F47" s="450" t="s">
        <v>4736</v>
      </c>
      <c r="G47" s="450" t="s">
        <v>27</v>
      </c>
      <c r="H47" s="450" t="s">
        <v>86</v>
      </c>
      <c r="I47" s="451">
        <v>0.48472222222222222</v>
      </c>
      <c r="J47" s="452">
        <v>11845.75</v>
      </c>
      <c r="K47" s="452">
        <v>11.55</v>
      </c>
      <c r="L47" s="452">
        <v>14.5</v>
      </c>
      <c r="M47" s="452">
        <v>0.63249999999999995</v>
      </c>
      <c r="N47" s="452">
        <v>6.05</v>
      </c>
      <c r="O47" s="450" t="s">
        <v>48</v>
      </c>
      <c r="P47" s="450">
        <v>4</v>
      </c>
      <c r="Q47" s="450">
        <v>10</v>
      </c>
      <c r="R47" s="450" t="s">
        <v>49</v>
      </c>
      <c r="S47" s="450" t="s">
        <v>31</v>
      </c>
      <c r="T47" s="450">
        <v>1</v>
      </c>
      <c r="U47" s="450">
        <v>72</v>
      </c>
      <c r="V47" s="450" t="s">
        <v>66</v>
      </c>
      <c r="W47" s="450" t="s">
        <v>50</v>
      </c>
      <c r="X47" s="450" t="s">
        <v>50</v>
      </c>
      <c r="Y47" s="453" t="s">
        <v>4737</v>
      </c>
    </row>
    <row r="48" spans="1:25" x14ac:dyDescent="0.25">
      <c r="A48" s="443">
        <v>43445</v>
      </c>
      <c r="B48" s="51" t="s">
        <v>70</v>
      </c>
      <c r="C48" s="51" t="s">
        <v>95</v>
      </c>
      <c r="D48" s="51">
        <v>38.026409999999998</v>
      </c>
      <c r="E48" s="51">
        <v>-121.78519</v>
      </c>
      <c r="F48" s="51" t="s">
        <v>4738</v>
      </c>
      <c r="G48" s="51" t="s">
        <v>27</v>
      </c>
      <c r="H48" s="51" t="s">
        <v>863</v>
      </c>
      <c r="I48" s="66">
        <v>0.32430555555555557</v>
      </c>
      <c r="J48" s="428">
        <v>2490.25</v>
      </c>
      <c r="K48" s="428">
        <v>11.450000000000001</v>
      </c>
      <c r="L48" s="428">
        <v>13.625</v>
      </c>
      <c r="M48" s="428">
        <v>0.7649999999999999</v>
      </c>
      <c r="N48" s="428">
        <v>11.475</v>
      </c>
      <c r="O48" s="51" t="s">
        <v>48</v>
      </c>
      <c r="P48" s="51">
        <v>4</v>
      </c>
      <c r="Q48" s="51">
        <v>10</v>
      </c>
      <c r="R48" s="51" t="s">
        <v>64</v>
      </c>
      <c r="S48" s="51" t="s">
        <v>50</v>
      </c>
      <c r="T48" s="51" t="s">
        <v>50</v>
      </c>
      <c r="U48" s="51" t="s">
        <v>50</v>
      </c>
      <c r="V48" s="51" t="s">
        <v>50</v>
      </c>
      <c r="W48" s="51" t="s">
        <v>50</v>
      </c>
      <c r="X48" s="51" t="s">
        <v>50</v>
      </c>
    </row>
    <row r="49" spans="1:25" x14ac:dyDescent="0.25">
      <c r="A49" s="443">
        <v>43445</v>
      </c>
      <c r="B49" s="51" t="s">
        <v>70</v>
      </c>
      <c r="C49" s="51" t="s">
        <v>95</v>
      </c>
      <c r="D49" s="51">
        <v>38.025910000000003</v>
      </c>
      <c r="E49" s="51">
        <v>-121.74001</v>
      </c>
      <c r="F49" s="51" t="s">
        <v>4727</v>
      </c>
      <c r="G49" s="51" t="s">
        <v>27</v>
      </c>
      <c r="H49" s="51" t="s">
        <v>863</v>
      </c>
      <c r="I49" s="66">
        <v>0.3756944444444445</v>
      </c>
      <c r="J49" s="428">
        <v>1881.25</v>
      </c>
      <c r="K49" s="428">
        <v>11.475</v>
      </c>
      <c r="L49" s="428">
        <v>12.8</v>
      </c>
      <c r="M49" s="428">
        <v>1.0475000000000001</v>
      </c>
      <c r="N49" s="428">
        <v>9.6749999999999989</v>
      </c>
      <c r="O49" s="51" t="s">
        <v>48</v>
      </c>
      <c r="P49" s="51">
        <v>4</v>
      </c>
      <c r="Q49" s="51">
        <v>10</v>
      </c>
      <c r="R49" s="51" t="s">
        <v>64</v>
      </c>
      <c r="S49" s="51" t="s">
        <v>50</v>
      </c>
      <c r="T49" s="51" t="s">
        <v>50</v>
      </c>
      <c r="U49" s="51" t="s">
        <v>50</v>
      </c>
      <c r="V49" s="51" t="s">
        <v>50</v>
      </c>
      <c r="W49" s="51" t="s">
        <v>50</v>
      </c>
      <c r="X49" s="51" t="s">
        <v>50</v>
      </c>
      <c r="Y49" s="52" t="s">
        <v>4716</v>
      </c>
    </row>
    <row r="50" spans="1:25" x14ac:dyDescent="0.25">
      <c r="A50" s="443">
        <v>43445</v>
      </c>
      <c r="B50" s="51" t="s">
        <v>70</v>
      </c>
      <c r="C50" s="51" t="s">
        <v>95</v>
      </c>
      <c r="D50" s="51">
        <v>38.034210000000002</v>
      </c>
      <c r="E50" s="51">
        <v>-121.71672</v>
      </c>
      <c r="F50" s="51" t="s">
        <v>4739</v>
      </c>
      <c r="G50" s="51" t="s">
        <v>27</v>
      </c>
      <c r="H50" s="51" t="s">
        <v>863</v>
      </c>
      <c r="I50" s="66">
        <v>0.4291666666666667</v>
      </c>
      <c r="J50" s="428">
        <v>1663.5</v>
      </c>
      <c r="K50" s="428">
        <v>11.625</v>
      </c>
      <c r="L50" s="428">
        <v>10.2325</v>
      </c>
      <c r="M50" s="428">
        <v>1.355</v>
      </c>
      <c r="N50" s="428">
        <v>12.3</v>
      </c>
      <c r="O50" s="51" t="s">
        <v>48</v>
      </c>
      <c r="P50" s="51">
        <v>4</v>
      </c>
      <c r="Q50" s="51">
        <v>10</v>
      </c>
      <c r="R50" s="51" t="s">
        <v>49</v>
      </c>
      <c r="S50" s="51" t="s">
        <v>50</v>
      </c>
      <c r="T50" s="51" t="s">
        <v>50</v>
      </c>
      <c r="U50" s="51" t="s">
        <v>50</v>
      </c>
      <c r="V50" s="51" t="s">
        <v>50</v>
      </c>
      <c r="W50" s="51" t="s">
        <v>50</v>
      </c>
      <c r="X50" s="51" t="s">
        <v>50</v>
      </c>
      <c r="Y50" s="52" t="s">
        <v>4740</v>
      </c>
    </row>
    <row r="51" spans="1:25" x14ac:dyDescent="0.25">
      <c r="A51" s="443">
        <v>43445</v>
      </c>
      <c r="B51" s="51" t="s">
        <v>70</v>
      </c>
      <c r="C51" s="51" t="s">
        <v>88</v>
      </c>
      <c r="D51" s="51">
        <v>38.105460000000001</v>
      </c>
      <c r="E51" s="51">
        <v>-121.72126</v>
      </c>
      <c r="F51" s="51" t="s">
        <v>4741</v>
      </c>
      <c r="G51" s="51" t="s">
        <v>90</v>
      </c>
      <c r="H51" s="51" t="s">
        <v>91</v>
      </c>
      <c r="I51" s="66">
        <v>0.31736111111111115</v>
      </c>
      <c r="J51" s="428">
        <v>574.86666666666667</v>
      </c>
      <c r="K51" s="428">
        <v>11</v>
      </c>
      <c r="L51" s="428">
        <v>13.6</v>
      </c>
      <c r="M51" s="428">
        <v>0.76666666666666661</v>
      </c>
      <c r="N51" s="428">
        <v>10.1</v>
      </c>
      <c r="O51" s="51" t="s">
        <v>48</v>
      </c>
      <c r="P51" s="51">
        <v>3</v>
      </c>
      <c r="Q51" s="51">
        <v>10</v>
      </c>
      <c r="R51" s="51" t="s">
        <v>64</v>
      </c>
      <c r="S51" s="51" t="s">
        <v>50</v>
      </c>
      <c r="T51" s="51" t="s">
        <v>50</v>
      </c>
      <c r="U51" s="51" t="s">
        <v>50</v>
      </c>
      <c r="V51" s="51" t="s">
        <v>50</v>
      </c>
      <c r="W51" s="51" t="s">
        <v>50</v>
      </c>
      <c r="X51" s="51" t="s">
        <v>50</v>
      </c>
      <c r="Y51" s="52" t="s">
        <v>4742</v>
      </c>
    </row>
    <row r="52" spans="1:25" x14ac:dyDescent="0.25">
      <c r="A52" s="443">
        <v>43445</v>
      </c>
      <c r="B52" s="51" t="s">
        <v>70</v>
      </c>
      <c r="C52" s="51" t="s">
        <v>88</v>
      </c>
      <c r="D52" s="51">
        <v>38.130299999999998</v>
      </c>
      <c r="E52" s="51">
        <v>-121.69123</v>
      </c>
      <c r="F52" s="51" t="s">
        <v>4743</v>
      </c>
      <c r="G52" s="51" t="s">
        <v>90</v>
      </c>
      <c r="H52" s="51" t="s">
        <v>91</v>
      </c>
      <c r="I52" s="66">
        <v>0.36527777777777781</v>
      </c>
      <c r="J52" s="428">
        <v>349.15</v>
      </c>
      <c r="K52" s="428">
        <v>10.9</v>
      </c>
      <c r="L52" s="428">
        <v>8.35</v>
      </c>
      <c r="M52" s="428">
        <v>1.5725000000000002</v>
      </c>
      <c r="N52" s="428">
        <v>3.9550000000000001</v>
      </c>
      <c r="O52" s="51" t="s">
        <v>48</v>
      </c>
      <c r="P52" s="51">
        <v>4</v>
      </c>
      <c r="Q52" s="51">
        <v>10</v>
      </c>
      <c r="R52" s="51" t="s">
        <v>49</v>
      </c>
      <c r="S52" s="51" t="s">
        <v>50</v>
      </c>
      <c r="T52" s="51" t="s">
        <v>50</v>
      </c>
      <c r="U52" s="51" t="s">
        <v>50</v>
      </c>
      <c r="V52" s="51" t="s">
        <v>50</v>
      </c>
      <c r="W52" s="51" t="s">
        <v>50</v>
      </c>
      <c r="X52" s="51" t="s">
        <v>50</v>
      </c>
    </row>
    <row r="53" spans="1:25" x14ac:dyDescent="0.25">
      <c r="A53" s="443">
        <v>43445</v>
      </c>
      <c r="B53" s="51" t="s">
        <v>70</v>
      </c>
      <c r="C53" s="51" t="s">
        <v>88</v>
      </c>
      <c r="D53" s="51">
        <v>38.15898</v>
      </c>
      <c r="E53" s="51">
        <v>-121.68062999999999</v>
      </c>
      <c r="F53" s="51" t="s">
        <v>4744</v>
      </c>
      <c r="G53" s="51" t="s">
        <v>90</v>
      </c>
      <c r="H53" s="51" t="s">
        <v>91</v>
      </c>
      <c r="I53" s="66">
        <v>0.42708333333333331</v>
      </c>
      <c r="J53" s="428">
        <v>170.75</v>
      </c>
      <c r="K53" s="428">
        <v>10.725000000000001</v>
      </c>
      <c r="L53" s="428">
        <v>7.6675000000000004</v>
      </c>
      <c r="M53" s="428">
        <v>1.5774999999999999</v>
      </c>
      <c r="N53" s="428">
        <v>5.9749999999999996</v>
      </c>
      <c r="O53" s="51" t="s">
        <v>48</v>
      </c>
      <c r="P53" s="51">
        <v>4</v>
      </c>
      <c r="Q53" s="51">
        <v>10</v>
      </c>
      <c r="R53" s="51" t="s">
        <v>49</v>
      </c>
      <c r="S53" s="51" t="s">
        <v>50</v>
      </c>
      <c r="T53" s="51" t="s">
        <v>50</v>
      </c>
      <c r="U53" s="51" t="s">
        <v>50</v>
      </c>
      <c r="V53" s="51" t="s">
        <v>50</v>
      </c>
      <c r="W53" s="51" t="s">
        <v>50</v>
      </c>
      <c r="X53" s="51" t="s">
        <v>50</v>
      </c>
    </row>
    <row r="54" spans="1:25" x14ac:dyDescent="0.25">
      <c r="A54" s="443">
        <v>43445</v>
      </c>
      <c r="B54" s="51" t="s">
        <v>70</v>
      </c>
      <c r="C54" s="51" t="s">
        <v>88</v>
      </c>
      <c r="D54" s="51">
        <v>38.167389999999997</v>
      </c>
      <c r="E54" s="51">
        <v>-121.67506</v>
      </c>
      <c r="F54" s="51" t="s">
        <v>4745</v>
      </c>
      <c r="G54" s="51" t="s">
        <v>90</v>
      </c>
      <c r="H54" s="51" t="s">
        <v>91</v>
      </c>
      <c r="I54" s="66">
        <v>0.47152777777777777</v>
      </c>
      <c r="J54" s="428">
        <v>152.67500000000001</v>
      </c>
      <c r="K54" s="428">
        <v>10.625</v>
      </c>
      <c r="L54" s="428">
        <v>5.8874999999999993</v>
      </c>
      <c r="M54" s="428">
        <v>1.7925</v>
      </c>
      <c r="N54" s="428">
        <v>10.45</v>
      </c>
      <c r="O54" s="51" t="s">
        <v>48</v>
      </c>
      <c r="P54" s="51">
        <v>4</v>
      </c>
      <c r="Q54" s="51">
        <v>10</v>
      </c>
      <c r="R54" s="51" t="s">
        <v>49</v>
      </c>
      <c r="S54" s="51" t="s">
        <v>50</v>
      </c>
      <c r="T54" s="51" t="s">
        <v>50</v>
      </c>
      <c r="U54" s="51" t="s">
        <v>50</v>
      </c>
      <c r="V54" s="51" t="s">
        <v>50</v>
      </c>
      <c r="W54" s="51" t="s">
        <v>50</v>
      </c>
      <c r="X54" s="51" t="s">
        <v>50</v>
      </c>
    </row>
    <row r="55" spans="1:25" x14ac:dyDescent="0.25">
      <c r="A55" s="443">
        <v>43445</v>
      </c>
      <c r="B55" s="51" t="s">
        <v>70</v>
      </c>
      <c r="C55" s="51" t="s">
        <v>78</v>
      </c>
      <c r="D55" s="51">
        <v>38.048470000000002</v>
      </c>
      <c r="E55" s="51">
        <v>-121.87537</v>
      </c>
      <c r="F55" s="51" t="s">
        <v>4746</v>
      </c>
      <c r="G55" s="51" t="s">
        <v>27</v>
      </c>
      <c r="H55" s="51" t="s">
        <v>101</v>
      </c>
      <c r="I55" s="66">
        <v>0.34166666666666662</v>
      </c>
      <c r="J55" s="428">
        <v>7717</v>
      </c>
      <c r="K55" s="428">
        <v>11.375</v>
      </c>
      <c r="L55" s="428">
        <v>13.95</v>
      </c>
      <c r="M55" s="428">
        <v>0.79749999999999999</v>
      </c>
      <c r="N55" s="428">
        <v>8.75</v>
      </c>
      <c r="O55" s="51" t="s">
        <v>48</v>
      </c>
      <c r="P55" s="51">
        <v>4</v>
      </c>
      <c r="Q55" s="51">
        <v>10</v>
      </c>
      <c r="R55" s="51" t="s">
        <v>64</v>
      </c>
      <c r="S55" s="51" t="s">
        <v>50</v>
      </c>
      <c r="T55" s="51" t="s">
        <v>50</v>
      </c>
      <c r="U55" s="51" t="s">
        <v>50</v>
      </c>
      <c r="V55" s="51" t="s">
        <v>50</v>
      </c>
      <c r="W55" s="51" t="s">
        <v>50</v>
      </c>
      <c r="X55" s="51" t="s">
        <v>50</v>
      </c>
      <c r="Y55" s="52" t="s">
        <v>4716</v>
      </c>
    </row>
    <row r="56" spans="1:25" x14ac:dyDescent="0.25">
      <c r="A56" s="443">
        <v>43445</v>
      </c>
      <c r="B56" s="51" t="s">
        <v>70</v>
      </c>
      <c r="C56" s="51" t="s">
        <v>78</v>
      </c>
      <c r="D56" s="51">
        <v>38.092500000000001</v>
      </c>
      <c r="E56" s="51">
        <v>-122.02423</v>
      </c>
      <c r="F56" s="51" t="s">
        <v>4747</v>
      </c>
      <c r="G56" s="51" t="s">
        <v>27</v>
      </c>
      <c r="H56" s="51" t="s">
        <v>86</v>
      </c>
      <c r="I56" s="66">
        <v>0.40277777777777773</v>
      </c>
      <c r="J56" s="428">
        <v>12922.25</v>
      </c>
      <c r="K56" s="428">
        <v>11.274999999999999</v>
      </c>
      <c r="L56" s="428">
        <v>20.824999999999999</v>
      </c>
      <c r="M56" s="428">
        <v>0.5675</v>
      </c>
      <c r="N56" s="428">
        <v>6.55</v>
      </c>
      <c r="O56" s="51" t="s">
        <v>48</v>
      </c>
      <c r="P56" s="51">
        <v>4</v>
      </c>
      <c r="Q56" s="51">
        <v>10</v>
      </c>
      <c r="R56" s="51" t="s">
        <v>49</v>
      </c>
      <c r="S56" s="51" t="s">
        <v>50</v>
      </c>
      <c r="T56" s="51" t="s">
        <v>50</v>
      </c>
      <c r="U56" s="51" t="s">
        <v>50</v>
      </c>
      <c r="V56" s="51" t="s">
        <v>50</v>
      </c>
      <c r="W56" s="51" t="s">
        <v>50</v>
      </c>
      <c r="X56" s="51" t="s">
        <v>50</v>
      </c>
    </row>
    <row r="57" spans="1:25" x14ac:dyDescent="0.25">
      <c r="A57" s="443">
        <v>43445</v>
      </c>
      <c r="B57" s="51" t="s">
        <v>70</v>
      </c>
      <c r="C57" s="51" t="s">
        <v>78</v>
      </c>
      <c r="D57" s="51">
        <v>38.072040000000001</v>
      </c>
      <c r="E57" s="51">
        <v>-122.00219</v>
      </c>
      <c r="F57" s="51" t="s">
        <v>4748</v>
      </c>
      <c r="G57" s="51" t="s">
        <v>27</v>
      </c>
      <c r="H57" s="51" t="s">
        <v>86</v>
      </c>
      <c r="I57" s="66">
        <v>0.45277777777777778</v>
      </c>
      <c r="J57" s="428">
        <v>11209</v>
      </c>
      <c r="K57" s="428">
        <v>11.425000000000001</v>
      </c>
      <c r="L57" s="428">
        <v>18.424999999999997</v>
      </c>
      <c r="M57" s="428">
        <v>0.61250000000000004</v>
      </c>
      <c r="N57" s="428">
        <v>3.3</v>
      </c>
      <c r="O57" s="51" t="s">
        <v>48</v>
      </c>
      <c r="P57" s="51">
        <v>4</v>
      </c>
      <c r="Q57" s="51">
        <v>10</v>
      </c>
      <c r="R57" s="51" t="s">
        <v>49</v>
      </c>
      <c r="S57" s="51" t="s">
        <v>50</v>
      </c>
      <c r="T57" s="51" t="s">
        <v>50</v>
      </c>
      <c r="U57" s="51" t="s">
        <v>50</v>
      </c>
      <c r="V57" s="51" t="s">
        <v>50</v>
      </c>
      <c r="W57" s="51" t="s">
        <v>50</v>
      </c>
      <c r="X57" s="51" t="s">
        <v>50</v>
      </c>
    </row>
    <row r="58" spans="1:25" x14ac:dyDescent="0.25">
      <c r="A58" s="443">
        <v>43446</v>
      </c>
      <c r="B58" s="51" t="s">
        <v>87</v>
      </c>
      <c r="C58" s="51" t="s">
        <v>44</v>
      </c>
      <c r="D58" s="51">
        <v>38.04654</v>
      </c>
      <c r="E58" s="51">
        <v>-121.63667</v>
      </c>
      <c r="F58" s="51" t="s">
        <v>4749</v>
      </c>
      <c r="G58" s="51" t="s">
        <v>46</v>
      </c>
      <c r="H58" s="51" t="s">
        <v>47</v>
      </c>
      <c r="I58" s="66">
        <v>0.31041666666666667</v>
      </c>
      <c r="J58" s="428">
        <v>768.75</v>
      </c>
      <c r="K58" s="428">
        <v>11.4</v>
      </c>
      <c r="L58" s="428">
        <v>4.5750000000000002</v>
      </c>
      <c r="M58" s="428" t="s">
        <v>2547</v>
      </c>
      <c r="N58" s="428">
        <v>6.25</v>
      </c>
      <c r="O58" s="51" t="s">
        <v>48</v>
      </c>
      <c r="P58" s="51">
        <v>4</v>
      </c>
      <c r="Q58" s="51">
        <v>10</v>
      </c>
      <c r="R58" s="51" t="s">
        <v>64</v>
      </c>
      <c r="S58" s="51" t="s">
        <v>50</v>
      </c>
      <c r="T58" s="51" t="s">
        <v>50</v>
      </c>
      <c r="U58" s="51" t="s">
        <v>50</v>
      </c>
      <c r="V58" s="51" t="s">
        <v>50</v>
      </c>
      <c r="W58" s="51" t="s">
        <v>50</v>
      </c>
      <c r="X58" s="51" t="s">
        <v>50</v>
      </c>
    </row>
    <row r="59" spans="1:25" x14ac:dyDescent="0.25">
      <c r="A59" s="443">
        <v>43446</v>
      </c>
      <c r="B59" s="51" t="s">
        <v>87</v>
      </c>
      <c r="C59" s="51" t="s">
        <v>44</v>
      </c>
      <c r="D59" s="51">
        <v>38.003610000000002</v>
      </c>
      <c r="E59" s="51">
        <v>-121.57886000000001</v>
      </c>
      <c r="F59" s="51" t="s">
        <v>4750</v>
      </c>
      <c r="G59" s="51" t="s">
        <v>46</v>
      </c>
      <c r="H59" s="51" t="s">
        <v>74</v>
      </c>
      <c r="I59" s="66">
        <v>0.37638888888888888</v>
      </c>
      <c r="J59" s="428">
        <v>490.25</v>
      </c>
      <c r="K59" s="428">
        <v>11.2</v>
      </c>
      <c r="L59" s="428">
        <v>2.5499999999999998</v>
      </c>
      <c r="M59" s="428" t="s">
        <v>2547</v>
      </c>
      <c r="N59" s="428">
        <v>8.9999999999999982</v>
      </c>
      <c r="O59" s="51" t="s">
        <v>48</v>
      </c>
      <c r="P59" s="51">
        <v>4</v>
      </c>
      <c r="Q59" s="51">
        <v>10</v>
      </c>
      <c r="R59" s="51" t="s">
        <v>64</v>
      </c>
      <c r="S59" s="51" t="s">
        <v>50</v>
      </c>
      <c r="T59" s="51" t="s">
        <v>50</v>
      </c>
      <c r="U59" s="51" t="s">
        <v>50</v>
      </c>
      <c r="V59" s="51" t="s">
        <v>50</v>
      </c>
      <c r="W59" s="51" t="s">
        <v>50</v>
      </c>
      <c r="X59" s="51" t="s">
        <v>50</v>
      </c>
    </row>
    <row r="60" spans="1:25" x14ac:dyDescent="0.25">
      <c r="A60" s="443">
        <v>43446</v>
      </c>
      <c r="B60" s="51" t="s">
        <v>87</v>
      </c>
      <c r="C60" s="51" t="s">
        <v>44</v>
      </c>
      <c r="D60" s="51">
        <v>37.951949999999997</v>
      </c>
      <c r="E60" s="51">
        <v>-121.60803</v>
      </c>
      <c r="F60" s="51" t="s">
        <v>4751</v>
      </c>
      <c r="G60" s="51" t="s">
        <v>46</v>
      </c>
      <c r="H60" s="51" t="s">
        <v>423</v>
      </c>
      <c r="I60" s="66">
        <v>0.43333333333333335</v>
      </c>
      <c r="J60" s="428">
        <v>475.25</v>
      </c>
      <c r="K60" s="428">
        <v>11.2</v>
      </c>
      <c r="L60" s="428">
        <v>2.5499999999999998</v>
      </c>
      <c r="M60" s="428" t="s">
        <v>2547</v>
      </c>
      <c r="N60" s="428">
        <v>3.5250000000000004</v>
      </c>
      <c r="O60" s="51" t="s">
        <v>48</v>
      </c>
      <c r="P60" s="51">
        <v>4</v>
      </c>
      <c r="Q60" s="51">
        <v>10</v>
      </c>
      <c r="R60" s="51" t="s">
        <v>64</v>
      </c>
      <c r="S60" s="51" t="s">
        <v>50</v>
      </c>
      <c r="T60" s="51" t="s">
        <v>50</v>
      </c>
      <c r="U60" s="51" t="s">
        <v>50</v>
      </c>
      <c r="V60" s="51" t="s">
        <v>50</v>
      </c>
      <c r="W60" s="51" t="s">
        <v>50</v>
      </c>
      <c r="X60" s="51" t="s">
        <v>50</v>
      </c>
      <c r="Y60" s="52" t="s">
        <v>4752</v>
      </c>
    </row>
    <row r="61" spans="1:25" x14ac:dyDescent="0.25">
      <c r="A61" s="443">
        <v>43446</v>
      </c>
      <c r="B61" s="51" t="s">
        <v>87</v>
      </c>
      <c r="C61" s="51" t="s">
        <v>44</v>
      </c>
      <c r="D61" s="51">
        <v>38.028680000000001</v>
      </c>
      <c r="E61" s="51">
        <v>-121.56338</v>
      </c>
      <c r="F61" s="51" t="s">
        <v>4753</v>
      </c>
      <c r="G61" s="51" t="s">
        <v>46</v>
      </c>
      <c r="H61" s="51" t="s">
        <v>74</v>
      </c>
      <c r="I61" s="66">
        <v>0.4916666666666667</v>
      </c>
      <c r="J61" s="428">
        <v>444.29999999999995</v>
      </c>
      <c r="K61" s="428">
        <v>11.425000000000001</v>
      </c>
      <c r="L61" s="428">
        <v>2.8274999999999997</v>
      </c>
      <c r="M61" s="428" t="s">
        <v>2547</v>
      </c>
      <c r="N61" s="428">
        <v>5.9750000000000005</v>
      </c>
      <c r="O61" s="51" t="s">
        <v>48</v>
      </c>
      <c r="P61" s="51">
        <v>4</v>
      </c>
      <c r="Q61" s="51">
        <v>10</v>
      </c>
      <c r="R61" s="51" t="s">
        <v>49</v>
      </c>
      <c r="S61" s="51" t="s">
        <v>50</v>
      </c>
      <c r="T61" s="51" t="s">
        <v>50</v>
      </c>
      <c r="U61" s="51" t="s">
        <v>50</v>
      </c>
      <c r="V61" s="51" t="s">
        <v>50</v>
      </c>
      <c r="W61" s="51" t="s">
        <v>50</v>
      </c>
      <c r="X61" s="51" t="s">
        <v>50</v>
      </c>
    </row>
    <row r="62" spans="1:25" x14ac:dyDescent="0.25">
      <c r="A62" s="443">
        <v>43446</v>
      </c>
      <c r="B62" s="51" t="s">
        <v>87</v>
      </c>
      <c r="C62" s="51" t="s">
        <v>845</v>
      </c>
      <c r="D62" s="51">
        <v>38.257370000000002</v>
      </c>
      <c r="E62" s="51">
        <v>-121.72843</v>
      </c>
      <c r="F62" s="51" t="s">
        <v>4754</v>
      </c>
      <c r="G62" s="51" t="s">
        <v>90</v>
      </c>
      <c r="H62" s="51" t="s">
        <v>126</v>
      </c>
      <c r="I62" s="66">
        <v>0.32361111111111113</v>
      </c>
      <c r="J62" s="428">
        <v>167.17500000000001</v>
      </c>
      <c r="K62" s="428">
        <v>10.6</v>
      </c>
      <c r="L62" s="428">
        <v>2.99</v>
      </c>
      <c r="M62" s="428" t="s">
        <v>2547</v>
      </c>
      <c r="N62" s="428">
        <v>6.0249999999999995</v>
      </c>
      <c r="O62" s="51" t="s">
        <v>48</v>
      </c>
      <c r="P62" s="51">
        <v>4</v>
      </c>
      <c r="Q62" s="51">
        <v>10</v>
      </c>
      <c r="R62" s="51" t="s">
        <v>64</v>
      </c>
      <c r="S62" s="51" t="s">
        <v>50</v>
      </c>
      <c r="T62" s="51" t="s">
        <v>50</v>
      </c>
      <c r="U62" s="51" t="s">
        <v>50</v>
      </c>
      <c r="V62" s="51" t="s">
        <v>50</v>
      </c>
      <c r="W62" s="51" t="s">
        <v>50</v>
      </c>
      <c r="X62" s="51" t="s">
        <v>50</v>
      </c>
    </row>
    <row r="63" spans="1:25" x14ac:dyDescent="0.25">
      <c r="A63" s="443">
        <v>43446</v>
      </c>
      <c r="B63" s="51" t="s">
        <v>87</v>
      </c>
      <c r="C63" s="51" t="s">
        <v>845</v>
      </c>
      <c r="D63" s="51">
        <v>38.235639999999997</v>
      </c>
      <c r="E63" s="51">
        <v>-121.68218</v>
      </c>
      <c r="F63" s="51" t="s">
        <v>4755</v>
      </c>
      <c r="G63" s="51" t="s">
        <v>90</v>
      </c>
      <c r="H63" s="51" t="s">
        <v>126</v>
      </c>
      <c r="I63" s="66">
        <v>0.37916666666666665</v>
      </c>
      <c r="J63" s="428">
        <v>156</v>
      </c>
      <c r="K63" s="428">
        <v>10.6</v>
      </c>
      <c r="L63" s="428">
        <v>5.7074999999999996</v>
      </c>
      <c r="M63" s="428">
        <v>1.5825</v>
      </c>
      <c r="N63" s="428">
        <v>12.55</v>
      </c>
      <c r="O63" s="51" t="s">
        <v>48</v>
      </c>
      <c r="P63" s="51">
        <v>4</v>
      </c>
      <c r="Q63" s="51">
        <v>10</v>
      </c>
      <c r="R63" s="51" t="s">
        <v>49</v>
      </c>
      <c r="S63" s="51" t="s">
        <v>50</v>
      </c>
      <c r="T63" s="51" t="s">
        <v>50</v>
      </c>
      <c r="U63" s="51" t="s">
        <v>50</v>
      </c>
      <c r="V63" s="51" t="s">
        <v>50</v>
      </c>
      <c r="W63" s="51" t="s">
        <v>50</v>
      </c>
      <c r="X63" s="51" t="s">
        <v>50</v>
      </c>
    </row>
    <row r="64" spans="1:25" x14ac:dyDescent="0.25">
      <c r="A64" s="443">
        <v>43446</v>
      </c>
      <c r="B64" s="51" t="s">
        <v>87</v>
      </c>
      <c r="C64" s="51" t="s">
        <v>845</v>
      </c>
      <c r="D64" s="51">
        <v>38.274070000000002</v>
      </c>
      <c r="E64" s="51">
        <v>-121.66504999999999</v>
      </c>
      <c r="F64" s="51" t="s">
        <v>4756</v>
      </c>
      <c r="G64" s="51" t="s">
        <v>90</v>
      </c>
      <c r="H64" s="51" t="s">
        <v>126</v>
      </c>
      <c r="I64" s="66">
        <v>0.43611111111111112</v>
      </c>
      <c r="J64" s="428">
        <v>170.25</v>
      </c>
      <c r="K64" s="428">
        <v>10.7</v>
      </c>
      <c r="L64" s="428">
        <v>5.902499999999999</v>
      </c>
      <c r="M64" s="428">
        <v>1.6424999999999998</v>
      </c>
      <c r="N64" s="428">
        <v>5.5</v>
      </c>
      <c r="O64" s="51" t="s">
        <v>48</v>
      </c>
      <c r="P64" s="51">
        <v>4</v>
      </c>
      <c r="Q64" s="51">
        <v>10</v>
      </c>
      <c r="R64" s="51" t="s">
        <v>49</v>
      </c>
      <c r="S64" s="51" t="s">
        <v>50</v>
      </c>
      <c r="T64" s="51" t="s">
        <v>50</v>
      </c>
      <c r="U64" s="51" t="s">
        <v>50</v>
      </c>
      <c r="V64" s="51" t="s">
        <v>50</v>
      </c>
      <c r="W64" s="51" t="s">
        <v>50</v>
      </c>
      <c r="X64" s="51" t="s">
        <v>50</v>
      </c>
    </row>
    <row r="65" spans="1:25" s="450" customFormat="1" x14ac:dyDescent="0.25">
      <c r="A65" s="449">
        <v>43446</v>
      </c>
      <c r="B65" s="450" t="s">
        <v>87</v>
      </c>
      <c r="C65" s="450" t="s">
        <v>62</v>
      </c>
      <c r="D65" s="450">
        <v>38.107909999999997</v>
      </c>
      <c r="E65" s="450">
        <v>-122.06108</v>
      </c>
      <c r="F65" s="450" t="s">
        <v>4757</v>
      </c>
      <c r="G65" s="450" t="s">
        <v>27</v>
      </c>
      <c r="H65" s="450" t="s">
        <v>173</v>
      </c>
      <c r="I65" s="451">
        <v>0.35694444444444445</v>
      </c>
      <c r="J65" s="452">
        <v>11911.25</v>
      </c>
      <c r="K65" s="452">
        <v>11.225000000000001</v>
      </c>
      <c r="L65" s="452">
        <v>17.425000000000001</v>
      </c>
      <c r="M65" s="452">
        <v>0.60499999999999998</v>
      </c>
      <c r="N65" s="452">
        <v>2.2750000000000004</v>
      </c>
      <c r="O65" s="450" t="s">
        <v>48</v>
      </c>
      <c r="P65" s="450">
        <v>4</v>
      </c>
      <c r="Q65" s="450">
        <v>10</v>
      </c>
      <c r="R65" s="450" t="s">
        <v>49</v>
      </c>
      <c r="S65" s="450" t="s">
        <v>31</v>
      </c>
      <c r="T65" s="450">
        <v>1</v>
      </c>
      <c r="U65" s="450">
        <v>77</v>
      </c>
      <c r="V65" s="450" t="s">
        <v>66</v>
      </c>
      <c r="W65" s="450" t="s">
        <v>50</v>
      </c>
      <c r="X65" s="450" t="s">
        <v>50</v>
      </c>
      <c r="Y65" s="453"/>
    </row>
    <row r="66" spans="1:25" s="450" customFormat="1" x14ac:dyDescent="0.25">
      <c r="A66" s="449">
        <v>43446</v>
      </c>
      <c r="B66" s="450" t="s">
        <v>87</v>
      </c>
      <c r="C66" s="450" t="s">
        <v>62</v>
      </c>
      <c r="D66" s="450">
        <v>38.158450000000002</v>
      </c>
      <c r="E66" s="450">
        <v>-122.05696</v>
      </c>
      <c r="F66" s="450" t="s">
        <v>4758</v>
      </c>
      <c r="G66" s="450" t="s">
        <v>27</v>
      </c>
      <c r="H66" s="450" t="s">
        <v>62</v>
      </c>
      <c r="I66" s="451">
        <v>0.40972222222222227</v>
      </c>
      <c r="J66" s="452">
        <v>7040.25</v>
      </c>
      <c r="K66" s="452">
        <v>10.95</v>
      </c>
      <c r="L66" s="452">
        <v>30.4</v>
      </c>
      <c r="M66" s="452">
        <v>0.37500000000000006</v>
      </c>
      <c r="N66" s="452">
        <v>8.4749999999999996</v>
      </c>
      <c r="O66" s="450" t="s">
        <v>48</v>
      </c>
      <c r="P66" s="450">
        <v>4</v>
      </c>
      <c r="Q66" s="450">
        <v>10</v>
      </c>
      <c r="R66" s="450" t="s">
        <v>49</v>
      </c>
      <c r="S66" s="450" t="s">
        <v>31</v>
      </c>
      <c r="T66" s="450">
        <v>1</v>
      </c>
      <c r="U66" s="450">
        <v>55</v>
      </c>
      <c r="V66" s="450" t="s">
        <v>50</v>
      </c>
      <c r="W66" s="450" t="s">
        <v>50</v>
      </c>
      <c r="X66" s="450" t="s">
        <v>50</v>
      </c>
      <c r="Y66" s="453"/>
    </row>
    <row r="67" spans="1:25" s="450" customFormat="1" x14ac:dyDescent="0.25">
      <c r="A67" s="449">
        <v>43446</v>
      </c>
      <c r="B67" s="450" t="s">
        <v>87</v>
      </c>
      <c r="C67" s="450" t="s">
        <v>62</v>
      </c>
      <c r="D67" s="450">
        <v>38.198770000000003</v>
      </c>
      <c r="E67" s="450">
        <v>-122.04295</v>
      </c>
      <c r="F67" s="450" t="s">
        <v>4759</v>
      </c>
      <c r="G67" s="450" t="s">
        <v>27</v>
      </c>
      <c r="H67" s="450" t="s">
        <v>62</v>
      </c>
      <c r="I67" s="451">
        <v>0.46597222222222223</v>
      </c>
      <c r="J67" s="452">
        <v>6003.5</v>
      </c>
      <c r="K67" s="452">
        <v>10.475</v>
      </c>
      <c r="L67" s="452">
        <v>47.225000000000009</v>
      </c>
      <c r="M67" s="452">
        <v>0.2475</v>
      </c>
      <c r="N67" s="452">
        <v>6.625</v>
      </c>
      <c r="O67" s="450" t="s">
        <v>48</v>
      </c>
      <c r="P67" s="450">
        <v>4</v>
      </c>
      <c r="Q67" s="450">
        <v>10</v>
      </c>
      <c r="R67" s="450" t="s">
        <v>49</v>
      </c>
      <c r="S67" s="450" t="s">
        <v>31</v>
      </c>
      <c r="T67" s="450">
        <v>1</v>
      </c>
      <c r="U67" s="450">
        <v>100</v>
      </c>
      <c r="V67" s="450" t="s">
        <v>66</v>
      </c>
      <c r="W67" s="450" t="s">
        <v>50</v>
      </c>
      <c r="X67" s="450" t="s">
        <v>50</v>
      </c>
      <c r="Y67" s="453"/>
    </row>
    <row r="68" spans="1:25" x14ac:dyDescent="0.25">
      <c r="A68" s="443">
        <v>43446</v>
      </c>
      <c r="B68" s="51" t="s">
        <v>87</v>
      </c>
      <c r="C68" s="51" t="s">
        <v>62</v>
      </c>
      <c r="D68" s="51">
        <v>38.15231</v>
      </c>
      <c r="E68" s="51">
        <v>-121.91964</v>
      </c>
      <c r="F68" s="51" t="s">
        <v>4760</v>
      </c>
      <c r="G68" s="51" t="s">
        <v>27</v>
      </c>
      <c r="H68" s="51" t="s">
        <v>62</v>
      </c>
      <c r="I68" s="66">
        <v>0.55138888888888882</v>
      </c>
      <c r="J68" s="428">
        <v>4606.25</v>
      </c>
      <c r="K68" s="428">
        <v>11.625</v>
      </c>
      <c r="L68" s="428">
        <v>20.725000000000001</v>
      </c>
      <c r="M68" s="428">
        <v>0.43749999999999994</v>
      </c>
      <c r="N68" s="428">
        <v>4.4000000000000004</v>
      </c>
      <c r="O68" s="51" t="s">
        <v>48</v>
      </c>
      <c r="P68" s="51">
        <v>4</v>
      </c>
      <c r="Q68" s="51">
        <v>10</v>
      </c>
      <c r="R68" s="51" t="s">
        <v>49</v>
      </c>
      <c r="S68" s="51" t="s">
        <v>50</v>
      </c>
      <c r="T68" s="51" t="s">
        <v>50</v>
      </c>
      <c r="U68" s="51" t="s">
        <v>50</v>
      </c>
      <c r="V68" s="51" t="s">
        <v>50</v>
      </c>
      <c r="W68" s="51" t="s">
        <v>50</v>
      </c>
      <c r="X68" s="51" t="s">
        <v>50</v>
      </c>
    </row>
    <row r="69" spans="1:25" x14ac:dyDescent="0.25">
      <c r="A69" s="443">
        <v>43447</v>
      </c>
      <c r="B69" s="51" t="s">
        <v>105</v>
      </c>
      <c r="C69" s="51" t="s">
        <v>44</v>
      </c>
      <c r="D69" s="51">
        <v>38.001460000000002</v>
      </c>
      <c r="E69" s="51">
        <v>-121.51978</v>
      </c>
      <c r="F69" s="51" t="s">
        <v>4761</v>
      </c>
      <c r="G69" s="51" t="s">
        <v>46</v>
      </c>
      <c r="H69" s="51" t="s">
        <v>59</v>
      </c>
      <c r="I69" s="66">
        <v>0.35000000000000003</v>
      </c>
      <c r="J69" s="428">
        <v>343.02499999999998</v>
      </c>
      <c r="K69" s="428">
        <v>11.224999999999998</v>
      </c>
      <c r="L69" s="428">
        <v>3.0024999999999999</v>
      </c>
      <c r="M69" s="428" t="s">
        <v>2547</v>
      </c>
      <c r="N69" s="428">
        <v>7.75</v>
      </c>
      <c r="O69" s="51" t="s">
        <v>48</v>
      </c>
      <c r="P69" s="51">
        <v>4</v>
      </c>
      <c r="Q69" s="51">
        <v>10</v>
      </c>
      <c r="R69" s="51" t="s">
        <v>64</v>
      </c>
      <c r="S69" s="51" t="s">
        <v>50</v>
      </c>
      <c r="T69" s="51" t="s">
        <v>50</v>
      </c>
      <c r="U69" s="51" t="s">
        <v>50</v>
      </c>
      <c r="V69" s="51" t="s">
        <v>50</v>
      </c>
      <c r="W69" s="51" t="s">
        <v>50</v>
      </c>
      <c r="X69" s="51" t="s">
        <v>50</v>
      </c>
      <c r="Y69" s="52" t="s">
        <v>4762</v>
      </c>
    </row>
    <row r="70" spans="1:25" x14ac:dyDescent="0.25">
      <c r="A70" s="443">
        <v>43447</v>
      </c>
      <c r="B70" s="51" t="s">
        <v>105</v>
      </c>
      <c r="C70" s="51" t="s">
        <v>44</v>
      </c>
      <c r="D70" s="51">
        <v>37.944540000000003</v>
      </c>
      <c r="E70" s="51">
        <v>-121.53026</v>
      </c>
      <c r="F70" s="51" t="s">
        <v>4763</v>
      </c>
      <c r="G70" s="51" t="s">
        <v>46</v>
      </c>
      <c r="H70" s="51" t="s">
        <v>56</v>
      </c>
      <c r="I70" s="66">
        <v>0.41944444444444445</v>
      </c>
      <c r="J70" s="428">
        <v>292.72500000000002</v>
      </c>
      <c r="K70" s="428">
        <v>11.3</v>
      </c>
      <c r="L70" s="428">
        <v>3.0900000000000003</v>
      </c>
      <c r="M70" s="428" t="s">
        <v>2547</v>
      </c>
      <c r="N70" s="428">
        <v>7.9</v>
      </c>
      <c r="O70" s="51" t="s">
        <v>48</v>
      </c>
      <c r="P70" s="51">
        <v>4</v>
      </c>
      <c r="Q70" s="51">
        <v>10</v>
      </c>
      <c r="R70" s="51" t="s">
        <v>64</v>
      </c>
      <c r="S70" s="51" t="s">
        <v>50</v>
      </c>
      <c r="T70" s="51" t="s">
        <v>50</v>
      </c>
      <c r="U70" s="51" t="s">
        <v>50</v>
      </c>
      <c r="V70" s="51" t="s">
        <v>50</v>
      </c>
      <c r="W70" s="51" t="s">
        <v>50</v>
      </c>
      <c r="X70" s="51" t="s">
        <v>50</v>
      </c>
    </row>
    <row r="71" spans="1:25" s="424" customFormat="1" x14ac:dyDescent="0.25">
      <c r="A71" s="446">
        <v>43447</v>
      </c>
      <c r="B71" s="424" t="s">
        <v>105</v>
      </c>
      <c r="C71" s="424" t="s">
        <v>44</v>
      </c>
      <c r="D71" s="424">
        <v>38.04495</v>
      </c>
      <c r="E71" s="424">
        <v>-121.5954</v>
      </c>
      <c r="F71" s="424" t="s">
        <v>4764</v>
      </c>
      <c r="G71" s="424" t="s">
        <v>46</v>
      </c>
      <c r="H71" s="424" t="s">
        <v>47</v>
      </c>
      <c r="I71" s="425">
        <v>0.48402777777777778</v>
      </c>
      <c r="J71" s="427">
        <v>549</v>
      </c>
      <c r="K71" s="427">
        <v>11.15</v>
      </c>
      <c r="L71" s="427">
        <v>7.93</v>
      </c>
      <c r="M71" s="427">
        <v>0.83000000000000007</v>
      </c>
      <c r="N71" s="427">
        <v>2.6</v>
      </c>
      <c r="O71" s="424" t="s">
        <v>48</v>
      </c>
      <c r="P71" s="424">
        <v>2</v>
      </c>
      <c r="Q71" s="424">
        <v>10</v>
      </c>
      <c r="R71" s="424" t="s">
        <v>49</v>
      </c>
      <c r="S71" s="424" t="s">
        <v>50</v>
      </c>
      <c r="T71" s="424" t="s">
        <v>50</v>
      </c>
      <c r="U71" s="424" t="s">
        <v>50</v>
      </c>
      <c r="V71" s="424" t="s">
        <v>50</v>
      </c>
      <c r="W71" s="424" t="s">
        <v>50</v>
      </c>
      <c r="X71" s="424" t="s">
        <v>50</v>
      </c>
      <c r="Y71" s="426" t="s">
        <v>4765</v>
      </c>
    </row>
    <row r="72" spans="1:25" s="431" customFormat="1" x14ac:dyDescent="0.25">
      <c r="A72" s="447">
        <v>43447</v>
      </c>
      <c r="B72" s="431" t="s">
        <v>105</v>
      </c>
      <c r="C72" s="431" t="s">
        <v>106</v>
      </c>
      <c r="D72" s="431">
        <v>38.433219999999999</v>
      </c>
      <c r="E72" s="431">
        <v>-121.60169999999999</v>
      </c>
      <c r="F72" s="431" t="s">
        <v>4766</v>
      </c>
      <c r="G72" s="431" t="s">
        <v>90</v>
      </c>
      <c r="H72" s="431" t="s">
        <v>362</v>
      </c>
      <c r="I72" s="432">
        <v>0.44930555555555557</v>
      </c>
      <c r="J72" s="433">
        <v>381.75</v>
      </c>
      <c r="K72" s="433">
        <v>11.1</v>
      </c>
      <c r="L72" s="433">
        <v>90.8</v>
      </c>
      <c r="M72" s="433">
        <v>0.34</v>
      </c>
      <c r="N72" s="433">
        <v>6.45</v>
      </c>
      <c r="O72" s="431" t="s">
        <v>48</v>
      </c>
      <c r="P72" s="431">
        <v>2</v>
      </c>
      <c r="Q72" s="431">
        <v>10</v>
      </c>
      <c r="R72" s="431" t="s">
        <v>49</v>
      </c>
      <c r="S72" s="431" t="s">
        <v>323</v>
      </c>
      <c r="T72" s="431">
        <v>1</v>
      </c>
      <c r="U72" s="431">
        <v>56</v>
      </c>
      <c r="V72" s="431" t="s">
        <v>66</v>
      </c>
      <c r="W72" s="431" t="s">
        <v>50</v>
      </c>
      <c r="X72" s="431" t="s">
        <v>50</v>
      </c>
      <c r="Y72" s="455" t="s">
        <v>4767</v>
      </c>
    </row>
    <row r="73" spans="1:25" x14ac:dyDescent="0.25">
      <c r="A73" s="443">
        <v>43447</v>
      </c>
      <c r="B73" s="51" t="s">
        <v>105</v>
      </c>
      <c r="C73" s="51" t="s">
        <v>106</v>
      </c>
      <c r="D73" s="51">
        <v>38.234630000000003</v>
      </c>
      <c r="E73" s="51">
        <v>-121.67375</v>
      </c>
      <c r="F73" s="51" t="s">
        <v>4768</v>
      </c>
      <c r="G73" s="51" t="s">
        <v>90</v>
      </c>
      <c r="H73" s="51" t="s">
        <v>362</v>
      </c>
      <c r="I73" s="66">
        <v>0.50555555555555554</v>
      </c>
      <c r="J73" s="428">
        <v>161.27500000000001</v>
      </c>
      <c r="K73" s="428">
        <v>10.7</v>
      </c>
      <c r="L73" s="428">
        <v>9.4525000000000006</v>
      </c>
      <c r="M73" s="428" t="s">
        <v>2547</v>
      </c>
      <c r="N73" s="428">
        <v>11.125</v>
      </c>
      <c r="O73" s="51" t="s">
        <v>48</v>
      </c>
      <c r="P73" s="51">
        <v>4</v>
      </c>
      <c r="Q73" s="51">
        <v>10</v>
      </c>
      <c r="R73" s="51" t="s">
        <v>49</v>
      </c>
      <c r="S73" s="51" t="s">
        <v>50</v>
      </c>
      <c r="T73" s="51" t="s">
        <v>50</v>
      </c>
      <c r="U73" s="51" t="s">
        <v>50</v>
      </c>
      <c r="V73" s="51" t="s">
        <v>50</v>
      </c>
      <c r="W73" s="51" t="s">
        <v>50</v>
      </c>
      <c r="X73" s="51" t="s">
        <v>50</v>
      </c>
    </row>
    <row r="74" spans="1:25" x14ac:dyDescent="0.25">
      <c r="A74" s="443">
        <v>43447</v>
      </c>
      <c r="B74" s="51" t="s">
        <v>105</v>
      </c>
      <c r="C74" s="51" t="s">
        <v>106</v>
      </c>
      <c r="D74" s="51">
        <v>38.179600000000001</v>
      </c>
      <c r="E74" s="51">
        <v>-121.66419999999999</v>
      </c>
      <c r="F74" s="51" t="s">
        <v>4769</v>
      </c>
      <c r="G74" s="51" t="s">
        <v>90</v>
      </c>
      <c r="H74" s="51" t="s">
        <v>362</v>
      </c>
      <c r="I74" s="66">
        <v>0.55694444444444446</v>
      </c>
      <c r="J74" s="428">
        <v>158.625</v>
      </c>
      <c r="K74" s="428">
        <v>10.5</v>
      </c>
      <c r="L74" s="428">
        <v>5.7900000000000009</v>
      </c>
      <c r="M74" s="428" t="s">
        <v>2547</v>
      </c>
      <c r="N74" s="428">
        <v>18.349999999999998</v>
      </c>
      <c r="O74" s="51" t="s">
        <v>48</v>
      </c>
      <c r="P74" s="51">
        <v>4</v>
      </c>
      <c r="Q74" s="51">
        <v>10</v>
      </c>
      <c r="R74" s="51" t="s">
        <v>49</v>
      </c>
      <c r="S74" s="51" t="s">
        <v>50</v>
      </c>
      <c r="T74" s="51" t="s">
        <v>50</v>
      </c>
      <c r="U74" s="51" t="s">
        <v>50</v>
      </c>
      <c r="V74" s="51" t="s">
        <v>50</v>
      </c>
      <c r="W74" s="51" t="s">
        <v>50</v>
      </c>
      <c r="X74" s="51" t="s">
        <v>50</v>
      </c>
    </row>
    <row r="75" spans="1:25" x14ac:dyDescent="0.25">
      <c r="A75" s="443">
        <v>43447</v>
      </c>
      <c r="B75" s="51" t="s">
        <v>105</v>
      </c>
      <c r="C75" s="51" t="s">
        <v>118</v>
      </c>
      <c r="D75" s="51">
        <v>38.065089999999998</v>
      </c>
      <c r="E75" s="51">
        <v>-122.23187</v>
      </c>
      <c r="F75" s="51" t="s">
        <v>4770</v>
      </c>
      <c r="G75" s="51" t="s">
        <v>80</v>
      </c>
      <c r="H75" s="51" t="s">
        <v>120</v>
      </c>
      <c r="I75" s="66">
        <v>0.31805555555555554</v>
      </c>
      <c r="J75" s="428">
        <v>23764.25</v>
      </c>
      <c r="K75" s="428">
        <v>11.724999999999998</v>
      </c>
      <c r="L75" s="428">
        <v>17.25</v>
      </c>
      <c r="M75" s="428">
        <v>0.58750000000000002</v>
      </c>
      <c r="N75" s="428">
        <v>23.2</v>
      </c>
      <c r="O75" s="51" t="s">
        <v>48</v>
      </c>
      <c r="P75" s="51">
        <v>4</v>
      </c>
      <c r="Q75" s="51">
        <v>10</v>
      </c>
      <c r="R75" s="51" t="s">
        <v>49</v>
      </c>
      <c r="S75" s="51" t="s">
        <v>50</v>
      </c>
      <c r="T75" s="51" t="s">
        <v>50</v>
      </c>
      <c r="U75" s="51" t="s">
        <v>50</v>
      </c>
      <c r="V75" s="51" t="s">
        <v>50</v>
      </c>
      <c r="W75" s="51" t="s">
        <v>50</v>
      </c>
      <c r="X75" s="51" t="s">
        <v>50</v>
      </c>
      <c r="Y75" s="52" t="s">
        <v>4771</v>
      </c>
    </row>
    <row r="76" spans="1:25" x14ac:dyDescent="0.25">
      <c r="A76" s="443">
        <v>43447</v>
      </c>
      <c r="B76" s="51" t="s">
        <v>105</v>
      </c>
      <c r="C76" s="51" t="s">
        <v>118</v>
      </c>
      <c r="D76" s="51">
        <v>38.043259999999997</v>
      </c>
      <c r="E76" s="51">
        <v>-122.32541000000001</v>
      </c>
      <c r="F76" s="51" t="s">
        <v>4772</v>
      </c>
      <c r="G76" s="51" t="s">
        <v>80</v>
      </c>
      <c r="H76" s="51" t="s">
        <v>123</v>
      </c>
      <c r="I76" s="66">
        <v>0.37708333333333338</v>
      </c>
      <c r="J76" s="428">
        <v>26234.75</v>
      </c>
      <c r="K76" s="428">
        <v>11.9</v>
      </c>
      <c r="L76" s="428">
        <v>14.875</v>
      </c>
      <c r="M76" s="428">
        <v>0.82500000000000007</v>
      </c>
      <c r="N76" s="428">
        <v>8.0249999999999986</v>
      </c>
      <c r="O76" s="51" t="s">
        <v>48</v>
      </c>
      <c r="P76" s="51">
        <v>4</v>
      </c>
      <c r="Q76" s="51">
        <v>10</v>
      </c>
      <c r="R76" s="51" t="s">
        <v>49</v>
      </c>
      <c r="S76" s="51" t="s">
        <v>50</v>
      </c>
      <c r="T76" s="51" t="s">
        <v>50</v>
      </c>
      <c r="U76" s="51" t="s">
        <v>50</v>
      </c>
      <c r="V76" s="51" t="s">
        <v>50</v>
      </c>
      <c r="W76" s="51" t="s">
        <v>50</v>
      </c>
      <c r="X76" s="51" t="s">
        <v>50</v>
      </c>
      <c r="Y76" s="52" t="s">
        <v>4773</v>
      </c>
    </row>
    <row r="77" spans="1:25" x14ac:dyDescent="0.25">
      <c r="A77" s="443">
        <v>43447</v>
      </c>
      <c r="B77" s="51" t="s">
        <v>105</v>
      </c>
      <c r="C77" s="51" t="s">
        <v>118</v>
      </c>
      <c r="D77" s="51">
        <v>38.049219999999998</v>
      </c>
      <c r="E77" s="51">
        <v>-122.30158</v>
      </c>
      <c r="F77" s="51" t="s">
        <v>4774</v>
      </c>
      <c r="G77" s="51" t="s">
        <v>80</v>
      </c>
      <c r="H77" s="51" t="s">
        <v>123</v>
      </c>
      <c r="I77" s="66">
        <v>0.42986111111111108</v>
      </c>
      <c r="J77" s="428">
        <v>26253.75</v>
      </c>
      <c r="K77" s="428">
        <v>12.05</v>
      </c>
      <c r="L77" s="428">
        <v>16.149999999999999</v>
      </c>
      <c r="M77" s="428">
        <v>0.76500000000000001</v>
      </c>
      <c r="N77" s="428">
        <v>10.024999999999999</v>
      </c>
      <c r="O77" s="51" t="s">
        <v>48</v>
      </c>
      <c r="P77" s="51">
        <v>4</v>
      </c>
      <c r="Q77" s="51">
        <v>10</v>
      </c>
      <c r="R77" s="51" t="s">
        <v>49</v>
      </c>
      <c r="S77" s="51" t="s">
        <v>50</v>
      </c>
      <c r="T77" s="51" t="s">
        <v>50</v>
      </c>
      <c r="U77" s="51" t="s">
        <v>50</v>
      </c>
      <c r="V77" s="51" t="s">
        <v>50</v>
      </c>
      <c r="W77" s="51" t="s">
        <v>50</v>
      </c>
      <c r="X77" s="51" t="s">
        <v>50</v>
      </c>
    </row>
    <row r="78" spans="1:25" s="74" customFormat="1" x14ac:dyDescent="0.25">
      <c r="A78" s="444">
        <v>43447</v>
      </c>
      <c r="B78" s="74" t="s">
        <v>105</v>
      </c>
      <c r="C78" s="74" t="s">
        <v>118</v>
      </c>
      <c r="D78" s="74">
        <v>38.03443</v>
      </c>
      <c r="E78" s="74">
        <v>-122.15380999999999</v>
      </c>
      <c r="F78" s="74" t="s">
        <v>4775</v>
      </c>
      <c r="G78" s="74" t="s">
        <v>80</v>
      </c>
      <c r="H78" s="74" t="s">
        <v>120</v>
      </c>
      <c r="I78" s="73">
        <v>0.51180555555555551</v>
      </c>
      <c r="J78" s="445">
        <v>17521.5</v>
      </c>
      <c r="K78" s="445">
        <v>11.8</v>
      </c>
      <c r="L78" s="445">
        <v>17.425000000000004</v>
      </c>
      <c r="M78" s="445">
        <v>0.64</v>
      </c>
      <c r="N78" s="445">
        <v>9.3999999999999986</v>
      </c>
      <c r="O78" s="74" t="s">
        <v>48</v>
      </c>
      <c r="P78" s="74">
        <v>4</v>
      </c>
      <c r="Q78" s="74">
        <v>10</v>
      </c>
      <c r="R78" s="74" t="s">
        <v>49</v>
      </c>
      <c r="S78" s="74" t="s">
        <v>50</v>
      </c>
      <c r="T78" s="74" t="s">
        <v>50</v>
      </c>
      <c r="U78" s="74" t="s">
        <v>50</v>
      </c>
      <c r="V78" s="74" t="s">
        <v>50</v>
      </c>
      <c r="W78" s="74" t="s">
        <v>50</v>
      </c>
      <c r="X78" s="74" t="s">
        <v>50</v>
      </c>
      <c r="Y78" s="77"/>
    </row>
    <row r="79" spans="1:25" x14ac:dyDescent="0.25">
      <c r="A79" s="443">
        <v>43451</v>
      </c>
      <c r="B79" s="51" t="s">
        <v>43</v>
      </c>
      <c r="C79" s="51" t="s">
        <v>106</v>
      </c>
      <c r="D79" s="51">
        <v>38.283279999999998</v>
      </c>
      <c r="E79" s="51">
        <v>-121.65936000000001</v>
      </c>
      <c r="F79" s="51" t="s">
        <v>4776</v>
      </c>
      <c r="G79" s="51" t="s">
        <v>90</v>
      </c>
      <c r="H79" s="51" t="s">
        <v>362</v>
      </c>
      <c r="I79" s="66">
        <v>0.3347222222222222</v>
      </c>
      <c r="J79" s="428">
        <v>249.75</v>
      </c>
      <c r="K79" s="428">
        <v>10.75</v>
      </c>
      <c r="L79" s="428">
        <v>10.044999999999998</v>
      </c>
      <c r="M79" s="428">
        <v>1.0049999999999999</v>
      </c>
      <c r="N79" s="428">
        <v>10.55</v>
      </c>
      <c r="O79" s="51" t="s">
        <v>48</v>
      </c>
      <c r="P79" s="51">
        <v>4</v>
      </c>
      <c r="Q79" s="51">
        <v>10</v>
      </c>
      <c r="R79" s="51" t="s">
        <v>64</v>
      </c>
      <c r="S79" s="51" t="s">
        <v>50</v>
      </c>
      <c r="T79" s="51" t="s">
        <v>50</v>
      </c>
      <c r="U79" s="51" t="s">
        <v>50</v>
      </c>
      <c r="V79" s="51" t="s">
        <v>50</v>
      </c>
      <c r="W79" s="51" t="s">
        <v>50</v>
      </c>
      <c r="X79" s="51" t="s">
        <v>50</v>
      </c>
    </row>
    <row r="80" spans="1:25" s="431" customFormat="1" x14ac:dyDescent="0.25">
      <c r="A80" s="447">
        <v>43451</v>
      </c>
      <c r="B80" s="431" t="s">
        <v>43</v>
      </c>
      <c r="C80" s="431" t="s">
        <v>106</v>
      </c>
      <c r="D80" s="431">
        <v>38.41769</v>
      </c>
      <c r="E80" s="431">
        <v>-121.60957000000001</v>
      </c>
      <c r="F80" s="431" t="s">
        <v>4777</v>
      </c>
      <c r="G80" s="431" t="s">
        <v>90</v>
      </c>
      <c r="H80" s="431" t="s">
        <v>362</v>
      </c>
      <c r="I80" s="432">
        <v>0.39305555555555555</v>
      </c>
      <c r="J80" s="433">
        <v>488.33333333333331</v>
      </c>
      <c r="K80" s="433">
        <v>11.066666666666668</v>
      </c>
      <c r="L80" s="433">
        <v>71.533333333333346</v>
      </c>
      <c r="M80" s="433">
        <v>0.21333333333333335</v>
      </c>
      <c r="N80" s="433">
        <v>10.366666666666667</v>
      </c>
      <c r="O80" s="431" t="s">
        <v>48</v>
      </c>
      <c r="P80" s="431">
        <v>3</v>
      </c>
      <c r="Q80" s="431">
        <v>10</v>
      </c>
      <c r="R80" s="431" t="s">
        <v>64</v>
      </c>
      <c r="S80" s="431" t="s">
        <v>323</v>
      </c>
      <c r="T80" s="431">
        <v>1</v>
      </c>
      <c r="U80" s="431">
        <v>51</v>
      </c>
      <c r="V80" s="431" t="s">
        <v>66</v>
      </c>
      <c r="W80" s="431" t="s">
        <v>50</v>
      </c>
      <c r="X80" s="431" t="s">
        <v>50</v>
      </c>
      <c r="Y80" s="455" t="s">
        <v>4778</v>
      </c>
    </row>
    <row r="81" spans="1:25" x14ac:dyDescent="0.25">
      <c r="A81" s="443">
        <v>43451</v>
      </c>
      <c r="B81" s="51" t="s">
        <v>43</v>
      </c>
      <c r="C81" s="51" t="s">
        <v>106</v>
      </c>
      <c r="D81" s="51">
        <v>38.535960000000003</v>
      </c>
      <c r="E81" s="51">
        <v>-121.5852</v>
      </c>
      <c r="F81" s="51" t="s">
        <v>4779</v>
      </c>
      <c r="G81" s="51" t="s">
        <v>90</v>
      </c>
      <c r="H81" s="51" t="s">
        <v>1787</v>
      </c>
      <c r="I81" s="66">
        <v>0.45763888888888887</v>
      </c>
      <c r="J81" s="428">
        <v>904</v>
      </c>
      <c r="K81" s="428">
        <v>11.625</v>
      </c>
      <c r="L81" s="428">
        <v>16.55</v>
      </c>
      <c r="M81" s="428">
        <v>0.65250000000000008</v>
      </c>
      <c r="N81" s="428">
        <v>10.5</v>
      </c>
      <c r="O81" s="51" t="s">
        <v>48</v>
      </c>
      <c r="P81" s="51">
        <v>4</v>
      </c>
      <c r="Q81" s="51">
        <v>10</v>
      </c>
      <c r="R81" s="51" t="s">
        <v>64</v>
      </c>
      <c r="S81" s="51" t="s">
        <v>50</v>
      </c>
      <c r="T81" s="51" t="s">
        <v>50</v>
      </c>
      <c r="U81" s="51" t="s">
        <v>50</v>
      </c>
      <c r="V81" s="51" t="s">
        <v>50</v>
      </c>
      <c r="W81" s="51" t="s">
        <v>50</v>
      </c>
      <c r="X81" s="51" t="s">
        <v>50</v>
      </c>
    </row>
    <row r="82" spans="1:25" x14ac:dyDescent="0.25">
      <c r="A82" s="443">
        <v>43451</v>
      </c>
      <c r="B82" s="51" t="s">
        <v>43</v>
      </c>
      <c r="C82" s="51" t="s">
        <v>95</v>
      </c>
      <c r="D82" s="51">
        <v>38.09131</v>
      </c>
      <c r="E82" s="51">
        <v>-121.5763</v>
      </c>
      <c r="F82" s="51" t="s">
        <v>4780</v>
      </c>
      <c r="G82" s="51" t="s">
        <v>46</v>
      </c>
      <c r="H82" s="51" t="s">
        <v>115</v>
      </c>
      <c r="I82" s="66">
        <v>0.30694444444444441</v>
      </c>
      <c r="J82" s="428">
        <v>309.60000000000002</v>
      </c>
      <c r="K82" s="428">
        <v>10.8</v>
      </c>
      <c r="L82" s="428">
        <v>5.4050000000000002</v>
      </c>
      <c r="M82" s="428">
        <v>1.4874999999999998</v>
      </c>
      <c r="N82" s="428">
        <v>8.9749999999999996</v>
      </c>
      <c r="O82" s="51" t="s">
        <v>48</v>
      </c>
      <c r="P82" s="51">
        <v>4</v>
      </c>
      <c r="Q82" s="51">
        <v>10</v>
      </c>
      <c r="R82" s="51" t="s">
        <v>49</v>
      </c>
      <c r="S82" s="51" t="s">
        <v>50</v>
      </c>
      <c r="T82" s="51" t="s">
        <v>50</v>
      </c>
      <c r="U82" s="51" t="s">
        <v>50</v>
      </c>
      <c r="V82" s="51" t="s">
        <v>50</v>
      </c>
      <c r="W82" s="51" t="s">
        <v>50</v>
      </c>
      <c r="X82" s="51" t="s">
        <v>50</v>
      </c>
    </row>
    <row r="83" spans="1:25" x14ac:dyDescent="0.25">
      <c r="A83" s="443">
        <v>43451</v>
      </c>
      <c r="B83" s="51" t="s">
        <v>43</v>
      </c>
      <c r="C83" s="51" t="s">
        <v>95</v>
      </c>
      <c r="D83" s="51">
        <v>38.05939</v>
      </c>
      <c r="E83" s="51">
        <v>-121.54559999999999</v>
      </c>
      <c r="F83" s="51" t="s">
        <v>4781</v>
      </c>
      <c r="G83" s="51" t="s">
        <v>46</v>
      </c>
      <c r="H83" s="51" t="s">
        <v>115</v>
      </c>
      <c r="I83" s="66">
        <v>0.36527777777777781</v>
      </c>
      <c r="J83" s="428">
        <v>379.27499999999998</v>
      </c>
      <c r="K83" s="428">
        <v>11</v>
      </c>
      <c r="L83" s="428">
        <v>7.0549999999999997</v>
      </c>
      <c r="M83" s="428">
        <v>1.2525000000000002</v>
      </c>
      <c r="N83" s="428">
        <v>5.8</v>
      </c>
      <c r="O83" s="51" t="s">
        <v>48</v>
      </c>
      <c r="P83" s="51">
        <v>4</v>
      </c>
      <c r="Q83" s="51">
        <v>10</v>
      </c>
      <c r="R83" s="51" t="s">
        <v>64</v>
      </c>
      <c r="S83" s="51" t="s">
        <v>50</v>
      </c>
      <c r="T83" s="51" t="s">
        <v>50</v>
      </c>
      <c r="U83" s="51" t="s">
        <v>50</v>
      </c>
      <c r="V83" s="51" t="s">
        <v>50</v>
      </c>
      <c r="W83" s="51" t="s">
        <v>50</v>
      </c>
      <c r="X83" s="51" t="s">
        <v>50</v>
      </c>
    </row>
    <row r="84" spans="1:25" x14ac:dyDescent="0.25">
      <c r="A84" s="443">
        <v>43451</v>
      </c>
      <c r="B84" s="51" t="s">
        <v>43</v>
      </c>
      <c r="C84" s="51" t="s">
        <v>95</v>
      </c>
      <c r="D84" s="51">
        <v>38.087040000000002</v>
      </c>
      <c r="E84" s="51">
        <v>-121.64341</v>
      </c>
      <c r="F84" s="51" t="s">
        <v>4782</v>
      </c>
      <c r="G84" s="51" t="s">
        <v>46</v>
      </c>
      <c r="H84" s="51" t="s">
        <v>908</v>
      </c>
      <c r="I84" s="66">
        <v>0.41944444444444445</v>
      </c>
      <c r="J84" s="428">
        <v>773</v>
      </c>
      <c r="K84" s="428">
        <v>11.05</v>
      </c>
      <c r="L84" s="428">
        <v>5.6474999999999991</v>
      </c>
      <c r="M84" s="428">
        <v>1.5874999999999999</v>
      </c>
      <c r="N84" s="428">
        <v>13.799999999999999</v>
      </c>
      <c r="O84" s="51" t="s">
        <v>48</v>
      </c>
      <c r="P84" s="51">
        <v>4</v>
      </c>
      <c r="Q84" s="51">
        <v>10</v>
      </c>
      <c r="R84" s="51" t="s">
        <v>64</v>
      </c>
      <c r="S84" s="51" t="s">
        <v>50</v>
      </c>
      <c r="T84" s="51" t="s">
        <v>50</v>
      </c>
      <c r="U84" s="51" t="s">
        <v>50</v>
      </c>
      <c r="V84" s="51" t="s">
        <v>50</v>
      </c>
      <c r="W84" s="51" t="s">
        <v>50</v>
      </c>
      <c r="X84" s="51" t="s">
        <v>50</v>
      </c>
    </row>
    <row r="85" spans="1:25" x14ac:dyDescent="0.25">
      <c r="A85" s="443">
        <v>43451</v>
      </c>
      <c r="B85" s="51" t="s">
        <v>43</v>
      </c>
      <c r="C85" s="51" t="s">
        <v>118</v>
      </c>
      <c r="D85" s="51">
        <v>38.036180000000002</v>
      </c>
      <c r="E85" s="51">
        <v>-122.15345000000001</v>
      </c>
      <c r="F85" s="51" t="s">
        <v>4783</v>
      </c>
      <c r="G85" s="51" t="s">
        <v>80</v>
      </c>
      <c r="H85" s="51" t="s">
        <v>120</v>
      </c>
      <c r="I85" s="66">
        <v>0.38680555555555557</v>
      </c>
      <c r="J85" s="428">
        <v>22729.75</v>
      </c>
      <c r="K85" s="428">
        <v>12.149999999999999</v>
      </c>
      <c r="L85" s="456" t="s">
        <v>50</v>
      </c>
      <c r="M85" s="428">
        <v>0.8274999999999999</v>
      </c>
      <c r="N85" s="428">
        <v>10.9</v>
      </c>
      <c r="O85" s="51" t="s">
        <v>48</v>
      </c>
      <c r="P85" s="51">
        <v>4</v>
      </c>
      <c r="Q85" s="51">
        <v>10</v>
      </c>
      <c r="R85" s="51" t="s">
        <v>64</v>
      </c>
      <c r="S85" s="51" t="s">
        <v>50</v>
      </c>
      <c r="T85" s="51" t="s">
        <v>50</v>
      </c>
      <c r="U85" s="51" t="s">
        <v>50</v>
      </c>
      <c r="V85" s="51" t="s">
        <v>50</v>
      </c>
      <c r="W85" s="51" t="s">
        <v>50</v>
      </c>
      <c r="X85" s="51" t="s">
        <v>50</v>
      </c>
      <c r="Y85" s="52" t="s">
        <v>4784</v>
      </c>
    </row>
    <row r="86" spans="1:25" s="450" customFormat="1" x14ac:dyDescent="0.25">
      <c r="A86" s="449">
        <v>43451</v>
      </c>
      <c r="B86" s="450" t="s">
        <v>43</v>
      </c>
      <c r="C86" s="450" t="s">
        <v>118</v>
      </c>
      <c r="D86" s="450">
        <v>38.027099999999997</v>
      </c>
      <c r="E86" s="450">
        <v>-122.3081</v>
      </c>
      <c r="F86" s="450" t="s">
        <v>4785</v>
      </c>
      <c r="G86" s="450" t="s">
        <v>80</v>
      </c>
      <c r="H86" s="450" t="s">
        <v>123</v>
      </c>
      <c r="I86" s="451">
        <v>0.46319444444444446</v>
      </c>
      <c r="J86" s="452">
        <v>28783</v>
      </c>
      <c r="K86" s="452">
        <v>12.724999999999998</v>
      </c>
      <c r="L86" s="452" t="s">
        <v>50</v>
      </c>
      <c r="M86" s="452">
        <v>0.83499999999999996</v>
      </c>
      <c r="N86" s="452">
        <v>3.0250000000000004</v>
      </c>
      <c r="O86" s="450" t="s">
        <v>48</v>
      </c>
      <c r="P86" s="450">
        <v>4</v>
      </c>
      <c r="Q86" s="450">
        <v>10</v>
      </c>
      <c r="R86" s="450" t="s">
        <v>49</v>
      </c>
      <c r="S86" s="450" t="s">
        <v>31</v>
      </c>
      <c r="T86" s="450">
        <v>1</v>
      </c>
      <c r="U86" s="450">
        <v>106</v>
      </c>
      <c r="V86" s="450" t="s">
        <v>66</v>
      </c>
      <c r="W86" s="450" t="s">
        <v>50</v>
      </c>
      <c r="X86" s="450" t="s">
        <v>50</v>
      </c>
      <c r="Y86" s="453" t="s">
        <v>4784</v>
      </c>
    </row>
    <row r="87" spans="1:25" x14ac:dyDescent="0.25">
      <c r="A87" s="443">
        <v>43451</v>
      </c>
      <c r="B87" s="51" t="s">
        <v>43</v>
      </c>
      <c r="C87" s="51" t="s">
        <v>118</v>
      </c>
      <c r="D87" s="51">
        <v>38.05077</v>
      </c>
      <c r="E87" s="51">
        <v>-122.29998999999999</v>
      </c>
      <c r="F87" s="51" t="s">
        <v>4786</v>
      </c>
      <c r="G87" s="51" t="s">
        <v>80</v>
      </c>
      <c r="H87" s="51" t="s">
        <v>123</v>
      </c>
      <c r="I87" s="66">
        <v>0.51597222222222217</v>
      </c>
      <c r="J87" s="428">
        <v>26858.75</v>
      </c>
      <c r="K87" s="428">
        <v>12.525</v>
      </c>
      <c r="L87" s="428" t="s">
        <v>50</v>
      </c>
      <c r="M87" s="428">
        <v>0.90250000000000008</v>
      </c>
      <c r="N87" s="428">
        <v>10.425000000000001</v>
      </c>
      <c r="O87" s="51" t="s">
        <v>48</v>
      </c>
      <c r="P87" s="51">
        <v>4</v>
      </c>
      <c r="Q87" s="51">
        <v>10</v>
      </c>
      <c r="R87" s="51" t="s">
        <v>49</v>
      </c>
      <c r="S87" s="51" t="s">
        <v>50</v>
      </c>
      <c r="T87" s="51" t="s">
        <v>50</v>
      </c>
      <c r="U87" s="51" t="s">
        <v>50</v>
      </c>
      <c r="V87" s="51" t="s">
        <v>50</v>
      </c>
      <c r="W87" s="51" t="s">
        <v>50</v>
      </c>
      <c r="X87" s="51" t="s">
        <v>50</v>
      </c>
      <c r="Y87" s="52" t="s">
        <v>4784</v>
      </c>
    </row>
    <row r="88" spans="1:25" x14ac:dyDescent="0.25">
      <c r="A88" s="443">
        <v>43451</v>
      </c>
      <c r="B88" s="51" t="s">
        <v>43</v>
      </c>
      <c r="C88" s="51" t="s">
        <v>118</v>
      </c>
      <c r="D88" s="51">
        <v>38.067</v>
      </c>
      <c r="E88" s="51">
        <v>-122.25695</v>
      </c>
      <c r="F88" s="51" t="s">
        <v>4787</v>
      </c>
      <c r="G88" s="51" t="s">
        <v>80</v>
      </c>
      <c r="H88" s="51" t="s">
        <v>120</v>
      </c>
      <c r="I88" s="66">
        <v>0.57291666666666663</v>
      </c>
      <c r="J88" s="428">
        <v>24377.75</v>
      </c>
      <c r="K88" s="428">
        <v>12.45</v>
      </c>
      <c r="L88" s="428" t="s">
        <v>50</v>
      </c>
      <c r="M88" s="428">
        <v>0.375</v>
      </c>
      <c r="N88" s="428">
        <v>8.5</v>
      </c>
      <c r="O88" s="51" t="s">
        <v>48</v>
      </c>
      <c r="P88" s="51">
        <v>4</v>
      </c>
      <c r="Q88" s="51">
        <v>10</v>
      </c>
      <c r="R88" s="51" t="s">
        <v>49</v>
      </c>
      <c r="S88" s="51" t="s">
        <v>50</v>
      </c>
      <c r="T88" s="51" t="s">
        <v>50</v>
      </c>
      <c r="U88" s="51" t="s">
        <v>50</v>
      </c>
      <c r="V88" s="51" t="s">
        <v>50</v>
      </c>
      <c r="W88" s="51" t="s">
        <v>50</v>
      </c>
      <c r="X88" s="51" t="s">
        <v>50</v>
      </c>
      <c r="Y88" s="52" t="s">
        <v>4784</v>
      </c>
    </row>
    <row r="89" spans="1:25" s="450" customFormat="1" x14ac:dyDescent="0.25">
      <c r="A89" s="449">
        <v>43452</v>
      </c>
      <c r="B89" s="450" t="s">
        <v>70</v>
      </c>
      <c r="C89" s="450" t="s">
        <v>88</v>
      </c>
      <c r="D89" s="450">
        <v>38.057879999999997</v>
      </c>
      <c r="E89" s="450">
        <v>-121.79297</v>
      </c>
      <c r="F89" s="450" t="s">
        <v>4788</v>
      </c>
      <c r="G89" s="450" t="s">
        <v>27</v>
      </c>
      <c r="H89" s="450" t="s">
        <v>25</v>
      </c>
      <c r="I89" s="451">
        <v>0.31319444444444444</v>
      </c>
      <c r="J89" s="452">
        <v>1745.5</v>
      </c>
      <c r="K89" s="452">
        <v>10.8</v>
      </c>
      <c r="L89" s="452">
        <v>8.4024999999999999</v>
      </c>
      <c r="M89" s="452">
        <v>1.0024999999999999</v>
      </c>
      <c r="N89" s="452">
        <v>7.85</v>
      </c>
      <c r="O89" s="450" t="s">
        <v>48</v>
      </c>
      <c r="P89" s="450">
        <v>4</v>
      </c>
      <c r="Q89" s="450">
        <v>10</v>
      </c>
      <c r="R89" s="450" t="s">
        <v>64</v>
      </c>
      <c r="S89" s="450" t="s">
        <v>31</v>
      </c>
      <c r="T89" s="450">
        <v>1</v>
      </c>
      <c r="U89" s="450">
        <v>92</v>
      </c>
      <c r="V89" s="450" t="s">
        <v>66</v>
      </c>
      <c r="W89" s="450" t="s">
        <v>50</v>
      </c>
      <c r="X89" s="450" t="s">
        <v>50</v>
      </c>
      <c r="Y89" s="453" t="s">
        <v>4789</v>
      </c>
    </row>
    <row r="90" spans="1:25" x14ac:dyDescent="0.25">
      <c r="A90" s="443">
        <v>43452</v>
      </c>
      <c r="B90" s="51" t="s">
        <v>70</v>
      </c>
      <c r="C90" s="51" t="s">
        <v>88</v>
      </c>
      <c r="D90" s="51">
        <v>38.073239999999998</v>
      </c>
      <c r="E90" s="51">
        <v>-121.77527000000001</v>
      </c>
      <c r="F90" s="51" t="s">
        <v>4790</v>
      </c>
      <c r="G90" s="51" t="s">
        <v>27</v>
      </c>
      <c r="H90" s="51" t="s">
        <v>25</v>
      </c>
      <c r="I90" s="66">
        <v>0.36736111111111108</v>
      </c>
      <c r="J90" s="428">
        <v>1171.25</v>
      </c>
      <c r="K90" s="428">
        <v>10.75</v>
      </c>
      <c r="L90" s="428">
        <v>14.605</v>
      </c>
      <c r="M90" s="428">
        <v>0.76749999999999996</v>
      </c>
      <c r="N90" s="428">
        <v>9.5249999999999986</v>
      </c>
      <c r="O90" s="51" t="s">
        <v>48</v>
      </c>
      <c r="P90" s="51">
        <v>4</v>
      </c>
      <c r="Q90" s="51">
        <v>10</v>
      </c>
      <c r="R90" s="51" t="s">
        <v>64</v>
      </c>
      <c r="S90" s="51" t="s">
        <v>50</v>
      </c>
      <c r="T90" s="51" t="s">
        <v>50</v>
      </c>
      <c r="U90" s="51" t="s">
        <v>50</v>
      </c>
      <c r="V90" s="51" t="s">
        <v>50</v>
      </c>
      <c r="W90" s="51" t="s">
        <v>50</v>
      </c>
      <c r="X90" s="51" t="s">
        <v>50</v>
      </c>
    </row>
    <row r="91" spans="1:25" x14ac:dyDescent="0.25">
      <c r="A91" s="443">
        <v>43452</v>
      </c>
      <c r="B91" s="51" t="s">
        <v>70</v>
      </c>
      <c r="C91" s="51" t="s">
        <v>88</v>
      </c>
      <c r="D91" s="51">
        <v>38.099939999999997</v>
      </c>
      <c r="E91" s="51">
        <v>-121.72132999999999</v>
      </c>
      <c r="F91" s="51" t="s">
        <v>4791</v>
      </c>
      <c r="G91" s="51" t="s">
        <v>90</v>
      </c>
      <c r="H91" s="51" t="s">
        <v>91</v>
      </c>
      <c r="I91" s="66">
        <v>0.41736111111111113</v>
      </c>
      <c r="J91" s="428">
        <v>969</v>
      </c>
      <c r="K91" s="428">
        <v>10.85</v>
      </c>
      <c r="L91" s="428">
        <v>15.475</v>
      </c>
      <c r="M91" s="428">
        <v>0.90500000000000003</v>
      </c>
      <c r="N91" s="428">
        <v>7.55</v>
      </c>
      <c r="O91" s="51" t="s">
        <v>48</v>
      </c>
      <c r="P91" s="51">
        <v>4</v>
      </c>
      <c r="Q91" s="51">
        <v>10</v>
      </c>
      <c r="R91" s="51" t="s">
        <v>64</v>
      </c>
      <c r="S91" s="51" t="s">
        <v>50</v>
      </c>
      <c r="T91" s="51" t="s">
        <v>50</v>
      </c>
      <c r="U91" s="51" t="s">
        <v>50</v>
      </c>
      <c r="V91" s="51" t="s">
        <v>50</v>
      </c>
      <c r="W91" s="51" t="s">
        <v>50</v>
      </c>
      <c r="X91" s="51" t="s">
        <v>50</v>
      </c>
    </row>
    <row r="92" spans="1:25" x14ac:dyDescent="0.25">
      <c r="A92" s="443">
        <v>43452</v>
      </c>
      <c r="B92" s="51" t="s">
        <v>70</v>
      </c>
      <c r="C92" s="51" t="s">
        <v>88</v>
      </c>
      <c r="D92" s="51">
        <v>38.122669999999999</v>
      </c>
      <c r="E92" s="51">
        <v>-121.69766</v>
      </c>
      <c r="F92" s="51" t="s">
        <v>4792</v>
      </c>
      <c r="G92" s="51" t="s">
        <v>90</v>
      </c>
      <c r="H92" s="51" t="s">
        <v>91</v>
      </c>
      <c r="I92" s="66">
        <v>0.46319444444444446</v>
      </c>
      <c r="J92" s="428">
        <v>409.875</v>
      </c>
      <c r="K92" s="428">
        <v>10.774999999999999</v>
      </c>
      <c r="L92" s="428">
        <v>10.925000000000001</v>
      </c>
      <c r="M92" s="428">
        <v>1.3225</v>
      </c>
      <c r="N92" s="428">
        <v>9.4499999999999993</v>
      </c>
      <c r="O92" s="51" t="s">
        <v>48</v>
      </c>
      <c r="P92" s="51">
        <v>4</v>
      </c>
      <c r="Q92" s="51">
        <v>10</v>
      </c>
      <c r="R92" s="51" t="s">
        <v>64</v>
      </c>
      <c r="S92" s="51" t="s">
        <v>50</v>
      </c>
      <c r="T92" s="51" t="s">
        <v>50</v>
      </c>
      <c r="U92" s="51" t="s">
        <v>50</v>
      </c>
      <c r="V92" s="51" t="s">
        <v>50</v>
      </c>
      <c r="W92" s="51" t="s">
        <v>50</v>
      </c>
      <c r="X92" s="51" t="s">
        <v>50</v>
      </c>
    </row>
    <row r="93" spans="1:25" x14ac:dyDescent="0.25">
      <c r="A93" s="443">
        <v>43452</v>
      </c>
      <c r="B93" s="51" t="s">
        <v>70</v>
      </c>
      <c r="C93" s="51" t="s">
        <v>95</v>
      </c>
      <c r="D93" s="51">
        <v>38.043819999999997</v>
      </c>
      <c r="E93" s="51">
        <v>-121.70299</v>
      </c>
      <c r="F93" s="51" t="s">
        <v>4793</v>
      </c>
      <c r="G93" s="51" t="s">
        <v>27</v>
      </c>
      <c r="H93" s="51" t="s">
        <v>863</v>
      </c>
      <c r="I93" s="66">
        <v>0.32500000000000001</v>
      </c>
      <c r="J93" s="428">
        <v>914.5</v>
      </c>
      <c r="K93" s="428">
        <v>10.975</v>
      </c>
      <c r="L93" s="428">
        <v>6.2249999999999996</v>
      </c>
      <c r="M93" s="428">
        <v>1.6625000000000001</v>
      </c>
      <c r="N93" s="428">
        <v>5.05</v>
      </c>
      <c r="O93" s="51" t="s">
        <v>48</v>
      </c>
      <c r="P93" s="51">
        <v>4</v>
      </c>
      <c r="Q93" s="51">
        <v>10</v>
      </c>
      <c r="R93" s="51" t="s">
        <v>64</v>
      </c>
      <c r="S93" s="51" t="s">
        <v>50</v>
      </c>
      <c r="T93" s="51" t="s">
        <v>50</v>
      </c>
      <c r="U93" s="51" t="s">
        <v>50</v>
      </c>
      <c r="V93" s="51" t="s">
        <v>50</v>
      </c>
      <c r="W93" s="51" t="s">
        <v>50</v>
      </c>
      <c r="X93" s="51" t="s">
        <v>50</v>
      </c>
    </row>
    <row r="94" spans="1:25" x14ac:dyDescent="0.25">
      <c r="A94" s="443">
        <v>43452</v>
      </c>
      <c r="B94" s="51" t="s">
        <v>70</v>
      </c>
      <c r="C94" s="51" t="s">
        <v>95</v>
      </c>
      <c r="D94" s="51">
        <v>38.018259999999998</v>
      </c>
      <c r="E94" s="51">
        <v>-121.80055</v>
      </c>
      <c r="F94" s="51" t="s">
        <v>4794</v>
      </c>
      <c r="G94" s="51" t="s">
        <v>27</v>
      </c>
      <c r="H94" s="51" t="s">
        <v>863</v>
      </c>
      <c r="I94" s="66">
        <v>0.38194444444444442</v>
      </c>
      <c r="J94" s="428">
        <v>3972</v>
      </c>
      <c r="K94" s="428">
        <v>11.2</v>
      </c>
      <c r="L94" s="428">
        <v>9.5175000000000001</v>
      </c>
      <c r="M94" s="428">
        <v>1.0574999999999999</v>
      </c>
      <c r="N94" s="428">
        <v>13.45</v>
      </c>
      <c r="O94" s="51" t="s">
        <v>48</v>
      </c>
      <c r="P94" s="51">
        <v>4</v>
      </c>
      <c r="Q94" s="51">
        <v>10</v>
      </c>
      <c r="R94" s="51" t="s">
        <v>64</v>
      </c>
      <c r="S94" s="51" t="s">
        <v>50</v>
      </c>
      <c r="T94" s="51" t="s">
        <v>50</v>
      </c>
      <c r="U94" s="51" t="s">
        <v>50</v>
      </c>
      <c r="V94" s="51" t="s">
        <v>50</v>
      </c>
      <c r="W94" s="51" t="s">
        <v>50</v>
      </c>
      <c r="X94" s="51" t="s">
        <v>50</v>
      </c>
    </row>
    <row r="95" spans="1:25" x14ac:dyDescent="0.25">
      <c r="A95" s="443">
        <v>43452</v>
      </c>
      <c r="B95" s="51" t="s">
        <v>70</v>
      </c>
      <c r="C95" s="51" t="s">
        <v>95</v>
      </c>
      <c r="D95" s="51">
        <v>38.020229999999998</v>
      </c>
      <c r="E95" s="51">
        <v>-121.78231</v>
      </c>
      <c r="F95" s="51" t="s">
        <v>4795</v>
      </c>
      <c r="G95" s="51" t="s">
        <v>27</v>
      </c>
      <c r="H95" s="51" t="s">
        <v>863</v>
      </c>
      <c r="I95" s="66">
        <v>0.43402777777777773</v>
      </c>
      <c r="J95" s="428">
        <v>4561.5</v>
      </c>
      <c r="K95" s="428">
        <v>11.274999999999999</v>
      </c>
      <c r="L95" s="428">
        <v>12.925000000000001</v>
      </c>
      <c r="M95" s="428">
        <v>0.84749999999999992</v>
      </c>
      <c r="N95" s="428">
        <v>3.7</v>
      </c>
      <c r="O95" s="51" t="s">
        <v>48</v>
      </c>
      <c r="P95" s="51">
        <v>4</v>
      </c>
      <c r="Q95" s="51">
        <v>10</v>
      </c>
      <c r="R95" s="51" t="s">
        <v>64</v>
      </c>
      <c r="S95" s="51" t="s">
        <v>50</v>
      </c>
      <c r="T95" s="51" t="s">
        <v>50</v>
      </c>
      <c r="U95" s="51" t="s">
        <v>50</v>
      </c>
      <c r="V95" s="51" t="s">
        <v>50</v>
      </c>
      <c r="W95" s="51" t="s">
        <v>50</v>
      </c>
      <c r="X95" s="51" t="s">
        <v>50</v>
      </c>
    </row>
    <row r="96" spans="1:25" x14ac:dyDescent="0.25">
      <c r="A96" s="443">
        <v>43452</v>
      </c>
      <c r="B96" s="51" t="s">
        <v>70</v>
      </c>
      <c r="C96" s="51" t="s">
        <v>78</v>
      </c>
      <c r="D96" s="51">
        <v>38.061770000000003</v>
      </c>
      <c r="E96" s="51">
        <v>-121.95907</v>
      </c>
      <c r="F96" s="51" t="s">
        <v>4796</v>
      </c>
      <c r="G96" s="51" t="s">
        <v>27</v>
      </c>
      <c r="H96" s="51" t="s">
        <v>170</v>
      </c>
      <c r="I96" s="66">
        <v>0.3743055555555555</v>
      </c>
      <c r="J96" s="428">
        <v>10406.5</v>
      </c>
      <c r="K96" s="428">
        <v>11.5</v>
      </c>
      <c r="L96" s="428">
        <v>13.282499999999999</v>
      </c>
      <c r="M96" s="428">
        <v>0.8</v>
      </c>
      <c r="N96" s="428">
        <v>7.125</v>
      </c>
      <c r="O96" s="51" t="s">
        <v>48</v>
      </c>
      <c r="P96" s="51">
        <v>4</v>
      </c>
      <c r="Q96" s="51">
        <v>10</v>
      </c>
      <c r="R96" s="51" t="s">
        <v>64</v>
      </c>
      <c r="S96" s="51" t="s">
        <v>50</v>
      </c>
      <c r="T96" s="51" t="s">
        <v>50</v>
      </c>
      <c r="U96" s="51" t="s">
        <v>50</v>
      </c>
      <c r="V96" s="51" t="s">
        <v>50</v>
      </c>
      <c r="W96" s="51" t="s">
        <v>50</v>
      </c>
      <c r="X96" s="51" t="s">
        <v>50</v>
      </c>
    </row>
    <row r="97" spans="1:25" x14ac:dyDescent="0.25">
      <c r="A97" s="443">
        <v>43452</v>
      </c>
      <c r="B97" s="51" t="s">
        <v>70</v>
      </c>
      <c r="C97" s="51" t="s">
        <v>78</v>
      </c>
      <c r="D97" s="51">
        <v>38.044780000000003</v>
      </c>
      <c r="E97" s="51">
        <v>-121.91280999999999</v>
      </c>
      <c r="F97" s="51" t="s">
        <v>4797</v>
      </c>
      <c r="G97" s="51" t="s">
        <v>27</v>
      </c>
      <c r="H97" s="51" t="s">
        <v>101</v>
      </c>
      <c r="I97" s="66">
        <v>0.42569444444444443</v>
      </c>
      <c r="J97" s="428">
        <v>9342</v>
      </c>
      <c r="K97" s="428">
        <v>11.575000000000001</v>
      </c>
      <c r="L97" s="428">
        <v>14.65</v>
      </c>
      <c r="M97" s="428">
        <v>0.75249999999999995</v>
      </c>
      <c r="N97" s="428">
        <v>16.225000000000001</v>
      </c>
      <c r="O97" s="51" t="s">
        <v>48</v>
      </c>
      <c r="P97" s="51">
        <v>4</v>
      </c>
      <c r="Q97" s="51">
        <v>10</v>
      </c>
      <c r="R97" s="51" t="s">
        <v>64</v>
      </c>
      <c r="S97" s="51" t="s">
        <v>50</v>
      </c>
      <c r="T97" s="51" t="s">
        <v>50</v>
      </c>
      <c r="U97" s="51" t="s">
        <v>50</v>
      </c>
      <c r="V97" s="51" t="s">
        <v>50</v>
      </c>
      <c r="W97" s="51" t="s">
        <v>50</v>
      </c>
      <c r="X97" s="51" t="s">
        <v>50</v>
      </c>
    </row>
    <row r="98" spans="1:25" x14ac:dyDescent="0.25">
      <c r="A98" s="443">
        <v>43452</v>
      </c>
      <c r="B98" s="51" t="s">
        <v>70</v>
      </c>
      <c r="C98" s="51" t="s">
        <v>78</v>
      </c>
      <c r="D98" s="51">
        <v>38.04645</v>
      </c>
      <c r="E98" s="51">
        <v>-121.89494999999999</v>
      </c>
      <c r="F98" s="51" t="s">
        <v>4798</v>
      </c>
      <c r="G98" s="51" t="s">
        <v>27</v>
      </c>
      <c r="H98" s="51" t="s">
        <v>101</v>
      </c>
      <c r="I98" s="66">
        <v>0.4826388888888889</v>
      </c>
      <c r="J98" s="428">
        <v>10809</v>
      </c>
      <c r="K98" s="428">
        <v>11.7</v>
      </c>
      <c r="L98" s="428">
        <v>20.424999999999997</v>
      </c>
      <c r="M98" s="428">
        <v>0.64749999999999996</v>
      </c>
      <c r="N98" s="428">
        <v>17.899999999999999</v>
      </c>
      <c r="O98" s="51" t="s">
        <v>48</v>
      </c>
      <c r="P98" s="51">
        <v>4</v>
      </c>
      <c r="Q98" s="51">
        <v>10</v>
      </c>
      <c r="R98" s="51" t="s">
        <v>64</v>
      </c>
      <c r="S98" s="51" t="s">
        <v>50</v>
      </c>
      <c r="T98" s="51" t="s">
        <v>50</v>
      </c>
      <c r="U98" s="51" t="s">
        <v>50</v>
      </c>
      <c r="V98" s="51" t="s">
        <v>50</v>
      </c>
      <c r="W98" s="51" t="s">
        <v>50</v>
      </c>
      <c r="X98" s="51" t="s">
        <v>50</v>
      </c>
    </row>
    <row r="99" spans="1:25" x14ac:dyDescent="0.25">
      <c r="A99" s="443">
        <v>43452</v>
      </c>
      <c r="B99" s="51" t="s">
        <v>70</v>
      </c>
      <c r="C99" s="51" t="s">
        <v>78</v>
      </c>
      <c r="D99" s="51">
        <v>38.029290000000003</v>
      </c>
      <c r="E99" s="51">
        <v>-121.84726999999999</v>
      </c>
      <c r="F99" s="51" t="s">
        <v>4799</v>
      </c>
      <c r="G99" s="51" t="s">
        <v>27</v>
      </c>
      <c r="H99" s="51" t="s">
        <v>101</v>
      </c>
      <c r="I99" s="66">
        <v>0.54097222222222219</v>
      </c>
      <c r="J99" s="428">
        <v>26364.25</v>
      </c>
      <c r="K99" s="428">
        <v>11.675000000000001</v>
      </c>
      <c r="L99" s="428">
        <v>12.875</v>
      </c>
      <c r="M99" s="428">
        <v>0.85499999999999998</v>
      </c>
      <c r="N99" s="428">
        <v>12.275</v>
      </c>
      <c r="O99" s="51" t="s">
        <v>48</v>
      </c>
      <c r="P99" s="51">
        <v>4</v>
      </c>
      <c r="Q99" s="51">
        <v>10</v>
      </c>
      <c r="R99" s="51" t="s">
        <v>64</v>
      </c>
      <c r="S99" s="51" t="s">
        <v>50</v>
      </c>
      <c r="T99" s="51" t="s">
        <v>50</v>
      </c>
      <c r="U99" s="51" t="s">
        <v>50</v>
      </c>
      <c r="V99" s="51" t="s">
        <v>50</v>
      </c>
      <c r="W99" s="51" t="s">
        <v>50</v>
      </c>
      <c r="X99" s="51" t="s">
        <v>50</v>
      </c>
    </row>
    <row r="100" spans="1:25" x14ac:dyDescent="0.25">
      <c r="A100" s="443">
        <v>43453</v>
      </c>
      <c r="B100" s="51" t="s">
        <v>87</v>
      </c>
      <c r="C100" s="51" t="s">
        <v>88</v>
      </c>
      <c r="D100" s="51">
        <v>38.148020000000002</v>
      </c>
      <c r="E100" s="51">
        <v>-121.69118</v>
      </c>
      <c r="F100" s="51" t="s">
        <v>4800</v>
      </c>
      <c r="G100" s="51" t="s">
        <v>90</v>
      </c>
      <c r="H100" s="51" t="s">
        <v>91</v>
      </c>
      <c r="I100" s="66">
        <v>0.32222222222222224</v>
      </c>
      <c r="J100" s="428">
        <v>155.25</v>
      </c>
      <c r="K100" s="428">
        <v>10.924999999999999</v>
      </c>
      <c r="L100" s="428">
        <v>5.0725000000000007</v>
      </c>
      <c r="M100" s="428" t="s">
        <v>2547</v>
      </c>
      <c r="N100" s="428">
        <v>12.774999999999999</v>
      </c>
      <c r="O100" s="51" t="s">
        <v>48</v>
      </c>
      <c r="P100" s="51">
        <v>4</v>
      </c>
      <c r="Q100" s="51">
        <v>10</v>
      </c>
      <c r="R100" s="51" t="s">
        <v>49</v>
      </c>
      <c r="S100" s="51" t="s">
        <v>50</v>
      </c>
      <c r="T100" s="51" t="s">
        <v>50</v>
      </c>
      <c r="U100" s="51" t="s">
        <v>50</v>
      </c>
      <c r="V100" s="51" t="s">
        <v>50</v>
      </c>
      <c r="W100" s="51" t="s">
        <v>50</v>
      </c>
      <c r="X100" s="51" t="s">
        <v>50</v>
      </c>
    </row>
    <row r="101" spans="1:25" x14ac:dyDescent="0.25">
      <c r="A101" s="443">
        <v>43453</v>
      </c>
      <c r="B101" s="51" t="s">
        <v>87</v>
      </c>
      <c r="C101" s="51" t="s">
        <v>88</v>
      </c>
      <c r="D101" s="51">
        <v>38.16404</v>
      </c>
      <c r="E101" s="51">
        <v>-121.68192000000001</v>
      </c>
      <c r="F101" s="51" t="s">
        <v>4801</v>
      </c>
      <c r="G101" s="51" t="s">
        <v>90</v>
      </c>
      <c r="H101" s="51" t="s">
        <v>91</v>
      </c>
      <c r="I101" s="66">
        <v>0.37222222222222223</v>
      </c>
      <c r="J101" s="428">
        <v>155.875</v>
      </c>
      <c r="K101" s="428">
        <v>11</v>
      </c>
      <c r="L101" s="428">
        <v>6.1624999999999996</v>
      </c>
      <c r="M101" s="428" t="s">
        <v>2547</v>
      </c>
      <c r="N101" s="428">
        <v>10.625</v>
      </c>
      <c r="O101" s="51" t="s">
        <v>48</v>
      </c>
      <c r="P101" s="51">
        <v>4</v>
      </c>
      <c r="Q101" s="51">
        <v>10</v>
      </c>
      <c r="R101" s="51" t="s">
        <v>64</v>
      </c>
      <c r="S101" s="51" t="s">
        <v>50</v>
      </c>
      <c r="T101" s="51" t="s">
        <v>50</v>
      </c>
      <c r="U101" s="51" t="s">
        <v>50</v>
      </c>
      <c r="V101" s="51" t="s">
        <v>50</v>
      </c>
      <c r="W101" s="51" t="s">
        <v>50</v>
      </c>
      <c r="X101" s="51" t="s">
        <v>50</v>
      </c>
    </row>
    <row r="102" spans="1:25" x14ac:dyDescent="0.25">
      <c r="A102" s="443">
        <v>43453</v>
      </c>
      <c r="B102" s="51" t="s">
        <v>87</v>
      </c>
      <c r="C102" s="51" t="s">
        <v>88</v>
      </c>
      <c r="D102" s="51">
        <v>38.101480000000002</v>
      </c>
      <c r="E102" s="51">
        <v>-121.68537999999999</v>
      </c>
      <c r="F102" s="51" t="s">
        <v>4802</v>
      </c>
      <c r="G102" s="51" t="s">
        <v>90</v>
      </c>
      <c r="H102" s="51" t="s">
        <v>91</v>
      </c>
      <c r="I102" s="66">
        <v>0.43472222222222223</v>
      </c>
      <c r="J102" s="428">
        <v>439.07499999999999</v>
      </c>
      <c r="K102" s="428">
        <v>10.9</v>
      </c>
      <c r="L102" s="428">
        <v>7.410000000000001</v>
      </c>
      <c r="M102" s="428" t="s">
        <v>2547</v>
      </c>
      <c r="N102" s="428">
        <v>7.9899999999999993</v>
      </c>
      <c r="O102" s="51" t="s">
        <v>48</v>
      </c>
      <c r="P102" s="51">
        <v>4</v>
      </c>
      <c r="Q102" s="51">
        <v>10</v>
      </c>
      <c r="R102" s="51" t="s">
        <v>49</v>
      </c>
      <c r="S102" s="51" t="s">
        <v>50</v>
      </c>
      <c r="T102" s="51" t="s">
        <v>50</v>
      </c>
      <c r="U102" s="51" t="s">
        <v>50</v>
      </c>
      <c r="V102" s="51" t="s">
        <v>50</v>
      </c>
      <c r="W102" s="51" t="s">
        <v>50</v>
      </c>
      <c r="X102" s="51" t="s">
        <v>50</v>
      </c>
      <c r="Y102" s="52" t="s">
        <v>4803</v>
      </c>
    </row>
    <row r="103" spans="1:25" x14ac:dyDescent="0.25">
      <c r="A103" s="443">
        <v>43453</v>
      </c>
      <c r="B103" s="51" t="s">
        <v>87</v>
      </c>
      <c r="C103" s="51" t="s">
        <v>78</v>
      </c>
      <c r="D103" s="51">
        <v>38.066389999999998</v>
      </c>
      <c r="E103" s="51">
        <v>-122.03703</v>
      </c>
      <c r="F103" s="51" t="s">
        <v>4804</v>
      </c>
      <c r="G103" s="51" t="s">
        <v>27</v>
      </c>
      <c r="H103" s="51" t="s">
        <v>86</v>
      </c>
      <c r="I103" s="66">
        <v>0.3444444444444445</v>
      </c>
      <c r="J103" s="428">
        <v>12672.25</v>
      </c>
      <c r="K103" s="428">
        <v>11.525</v>
      </c>
      <c r="L103" s="428">
        <v>8.2349999999999994</v>
      </c>
      <c r="M103" s="428">
        <v>1.1299999999999999</v>
      </c>
      <c r="N103" s="428">
        <v>5.85</v>
      </c>
      <c r="O103" s="51" t="s">
        <v>48</v>
      </c>
      <c r="P103" s="51">
        <v>4</v>
      </c>
      <c r="Q103" s="51">
        <v>10</v>
      </c>
      <c r="R103" s="51" t="s">
        <v>64</v>
      </c>
      <c r="S103" s="51" t="s">
        <v>50</v>
      </c>
      <c r="T103" s="51" t="s">
        <v>50</v>
      </c>
      <c r="U103" s="51" t="s">
        <v>50</v>
      </c>
      <c r="V103" s="51" t="s">
        <v>50</v>
      </c>
      <c r="W103" s="51" t="s">
        <v>50</v>
      </c>
      <c r="X103" s="51" t="s">
        <v>50</v>
      </c>
    </row>
    <row r="104" spans="1:25" x14ac:dyDescent="0.25">
      <c r="A104" s="443">
        <v>43453</v>
      </c>
      <c r="B104" s="51" t="s">
        <v>87</v>
      </c>
      <c r="C104" s="51" t="s">
        <v>78</v>
      </c>
      <c r="D104" s="51">
        <v>38.055169999999997</v>
      </c>
      <c r="E104" s="51">
        <v>-122.11994</v>
      </c>
      <c r="F104" s="51" t="s">
        <v>4805</v>
      </c>
      <c r="G104" s="51" t="s">
        <v>80</v>
      </c>
      <c r="H104" s="51" t="s">
        <v>81</v>
      </c>
      <c r="I104" s="66">
        <v>0.39999999999999997</v>
      </c>
      <c r="J104" s="428">
        <v>20163.25</v>
      </c>
      <c r="K104" s="428">
        <v>12.125</v>
      </c>
      <c r="L104" s="428">
        <v>22.9</v>
      </c>
      <c r="M104" s="428">
        <v>0.65750000000000008</v>
      </c>
      <c r="N104" s="428">
        <v>8.3000000000000007</v>
      </c>
      <c r="O104" s="51" t="s">
        <v>48</v>
      </c>
      <c r="P104" s="51">
        <v>4</v>
      </c>
      <c r="Q104" s="51">
        <v>10</v>
      </c>
      <c r="R104" s="51" t="s">
        <v>64</v>
      </c>
      <c r="S104" s="51" t="s">
        <v>50</v>
      </c>
      <c r="T104" s="51" t="s">
        <v>50</v>
      </c>
      <c r="U104" s="51" t="s">
        <v>50</v>
      </c>
      <c r="V104" s="51" t="s">
        <v>50</v>
      </c>
      <c r="W104" s="51" t="s">
        <v>50</v>
      </c>
      <c r="X104" s="51" t="s">
        <v>50</v>
      </c>
    </row>
    <row r="105" spans="1:25" x14ac:dyDescent="0.25">
      <c r="A105" s="443">
        <v>43453</v>
      </c>
      <c r="B105" s="51" t="s">
        <v>87</v>
      </c>
      <c r="C105" s="51" t="s">
        <v>78</v>
      </c>
      <c r="D105" s="51">
        <v>38.062800000000003</v>
      </c>
      <c r="E105" s="51">
        <v>-122.09501</v>
      </c>
      <c r="F105" s="51" t="s">
        <v>4806</v>
      </c>
      <c r="G105" s="51" t="s">
        <v>80</v>
      </c>
      <c r="H105" s="51" t="s">
        <v>81</v>
      </c>
      <c r="I105" s="66">
        <v>0.44861111111111113</v>
      </c>
      <c r="J105" s="428">
        <v>21082.75</v>
      </c>
      <c r="K105" s="428">
        <v>12.174999999999999</v>
      </c>
      <c r="L105" s="428">
        <v>22.175000000000001</v>
      </c>
      <c r="M105" s="428">
        <v>0.64249999999999996</v>
      </c>
      <c r="N105" s="428">
        <v>6.2750000000000004</v>
      </c>
      <c r="O105" s="51" t="s">
        <v>48</v>
      </c>
      <c r="P105" s="51">
        <v>4</v>
      </c>
      <c r="Q105" s="51">
        <v>10</v>
      </c>
      <c r="R105" s="51" t="s">
        <v>64</v>
      </c>
      <c r="S105" s="51" t="s">
        <v>50</v>
      </c>
      <c r="T105" s="51" t="s">
        <v>50</v>
      </c>
      <c r="U105" s="51" t="s">
        <v>50</v>
      </c>
      <c r="V105" s="51" t="s">
        <v>50</v>
      </c>
      <c r="W105" s="51" t="s">
        <v>50</v>
      </c>
      <c r="X105" s="51" t="s">
        <v>50</v>
      </c>
      <c r="Y105" s="52" t="s">
        <v>4807</v>
      </c>
    </row>
    <row r="106" spans="1:25" s="54" customFormat="1" x14ac:dyDescent="0.25">
      <c r="A106" s="457">
        <v>43453</v>
      </c>
      <c r="B106" s="54" t="s">
        <v>87</v>
      </c>
      <c r="C106" s="54" t="s">
        <v>44</v>
      </c>
      <c r="D106" s="54">
        <v>38.018070000000002</v>
      </c>
      <c r="E106" s="54">
        <v>-121.60758</v>
      </c>
      <c r="F106" s="54" t="s">
        <v>4808</v>
      </c>
      <c r="G106" s="54" t="s">
        <v>46</v>
      </c>
      <c r="H106" s="54" t="s">
        <v>47</v>
      </c>
      <c r="I106" s="55">
        <v>0.33333333333333331</v>
      </c>
      <c r="J106" s="456">
        <v>685.5</v>
      </c>
      <c r="K106" s="456">
        <v>11</v>
      </c>
      <c r="L106" s="456">
        <v>3.12</v>
      </c>
      <c r="M106" s="456">
        <v>1.7325000000000002</v>
      </c>
      <c r="N106" s="456">
        <v>3.75</v>
      </c>
      <c r="O106" s="54" t="s">
        <v>48</v>
      </c>
      <c r="P106" s="54">
        <v>4</v>
      </c>
      <c r="Q106" s="54">
        <v>10</v>
      </c>
      <c r="R106" s="54" t="s">
        <v>49</v>
      </c>
      <c r="S106" s="54" t="s">
        <v>50</v>
      </c>
      <c r="T106" s="54" t="s">
        <v>50</v>
      </c>
      <c r="U106" s="54" t="s">
        <v>50</v>
      </c>
      <c r="V106" s="54" t="s">
        <v>50</v>
      </c>
      <c r="W106" s="54" t="s">
        <v>50</v>
      </c>
      <c r="X106" s="54" t="s">
        <v>50</v>
      </c>
      <c r="Y106" s="67" t="s">
        <v>4809</v>
      </c>
    </row>
    <row r="107" spans="1:25" x14ac:dyDescent="0.25">
      <c r="A107" s="457">
        <v>43453</v>
      </c>
      <c r="B107" s="54" t="s">
        <v>87</v>
      </c>
      <c r="C107" s="54" t="s">
        <v>44</v>
      </c>
      <c r="D107" s="51">
        <v>37.998289999999997</v>
      </c>
      <c r="E107" s="51">
        <v>-121.52449</v>
      </c>
      <c r="F107" s="51" t="s">
        <v>4810</v>
      </c>
      <c r="G107" s="51" t="s">
        <v>46</v>
      </c>
      <c r="H107" s="51" t="s">
        <v>59</v>
      </c>
      <c r="I107" s="66">
        <v>0.4055555555555555</v>
      </c>
      <c r="J107" s="428">
        <v>354.95000000000005</v>
      </c>
      <c r="K107" s="428">
        <v>11.2</v>
      </c>
      <c r="L107" s="428">
        <v>5.6050000000000004</v>
      </c>
      <c r="M107" s="428">
        <v>1.7749999999999999</v>
      </c>
      <c r="N107" s="428">
        <v>7.2750000000000004</v>
      </c>
      <c r="O107" s="51" t="s">
        <v>48</v>
      </c>
      <c r="P107" s="51">
        <v>4</v>
      </c>
      <c r="Q107" s="51">
        <v>10</v>
      </c>
      <c r="R107" s="51" t="s">
        <v>49</v>
      </c>
      <c r="S107" s="54" t="s">
        <v>50</v>
      </c>
      <c r="T107" s="54" t="s">
        <v>50</v>
      </c>
      <c r="U107" s="54" t="s">
        <v>50</v>
      </c>
      <c r="V107" s="54" t="s">
        <v>50</v>
      </c>
      <c r="W107" s="54" t="s">
        <v>50</v>
      </c>
      <c r="X107" s="54" t="s">
        <v>50</v>
      </c>
    </row>
    <row r="108" spans="1:25" x14ac:dyDescent="0.25">
      <c r="A108" s="457">
        <v>43453</v>
      </c>
      <c r="B108" s="54" t="s">
        <v>87</v>
      </c>
      <c r="C108" s="54" t="s">
        <v>44</v>
      </c>
      <c r="D108" s="51">
        <v>37.990090000000002</v>
      </c>
      <c r="E108" s="51">
        <v>-121.52555</v>
      </c>
      <c r="F108" s="51" t="s">
        <v>4811</v>
      </c>
      <c r="G108" s="51" t="s">
        <v>46</v>
      </c>
      <c r="H108" s="51" t="s">
        <v>59</v>
      </c>
      <c r="I108" s="66">
        <v>0.49305555555555558</v>
      </c>
      <c r="J108" s="428">
        <v>319.07499999999999</v>
      </c>
      <c r="K108" s="428">
        <v>11.225000000000001</v>
      </c>
      <c r="L108" s="428">
        <v>3.4125000000000001</v>
      </c>
      <c r="M108" s="428" t="s">
        <v>2547</v>
      </c>
      <c r="N108" s="428">
        <v>4.0999999999999996</v>
      </c>
      <c r="O108" s="51" t="s">
        <v>48</v>
      </c>
      <c r="P108" s="51">
        <v>4</v>
      </c>
      <c r="Q108" s="51">
        <v>10</v>
      </c>
      <c r="R108" s="51" t="s">
        <v>64</v>
      </c>
      <c r="S108" s="54" t="s">
        <v>50</v>
      </c>
      <c r="T108" s="54" t="s">
        <v>50</v>
      </c>
      <c r="U108" s="54" t="s">
        <v>50</v>
      </c>
      <c r="V108" s="54" t="s">
        <v>50</v>
      </c>
      <c r="W108" s="54" t="s">
        <v>50</v>
      </c>
      <c r="X108" s="54" t="s">
        <v>50</v>
      </c>
      <c r="Y108" s="52" t="s">
        <v>4812</v>
      </c>
    </row>
    <row r="109" spans="1:25" x14ac:dyDescent="0.25">
      <c r="A109" s="457">
        <v>43454</v>
      </c>
      <c r="B109" s="54" t="s">
        <v>105</v>
      </c>
      <c r="C109" s="51" t="s">
        <v>845</v>
      </c>
      <c r="D109" s="51">
        <v>38.2883</v>
      </c>
      <c r="E109" s="51">
        <v>-121.69302</v>
      </c>
      <c r="F109" s="51" t="s">
        <v>4813</v>
      </c>
      <c r="G109" s="51" t="s">
        <v>90</v>
      </c>
      <c r="H109" s="51" t="s">
        <v>126</v>
      </c>
      <c r="I109" s="66">
        <v>0.32013888888888892</v>
      </c>
      <c r="J109" s="428">
        <v>201.02499999999998</v>
      </c>
      <c r="K109" s="428">
        <v>10.8</v>
      </c>
      <c r="L109" s="428">
        <v>3.7800000000000002</v>
      </c>
      <c r="M109" s="428" t="s">
        <v>2547</v>
      </c>
      <c r="N109" s="428">
        <v>6.875</v>
      </c>
      <c r="O109" s="51" t="s">
        <v>48</v>
      </c>
      <c r="P109" s="51">
        <v>4</v>
      </c>
      <c r="Q109" s="51">
        <v>10</v>
      </c>
      <c r="R109" s="51" t="s">
        <v>64</v>
      </c>
      <c r="S109" s="54" t="s">
        <v>50</v>
      </c>
      <c r="T109" s="54" t="s">
        <v>50</v>
      </c>
      <c r="U109" s="54" t="s">
        <v>50</v>
      </c>
      <c r="V109" s="54" t="s">
        <v>50</v>
      </c>
      <c r="W109" s="54" t="s">
        <v>50</v>
      </c>
      <c r="X109" s="54" t="s">
        <v>50</v>
      </c>
    </row>
    <row r="110" spans="1:25" x14ac:dyDescent="0.25">
      <c r="A110" s="457">
        <v>43454</v>
      </c>
      <c r="B110" s="54" t="s">
        <v>105</v>
      </c>
      <c r="C110" s="51" t="s">
        <v>845</v>
      </c>
      <c r="D110" s="51">
        <v>38.262999999999998</v>
      </c>
      <c r="E110" s="51">
        <v>-121.69753</v>
      </c>
      <c r="F110" s="51" t="s">
        <v>4814</v>
      </c>
      <c r="G110" s="51" t="s">
        <v>90</v>
      </c>
      <c r="H110" s="51" t="s">
        <v>126</v>
      </c>
      <c r="I110" s="66">
        <v>0.375</v>
      </c>
      <c r="J110" s="428">
        <v>208.125</v>
      </c>
      <c r="K110" s="428">
        <v>11.175000000000001</v>
      </c>
      <c r="L110" s="428">
        <v>4.0549999999999997</v>
      </c>
      <c r="M110" s="428" t="s">
        <v>2547</v>
      </c>
      <c r="N110" s="428">
        <v>3.45</v>
      </c>
      <c r="O110" s="51" t="s">
        <v>48</v>
      </c>
      <c r="P110" s="51">
        <v>4</v>
      </c>
      <c r="Q110" s="51">
        <v>10</v>
      </c>
      <c r="R110" s="51" t="s">
        <v>64</v>
      </c>
      <c r="S110" s="54" t="s">
        <v>50</v>
      </c>
      <c r="T110" s="54" t="s">
        <v>50</v>
      </c>
      <c r="U110" s="54" t="s">
        <v>50</v>
      </c>
      <c r="V110" s="54" t="s">
        <v>50</v>
      </c>
      <c r="W110" s="54" t="s">
        <v>50</v>
      </c>
      <c r="X110" s="54" t="s">
        <v>50</v>
      </c>
    </row>
    <row r="111" spans="1:25" x14ac:dyDescent="0.25">
      <c r="A111" s="457">
        <v>43454</v>
      </c>
      <c r="B111" s="54" t="s">
        <v>105</v>
      </c>
      <c r="C111" s="51" t="s">
        <v>845</v>
      </c>
      <c r="D111" s="51">
        <v>38.262549999999997</v>
      </c>
      <c r="E111" s="51">
        <v>-121.6703</v>
      </c>
      <c r="F111" s="51" t="s">
        <v>4815</v>
      </c>
      <c r="G111" s="51" t="s">
        <v>90</v>
      </c>
      <c r="H111" s="51" t="s">
        <v>126</v>
      </c>
      <c r="I111" s="66">
        <v>0.42708333333333331</v>
      </c>
      <c r="J111" s="428">
        <v>185.02499999999998</v>
      </c>
      <c r="K111" s="428">
        <v>11.1</v>
      </c>
      <c r="L111" s="428">
        <v>6.13</v>
      </c>
      <c r="M111" s="428" t="s">
        <v>2547</v>
      </c>
      <c r="N111" s="428">
        <v>8</v>
      </c>
      <c r="O111" s="51" t="s">
        <v>48</v>
      </c>
      <c r="P111" s="51">
        <v>4</v>
      </c>
      <c r="Q111" s="51">
        <v>10</v>
      </c>
      <c r="R111" s="51" t="s">
        <v>64</v>
      </c>
      <c r="S111" s="54" t="s">
        <v>50</v>
      </c>
      <c r="T111" s="54" t="s">
        <v>50</v>
      </c>
      <c r="U111" s="54" t="s">
        <v>50</v>
      </c>
      <c r="V111" s="54" t="s">
        <v>50</v>
      </c>
      <c r="W111" s="54" t="s">
        <v>50</v>
      </c>
      <c r="X111" s="54" t="s">
        <v>50</v>
      </c>
    </row>
    <row r="112" spans="1:25" s="424" customFormat="1" x14ac:dyDescent="0.25">
      <c r="A112" s="458">
        <v>43454</v>
      </c>
      <c r="B112" s="459" t="s">
        <v>105</v>
      </c>
      <c r="C112" s="424" t="s">
        <v>845</v>
      </c>
      <c r="D112" s="424">
        <v>38.243279999999999</v>
      </c>
      <c r="E112" s="424">
        <v>-121.6857</v>
      </c>
      <c r="F112" s="424" t="s">
        <v>4816</v>
      </c>
      <c r="G112" s="424" t="s">
        <v>90</v>
      </c>
      <c r="H112" s="424" t="s">
        <v>126</v>
      </c>
      <c r="I112" s="425">
        <v>0.30902777777777779</v>
      </c>
      <c r="J112" s="427" t="s">
        <v>50</v>
      </c>
      <c r="K112" s="427" t="s">
        <v>50</v>
      </c>
      <c r="L112" s="427" t="s">
        <v>50</v>
      </c>
      <c r="M112" s="427" t="s">
        <v>50</v>
      </c>
      <c r="N112" s="427" t="s">
        <v>50</v>
      </c>
      <c r="O112" s="424" t="s">
        <v>48</v>
      </c>
      <c r="P112" s="424">
        <v>0</v>
      </c>
      <c r="Q112" s="424" t="s">
        <v>50</v>
      </c>
      <c r="R112" s="424" t="s">
        <v>50</v>
      </c>
      <c r="S112" s="424" t="s">
        <v>50</v>
      </c>
      <c r="T112" s="424" t="s">
        <v>50</v>
      </c>
      <c r="U112" s="424" t="s">
        <v>50</v>
      </c>
      <c r="V112" s="424" t="s">
        <v>50</v>
      </c>
      <c r="W112" s="424" t="s">
        <v>50</v>
      </c>
      <c r="X112" s="424" t="s">
        <v>50</v>
      </c>
      <c r="Y112" s="426" t="s">
        <v>4817</v>
      </c>
    </row>
    <row r="113" spans="1:25" x14ac:dyDescent="0.25">
      <c r="A113" s="457">
        <v>43454</v>
      </c>
      <c r="B113" s="54" t="s">
        <v>105</v>
      </c>
      <c r="C113" s="51" t="s">
        <v>44</v>
      </c>
      <c r="D113" s="51">
        <v>37.871960000000001</v>
      </c>
      <c r="E113" s="51">
        <v>-121.52816</v>
      </c>
      <c r="F113" s="51" t="s">
        <v>4818</v>
      </c>
      <c r="G113" s="51" t="s">
        <v>46</v>
      </c>
      <c r="H113" s="51" t="s">
        <v>202</v>
      </c>
      <c r="I113" s="66">
        <v>0.3430555555555555</v>
      </c>
      <c r="J113" s="428">
        <v>324.64999999999998</v>
      </c>
      <c r="K113" s="428">
        <v>11.3</v>
      </c>
      <c r="L113" s="428">
        <v>3.3325</v>
      </c>
      <c r="M113" s="428" t="s">
        <v>2547</v>
      </c>
      <c r="N113" s="428">
        <v>4.6999999999999993</v>
      </c>
      <c r="O113" s="51" t="s">
        <v>48</v>
      </c>
      <c r="P113" s="51">
        <v>4</v>
      </c>
      <c r="Q113" s="51">
        <v>10</v>
      </c>
      <c r="R113" s="51" t="s">
        <v>49</v>
      </c>
      <c r="S113" s="54" t="s">
        <v>50</v>
      </c>
      <c r="T113" s="54" t="s">
        <v>50</v>
      </c>
      <c r="U113" s="54" t="s">
        <v>50</v>
      </c>
      <c r="V113" s="54" t="s">
        <v>50</v>
      </c>
      <c r="W113" s="54" t="s">
        <v>50</v>
      </c>
      <c r="X113" s="54" t="s">
        <v>50</v>
      </c>
      <c r="Y113" s="52" t="s">
        <v>3878</v>
      </c>
    </row>
    <row r="114" spans="1:25" x14ac:dyDescent="0.25">
      <c r="A114" s="457">
        <v>43454</v>
      </c>
      <c r="B114" s="54" t="s">
        <v>105</v>
      </c>
      <c r="C114" s="51" t="s">
        <v>44</v>
      </c>
      <c r="D114" s="51">
        <v>37.926499999999997</v>
      </c>
      <c r="E114" s="51">
        <v>-121.55889000000001</v>
      </c>
      <c r="F114" s="51" t="s">
        <v>4819</v>
      </c>
      <c r="G114" s="51" t="s">
        <v>46</v>
      </c>
      <c r="H114" s="51" t="s">
        <v>199</v>
      </c>
      <c r="I114" s="66">
        <v>0.40833333333333338</v>
      </c>
      <c r="J114" s="428">
        <v>496.75</v>
      </c>
      <c r="K114" s="428">
        <v>11.1</v>
      </c>
      <c r="L114" s="428">
        <v>2.3149999999999999</v>
      </c>
      <c r="M114" s="428" t="s">
        <v>2547</v>
      </c>
      <c r="N114" s="428">
        <v>7.35</v>
      </c>
      <c r="O114" s="51" t="s">
        <v>48</v>
      </c>
      <c r="P114" s="51">
        <v>4</v>
      </c>
      <c r="Q114" s="51">
        <v>10</v>
      </c>
      <c r="R114" s="51" t="s">
        <v>64</v>
      </c>
      <c r="S114" s="54" t="s">
        <v>50</v>
      </c>
      <c r="T114" s="54" t="s">
        <v>50</v>
      </c>
      <c r="U114" s="54" t="s">
        <v>50</v>
      </c>
      <c r="V114" s="54" t="s">
        <v>50</v>
      </c>
      <c r="W114" s="54" t="s">
        <v>50</v>
      </c>
      <c r="X114" s="54" t="s">
        <v>50</v>
      </c>
    </row>
    <row r="115" spans="1:25" x14ac:dyDescent="0.25">
      <c r="A115" s="457">
        <v>43454</v>
      </c>
      <c r="B115" s="54" t="s">
        <v>105</v>
      </c>
      <c r="C115" s="51" t="s">
        <v>44</v>
      </c>
      <c r="D115" s="51">
        <v>38.022750000000002</v>
      </c>
      <c r="E115" s="51">
        <v>-121.5162</v>
      </c>
      <c r="F115" s="51" t="s">
        <v>4820</v>
      </c>
      <c r="G115" s="51" t="s">
        <v>46</v>
      </c>
      <c r="H115" s="51" t="s">
        <v>56</v>
      </c>
      <c r="I115" s="66">
        <v>0.47083333333333338</v>
      </c>
      <c r="J115" s="428">
        <v>345.4</v>
      </c>
      <c r="K115" s="428">
        <v>11.2</v>
      </c>
      <c r="L115" s="428">
        <v>6.5025000000000004</v>
      </c>
      <c r="M115" s="428">
        <v>1.69</v>
      </c>
      <c r="N115" s="428">
        <v>8.8000000000000007</v>
      </c>
      <c r="O115" s="51" t="s">
        <v>48</v>
      </c>
      <c r="P115" s="51">
        <v>4</v>
      </c>
      <c r="Q115" s="51">
        <v>10</v>
      </c>
      <c r="R115" s="51" t="s">
        <v>64</v>
      </c>
      <c r="S115" s="54" t="s">
        <v>50</v>
      </c>
      <c r="T115" s="54" t="s">
        <v>50</v>
      </c>
      <c r="U115" s="54" t="s">
        <v>50</v>
      </c>
      <c r="V115" s="54" t="s">
        <v>50</v>
      </c>
      <c r="W115" s="54" t="s">
        <v>50</v>
      </c>
      <c r="X115" s="54" t="s">
        <v>50</v>
      </c>
    </row>
    <row r="116" spans="1:25" x14ac:dyDescent="0.25">
      <c r="A116" s="457">
        <v>43454</v>
      </c>
      <c r="B116" s="54" t="s">
        <v>105</v>
      </c>
      <c r="C116" s="51" t="s">
        <v>62</v>
      </c>
      <c r="D116" s="51">
        <v>38.118200000000002</v>
      </c>
      <c r="E116" s="51">
        <v>-121.88893</v>
      </c>
      <c r="F116" s="51" t="s">
        <v>4821</v>
      </c>
      <c r="G116" s="51" t="s">
        <v>27</v>
      </c>
      <c r="H116" s="51" t="s">
        <v>62</v>
      </c>
      <c r="I116" s="66">
        <v>0.35000000000000003</v>
      </c>
      <c r="J116" s="428">
        <v>4507</v>
      </c>
      <c r="K116" s="428">
        <v>11.1</v>
      </c>
      <c r="L116" s="428">
        <v>18.400000000000002</v>
      </c>
      <c r="M116" s="428">
        <v>0.63749999999999996</v>
      </c>
      <c r="N116" s="428">
        <v>5.5250000000000004</v>
      </c>
      <c r="O116" s="51" t="s">
        <v>48</v>
      </c>
      <c r="P116" s="51">
        <v>4</v>
      </c>
      <c r="Q116" s="51">
        <v>10</v>
      </c>
      <c r="R116" s="51" t="s">
        <v>64</v>
      </c>
      <c r="S116" s="51" t="s">
        <v>50</v>
      </c>
      <c r="T116" s="51" t="s">
        <v>50</v>
      </c>
      <c r="U116" s="51" t="s">
        <v>50</v>
      </c>
      <c r="V116" s="51" t="s">
        <v>50</v>
      </c>
      <c r="W116" s="51" t="s">
        <v>50</v>
      </c>
      <c r="X116" s="51" t="s">
        <v>50</v>
      </c>
    </row>
    <row r="117" spans="1:25" s="431" customFormat="1" x14ac:dyDescent="0.25">
      <c r="A117" s="447">
        <v>43454</v>
      </c>
      <c r="B117" s="431" t="s">
        <v>105</v>
      </c>
      <c r="C117" s="431" t="s">
        <v>62</v>
      </c>
      <c r="D117" s="431">
        <v>38.18723</v>
      </c>
      <c r="E117" s="431">
        <v>-121.97451</v>
      </c>
      <c r="F117" s="431" t="s">
        <v>4822</v>
      </c>
      <c r="G117" s="431" t="s">
        <v>27</v>
      </c>
      <c r="H117" s="431" t="s">
        <v>62</v>
      </c>
      <c r="I117" s="432">
        <v>0.41666666666666669</v>
      </c>
      <c r="J117" s="433">
        <v>6469.25</v>
      </c>
      <c r="K117" s="433">
        <v>11.5</v>
      </c>
      <c r="L117" s="433">
        <v>39.25</v>
      </c>
      <c r="M117" s="433">
        <v>0.37749999999999995</v>
      </c>
      <c r="N117" s="433">
        <v>8.25</v>
      </c>
      <c r="O117" s="431" t="s">
        <v>48</v>
      </c>
      <c r="P117" s="431">
        <v>4</v>
      </c>
      <c r="Q117" s="431">
        <v>10</v>
      </c>
      <c r="R117" s="431" t="s">
        <v>64</v>
      </c>
      <c r="S117" s="431" t="s">
        <v>323</v>
      </c>
      <c r="T117" s="431">
        <v>1</v>
      </c>
      <c r="U117" s="431">
        <v>70</v>
      </c>
      <c r="V117" s="431" t="s">
        <v>66</v>
      </c>
      <c r="W117" s="431" t="s">
        <v>50</v>
      </c>
      <c r="X117" s="431" t="s">
        <v>50</v>
      </c>
      <c r="Y117" s="448" t="s">
        <v>4823</v>
      </c>
    </row>
    <row r="118" spans="1:25" s="450" customFormat="1" x14ac:dyDescent="0.25">
      <c r="A118" s="449">
        <v>43454</v>
      </c>
      <c r="B118" s="450" t="s">
        <v>105</v>
      </c>
      <c r="C118" s="450" t="s">
        <v>62</v>
      </c>
      <c r="D118" s="450">
        <v>38.18723</v>
      </c>
      <c r="E118" s="450">
        <v>-121.97451</v>
      </c>
      <c r="F118" s="450" t="s">
        <v>4822</v>
      </c>
      <c r="G118" s="450" t="s">
        <v>27</v>
      </c>
      <c r="H118" s="450" t="s">
        <v>62</v>
      </c>
      <c r="I118" s="451">
        <v>0.41666666666666669</v>
      </c>
      <c r="J118" s="452"/>
      <c r="K118" s="452"/>
      <c r="L118" s="452"/>
      <c r="M118" s="452"/>
      <c r="N118" s="452"/>
      <c r="S118" s="450" t="s">
        <v>31</v>
      </c>
      <c r="T118" s="450">
        <v>20</v>
      </c>
      <c r="U118" s="450" t="s">
        <v>4824</v>
      </c>
      <c r="V118" s="450" t="s">
        <v>66</v>
      </c>
      <c r="W118" s="450" t="s">
        <v>50</v>
      </c>
      <c r="X118" s="450" t="s">
        <v>50</v>
      </c>
      <c r="Y118" s="453" t="s">
        <v>4825</v>
      </c>
    </row>
    <row r="119" spans="1:25" s="470" customFormat="1" x14ac:dyDescent="0.25">
      <c r="A119" s="469">
        <v>43454</v>
      </c>
      <c r="B119" s="470" t="s">
        <v>105</v>
      </c>
      <c r="C119" s="470" t="s">
        <v>62</v>
      </c>
      <c r="D119" s="470">
        <v>38.111730000000001</v>
      </c>
      <c r="E119" s="470">
        <v>-122.05761</v>
      </c>
      <c r="F119" s="470" t="s">
        <v>4826</v>
      </c>
      <c r="G119" s="470" t="s">
        <v>27</v>
      </c>
      <c r="H119" s="470" t="s">
        <v>173</v>
      </c>
      <c r="I119" s="471">
        <v>0.4909722222222222</v>
      </c>
      <c r="J119" s="472">
        <v>15392</v>
      </c>
      <c r="K119" s="472">
        <v>11.85</v>
      </c>
      <c r="L119" s="472">
        <v>30.650000000000002</v>
      </c>
      <c r="M119" s="472">
        <v>0.47750000000000004</v>
      </c>
      <c r="N119" s="472">
        <v>3.6500000000000004</v>
      </c>
      <c r="O119" s="470" t="s">
        <v>48</v>
      </c>
      <c r="P119" s="470">
        <v>4</v>
      </c>
      <c r="Q119" s="470">
        <v>10</v>
      </c>
      <c r="R119" s="470" t="s">
        <v>64</v>
      </c>
      <c r="S119" s="470" t="s">
        <v>31</v>
      </c>
      <c r="T119" s="470">
        <v>4</v>
      </c>
      <c r="U119" s="470" t="s">
        <v>4827</v>
      </c>
      <c r="V119" s="470" t="s">
        <v>66</v>
      </c>
      <c r="W119" s="470" t="s">
        <v>50</v>
      </c>
      <c r="X119" s="470" t="s">
        <v>50</v>
      </c>
      <c r="Y119" s="473" t="s">
        <v>4828</v>
      </c>
    </row>
    <row r="120" spans="1:25" x14ac:dyDescent="0.25">
      <c r="A120" s="443">
        <v>43460</v>
      </c>
      <c r="B120" s="51" t="s">
        <v>87</v>
      </c>
      <c r="C120" s="51" t="s">
        <v>78</v>
      </c>
      <c r="D120" s="51">
        <v>38.063659999999999</v>
      </c>
      <c r="E120" s="51">
        <v>-122.02077</v>
      </c>
      <c r="F120" s="51" t="s">
        <v>4829</v>
      </c>
      <c r="G120" s="51" t="s">
        <v>27</v>
      </c>
      <c r="H120" s="51" t="s">
        <v>86</v>
      </c>
      <c r="I120" s="66">
        <v>0.34513888888888888</v>
      </c>
      <c r="J120" s="428">
        <v>11037.75</v>
      </c>
      <c r="K120" s="428">
        <v>10.875</v>
      </c>
      <c r="L120" s="428" t="s">
        <v>50</v>
      </c>
      <c r="M120" s="428">
        <v>0.54500000000000004</v>
      </c>
      <c r="N120" s="428">
        <v>7.8250000000000002</v>
      </c>
      <c r="O120" s="51" t="s">
        <v>48</v>
      </c>
      <c r="P120" s="51">
        <v>4</v>
      </c>
      <c r="Q120" s="51">
        <v>10</v>
      </c>
      <c r="R120" s="51" t="s">
        <v>49</v>
      </c>
      <c r="S120" s="51" t="s">
        <v>50</v>
      </c>
      <c r="T120" s="51" t="s">
        <v>50</v>
      </c>
      <c r="U120" s="51" t="s">
        <v>50</v>
      </c>
      <c r="V120" s="51" t="s">
        <v>50</v>
      </c>
      <c r="W120" s="51" t="s">
        <v>50</v>
      </c>
      <c r="X120" s="51" t="s">
        <v>50</v>
      </c>
    </row>
    <row r="121" spans="1:25" s="450" customFormat="1" x14ac:dyDescent="0.25">
      <c r="A121" s="449">
        <v>43460</v>
      </c>
      <c r="B121" s="450" t="s">
        <v>87</v>
      </c>
      <c r="C121" s="450" t="s">
        <v>78</v>
      </c>
      <c r="D121" s="450">
        <v>38.068959999999997</v>
      </c>
      <c r="E121" s="450">
        <v>-121.96366999999999</v>
      </c>
      <c r="F121" s="450" t="s">
        <v>4830</v>
      </c>
      <c r="G121" s="450" t="s">
        <v>27</v>
      </c>
      <c r="H121" s="450" t="s">
        <v>170</v>
      </c>
      <c r="I121" s="451">
        <v>0.3979166666666667</v>
      </c>
      <c r="J121" s="452">
        <v>9285.25</v>
      </c>
      <c r="K121" s="452">
        <v>10.975</v>
      </c>
      <c r="L121" s="452" t="s">
        <v>50</v>
      </c>
      <c r="M121" s="452">
        <v>0.42499999999999999</v>
      </c>
      <c r="N121" s="452">
        <v>3.4</v>
      </c>
      <c r="O121" s="450" t="s">
        <v>48</v>
      </c>
      <c r="P121" s="450">
        <v>4</v>
      </c>
      <c r="Q121" s="450">
        <v>10</v>
      </c>
      <c r="R121" s="450" t="s">
        <v>49</v>
      </c>
      <c r="S121" s="450" t="s">
        <v>31</v>
      </c>
      <c r="T121" s="450">
        <v>4</v>
      </c>
      <c r="U121" s="450" t="s">
        <v>4831</v>
      </c>
      <c r="V121" s="450" t="s">
        <v>66</v>
      </c>
      <c r="W121" s="450" t="s">
        <v>50</v>
      </c>
      <c r="X121" s="450" t="s">
        <v>50</v>
      </c>
      <c r="Y121" s="453"/>
    </row>
    <row r="122" spans="1:25" x14ac:dyDescent="0.25">
      <c r="A122" s="443">
        <v>43460</v>
      </c>
      <c r="B122" s="51" t="s">
        <v>87</v>
      </c>
      <c r="C122" s="51" t="s">
        <v>78</v>
      </c>
      <c r="D122" s="51">
        <v>38.051169999999999</v>
      </c>
      <c r="E122" s="51">
        <v>-121.87251000000001</v>
      </c>
      <c r="F122" s="51" t="s">
        <v>4832</v>
      </c>
      <c r="G122" s="51" t="s">
        <v>27</v>
      </c>
      <c r="H122" s="51" t="s">
        <v>101</v>
      </c>
      <c r="I122" s="66">
        <v>0.45624999999999999</v>
      </c>
      <c r="J122" s="428">
        <v>4843.5</v>
      </c>
      <c r="K122" s="428">
        <v>11.125</v>
      </c>
      <c r="L122" s="428" t="s">
        <v>50</v>
      </c>
      <c r="M122" s="428">
        <v>0.57250000000000001</v>
      </c>
      <c r="N122" s="428">
        <v>8.5</v>
      </c>
      <c r="O122" s="51" t="s">
        <v>48</v>
      </c>
      <c r="P122" s="51">
        <v>4</v>
      </c>
      <c r="Q122" s="51">
        <v>10</v>
      </c>
      <c r="R122" s="51" t="s">
        <v>49</v>
      </c>
      <c r="S122" s="51" t="s">
        <v>50</v>
      </c>
      <c r="T122" s="51" t="s">
        <v>50</v>
      </c>
      <c r="U122" s="51" t="s">
        <v>50</v>
      </c>
      <c r="V122" s="51" t="s">
        <v>50</v>
      </c>
      <c r="W122" s="51" t="s">
        <v>50</v>
      </c>
      <c r="X122" s="51" t="s">
        <v>50</v>
      </c>
    </row>
    <row r="123" spans="1:25" x14ac:dyDescent="0.25">
      <c r="A123" s="443">
        <v>43460</v>
      </c>
      <c r="B123" s="51" t="s">
        <v>87</v>
      </c>
      <c r="C123" s="51" t="s">
        <v>88</v>
      </c>
      <c r="D123" s="51">
        <v>38.055999999999997</v>
      </c>
      <c r="E123" s="51">
        <v>-121.80628</v>
      </c>
      <c r="F123" s="51" t="s">
        <v>4833</v>
      </c>
      <c r="G123" s="51" t="s">
        <v>27</v>
      </c>
      <c r="H123" s="51" t="s">
        <v>25</v>
      </c>
      <c r="I123" s="66">
        <v>0.33055555555555555</v>
      </c>
      <c r="J123" s="428">
        <v>2900.75</v>
      </c>
      <c r="K123" s="428">
        <v>10.95</v>
      </c>
      <c r="L123" s="428">
        <v>17.2</v>
      </c>
      <c r="M123" s="428">
        <v>0.63249999999999995</v>
      </c>
      <c r="N123" s="428">
        <v>9.5250000000000004</v>
      </c>
      <c r="O123" s="51" t="s">
        <v>48</v>
      </c>
      <c r="P123" s="51">
        <v>4</v>
      </c>
      <c r="Q123" s="51">
        <v>10</v>
      </c>
      <c r="R123" s="51" t="s">
        <v>64</v>
      </c>
      <c r="S123" s="51" t="s">
        <v>50</v>
      </c>
      <c r="T123" s="51" t="s">
        <v>50</v>
      </c>
      <c r="U123" s="51" t="s">
        <v>50</v>
      </c>
      <c r="V123" s="51" t="s">
        <v>50</v>
      </c>
      <c r="W123" s="51" t="s">
        <v>50</v>
      </c>
      <c r="X123" s="51" t="s">
        <v>50</v>
      </c>
    </row>
    <row r="124" spans="1:25" x14ac:dyDescent="0.25">
      <c r="A124" s="443">
        <v>43460</v>
      </c>
      <c r="B124" s="51" t="s">
        <v>87</v>
      </c>
      <c r="C124" s="51" t="s">
        <v>88</v>
      </c>
      <c r="D124" s="51">
        <v>38.106169999999999</v>
      </c>
      <c r="E124" s="51">
        <v>-121.71163</v>
      </c>
      <c r="F124" s="51" t="s">
        <v>4834</v>
      </c>
      <c r="G124" s="51" t="s">
        <v>90</v>
      </c>
      <c r="H124" s="51" t="s">
        <v>91</v>
      </c>
      <c r="I124" s="66">
        <v>0.39027777777777778</v>
      </c>
      <c r="J124" s="428">
        <v>276.07499999999999</v>
      </c>
      <c r="K124" s="428">
        <v>10.925000000000001</v>
      </c>
      <c r="L124" s="428">
        <v>15.725</v>
      </c>
      <c r="M124" s="428">
        <v>0.90249999999999997</v>
      </c>
      <c r="N124" s="428">
        <v>4.5250000000000004</v>
      </c>
      <c r="O124" s="51" t="s">
        <v>48</v>
      </c>
      <c r="P124" s="51">
        <v>4</v>
      </c>
      <c r="Q124" s="51">
        <v>10</v>
      </c>
      <c r="R124" s="51" t="s">
        <v>49</v>
      </c>
      <c r="S124" s="51" t="s">
        <v>50</v>
      </c>
      <c r="T124" s="51" t="s">
        <v>50</v>
      </c>
      <c r="U124" s="51" t="s">
        <v>50</v>
      </c>
      <c r="V124" s="51" t="s">
        <v>50</v>
      </c>
      <c r="W124" s="51" t="s">
        <v>50</v>
      </c>
      <c r="X124" s="51" t="s">
        <v>50</v>
      </c>
    </row>
    <row r="125" spans="1:25" x14ac:dyDescent="0.25">
      <c r="A125" s="443">
        <v>43460</v>
      </c>
      <c r="B125" s="51" t="s">
        <v>87</v>
      </c>
      <c r="C125" s="51" t="s">
        <v>88</v>
      </c>
      <c r="D125" s="51">
        <v>38.160200000000003</v>
      </c>
      <c r="E125" s="51">
        <v>-121.67869</v>
      </c>
      <c r="F125" s="51" t="s">
        <v>4835</v>
      </c>
      <c r="G125" s="51" t="s">
        <v>90</v>
      </c>
      <c r="H125" s="51" t="s">
        <v>91</v>
      </c>
      <c r="I125" s="66">
        <v>0.44791666666666669</v>
      </c>
      <c r="J125" s="428">
        <v>137.92500000000001</v>
      </c>
      <c r="K125" s="428">
        <v>10.9</v>
      </c>
      <c r="L125" s="428">
        <v>13.25</v>
      </c>
      <c r="M125" s="428">
        <v>1.0175000000000001</v>
      </c>
      <c r="N125" s="428">
        <v>4.8250000000000002</v>
      </c>
      <c r="O125" s="51" t="s">
        <v>48</v>
      </c>
      <c r="P125" s="51">
        <v>4</v>
      </c>
      <c r="Q125" s="51">
        <v>10</v>
      </c>
      <c r="R125" s="51" t="s">
        <v>49</v>
      </c>
      <c r="S125" s="51" t="s">
        <v>50</v>
      </c>
      <c r="T125" s="51" t="s">
        <v>50</v>
      </c>
      <c r="U125" s="51" t="s">
        <v>50</v>
      </c>
      <c r="V125" s="51" t="s">
        <v>50</v>
      </c>
      <c r="W125" s="51" t="s">
        <v>50</v>
      </c>
      <c r="X125" s="51" t="s">
        <v>50</v>
      </c>
    </row>
    <row r="126" spans="1:25" s="461" customFormat="1" x14ac:dyDescent="0.25">
      <c r="A126" s="460">
        <v>43460</v>
      </c>
      <c r="B126" s="461" t="s">
        <v>87</v>
      </c>
      <c r="C126" s="461" t="s">
        <v>95</v>
      </c>
      <c r="D126" s="461">
        <v>38.050260000000002</v>
      </c>
      <c r="E126" s="461">
        <v>-121.5211</v>
      </c>
      <c r="F126" s="461" t="s">
        <v>4836</v>
      </c>
      <c r="G126" s="461" t="s">
        <v>46</v>
      </c>
      <c r="H126" s="461" t="s">
        <v>115</v>
      </c>
      <c r="I126" s="462">
        <v>0.31388888888888888</v>
      </c>
      <c r="J126" s="463" t="s">
        <v>50</v>
      </c>
      <c r="K126" s="463" t="s">
        <v>50</v>
      </c>
      <c r="L126" s="463" t="s">
        <v>50</v>
      </c>
      <c r="M126" s="463" t="s">
        <v>50</v>
      </c>
      <c r="N126" s="463" t="s">
        <v>50</v>
      </c>
      <c r="O126" s="461" t="s">
        <v>48</v>
      </c>
      <c r="P126" s="461">
        <v>0</v>
      </c>
      <c r="Q126" s="461" t="s">
        <v>50</v>
      </c>
      <c r="R126" s="461" t="s">
        <v>50</v>
      </c>
      <c r="S126" s="461" t="s">
        <v>50</v>
      </c>
      <c r="T126" s="461" t="s">
        <v>50</v>
      </c>
      <c r="U126" s="461" t="s">
        <v>50</v>
      </c>
      <c r="V126" s="461" t="s">
        <v>50</v>
      </c>
      <c r="W126" s="461" t="s">
        <v>50</v>
      </c>
      <c r="X126" s="461" t="s">
        <v>50</v>
      </c>
      <c r="Y126" s="464" t="s">
        <v>4837</v>
      </c>
    </row>
    <row r="127" spans="1:25" x14ac:dyDescent="0.25">
      <c r="A127" s="443">
        <v>43460</v>
      </c>
      <c r="B127" s="51" t="s">
        <v>87</v>
      </c>
      <c r="C127" s="51" t="s">
        <v>95</v>
      </c>
      <c r="D127" s="51">
        <v>38.064</v>
      </c>
      <c r="E127" s="51">
        <v>-121.54451</v>
      </c>
      <c r="F127" s="51" t="s">
        <v>4838</v>
      </c>
      <c r="G127" s="51" t="s">
        <v>46</v>
      </c>
      <c r="H127" s="51" t="s">
        <v>115</v>
      </c>
      <c r="I127" s="66">
        <v>0.32361111111111113</v>
      </c>
      <c r="J127" s="428">
        <v>486.25</v>
      </c>
      <c r="K127" s="428">
        <v>10.8</v>
      </c>
      <c r="L127" s="428">
        <v>6.5724999999999998</v>
      </c>
      <c r="M127" s="428">
        <v>1.325</v>
      </c>
      <c r="N127" s="428">
        <v>6.3250000000000002</v>
      </c>
      <c r="O127" s="51" t="s">
        <v>48</v>
      </c>
      <c r="P127" s="51">
        <v>4</v>
      </c>
      <c r="Q127" s="51">
        <v>10</v>
      </c>
      <c r="R127" s="51" t="s">
        <v>64</v>
      </c>
      <c r="S127" s="51" t="s">
        <v>50</v>
      </c>
      <c r="T127" s="51" t="s">
        <v>50</v>
      </c>
      <c r="U127" s="51" t="s">
        <v>50</v>
      </c>
      <c r="V127" s="51" t="s">
        <v>50</v>
      </c>
      <c r="W127" s="51" t="s">
        <v>50</v>
      </c>
      <c r="X127" s="51" t="s">
        <v>50</v>
      </c>
    </row>
    <row r="128" spans="1:25" x14ac:dyDescent="0.25">
      <c r="A128" s="443">
        <v>43460</v>
      </c>
      <c r="B128" s="51" t="s">
        <v>87</v>
      </c>
      <c r="C128" s="51" t="s">
        <v>95</v>
      </c>
      <c r="D128" s="51">
        <v>38.072310000000002</v>
      </c>
      <c r="E128" s="51">
        <v>-121.67862</v>
      </c>
      <c r="F128" s="51" t="s">
        <v>4839</v>
      </c>
      <c r="G128" s="51" t="s">
        <v>46</v>
      </c>
      <c r="H128" s="51" t="s">
        <v>908</v>
      </c>
      <c r="I128" s="66">
        <v>0.3888888888888889</v>
      </c>
      <c r="J128" s="428">
        <v>1446.25</v>
      </c>
      <c r="K128" s="428">
        <v>10.95</v>
      </c>
      <c r="L128" s="428">
        <v>9.5024999999999995</v>
      </c>
      <c r="M128" s="428">
        <v>1.1274999999999999</v>
      </c>
      <c r="N128" s="428">
        <v>11.3</v>
      </c>
      <c r="O128" s="51" t="s">
        <v>48</v>
      </c>
      <c r="P128" s="51">
        <v>4</v>
      </c>
      <c r="Q128" s="51">
        <v>10</v>
      </c>
      <c r="R128" s="51" t="s">
        <v>64</v>
      </c>
      <c r="S128" s="51" t="s">
        <v>50</v>
      </c>
      <c r="T128" s="51" t="s">
        <v>50</v>
      </c>
      <c r="U128" s="51" t="s">
        <v>50</v>
      </c>
      <c r="V128" s="51" t="s">
        <v>50</v>
      </c>
      <c r="W128" s="51" t="s">
        <v>50</v>
      </c>
      <c r="X128" s="51" t="s">
        <v>50</v>
      </c>
      <c r="Y128" s="52" t="s">
        <v>4840</v>
      </c>
    </row>
    <row r="129" spans="1:25" x14ac:dyDescent="0.25">
      <c r="A129" s="443">
        <v>43460</v>
      </c>
      <c r="B129" s="51" t="s">
        <v>87</v>
      </c>
      <c r="C129" s="51" t="s">
        <v>95</v>
      </c>
      <c r="D129" s="51">
        <v>38.085230000000003</v>
      </c>
      <c r="E129" s="51">
        <v>-121.68510999999999</v>
      </c>
      <c r="F129" s="51" t="s">
        <v>4841</v>
      </c>
      <c r="G129" s="51" t="s">
        <v>46</v>
      </c>
      <c r="H129" s="51" t="s">
        <v>908</v>
      </c>
      <c r="I129" s="66">
        <v>0.46527777777777773</v>
      </c>
      <c r="J129" s="428">
        <v>1209.5</v>
      </c>
      <c r="K129" s="428">
        <v>11.05</v>
      </c>
      <c r="L129" s="428">
        <v>9.1199999999999992</v>
      </c>
      <c r="M129" s="428">
        <v>1.1599999999999999</v>
      </c>
      <c r="N129" s="428">
        <v>7.75</v>
      </c>
      <c r="O129" s="51" t="s">
        <v>48</v>
      </c>
      <c r="P129" s="51">
        <v>4</v>
      </c>
      <c r="Q129" s="51">
        <v>10</v>
      </c>
      <c r="R129" s="51" t="s">
        <v>49</v>
      </c>
      <c r="S129" s="51" t="s">
        <v>50</v>
      </c>
      <c r="T129" s="51" t="s">
        <v>50</v>
      </c>
      <c r="U129" s="51" t="s">
        <v>50</v>
      </c>
      <c r="V129" s="51" t="s">
        <v>50</v>
      </c>
      <c r="W129" s="51" t="s">
        <v>50</v>
      </c>
      <c r="X129" s="51" t="s">
        <v>50</v>
      </c>
      <c r="Y129" s="52" t="s">
        <v>4842</v>
      </c>
    </row>
    <row r="130" spans="1:25" x14ac:dyDescent="0.25">
      <c r="A130" s="443">
        <v>43461</v>
      </c>
      <c r="B130" s="51" t="s">
        <v>105</v>
      </c>
      <c r="C130" s="51" t="s">
        <v>118</v>
      </c>
      <c r="D130" s="51">
        <v>38.050289999999997</v>
      </c>
      <c r="E130" s="51">
        <v>-122.17273</v>
      </c>
      <c r="F130" s="51" t="s">
        <v>4843</v>
      </c>
      <c r="G130" s="51" t="s">
        <v>80</v>
      </c>
      <c r="H130" s="51" t="s">
        <v>120</v>
      </c>
      <c r="I130" s="66">
        <v>0.3527777777777778</v>
      </c>
      <c r="J130" s="428">
        <v>24642</v>
      </c>
      <c r="K130" s="428">
        <v>11.6</v>
      </c>
      <c r="L130" s="428">
        <v>35.75</v>
      </c>
      <c r="M130" s="428">
        <v>0.38500000000000001</v>
      </c>
      <c r="N130" s="428">
        <v>12.35</v>
      </c>
      <c r="O130" s="51" t="s">
        <v>48</v>
      </c>
      <c r="P130" s="51">
        <v>4</v>
      </c>
      <c r="Q130" s="51">
        <v>10</v>
      </c>
      <c r="R130" s="51" t="s">
        <v>49</v>
      </c>
      <c r="S130" s="51" t="s">
        <v>50</v>
      </c>
      <c r="T130" s="51" t="s">
        <v>50</v>
      </c>
      <c r="U130" s="51" t="s">
        <v>50</v>
      </c>
      <c r="V130" s="51" t="s">
        <v>50</v>
      </c>
      <c r="W130" s="51" t="s">
        <v>50</v>
      </c>
      <c r="X130" s="51" t="s">
        <v>50</v>
      </c>
    </row>
    <row r="131" spans="1:25" x14ac:dyDescent="0.25">
      <c r="A131" s="443">
        <v>43461</v>
      </c>
      <c r="B131" s="51" t="s">
        <v>105</v>
      </c>
      <c r="C131" s="51" t="s">
        <v>118</v>
      </c>
      <c r="D131" s="51">
        <v>38.060929999999999</v>
      </c>
      <c r="E131" s="51">
        <v>-122.21696</v>
      </c>
      <c r="F131" s="51" t="s">
        <v>4844</v>
      </c>
      <c r="G131" s="51" t="s">
        <v>80</v>
      </c>
      <c r="H131" s="51" t="s">
        <v>120</v>
      </c>
      <c r="I131" s="66">
        <v>0.4069444444444445</v>
      </c>
      <c r="J131" s="428">
        <v>25153</v>
      </c>
      <c r="K131" s="428">
        <v>11.675000000000001</v>
      </c>
      <c r="L131" s="428">
        <v>26.225000000000001</v>
      </c>
      <c r="M131" s="428">
        <v>0.51500000000000001</v>
      </c>
      <c r="N131" s="428">
        <v>22</v>
      </c>
      <c r="O131" s="51" t="s">
        <v>48</v>
      </c>
      <c r="P131" s="51">
        <v>4</v>
      </c>
      <c r="Q131" s="51">
        <v>10</v>
      </c>
      <c r="R131" s="51" t="s">
        <v>49</v>
      </c>
      <c r="S131" s="51" t="s">
        <v>50</v>
      </c>
      <c r="T131" s="51" t="s">
        <v>50</v>
      </c>
      <c r="U131" s="51" t="s">
        <v>50</v>
      </c>
      <c r="V131" s="51" t="s">
        <v>50</v>
      </c>
      <c r="W131" s="51" t="s">
        <v>50</v>
      </c>
      <c r="X131" s="51" t="s">
        <v>50</v>
      </c>
    </row>
    <row r="132" spans="1:25" x14ac:dyDescent="0.25">
      <c r="A132" s="443">
        <v>43461</v>
      </c>
      <c r="B132" s="51" t="s">
        <v>105</v>
      </c>
      <c r="C132" s="51" t="s">
        <v>118</v>
      </c>
      <c r="D132" s="51">
        <v>38.053930000000001</v>
      </c>
      <c r="E132" s="51">
        <v>-122.1823</v>
      </c>
      <c r="F132" s="51" t="s">
        <v>4845</v>
      </c>
      <c r="G132" s="51" t="s">
        <v>80</v>
      </c>
      <c r="H132" s="51" t="s">
        <v>120</v>
      </c>
      <c r="I132" s="66">
        <v>0.49791666666666662</v>
      </c>
      <c r="J132" s="428">
        <v>21151</v>
      </c>
      <c r="K132" s="428">
        <v>11.525</v>
      </c>
      <c r="L132" s="428">
        <v>25.2</v>
      </c>
      <c r="M132" s="428">
        <v>0.44500000000000001</v>
      </c>
      <c r="N132" s="428">
        <v>20.05</v>
      </c>
      <c r="O132" s="51" t="s">
        <v>48</v>
      </c>
      <c r="P132" s="51">
        <v>4</v>
      </c>
      <c r="Q132" s="51">
        <v>10</v>
      </c>
      <c r="R132" s="51" t="s">
        <v>49</v>
      </c>
      <c r="S132" s="51" t="s">
        <v>50</v>
      </c>
      <c r="T132" s="51" t="s">
        <v>50</v>
      </c>
      <c r="U132" s="51" t="s">
        <v>50</v>
      </c>
      <c r="V132" s="51" t="s">
        <v>50</v>
      </c>
      <c r="W132" s="51" t="s">
        <v>50</v>
      </c>
      <c r="X132" s="51" t="s">
        <v>50</v>
      </c>
    </row>
    <row r="133" spans="1:25" s="461" customFormat="1" x14ac:dyDescent="0.25">
      <c r="A133" s="460">
        <v>43461</v>
      </c>
      <c r="B133" s="461" t="s">
        <v>105</v>
      </c>
      <c r="C133" s="461" t="s">
        <v>118</v>
      </c>
      <c r="D133" s="461">
        <v>38.024369999999998</v>
      </c>
      <c r="E133" s="461">
        <v>-122.30517999999999</v>
      </c>
      <c r="F133" s="461" t="s">
        <v>4846</v>
      </c>
      <c r="G133" s="461" t="s">
        <v>80</v>
      </c>
      <c r="H133" s="461" t="s">
        <v>123</v>
      </c>
      <c r="I133" s="462">
        <v>0.47152777777777777</v>
      </c>
      <c r="J133" s="463" t="s">
        <v>50</v>
      </c>
      <c r="K133" s="463" t="s">
        <v>50</v>
      </c>
      <c r="L133" s="463" t="s">
        <v>50</v>
      </c>
      <c r="M133" s="463" t="s">
        <v>50</v>
      </c>
      <c r="N133" s="463" t="s">
        <v>50</v>
      </c>
      <c r="O133" s="461" t="s">
        <v>48</v>
      </c>
      <c r="P133" s="461">
        <v>0</v>
      </c>
      <c r="Q133" s="461" t="s">
        <v>50</v>
      </c>
      <c r="R133" s="461" t="s">
        <v>50</v>
      </c>
      <c r="S133" s="461" t="s">
        <v>50</v>
      </c>
      <c r="T133" s="461" t="s">
        <v>50</v>
      </c>
      <c r="U133" s="461" t="s">
        <v>50</v>
      </c>
      <c r="V133" s="461" t="s">
        <v>50</v>
      </c>
      <c r="W133" s="461" t="s">
        <v>50</v>
      </c>
      <c r="X133" s="461" t="s">
        <v>50</v>
      </c>
      <c r="Y133" s="464" t="s">
        <v>734</v>
      </c>
    </row>
    <row r="134" spans="1:25" s="461" customFormat="1" x14ac:dyDescent="0.25">
      <c r="A134" s="460">
        <v>43461</v>
      </c>
      <c r="B134" s="461" t="s">
        <v>105</v>
      </c>
      <c r="C134" s="461" t="s">
        <v>118</v>
      </c>
      <c r="D134" s="461">
        <v>38.057040000000001</v>
      </c>
      <c r="E134" s="461">
        <v>-122.28547</v>
      </c>
      <c r="F134" s="461" t="s">
        <v>4847</v>
      </c>
      <c r="G134" s="461" t="s">
        <v>80</v>
      </c>
      <c r="H134" s="461" t="s">
        <v>123</v>
      </c>
      <c r="I134" s="462">
        <v>0.48194444444444445</v>
      </c>
      <c r="J134" s="463" t="s">
        <v>50</v>
      </c>
      <c r="K134" s="463" t="s">
        <v>50</v>
      </c>
      <c r="L134" s="463" t="s">
        <v>50</v>
      </c>
      <c r="M134" s="463" t="s">
        <v>50</v>
      </c>
      <c r="N134" s="463" t="s">
        <v>50</v>
      </c>
      <c r="O134" s="461" t="s">
        <v>48</v>
      </c>
      <c r="P134" s="461">
        <v>0</v>
      </c>
      <c r="Q134" s="461" t="s">
        <v>50</v>
      </c>
      <c r="R134" s="461" t="s">
        <v>50</v>
      </c>
      <c r="S134" s="461" t="s">
        <v>50</v>
      </c>
      <c r="T134" s="461" t="s">
        <v>50</v>
      </c>
      <c r="U134" s="461" t="s">
        <v>50</v>
      </c>
      <c r="V134" s="461" t="s">
        <v>50</v>
      </c>
      <c r="W134" s="461" t="s">
        <v>50</v>
      </c>
      <c r="X134" s="461" t="s">
        <v>50</v>
      </c>
      <c r="Y134" s="464" t="s">
        <v>4848</v>
      </c>
    </row>
    <row r="135" spans="1:25" x14ac:dyDescent="0.25">
      <c r="A135" s="443">
        <v>43461</v>
      </c>
      <c r="B135" s="51" t="s">
        <v>105</v>
      </c>
      <c r="C135" s="51" t="s">
        <v>845</v>
      </c>
      <c r="D135" s="51">
        <v>38.271700000000003</v>
      </c>
      <c r="E135" s="51">
        <v>-121.70407</v>
      </c>
      <c r="F135" s="51" t="s">
        <v>4849</v>
      </c>
      <c r="G135" s="51" t="s">
        <v>90</v>
      </c>
      <c r="H135" s="51" t="s">
        <v>126</v>
      </c>
      <c r="I135" s="66">
        <v>0.32500000000000001</v>
      </c>
      <c r="J135" s="428">
        <v>201.167</v>
      </c>
      <c r="K135" s="428">
        <v>10.266999999999999</v>
      </c>
      <c r="L135" s="428" t="s">
        <v>50</v>
      </c>
      <c r="M135" s="428">
        <v>1.03</v>
      </c>
      <c r="N135" s="428">
        <v>4.6669999999999998</v>
      </c>
      <c r="O135" s="51" t="s">
        <v>48</v>
      </c>
      <c r="P135" s="51">
        <v>3</v>
      </c>
      <c r="Q135" s="51">
        <v>10</v>
      </c>
      <c r="R135" s="51" t="s">
        <v>64</v>
      </c>
      <c r="S135" s="51" t="s">
        <v>50</v>
      </c>
      <c r="T135" s="51" t="s">
        <v>50</v>
      </c>
      <c r="U135" s="51" t="s">
        <v>50</v>
      </c>
      <c r="V135" s="51" t="s">
        <v>50</v>
      </c>
      <c r="W135" s="51" t="s">
        <v>50</v>
      </c>
      <c r="X135" s="51" t="s">
        <v>50</v>
      </c>
      <c r="Y135" s="52" t="s">
        <v>4850</v>
      </c>
    </row>
    <row r="136" spans="1:25" x14ac:dyDescent="0.25">
      <c r="A136" s="443">
        <v>43461</v>
      </c>
      <c r="B136" s="51" t="s">
        <v>105</v>
      </c>
      <c r="C136" s="51" t="s">
        <v>845</v>
      </c>
      <c r="D136" s="51">
        <v>38.331949999999999</v>
      </c>
      <c r="E136" s="51">
        <v>-121.65123</v>
      </c>
      <c r="F136" s="51" t="s">
        <v>4851</v>
      </c>
      <c r="G136" s="51" t="s">
        <v>90</v>
      </c>
      <c r="H136" s="51" t="s">
        <v>126</v>
      </c>
      <c r="I136" s="66">
        <v>0.3833333333333333</v>
      </c>
      <c r="J136" s="428">
        <v>311.92500000000001</v>
      </c>
      <c r="K136" s="428">
        <v>9.9</v>
      </c>
      <c r="L136" s="428" t="s">
        <v>50</v>
      </c>
      <c r="M136" s="428">
        <v>1.1274999999999999</v>
      </c>
      <c r="N136" s="428">
        <v>4.5</v>
      </c>
      <c r="O136" s="51" t="s">
        <v>48</v>
      </c>
      <c r="P136" s="51">
        <v>4</v>
      </c>
      <c r="Q136" s="51">
        <v>10</v>
      </c>
      <c r="R136" s="51" t="s">
        <v>64</v>
      </c>
      <c r="S136" s="51" t="s">
        <v>50</v>
      </c>
      <c r="T136" s="51" t="s">
        <v>50</v>
      </c>
      <c r="U136" s="51" t="s">
        <v>50</v>
      </c>
      <c r="V136" s="51" t="s">
        <v>50</v>
      </c>
      <c r="W136" s="51" t="s">
        <v>50</v>
      </c>
      <c r="X136" s="51" t="s">
        <v>50</v>
      </c>
    </row>
    <row r="137" spans="1:25" s="450" customFormat="1" x14ac:dyDescent="0.25">
      <c r="A137" s="449">
        <v>43461</v>
      </c>
      <c r="B137" s="450" t="s">
        <v>105</v>
      </c>
      <c r="C137" s="450" t="s">
        <v>845</v>
      </c>
      <c r="D137" s="450">
        <v>38.250889999999998</v>
      </c>
      <c r="E137" s="450">
        <v>-121.71975</v>
      </c>
      <c r="F137" s="450" t="s">
        <v>4852</v>
      </c>
      <c r="G137" s="450" t="s">
        <v>90</v>
      </c>
      <c r="H137" s="450" t="s">
        <v>126</v>
      </c>
      <c r="I137" s="451">
        <v>0.45069444444444445</v>
      </c>
      <c r="J137" s="452">
        <v>194.167</v>
      </c>
      <c r="K137" s="452">
        <v>10.199999999999999</v>
      </c>
      <c r="L137" s="452" t="s">
        <v>50</v>
      </c>
      <c r="M137" s="452">
        <v>1</v>
      </c>
      <c r="N137" s="452">
        <v>5.133</v>
      </c>
      <c r="O137" s="450" t="s">
        <v>48</v>
      </c>
      <c r="P137" s="450">
        <v>3</v>
      </c>
      <c r="Q137" s="450">
        <v>10</v>
      </c>
      <c r="R137" s="450" t="s">
        <v>49</v>
      </c>
      <c r="S137" s="450" t="s">
        <v>348</v>
      </c>
      <c r="T137" s="450">
        <v>1</v>
      </c>
      <c r="U137" s="450">
        <v>141</v>
      </c>
      <c r="V137" s="450" t="s">
        <v>50</v>
      </c>
      <c r="W137" s="450" t="s">
        <v>50</v>
      </c>
      <c r="X137" s="450" t="s">
        <v>50</v>
      </c>
      <c r="Y137" s="453" t="s">
        <v>4853</v>
      </c>
    </row>
    <row r="138" spans="1:25" x14ac:dyDescent="0.25">
      <c r="A138" s="443">
        <v>43461</v>
      </c>
      <c r="B138" s="51" t="s">
        <v>105</v>
      </c>
      <c r="C138" s="51" t="s">
        <v>95</v>
      </c>
      <c r="D138" s="51">
        <v>38.025730000000003</v>
      </c>
      <c r="E138" s="51">
        <v>-121.77981</v>
      </c>
      <c r="F138" s="51" t="s">
        <v>4854</v>
      </c>
      <c r="G138" s="51" t="s">
        <v>27</v>
      </c>
      <c r="H138" s="51" t="s">
        <v>863</v>
      </c>
      <c r="I138" s="66">
        <v>0.33055555555555555</v>
      </c>
      <c r="J138" s="428">
        <v>1075.75</v>
      </c>
      <c r="K138" s="428">
        <v>10.6</v>
      </c>
      <c r="L138" s="428">
        <v>21.024999999999999</v>
      </c>
      <c r="M138" s="428">
        <v>0.64249999999999996</v>
      </c>
      <c r="N138" s="428">
        <v>13.05</v>
      </c>
      <c r="O138" s="51" t="s">
        <v>48</v>
      </c>
      <c r="P138" s="51">
        <v>4</v>
      </c>
      <c r="Q138" s="51">
        <v>10</v>
      </c>
      <c r="R138" s="51" t="s">
        <v>64</v>
      </c>
      <c r="S138" s="51" t="s">
        <v>50</v>
      </c>
      <c r="T138" s="51" t="s">
        <v>50</v>
      </c>
      <c r="U138" s="51" t="s">
        <v>50</v>
      </c>
      <c r="V138" s="51" t="s">
        <v>50</v>
      </c>
      <c r="W138" s="51" t="s">
        <v>50</v>
      </c>
      <c r="X138" s="51" t="s">
        <v>50</v>
      </c>
    </row>
    <row r="139" spans="1:25" x14ac:dyDescent="0.25">
      <c r="A139" s="443">
        <v>43461</v>
      </c>
      <c r="B139" s="51" t="s">
        <v>105</v>
      </c>
      <c r="C139" s="51" t="s">
        <v>95</v>
      </c>
      <c r="D139" s="51">
        <v>38.028129999999997</v>
      </c>
      <c r="E139" s="51">
        <v>-121.74283</v>
      </c>
      <c r="F139" s="51" t="s">
        <v>4855</v>
      </c>
      <c r="G139" s="51" t="s">
        <v>27</v>
      </c>
      <c r="H139" s="51" t="s">
        <v>863</v>
      </c>
      <c r="I139" s="66">
        <v>0.37291666666666662</v>
      </c>
      <c r="J139" s="428">
        <v>1523.25</v>
      </c>
      <c r="K139" s="428">
        <v>10.7</v>
      </c>
      <c r="L139" s="428">
        <v>18.649999999999999</v>
      </c>
      <c r="M139" s="428">
        <v>0.76</v>
      </c>
      <c r="N139" s="428">
        <v>10.275</v>
      </c>
      <c r="O139" s="51" t="s">
        <v>48</v>
      </c>
      <c r="P139" s="51">
        <v>4</v>
      </c>
      <c r="Q139" s="51">
        <v>10</v>
      </c>
      <c r="R139" s="51" t="s">
        <v>64</v>
      </c>
      <c r="S139" s="51" t="s">
        <v>50</v>
      </c>
      <c r="T139" s="51" t="s">
        <v>50</v>
      </c>
      <c r="U139" s="51" t="s">
        <v>50</v>
      </c>
      <c r="V139" s="51" t="s">
        <v>50</v>
      </c>
      <c r="W139" s="51" t="s">
        <v>50</v>
      </c>
      <c r="X139" s="51" t="s">
        <v>50</v>
      </c>
    </row>
    <row r="140" spans="1:25" s="461" customFormat="1" x14ac:dyDescent="0.25">
      <c r="A140" s="460">
        <v>43461</v>
      </c>
      <c r="B140" s="461" t="s">
        <v>105</v>
      </c>
      <c r="C140" s="461" t="s">
        <v>95</v>
      </c>
      <c r="D140" s="461">
        <v>38.076689999999999</v>
      </c>
      <c r="E140" s="461">
        <v>-121.6777</v>
      </c>
      <c r="F140" s="461" t="s">
        <v>4856</v>
      </c>
      <c r="G140" s="461" t="s">
        <v>46</v>
      </c>
      <c r="H140" s="461" t="s">
        <v>908</v>
      </c>
      <c r="I140" s="462">
        <v>0.41666666666666669</v>
      </c>
      <c r="J140" s="463" t="s">
        <v>50</v>
      </c>
      <c r="K140" s="463" t="s">
        <v>50</v>
      </c>
      <c r="L140" s="463" t="s">
        <v>50</v>
      </c>
      <c r="M140" s="463" t="s">
        <v>50</v>
      </c>
      <c r="N140" s="463" t="s">
        <v>50</v>
      </c>
      <c r="O140" s="461" t="s">
        <v>48</v>
      </c>
      <c r="P140" s="461">
        <v>0</v>
      </c>
      <c r="Q140" s="461" t="s">
        <v>50</v>
      </c>
      <c r="R140" s="461" t="s">
        <v>50</v>
      </c>
      <c r="S140" s="461" t="s">
        <v>50</v>
      </c>
      <c r="T140" s="461" t="s">
        <v>50</v>
      </c>
      <c r="U140" s="461" t="s">
        <v>50</v>
      </c>
      <c r="V140" s="461" t="s">
        <v>50</v>
      </c>
      <c r="W140" s="461" t="s">
        <v>50</v>
      </c>
      <c r="X140" s="461" t="s">
        <v>50</v>
      </c>
      <c r="Y140" s="464" t="s">
        <v>4857</v>
      </c>
    </row>
    <row r="141" spans="1:25" x14ac:dyDescent="0.25">
      <c r="A141" s="443">
        <v>43461</v>
      </c>
      <c r="B141" s="51" t="s">
        <v>105</v>
      </c>
      <c r="C141" s="51" t="s">
        <v>95</v>
      </c>
      <c r="D141" s="51">
        <v>38.093769999999999</v>
      </c>
      <c r="E141" s="51">
        <v>-121.64845</v>
      </c>
      <c r="F141" s="51" t="s">
        <v>4858</v>
      </c>
      <c r="G141" s="51" t="s">
        <v>46</v>
      </c>
      <c r="H141" s="51" t="s">
        <v>908</v>
      </c>
      <c r="I141" s="66">
        <v>0.45277777777777778</v>
      </c>
      <c r="J141" s="428">
        <v>765.75</v>
      </c>
      <c r="K141" s="428">
        <v>10.725</v>
      </c>
      <c r="L141" s="428">
        <v>9.8224999999999998</v>
      </c>
      <c r="M141" s="428">
        <v>1.19</v>
      </c>
      <c r="N141" s="428">
        <v>8.75</v>
      </c>
      <c r="O141" s="51" t="s">
        <v>48</v>
      </c>
      <c r="P141" s="51">
        <v>4</v>
      </c>
      <c r="Q141" s="51">
        <v>10</v>
      </c>
      <c r="R141" s="51" t="s">
        <v>64</v>
      </c>
      <c r="S141" s="51" t="s">
        <v>50</v>
      </c>
      <c r="T141" s="51" t="s">
        <v>50</v>
      </c>
      <c r="U141" s="51" t="s">
        <v>50</v>
      </c>
      <c r="V141" s="51" t="s">
        <v>50</v>
      </c>
      <c r="W141" s="51" t="s">
        <v>50</v>
      </c>
      <c r="X141" s="51" t="s">
        <v>50</v>
      </c>
    </row>
    <row r="142" spans="1:25" s="450" customFormat="1" x14ac:dyDescent="0.25">
      <c r="A142" s="449">
        <v>43462</v>
      </c>
      <c r="B142" s="450" t="s">
        <v>125</v>
      </c>
      <c r="C142" s="450" t="s">
        <v>62</v>
      </c>
      <c r="D142" s="450">
        <v>38.10331</v>
      </c>
      <c r="E142" s="450">
        <v>-122.05582</v>
      </c>
      <c r="F142" s="450" t="s">
        <v>4859</v>
      </c>
      <c r="G142" s="450" t="s">
        <v>27</v>
      </c>
      <c r="H142" s="450" t="s">
        <v>173</v>
      </c>
      <c r="I142" s="451">
        <v>0.36944444444444446</v>
      </c>
      <c r="J142" s="452">
        <v>14666.5</v>
      </c>
      <c r="K142" s="452">
        <v>10.55</v>
      </c>
      <c r="L142" s="452">
        <v>47.3</v>
      </c>
      <c r="M142" s="452">
        <v>0.29249999999999998</v>
      </c>
      <c r="N142" s="452">
        <v>3.625</v>
      </c>
      <c r="O142" s="450" t="s">
        <v>48</v>
      </c>
      <c r="P142" s="450">
        <v>4</v>
      </c>
      <c r="Q142" s="450">
        <v>10</v>
      </c>
      <c r="R142" s="450" t="s">
        <v>49</v>
      </c>
      <c r="S142" s="450" t="s">
        <v>31</v>
      </c>
      <c r="T142" s="450">
        <v>3</v>
      </c>
      <c r="U142" s="450" t="s">
        <v>4860</v>
      </c>
      <c r="V142" s="450" t="s">
        <v>66</v>
      </c>
      <c r="W142" s="450" t="s">
        <v>50</v>
      </c>
      <c r="X142" s="450" t="s">
        <v>50</v>
      </c>
      <c r="Y142" s="453"/>
    </row>
    <row r="143" spans="1:25" s="450" customFormat="1" x14ac:dyDescent="0.25">
      <c r="A143" s="449">
        <v>43462</v>
      </c>
      <c r="B143" s="450" t="s">
        <v>125</v>
      </c>
      <c r="C143" s="450" t="s">
        <v>62</v>
      </c>
      <c r="D143" s="450">
        <v>38.101460000000003</v>
      </c>
      <c r="E143" s="450">
        <v>-122.06581</v>
      </c>
      <c r="F143" s="450" t="s">
        <v>4861</v>
      </c>
      <c r="G143" s="450" t="s">
        <v>27</v>
      </c>
      <c r="H143" s="450" t="s">
        <v>173</v>
      </c>
      <c r="I143" s="451">
        <v>0.46180555555555558</v>
      </c>
      <c r="J143" s="452">
        <v>12569</v>
      </c>
      <c r="K143" s="452">
        <v>10.475</v>
      </c>
      <c r="L143" s="452">
        <v>83.55</v>
      </c>
      <c r="M143" s="452">
        <v>0.23749999999999999</v>
      </c>
      <c r="N143" s="452">
        <v>2.5499999999999998</v>
      </c>
      <c r="O143" s="450" t="s">
        <v>48</v>
      </c>
      <c r="P143" s="450">
        <v>4</v>
      </c>
      <c r="Q143" s="450">
        <v>10</v>
      </c>
      <c r="R143" s="450" t="s">
        <v>49</v>
      </c>
      <c r="S143" s="450" t="s">
        <v>31</v>
      </c>
      <c r="T143" s="450">
        <v>23</v>
      </c>
      <c r="U143" s="450" t="s">
        <v>4862</v>
      </c>
      <c r="V143" s="450" t="s">
        <v>66</v>
      </c>
      <c r="W143" s="450" t="s">
        <v>50</v>
      </c>
      <c r="X143" s="450" t="s">
        <v>50</v>
      </c>
      <c r="Y143" s="453"/>
    </row>
    <row r="144" spans="1:25" s="450" customFormat="1" x14ac:dyDescent="0.25">
      <c r="A144" s="449">
        <v>43462</v>
      </c>
      <c r="B144" s="450" t="s">
        <v>125</v>
      </c>
      <c r="C144" s="450" t="s">
        <v>62</v>
      </c>
      <c r="D144" s="450">
        <v>38.117080000000001</v>
      </c>
      <c r="E144" s="450">
        <v>-122.05862</v>
      </c>
      <c r="F144" s="450" t="s">
        <v>4863</v>
      </c>
      <c r="G144" s="450" t="s">
        <v>27</v>
      </c>
      <c r="H144" s="450" t="s">
        <v>62</v>
      </c>
      <c r="I144" s="451">
        <v>0.42152777777777778</v>
      </c>
      <c r="J144" s="452">
        <v>12595</v>
      </c>
      <c r="K144" s="452">
        <v>10.4</v>
      </c>
      <c r="L144" s="452">
        <v>46.9</v>
      </c>
      <c r="M144" s="452">
        <v>0.3</v>
      </c>
      <c r="N144" s="452">
        <v>2.5</v>
      </c>
      <c r="O144" s="450" t="s">
        <v>48</v>
      </c>
      <c r="P144" s="450">
        <v>2</v>
      </c>
      <c r="Q144" s="450">
        <v>10</v>
      </c>
      <c r="R144" s="450" t="s">
        <v>49</v>
      </c>
      <c r="S144" s="450" t="s">
        <v>31</v>
      </c>
      <c r="T144" s="450">
        <v>31</v>
      </c>
      <c r="U144" s="450" t="s">
        <v>4864</v>
      </c>
      <c r="V144" s="450" t="s">
        <v>66</v>
      </c>
      <c r="W144" s="450" t="s">
        <v>50</v>
      </c>
      <c r="X144" s="450" t="s">
        <v>50</v>
      </c>
      <c r="Y144" s="453"/>
    </row>
    <row r="145" spans="1:25" s="450" customFormat="1" x14ac:dyDescent="0.25">
      <c r="A145" s="449">
        <v>43462</v>
      </c>
      <c r="B145" s="450" t="s">
        <v>125</v>
      </c>
      <c r="C145" s="450" t="s">
        <v>62</v>
      </c>
      <c r="D145" s="450">
        <v>38.117080000000001</v>
      </c>
      <c r="E145" s="450">
        <v>-122.05862</v>
      </c>
      <c r="F145" s="450" t="s">
        <v>4863</v>
      </c>
      <c r="G145" s="450" t="s">
        <v>27</v>
      </c>
      <c r="H145" s="450" t="s">
        <v>62</v>
      </c>
      <c r="I145" s="451">
        <v>0.42152777777777778</v>
      </c>
      <c r="J145" s="452"/>
      <c r="K145" s="452"/>
      <c r="L145" s="452"/>
      <c r="M145" s="452"/>
      <c r="N145" s="452"/>
      <c r="S145" s="450" t="s">
        <v>348</v>
      </c>
      <c r="T145" s="450">
        <v>2</v>
      </c>
      <c r="U145" s="450" t="s">
        <v>4865</v>
      </c>
      <c r="V145" s="450" t="s">
        <v>50</v>
      </c>
      <c r="W145" s="450" t="s">
        <v>50</v>
      </c>
      <c r="X145" s="450" t="s">
        <v>50</v>
      </c>
      <c r="Y145" s="453"/>
    </row>
    <row r="146" spans="1:25" s="431" customFormat="1" x14ac:dyDescent="0.25">
      <c r="A146" s="447">
        <v>43462</v>
      </c>
      <c r="B146" s="431" t="s">
        <v>125</v>
      </c>
      <c r="C146" s="431" t="s">
        <v>62</v>
      </c>
      <c r="D146" s="431">
        <v>38.117080000000001</v>
      </c>
      <c r="E146" s="431">
        <v>-122.05862</v>
      </c>
      <c r="F146" s="431" t="s">
        <v>4863</v>
      </c>
      <c r="G146" s="431" t="s">
        <v>27</v>
      </c>
      <c r="H146" s="431" t="s">
        <v>62</v>
      </c>
      <c r="I146" s="432">
        <v>0.42152777777777778</v>
      </c>
      <c r="J146" s="433"/>
      <c r="K146" s="433"/>
      <c r="L146" s="433"/>
      <c r="M146" s="433"/>
      <c r="N146" s="433"/>
      <c r="S146" s="431" t="s">
        <v>323</v>
      </c>
      <c r="T146" s="431">
        <v>1</v>
      </c>
      <c r="U146" s="431">
        <v>64</v>
      </c>
      <c r="V146" s="431" t="s">
        <v>66</v>
      </c>
      <c r="W146" s="431" t="s">
        <v>50</v>
      </c>
      <c r="X146" s="431" t="s">
        <v>50</v>
      </c>
      <c r="Y146" s="448"/>
    </row>
    <row r="147" spans="1:25" s="450" customFormat="1" x14ac:dyDescent="0.25">
      <c r="A147" s="449">
        <v>43462</v>
      </c>
      <c r="B147" s="450" t="s">
        <v>125</v>
      </c>
      <c r="C147" s="450" t="s">
        <v>62</v>
      </c>
      <c r="D147" s="450">
        <v>38.158560000000001</v>
      </c>
      <c r="E147" s="450">
        <v>-122.04792999999999</v>
      </c>
      <c r="F147" s="450" t="s">
        <v>4866</v>
      </c>
      <c r="G147" s="450" t="s">
        <v>27</v>
      </c>
      <c r="H147" s="450" t="s">
        <v>62</v>
      </c>
      <c r="I147" s="451">
        <v>0.52986111111111112</v>
      </c>
      <c r="J147" s="452">
        <v>7670</v>
      </c>
      <c r="K147" s="450">
        <v>10.6</v>
      </c>
      <c r="L147" s="452">
        <v>105.6</v>
      </c>
      <c r="M147" s="452">
        <v>0.17499999999999999</v>
      </c>
      <c r="N147" s="452">
        <v>3.05</v>
      </c>
      <c r="O147" s="450" t="s">
        <v>48</v>
      </c>
      <c r="P147" s="450">
        <v>2</v>
      </c>
      <c r="Q147" s="450">
        <v>10</v>
      </c>
      <c r="R147" s="450" t="s">
        <v>49</v>
      </c>
      <c r="S147" s="450" t="s">
        <v>31</v>
      </c>
      <c r="T147" s="450">
        <v>2</v>
      </c>
      <c r="U147" s="450" t="s">
        <v>4867</v>
      </c>
      <c r="V147" s="450" t="s">
        <v>66</v>
      </c>
      <c r="W147" s="450" t="s">
        <v>50</v>
      </c>
      <c r="X147" s="450" t="s">
        <v>50</v>
      </c>
      <c r="Y147" s="453"/>
    </row>
    <row r="148" spans="1:25" s="431" customFormat="1" x14ac:dyDescent="0.25">
      <c r="A148" s="447">
        <v>43462</v>
      </c>
      <c r="B148" s="431" t="s">
        <v>125</v>
      </c>
      <c r="C148" s="431" t="s">
        <v>62</v>
      </c>
      <c r="D148" s="431">
        <v>38.158560000000001</v>
      </c>
      <c r="E148" s="431">
        <v>-122.04792999999999</v>
      </c>
      <c r="F148" s="431" t="s">
        <v>4866</v>
      </c>
      <c r="G148" s="431" t="s">
        <v>27</v>
      </c>
      <c r="H148" s="431" t="s">
        <v>62</v>
      </c>
      <c r="I148" s="432">
        <v>0.52986111111111112</v>
      </c>
      <c r="J148" s="433"/>
      <c r="K148" s="433"/>
      <c r="L148" s="433"/>
      <c r="M148" s="433"/>
      <c r="N148" s="433"/>
      <c r="S148" s="431" t="s">
        <v>323</v>
      </c>
      <c r="T148" s="431">
        <v>1</v>
      </c>
      <c r="U148" s="431">
        <v>69</v>
      </c>
      <c r="V148" s="431" t="s">
        <v>66</v>
      </c>
      <c r="W148" s="431" t="s">
        <v>50</v>
      </c>
      <c r="X148" s="431" t="s">
        <v>50</v>
      </c>
      <c r="Y148" s="448"/>
    </row>
    <row r="149" spans="1:25" x14ac:dyDescent="0.25">
      <c r="A149" s="443">
        <v>43462</v>
      </c>
      <c r="B149" s="51" t="s">
        <v>125</v>
      </c>
      <c r="C149" s="51" t="s">
        <v>62</v>
      </c>
      <c r="D149" s="51">
        <v>38.180160000000001</v>
      </c>
      <c r="E149" s="51">
        <v>-122.00241</v>
      </c>
      <c r="F149" s="51" t="s">
        <v>4868</v>
      </c>
      <c r="G149" s="51" t="s">
        <v>27</v>
      </c>
      <c r="H149" s="51" t="s">
        <v>62</v>
      </c>
      <c r="I149" s="66">
        <v>0.56944444444444442</v>
      </c>
      <c r="J149" s="428">
        <v>6236.5</v>
      </c>
      <c r="K149" s="428">
        <v>10.375</v>
      </c>
      <c r="L149" s="428">
        <v>43.3</v>
      </c>
      <c r="M149" s="428">
        <v>0.4</v>
      </c>
      <c r="N149" s="428">
        <v>6.4749999999999996</v>
      </c>
      <c r="O149" s="51" t="s">
        <v>48</v>
      </c>
      <c r="P149" s="51">
        <v>4</v>
      </c>
      <c r="Q149" s="51">
        <v>10</v>
      </c>
      <c r="R149" s="51" t="s">
        <v>49</v>
      </c>
      <c r="S149" s="51" t="s">
        <v>50</v>
      </c>
      <c r="T149" s="51" t="s">
        <v>50</v>
      </c>
      <c r="U149" s="51" t="s">
        <v>50</v>
      </c>
      <c r="V149" s="51" t="s">
        <v>50</v>
      </c>
      <c r="W149" s="51" t="s">
        <v>50</v>
      </c>
      <c r="X149" s="51" t="s">
        <v>50</v>
      </c>
    </row>
    <row r="150" spans="1:25" s="450" customFormat="1" x14ac:dyDescent="0.25">
      <c r="A150" s="449">
        <v>43462</v>
      </c>
      <c r="B150" s="450" t="s">
        <v>125</v>
      </c>
      <c r="C150" s="450" t="s">
        <v>62</v>
      </c>
      <c r="D150" s="450">
        <v>38.123840000000001</v>
      </c>
      <c r="E150" s="450">
        <v>-121.91494</v>
      </c>
      <c r="F150" s="450" t="s">
        <v>4869</v>
      </c>
      <c r="G150" s="450" t="s">
        <v>27</v>
      </c>
      <c r="H150" s="450" t="s">
        <v>62</v>
      </c>
      <c r="I150" s="451">
        <v>0.625</v>
      </c>
      <c r="J150" s="452">
        <v>4890</v>
      </c>
      <c r="K150" s="452">
        <v>10.475</v>
      </c>
      <c r="L150" s="452">
        <v>40.85</v>
      </c>
      <c r="M150" s="452">
        <v>0.32500000000000001</v>
      </c>
      <c r="N150" s="452">
        <v>9.1999999999999993</v>
      </c>
      <c r="O150" s="450" t="s">
        <v>48</v>
      </c>
      <c r="P150" s="450">
        <v>4</v>
      </c>
      <c r="Q150" s="450">
        <v>10</v>
      </c>
      <c r="R150" s="450" t="s">
        <v>49</v>
      </c>
      <c r="S150" s="450" t="s">
        <v>31</v>
      </c>
      <c r="T150" s="450">
        <v>2</v>
      </c>
      <c r="U150" s="450" t="s">
        <v>4870</v>
      </c>
      <c r="V150" s="450" t="s">
        <v>66</v>
      </c>
      <c r="W150" s="450" t="s">
        <v>50</v>
      </c>
      <c r="X150" s="450" t="s">
        <v>50</v>
      </c>
      <c r="Y150" s="453"/>
    </row>
    <row r="151" spans="1:25" x14ac:dyDescent="0.25">
      <c r="A151" s="443">
        <v>43462</v>
      </c>
      <c r="B151" s="51" t="s">
        <v>125</v>
      </c>
      <c r="C151" s="51" t="s">
        <v>106</v>
      </c>
      <c r="D151" s="51">
        <v>38.563000000000002</v>
      </c>
      <c r="E151" s="51">
        <v>-121.55043999999999</v>
      </c>
      <c r="F151" s="51" t="s">
        <v>4871</v>
      </c>
      <c r="G151" s="51" t="s">
        <v>90</v>
      </c>
      <c r="H151" s="51" t="s">
        <v>1787</v>
      </c>
      <c r="I151" s="66">
        <v>0.40833333333333338</v>
      </c>
      <c r="J151" s="428">
        <v>839.25</v>
      </c>
      <c r="K151" s="428">
        <v>11.5</v>
      </c>
      <c r="L151" s="428">
        <v>5.1325000000000003</v>
      </c>
      <c r="M151" s="428">
        <v>1.47</v>
      </c>
      <c r="N151" s="428">
        <v>11.2775</v>
      </c>
      <c r="O151" s="51" t="s">
        <v>48</v>
      </c>
      <c r="P151" s="51">
        <v>4</v>
      </c>
      <c r="Q151" s="51">
        <v>10</v>
      </c>
      <c r="R151" s="51" t="s">
        <v>64</v>
      </c>
      <c r="S151" s="51" t="s">
        <v>50</v>
      </c>
      <c r="T151" s="51" t="s">
        <v>50</v>
      </c>
      <c r="U151" s="51" t="s">
        <v>50</v>
      </c>
      <c r="V151" s="51" t="s">
        <v>50</v>
      </c>
      <c r="W151" s="51" t="s">
        <v>50</v>
      </c>
      <c r="X151" s="51" t="s">
        <v>50</v>
      </c>
    </row>
    <row r="152" spans="1:25" s="431" customFormat="1" x14ac:dyDescent="0.25">
      <c r="A152" s="447">
        <v>43462</v>
      </c>
      <c r="B152" s="431" t="s">
        <v>125</v>
      </c>
      <c r="C152" s="431" t="s">
        <v>106</v>
      </c>
      <c r="D152" s="431">
        <v>38.463099999999997</v>
      </c>
      <c r="E152" s="431">
        <v>-121.58754999999999</v>
      </c>
      <c r="F152" s="431" t="s">
        <v>4872</v>
      </c>
      <c r="G152" s="431" t="s">
        <v>90</v>
      </c>
      <c r="H152" s="431" t="s">
        <v>362</v>
      </c>
      <c r="I152" s="432">
        <v>0.4368055555555555</v>
      </c>
      <c r="J152" s="433">
        <v>448.9</v>
      </c>
      <c r="K152" s="433">
        <v>10.35</v>
      </c>
      <c r="L152" s="433">
        <v>104.5</v>
      </c>
      <c r="M152" s="433">
        <v>0.23</v>
      </c>
      <c r="N152" s="433">
        <v>4.72</v>
      </c>
      <c r="O152" s="431" t="s">
        <v>48</v>
      </c>
      <c r="P152" s="474">
        <v>2</v>
      </c>
      <c r="Q152" s="431">
        <v>10</v>
      </c>
      <c r="R152" s="431" t="s">
        <v>49</v>
      </c>
      <c r="S152" s="431" t="s">
        <v>323</v>
      </c>
      <c r="T152" s="431">
        <v>1</v>
      </c>
      <c r="U152" s="431">
        <v>58</v>
      </c>
      <c r="V152" s="475" t="s">
        <v>66</v>
      </c>
      <c r="W152" s="431" t="s">
        <v>50</v>
      </c>
      <c r="X152" s="431" t="s">
        <v>50</v>
      </c>
      <c r="Y152" s="448" t="s">
        <v>4873</v>
      </c>
    </row>
    <row r="153" spans="1:25" s="431" customFormat="1" x14ac:dyDescent="0.25">
      <c r="A153" s="447">
        <v>43462</v>
      </c>
      <c r="B153" s="431" t="s">
        <v>125</v>
      </c>
      <c r="C153" s="431" t="s">
        <v>106</v>
      </c>
      <c r="D153" s="431">
        <v>38.319510000000001</v>
      </c>
      <c r="E153" s="431">
        <v>-121.65045000000001</v>
      </c>
      <c r="F153" s="431" t="s">
        <v>4874</v>
      </c>
      <c r="G153" s="431" t="s">
        <v>90</v>
      </c>
      <c r="H153" s="431" t="s">
        <v>362</v>
      </c>
      <c r="I153" s="432">
        <v>0.4993055555555555</v>
      </c>
      <c r="J153" s="433">
        <v>203.625</v>
      </c>
      <c r="K153" s="433">
        <v>10.324999999999999</v>
      </c>
      <c r="L153" s="433">
        <v>25.774999999999999</v>
      </c>
      <c r="M153" s="433">
        <v>0.44</v>
      </c>
      <c r="N153" s="433">
        <v>10.97</v>
      </c>
      <c r="O153" s="431" t="s">
        <v>48</v>
      </c>
      <c r="P153" s="431">
        <v>4</v>
      </c>
      <c r="Q153" s="431">
        <v>10</v>
      </c>
      <c r="R153" s="431" t="s">
        <v>49</v>
      </c>
      <c r="S153" s="431" t="s">
        <v>323</v>
      </c>
      <c r="T153" s="431">
        <v>1</v>
      </c>
      <c r="U153" s="431">
        <v>52</v>
      </c>
      <c r="V153" s="431" t="s">
        <v>66</v>
      </c>
      <c r="W153" s="431" t="s">
        <v>50</v>
      </c>
      <c r="X153" s="431" t="s">
        <v>50</v>
      </c>
      <c r="Y153" s="448"/>
    </row>
    <row r="154" spans="1:25" x14ac:dyDescent="0.25">
      <c r="A154" s="443">
        <v>43462</v>
      </c>
      <c r="B154" s="51" t="s">
        <v>125</v>
      </c>
      <c r="C154" s="51" t="s">
        <v>44</v>
      </c>
      <c r="D154" s="51">
        <v>37.883470000000003</v>
      </c>
      <c r="E154" s="51">
        <v>-121.50266999999999</v>
      </c>
      <c r="F154" s="51" t="s">
        <v>4875</v>
      </c>
      <c r="G154" s="51" t="s">
        <v>46</v>
      </c>
      <c r="H154" s="51" t="s">
        <v>202</v>
      </c>
      <c r="I154" s="66">
        <v>0.3666666666666667</v>
      </c>
      <c r="J154" s="428">
        <v>371.72500000000002</v>
      </c>
      <c r="K154" s="428">
        <v>9.75</v>
      </c>
      <c r="L154" s="428">
        <v>5.5750000000000002</v>
      </c>
      <c r="M154" s="428">
        <v>1.4775</v>
      </c>
      <c r="N154" s="428">
        <v>4.5750000000000002</v>
      </c>
      <c r="O154" s="51" t="s">
        <v>48</v>
      </c>
      <c r="P154" s="51">
        <v>4</v>
      </c>
      <c r="Q154" s="51">
        <v>10</v>
      </c>
      <c r="R154" s="51" t="s">
        <v>49</v>
      </c>
      <c r="S154" s="51" t="s">
        <v>50</v>
      </c>
      <c r="T154" s="51" t="s">
        <v>50</v>
      </c>
      <c r="U154" s="51" t="s">
        <v>50</v>
      </c>
      <c r="V154" s="51" t="s">
        <v>50</v>
      </c>
      <c r="W154" s="51" t="s">
        <v>50</v>
      </c>
      <c r="X154" s="51" t="s">
        <v>50</v>
      </c>
    </row>
    <row r="155" spans="1:25" x14ac:dyDescent="0.25">
      <c r="A155" s="443">
        <v>43462</v>
      </c>
      <c r="B155" s="51" t="s">
        <v>125</v>
      </c>
      <c r="C155" s="51" t="s">
        <v>44</v>
      </c>
      <c r="D155" s="51">
        <v>37.999319999999997</v>
      </c>
      <c r="E155" s="51">
        <v>-121.56923</v>
      </c>
      <c r="F155" s="51" t="s">
        <v>4876</v>
      </c>
      <c r="G155" s="51" t="s">
        <v>46</v>
      </c>
      <c r="H155" s="51" t="s">
        <v>74</v>
      </c>
      <c r="I155" s="66">
        <v>0.43194444444444446</v>
      </c>
      <c r="J155" s="428">
        <v>530.25</v>
      </c>
      <c r="K155" s="428">
        <v>9.9250000000000007</v>
      </c>
      <c r="L155" s="428">
        <v>9.77</v>
      </c>
      <c r="M155" s="428">
        <v>1.0049999999999999</v>
      </c>
      <c r="N155" s="428">
        <v>5.8</v>
      </c>
      <c r="O155" s="51" t="s">
        <v>48</v>
      </c>
      <c r="P155" s="51">
        <v>4</v>
      </c>
      <c r="Q155" s="51">
        <v>10</v>
      </c>
      <c r="R155" s="51" t="s">
        <v>49</v>
      </c>
      <c r="S155" s="51" t="s">
        <v>50</v>
      </c>
      <c r="T155" s="51" t="s">
        <v>50</v>
      </c>
      <c r="U155" s="51" t="s">
        <v>50</v>
      </c>
      <c r="V155" s="51" t="s">
        <v>50</v>
      </c>
      <c r="W155" s="51" t="s">
        <v>50</v>
      </c>
      <c r="X155" s="51" t="s">
        <v>50</v>
      </c>
    </row>
    <row r="156" spans="1:25" s="74" customFormat="1" x14ac:dyDescent="0.25">
      <c r="A156" s="444">
        <v>43462</v>
      </c>
      <c r="B156" s="74" t="s">
        <v>125</v>
      </c>
      <c r="C156" s="74" t="s">
        <v>44</v>
      </c>
      <c r="D156" s="74">
        <v>38.053519999999999</v>
      </c>
      <c r="E156" s="74">
        <v>-121.64171</v>
      </c>
      <c r="F156" s="74" t="s">
        <v>4877</v>
      </c>
      <c r="G156" s="74" t="s">
        <v>46</v>
      </c>
      <c r="H156" s="74" t="s">
        <v>47</v>
      </c>
      <c r="I156" s="73">
        <v>0.48888888888888887</v>
      </c>
      <c r="J156" s="445">
        <v>863.25</v>
      </c>
      <c r="K156" s="445">
        <v>10.074999999999999</v>
      </c>
      <c r="L156" s="445">
        <v>7.56</v>
      </c>
      <c r="M156" s="445">
        <v>1.0175000000000001</v>
      </c>
      <c r="N156" s="445">
        <v>5.8</v>
      </c>
      <c r="O156" s="74" t="s">
        <v>48</v>
      </c>
      <c r="P156" s="74">
        <v>4</v>
      </c>
      <c r="Q156" s="74">
        <v>10</v>
      </c>
      <c r="R156" s="74" t="s">
        <v>49</v>
      </c>
      <c r="S156" s="74" t="s">
        <v>50</v>
      </c>
      <c r="T156" s="74" t="s">
        <v>50</v>
      </c>
      <c r="U156" s="74" t="s">
        <v>50</v>
      </c>
      <c r="V156" s="74" t="s">
        <v>50</v>
      </c>
      <c r="W156" s="74" t="s">
        <v>50</v>
      </c>
      <c r="X156" s="74" t="s">
        <v>50</v>
      </c>
      <c r="Y156" s="77"/>
    </row>
    <row r="157" spans="1:25" s="424" customFormat="1" x14ac:dyDescent="0.25">
      <c r="A157" s="446">
        <v>43465</v>
      </c>
      <c r="B157" s="424" t="s">
        <v>43</v>
      </c>
      <c r="C157" s="424" t="s">
        <v>106</v>
      </c>
      <c r="D157" s="424">
        <v>38.492899999999999</v>
      </c>
      <c r="E157" s="424">
        <v>-121.58472999999999</v>
      </c>
      <c r="F157" s="424" t="s">
        <v>4878</v>
      </c>
      <c r="G157" s="424" t="s">
        <v>90</v>
      </c>
      <c r="H157" s="424" t="s">
        <v>1787</v>
      </c>
      <c r="I157" s="425">
        <v>0.38263888888888892</v>
      </c>
      <c r="J157" s="427">
        <v>530</v>
      </c>
      <c r="K157" s="427">
        <v>9.9</v>
      </c>
      <c r="L157" s="427">
        <v>72.599999999999994</v>
      </c>
      <c r="M157" s="427">
        <v>0.2</v>
      </c>
      <c r="N157" s="427">
        <v>10.5</v>
      </c>
      <c r="O157" s="424" t="s">
        <v>48</v>
      </c>
      <c r="P157" s="424">
        <v>1</v>
      </c>
      <c r="Q157" s="424">
        <v>10</v>
      </c>
      <c r="R157" s="424" t="s">
        <v>64</v>
      </c>
      <c r="S157" s="424" t="s">
        <v>50</v>
      </c>
      <c r="T157" s="424" t="s">
        <v>50</v>
      </c>
      <c r="U157" s="424" t="s">
        <v>50</v>
      </c>
      <c r="V157" s="424" t="s">
        <v>50</v>
      </c>
      <c r="W157" s="424" t="s">
        <v>50</v>
      </c>
      <c r="X157" s="424" t="s">
        <v>50</v>
      </c>
      <c r="Y157" s="426" t="s">
        <v>4879</v>
      </c>
    </row>
    <row r="158" spans="1:25" s="431" customFormat="1" x14ac:dyDescent="0.25">
      <c r="A158" s="447">
        <v>43465</v>
      </c>
      <c r="B158" s="431" t="s">
        <v>43</v>
      </c>
      <c r="C158" s="431" t="s">
        <v>106</v>
      </c>
      <c r="D158" s="431">
        <v>38.277230000000003</v>
      </c>
      <c r="E158" s="431">
        <v>-121.66016</v>
      </c>
      <c r="F158" s="431" t="s">
        <v>4880</v>
      </c>
      <c r="G158" s="431" t="s">
        <v>90</v>
      </c>
      <c r="H158" s="431" t="s">
        <v>362</v>
      </c>
      <c r="I158" s="432">
        <v>0.32569444444444445</v>
      </c>
      <c r="J158" s="433">
        <v>183.95</v>
      </c>
      <c r="K158" s="433">
        <v>9.5500000000000007</v>
      </c>
      <c r="L158" s="433">
        <v>29.6</v>
      </c>
      <c r="M158" s="433">
        <v>0.42499999999999999</v>
      </c>
      <c r="N158" s="433">
        <v>11</v>
      </c>
      <c r="O158" s="431" t="s">
        <v>48</v>
      </c>
      <c r="P158" s="431">
        <v>2</v>
      </c>
      <c r="Q158" s="431">
        <v>10</v>
      </c>
      <c r="R158" s="431" t="s">
        <v>49</v>
      </c>
      <c r="S158" s="431" t="s">
        <v>323</v>
      </c>
      <c r="T158" s="431">
        <v>1</v>
      </c>
      <c r="U158" s="431">
        <v>56</v>
      </c>
      <c r="V158" s="431" t="s">
        <v>66</v>
      </c>
      <c r="W158" s="431" t="s">
        <v>50</v>
      </c>
      <c r="X158" s="431" t="s">
        <v>50</v>
      </c>
      <c r="Y158" s="448"/>
    </row>
    <row r="159" spans="1:25" x14ac:dyDescent="0.25">
      <c r="A159" s="443">
        <v>43465</v>
      </c>
      <c r="B159" s="51" t="s">
        <v>43</v>
      </c>
      <c r="C159" s="51" t="s">
        <v>106</v>
      </c>
      <c r="D159" s="51">
        <v>38.563279999999999</v>
      </c>
      <c r="E159" s="51">
        <v>-121.55338999999999</v>
      </c>
      <c r="F159" s="51" t="s">
        <v>4881</v>
      </c>
      <c r="G159" s="51" t="s">
        <v>90</v>
      </c>
      <c r="H159" s="51" t="s">
        <v>1787</v>
      </c>
      <c r="I159" s="66">
        <v>0.45555555555555555</v>
      </c>
      <c r="J159" s="428">
        <v>783.5</v>
      </c>
      <c r="K159" s="428">
        <v>10.925000000000001</v>
      </c>
      <c r="L159" s="428">
        <v>7.3075000000000001</v>
      </c>
      <c r="M159" s="428">
        <v>1.0900000000000001</v>
      </c>
      <c r="N159" s="428">
        <v>11.525</v>
      </c>
      <c r="O159" s="51" t="s">
        <v>48</v>
      </c>
      <c r="P159" s="51">
        <v>4</v>
      </c>
      <c r="Q159" s="51">
        <v>10</v>
      </c>
      <c r="R159" s="51" t="s">
        <v>64</v>
      </c>
      <c r="S159" s="51" t="s">
        <v>50</v>
      </c>
      <c r="T159" s="51" t="s">
        <v>50</v>
      </c>
      <c r="U159" s="51" t="s">
        <v>50</v>
      </c>
      <c r="V159" s="51" t="s">
        <v>50</v>
      </c>
      <c r="W159" s="51" t="s">
        <v>50</v>
      </c>
      <c r="X159" s="51" t="s">
        <v>50</v>
      </c>
    </row>
    <row r="160" spans="1:25" s="466" customFormat="1" x14ac:dyDescent="0.25">
      <c r="A160" s="465">
        <v>43465</v>
      </c>
      <c r="B160" s="466" t="s">
        <v>43</v>
      </c>
      <c r="C160" s="466" t="s">
        <v>106</v>
      </c>
      <c r="D160" s="466">
        <v>38.186459999999997</v>
      </c>
      <c r="E160" s="466">
        <v>-121.65965</v>
      </c>
      <c r="F160" s="466" t="s">
        <v>4882</v>
      </c>
      <c r="G160" s="466" t="s">
        <v>90</v>
      </c>
      <c r="H160" s="466" t="s">
        <v>362</v>
      </c>
      <c r="I160" s="467">
        <v>0.31111111111111112</v>
      </c>
      <c r="J160" s="468" t="s">
        <v>50</v>
      </c>
      <c r="K160" s="468" t="s">
        <v>50</v>
      </c>
      <c r="L160" s="468" t="s">
        <v>50</v>
      </c>
      <c r="M160" s="468" t="s">
        <v>50</v>
      </c>
      <c r="N160" s="468" t="s">
        <v>50</v>
      </c>
      <c r="O160" s="466" t="s">
        <v>48</v>
      </c>
      <c r="P160" s="466">
        <v>0</v>
      </c>
      <c r="Q160" s="466" t="s">
        <v>50</v>
      </c>
      <c r="R160" s="466" t="s">
        <v>50</v>
      </c>
      <c r="S160" s="466" t="s">
        <v>50</v>
      </c>
      <c r="T160" s="466" t="s">
        <v>50</v>
      </c>
      <c r="U160" s="466" t="s">
        <v>50</v>
      </c>
      <c r="V160" s="466" t="s">
        <v>50</v>
      </c>
      <c r="W160" s="466" t="s">
        <v>50</v>
      </c>
      <c r="X160" s="466" t="s">
        <v>50</v>
      </c>
      <c r="Y160" s="426" t="s">
        <v>4883</v>
      </c>
    </row>
    <row r="161" spans="1:25" s="450" customFormat="1" x14ac:dyDescent="0.25">
      <c r="A161" s="449">
        <v>43467</v>
      </c>
      <c r="B161" s="450" t="s">
        <v>87</v>
      </c>
      <c r="C161" s="450" t="s">
        <v>62</v>
      </c>
      <c r="D161" s="450">
        <v>38.129469999999998</v>
      </c>
      <c r="E161" s="450">
        <v>-122.05759</v>
      </c>
      <c r="F161" s="450" t="s">
        <v>4884</v>
      </c>
      <c r="G161" s="450" t="s">
        <v>27</v>
      </c>
      <c r="H161" s="450" t="s">
        <v>62</v>
      </c>
      <c r="I161" s="451">
        <v>0.35000000000000003</v>
      </c>
      <c r="J161" s="452">
        <v>8566.75</v>
      </c>
      <c r="K161" s="452">
        <v>8.625</v>
      </c>
      <c r="L161" s="452">
        <v>37.85</v>
      </c>
      <c r="M161" s="452">
        <v>0.36499999999999999</v>
      </c>
      <c r="N161" s="452">
        <v>4.05</v>
      </c>
      <c r="O161" s="450" t="s">
        <v>48</v>
      </c>
      <c r="P161" s="450">
        <v>4</v>
      </c>
      <c r="Q161" s="450">
        <v>10</v>
      </c>
      <c r="R161" s="450" t="s">
        <v>64</v>
      </c>
      <c r="S161" s="450" t="s">
        <v>31</v>
      </c>
      <c r="T161" s="450">
        <v>3</v>
      </c>
      <c r="U161" s="450" t="s">
        <v>4885</v>
      </c>
      <c r="V161" s="450" t="s">
        <v>66</v>
      </c>
      <c r="W161" s="450" t="s">
        <v>50</v>
      </c>
      <c r="X161" s="450" t="s">
        <v>50</v>
      </c>
      <c r="Y161" s="453"/>
    </row>
    <row r="162" spans="1:25" s="450" customFormat="1" x14ac:dyDescent="0.25">
      <c r="A162" s="449">
        <v>43467</v>
      </c>
      <c r="B162" s="450" t="s">
        <v>87</v>
      </c>
      <c r="C162" s="450" t="s">
        <v>62</v>
      </c>
      <c r="D162" s="450">
        <v>38.187869999999997</v>
      </c>
      <c r="E162" s="450">
        <v>-122.05341</v>
      </c>
      <c r="F162" s="450" t="s">
        <v>4886</v>
      </c>
      <c r="G162" s="450" t="s">
        <v>27</v>
      </c>
      <c r="H162" s="450" t="s">
        <v>62</v>
      </c>
      <c r="I162" s="451">
        <v>0.41250000000000003</v>
      </c>
      <c r="J162" s="452">
        <v>5136</v>
      </c>
      <c r="K162" s="452">
        <v>8.4749999999999996</v>
      </c>
      <c r="L162" s="452">
        <v>68.125</v>
      </c>
      <c r="M162" s="452">
        <v>0.24249999999999999</v>
      </c>
      <c r="N162" s="452">
        <v>8.7750000000000004</v>
      </c>
      <c r="O162" s="450" t="s">
        <v>48</v>
      </c>
      <c r="P162" s="450">
        <v>4</v>
      </c>
      <c r="Q162" s="450">
        <v>10</v>
      </c>
      <c r="R162" s="450" t="s">
        <v>64</v>
      </c>
      <c r="S162" s="450" t="s">
        <v>31</v>
      </c>
      <c r="T162" s="450">
        <v>17</v>
      </c>
      <c r="U162" s="450" t="s">
        <v>4887</v>
      </c>
      <c r="V162" s="450" t="s">
        <v>66</v>
      </c>
      <c r="W162" s="450" t="s">
        <v>50</v>
      </c>
      <c r="X162" s="450" t="s">
        <v>50</v>
      </c>
      <c r="Y162" s="453"/>
    </row>
    <row r="163" spans="1:25" s="450" customFormat="1" x14ac:dyDescent="0.25">
      <c r="A163" s="449">
        <v>43467</v>
      </c>
      <c r="B163" s="450" t="s">
        <v>87</v>
      </c>
      <c r="C163" s="450" t="s">
        <v>62</v>
      </c>
      <c r="D163" s="450">
        <v>38.169020000000003</v>
      </c>
      <c r="E163" s="450">
        <v>-121.94602</v>
      </c>
      <c r="F163" s="450" t="s">
        <v>4888</v>
      </c>
      <c r="G163" s="450" t="s">
        <v>27</v>
      </c>
      <c r="H163" s="450" t="s">
        <v>62</v>
      </c>
      <c r="I163" s="451">
        <v>0.48958333333333331</v>
      </c>
      <c r="J163" s="452">
        <v>2374.25</v>
      </c>
      <c r="K163" s="452">
        <v>8.5</v>
      </c>
      <c r="L163" s="452">
        <v>39.9</v>
      </c>
      <c r="M163" s="452">
        <v>0.29750000000000004</v>
      </c>
      <c r="N163" s="452">
        <v>10.55</v>
      </c>
      <c r="O163" s="450" t="s">
        <v>48</v>
      </c>
      <c r="P163" s="450">
        <v>4</v>
      </c>
      <c r="Q163" s="450">
        <v>10</v>
      </c>
      <c r="R163" s="450" t="s">
        <v>64</v>
      </c>
      <c r="S163" s="450" t="s">
        <v>31</v>
      </c>
      <c r="T163" s="450">
        <v>3</v>
      </c>
      <c r="U163" s="450" t="s">
        <v>4889</v>
      </c>
      <c r="V163" s="450" t="s">
        <v>66</v>
      </c>
      <c r="W163" s="450" t="s">
        <v>50</v>
      </c>
      <c r="X163" s="450" t="s">
        <v>50</v>
      </c>
      <c r="Y163" s="453"/>
    </row>
    <row r="164" spans="1:25" x14ac:dyDescent="0.25">
      <c r="A164" s="443">
        <v>43467</v>
      </c>
      <c r="B164" s="51" t="s">
        <v>87</v>
      </c>
      <c r="C164" s="51" t="s">
        <v>845</v>
      </c>
      <c r="D164" s="51">
        <v>38.318249999999999</v>
      </c>
      <c r="E164" s="51">
        <v>-121.65459</v>
      </c>
      <c r="F164" s="51" t="s">
        <v>4890</v>
      </c>
      <c r="G164" s="51" t="s">
        <v>90</v>
      </c>
      <c r="H164" s="51" t="s">
        <v>126</v>
      </c>
      <c r="I164" s="66">
        <v>0.40416666666666662</v>
      </c>
      <c r="J164" s="428">
        <v>540.75</v>
      </c>
      <c r="K164" s="428">
        <v>6.45</v>
      </c>
      <c r="L164" s="428">
        <v>13.325000000000001</v>
      </c>
      <c r="M164" s="428">
        <v>0.76250000000000007</v>
      </c>
      <c r="N164" s="428">
        <v>3.3250000000000002</v>
      </c>
      <c r="O164" s="51" t="s">
        <v>48</v>
      </c>
      <c r="P164" s="51">
        <v>4</v>
      </c>
      <c r="Q164" s="51">
        <v>10</v>
      </c>
      <c r="R164" s="51" t="s">
        <v>64</v>
      </c>
      <c r="S164" s="51" t="s">
        <v>50</v>
      </c>
      <c r="T164" s="51" t="s">
        <v>50</v>
      </c>
      <c r="U164" s="51" t="s">
        <v>50</v>
      </c>
      <c r="V164" s="51" t="s">
        <v>50</v>
      </c>
      <c r="W164" s="51" t="s">
        <v>50</v>
      </c>
      <c r="X164" s="51" t="s">
        <v>50</v>
      </c>
    </row>
    <row r="165" spans="1:25" x14ac:dyDescent="0.25">
      <c r="A165" s="443">
        <v>43467</v>
      </c>
      <c r="B165" s="51" t="s">
        <v>87</v>
      </c>
      <c r="C165" s="51" t="s">
        <v>845</v>
      </c>
      <c r="D165" s="51">
        <v>38.23968</v>
      </c>
      <c r="E165" s="51">
        <v>-121.68209</v>
      </c>
      <c r="F165" s="51" t="s">
        <v>4891</v>
      </c>
      <c r="G165" s="51" t="s">
        <v>90</v>
      </c>
      <c r="H165" s="51" t="s">
        <v>126</v>
      </c>
      <c r="I165" s="66">
        <v>0.33124999999999999</v>
      </c>
      <c r="J165" s="428">
        <v>243.97500000000002</v>
      </c>
      <c r="K165" s="428">
        <v>7.6749999999999998</v>
      </c>
      <c r="L165" s="428">
        <v>23.625</v>
      </c>
      <c r="M165" s="428">
        <v>0.50750000000000006</v>
      </c>
      <c r="N165" s="428">
        <v>14.700000000000001</v>
      </c>
      <c r="O165" s="51" t="s">
        <v>48</v>
      </c>
      <c r="P165" s="51">
        <v>4</v>
      </c>
      <c r="Q165" s="51">
        <v>10</v>
      </c>
      <c r="R165" s="51" t="s">
        <v>49</v>
      </c>
      <c r="S165" s="51" t="s">
        <v>50</v>
      </c>
      <c r="T165" s="51" t="s">
        <v>50</v>
      </c>
      <c r="U165" s="51" t="s">
        <v>50</v>
      </c>
      <c r="V165" s="51" t="s">
        <v>50</v>
      </c>
      <c r="W165" s="51" t="s">
        <v>50</v>
      </c>
      <c r="X165" s="51" t="s">
        <v>50</v>
      </c>
      <c r="Y165" s="52" t="s">
        <v>1016</v>
      </c>
    </row>
    <row r="166" spans="1:25" x14ac:dyDescent="0.25">
      <c r="A166" s="443">
        <v>43467</v>
      </c>
      <c r="B166" s="51" t="s">
        <v>87</v>
      </c>
      <c r="C166" s="51" t="s">
        <v>845</v>
      </c>
      <c r="D166" s="51">
        <v>38.314219999999999</v>
      </c>
      <c r="E166" s="51">
        <v>-121.65546999999999</v>
      </c>
      <c r="F166" s="51" t="s">
        <v>4892</v>
      </c>
      <c r="G166" s="51" t="s">
        <v>90</v>
      </c>
      <c r="H166" s="51" t="s">
        <v>126</v>
      </c>
      <c r="I166" s="66">
        <v>0.45624999999999999</v>
      </c>
      <c r="J166" s="428">
        <v>401.6</v>
      </c>
      <c r="K166" s="428">
        <v>6.85</v>
      </c>
      <c r="L166" s="428">
        <v>17.149999999999999</v>
      </c>
      <c r="M166" s="428">
        <v>0.7</v>
      </c>
      <c r="N166" s="428">
        <v>4.7</v>
      </c>
      <c r="O166" s="51" t="s">
        <v>48</v>
      </c>
      <c r="P166" s="51">
        <v>4</v>
      </c>
      <c r="Q166" s="51">
        <v>10</v>
      </c>
      <c r="R166" s="51" t="s">
        <v>64</v>
      </c>
      <c r="S166" s="51" t="s">
        <v>50</v>
      </c>
      <c r="T166" s="51" t="s">
        <v>50</v>
      </c>
      <c r="U166" s="51" t="s">
        <v>50</v>
      </c>
      <c r="V166" s="51" t="s">
        <v>50</v>
      </c>
      <c r="W166" s="51" t="s">
        <v>50</v>
      </c>
      <c r="X166" s="51" t="s">
        <v>50</v>
      </c>
      <c r="Y166" s="35" t="s">
        <v>4893</v>
      </c>
    </row>
    <row r="167" spans="1:25" s="424" customFormat="1" x14ac:dyDescent="0.25">
      <c r="A167" s="446">
        <v>43467</v>
      </c>
      <c r="B167" s="424" t="s">
        <v>87</v>
      </c>
      <c r="C167" s="424" t="s">
        <v>845</v>
      </c>
      <c r="D167" s="424">
        <v>38.10371</v>
      </c>
      <c r="E167" s="424">
        <v>-121.71574</v>
      </c>
      <c r="F167" s="424" t="s">
        <v>4894</v>
      </c>
      <c r="G167" s="424" t="s">
        <v>90</v>
      </c>
      <c r="H167" s="424" t="s">
        <v>126</v>
      </c>
      <c r="I167" s="425">
        <v>0.38750000000000001</v>
      </c>
      <c r="J167" s="427" t="s">
        <v>50</v>
      </c>
      <c r="K167" s="427" t="s">
        <v>50</v>
      </c>
      <c r="L167" s="427" t="s">
        <v>50</v>
      </c>
      <c r="M167" s="427" t="s">
        <v>50</v>
      </c>
      <c r="N167" s="427" t="s">
        <v>50</v>
      </c>
      <c r="O167" s="424" t="s">
        <v>48</v>
      </c>
      <c r="P167" s="424">
        <v>0</v>
      </c>
      <c r="Q167" s="424" t="s">
        <v>50</v>
      </c>
      <c r="R167" s="424" t="s">
        <v>50</v>
      </c>
      <c r="S167" s="424" t="s">
        <v>50</v>
      </c>
      <c r="T167" s="424" t="s">
        <v>50</v>
      </c>
      <c r="U167" s="424" t="s">
        <v>50</v>
      </c>
      <c r="V167" s="424" t="s">
        <v>50</v>
      </c>
      <c r="W167" s="424" t="s">
        <v>50</v>
      </c>
      <c r="X167" s="424" t="s">
        <v>50</v>
      </c>
      <c r="Y167" s="426" t="s">
        <v>4895</v>
      </c>
    </row>
    <row r="168" spans="1:25" s="424" customFormat="1" x14ac:dyDescent="0.25">
      <c r="A168" s="446">
        <v>43467</v>
      </c>
      <c r="B168" s="424" t="s">
        <v>87</v>
      </c>
      <c r="C168" s="424" t="s">
        <v>845</v>
      </c>
      <c r="D168" s="424">
        <v>38.075719999999997</v>
      </c>
      <c r="E168" s="424">
        <v>-121.76425999999999</v>
      </c>
      <c r="F168" s="424" t="s">
        <v>4896</v>
      </c>
      <c r="G168" s="424" t="s">
        <v>90</v>
      </c>
      <c r="H168" s="424" t="s">
        <v>126</v>
      </c>
      <c r="I168" s="425">
        <v>0.3923611111111111</v>
      </c>
      <c r="J168" s="427" t="s">
        <v>50</v>
      </c>
      <c r="K168" s="427" t="s">
        <v>50</v>
      </c>
      <c r="L168" s="427" t="s">
        <v>50</v>
      </c>
      <c r="M168" s="427" t="s">
        <v>50</v>
      </c>
      <c r="N168" s="427" t="s">
        <v>50</v>
      </c>
      <c r="O168" s="424" t="s">
        <v>48</v>
      </c>
      <c r="P168" s="424">
        <v>0</v>
      </c>
      <c r="Q168" s="424" t="s">
        <v>50</v>
      </c>
      <c r="R168" s="424" t="s">
        <v>50</v>
      </c>
      <c r="S168" s="424" t="s">
        <v>50</v>
      </c>
      <c r="T168" s="424" t="s">
        <v>50</v>
      </c>
      <c r="U168" s="424" t="s">
        <v>50</v>
      </c>
      <c r="V168" s="424" t="s">
        <v>50</v>
      </c>
      <c r="W168" s="424" t="s">
        <v>50</v>
      </c>
      <c r="X168" s="424" t="s">
        <v>50</v>
      </c>
      <c r="Y168" s="426" t="s">
        <v>4895</v>
      </c>
    </row>
    <row r="169" spans="1:25" x14ac:dyDescent="0.25">
      <c r="A169" s="443">
        <v>43467</v>
      </c>
      <c r="B169" s="51" t="s">
        <v>87</v>
      </c>
      <c r="C169" s="51" t="s">
        <v>95</v>
      </c>
      <c r="D169" s="51">
        <v>38.020490000000002</v>
      </c>
      <c r="E169" s="51">
        <v>-121.74336</v>
      </c>
      <c r="F169" s="51" t="s">
        <v>4897</v>
      </c>
      <c r="G169" s="51" t="s">
        <v>27</v>
      </c>
      <c r="H169" s="51" t="s">
        <v>863</v>
      </c>
      <c r="I169" s="66">
        <v>0.33333333333333331</v>
      </c>
      <c r="J169" s="428">
        <v>813</v>
      </c>
      <c r="K169" s="428">
        <v>8.4749999999999996</v>
      </c>
      <c r="L169" s="428">
        <v>16.25</v>
      </c>
      <c r="M169" s="428">
        <v>0.62</v>
      </c>
      <c r="N169" s="428">
        <v>3.8249999999999997</v>
      </c>
      <c r="O169" s="51" t="s">
        <v>48</v>
      </c>
      <c r="P169" s="51">
        <v>4</v>
      </c>
      <c r="Q169" s="51">
        <v>10</v>
      </c>
      <c r="R169" s="51" t="s">
        <v>64</v>
      </c>
      <c r="S169" s="51" t="s">
        <v>50</v>
      </c>
      <c r="T169" s="51" t="s">
        <v>50</v>
      </c>
      <c r="U169" s="51" t="s">
        <v>50</v>
      </c>
      <c r="V169" s="51" t="s">
        <v>50</v>
      </c>
      <c r="W169" s="51" t="s">
        <v>50</v>
      </c>
      <c r="X169" s="51" t="s">
        <v>50</v>
      </c>
    </row>
    <row r="170" spans="1:25" x14ac:dyDescent="0.25">
      <c r="A170" s="443">
        <v>43467</v>
      </c>
      <c r="B170" s="51" t="s">
        <v>87</v>
      </c>
      <c r="C170" s="51" t="s">
        <v>95</v>
      </c>
      <c r="D170" s="51">
        <v>38.05789</v>
      </c>
      <c r="E170" s="51">
        <v>-121.68107000000001</v>
      </c>
      <c r="F170" s="51" t="s">
        <v>4898</v>
      </c>
      <c r="G170" s="51" t="s">
        <v>46</v>
      </c>
      <c r="H170" s="51" t="s">
        <v>908</v>
      </c>
      <c r="I170" s="66">
        <v>0.38472222222222219</v>
      </c>
      <c r="J170" s="428">
        <v>662</v>
      </c>
      <c r="K170" s="428">
        <v>8.7750000000000004</v>
      </c>
      <c r="L170" s="428">
        <v>14.375</v>
      </c>
      <c r="M170" s="428">
        <v>0.79999999999999993</v>
      </c>
      <c r="N170" s="428">
        <v>10.925000000000001</v>
      </c>
      <c r="O170" s="51" t="s">
        <v>48</v>
      </c>
      <c r="P170" s="51">
        <v>4</v>
      </c>
      <c r="Q170" s="51">
        <v>10</v>
      </c>
      <c r="R170" s="51" t="s">
        <v>64</v>
      </c>
      <c r="S170" s="51" t="s">
        <v>50</v>
      </c>
      <c r="T170" s="51" t="s">
        <v>50</v>
      </c>
      <c r="U170" s="51" t="s">
        <v>50</v>
      </c>
      <c r="V170" s="51" t="s">
        <v>50</v>
      </c>
      <c r="W170" s="51" t="s">
        <v>50</v>
      </c>
      <c r="X170" s="51" t="s">
        <v>50</v>
      </c>
      <c r="Y170" s="52" t="s">
        <v>4899</v>
      </c>
    </row>
    <row r="171" spans="1:25" x14ac:dyDescent="0.25">
      <c r="A171" s="443">
        <v>43467</v>
      </c>
      <c r="B171" s="51" t="s">
        <v>87</v>
      </c>
      <c r="C171" s="51" t="s">
        <v>95</v>
      </c>
      <c r="D171" s="51">
        <v>38.085410000000003</v>
      </c>
      <c r="E171" s="51">
        <v>-121.57525</v>
      </c>
      <c r="F171" s="51" t="s">
        <v>4900</v>
      </c>
      <c r="G171" s="51" t="s">
        <v>46</v>
      </c>
      <c r="H171" s="51" t="s">
        <v>115</v>
      </c>
      <c r="I171" s="66">
        <v>0.44097222222222227</v>
      </c>
      <c r="J171" s="428">
        <v>339.625</v>
      </c>
      <c r="K171" s="428">
        <v>9</v>
      </c>
      <c r="L171" s="428">
        <v>10.604999999999999</v>
      </c>
      <c r="M171" s="428">
        <v>1.0275000000000001</v>
      </c>
      <c r="N171" s="428">
        <v>10.45</v>
      </c>
      <c r="O171" s="51" t="s">
        <v>48</v>
      </c>
      <c r="P171" s="51">
        <v>4</v>
      </c>
      <c r="Q171" s="51">
        <v>10</v>
      </c>
      <c r="R171" s="51" t="s">
        <v>64</v>
      </c>
      <c r="S171" s="51" t="s">
        <v>50</v>
      </c>
      <c r="T171" s="51" t="s">
        <v>50</v>
      </c>
      <c r="U171" s="51" t="s">
        <v>50</v>
      </c>
      <c r="V171" s="51" t="s">
        <v>50</v>
      </c>
      <c r="W171" s="51" t="s">
        <v>50</v>
      </c>
      <c r="X171" s="51" t="s">
        <v>50</v>
      </c>
    </row>
    <row r="172" spans="1:25" x14ac:dyDescent="0.25">
      <c r="A172" s="443">
        <v>43468</v>
      </c>
      <c r="B172" s="51" t="s">
        <v>105</v>
      </c>
      <c r="C172" s="51" t="s">
        <v>78</v>
      </c>
      <c r="D172" s="51">
        <v>38.065440000000002</v>
      </c>
      <c r="E172" s="51">
        <v>-121.85209</v>
      </c>
      <c r="F172" s="51" t="s">
        <v>4901</v>
      </c>
      <c r="G172" s="51" t="s">
        <v>27</v>
      </c>
      <c r="H172" s="51" t="s">
        <v>101</v>
      </c>
      <c r="I172" s="66">
        <v>0.34375</v>
      </c>
      <c r="J172" s="428">
        <v>1490</v>
      </c>
      <c r="K172" s="428">
        <v>8.8000000000000007</v>
      </c>
      <c r="L172" s="428">
        <v>27.049999999999997</v>
      </c>
      <c r="M172" s="428">
        <v>0.38500000000000001</v>
      </c>
      <c r="N172" s="428">
        <v>10.75</v>
      </c>
      <c r="O172" s="51" t="s">
        <v>48</v>
      </c>
      <c r="P172" s="51">
        <v>4</v>
      </c>
      <c r="Q172" s="51">
        <v>10</v>
      </c>
      <c r="R172" s="51" t="s">
        <v>49</v>
      </c>
      <c r="S172" s="51" t="s">
        <v>50</v>
      </c>
      <c r="T172" s="51" t="s">
        <v>50</v>
      </c>
      <c r="U172" s="51" t="s">
        <v>50</v>
      </c>
      <c r="V172" s="51" t="s">
        <v>50</v>
      </c>
      <c r="W172" s="51" t="s">
        <v>50</v>
      </c>
      <c r="X172" s="51" t="s">
        <v>50</v>
      </c>
      <c r="Y172" s="52" t="s">
        <v>4716</v>
      </c>
    </row>
    <row r="173" spans="1:25" x14ac:dyDescent="0.25">
      <c r="A173" s="443">
        <v>43468</v>
      </c>
      <c r="B173" s="51" t="s">
        <v>105</v>
      </c>
      <c r="C173" s="51" t="s">
        <v>78</v>
      </c>
      <c r="D173" s="51">
        <v>38.066029999999998</v>
      </c>
      <c r="E173" s="51">
        <v>-122.10487999999999</v>
      </c>
      <c r="F173" s="51" t="s">
        <v>4902</v>
      </c>
      <c r="G173" s="51" t="s">
        <v>80</v>
      </c>
      <c r="H173" s="51" t="s">
        <v>81</v>
      </c>
      <c r="I173" s="66">
        <v>0.47361111111111115</v>
      </c>
      <c r="J173" s="428">
        <v>16137</v>
      </c>
      <c r="K173" s="428">
        <v>10.199999999999999</v>
      </c>
      <c r="L173" s="428">
        <v>32.274999999999999</v>
      </c>
      <c r="M173" s="428">
        <v>0.52500000000000002</v>
      </c>
      <c r="N173" s="428">
        <v>7.1249999999999991</v>
      </c>
      <c r="O173" s="51" t="s">
        <v>48</v>
      </c>
      <c r="P173" s="51">
        <v>4</v>
      </c>
      <c r="Q173" s="51">
        <v>10</v>
      </c>
      <c r="R173" s="51" t="s">
        <v>64</v>
      </c>
      <c r="S173" s="51" t="s">
        <v>50</v>
      </c>
      <c r="T173" s="51" t="s">
        <v>50</v>
      </c>
      <c r="U173" s="51" t="s">
        <v>50</v>
      </c>
      <c r="V173" s="51" t="s">
        <v>50</v>
      </c>
      <c r="W173" s="51" t="s">
        <v>50</v>
      </c>
      <c r="X173" s="51" t="s">
        <v>50</v>
      </c>
    </row>
    <row r="174" spans="1:25" x14ac:dyDescent="0.25">
      <c r="A174" s="443">
        <v>43468</v>
      </c>
      <c r="B174" s="51" t="s">
        <v>105</v>
      </c>
      <c r="C174" s="51" t="s">
        <v>78</v>
      </c>
      <c r="D174" s="51">
        <v>38.100349999999999</v>
      </c>
      <c r="E174" s="51">
        <v>-122.03758000000001</v>
      </c>
      <c r="F174" s="51" t="s">
        <v>4903</v>
      </c>
      <c r="G174" s="51" t="s">
        <v>27</v>
      </c>
      <c r="H174" s="51" t="s">
        <v>86</v>
      </c>
      <c r="I174" s="66">
        <v>0.55347222222222225</v>
      </c>
      <c r="J174" s="428">
        <v>12835.5</v>
      </c>
      <c r="K174" s="428">
        <v>9.85</v>
      </c>
      <c r="L174" s="428">
        <v>27.425000000000004</v>
      </c>
      <c r="M174" s="428">
        <v>0.54500000000000004</v>
      </c>
      <c r="N174" s="428">
        <v>7.25</v>
      </c>
      <c r="O174" s="51" t="s">
        <v>48</v>
      </c>
      <c r="P174" s="51">
        <v>4</v>
      </c>
      <c r="Q174" s="51">
        <v>10</v>
      </c>
      <c r="R174" s="51" t="s">
        <v>64</v>
      </c>
      <c r="S174" s="51" t="s">
        <v>50</v>
      </c>
      <c r="T174" s="51" t="s">
        <v>50</v>
      </c>
      <c r="U174" s="51" t="s">
        <v>50</v>
      </c>
      <c r="V174" s="51" t="s">
        <v>50</v>
      </c>
      <c r="W174" s="51" t="s">
        <v>50</v>
      </c>
      <c r="X174" s="51" t="s">
        <v>50</v>
      </c>
    </row>
    <row r="175" spans="1:25" s="54" customFormat="1" x14ac:dyDescent="0.25">
      <c r="A175" s="457">
        <v>43468</v>
      </c>
      <c r="B175" s="54" t="s">
        <v>105</v>
      </c>
      <c r="C175" s="54" t="s">
        <v>78</v>
      </c>
      <c r="D175" s="54">
        <v>38.058300000000003</v>
      </c>
      <c r="E175" s="54">
        <v>-122.03883</v>
      </c>
      <c r="F175" s="54" t="s">
        <v>4904</v>
      </c>
      <c r="G175" s="54" t="s">
        <v>27</v>
      </c>
      <c r="H175" s="54" t="s">
        <v>86</v>
      </c>
      <c r="I175" s="55">
        <v>0.59375</v>
      </c>
      <c r="J175" s="456">
        <v>13627</v>
      </c>
      <c r="K175" s="456">
        <v>10.050000000000001</v>
      </c>
      <c r="L175" s="456">
        <v>19.125</v>
      </c>
      <c r="M175" s="456">
        <v>0.57250000000000001</v>
      </c>
      <c r="N175" s="456">
        <v>8.5</v>
      </c>
      <c r="O175" s="54" t="s">
        <v>48</v>
      </c>
      <c r="P175" s="54">
        <v>4</v>
      </c>
      <c r="Q175" s="54">
        <v>10</v>
      </c>
      <c r="R175" s="54" t="s">
        <v>49</v>
      </c>
      <c r="S175" s="54" t="s">
        <v>50</v>
      </c>
      <c r="T175" s="54" t="s">
        <v>50</v>
      </c>
      <c r="U175" s="54" t="s">
        <v>50</v>
      </c>
      <c r="V175" s="54" t="s">
        <v>50</v>
      </c>
      <c r="W175" s="54" t="s">
        <v>50</v>
      </c>
      <c r="X175" s="54" t="s">
        <v>50</v>
      </c>
      <c r="Y175" s="67"/>
    </row>
    <row r="176" spans="1:25" s="450" customFormat="1" x14ac:dyDescent="0.25">
      <c r="A176" s="449">
        <v>43468</v>
      </c>
      <c r="B176" s="450" t="s">
        <v>105</v>
      </c>
      <c r="C176" s="450" t="s">
        <v>88</v>
      </c>
      <c r="D176" s="450">
        <v>38.058570000000003</v>
      </c>
      <c r="E176" s="450">
        <v>-121.82008999999999</v>
      </c>
      <c r="F176" s="450" t="s">
        <v>4905</v>
      </c>
      <c r="G176" s="450" t="s">
        <v>27</v>
      </c>
      <c r="H176" s="450" t="s">
        <v>25</v>
      </c>
      <c r="I176" s="451">
        <v>0.31388888888888888</v>
      </c>
      <c r="J176" s="452">
        <v>1247</v>
      </c>
      <c r="K176" s="452">
        <v>8.6</v>
      </c>
      <c r="L176" s="452">
        <v>20.9</v>
      </c>
      <c r="M176" s="452">
        <v>0.48499999999999999</v>
      </c>
      <c r="N176" s="452">
        <v>7.8999999999999995</v>
      </c>
      <c r="O176" s="450" t="s">
        <v>48</v>
      </c>
      <c r="P176" s="450">
        <v>4</v>
      </c>
      <c r="Q176" s="450">
        <v>10</v>
      </c>
      <c r="R176" s="450" t="s">
        <v>49</v>
      </c>
      <c r="S176" s="450" t="s">
        <v>348</v>
      </c>
      <c r="T176" s="450">
        <v>1</v>
      </c>
      <c r="U176" s="450">
        <v>125</v>
      </c>
      <c r="V176" s="450" t="s">
        <v>50</v>
      </c>
      <c r="W176" s="450" t="s">
        <v>50</v>
      </c>
      <c r="X176" s="450" t="s">
        <v>50</v>
      </c>
      <c r="Y176" s="453" t="s">
        <v>4906</v>
      </c>
    </row>
    <row r="177" spans="1:25" s="450" customFormat="1" x14ac:dyDescent="0.25">
      <c r="A177" s="449">
        <v>43468</v>
      </c>
      <c r="B177" s="450" t="s">
        <v>105</v>
      </c>
      <c r="C177" s="450" t="s">
        <v>88</v>
      </c>
      <c r="D177" s="450">
        <v>38.063589999999998</v>
      </c>
      <c r="E177" s="450">
        <v>-121.78552999999999</v>
      </c>
      <c r="F177" s="450" t="s">
        <v>4907</v>
      </c>
      <c r="G177" s="450" t="s">
        <v>27</v>
      </c>
      <c r="H177" s="450" t="s">
        <v>25</v>
      </c>
      <c r="I177" s="451">
        <v>0.3659722222222222</v>
      </c>
      <c r="J177" s="452">
        <v>575.75</v>
      </c>
      <c r="K177" s="452">
        <v>8.5249999999999986</v>
      </c>
      <c r="L177" s="452">
        <v>18.625</v>
      </c>
      <c r="M177" s="452">
        <v>0.54749999999999999</v>
      </c>
      <c r="N177" s="452">
        <v>9.4750000000000014</v>
      </c>
      <c r="O177" s="450" t="s">
        <v>48</v>
      </c>
      <c r="P177" s="450">
        <v>4</v>
      </c>
      <c r="Q177" s="450">
        <v>10</v>
      </c>
      <c r="R177" s="450" t="s">
        <v>49</v>
      </c>
      <c r="S177" s="450" t="s">
        <v>348</v>
      </c>
      <c r="T177" s="450">
        <v>1</v>
      </c>
      <c r="U177" s="450" t="s">
        <v>50</v>
      </c>
      <c r="V177" s="450" t="s">
        <v>50</v>
      </c>
      <c r="W177" s="450" t="s">
        <v>50</v>
      </c>
      <c r="X177" s="450" t="s">
        <v>50</v>
      </c>
      <c r="Y177" s="453" t="s">
        <v>4908</v>
      </c>
    </row>
    <row r="178" spans="1:25" x14ac:dyDescent="0.25">
      <c r="A178" s="443">
        <v>43468</v>
      </c>
      <c r="B178" s="51" t="s">
        <v>105</v>
      </c>
      <c r="C178" s="51" t="s">
        <v>88</v>
      </c>
      <c r="D178" s="51">
        <v>38.071510000000004</v>
      </c>
      <c r="E178" s="51">
        <v>-121.76788000000001</v>
      </c>
      <c r="F178" s="51" t="s">
        <v>4909</v>
      </c>
      <c r="G178" s="51" t="s">
        <v>27</v>
      </c>
      <c r="H178" s="51" t="s">
        <v>25</v>
      </c>
      <c r="I178" s="66">
        <v>0.41597222222222219</v>
      </c>
      <c r="J178" s="428">
        <v>522.95000000000005</v>
      </c>
      <c r="K178" s="428">
        <v>8.5</v>
      </c>
      <c r="L178" s="428">
        <v>19.925000000000001</v>
      </c>
      <c r="M178" s="428">
        <v>0.65500000000000003</v>
      </c>
      <c r="N178" s="428">
        <v>11.175000000000001</v>
      </c>
      <c r="O178" s="51" t="s">
        <v>48</v>
      </c>
      <c r="P178" s="51">
        <v>4</v>
      </c>
      <c r="Q178" s="51">
        <v>10</v>
      </c>
      <c r="R178" s="51" t="s">
        <v>64</v>
      </c>
      <c r="S178" s="51" t="s">
        <v>50</v>
      </c>
      <c r="T178" s="51" t="s">
        <v>50</v>
      </c>
      <c r="U178" s="51" t="s">
        <v>50</v>
      </c>
      <c r="V178" s="51" t="s">
        <v>50</v>
      </c>
      <c r="W178" s="51" t="s">
        <v>50</v>
      </c>
      <c r="X178" s="51" t="s">
        <v>50</v>
      </c>
      <c r="Y178" s="52" t="s">
        <v>3491</v>
      </c>
    </row>
    <row r="179" spans="1:25" x14ac:dyDescent="0.25">
      <c r="A179" s="443">
        <v>43468</v>
      </c>
      <c r="B179" s="51" t="s">
        <v>105</v>
      </c>
      <c r="C179" s="51" t="s">
        <v>88</v>
      </c>
      <c r="D179" s="51">
        <v>38.076239999999999</v>
      </c>
      <c r="E179" s="51">
        <v>-121.76398</v>
      </c>
      <c r="F179" s="51" t="s">
        <v>4910</v>
      </c>
      <c r="G179" s="51" t="s">
        <v>27</v>
      </c>
      <c r="H179" s="51" t="s">
        <v>25</v>
      </c>
      <c r="I179" s="66">
        <v>0.4604166666666667</v>
      </c>
      <c r="J179" s="428">
        <v>977.25</v>
      </c>
      <c r="K179" s="428">
        <v>8.7249999999999996</v>
      </c>
      <c r="L179" s="428">
        <v>29.024999999999999</v>
      </c>
      <c r="M179" s="428">
        <v>0.44999999999999996</v>
      </c>
      <c r="N179" s="428">
        <v>10.4</v>
      </c>
      <c r="O179" s="51" t="s">
        <v>48</v>
      </c>
      <c r="P179" s="51">
        <v>4</v>
      </c>
      <c r="Q179" s="51">
        <v>10</v>
      </c>
      <c r="R179" s="51" t="s">
        <v>64</v>
      </c>
      <c r="S179" s="51" t="s">
        <v>50</v>
      </c>
      <c r="T179" s="51" t="s">
        <v>50</v>
      </c>
      <c r="U179" s="51" t="s">
        <v>50</v>
      </c>
      <c r="V179" s="51" t="s">
        <v>50</v>
      </c>
      <c r="W179" s="51" t="s">
        <v>50</v>
      </c>
      <c r="X179" s="51" t="s">
        <v>50</v>
      </c>
    </row>
    <row r="180" spans="1:25" x14ac:dyDescent="0.25">
      <c r="A180" s="443">
        <v>43468</v>
      </c>
      <c r="B180" s="51" t="s">
        <v>105</v>
      </c>
      <c r="C180" s="51" t="s">
        <v>95</v>
      </c>
      <c r="D180" s="51">
        <v>38.020940000000003</v>
      </c>
      <c r="E180" s="51">
        <v>-121.80661000000001</v>
      </c>
      <c r="F180" s="51" t="s">
        <v>4911</v>
      </c>
      <c r="G180" s="51" t="s">
        <v>27</v>
      </c>
      <c r="H180" s="51" t="s">
        <v>863</v>
      </c>
      <c r="I180" s="66">
        <v>0.33888888888888885</v>
      </c>
      <c r="J180" s="428">
        <v>938.25</v>
      </c>
      <c r="K180" s="428">
        <v>8.8000000000000007</v>
      </c>
      <c r="L180" s="428">
        <v>24.975000000000001</v>
      </c>
      <c r="M180" s="428">
        <v>0.6925</v>
      </c>
      <c r="N180" s="428">
        <v>10.650000000000002</v>
      </c>
      <c r="O180" s="51" t="s">
        <v>48</v>
      </c>
      <c r="P180" s="51">
        <v>4</v>
      </c>
      <c r="Q180" s="51">
        <v>10</v>
      </c>
      <c r="R180" s="51" t="s">
        <v>49</v>
      </c>
      <c r="S180" s="51" t="s">
        <v>50</v>
      </c>
      <c r="T180" s="51" t="s">
        <v>50</v>
      </c>
      <c r="U180" s="51" t="s">
        <v>50</v>
      </c>
      <c r="V180" s="51" t="s">
        <v>50</v>
      </c>
      <c r="W180" s="51" t="s">
        <v>50</v>
      </c>
      <c r="X180" s="51" t="s">
        <v>50</v>
      </c>
      <c r="Y180" s="52" t="s">
        <v>4912</v>
      </c>
    </row>
    <row r="181" spans="1:25" x14ac:dyDescent="0.25">
      <c r="A181" s="443">
        <v>43468</v>
      </c>
      <c r="B181" s="51" t="s">
        <v>105</v>
      </c>
      <c r="C181" s="51" t="s">
        <v>95</v>
      </c>
      <c r="D181" s="51">
        <v>38.021009999999997</v>
      </c>
      <c r="E181" s="51">
        <v>-121.7483</v>
      </c>
      <c r="F181" s="51" t="s">
        <v>4913</v>
      </c>
      <c r="G181" s="51" t="s">
        <v>27</v>
      </c>
      <c r="H181" s="51" t="s">
        <v>863</v>
      </c>
      <c r="I181" s="66">
        <v>0.40138888888888885</v>
      </c>
      <c r="J181" s="428">
        <v>805.25</v>
      </c>
      <c r="K181" s="428">
        <v>8.5749999999999993</v>
      </c>
      <c r="L181" s="428">
        <v>18.225000000000001</v>
      </c>
      <c r="M181" s="428">
        <v>0.78500000000000003</v>
      </c>
      <c r="N181" s="428">
        <v>4.125</v>
      </c>
      <c r="O181" s="51" t="s">
        <v>48</v>
      </c>
      <c r="P181" s="51">
        <v>4</v>
      </c>
      <c r="Q181" s="51">
        <v>10</v>
      </c>
      <c r="R181" s="51" t="s">
        <v>64</v>
      </c>
      <c r="S181" s="51" t="s">
        <v>50</v>
      </c>
      <c r="T181" s="51" t="s">
        <v>50</v>
      </c>
      <c r="U181" s="51" t="s">
        <v>50</v>
      </c>
      <c r="V181" s="51" t="s">
        <v>50</v>
      </c>
      <c r="W181" s="51" t="s">
        <v>50</v>
      </c>
      <c r="X181" s="51" t="s">
        <v>50</v>
      </c>
    </row>
    <row r="182" spans="1:25" x14ac:dyDescent="0.25">
      <c r="A182" s="443">
        <v>43468</v>
      </c>
      <c r="B182" s="51" t="s">
        <v>105</v>
      </c>
      <c r="C182" s="51" t="s">
        <v>95</v>
      </c>
      <c r="D182" s="51">
        <v>38.09563</v>
      </c>
      <c r="E182" s="51">
        <v>-121.57902</v>
      </c>
      <c r="F182" s="51" t="s">
        <v>4914</v>
      </c>
      <c r="G182" s="51" t="s">
        <v>27</v>
      </c>
      <c r="H182" s="51" t="s">
        <v>115</v>
      </c>
      <c r="I182" s="66">
        <v>0.46736111111111112</v>
      </c>
      <c r="J182" s="428">
        <v>394.22500000000002</v>
      </c>
      <c r="K182" s="428">
        <v>8.9499999999999993</v>
      </c>
      <c r="L182" s="428">
        <v>10.567500000000001</v>
      </c>
      <c r="M182" s="428">
        <v>1.3925000000000001</v>
      </c>
      <c r="N182" s="428">
        <v>15.574999999999999</v>
      </c>
      <c r="O182" s="51" t="s">
        <v>48</v>
      </c>
      <c r="P182" s="51">
        <v>4</v>
      </c>
      <c r="Q182" s="51">
        <v>10</v>
      </c>
      <c r="R182" s="51" t="s">
        <v>64</v>
      </c>
      <c r="S182" s="51" t="s">
        <v>50</v>
      </c>
      <c r="T182" s="51" t="s">
        <v>50</v>
      </c>
      <c r="U182" s="51" t="s">
        <v>50</v>
      </c>
      <c r="V182" s="51" t="s">
        <v>50</v>
      </c>
      <c r="W182" s="51" t="s">
        <v>50</v>
      </c>
      <c r="X182" s="51" t="s">
        <v>50</v>
      </c>
    </row>
    <row r="183" spans="1:25" x14ac:dyDescent="0.25">
      <c r="A183" s="443">
        <v>43469</v>
      </c>
      <c r="B183" s="51" t="s">
        <v>125</v>
      </c>
      <c r="C183" s="51" t="s">
        <v>118</v>
      </c>
      <c r="D183" s="51">
        <v>38.060940000000002</v>
      </c>
      <c r="E183" s="51">
        <v>-122.24481</v>
      </c>
      <c r="F183" s="51" t="s">
        <v>4915</v>
      </c>
      <c r="G183" s="51" t="s">
        <v>80</v>
      </c>
      <c r="H183" s="51" t="s">
        <v>120</v>
      </c>
      <c r="I183" s="66">
        <v>0.30277777777777776</v>
      </c>
      <c r="J183" s="428">
        <v>18274</v>
      </c>
      <c r="K183" s="428">
        <v>10.125</v>
      </c>
      <c r="L183" s="428">
        <v>14.524999999999999</v>
      </c>
      <c r="M183" s="428">
        <v>0.65749999999999997</v>
      </c>
      <c r="N183" s="428">
        <v>16.675000000000001</v>
      </c>
      <c r="O183" s="51" t="s">
        <v>48</v>
      </c>
      <c r="P183" s="51">
        <v>4</v>
      </c>
      <c r="Q183" s="51">
        <v>10</v>
      </c>
      <c r="R183" s="51" t="s">
        <v>49</v>
      </c>
      <c r="S183" s="51" t="s">
        <v>50</v>
      </c>
      <c r="T183" s="51" t="s">
        <v>50</v>
      </c>
      <c r="U183" s="51" t="s">
        <v>50</v>
      </c>
      <c r="V183" s="51" t="s">
        <v>50</v>
      </c>
      <c r="W183" s="51" t="s">
        <v>50</v>
      </c>
      <c r="X183" s="51" t="s">
        <v>50</v>
      </c>
    </row>
    <row r="184" spans="1:25" x14ac:dyDescent="0.25">
      <c r="A184" s="443">
        <v>43469</v>
      </c>
      <c r="B184" s="51" t="s">
        <v>125</v>
      </c>
      <c r="C184" s="51" t="s">
        <v>118</v>
      </c>
      <c r="D184" s="51">
        <v>38.041719999999998</v>
      </c>
      <c r="E184" s="51">
        <v>-122.31117</v>
      </c>
      <c r="F184" s="51" t="s">
        <v>4916</v>
      </c>
      <c r="G184" s="51" t="s">
        <v>80</v>
      </c>
      <c r="H184" s="51" t="s">
        <v>123</v>
      </c>
      <c r="I184" s="66">
        <v>0.40486111111111112</v>
      </c>
      <c r="J184" s="428">
        <v>26641.75</v>
      </c>
      <c r="K184" s="428">
        <v>10.775</v>
      </c>
      <c r="L184" s="428">
        <v>26.775000000000002</v>
      </c>
      <c r="M184" s="428">
        <v>0.54499999999999993</v>
      </c>
      <c r="N184" s="428">
        <v>8.75</v>
      </c>
      <c r="O184" s="51" t="s">
        <v>48</v>
      </c>
      <c r="P184" s="51">
        <v>4</v>
      </c>
      <c r="Q184" s="51">
        <v>10</v>
      </c>
      <c r="R184" s="51" t="s">
        <v>64</v>
      </c>
      <c r="S184" s="51" t="s">
        <v>50</v>
      </c>
      <c r="T184" s="51" t="s">
        <v>50</v>
      </c>
      <c r="U184" s="51" t="s">
        <v>50</v>
      </c>
      <c r="V184" s="51" t="s">
        <v>50</v>
      </c>
      <c r="W184" s="51" t="s">
        <v>50</v>
      </c>
      <c r="X184" s="51" t="s">
        <v>50</v>
      </c>
      <c r="Y184" s="52" t="s">
        <v>4917</v>
      </c>
    </row>
    <row r="185" spans="1:25" x14ac:dyDescent="0.25">
      <c r="A185" s="443">
        <v>43469</v>
      </c>
      <c r="B185" s="51" t="s">
        <v>125</v>
      </c>
      <c r="C185" s="51" t="s">
        <v>118</v>
      </c>
      <c r="D185" s="51">
        <v>38.05124</v>
      </c>
      <c r="E185" s="51">
        <v>-122.29351</v>
      </c>
      <c r="F185" s="51" t="s">
        <v>4918</v>
      </c>
      <c r="G185" s="51" t="s">
        <v>80</v>
      </c>
      <c r="H185" s="51" t="s">
        <v>123</v>
      </c>
      <c r="I185" s="66">
        <v>0.46388888888888885</v>
      </c>
      <c r="J185" s="428">
        <v>23086.25</v>
      </c>
      <c r="K185" s="428">
        <v>10.45</v>
      </c>
      <c r="L185" s="428">
        <v>13.2</v>
      </c>
      <c r="M185" s="428">
        <v>0.65249999999999997</v>
      </c>
      <c r="N185" s="428">
        <v>12.725</v>
      </c>
      <c r="O185" s="51" t="s">
        <v>48</v>
      </c>
      <c r="P185" s="51">
        <v>4</v>
      </c>
      <c r="Q185" s="51">
        <v>10</v>
      </c>
      <c r="R185" s="51" t="s">
        <v>64</v>
      </c>
      <c r="S185" s="51" t="s">
        <v>50</v>
      </c>
      <c r="T185" s="51" t="s">
        <v>50</v>
      </c>
      <c r="U185" s="51" t="s">
        <v>50</v>
      </c>
      <c r="V185" s="51" t="s">
        <v>50</v>
      </c>
      <c r="W185" s="51" t="s">
        <v>50</v>
      </c>
      <c r="X185" s="51" t="s">
        <v>50</v>
      </c>
    </row>
    <row r="186" spans="1:25" x14ac:dyDescent="0.25">
      <c r="A186" s="443">
        <v>43469</v>
      </c>
      <c r="B186" s="51" t="s">
        <v>125</v>
      </c>
      <c r="C186" s="51" t="s">
        <v>118</v>
      </c>
      <c r="D186" s="51">
        <v>38.056699999999999</v>
      </c>
      <c r="E186" s="51">
        <v>-122.20022</v>
      </c>
      <c r="F186" s="51" t="s">
        <v>4919</v>
      </c>
      <c r="G186" s="51" t="s">
        <v>80</v>
      </c>
      <c r="H186" s="51" t="s">
        <v>120</v>
      </c>
      <c r="I186" s="66">
        <v>0.52708333333333335</v>
      </c>
      <c r="J186" s="428">
        <v>22873.75</v>
      </c>
      <c r="K186" s="428">
        <v>10.5</v>
      </c>
      <c r="L186" s="428">
        <v>21.074999999999999</v>
      </c>
      <c r="M186" s="428">
        <v>0.51249999999999996</v>
      </c>
      <c r="N186" s="428">
        <v>29.125</v>
      </c>
      <c r="O186" s="51" t="s">
        <v>48</v>
      </c>
      <c r="P186" s="51">
        <v>4</v>
      </c>
      <c r="Q186" s="51">
        <v>10</v>
      </c>
      <c r="R186" s="51" t="s">
        <v>64</v>
      </c>
      <c r="S186" s="51" t="s">
        <v>50</v>
      </c>
      <c r="T186" s="51" t="s">
        <v>50</v>
      </c>
      <c r="U186" s="51" t="s">
        <v>50</v>
      </c>
      <c r="V186" s="51" t="s">
        <v>50</v>
      </c>
      <c r="W186" s="51" t="s">
        <v>50</v>
      </c>
      <c r="X186" s="51" t="s">
        <v>50</v>
      </c>
      <c r="Y186" s="52" t="s">
        <v>4357</v>
      </c>
    </row>
    <row r="187" spans="1:25" x14ac:dyDescent="0.25">
      <c r="A187" s="443">
        <v>43469</v>
      </c>
      <c r="B187" s="51" t="s">
        <v>125</v>
      </c>
      <c r="C187" s="51" t="s">
        <v>88</v>
      </c>
      <c r="D187" s="51">
        <v>38.10284</v>
      </c>
      <c r="E187" s="51">
        <v>-121.71617999999999</v>
      </c>
      <c r="F187" s="51" t="s">
        <v>4920</v>
      </c>
      <c r="G187" s="51" t="s">
        <v>90</v>
      </c>
      <c r="H187" s="51" t="s">
        <v>91</v>
      </c>
      <c r="I187" s="66">
        <v>0.32222222222222224</v>
      </c>
      <c r="J187" s="428">
        <v>303.09999999999997</v>
      </c>
      <c r="K187" s="428">
        <v>8.0749999999999993</v>
      </c>
      <c r="L187" s="428">
        <v>14.325000000000001</v>
      </c>
      <c r="M187" s="428">
        <v>0.76500000000000001</v>
      </c>
      <c r="N187" s="428">
        <v>5.2250000000000005</v>
      </c>
      <c r="O187" s="51" t="s">
        <v>48</v>
      </c>
      <c r="P187" s="51">
        <v>4</v>
      </c>
      <c r="Q187" s="51">
        <v>10</v>
      </c>
      <c r="R187" s="51" t="s">
        <v>49</v>
      </c>
      <c r="S187" s="51" t="s">
        <v>50</v>
      </c>
      <c r="T187" s="51" t="s">
        <v>50</v>
      </c>
      <c r="U187" s="51" t="s">
        <v>50</v>
      </c>
      <c r="V187" s="51" t="s">
        <v>50</v>
      </c>
      <c r="W187" s="51" t="s">
        <v>50</v>
      </c>
      <c r="X187" s="51" t="s">
        <v>50</v>
      </c>
    </row>
    <row r="188" spans="1:25" x14ac:dyDescent="0.25">
      <c r="A188" s="443">
        <v>43469</v>
      </c>
      <c r="B188" s="51" t="s">
        <v>125</v>
      </c>
      <c r="C188" s="51" t="s">
        <v>88</v>
      </c>
      <c r="D188" s="51">
        <v>38.110520000000001</v>
      </c>
      <c r="E188" s="51">
        <v>-121.71153</v>
      </c>
      <c r="F188" s="51" t="s">
        <v>4921</v>
      </c>
      <c r="G188" s="51" t="s">
        <v>90</v>
      </c>
      <c r="H188" s="51" t="s">
        <v>91</v>
      </c>
      <c r="I188" s="66">
        <v>0.36874999999999997</v>
      </c>
      <c r="J188" s="428">
        <v>236.875</v>
      </c>
      <c r="K188" s="428">
        <v>8.0500000000000007</v>
      </c>
      <c r="L188" s="428">
        <v>13.825000000000001</v>
      </c>
      <c r="M188" s="428">
        <v>0.84500000000000008</v>
      </c>
      <c r="N188" s="428">
        <v>10.125</v>
      </c>
      <c r="O188" s="51" t="s">
        <v>48</v>
      </c>
      <c r="P188" s="51">
        <v>4</v>
      </c>
      <c r="Q188" s="51">
        <v>10</v>
      </c>
      <c r="R188" s="51" t="s">
        <v>49</v>
      </c>
      <c r="S188" s="51" t="s">
        <v>50</v>
      </c>
      <c r="T188" s="51" t="s">
        <v>50</v>
      </c>
      <c r="U188" s="51" t="s">
        <v>50</v>
      </c>
      <c r="V188" s="51" t="s">
        <v>50</v>
      </c>
      <c r="W188" s="51" t="s">
        <v>50</v>
      </c>
      <c r="X188" s="51" t="s">
        <v>50</v>
      </c>
      <c r="Y188" s="52" t="s">
        <v>3551</v>
      </c>
    </row>
    <row r="189" spans="1:25" x14ac:dyDescent="0.25">
      <c r="A189" s="443">
        <v>43469</v>
      </c>
      <c r="B189" s="51" t="s">
        <v>125</v>
      </c>
      <c r="C189" s="51" t="s">
        <v>88</v>
      </c>
      <c r="D189" s="51">
        <v>38.159750000000003</v>
      </c>
      <c r="E189" s="51">
        <v>-121.68162</v>
      </c>
      <c r="F189" s="51" t="s">
        <v>4922</v>
      </c>
      <c r="G189" s="51" t="s">
        <v>90</v>
      </c>
      <c r="H189" s="51" t="s">
        <v>91</v>
      </c>
      <c r="I189" s="66">
        <v>0.42083333333333334</v>
      </c>
      <c r="J189" s="428">
        <v>208.70000000000002</v>
      </c>
      <c r="K189" s="428">
        <v>8.0250000000000004</v>
      </c>
      <c r="L189" s="428">
        <v>10.697500000000002</v>
      </c>
      <c r="M189" s="428">
        <v>1.0950000000000002</v>
      </c>
      <c r="N189" s="428">
        <v>7.5</v>
      </c>
      <c r="O189" s="51" t="s">
        <v>48</v>
      </c>
      <c r="P189" s="51">
        <v>4</v>
      </c>
      <c r="Q189" s="51">
        <v>10</v>
      </c>
      <c r="R189" s="51" t="s">
        <v>64</v>
      </c>
      <c r="S189" s="51" t="s">
        <v>50</v>
      </c>
      <c r="T189" s="51" t="s">
        <v>50</v>
      </c>
      <c r="U189" s="51" t="s">
        <v>50</v>
      </c>
      <c r="V189" s="51" t="s">
        <v>50</v>
      </c>
      <c r="W189" s="51" t="s">
        <v>50</v>
      </c>
      <c r="X189" s="51" t="s">
        <v>50</v>
      </c>
    </row>
    <row r="190" spans="1:25" x14ac:dyDescent="0.25">
      <c r="A190" s="443">
        <v>43469</v>
      </c>
      <c r="B190" s="51" t="s">
        <v>125</v>
      </c>
      <c r="C190" s="51" t="s">
        <v>44</v>
      </c>
      <c r="D190" s="51">
        <v>38.05997</v>
      </c>
      <c r="E190" s="51">
        <v>-121.58248</v>
      </c>
      <c r="F190" s="51" t="s">
        <v>4923</v>
      </c>
      <c r="G190" s="51" t="s">
        <v>46</v>
      </c>
      <c r="H190" s="51" t="s">
        <v>47</v>
      </c>
      <c r="I190" s="66">
        <v>0.32291666666666669</v>
      </c>
      <c r="J190" s="428">
        <v>548.5</v>
      </c>
      <c r="K190" s="428">
        <v>8.7249999999999996</v>
      </c>
      <c r="L190" s="428">
        <v>9.0350000000000001</v>
      </c>
      <c r="M190" s="428">
        <v>1.52</v>
      </c>
      <c r="N190" s="428">
        <v>6.7750000000000004</v>
      </c>
      <c r="O190" s="51" t="s">
        <v>48</v>
      </c>
      <c r="P190" s="51">
        <v>4</v>
      </c>
      <c r="Q190" s="51">
        <v>10</v>
      </c>
      <c r="R190" s="51" t="s">
        <v>64</v>
      </c>
      <c r="S190" s="51" t="s">
        <v>50</v>
      </c>
      <c r="T190" s="51" t="s">
        <v>50</v>
      </c>
      <c r="U190" s="51" t="s">
        <v>50</v>
      </c>
      <c r="V190" s="51" t="s">
        <v>50</v>
      </c>
      <c r="W190" s="51" t="s">
        <v>50</v>
      </c>
      <c r="X190" s="51" t="s">
        <v>50</v>
      </c>
    </row>
    <row r="191" spans="1:25" x14ac:dyDescent="0.25">
      <c r="A191" s="443">
        <v>43469</v>
      </c>
      <c r="B191" s="51" t="s">
        <v>125</v>
      </c>
      <c r="C191" s="51" t="s">
        <v>44</v>
      </c>
      <c r="D191" s="51">
        <v>38.027909999999999</v>
      </c>
      <c r="E191" s="51">
        <v>-121.58074000000001</v>
      </c>
      <c r="F191" s="51" t="s">
        <v>4924</v>
      </c>
      <c r="G191" s="51" t="s">
        <v>46</v>
      </c>
      <c r="H191" s="51" t="s">
        <v>74</v>
      </c>
      <c r="I191" s="66">
        <v>0.3923611111111111</v>
      </c>
      <c r="J191" s="428">
        <v>742.66666666666663</v>
      </c>
      <c r="K191" s="428">
        <v>7.9000000000000012</v>
      </c>
      <c r="L191" s="428">
        <v>13.299999999999999</v>
      </c>
      <c r="M191" s="428">
        <v>0.97333333333333327</v>
      </c>
      <c r="N191" s="428">
        <v>8.1333333333333346</v>
      </c>
      <c r="O191" s="51" t="s">
        <v>48</v>
      </c>
      <c r="P191" s="51">
        <v>3</v>
      </c>
      <c r="Q191" s="51">
        <v>10</v>
      </c>
      <c r="R191" s="51" t="s">
        <v>49</v>
      </c>
      <c r="S191" s="51" t="s">
        <v>50</v>
      </c>
      <c r="T191" s="51" t="s">
        <v>50</v>
      </c>
      <c r="U191" s="51" t="s">
        <v>50</v>
      </c>
      <c r="V191" s="51" t="s">
        <v>50</v>
      </c>
      <c r="W191" s="51" t="s">
        <v>50</v>
      </c>
      <c r="X191" s="51" t="s">
        <v>50</v>
      </c>
      <c r="Y191" s="52" t="s">
        <v>4925</v>
      </c>
    </row>
    <row r="192" spans="1:25" s="74" customFormat="1" x14ac:dyDescent="0.25">
      <c r="A192" s="444">
        <v>43469</v>
      </c>
      <c r="B192" s="74" t="s">
        <v>125</v>
      </c>
      <c r="C192" s="74" t="s">
        <v>44</v>
      </c>
      <c r="D192" s="74">
        <v>37.971629999999998</v>
      </c>
      <c r="E192" s="74">
        <v>-121.47834</v>
      </c>
      <c r="F192" s="74" t="s">
        <v>4926</v>
      </c>
      <c r="G192" s="74" t="s">
        <v>46</v>
      </c>
      <c r="H192" s="74" t="s">
        <v>59</v>
      </c>
      <c r="I192" s="73">
        <v>0.4604166666666667</v>
      </c>
      <c r="J192" s="445">
        <v>527</v>
      </c>
      <c r="K192" s="445">
        <v>8.6999999999999993</v>
      </c>
      <c r="L192" s="445">
        <v>6.5600000000000005</v>
      </c>
      <c r="M192" s="445" t="s">
        <v>2547</v>
      </c>
      <c r="N192" s="445">
        <v>6.9</v>
      </c>
      <c r="O192" s="74" t="s">
        <v>48</v>
      </c>
      <c r="P192" s="74">
        <v>4</v>
      </c>
      <c r="Q192" s="74">
        <v>10</v>
      </c>
      <c r="R192" s="74" t="s">
        <v>49</v>
      </c>
      <c r="S192" s="74" t="s">
        <v>50</v>
      </c>
      <c r="T192" s="74" t="s">
        <v>50</v>
      </c>
      <c r="U192" s="74" t="s">
        <v>50</v>
      </c>
      <c r="V192" s="74" t="s">
        <v>50</v>
      </c>
      <c r="W192" s="74" t="s">
        <v>50</v>
      </c>
      <c r="X192" s="74" t="s">
        <v>50</v>
      </c>
      <c r="Y192" s="77"/>
    </row>
    <row r="193" spans="1:25" x14ac:dyDescent="0.25">
      <c r="A193" s="443">
        <v>43472</v>
      </c>
      <c r="B193" s="51" t="s">
        <v>43</v>
      </c>
      <c r="C193" s="51" t="s">
        <v>44</v>
      </c>
      <c r="D193" s="51">
        <v>38.031100000000002</v>
      </c>
      <c r="E193" s="51">
        <v>-121.60605</v>
      </c>
      <c r="F193" s="51" t="s">
        <v>4927</v>
      </c>
      <c r="G193" s="51" t="s">
        <v>46</v>
      </c>
      <c r="H193" s="51" t="s">
        <v>47</v>
      </c>
      <c r="I193" s="66">
        <v>0.34027777777777773</v>
      </c>
      <c r="J193" s="428">
        <v>593.25</v>
      </c>
      <c r="K193" s="428">
        <v>8.5250000000000004</v>
      </c>
      <c r="L193" s="428">
        <v>37.25</v>
      </c>
      <c r="M193" s="428">
        <v>0.33</v>
      </c>
      <c r="N193" s="428">
        <v>2.7</v>
      </c>
      <c r="O193" s="51" t="s">
        <v>48</v>
      </c>
      <c r="P193" s="51">
        <v>4</v>
      </c>
      <c r="Q193" s="51">
        <v>10</v>
      </c>
      <c r="R193" s="51" t="s">
        <v>49</v>
      </c>
      <c r="S193" s="51" t="s">
        <v>50</v>
      </c>
      <c r="T193" s="51" t="s">
        <v>50</v>
      </c>
      <c r="U193" s="51" t="s">
        <v>50</v>
      </c>
      <c r="V193" s="51" t="s">
        <v>50</v>
      </c>
      <c r="W193" s="51" t="s">
        <v>50</v>
      </c>
      <c r="X193" s="51" t="s">
        <v>50</v>
      </c>
    </row>
    <row r="194" spans="1:25" x14ac:dyDescent="0.25">
      <c r="A194" s="443">
        <v>43472</v>
      </c>
      <c r="B194" s="51" t="s">
        <v>43</v>
      </c>
      <c r="C194" s="51" t="s">
        <v>44</v>
      </c>
      <c r="D194" s="51">
        <v>38.06035</v>
      </c>
      <c r="E194" s="51">
        <v>-121.60665</v>
      </c>
      <c r="F194" s="51" t="s">
        <v>4928</v>
      </c>
      <c r="G194" s="51" t="s">
        <v>46</v>
      </c>
      <c r="H194" s="51" t="s">
        <v>47</v>
      </c>
      <c r="I194" s="66">
        <v>0.40208333333333335</v>
      </c>
      <c r="J194" s="428">
        <v>577.25</v>
      </c>
      <c r="K194" s="428">
        <v>8.75</v>
      </c>
      <c r="L194" s="428">
        <v>67.224999999999994</v>
      </c>
      <c r="M194" s="428">
        <v>0.25</v>
      </c>
      <c r="N194" s="428">
        <v>8.0500000000000007</v>
      </c>
      <c r="O194" s="51" t="s">
        <v>48</v>
      </c>
      <c r="P194" s="51">
        <v>4</v>
      </c>
      <c r="Q194" s="51">
        <v>10</v>
      </c>
      <c r="R194" s="51" t="s">
        <v>49</v>
      </c>
      <c r="S194" s="51" t="s">
        <v>50</v>
      </c>
      <c r="T194" s="51" t="s">
        <v>50</v>
      </c>
      <c r="U194" s="51" t="s">
        <v>50</v>
      </c>
      <c r="V194" s="51" t="s">
        <v>50</v>
      </c>
      <c r="W194" s="51" t="s">
        <v>50</v>
      </c>
      <c r="X194" s="51" t="s">
        <v>50</v>
      </c>
      <c r="Y194" s="52" t="s">
        <v>4929</v>
      </c>
    </row>
    <row r="195" spans="1:25" s="424" customFormat="1" x14ac:dyDescent="0.25">
      <c r="A195" s="446">
        <v>43472</v>
      </c>
      <c r="B195" s="424" t="s">
        <v>43</v>
      </c>
      <c r="C195" s="424" t="s">
        <v>44</v>
      </c>
      <c r="D195" s="424">
        <v>38.053890000000003</v>
      </c>
      <c r="E195" s="424">
        <v>-121.64617</v>
      </c>
      <c r="F195" s="424" t="s">
        <v>4930</v>
      </c>
      <c r="G195" s="424" t="s">
        <v>46</v>
      </c>
      <c r="H195" s="424" t="s">
        <v>47</v>
      </c>
      <c r="I195" s="425">
        <v>0.32777777777777778</v>
      </c>
      <c r="J195" s="427" t="s">
        <v>50</v>
      </c>
      <c r="K195" s="427" t="s">
        <v>50</v>
      </c>
      <c r="L195" s="427" t="s">
        <v>50</v>
      </c>
      <c r="M195" s="427" t="s">
        <v>50</v>
      </c>
      <c r="N195" s="427" t="s">
        <v>50</v>
      </c>
      <c r="O195" s="424" t="s">
        <v>48</v>
      </c>
      <c r="P195" s="424">
        <v>0</v>
      </c>
      <c r="Q195" s="424" t="s">
        <v>50</v>
      </c>
      <c r="R195" s="424" t="s">
        <v>50</v>
      </c>
      <c r="S195" s="424" t="s">
        <v>50</v>
      </c>
      <c r="T195" s="424" t="s">
        <v>50</v>
      </c>
      <c r="U195" s="424" t="s">
        <v>50</v>
      </c>
      <c r="V195" s="424" t="s">
        <v>50</v>
      </c>
      <c r="W195" s="424" t="s">
        <v>50</v>
      </c>
      <c r="X195" s="424" t="s">
        <v>50</v>
      </c>
      <c r="Y195" s="426" t="s">
        <v>4931</v>
      </c>
    </row>
    <row r="196" spans="1:25" s="424" customFormat="1" x14ac:dyDescent="0.25">
      <c r="A196" s="446">
        <v>43472</v>
      </c>
      <c r="B196" s="424" t="s">
        <v>43</v>
      </c>
      <c r="C196" s="424" t="s">
        <v>44</v>
      </c>
      <c r="D196" s="424">
        <v>38.044409999999999</v>
      </c>
      <c r="E196" s="424">
        <v>-121.59099999999999</v>
      </c>
      <c r="F196" s="424" t="s">
        <v>4932</v>
      </c>
      <c r="G196" s="424" t="s">
        <v>46</v>
      </c>
      <c r="H196" s="424" t="s">
        <v>47</v>
      </c>
      <c r="I196" s="425">
        <v>0.39374999999999999</v>
      </c>
      <c r="J196" s="427" t="s">
        <v>50</v>
      </c>
      <c r="K196" s="427" t="s">
        <v>50</v>
      </c>
      <c r="L196" s="427" t="s">
        <v>50</v>
      </c>
      <c r="M196" s="427" t="s">
        <v>50</v>
      </c>
      <c r="N196" s="427" t="s">
        <v>50</v>
      </c>
      <c r="O196" s="424" t="s">
        <v>48</v>
      </c>
      <c r="P196" s="424">
        <v>0</v>
      </c>
      <c r="Q196" s="424" t="s">
        <v>50</v>
      </c>
      <c r="R196" s="424" t="s">
        <v>50</v>
      </c>
      <c r="S196" s="424" t="s">
        <v>50</v>
      </c>
      <c r="T196" s="424" t="s">
        <v>50</v>
      </c>
      <c r="U196" s="424" t="s">
        <v>50</v>
      </c>
      <c r="V196" s="424" t="s">
        <v>50</v>
      </c>
      <c r="W196" s="424" t="s">
        <v>50</v>
      </c>
      <c r="X196" s="424" t="s">
        <v>50</v>
      </c>
      <c r="Y196" s="426" t="s">
        <v>4933</v>
      </c>
    </row>
    <row r="197" spans="1:25" s="424" customFormat="1" x14ac:dyDescent="0.25">
      <c r="A197" s="446">
        <v>43472</v>
      </c>
      <c r="B197" s="424" t="s">
        <v>43</v>
      </c>
      <c r="C197" s="424" t="s">
        <v>44</v>
      </c>
      <c r="D197" s="424">
        <v>37.993389999999998</v>
      </c>
      <c r="E197" s="424">
        <v>-121.51684</v>
      </c>
      <c r="F197" s="424" t="s">
        <v>4934</v>
      </c>
      <c r="G197" s="424" t="s">
        <v>46</v>
      </c>
      <c r="H197" s="424" t="s">
        <v>59</v>
      </c>
      <c r="I197" s="425">
        <v>0.48125000000000001</v>
      </c>
      <c r="J197" s="427">
        <v>327.7</v>
      </c>
      <c r="K197" s="427">
        <v>8.8000000000000007</v>
      </c>
      <c r="L197" s="427">
        <v>17</v>
      </c>
      <c r="M197" s="427">
        <v>1.04</v>
      </c>
      <c r="N197" s="427">
        <v>9.6</v>
      </c>
      <c r="O197" s="424" t="s">
        <v>48</v>
      </c>
      <c r="P197" s="424">
        <v>1</v>
      </c>
      <c r="Q197" s="424">
        <v>10</v>
      </c>
      <c r="R197" s="424" t="s">
        <v>49</v>
      </c>
      <c r="S197" s="424" t="s">
        <v>50</v>
      </c>
      <c r="T197" s="424" t="s">
        <v>50</v>
      </c>
      <c r="U197" s="424" t="s">
        <v>50</v>
      </c>
      <c r="V197" s="424" t="s">
        <v>50</v>
      </c>
      <c r="W197" s="424" t="s">
        <v>50</v>
      </c>
      <c r="X197" s="424" t="s">
        <v>50</v>
      </c>
      <c r="Y197" s="426" t="s">
        <v>4935</v>
      </c>
    </row>
    <row r="198" spans="1:25" s="431" customFormat="1" x14ac:dyDescent="0.25">
      <c r="A198" s="447">
        <v>43472</v>
      </c>
      <c r="B198" s="431" t="s">
        <v>43</v>
      </c>
      <c r="C198" s="431" t="s">
        <v>88</v>
      </c>
      <c r="D198" s="431">
        <v>38.058100000000003</v>
      </c>
      <c r="E198" s="431">
        <v>-121.81547999999999</v>
      </c>
      <c r="F198" s="431" t="s">
        <v>4936</v>
      </c>
      <c r="G198" s="431" t="s">
        <v>27</v>
      </c>
      <c r="H198" s="431" t="s">
        <v>25</v>
      </c>
      <c r="I198" s="432">
        <v>0.33333333333333331</v>
      </c>
      <c r="J198" s="433">
        <v>2588</v>
      </c>
      <c r="K198" s="433">
        <v>8.6499999999999986</v>
      </c>
      <c r="L198" s="433">
        <v>18.899999999999999</v>
      </c>
      <c r="M198" s="433">
        <v>0.73</v>
      </c>
      <c r="N198" s="433">
        <v>9.6499999999999986</v>
      </c>
      <c r="O198" s="431" t="s">
        <v>48</v>
      </c>
      <c r="P198" s="431">
        <v>2</v>
      </c>
      <c r="Q198" s="431">
        <v>10</v>
      </c>
      <c r="R198" s="431" t="s">
        <v>49</v>
      </c>
      <c r="S198" s="431" t="s">
        <v>323</v>
      </c>
      <c r="T198" s="431">
        <v>1</v>
      </c>
      <c r="U198" s="431">
        <v>65</v>
      </c>
      <c r="V198" s="431" t="s">
        <v>66</v>
      </c>
      <c r="W198" s="431" t="s">
        <v>50</v>
      </c>
      <c r="X198" s="431" t="s">
        <v>50</v>
      </c>
      <c r="Y198" s="448" t="s">
        <v>124</v>
      </c>
    </row>
    <row r="199" spans="1:25" x14ac:dyDescent="0.25">
      <c r="A199" s="443">
        <v>43472</v>
      </c>
      <c r="B199" s="51" t="s">
        <v>43</v>
      </c>
      <c r="C199" s="51" t="s">
        <v>88</v>
      </c>
      <c r="D199" s="51">
        <v>38.075560000000003</v>
      </c>
      <c r="E199" s="51">
        <v>-121.76418</v>
      </c>
      <c r="F199" s="51" t="s">
        <v>4937</v>
      </c>
      <c r="G199" s="51" t="s">
        <v>27</v>
      </c>
      <c r="H199" s="51" t="s">
        <v>25</v>
      </c>
      <c r="I199" s="66">
        <v>0.36805555555555558</v>
      </c>
      <c r="J199" s="428">
        <v>460.4</v>
      </c>
      <c r="K199" s="428">
        <v>8.1999999999999993</v>
      </c>
      <c r="L199" s="428">
        <v>23.200000000000003</v>
      </c>
      <c r="M199" s="428">
        <v>0.75250000000000006</v>
      </c>
      <c r="N199" s="428">
        <v>9.75</v>
      </c>
      <c r="O199" s="51" t="s">
        <v>48</v>
      </c>
      <c r="P199" s="51">
        <v>4</v>
      </c>
      <c r="Q199" s="51">
        <v>10</v>
      </c>
      <c r="R199" s="51" t="s">
        <v>49</v>
      </c>
      <c r="S199" s="51" t="s">
        <v>50</v>
      </c>
      <c r="T199" s="51" t="s">
        <v>50</v>
      </c>
      <c r="U199" s="51" t="s">
        <v>50</v>
      </c>
      <c r="V199" s="51" t="s">
        <v>50</v>
      </c>
      <c r="W199" s="51" t="s">
        <v>50</v>
      </c>
      <c r="X199" s="51" t="s">
        <v>50</v>
      </c>
    </row>
    <row r="200" spans="1:25" x14ac:dyDescent="0.25">
      <c r="A200" s="443">
        <v>43472</v>
      </c>
      <c r="B200" s="51" t="s">
        <v>43</v>
      </c>
      <c r="C200" s="51" t="s">
        <v>88</v>
      </c>
      <c r="D200" s="51">
        <v>38.085889999999999</v>
      </c>
      <c r="E200" s="51">
        <v>-121.70979</v>
      </c>
      <c r="F200" s="51" t="s">
        <v>4938</v>
      </c>
      <c r="G200" s="51" t="s">
        <v>90</v>
      </c>
      <c r="H200" s="51" t="s">
        <v>91</v>
      </c>
      <c r="I200" s="66">
        <v>0.41805555555555557</v>
      </c>
      <c r="J200" s="428">
        <v>352.57500000000005</v>
      </c>
      <c r="K200" s="428">
        <v>8.2249999999999996</v>
      </c>
      <c r="L200" s="428">
        <v>23.424999999999997</v>
      </c>
      <c r="M200" s="428">
        <v>0.88249999999999995</v>
      </c>
      <c r="N200" s="428">
        <v>3.3250000000000002</v>
      </c>
      <c r="O200" s="51" t="s">
        <v>48</v>
      </c>
      <c r="P200" s="51">
        <v>4</v>
      </c>
      <c r="Q200" s="51">
        <v>10</v>
      </c>
      <c r="R200" s="51" t="s">
        <v>49</v>
      </c>
      <c r="S200" s="51" t="s">
        <v>50</v>
      </c>
      <c r="T200" s="51" t="s">
        <v>50</v>
      </c>
      <c r="U200" s="51" t="s">
        <v>50</v>
      </c>
      <c r="V200" s="51" t="s">
        <v>50</v>
      </c>
      <c r="W200" s="51" t="s">
        <v>50</v>
      </c>
      <c r="X200" s="51" t="s">
        <v>50</v>
      </c>
    </row>
    <row r="201" spans="1:25" x14ac:dyDescent="0.25">
      <c r="A201" s="443">
        <v>43472</v>
      </c>
      <c r="B201" s="51" t="s">
        <v>43</v>
      </c>
      <c r="C201" s="51" t="s">
        <v>88</v>
      </c>
      <c r="D201" s="51">
        <v>38.095959999999998</v>
      </c>
      <c r="E201" s="51">
        <v>-121.73115</v>
      </c>
      <c r="F201" s="51" t="s">
        <v>4939</v>
      </c>
      <c r="G201" s="51" t="s">
        <v>90</v>
      </c>
      <c r="H201" s="51" t="s">
        <v>91</v>
      </c>
      <c r="I201" s="66">
        <v>0.46388888888888885</v>
      </c>
      <c r="J201" s="428">
        <v>143.45000000000002</v>
      </c>
      <c r="K201" s="428">
        <v>7.95</v>
      </c>
      <c r="L201" s="428">
        <v>17.525000000000002</v>
      </c>
      <c r="M201" s="428">
        <v>1.0925</v>
      </c>
      <c r="N201" s="428">
        <v>9.6999999999999993</v>
      </c>
      <c r="O201" s="51" t="s">
        <v>48</v>
      </c>
      <c r="P201" s="51">
        <v>4</v>
      </c>
      <c r="Q201" s="51">
        <v>10</v>
      </c>
      <c r="R201" s="51" t="s">
        <v>49</v>
      </c>
      <c r="S201" s="51" t="s">
        <v>50</v>
      </c>
      <c r="T201" s="51" t="s">
        <v>50</v>
      </c>
      <c r="U201" s="51" t="s">
        <v>50</v>
      </c>
      <c r="V201" s="51" t="s">
        <v>50</v>
      </c>
      <c r="W201" s="51" t="s">
        <v>50</v>
      </c>
      <c r="X201" s="51" t="s">
        <v>50</v>
      </c>
    </row>
    <row r="202" spans="1:25" x14ac:dyDescent="0.25">
      <c r="A202" s="443">
        <v>43472</v>
      </c>
      <c r="B202" s="51" t="s">
        <v>43</v>
      </c>
      <c r="C202" s="51" t="s">
        <v>118</v>
      </c>
      <c r="D202" s="51">
        <v>38.033569999999997</v>
      </c>
      <c r="E202" s="51">
        <v>-122.31551</v>
      </c>
      <c r="F202" s="51" t="s">
        <v>4940</v>
      </c>
      <c r="G202" s="51" t="s">
        <v>80</v>
      </c>
      <c r="H202" s="51" t="s">
        <v>123</v>
      </c>
      <c r="I202" s="66">
        <v>0.3666666666666667</v>
      </c>
      <c r="J202" s="428">
        <v>34155.25</v>
      </c>
      <c r="K202" s="428">
        <v>10.5</v>
      </c>
      <c r="L202" s="428">
        <v>18.574999999999999</v>
      </c>
      <c r="M202" s="428">
        <v>0.65749999999999997</v>
      </c>
      <c r="N202" s="428">
        <v>3.5500000000000003</v>
      </c>
      <c r="O202" s="51" t="s">
        <v>48</v>
      </c>
      <c r="P202" s="51">
        <v>4</v>
      </c>
      <c r="Q202" s="51">
        <v>10</v>
      </c>
      <c r="R202" s="51" t="s">
        <v>49</v>
      </c>
      <c r="S202" s="51" t="s">
        <v>50</v>
      </c>
      <c r="T202" s="51" t="s">
        <v>50</v>
      </c>
      <c r="U202" s="51" t="s">
        <v>50</v>
      </c>
      <c r="V202" s="51" t="s">
        <v>50</v>
      </c>
      <c r="W202" s="51" t="s">
        <v>50</v>
      </c>
      <c r="X202" s="51" t="s">
        <v>50</v>
      </c>
    </row>
    <row r="203" spans="1:25" x14ac:dyDescent="0.25">
      <c r="A203" s="443">
        <v>43472</v>
      </c>
      <c r="B203" s="51" t="s">
        <v>43</v>
      </c>
      <c r="C203" s="51" t="s">
        <v>118</v>
      </c>
      <c r="D203" s="51">
        <v>38.06062</v>
      </c>
      <c r="E203" s="51">
        <v>-122.29728</v>
      </c>
      <c r="F203" s="51" t="s">
        <v>4941</v>
      </c>
      <c r="G203" s="51" t="s">
        <v>80</v>
      </c>
      <c r="H203" s="51" t="s">
        <v>123</v>
      </c>
      <c r="I203" s="66">
        <v>0.42430555555555555</v>
      </c>
      <c r="J203" s="428">
        <v>28548.25</v>
      </c>
      <c r="K203" s="428">
        <v>10.25</v>
      </c>
      <c r="L203" s="428">
        <v>19.25</v>
      </c>
      <c r="M203" s="428">
        <v>0.68</v>
      </c>
      <c r="N203" s="428">
        <v>8.5500000000000007</v>
      </c>
      <c r="O203" s="51" t="s">
        <v>48</v>
      </c>
      <c r="P203" s="51">
        <v>4</v>
      </c>
      <c r="Q203" s="51">
        <v>10</v>
      </c>
      <c r="R203" s="51" t="s">
        <v>64</v>
      </c>
      <c r="S203" s="51" t="s">
        <v>50</v>
      </c>
      <c r="T203" s="51" t="s">
        <v>50</v>
      </c>
      <c r="U203" s="51" t="s">
        <v>50</v>
      </c>
      <c r="V203" s="51" t="s">
        <v>50</v>
      </c>
      <c r="W203" s="51" t="s">
        <v>50</v>
      </c>
      <c r="X203" s="51" t="s">
        <v>50</v>
      </c>
    </row>
    <row r="204" spans="1:25" x14ac:dyDescent="0.25">
      <c r="A204" s="443">
        <v>43472</v>
      </c>
      <c r="B204" s="51" t="s">
        <v>43</v>
      </c>
      <c r="C204" s="51" t="s">
        <v>118</v>
      </c>
      <c r="D204" s="51">
        <v>38.057310000000001</v>
      </c>
      <c r="E204" s="51">
        <v>-122.18159</v>
      </c>
      <c r="F204" s="51" t="s">
        <v>4942</v>
      </c>
      <c r="G204" s="51" t="s">
        <v>80</v>
      </c>
      <c r="H204" s="51" t="s">
        <v>120</v>
      </c>
      <c r="I204" s="66">
        <v>0.4861111111111111</v>
      </c>
      <c r="J204" s="428">
        <v>25583</v>
      </c>
      <c r="K204" s="428">
        <v>10.149999999999999</v>
      </c>
      <c r="L204" s="428">
        <v>21.85</v>
      </c>
      <c r="M204" s="428">
        <v>0.61750000000000005</v>
      </c>
      <c r="N204" s="428">
        <v>9.7749999999999986</v>
      </c>
      <c r="O204" s="51" t="s">
        <v>48</v>
      </c>
      <c r="P204" s="51">
        <v>4</v>
      </c>
      <c r="Q204" s="51">
        <v>10</v>
      </c>
      <c r="R204" s="51" t="s">
        <v>64</v>
      </c>
      <c r="S204" s="51" t="s">
        <v>50</v>
      </c>
      <c r="T204" s="51" t="s">
        <v>50</v>
      </c>
      <c r="U204" s="51" t="s">
        <v>50</v>
      </c>
      <c r="V204" s="51" t="s">
        <v>50</v>
      </c>
      <c r="W204" s="51" t="s">
        <v>50</v>
      </c>
      <c r="X204" s="51" t="s">
        <v>50</v>
      </c>
    </row>
    <row r="205" spans="1:25" x14ac:dyDescent="0.25">
      <c r="A205" s="443">
        <v>43472</v>
      </c>
      <c r="B205" s="51" t="s">
        <v>43</v>
      </c>
      <c r="C205" s="51" t="s">
        <v>118</v>
      </c>
      <c r="D205" s="51">
        <v>38.026319999999998</v>
      </c>
      <c r="E205" s="51">
        <v>-122.15674</v>
      </c>
      <c r="F205" s="51" t="s">
        <v>4943</v>
      </c>
      <c r="G205" s="51" t="s">
        <v>80</v>
      </c>
      <c r="H205" s="51" t="s">
        <v>120</v>
      </c>
      <c r="I205" s="66">
        <v>0.53611111111111109</v>
      </c>
      <c r="J205" s="428">
        <v>25092.25</v>
      </c>
      <c r="K205" s="428">
        <v>10.1</v>
      </c>
      <c r="L205" s="428">
        <v>18.975000000000001</v>
      </c>
      <c r="M205" s="428">
        <v>0.67249999999999999</v>
      </c>
      <c r="N205" s="428">
        <v>7.85</v>
      </c>
      <c r="O205" s="51" t="s">
        <v>48</v>
      </c>
      <c r="P205" s="51">
        <v>4</v>
      </c>
      <c r="Q205" s="51">
        <v>10</v>
      </c>
      <c r="R205" s="51" t="s">
        <v>64</v>
      </c>
      <c r="S205" s="51" t="s">
        <v>50</v>
      </c>
      <c r="T205" s="51" t="s">
        <v>50</v>
      </c>
      <c r="U205" s="51" t="s">
        <v>50</v>
      </c>
      <c r="V205" s="51" t="s">
        <v>50</v>
      </c>
      <c r="W205" s="51" t="s">
        <v>50</v>
      </c>
      <c r="X205" s="51" t="s">
        <v>50</v>
      </c>
    </row>
    <row r="206" spans="1:25" x14ac:dyDescent="0.25">
      <c r="A206" s="443">
        <v>43472</v>
      </c>
      <c r="B206" s="51" t="s">
        <v>43</v>
      </c>
      <c r="C206" s="51" t="s">
        <v>118</v>
      </c>
      <c r="D206" s="51">
        <v>38.043430000000001</v>
      </c>
      <c r="E206" s="51">
        <v>-122.17076</v>
      </c>
      <c r="F206" s="51" t="s">
        <v>4944</v>
      </c>
      <c r="G206" s="51" t="s">
        <v>80</v>
      </c>
      <c r="H206" s="51" t="s">
        <v>120</v>
      </c>
      <c r="I206" s="66">
        <v>0.59861111111111109</v>
      </c>
      <c r="J206" s="428">
        <v>28925</v>
      </c>
      <c r="K206" s="428">
        <v>10.5</v>
      </c>
      <c r="L206" s="428">
        <v>20.75</v>
      </c>
      <c r="M206" s="428">
        <v>0.8</v>
      </c>
      <c r="N206" s="428">
        <v>26.274999999999999</v>
      </c>
      <c r="O206" s="51" t="s">
        <v>48</v>
      </c>
      <c r="P206" s="51">
        <v>4</v>
      </c>
      <c r="Q206" s="51">
        <v>10</v>
      </c>
      <c r="R206" s="51" t="s">
        <v>64</v>
      </c>
      <c r="S206" s="51" t="s">
        <v>50</v>
      </c>
      <c r="T206" s="51" t="s">
        <v>50</v>
      </c>
      <c r="U206" s="51" t="s">
        <v>50</v>
      </c>
      <c r="V206" s="51" t="s">
        <v>50</v>
      </c>
      <c r="W206" s="51" t="s">
        <v>50</v>
      </c>
      <c r="X206" s="51" t="s">
        <v>50</v>
      </c>
    </row>
    <row r="207" spans="1:25" x14ac:dyDescent="0.25">
      <c r="A207" s="443">
        <v>43473</v>
      </c>
      <c r="B207" s="51" t="s">
        <v>70</v>
      </c>
      <c r="C207" s="51" t="s">
        <v>44</v>
      </c>
      <c r="D207" s="51">
        <v>37.944180000000003</v>
      </c>
      <c r="E207" s="51">
        <v>-121.56570000000001</v>
      </c>
      <c r="F207" s="51" t="s">
        <v>4945</v>
      </c>
      <c r="G207" s="51" t="s">
        <v>46</v>
      </c>
      <c r="H207" s="51" t="s">
        <v>199</v>
      </c>
      <c r="I207" s="66">
        <v>0.33611111111111108</v>
      </c>
      <c r="J207" s="428">
        <v>492</v>
      </c>
      <c r="K207" s="428">
        <v>8.6</v>
      </c>
      <c r="L207" s="428">
        <v>9.8025000000000002</v>
      </c>
      <c r="M207" s="428">
        <v>1.0275000000000001</v>
      </c>
      <c r="N207" s="428">
        <v>6.6749999999999998</v>
      </c>
      <c r="O207" s="51" t="s">
        <v>48</v>
      </c>
      <c r="P207" s="51">
        <v>4</v>
      </c>
      <c r="Q207" s="51">
        <v>10</v>
      </c>
      <c r="R207" s="51" t="s">
        <v>64</v>
      </c>
      <c r="S207" s="51" t="s">
        <v>50</v>
      </c>
      <c r="T207" s="51" t="s">
        <v>50</v>
      </c>
      <c r="U207" s="51" t="s">
        <v>50</v>
      </c>
      <c r="V207" s="51" t="s">
        <v>50</v>
      </c>
      <c r="W207" s="51" t="s">
        <v>50</v>
      </c>
      <c r="X207" s="51" t="s">
        <v>50</v>
      </c>
    </row>
    <row r="208" spans="1:25" x14ac:dyDescent="0.25">
      <c r="A208" s="443">
        <v>43473</v>
      </c>
      <c r="B208" s="51" t="s">
        <v>70</v>
      </c>
      <c r="C208" s="51" t="s">
        <v>44</v>
      </c>
      <c r="D208" s="51">
        <v>37.915529999999997</v>
      </c>
      <c r="E208" s="51">
        <v>-121.55036</v>
      </c>
      <c r="F208" s="51" t="s">
        <v>4946</v>
      </c>
      <c r="G208" s="51" t="s">
        <v>46</v>
      </c>
      <c r="H208" s="51" t="s">
        <v>199</v>
      </c>
      <c r="I208" s="66">
        <v>0.39097222222222222</v>
      </c>
      <c r="J208" s="428">
        <v>362.82499999999999</v>
      </c>
      <c r="K208" s="428">
        <v>9</v>
      </c>
      <c r="L208" s="428">
        <v>6.2700000000000005</v>
      </c>
      <c r="M208" s="428">
        <v>1.27</v>
      </c>
      <c r="N208" s="428">
        <v>3.55</v>
      </c>
      <c r="O208" s="51" t="s">
        <v>48</v>
      </c>
      <c r="P208" s="51">
        <v>4</v>
      </c>
      <c r="Q208" s="51">
        <v>10</v>
      </c>
      <c r="R208" s="51" t="s">
        <v>64</v>
      </c>
      <c r="S208" s="51" t="s">
        <v>50</v>
      </c>
      <c r="T208" s="51" t="s">
        <v>50</v>
      </c>
      <c r="U208" s="51" t="s">
        <v>50</v>
      </c>
      <c r="V208" s="51" t="s">
        <v>50</v>
      </c>
      <c r="W208" s="51" t="s">
        <v>50</v>
      </c>
      <c r="X208" s="51" t="s">
        <v>50</v>
      </c>
    </row>
    <row r="209" spans="1:25" x14ac:dyDescent="0.25">
      <c r="A209" s="443">
        <v>43473</v>
      </c>
      <c r="B209" s="51" t="s">
        <v>70</v>
      </c>
      <c r="C209" s="51" t="s">
        <v>44</v>
      </c>
      <c r="D209" s="51">
        <v>37.874160000000003</v>
      </c>
      <c r="E209" s="51">
        <v>-121.52534</v>
      </c>
      <c r="F209" s="51" t="s">
        <v>4947</v>
      </c>
      <c r="G209" s="51" t="s">
        <v>46</v>
      </c>
      <c r="H209" s="51" t="s">
        <v>202</v>
      </c>
      <c r="I209" s="66">
        <v>0.49027777777777781</v>
      </c>
      <c r="J209" s="428">
        <v>365.625</v>
      </c>
      <c r="K209" s="428">
        <v>9</v>
      </c>
      <c r="L209" s="428">
        <v>5.95</v>
      </c>
      <c r="M209" s="428">
        <v>1.2974999999999999</v>
      </c>
      <c r="N209" s="428">
        <v>3.4750000000000001</v>
      </c>
      <c r="O209" s="51" t="s">
        <v>48</v>
      </c>
      <c r="P209" s="51">
        <v>4</v>
      </c>
      <c r="Q209" s="51">
        <v>10</v>
      </c>
      <c r="R209" s="51" t="s">
        <v>49</v>
      </c>
      <c r="S209" s="51" t="s">
        <v>50</v>
      </c>
      <c r="T209" s="51" t="s">
        <v>50</v>
      </c>
      <c r="U209" s="51" t="s">
        <v>50</v>
      </c>
      <c r="V209" s="51" t="s">
        <v>50</v>
      </c>
      <c r="W209" s="51" t="s">
        <v>50</v>
      </c>
      <c r="X209" s="51" t="s">
        <v>50</v>
      </c>
    </row>
    <row r="210" spans="1:25" s="424" customFormat="1" x14ac:dyDescent="0.25">
      <c r="A210" s="446">
        <v>43473</v>
      </c>
      <c r="B210" s="424" t="s">
        <v>70</v>
      </c>
      <c r="C210" s="424" t="s">
        <v>44</v>
      </c>
      <c r="D210" s="424">
        <v>37.97681</v>
      </c>
      <c r="E210" s="424">
        <v>-121.51841</v>
      </c>
      <c r="F210" s="424" t="s">
        <v>4948</v>
      </c>
      <c r="G210" s="424" t="s">
        <v>46</v>
      </c>
      <c r="H210" s="424" t="s">
        <v>59</v>
      </c>
      <c r="I210" s="425">
        <v>0.4597222222222222</v>
      </c>
      <c r="J210" s="427" t="s">
        <v>50</v>
      </c>
      <c r="K210" s="427" t="s">
        <v>50</v>
      </c>
      <c r="L210" s="427" t="s">
        <v>50</v>
      </c>
      <c r="M210" s="427" t="s">
        <v>50</v>
      </c>
      <c r="N210" s="427" t="s">
        <v>50</v>
      </c>
      <c r="O210" s="424" t="s">
        <v>48</v>
      </c>
      <c r="P210" s="424">
        <v>0</v>
      </c>
      <c r="Q210" s="424" t="s">
        <v>50</v>
      </c>
      <c r="R210" s="424" t="s">
        <v>50</v>
      </c>
      <c r="S210" s="424" t="s">
        <v>50</v>
      </c>
      <c r="T210" s="424" t="s">
        <v>50</v>
      </c>
      <c r="U210" s="424" t="s">
        <v>50</v>
      </c>
      <c r="V210" s="424" t="s">
        <v>50</v>
      </c>
      <c r="W210" s="424" t="s">
        <v>50</v>
      </c>
      <c r="X210" s="424" t="s">
        <v>50</v>
      </c>
      <c r="Y210" s="426" t="s">
        <v>4949</v>
      </c>
    </row>
    <row r="211" spans="1:25" s="424" customFormat="1" x14ac:dyDescent="0.25">
      <c r="A211" s="446">
        <v>43473</v>
      </c>
      <c r="B211" s="424" t="s">
        <v>70</v>
      </c>
      <c r="C211" s="424" t="s">
        <v>44</v>
      </c>
      <c r="D211" s="424">
        <v>37.988950000000003</v>
      </c>
      <c r="E211" s="424">
        <v>-121.52522999999999</v>
      </c>
      <c r="F211" s="424" t="s">
        <v>4950</v>
      </c>
      <c r="G211" s="424" t="s">
        <v>46</v>
      </c>
      <c r="H211" s="424" t="s">
        <v>59</v>
      </c>
      <c r="I211" s="425">
        <v>0.4604166666666667</v>
      </c>
      <c r="J211" s="427" t="s">
        <v>50</v>
      </c>
      <c r="K211" s="427" t="s">
        <v>50</v>
      </c>
      <c r="L211" s="427" t="s">
        <v>50</v>
      </c>
      <c r="M211" s="427" t="s">
        <v>50</v>
      </c>
      <c r="N211" s="427" t="s">
        <v>50</v>
      </c>
      <c r="O211" s="424" t="s">
        <v>48</v>
      </c>
      <c r="P211" s="424">
        <v>0</v>
      </c>
      <c r="Q211" s="424" t="s">
        <v>50</v>
      </c>
      <c r="R211" s="424" t="s">
        <v>50</v>
      </c>
      <c r="S211" s="424" t="s">
        <v>50</v>
      </c>
      <c r="T211" s="424" t="s">
        <v>50</v>
      </c>
      <c r="U211" s="424" t="s">
        <v>50</v>
      </c>
      <c r="V211" s="424" t="s">
        <v>50</v>
      </c>
      <c r="W211" s="424" t="s">
        <v>50</v>
      </c>
      <c r="X211" s="424" t="s">
        <v>50</v>
      </c>
      <c r="Y211" s="426" t="s">
        <v>4949</v>
      </c>
    </row>
    <row r="212" spans="1:25" x14ac:dyDescent="0.25">
      <c r="A212" s="443">
        <v>43473</v>
      </c>
      <c r="B212" s="51" t="s">
        <v>70</v>
      </c>
      <c r="C212" s="51" t="s">
        <v>88</v>
      </c>
      <c r="D212" s="51">
        <v>38.12529</v>
      </c>
      <c r="E212" s="51">
        <v>-121.69846</v>
      </c>
      <c r="F212" s="51" t="s">
        <v>4951</v>
      </c>
      <c r="G212" s="51" t="s">
        <v>90</v>
      </c>
      <c r="H212" s="51" t="s">
        <v>91</v>
      </c>
      <c r="I212" s="66">
        <v>0.31458333333333333</v>
      </c>
      <c r="J212" s="428">
        <v>153.17500000000001</v>
      </c>
      <c r="K212" s="428">
        <v>8.0750000000000011</v>
      </c>
      <c r="L212" s="428">
        <v>12.899999999999999</v>
      </c>
      <c r="M212" s="428">
        <v>0.87</v>
      </c>
      <c r="N212" s="428">
        <v>10.875</v>
      </c>
      <c r="O212" s="51" t="s">
        <v>48</v>
      </c>
      <c r="P212" s="51">
        <v>4</v>
      </c>
      <c r="Q212" s="51">
        <v>10</v>
      </c>
      <c r="R212" s="51" t="s">
        <v>49</v>
      </c>
      <c r="S212" s="51" t="s">
        <v>50</v>
      </c>
      <c r="T212" s="51" t="s">
        <v>50</v>
      </c>
      <c r="U212" s="51" t="s">
        <v>50</v>
      </c>
      <c r="V212" s="51" t="s">
        <v>50</v>
      </c>
      <c r="W212" s="51" t="s">
        <v>50</v>
      </c>
      <c r="X212" s="51" t="s">
        <v>50</v>
      </c>
    </row>
    <row r="213" spans="1:25" x14ac:dyDescent="0.25">
      <c r="A213" s="443">
        <v>43473</v>
      </c>
      <c r="B213" s="51" t="s">
        <v>70</v>
      </c>
      <c r="C213" s="51" t="s">
        <v>88</v>
      </c>
      <c r="D213" s="51">
        <v>38.120640000000002</v>
      </c>
      <c r="E213" s="51">
        <v>-121.69405999999999</v>
      </c>
      <c r="F213" s="51" t="s">
        <v>4952</v>
      </c>
      <c r="G213" s="51" t="s">
        <v>90</v>
      </c>
      <c r="H213" s="51" t="s">
        <v>91</v>
      </c>
      <c r="I213" s="66">
        <v>0.35625000000000001</v>
      </c>
      <c r="J213" s="428">
        <v>283.2</v>
      </c>
      <c r="K213" s="428">
        <v>8.2750000000000004</v>
      </c>
      <c r="L213" s="428">
        <v>14.524999999999999</v>
      </c>
      <c r="M213" s="428">
        <v>0.81499999999999995</v>
      </c>
      <c r="N213" s="428">
        <v>4.2</v>
      </c>
      <c r="O213" s="51" t="s">
        <v>48</v>
      </c>
      <c r="P213" s="51">
        <v>4</v>
      </c>
      <c r="Q213" s="51">
        <v>10</v>
      </c>
      <c r="R213" s="51" t="s">
        <v>49</v>
      </c>
      <c r="S213" s="51" t="s">
        <v>50</v>
      </c>
      <c r="T213" s="51" t="s">
        <v>50</v>
      </c>
      <c r="U213" s="51" t="s">
        <v>50</v>
      </c>
      <c r="V213" s="51" t="s">
        <v>50</v>
      </c>
      <c r="W213" s="51" t="s">
        <v>50</v>
      </c>
      <c r="X213" s="51" t="s">
        <v>50</v>
      </c>
    </row>
    <row r="214" spans="1:25" x14ac:dyDescent="0.25">
      <c r="A214" s="443">
        <v>43473</v>
      </c>
      <c r="B214" s="51" t="s">
        <v>70</v>
      </c>
      <c r="C214" s="51" t="s">
        <v>88</v>
      </c>
      <c r="D214" s="51">
        <v>38.110460000000003</v>
      </c>
      <c r="E214" s="51">
        <v>-121.70352</v>
      </c>
      <c r="F214" s="51" t="s">
        <v>4953</v>
      </c>
      <c r="G214" s="51" t="s">
        <v>90</v>
      </c>
      <c r="H214" s="51" t="s">
        <v>91</v>
      </c>
      <c r="I214" s="66">
        <v>0.40347222222222223</v>
      </c>
      <c r="J214" s="428">
        <v>232.07499999999999</v>
      </c>
      <c r="K214" s="428">
        <v>8.1999999999999993</v>
      </c>
      <c r="L214" s="428">
        <v>15.175000000000001</v>
      </c>
      <c r="M214" s="428">
        <v>0.82750000000000001</v>
      </c>
      <c r="N214" s="428">
        <v>6.0749999999999993</v>
      </c>
      <c r="O214" s="51" t="s">
        <v>48</v>
      </c>
      <c r="P214" s="51">
        <v>4</v>
      </c>
      <c r="Q214" s="51">
        <v>10</v>
      </c>
      <c r="R214" s="51" t="s">
        <v>49</v>
      </c>
      <c r="S214" s="51" t="s">
        <v>50</v>
      </c>
      <c r="T214" s="51" t="s">
        <v>50</v>
      </c>
      <c r="U214" s="51" t="s">
        <v>50</v>
      </c>
      <c r="V214" s="51" t="s">
        <v>50</v>
      </c>
      <c r="W214" s="51" t="s">
        <v>50</v>
      </c>
      <c r="X214" s="51" t="s">
        <v>50</v>
      </c>
    </row>
    <row r="215" spans="1:25" s="431" customFormat="1" x14ac:dyDescent="0.25">
      <c r="A215" s="447">
        <v>43473</v>
      </c>
      <c r="B215" s="431" t="s">
        <v>70</v>
      </c>
      <c r="C215" s="431" t="s">
        <v>62</v>
      </c>
      <c r="D215" s="431">
        <v>38.193129999999996</v>
      </c>
      <c r="E215" s="431">
        <v>-122.03825000000001</v>
      </c>
      <c r="F215" s="431" t="s">
        <v>4954</v>
      </c>
      <c r="G215" s="431" t="s">
        <v>27</v>
      </c>
      <c r="H215" s="431" t="s">
        <v>62</v>
      </c>
      <c r="I215" s="432">
        <v>0.35416666666666669</v>
      </c>
      <c r="J215" s="433">
        <v>5169.5</v>
      </c>
      <c r="K215" s="433">
        <v>8.5750000000000011</v>
      </c>
      <c r="L215" s="433">
        <v>67.825000000000003</v>
      </c>
      <c r="M215" s="433">
        <v>0.22999999999999998</v>
      </c>
      <c r="N215" s="433">
        <v>7.5</v>
      </c>
      <c r="O215" s="431" t="s">
        <v>48</v>
      </c>
      <c r="P215" s="431">
        <v>4</v>
      </c>
      <c r="Q215" s="431">
        <v>10</v>
      </c>
      <c r="R215" s="431" t="s">
        <v>49</v>
      </c>
      <c r="S215" s="431" t="s">
        <v>323</v>
      </c>
      <c r="T215" s="431">
        <v>1</v>
      </c>
      <c r="U215" s="431">
        <v>74</v>
      </c>
      <c r="V215" s="431" t="s">
        <v>66</v>
      </c>
      <c r="W215" s="431" t="s">
        <v>50</v>
      </c>
      <c r="X215" s="431" t="s">
        <v>50</v>
      </c>
      <c r="Y215" s="448"/>
    </row>
    <row r="216" spans="1:25" s="437" customFormat="1" x14ac:dyDescent="0.25">
      <c r="A216" s="476">
        <v>43473</v>
      </c>
      <c r="B216" s="437" t="s">
        <v>70</v>
      </c>
      <c r="C216" s="437" t="s">
        <v>62</v>
      </c>
      <c r="D216" s="437">
        <v>38.193129999999996</v>
      </c>
      <c r="E216" s="437">
        <v>-122.03825000000001</v>
      </c>
      <c r="F216" s="437" t="s">
        <v>4954</v>
      </c>
      <c r="G216" s="437" t="s">
        <v>27</v>
      </c>
      <c r="H216" s="437" t="s">
        <v>62</v>
      </c>
      <c r="I216" s="438">
        <v>0.35416666666666669</v>
      </c>
      <c r="J216" s="439"/>
      <c r="K216" s="439"/>
      <c r="L216" s="439"/>
      <c r="M216" s="439"/>
      <c r="N216" s="439"/>
      <c r="S216" s="437" t="s">
        <v>449</v>
      </c>
      <c r="T216" s="437">
        <v>1</v>
      </c>
      <c r="U216" s="437">
        <v>460</v>
      </c>
      <c r="V216" s="437" t="s">
        <v>50</v>
      </c>
      <c r="W216" s="437" t="s">
        <v>50</v>
      </c>
      <c r="X216" s="205" t="s">
        <v>2525</v>
      </c>
      <c r="Y216" s="440" t="s">
        <v>545</v>
      </c>
    </row>
    <row r="217" spans="1:25" x14ac:dyDescent="0.25">
      <c r="A217" s="443">
        <v>43473</v>
      </c>
      <c r="B217" s="51" t="s">
        <v>70</v>
      </c>
      <c r="C217" s="51" t="s">
        <v>62</v>
      </c>
      <c r="D217" s="51">
        <v>38.172750000000001</v>
      </c>
      <c r="E217" s="51">
        <v>-121.92861000000001</v>
      </c>
      <c r="F217" s="51" t="s">
        <v>4955</v>
      </c>
      <c r="G217" s="51" t="s">
        <v>27</v>
      </c>
      <c r="H217" s="51" t="s">
        <v>62</v>
      </c>
      <c r="I217" s="66">
        <v>0.4284722222222222</v>
      </c>
      <c r="J217" s="428">
        <v>5504</v>
      </c>
      <c r="K217" s="428">
        <v>9.1</v>
      </c>
      <c r="L217" s="428">
        <v>38.799999999999997</v>
      </c>
      <c r="M217" s="428">
        <v>0.41500000000000004</v>
      </c>
      <c r="N217" s="428">
        <v>4.875</v>
      </c>
      <c r="O217" s="51" t="s">
        <v>48</v>
      </c>
      <c r="P217" s="51">
        <v>4</v>
      </c>
      <c r="Q217" s="51">
        <v>10</v>
      </c>
      <c r="R217" s="51" t="s">
        <v>64</v>
      </c>
      <c r="S217" s="51" t="s">
        <v>50</v>
      </c>
      <c r="T217" s="51" t="s">
        <v>50</v>
      </c>
      <c r="U217" s="51" t="s">
        <v>50</v>
      </c>
      <c r="V217" s="51" t="s">
        <v>50</v>
      </c>
      <c r="W217" s="51" t="s">
        <v>50</v>
      </c>
      <c r="X217" s="51" t="s">
        <v>50</v>
      </c>
    </row>
    <row r="218" spans="1:25" s="437" customFormat="1" x14ac:dyDescent="0.25">
      <c r="A218" s="476">
        <v>43473</v>
      </c>
      <c r="B218" s="437" t="s">
        <v>70</v>
      </c>
      <c r="C218" s="437" t="s">
        <v>62</v>
      </c>
      <c r="D218" s="437">
        <v>38.11497</v>
      </c>
      <c r="E218" s="437">
        <v>-122.05959</v>
      </c>
      <c r="F218" s="437" t="s">
        <v>4956</v>
      </c>
      <c r="G218" s="437" t="s">
        <v>27</v>
      </c>
      <c r="H218" s="437" t="s">
        <v>173</v>
      </c>
      <c r="I218" s="438">
        <v>0.50138888888888888</v>
      </c>
      <c r="J218" s="439">
        <v>11973.75</v>
      </c>
      <c r="K218" s="439">
        <v>9.35</v>
      </c>
      <c r="L218" s="439">
        <v>31.575000000000003</v>
      </c>
      <c r="M218" s="439">
        <v>0.45250000000000001</v>
      </c>
      <c r="N218" s="439">
        <v>2.9750000000000001</v>
      </c>
      <c r="O218" s="437" t="s">
        <v>48</v>
      </c>
      <c r="P218" s="437">
        <v>4</v>
      </c>
      <c r="Q218" s="437">
        <v>10</v>
      </c>
      <c r="R218" s="437" t="s">
        <v>64</v>
      </c>
      <c r="S218" s="437" t="s">
        <v>31</v>
      </c>
      <c r="T218" s="437">
        <v>12</v>
      </c>
      <c r="U218" s="437" t="s">
        <v>4957</v>
      </c>
      <c r="V218" s="437" t="s">
        <v>66</v>
      </c>
      <c r="W218" s="437" t="s">
        <v>50</v>
      </c>
      <c r="X218" s="437" t="s">
        <v>50</v>
      </c>
      <c r="Y218" s="440" t="s">
        <v>4958</v>
      </c>
    </row>
    <row r="219" spans="1:25" s="424" customFormat="1" x14ac:dyDescent="0.25">
      <c r="A219" s="446">
        <v>43473</v>
      </c>
      <c r="B219" s="424" t="s">
        <v>70</v>
      </c>
      <c r="C219" s="424" t="s">
        <v>62</v>
      </c>
      <c r="D219" s="424">
        <v>38.139769999999999</v>
      </c>
      <c r="E219" s="424">
        <v>-122.07543</v>
      </c>
      <c r="F219" s="424" t="s">
        <v>4959</v>
      </c>
      <c r="G219" s="424" t="s">
        <v>27</v>
      </c>
      <c r="H219" s="424" t="s">
        <v>62</v>
      </c>
      <c r="I219" s="425">
        <v>0.32430555555555557</v>
      </c>
      <c r="J219" s="427" t="s">
        <v>50</v>
      </c>
      <c r="K219" s="427" t="s">
        <v>50</v>
      </c>
      <c r="L219" s="427" t="s">
        <v>50</v>
      </c>
      <c r="M219" s="427" t="s">
        <v>50</v>
      </c>
      <c r="N219" s="427" t="s">
        <v>50</v>
      </c>
      <c r="O219" s="424" t="s">
        <v>48</v>
      </c>
      <c r="P219" s="424">
        <v>0</v>
      </c>
      <c r="Q219" s="424" t="s">
        <v>50</v>
      </c>
      <c r="R219" s="424" t="s">
        <v>50</v>
      </c>
      <c r="S219" s="424" t="s">
        <v>50</v>
      </c>
      <c r="T219" s="424" t="s">
        <v>50</v>
      </c>
      <c r="U219" s="424" t="s">
        <v>50</v>
      </c>
      <c r="V219" s="424" t="s">
        <v>50</v>
      </c>
      <c r="W219" s="424" t="s">
        <v>50</v>
      </c>
      <c r="X219" s="424" t="s">
        <v>50</v>
      </c>
      <c r="Y219" s="426" t="s">
        <v>4960</v>
      </c>
    </row>
    <row r="220" spans="1:25" x14ac:dyDescent="0.25">
      <c r="A220" s="443">
        <v>43474</v>
      </c>
      <c r="B220" s="51" t="s">
        <v>87</v>
      </c>
      <c r="C220" s="51" t="s">
        <v>95</v>
      </c>
      <c r="D220" s="51">
        <v>38.027410000000003</v>
      </c>
      <c r="E220" s="51">
        <v>-121.77557</v>
      </c>
      <c r="F220" s="51" t="s">
        <v>4961</v>
      </c>
      <c r="G220" s="51" t="s">
        <v>27</v>
      </c>
      <c r="H220" s="51" t="s">
        <v>863</v>
      </c>
      <c r="I220" s="66">
        <v>0.33819444444444446</v>
      </c>
      <c r="J220" s="428">
        <v>1052.75</v>
      </c>
      <c r="K220" s="428">
        <v>8.85</v>
      </c>
      <c r="L220" s="428">
        <v>20.65</v>
      </c>
      <c r="M220" s="428">
        <v>0.61249999999999993</v>
      </c>
      <c r="N220" s="428">
        <v>16.350000000000001</v>
      </c>
      <c r="O220" s="51" t="s">
        <v>48</v>
      </c>
      <c r="P220" s="51">
        <v>4</v>
      </c>
      <c r="Q220" s="51">
        <v>10</v>
      </c>
      <c r="R220" s="51" t="s">
        <v>49</v>
      </c>
      <c r="S220" s="51" t="s">
        <v>50</v>
      </c>
      <c r="T220" s="51" t="s">
        <v>50</v>
      </c>
      <c r="U220" s="51" t="s">
        <v>50</v>
      </c>
      <c r="V220" s="51" t="s">
        <v>50</v>
      </c>
      <c r="W220" s="51" t="s">
        <v>50</v>
      </c>
      <c r="X220" s="51" t="s">
        <v>50</v>
      </c>
    </row>
    <row r="221" spans="1:25" x14ac:dyDescent="0.25">
      <c r="A221" s="443">
        <v>43474</v>
      </c>
      <c r="B221" s="51" t="s">
        <v>87</v>
      </c>
      <c r="C221" s="51" t="s">
        <v>95</v>
      </c>
      <c r="D221" s="51">
        <v>38.024639999999998</v>
      </c>
      <c r="E221" s="51">
        <v>-121.75919</v>
      </c>
      <c r="F221" s="51" t="s">
        <v>4962</v>
      </c>
      <c r="G221" s="51" t="s">
        <v>27</v>
      </c>
      <c r="H221" s="51" t="s">
        <v>863</v>
      </c>
      <c r="I221" s="66">
        <v>0.3888888888888889</v>
      </c>
      <c r="J221" s="428">
        <v>1208</v>
      </c>
      <c r="K221" s="428">
        <v>9.0250000000000004</v>
      </c>
      <c r="L221" s="428">
        <v>19.8</v>
      </c>
      <c r="M221" s="428">
        <v>0.63500000000000001</v>
      </c>
      <c r="N221" s="428">
        <v>7</v>
      </c>
      <c r="O221" s="51" t="s">
        <v>48</v>
      </c>
      <c r="P221" s="51">
        <v>4</v>
      </c>
      <c r="Q221" s="51">
        <v>10</v>
      </c>
      <c r="R221" s="51" t="s">
        <v>49</v>
      </c>
      <c r="S221" s="51" t="s">
        <v>50</v>
      </c>
      <c r="T221" s="51" t="s">
        <v>50</v>
      </c>
      <c r="U221" s="51" t="s">
        <v>50</v>
      </c>
      <c r="V221" s="51" t="s">
        <v>50</v>
      </c>
      <c r="W221" s="51" t="s">
        <v>50</v>
      </c>
      <c r="X221" s="51" t="s">
        <v>50</v>
      </c>
    </row>
    <row r="222" spans="1:25" x14ac:dyDescent="0.25">
      <c r="A222" s="443">
        <v>43474</v>
      </c>
      <c r="B222" s="51" t="s">
        <v>87</v>
      </c>
      <c r="C222" s="51" t="s">
        <v>95</v>
      </c>
      <c r="D222" s="51">
        <v>38.031350000000003</v>
      </c>
      <c r="E222" s="51">
        <v>-121.72305</v>
      </c>
      <c r="F222" s="51" t="s">
        <v>4963</v>
      </c>
      <c r="G222" s="51" t="s">
        <v>27</v>
      </c>
      <c r="H222" s="51" t="s">
        <v>863</v>
      </c>
      <c r="I222" s="66">
        <v>0.4368055555555555</v>
      </c>
      <c r="J222" s="428">
        <v>983.75</v>
      </c>
      <c r="K222" s="428">
        <v>9.0750000000000011</v>
      </c>
      <c r="L222" s="428">
        <v>22.4</v>
      </c>
      <c r="M222" s="428">
        <v>0.62</v>
      </c>
      <c r="N222" s="428">
        <v>11.525</v>
      </c>
      <c r="O222" s="51" t="s">
        <v>48</v>
      </c>
      <c r="P222" s="51">
        <v>4</v>
      </c>
      <c r="Q222" s="51">
        <v>10</v>
      </c>
      <c r="R222" s="51" t="s">
        <v>49</v>
      </c>
      <c r="S222" s="51" t="s">
        <v>50</v>
      </c>
      <c r="T222" s="51" t="s">
        <v>50</v>
      </c>
      <c r="U222" s="51" t="s">
        <v>50</v>
      </c>
      <c r="V222" s="51" t="s">
        <v>50</v>
      </c>
      <c r="W222" s="51" t="s">
        <v>50</v>
      </c>
      <c r="X222" s="51" t="s">
        <v>50</v>
      </c>
    </row>
    <row r="223" spans="1:25" x14ac:dyDescent="0.25">
      <c r="A223" s="443">
        <v>43474</v>
      </c>
      <c r="B223" s="51" t="s">
        <v>87</v>
      </c>
      <c r="C223" s="51" t="s">
        <v>95</v>
      </c>
      <c r="D223" s="51">
        <v>38.036709999999999</v>
      </c>
      <c r="E223" s="51">
        <v>-121.71425000000001</v>
      </c>
      <c r="F223" s="51" t="s">
        <v>4964</v>
      </c>
      <c r="G223" s="51" t="s">
        <v>27</v>
      </c>
      <c r="H223" s="51" t="s">
        <v>863</v>
      </c>
      <c r="I223" s="66">
        <v>0.48472222222222222</v>
      </c>
      <c r="J223" s="428">
        <v>741.25</v>
      </c>
      <c r="K223" s="428">
        <v>9.1</v>
      </c>
      <c r="L223" s="428">
        <v>30.125</v>
      </c>
      <c r="M223" s="428">
        <v>0.57000000000000006</v>
      </c>
      <c r="N223" s="428">
        <v>4.625</v>
      </c>
      <c r="O223" s="51" t="s">
        <v>48</v>
      </c>
      <c r="P223" s="51">
        <v>4</v>
      </c>
      <c r="Q223" s="51">
        <v>10</v>
      </c>
      <c r="R223" s="51" t="s">
        <v>49</v>
      </c>
      <c r="S223" s="51" t="s">
        <v>50</v>
      </c>
      <c r="T223" s="51" t="s">
        <v>50</v>
      </c>
      <c r="U223" s="51" t="s">
        <v>50</v>
      </c>
      <c r="V223" s="51" t="s">
        <v>50</v>
      </c>
      <c r="W223" s="51" t="s">
        <v>50</v>
      </c>
      <c r="X223" s="51" t="s">
        <v>50</v>
      </c>
    </row>
    <row r="224" spans="1:25" x14ac:dyDescent="0.25">
      <c r="A224" s="443">
        <v>43474</v>
      </c>
      <c r="B224" s="51" t="s">
        <v>87</v>
      </c>
      <c r="C224" s="51" t="s">
        <v>95</v>
      </c>
      <c r="D224" s="51">
        <v>38.064369999999997</v>
      </c>
      <c r="E224" s="51">
        <v>-121.67608</v>
      </c>
      <c r="F224" s="51" t="s">
        <v>4965</v>
      </c>
      <c r="G224" s="51" t="s">
        <v>46</v>
      </c>
      <c r="H224" s="51" t="s">
        <v>908</v>
      </c>
      <c r="I224" s="66">
        <v>0.55069444444444449</v>
      </c>
      <c r="J224" s="428">
        <v>591</v>
      </c>
      <c r="K224" s="428">
        <v>9.0500000000000007</v>
      </c>
      <c r="L224" s="428">
        <v>26.95</v>
      </c>
      <c r="M224" s="428">
        <v>0.59249999999999992</v>
      </c>
      <c r="N224" s="428">
        <v>12.324999999999999</v>
      </c>
      <c r="O224" s="51" t="s">
        <v>48</v>
      </c>
      <c r="P224" s="51">
        <v>4</v>
      </c>
      <c r="Q224" s="51">
        <v>10</v>
      </c>
      <c r="R224" s="51" t="s">
        <v>49</v>
      </c>
      <c r="S224" s="51" t="s">
        <v>50</v>
      </c>
      <c r="T224" s="51" t="s">
        <v>50</v>
      </c>
      <c r="U224" s="51" t="s">
        <v>50</v>
      </c>
      <c r="V224" s="51" t="s">
        <v>50</v>
      </c>
      <c r="W224" s="51" t="s">
        <v>50</v>
      </c>
      <c r="X224" s="51" t="s">
        <v>50</v>
      </c>
    </row>
    <row r="225" spans="1:25" x14ac:dyDescent="0.25">
      <c r="A225" s="443">
        <v>43474</v>
      </c>
      <c r="B225" s="51" t="s">
        <v>87</v>
      </c>
      <c r="C225" s="51" t="s">
        <v>95</v>
      </c>
      <c r="D225" s="51">
        <v>38.094999999999999</v>
      </c>
      <c r="E225" s="51">
        <v>-121.66273</v>
      </c>
      <c r="F225" s="51" t="s">
        <v>4966</v>
      </c>
      <c r="G225" s="51" t="s">
        <v>46</v>
      </c>
      <c r="H225" s="51" t="s">
        <v>908</v>
      </c>
      <c r="I225" s="66">
        <v>0.61111111111111105</v>
      </c>
      <c r="J225" s="428">
        <v>551.5</v>
      </c>
      <c r="K225" s="428">
        <v>9.0250000000000004</v>
      </c>
      <c r="L225" s="428">
        <v>20.349999999999998</v>
      </c>
      <c r="M225" s="428">
        <v>0.65749999999999997</v>
      </c>
      <c r="N225" s="428">
        <v>13.625</v>
      </c>
      <c r="O225" s="51" t="s">
        <v>48</v>
      </c>
      <c r="P225" s="51">
        <v>4</v>
      </c>
      <c r="Q225" s="51">
        <v>10</v>
      </c>
      <c r="R225" s="51" t="s">
        <v>64</v>
      </c>
      <c r="S225" s="51" t="s">
        <v>50</v>
      </c>
      <c r="T225" s="51" t="s">
        <v>50</v>
      </c>
      <c r="U225" s="51" t="s">
        <v>50</v>
      </c>
      <c r="V225" s="51" t="s">
        <v>50</v>
      </c>
      <c r="W225" s="51" t="s">
        <v>50</v>
      </c>
      <c r="X225" s="51" t="s">
        <v>50</v>
      </c>
    </row>
    <row r="226" spans="1:25" s="424" customFormat="1" x14ac:dyDescent="0.25">
      <c r="A226" s="446">
        <v>43474</v>
      </c>
      <c r="B226" s="424" t="s">
        <v>87</v>
      </c>
      <c r="C226" s="424" t="s">
        <v>95</v>
      </c>
      <c r="D226" s="424">
        <v>38.019680000000001</v>
      </c>
      <c r="E226" s="424">
        <v>-121.71235</v>
      </c>
      <c r="F226" s="424" t="s">
        <v>4967</v>
      </c>
      <c r="G226" s="424" t="s">
        <v>27</v>
      </c>
      <c r="H226" s="424" t="s">
        <v>863</v>
      </c>
      <c r="I226" s="425">
        <v>0.43402777777777773</v>
      </c>
      <c r="J226" s="427" t="s">
        <v>50</v>
      </c>
      <c r="K226" s="427" t="s">
        <v>50</v>
      </c>
      <c r="L226" s="427" t="s">
        <v>50</v>
      </c>
      <c r="M226" s="427" t="s">
        <v>50</v>
      </c>
      <c r="N226" s="427" t="s">
        <v>50</v>
      </c>
      <c r="O226" s="424" t="s">
        <v>48</v>
      </c>
      <c r="P226" s="424">
        <v>0</v>
      </c>
      <c r="Q226" s="424" t="s">
        <v>50</v>
      </c>
      <c r="R226" s="424" t="s">
        <v>50</v>
      </c>
      <c r="S226" s="424" t="s">
        <v>50</v>
      </c>
      <c r="T226" s="424" t="s">
        <v>50</v>
      </c>
      <c r="U226" s="424" t="s">
        <v>50</v>
      </c>
      <c r="V226" s="424" t="s">
        <v>50</v>
      </c>
      <c r="W226" s="424" t="s">
        <v>50</v>
      </c>
      <c r="X226" s="424" t="s">
        <v>50</v>
      </c>
      <c r="Y226" s="426" t="s">
        <v>4960</v>
      </c>
    </row>
    <row r="227" spans="1:25" x14ac:dyDescent="0.25">
      <c r="A227" s="443">
        <v>43474</v>
      </c>
      <c r="B227" s="51" t="s">
        <v>87</v>
      </c>
      <c r="C227" s="51" t="s">
        <v>845</v>
      </c>
      <c r="D227" s="51">
        <v>38.31982</v>
      </c>
      <c r="E227" s="51">
        <v>-121.69337</v>
      </c>
      <c r="F227" s="51" t="s">
        <v>4968</v>
      </c>
      <c r="G227" s="51" t="s">
        <v>90</v>
      </c>
      <c r="H227" s="51" t="s">
        <v>126</v>
      </c>
      <c r="I227" s="66">
        <v>0.33124999999999999</v>
      </c>
      <c r="J227" s="428">
        <v>275.125</v>
      </c>
      <c r="K227" s="428">
        <v>8.6999999999999993</v>
      </c>
      <c r="L227" s="428">
        <v>34.225000000000001</v>
      </c>
      <c r="M227" s="428">
        <v>0.36750000000000005</v>
      </c>
      <c r="N227" s="428">
        <v>5.25</v>
      </c>
      <c r="O227" s="51" t="s">
        <v>48</v>
      </c>
      <c r="P227" s="51">
        <v>4</v>
      </c>
      <c r="Q227" s="51">
        <v>10</v>
      </c>
      <c r="R227" s="51" t="s">
        <v>49</v>
      </c>
      <c r="S227" s="51" t="s">
        <v>50</v>
      </c>
      <c r="T227" s="51" t="s">
        <v>50</v>
      </c>
      <c r="U227" s="51" t="s">
        <v>50</v>
      </c>
      <c r="V227" s="51" t="s">
        <v>50</v>
      </c>
      <c r="W227" s="51" t="s">
        <v>50</v>
      </c>
      <c r="X227" s="51" t="s">
        <v>50</v>
      </c>
    </row>
    <row r="228" spans="1:25" x14ac:dyDescent="0.25">
      <c r="A228" s="443">
        <v>43474</v>
      </c>
      <c r="B228" s="51" t="s">
        <v>87</v>
      </c>
      <c r="C228" s="51" t="s">
        <v>845</v>
      </c>
      <c r="D228" s="51">
        <v>38.258319999999998</v>
      </c>
      <c r="E228" s="51">
        <v>-121.72803999999999</v>
      </c>
      <c r="F228" s="51" t="s">
        <v>4969</v>
      </c>
      <c r="G228" s="51" t="s">
        <v>90</v>
      </c>
      <c r="H228" s="51" t="s">
        <v>126</v>
      </c>
      <c r="I228" s="66">
        <v>0.40416666666666662</v>
      </c>
      <c r="J228" s="428">
        <v>194.20000000000002</v>
      </c>
      <c r="K228" s="428">
        <v>8.5</v>
      </c>
      <c r="L228" s="428">
        <v>11.899999999999999</v>
      </c>
      <c r="M228" s="428">
        <v>0.90749999999999997</v>
      </c>
      <c r="N228" s="428">
        <v>5.1749999999999998</v>
      </c>
      <c r="O228" s="51" t="s">
        <v>48</v>
      </c>
      <c r="P228" s="51">
        <v>4</v>
      </c>
      <c r="Q228" s="51">
        <v>10</v>
      </c>
      <c r="R228" s="51" t="s">
        <v>49</v>
      </c>
      <c r="S228" s="51" t="s">
        <v>50</v>
      </c>
      <c r="T228" s="51" t="s">
        <v>50</v>
      </c>
      <c r="U228" s="51" t="s">
        <v>50</v>
      </c>
      <c r="V228" s="51" t="s">
        <v>50</v>
      </c>
      <c r="W228" s="51" t="s">
        <v>50</v>
      </c>
      <c r="X228" s="51" t="s">
        <v>50</v>
      </c>
      <c r="Y228" s="52" t="s">
        <v>4357</v>
      </c>
    </row>
    <row r="229" spans="1:25" x14ac:dyDescent="0.25">
      <c r="A229" s="443">
        <v>43474</v>
      </c>
      <c r="B229" s="51" t="s">
        <v>87</v>
      </c>
      <c r="C229" s="51" t="s">
        <v>845</v>
      </c>
      <c r="D229" s="51">
        <v>38.23847</v>
      </c>
      <c r="E229" s="51">
        <v>-121.68451</v>
      </c>
      <c r="F229" s="51" t="s">
        <v>4970</v>
      </c>
      <c r="G229" s="51" t="s">
        <v>90</v>
      </c>
      <c r="H229" s="51" t="s">
        <v>126</v>
      </c>
      <c r="I229" s="66">
        <v>0.45902777777777781</v>
      </c>
      <c r="J229" s="428">
        <v>160.10000000000002</v>
      </c>
      <c r="K229" s="428">
        <v>8.75</v>
      </c>
      <c r="L229" s="428">
        <v>27.65</v>
      </c>
      <c r="M229" s="428">
        <v>0.47499999999999998</v>
      </c>
      <c r="N229" s="428">
        <v>16.875</v>
      </c>
      <c r="O229" s="51" t="s">
        <v>48</v>
      </c>
      <c r="P229" s="51">
        <v>4</v>
      </c>
      <c r="Q229" s="51">
        <v>10</v>
      </c>
      <c r="R229" s="51" t="s">
        <v>49</v>
      </c>
      <c r="S229" s="51" t="s">
        <v>50</v>
      </c>
      <c r="T229" s="51" t="s">
        <v>50</v>
      </c>
      <c r="U229" s="51" t="s">
        <v>50</v>
      </c>
      <c r="V229" s="51" t="s">
        <v>50</v>
      </c>
      <c r="W229" s="51" t="s">
        <v>50</v>
      </c>
      <c r="X229" s="51" t="s">
        <v>50</v>
      </c>
    </row>
    <row r="230" spans="1:25" x14ac:dyDescent="0.25">
      <c r="A230" s="443">
        <v>43474</v>
      </c>
      <c r="B230" s="51" t="s">
        <v>87</v>
      </c>
      <c r="C230" s="51" t="s">
        <v>78</v>
      </c>
      <c r="D230" s="51">
        <v>38.042960000000001</v>
      </c>
      <c r="E230" s="51">
        <v>-122.11629000000001</v>
      </c>
      <c r="F230" s="51" t="s">
        <v>4971</v>
      </c>
      <c r="G230" s="51" t="s">
        <v>80</v>
      </c>
      <c r="H230" s="51" t="s">
        <v>81</v>
      </c>
      <c r="I230" s="66">
        <v>0.36319444444444443</v>
      </c>
      <c r="J230" s="428">
        <v>18872.25</v>
      </c>
      <c r="K230" s="428">
        <v>9.9</v>
      </c>
      <c r="L230" s="428">
        <v>15.8</v>
      </c>
      <c r="M230" s="428">
        <v>0.60750000000000004</v>
      </c>
      <c r="N230" s="428">
        <v>11.5</v>
      </c>
      <c r="O230" s="51" t="s">
        <v>48</v>
      </c>
      <c r="P230" s="51">
        <v>4</v>
      </c>
      <c r="Q230" s="51">
        <v>10</v>
      </c>
      <c r="R230" s="51" t="s">
        <v>49</v>
      </c>
      <c r="S230" s="51" t="s">
        <v>50</v>
      </c>
      <c r="T230" s="51" t="s">
        <v>50</v>
      </c>
      <c r="U230" s="51" t="s">
        <v>50</v>
      </c>
      <c r="V230" s="51" t="s">
        <v>50</v>
      </c>
      <c r="W230" s="51" t="s">
        <v>50</v>
      </c>
      <c r="X230" s="51" t="s">
        <v>50</v>
      </c>
    </row>
    <row r="231" spans="1:25" x14ac:dyDescent="0.25">
      <c r="A231" s="443">
        <v>43474</v>
      </c>
      <c r="B231" s="51" t="s">
        <v>87</v>
      </c>
      <c r="C231" s="51" t="s">
        <v>78</v>
      </c>
      <c r="D231" s="51">
        <v>38.070959999999999</v>
      </c>
      <c r="E231" s="51">
        <v>-122.09105</v>
      </c>
      <c r="F231" s="51" t="s">
        <v>4972</v>
      </c>
      <c r="G231" s="51" t="s">
        <v>80</v>
      </c>
      <c r="H231" s="51" t="s">
        <v>81</v>
      </c>
      <c r="I231" s="66">
        <v>0.41111111111111115</v>
      </c>
      <c r="J231" s="428">
        <v>15149.75</v>
      </c>
      <c r="K231" s="428">
        <v>9.8500000000000014</v>
      </c>
      <c r="L231" s="428">
        <v>26</v>
      </c>
      <c r="M231" s="428">
        <v>0.50750000000000006</v>
      </c>
      <c r="N231" s="428">
        <v>7.7</v>
      </c>
      <c r="O231" s="51" t="s">
        <v>48</v>
      </c>
      <c r="P231" s="51">
        <v>4</v>
      </c>
      <c r="Q231" s="51">
        <v>10</v>
      </c>
      <c r="R231" s="51" t="s">
        <v>49</v>
      </c>
      <c r="S231" s="51" t="s">
        <v>50</v>
      </c>
      <c r="T231" s="51" t="s">
        <v>50</v>
      </c>
      <c r="U231" s="51" t="s">
        <v>50</v>
      </c>
      <c r="V231" s="51" t="s">
        <v>50</v>
      </c>
      <c r="W231" s="51" t="s">
        <v>50</v>
      </c>
      <c r="X231" s="51" t="s">
        <v>50</v>
      </c>
    </row>
    <row r="232" spans="1:25" x14ac:dyDescent="0.25">
      <c r="A232" s="443">
        <v>43474</v>
      </c>
      <c r="B232" s="51" t="s">
        <v>87</v>
      </c>
      <c r="C232" s="51" t="s">
        <v>78</v>
      </c>
      <c r="D232" s="51">
        <v>38.101050000000001</v>
      </c>
      <c r="E232" s="51">
        <v>-122.04754</v>
      </c>
      <c r="F232" s="51" t="s">
        <v>4973</v>
      </c>
      <c r="G232" s="51" t="s">
        <v>27</v>
      </c>
      <c r="H232" s="51" t="s">
        <v>86</v>
      </c>
      <c r="I232" s="66">
        <v>0.46458333333333335</v>
      </c>
      <c r="J232" s="428">
        <v>14643.25</v>
      </c>
      <c r="K232" s="428">
        <v>9.9</v>
      </c>
      <c r="L232" s="428">
        <v>24.249999999999996</v>
      </c>
      <c r="M232" s="428">
        <v>0.51249999999999996</v>
      </c>
      <c r="N232" s="428">
        <v>5.95</v>
      </c>
      <c r="O232" s="51" t="s">
        <v>48</v>
      </c>
      <c r="P232" s="51">
        <v>4</v>
      </c>
      <c r="Q232" s="51">
        <v>10</v>
      </c>
      <c r="R232" s="51" t="s">
        <v>49</v>
      </c>
      <c r="S232" s="51" t="s">
        <v>50</v>
      </c>
      <c r="T232" s="51" t="s">
        <v>50</v>
      </c>
      <c r="U232" s="51" t="s">
        <v>50</v>
      </c>
      <c r="V232" s="51" t="s">
        <v>50</v>
      </c>
      <c r="W232" s="51" t="s">
        <v>50</v>
      </c>
      <c r="X232" s="51" t="s">
        <v>50</v>
      </c>
    </row>
    <row r="233" spans="1:25" x14ac:dyDescent="0.25">
      <c r="A233" s="443">
        <v>43475</v>
      </c>
      <c r="B233" s="51" t="s">
        <v>105</v>
      </c>
      <c r="C233" s="51" t="s">
        <v>95</v>
      </c>
      <c r="D233" s="51">
        <v>38.098770000000002</v>
      </c>
      <c r="E233" s="51">
        <v>-121.59752</v>
      </c>
      <c r="F233" s="51" t="s">
        <v>4974</v>
      </c>
      <c r="G233" s="51" t="s">
        <v>46</v>
      </c>
      <c r="H233" s="51" t="s">
        <v>115</v>
      </c>
      <c r="I233" s="66">
        <v>0.31666666666666665</v>
      </c>
      <c r="J233" s="428">
        <v>367.02499999999998</v>
      </c>
      <c r="K233" s="428">
        <v>9</v>
      </c>
      <c r="L233" s="428">
        <v>11.68</v>
      </c>
      <c r="M233" s="428">
        <v>1.0450000000000002</v>
      </c>
      <c r="N233" s="428">
        <v>7.7</v>
      </c>
      <c r="O233" s="51" t="s">
        <v>48</v>
      </c>
      <c r="P233" s="51">
        <v>4</v>
      </c>
      <c r="Q233" s="51">
        <v>10</v>
      </c>
      <c r="R233" s="51" t="s">
        <v>64</v>
      </c>
      <c r="S233" s="51" t="s">
        <v>50</v>
      </c>
      <c r="T233" s="51" t="s">
        <v>50</v>
      </c>
      <c r="U233" s="51" t="s">
        <v>50</v>
      </c>
      <c r="V233" s="51" t="s">
        <v>50</v>
      </c>
      <c r="W233" s="51" t="s">
        <v>50</v>
      </c>
      <c r="X233" s="51" t="s">
        <v>50</v>
      </c>
    </row>
    <row r="234" spans="1:25" x14ac:dyDescent="0.25">
      <c r="A234" s="443">
        <v>43475</v>
      </c>
      <c r="B234" s="51" t="s">
        <v>105</v>
      </c>
      <c r="C234" s="51" t="s">
        <v>95</v>
      </c>
      <c r="D234" s="51">
        <v>38.093600000000002</v>
      </c>
      <c r="E234" s="51">
        <v>-121.63052</v>
      </c>
      <c r="F234" s="51" t="s">
        <v>4975</v>
      </c>
      <c r="G234" s="51" t="s">
        <v>46</v>
      </c>
      <c r="H234" s="51" t="s">
        <v>908</v>
      </c>
      <c r="I234" s="66">
        <v>0.37361111111111112</v>
      </c>
      <c r="J234" s="428">
        <v>374.47500000000002</v>
      </c>
      <c r="K234" s="428">
        <v>8.6750000000000007</v>
      </c>
      <c r="L234" s="428">
        <v>14.225000000000001</v>
      </c>
      <c r="M234" s="428">
        <v>1.02</v>
      </c>
      <c r="N234" s="428">
        <v>9.0749999999999993</v>
      </c>
      <c r="O234" s="51" t="s">
        <v>48</v>
      </c>
      <c r="P234" s="51">
        <v>4</v>
      </c>
      <c r="Q234" s="51">
        <v>10</v>
      </c>
      <c r="R234" s="51" t="s">
        <v>49</v>
      </c>
      <c r="S234" s="51" t="s">
        <v>50</v>
      </c>
      <c r="T234" s="51" t="s">
        <v>50</v>
      </c>
      <c r="U234" s="51" t="s">
        <v>50</v>
      </c>
      <c r="V234" s="51" t="s">
        <v>50</v>
      </c>
      <c r="W234" s="51" t="s">
        <v>50</v>
      </c>
      <c r="X234" s="51" t="s">
        <v>50</v>
      </c>
    </row>
    <row r="235" spans="1:25" x14ac:dyDescent="0.25">
      <c r="A235" s="443">
        <v>43475</v>
      </c>
      <c r="B235" s="51" t="s">
        <v>105</v>
      </c>
      <c r="C235" s="51" t="s">
        <v>95</v>
      </c>
      <c r="D235" s="51">
        <v>38.063839999999999</v>
      </c>
      <c r="E235" s="51">
        <v>-121.55839</v>
      </c>
      <c r="F235" s="51" t="s">
        <v>4976</v>
      </c>
      <c r="G235" s="51" t="s">
        <v>46</v>
      </c>
      <c r="H235" s="51" t="s">
        <v>115</v>
      </c>
      <c r="I235" s="66">
        <v>0.43611111111111112</v>
      </c>
      <c r="J235" s="428">
        <v>313.64999999999998</v>
      </c>
      <c r="K235" s="428">
        <v>9.1750000000000007</v>
      </c>
      <c r="L235" s="428">
        <v>9.1350000000000016</v>
      </c>
      <c r="M235" s="428">
        <v>1.1724999999999999</v>
      </c>
      <c r="N235" s="428">
        <v>15.275</v>
      </c>
      <c r="O235" s="51" t="s">
        <v>48</v>
      </c>
      <c r="P235" s="51">
        <v>4</v>
      </c>
      <c r="Q235" s="51">
        <v>10</v>
      </c>
      <c r="R235" s="51" t="s">
        <v>49</v>
      </c>
      <c r="S235" s="51" t="s">
        <v>50</v>
      </c>
      <c r="T235" s="51" t="s">
        <v>50</v>
      </c>
      <c r="U235" s="51" t="s">
        <v>50</v>
      </c>
      <c r="V235" s="51" t="s">
        <v>50</v>
      </c>
      <c r="W235" s="51" t="s">
        <v>50</v>
      </c>
      <c r="X235" s="51" t="s">
        <v>50</v>
      </c>
    </row>
    <row r="236" spans="1:25" x14ac:dyDescent="0.25">
      <c r="A236" s="443">
        <v>43475</v>
      </c>
      <c r="B236" s="51" t="s">
        <v>105</v>
      </c>
      <c r="C236" s="51" t="s">
        <v>95</v>
      </c>
      <c r="D236" s="51">
        <v>38.076560000000001</v>
      </c>
      <c r="E236" s="51">
        <v>-121.5659</v>
      </c>
      <c r="F236" s="51" t="s">
        <v>4977</v>
      </c>
      <c r="G236" s="51" t="s">
        <v>46</v>
      </c>
      <c r="H236" s="51" t="s">
        <v>115</v>
      </c>
      <c r="I236" s="66">
        <v>0.48541666666666666</v>
      </c>
      <c r="J236" s="428">
        <v>317.02499999999998</v>
      </c>
      <c r="K236" s="428">
        <v>9.2249999999999996</v>
      </c>
      <c r="L236" s="428">
        <v>8.7375000000000007</v>
      </c>
      <c r="M236" s="428">
        <v>1.1950000000000001</v>
      </c>
      <c r="N236" s="428">
        <v>12.399999999999999</v>
      </c>
      <c r="O236" s="51" t="s">
        <v>48</v>
      </c>
      <c r="P236" s="51">
        <v>4</v>
      </c>
      <c r="Q236" s="51">
        <v>10</v>
      </c>
      <c r="R236" s="51" t="s">
        <v>49</v>
      </c>
      <c r="S236" s="51" t="s">
        <v>50</v>
      </c>
      <c r="T236" s="51" t="s">
        <v>50</v>
      </c>
      <c r="U236" s="51" t="s">
        <v>50</v>
      </c>
      <c r="V236" s="51" t="s">
        <v>50</v>
      </c>
      <c r="W236" s="51" t="s">
        <v>50</v>
      </c>
      <c r="X236" s="51" t="s">
        <v>50</v>
      </c>
    </row>
    <row r="237" spans="1:25" x14ac:dyDescent="0.25">
      <c r="A237" s="443">
        <v>43475</v>
      </c>
      <c r="B237" s="51" t="s">
        <v>105</v>
      </c>
      <c r="C237" s="51" t="s">
        <v>95</v>
      </c>
      <c r="D237" s="51">
        <v>38.076909999999998</v>
      </c>
      <c r="E237" s="51">
        <v>-121.56698</v>
      </c>
      <c r="F237" s="51" t="s">
        <v>4978</v>
      </c>
      <c r="G237" s="51" t="s">
        <v>46</v>
      </c>
      <c r="H237" s="51" t="s">
        <v>115</v>
      </c>
      <c r="I237" s="66">
        <v>0.52986111111111112</v>
      </c>
      <c r="J237" s="428">
        <v>321.52500000000003</v>
      </c>
      <c r="K237" s="428">
        <v>9.1999999999999993</v>
      </c>
      <c r="L237" s="428">
        <v>9.1700000000000017</v>
      </c>
      <c r="M237" s="428">
        <v>1.2449999999999999</v>
      </c>
      <c r="N237" s="428">
        <v>12.324999999999999</v>
      </c>
      <c r="O237" s="51" t="s">
        <v>48</v>
      </c>
      <c r="P237" s="51">
        <v>4</v>
      </c>
      <c r="Q237" s="51">
        <v>10</v>
      </c>
      <c r="R237" s="51" t="s">
        <v>49</v>
      </c>
      <c r="S237" s="51" t="s">
        <v>50</v>
      </c>
      <c r="T237" s="51" t="s">
        <v>50</v>
      </c>
      <c r="U237" s="51" t="s">
        <v>50</v>
      </c>
      <c r="V237" s="51" t="s">
        <v>50</v>
      </c>
      <c r="W237" s="51" t="s">
        <v>50</v>
      </c>
      <c r="X237" s="51" t="s">
        <v>50</v>
      </c>
    </row>
    <row r="238" spans="1:25" x14ac:dyDescent="0.25">
      <c r="A238" s="443">
        <v>43475</v>
      </c>
      <c r="B238" s="51" t="s">
        <v>105</v>
      </c>
      <c r="C238" s="51" t="s">
        <v>106</v>
      </c>
      <c r="D238" s="51">
        <v>38.369329999999998</v>
      </c>
      <c r="E238" s="51">
        <v>-121.63124000000001</v>
      </c>
      <c r="F238" s="51" t="s">
        <v>4979</v>
      </c>
      <c r="G238" s="51" t="s">
        <v>90</v>
      </c>
      <c r="H238" s="51" t="s">
        <v>362</v>
      </c>
      <c r="I238" s="66">
        <v>0.43124999999999997</v>
      </c>
      <c r="J238" s="428">
        <v>265.5</v>
      </c>
      <c r="K238" s="428">
        <v>9.0750000000000011</v>
      </c>
      <c r="L238" s="428">
        <v>77</v>
      </c>
      <c r="M238" s="428">
        <v>0.2525</v>
      </c>
      <c r="N238" s="428">
        <v>8.4250000000000007</v>
      </c>
      <c r="O238" s="51" t="s">
        <v>48</v>
      </c>
      <c r="P238" s="51">
        <v>4</v>
      </c>
      <c r="Q238" s="51">
        <v>10</v>
      </c>
      <c r="R238" s="51" t="s">
        <v>49</v>
      </c>
      <c r="S238" s="51" t="s">
        <v>50</v>
      </c>
      <c r="T238" s="51" t="s">
        <v>50</v>
      </c>
      <c r="U238" s="51" t="s">
        <v>50</v>
      </c>
      <c r="V238" s="51" t="s">
        <v>50</v>
      </c>
      <c r="W238" s="51" t="s">
        <v>50</v>
      </c>
      <c r="X238" s="51" t="s">
        <v>50</v>
      </c>
      <c r="Y238" s="35" t="s">
        <v>4980</v>
      </c>
    </row>
    <row r="239" spans="1:25" x14ac:dyDescent="0.25">
      <c r="A239" s="443">
        <v>43475</v>
      </c>
      <c r="B239" s="51" t="s">
        <v>105</v>
      </c>
      <c r="C239" s="51" t="s">
        <v>106</v>
      </c>
      <c r="D239" s="51">
        <v>38.557360000000003</v>
      </c>
      <c r="E239" s="51">
        <v>-121.57165000000001</v>
      </c>
      <c r="F239" s="51" t="s">
        <v>4981</v>
      </c>
      <c r="G239" s="51" t="s">
        <v>90</v>
      </c>
      <c r="H239" s="51" t="s">
        <v>1787</v>
      </c>
      <c r="I239" s="66">
        <v>0.50694444444444442</v>
      </c>
      <c r="J239" s="428">
        <v>778.75</v>
      </c>
      <c r="K239" s="428">
        <v>10.050000000000001</v>
      </c>
      <c r="L239" s="428">
        <v>9.9725000000000001</v>
      </c>
      <c r="M239" s="428">
        <v>1.56</v>
      </c>
      <c r="N239" s="428">
        <v>10.899999999999999</v>
      </c>
      <c r="O239" s="51" t="s">
        <v>48</v>
      </c>
      <c r="P239" s="51">
        <v>4</v>
      </c>
      <c r="Q239" s="51">
        <v>10</v>
      </c>
      <c r="R239" s="51" t="s">
        <v>49</v>
      </c>
      <c r="S239" s="51" t="s">
        <v>50</v>
      </c>
      <c r="T239" s="51" t="s">
        <v>50</v>
      </c>
      <c r="U239" s="51" t="s">
        <v>50</v>
      </c>
      <c r="V239" s="51" t="s">
        <v>50</v>
      </c>
      <c r="W239" s="51" t="s">
        <v>50</v>
      </c>
      <c r="X239" s="51" t="s">
        <v>50</v>
      </c>
    </row>
    <row r="240" spans="1:25" s="424" customFormat="1" x14ac:dyDescent="0.25">
      <c r="A240" s="446">
        <v>43475</v>
      </c>
      <c r="B240" s="424" t="s">
        <v>105</v>
      </c>
      <c r="C240" s="424" t="s">
        <v>106</v>
      </c>
      <c r="D240" s="424">
        <v>38.505319999999998</v>
      </c>
      <c r="E240" s="424">
        <v>-121.58490999999999</v>
      </c>
      <c r="F240" s="424" t="s">
        <v>4982</v>
      </c>
      <c r="G240" s="424" t="s">
        <v>90</v>
      </c>
      <c r="H240" s="424" t="s">
        <v>1787</v>
      </c>
      <c r="I240" s="425">
        <v>0.49305555555555558</v>
      </c>
      <c r="J240" s="427" t="s">
        <v>50</v>
      </c>
      <c r="K240" s="427" t="s">
        <v>50</v>
      </c>
      <c r="L240" s="427" t="s">
        <v>50</v>
      </c>
      <c r="M240" s="427" t="s">
        <v>50</v>
      </c>
      <c r="N240" s="427" t="s">
        <v>50</v>
      </c>
      <c r="O240" s="424" t="s">
        <v>48</v>
      </c>
      <c r="P240" s="424">
        <v>0</v>
      </c>
      <c r="Q240" s="424" t="s">
        <v>50</v>
      </c>
      <c r="R240" s="424" t="s">
        <v>50</v>
      </c>
      <c r="S240" s="424" t="s">
        <v>50</v>
      </c>
      <c r="T240" s="424" t="s">
        <v>50</v>
      </c>
      <c r="U240" s="424" t="s">
        <v>50</v>
      </c>
      <c r="V240" s="424" t="s">
        <v>50</v>
      </c>
      <c r="W240" s="424" t="s">
        <v>50</v>
      </c>
      <c r="X240" s="424" t="s">
        <v>50</v>
      </c>
      <c r="Y240" s="426" t="s">
        <v>4983</v>
      </c>
    </row>
    <row r="241" spans="1:25" x14ac:dyDescent="0.25">
      <c r="A241" s="443">
        <v>43475</v>
      </c>
      <c r="B241" s="51" t="s">
        <v>105</v>
      </c>
      <c r="C241" s="51" t="s">
        <v>78</v>
      </c>
      <c r="D241" s="51">
        <v>38.061819999999997</v>
      </c>
      <c r="E241" s="51">
        <v>-121.98365</v>
      </c>
      <c r="F241" s="51" t="s">
        <v>4984</v>
      </c>
      <c r="G241" s="51" t="s">
        <v>27</v>
      </c>
      <c r="H241" s="51" t="s">
        <v>86</v>
      </c>
      <c r="I241" s="66">
        <v>0.3666666666666667</v>
      </c>
      <c r="J241" s="428">
        <v>9659.5</v>
      </c>
      <c r="K241" s="428">
        <v>9.5</v>
      </c>
      <c r="L241" s="428">
        <v>17.024999999999999</v>
      </c>
      <c r="M241" s="428">
        <v>0.61750000000000005</v>
      </c>
      <c r="N241" s="428">
        <v>15.275</v>
      </c>
      <c r="O241" s="51" t="s">
        <v>48</v>
      </c>
      <c r="P241" s="51">
        <v>4</v>
      </c>
      <c r="Q241" s="51">
        <v>10</v>
      </c>
      <c r="R241" s="51" t="s">
        <v>49</v>
      </c>
      <c r="S241" s="51" t="s">
        <v>50</v>
      </c>
      <c r="T241" s="51" t="s">
        <v>50</v>
      </c>
      <c r="U241" s="51" t="s">
        <v>50</v>
      </c>
      <c r="V241" s="51" t="s">
        <v>50</v>
      </c>
      <c r="W241" s="51" t="s">
        <v>50</v>
      </c>
      <c r="X241" s="51" t="s">
        <v>50</v>
      </c>
    </row>
    <row r="242" spans="1:25" x14ac:dyDescent="0.25">
      <c r="A242" s="443">
        <v>43475</v>
      </c>
      <c r="B242" s="51" t="s">
        <v>105</v>
      </c>
      <c r="C242" s="51" t="s">
        <v>78</v>
      </c>
      <c r="D242" s="51">
        <v>38.061259999999997</v>
      </c>
      <c r="E242" s="51">
        <v>-122.02012999999999</v>
      </c>
      <c r="F242" s="51" t="s">
        <v>4985</v>
      </c>
      <c r="G242" s="51" t="s">
        <v>27</v>
      </c>
      <c r="H242" s="51" t="s">
        <v>86</v>
      </c>
      <c r="I242" s="66">
        <v>0.4145833333333333</v>
      </c>
      <c r="J242" s="428">
        <v>11362.5</v>
      </c>
      <c r="K242" s="428">
        <v>9.625</v>
      </c>
      <c r="L242" s="428">
        <v>22.425000000000001</v>
      </c>
      <c r="M242" s="428">
        <v>0.63500000000000001</v>
      </c>
      <c r="N242" s="428">
        <v>12.924999999999999</v>
      </c>
      <c r="O242" s="51" t="s">
        <v>48</v>
      </c>
      <c r="P242" s="51">
        <v>4</v>
      </c>
      <c r="Q242" s="51">
        <v>10</v>
      </c>
      <c r="R242" s="51" t="s">
        <v>49</v>
      </c>
      <c r="S242" s="51" t="s">
        <v>50</v>
      </c>
      <c r="T242" s="51" t="s">
        <v>50</v>
      </c>
      <c r="U242" s="51" t="s">
        <v>50</v>
      </c>
      <c r="V242" s="51" t="s">
        <v>50</v>
      </c>
      <c r="W242" s="51" t="s">
        <v>50</v>
      </c>
      <c r="X242" s="51" t="s">
        <v>50</v>
      </c>
    </row>
    <row r="243" spans="1:25" s="74" customFormat="1" x14ac:dyDescent="0.25">
      <c r="A243" s="444">
        <v>43475</v>
      </c>
      <c r="B243" s="74" t="s">
        <v>105</v>
      </c>
      <c r="C243" s="74" t="s">
        <v>78</v>
      </c>
      <c r="D243" s="74">
        <v>38.071019999999997</v>
      </c>
      <c r="E243" s="74">
        <v>-121.84484</v>
      </c>
      <c r="F243" s="74" t="s">
        <v>4986</v>
      </c>
      <c r="G243" s="74" t="s">
        <v>27</v>
      </c>
      <c r="H243" s="74" t="s">
        <v>101</v>
      </c>
      <c r="I243" s="73">
        <v>0.4993055555555555</v>
      </c>
      <c r="J243" s="445">
        <v>1772.25</v>
      </c>
      <c r="K243" s="445">
        <v>9</v>
      </c>
      <c r="L243" s="445">
        <v>27.174999999999997</v>
      </c>
      <c r="M243" s="445">
        <v>0.53249999999999997</v>
      </c>
      <c r="N243" s="445">
        <v>5.0250000000000004</v>
      </c>
      <c r="O243" s="74" t="s">
        <v>48</v>
      </c>
      <c r="P243" s="74">
        <v>4</v>
      </c>
      <c r="Q243" s="74">
        <v>10</v>
      </c>
      <c r="R243" s="74" t="s">
        <v>49</v>
      </c>
      <c r="S243" s="74" t="s">
        <v>50</v>
      </c>
      <c r="T243" s="74" t="s">
        <v>50</v>
      </c>
      <c r="U243" s="74" t="s">
        <v>50</v>
      </c>
      <c r="V243" s="74" t="s">
        <v>50</v>
      </c>
      <c r="W243" s="74" t="s">
        <v>50</v>
      </c>
      <c r="X243" s="74" t="s">
        <v>50</v>
      </c>
      <c r="Y243" s="77"/>
    </row>
    <row r="244" spans="1:25" x14ac:dyDescent="0.25">
      <c r="A244" s="443">
        <v>43479</v>
      </c>
      <c r="B244" s="51" t="s">
        <v>43</v>
      </c>
      <c r="C244" s="51" t="s">
        <v>845</v>
      </c>
      <c r="D244" s="51">
        <v>38.273949999999999</v>
      </c>
      <c r="E244" s="51">
        <v>-121.69507</v>
      </c>
      <c r="F244" s="51" t="s">
        <v>4987</v>
      </c>
      <c r="G244" s="51" t="s">
        <v>90</v>
      </c>
      <c r="H244" s="51" t="s">
        <v>126</v>
      </c>
      <c r="I244" s="66">
        <v>0.3520833333333333</v>
      </c>
      <c r="J244" s="428">
        <v>210.85000000000002</v>
      </c>
      <c r="K244" s="428">
        <v>10.174999999999999</v>
      </c>
      <c r="L244" s="428">
        <v>27.075000000000003</v>
      </c>
      <c r="M244" s="428">
        <v>0.54499999999999993</v>
      </c>
      <c r="N244" s="428">
        <v>5.6000000000000005</v>
      </c>
      <c r="O244" s="51" t="s">
        <v>48</v>
      </c>
      <c r="P244" s="51">
        <v>4</v>
      </c>
      <c r="Q244" s="51">
        <v>10</v>
      </c>
      <c r="R244" s="51" t="s">
        <v>64</v>
      </c>
      <c r="S244" s="51" t="s">
        <v>50</v>
      </c>
      <c r="T244" s="51" t="s">
        <v>50</v>
      </c>
      <c r="U244" s="51" t="s">
        <v>50</v>
      </c>
      <c r="V244" s="51" t="s">
        <v>50</v>
      </c>
      <c r="W244" s="51" t="s">
        <v>50</v>
      </c>
      <c r="X244" s="51" t="s">
        <v>50</v>
      </c>
      <c r="Y244" s="52" t="s">
        <v>4740</v>
      </c>
    </row>
    <row r="245" spans="1:25" x14ac:dyDescent="0.25">
      <c r="A245" s="443">
        <v>43479</v>
      </c>
      <c r="B245" s="51" t="s">
        <v>43</v>
      </c>
      <c r="C245" s="51" t="s">
        <v>845</v>
      </c>
      <c r="D245" s="51">
        <v>38.27957</v>
      </c>
      <c r="E245" s="51">
        <v>-121.66540000000001</v>
      </c>
      <c r="F245" s="51" t="s">
        <v>4988</v>
      </c>
      <c r="G245" s="51" t="s">
        <v>90</v>
      </c>
      <c r="H245" s="51" t="s">
        <v>126</v>
      </c>
      <c r="I245" s="66">
        <v>0.4055555555555555</v>
      </c>
      <c r="J245" s="428">
        <v>235.32499999999999</v>
      </c>
      <c r="K245" s="428">
        <v>10.175000000000001</v>
      </c>
      <c r="L245" s="428">
        <v>29.799999999999997</v>
      </c>
      <c r="M245" s="428">
        <v>0.46499999999999997</v>
      </c>
      <c r="N245" s="428">
        <v>6.8500000000000005</v>
      </c>
      <c r="O245" s="51" t="s">
        <v>48</v>
      </c>
      <c r="P245" s="51">
        <v>4</v>
      </c>
      <c r="Q245" s="51">
        <v>10</v>
      </c>
      <c r="R245" s="51" t="s">
        <v>64</v>
      </c>
      <c r="S245" s="51" t="s">
        <v>50</v>
      </c>
      <c r="T245" s="51" t="s">
        <v>50</v>
      </c>
      <c r="U245" s="51" t="s">
        <v>50</v>
      </c>
      <c r="V245" s="51" t="s">
        <v>50</v>
      </c>
      <c r="W245" s="51" t="s">
        <v>50</v>
      </c>
      <c r="X245" s="51" t="s">
        <v>50</v>
      </c>
    </row>
    <row r="246" spans="1:25" s="437" customFormat="1" x14ac:dyDescent="0.25">
      <c r="A246" s="476">
        <v>43479</v>
      </c>
      <c r="B246" s="437" t="s">
        <v>43</v>
      </c>
      <c r="C246" s="437" t="s">
        <v>845</v>
      </c>
      <c r="D246" s="437">
        <v>38.234180000000002</v>
      </c>
      <c r="E246" s="437">
        <v>-121.67703</v>
      </c>
      <c r="F246" s="437" t="s">
        <v>4989</v>
      </c>
      <c r="G246" s="437" t="s">
        <v>90</v>
      </c>
      <c r="H246" s="437" t="s">
        <v>126</v>
      </c>
      <c r="I246" s="438">
        <v>0.45416666666666666</v>
      </c>
      <c r="J246" s="439">
        <v>119.1</v>
      </c>
      <c r="K246" s="439">
        <v>10.375</v>
      </c>
      <c r="L246" s="439">
        <v>46.400000000000006</v>
      </c>
      <c r="M246" s="439">
        <v>0.33499999999999996</v>
      </c>
      <c r="N246" s="439">
        <v>12.324999999999999</v>
      </c>
      <c r="O246" s="437" t="s">
        <v>48</v>
      </c>
      <c r="P246" s="437">
        <v>4</v>
      </c>
      <c r="Q246" s="437">
        <v>10</v>
      </c>
      <c r="R246" s="437" t="s">
        <v>64</v>
      </c>
      <c r="S246" s="437" t="s">
        <v>702</v>
      </c>
      <c r="T246" s="437">
        <v>1</v>
      </c>
      <c r="U246" s="437">
        <v>42</v>
      </c>
      <c r="V246" s="437" t="s">
        <v>50</v>
      </c>
      <c r="W246" s="437">
        <v>2</v>
      </c>
      <c r="X246" s="437" t="s">
        <v>50</v>
      </c>
      <c r="Y246" s="210" t="s">
        <v>4990</v>
      </c>
    </row>
    <row r="247" spans="1:25" s="424" customFormat="1" x14ac:dyDescent="0.25">
      <c r="A247" s="446">
        <v>43479</v>
      </c>
      <c r="B247" s="424" t="s">
        <v>43</v>
      </c>
      <c r="C247" s="424" t="s">
        <v>845</v>
      </c>
      <c r="D247" s="424">
        <v>38.295160000000003</v>
      </c>
      <c r="E247" s="424">
        <v>-121.72687999999999</v>
      </c>
      <c r="F247" s="424" t="s">
        <v>4991</v>
      </c>
      <c r="G247" s="424" t="s">
        <v>90</v>
      </c>
      <c r="H247" s="424" t="s">
        <v>126</v>
      </c>
      <c r="I247" s="425">
        <v>0.32708333333333334</v>
      </c>
      <c r="J247" s="427">
        <v>367</v>
      </c>
      <c r="K247" s="427">
        <v>10.5</v>
      </c>
      <c r="L247" s="427">
        <v>23.2</v>
      </c>
      <c r="M247" s="427">
        <v>0.53</v>
      </c>
      <c r="N247" s="427">
        <v>3.87</v>
      </c>
      <c r="O247" s="424" t="s">
        <v>48</v>
      </c>
      <c r="P247" s="424">
        <v>1</v>
      </c>
      <c r="Q247" s="424">
        <v>10</v>
      </c>
      <c r="R247" s="424" t="s">
        <v>64</v>
      </c>
      <c r="S247" s="424" t="s">
        <v>50</v>
      </c>
      <c r="T247" s="424" t="s">
        <v>50</v>
      </c>
      <c r="U247" s="424" t="s">
        <v>50</v>
      </c>
      <c r="V247" s="424" t="s">
        <v>50</v>
      </c>
      <c r="W247" s="424" t="s">
        <v>50</v>
      </c>
      <c r="X247" s="424" t="s">
        <v>50</v>
      </c>
      <c r="Y247" s="426"/>
    </row>
    <row r="248" spans="1:25" x14ac:dyDescent="0.25">
      <c r="A248" s="443">
        <v>43479</v>
      </c>
      <c r="B248" s="51" t="s">
        <v>43</v>
      </c>
      <c r="C248" s="51" t="s">
        <v>44</v>
      </c>
      <c r="D248" s="51">
        <v>37.952039999999997</v>
      </c>
      <c r="E248" s="51">
        <v>-121.5645</v>
      </c>
      <c r="F248" s="51" t="s">
        <v>4992</v>
      </c>
      <c r="G248" s="51" t="s">
        <v>46</v>
      </c>
      <c r="H248" s="51" t="s">
        <v>199</v>
      </c>
      <c r="I248" s="66">
        <v>0.33055555555555555</v>
      </c>
      <c r="J248" s="428">
        <v>455.02499999999998</v>
      </c>
      <c r="K248" s="428">
        <v>9.6999999999999993</v>
      </c>
      <c r="L248" s="428">
        <v>5.26</v>
      </c>
      <c r="M248" s="428">
        <v>1.7</v>
      </c>
      <c r="N248" s="428">
        <v>6.1750000000000007</v>
      </c>
      <c r="O248" s="51" t="s">
        <v>48</v>
      </c>
      <c r="P248" s="51">
        <v>4</v>
      </c>
      <c r="Q248" s="51">
        <v>10</v>
      </c>
      <c r="R248" s="51" t="s">
        <v>64</v>
      </c>
      <c r="S248" s="51" t="s">
        <v>50</v>
      </c>
      <c r="T248" s="51" t="s">
        <v>50</v>
      </c>
      <c r="U248" s="51" t="s">
        <v>50</v>
      </c>
      <c r="V248" s="51" t="s">
        <v>50</v>
      </c>
      <c r="W248" s="51" t="s">
        <v>50</v>
      </c>
      <c r="X248" s="51" t="s">
        <v>50</v>
      </c>
    </row>
    <row r="249" spans="1:25" x14ac:dyDescent="0.25">
      <c r="A249" s="443">
        <v>43479</v>
      </c>
      <c r="B249" s="51" t="s">
        <v>43</v>
      </c>
      <c r="C249" s="51" t="s">
        <v>44</v>
      </c>
      <c r="D249" s="51">
        <v>38.058979999999998</v>
      </c>
      <c r="E249" s="51">
        <v>-121.60915</v>
      </c>
      <c r="F249" s="51" t="s">
        <v>4993</v>
      </c>
      <c r="G249" s="51" t="s">
        <v>46</v>
      </c>
      <c r="H249" s="51" t="s">
        <v>47</v>
      </c>
      <c r="I249" s="66">
        <v>0.43263888888888885</v>
      </c>
      <c r="J249" s="428">
        <v>403.52499999999998</v>
      </c>
      <c r="K249" s="428">
        <v>9.5</v>
      </c>
      <c r="L249" s="428">
        <v>11.697500000000002</v>
      </c>
      <c r="M249" s="428">
        <v>1.0575000000000001</v>
      </c>
      <c r="N249" s="428">
        <v>6.4749999999999996</v>
      </c>
      <c r="O249" s="51" t="s">
        <v>48</v>
      </c>
      <c r="P249" s="51">
        <v>4</v>
      </c>
      <c r="Q249" s="51">
        <v>10</v>
      </c>
      <c r="R249" s="51" t="s">
        <v>64</v>
      </c>
      <c r="S249" s="51" t="s">
        <v>50</v>
      </c>
      <c r="T249" s="51" t="s">
        <v>50</v>
      </c>
      <c r="U249" s="51" t="s">
        <v>50</v>
      </c>
      <c r="V249" s="51" t="s">
        <v>50</v>
      </c>
      <c r="W249" s="51" t="s">
        <v>50</v>
      </c>
      <c r="X249" s="51" t="s">
        <v>50</v>
      </c>
      <c r="Y249" s="52" t="s">
        <v>4994</v>
      </c>
    </row>
    <row r="250" spans="1:25" x14ac:dyDescent="0.25">
      <c r="A250" s="443">
        <v>43479</v>
      </c>
      <c r="B250" s="51" t="s">
        <v>43</v>
      </c>
      <c r="C250" s="51" t="s">
        <v>44</v>
      </c>
      <c r="D250" s="51">
        <v>38.043059999999997</v>
      </c>
      <c r="E250" s="51">
        <v>-121.63357999999999</v>
      </c>
      <c r="F250" s="51" t="s">
        <v>4995</v>
      </c>
      <c r="G250" s="51" t="s">
        <v>46</v>
      </c>
      <c r="H250" s="51" t="s">
        <v>47</v>
      </c>
      <c r="I250" s="66">
        <v>0.4861111111111111</v>
      </c>
      <c r="J250" s="428">
        <v>414.05</v>
      </c>
      <c r="K250" s="428">
        <v>9.5500000000000007</v>
      </c>
      <c r="L250" s="428">
        <v>9.7624999999999993</v>
      </c>
      <c r="M250" s="428">
        <v>1.2850000000000001</v>
      </c>
      <c r="N250" s="428">
        <v>7.6000000000000005</v>
      </c>
      <c r="O250" s="51" t="s">
        <v>48</v>
      </c>
      <c r="P250" s="51">
        <v>4</v>
      </c>
      <c r="Q250" s="51">
        <v>10</v>
      </c>
      <c r="R250" s="51" t="s">
        <v>49</v>
      </c>
      <c r="S250" s="51" t="s">
        <v>50</v>
      </c>
      <c r="T250" s="51" t="s">
        <v>50</v>
      </c>
      <c r="U250" s="51" t="s">
        <v>50</v>
      </c>
      <c r="V250" s="51" t="s">
        <v>50</v>
      </c>
      <c r="W250" s="51" t="s">
        <v>50</v>
      </c>
      <c r="X250" s="51" t="s">
        <v>50</v>
      </c>
    </row>
    <row r="251" spans="1:25" s="424" customFormat="1" x14ac:dyDescent="0.25">
      <c r="A251" s="446">
        <v>43479</v>
      </c>
      <c r="B251" s="424" t="s">
        <v>43</v>
      </c>
      <c r="C251" s="424" t="s">
        <v>44</v>
      </c>
      <c r="D251" s="424">
        <v>38.01155</v>
      </c>
      <c r="E251" s="424">
        <v>-121.57495</v>
      </c>
      <c r="F251" s="424" t="s">
        <v>4996</v>
      </c>
      <c r="G251" s="424" t="s">
        <v>46</v>
      </c>
      <c r="H251" s="424" t="s">
        <v>74</v>
      </c>
      <c r="I251" s="425">
        <v>0.3840277777777778</v>
      </c>
      <c r="J251" s="427">
        <v>395.66666666666669</v>
      </c>
      <c r="K251" s="427">
        <v>9.7666666666666675</v>
      </c>
      <c r="L251" s="427">
        <v>4.706666666666667</v>
      </c>
      <c r="M251" s="427">
        <v>1.8</v>
      </c>
      <c r="N251" s="427">
        <v>4.1333333333333329</v>
      </c>
      <c r="O251" s="424" t="s">
        <v>48</v>
      </c>
      <c r="P251" s="424">
        <v>3</v>
      </c>
      <c r="Q251" s="424">
        <v>10</v>
      </c>
      <c r="R251" s="424" t="s">
        <v>49</v>
      </c>
      <c r="S251" s="424" t="s">
        <v>50</v>
      </c>
      <c r="T251" s="424" t="s">
        <v>50</v>
      </c>
      <c r="U251" s="424" t="s">
        <v>50</v>
      </c>
      <c r="V251" s="424" t="s">
        <v>50</v>
      </c>
      <c r="W251" s="424" t="s">
        <v>50</v>
      </c>
      <c r="X251" s="424" t="s">
        <v>50</v>
      </c>
      <c r="Y251" s="426" t="s">
        <v>4997</v>
      </c>
    </row>
    <row r="252" spans="1:25" s="424" customFormat="1" x14ac:dyDescent="0.25">
      <c r="A252" s="446">
        <v>43479</v>
      </c>
      <c r="B252" s="424" t="s">
        <v>43</v>
      </c>
      <c r="C252" s="424" t="s">
        <v>44</v>
      </c>
      <c r="D252" s="424">
        <v>38.039250000000003</v>
      </c>
      <c r="E252" s="424">
        <v>-121.60097</v>
      </c>
      <c r="F252" s="424" t="s">
        <v>4998</v>
      </c>
      <c r="G252" s="424" t="s">
        <v>46</v>
      </c>
      <c r="H252" s="424" t="s">
        <v>47</v>
      </c>
      <c r="I252" s="425">
        <v>0.42499999999999999</v>
      </c>
      <c r="J252" s="427" t="s">
        <v>50</v>
      </c>
      <c r="K252" s="427" t="s">
        <v>50</v>
      </c>
      <c r="L252" s="427" t="s">
        <v>50</v>
      </c>
      <c r="M252" s="427" t="s">
        <v>50</v>
      </c>
      <c r="N252" s="427" t="s">
        <v>50</v>
      </c>
      <c r="O252" s="424" t="s">
        <v>48</v>
      </c>
      <c r="P252" s="424">
        <v>0</v>
      </c>
      <c r="Q252" s="424" t="s">
        <v>50</v>
      </c>
      <c r="R252" s="424" t="s">
        <v>50</v>
      </c>
      <c r="S252" s="424" t="s">
        <v>50</v>
      </c>
      <c r="T252" s="424" t="s">
        <v>50</v>
      </c>
      <c r="U252" s="424" t="s">
        <v>50</v>
      </c>
      <c r="V252" s="424" t="s">
        <v>50</v>
      </c>
      <c r="W252" s="424" t="s">
        <v>50</v>
      </c>
      <c r="X252" s="424" t="s">
        <v>50</v>
      </c>
      <c r="Y252" s="426" t="s">
        <v>4949</v>
      </c>
    </row>
    <row r="253" spans="1:25" s="437" customFormat="1" x14ac:dyDescent="0.25">
      <c r="A253" s="476">
        <v>43479</v>
      </c>
      <c r="B253" s="437" t="s">
        <v>43</v>
      </c>
      <c r="C253" s="437" t="s">
        <v>62</v>
      </c>
      <c r="D253" s="437">
        <v>38.190440000000002</v>
      </c>
      <c r="E253" s="437">
        <v>-122.04148000000001</v>
      </c>
      <c r="F253" s="437" t="s">
        <v>4999</v>
      </c>
      <c r="G253" s="437" t="s">
        <v>27</v>
      </c>
      <c r="H253" s="437" t="s">
        <v>62</v>
      </c>
      <c r="I253" s="438">
        <v>0.42291666666666666</v>
      </c>
      <c r="J253" s="439">
        <v>3715</v>
      </c>
      <c r="K253" s="439">
        <v>9.9</v>
      </c>
      <c r="L253" s="439">
        <v>46.25</v>
      </c>
      <c r="M253" s="439">
        <v>0.32</v>
      </c>
      <c r="N253" s="439">
        <v>7.5499999999999989</v>
      </c>
      <c r="O253" s="437" t="s">
        <v>48</v>
      </c>
      <c r="P253" s="437">
        <v>4</v>
      </c>
      <c r="Q253" s="437">
        <v>10</v>
      </c>
      <c r="R253" s="437" t="s">
        <v>49</v>
      </c>
      <c r="S253" s="437" t="s">
        <v>31</v>
      </c>
      <c r="T253" s="437">
        <v>1</v>
      </c>
      <c r="U253" s="437">
        <v>73</v>
      </c>
      <c r="V253" s="437" t="s">
        <v>66</v>
      </c>
      <c r="W253" s="437" t="s">
        <v>50</v>
      </c>
      <c r="X253" s="437" t="s">
        <v>50</v>
      </c>
      <c r="Y253" s="440"/>
    </row>
    <row r="254" spans="1:25" x14ac:dyDescent="0.25">
      <c r="A254" s="443">
        <v>43479</v>
      </c>
      <c r="B254" s="51" t="s">
        <v>43</v>
      </c>
      <c r="C254" s="51" t="s">
        <v>62</v>
      </c>
      <c r="D254" s="51">
        <v>38.158079999999998</v>
      </c>
      <c r="E254" s="51">
        <v>-122.05079000000001</v>
      </c>
      <c r="F254" s="51" t="s">
        <v>5000</v>
      </c>
      <c r="G254" s="51" t="s">
        <v>27</v>
      </c>
      <c r="H254" s="51" t="s">
        <v>62</v>
      </c>
      <c r="I254" s="66">
        <v>0.36041666666666666</v>
      </c>
      <c r="J254" s="428">
        <v>4617.75</v>
      </c>
      <c r="K254" s="428">
        <v>9.6999999999999993</v>
      </c>
      <c r="L254" s="428">
        <v>28.325000000000003</v>
      </c>
      <c r="M254" s="428">
        <v>0.45499999999999996</v>
      </c>
      <c r="N254" s="428">
        <v>6.2999999999999989</v>
      </c>
      <c r="O254" s="51" t="s">
        <v>48</v>
      </c>
      <c r="P254" s="51">
        <v>4</v>
      </c>
      <c r="Q254" s="51">
        <v>10</v>
      </c>
      <c r="R254" s="51" t="s">
        <v>49</v>
      </c>
      <c r="S254" s="51" t="s">
        <v>50</v>
      </c>
      <c r="T254" s="51" t="s">
        <v>50</v>
      </c>
      <c r="U254" s="51" t="s">
        <v>50</v>
      </c>
      <c r="V254" s="51" t="s">
        <v>50</v>
      </c>
      <c r="W254" s="51" t="s">
        <v>50</v>
      </c>
      <c r="X254" s="51" t="s">
        <v>50</v>
      </c>
    </row>
    <row r="255" spans="1:25" x14ac:dyDescent="0.25">
      <c r="A255" s="443">
        <v>43479</v>
      </c>
      <c r="B255" s="51" t="s">
        <v>43</v>
      </c>
      <c r="C255" s="51" t="s">
        <v>62</v>
      </c>
      <c r="D255" s="51">
        <v>38.186459999999997</v>
      </c>
      <c r="E255" s="51">
        <v>-121.98059000000001</v>
      </c>
      <c r="F255" s="51" t="s">
        <v>5001</v>
      </c>
      <c r="G255" s="51" t="s">
        <v>27</v>
      </c>
      <c r="H255" s="51" t="s">
        <v>62</v>
      </c>
      <c r="I255" s="66">
        <v>0.50208333333333333</v>
      </c>
      <c r="J255" s="428">
        <v>1642</v>
      </c>
      <c r="K255" s="428">
        <v>9.6499999999999986</v>
      </c>
      <c r="L255" s="428">
        <v>43.475000000000001</v>
      </c>
      <c r="M255" s="428">
        <v>0.37999999999999995</v>
      </c>
      <c r="N255" s="428">
        <v>7.375</v>
      </c>
      <c r="O255" s="51" t="s">
        <v>48</v>
      </c>
      <c r="P255" s="51">
        <v>4</v>
      </c>
      <c r="Q255" s="51">
        <v>10</v>
      </c>
      <c r="R255" s="51" t="s">
        <v>49</v>
      </c>
      <c r="S255" s="51" t="s">
        <v>50</v>
      </c>
      <c r="T255" s="51" t="s">
        <v>50</v>
      </c>
      <c r="U255" s="51" t="s">
        <v>50</v>
      </c>
      <c r="V255" s="51" t="s">
        <v>50</v>
      </c>
      <c r="W255" s="51" t="s">
        <v>50</v>
      </c>
      <c r="X255" s="51" t="s">
        <v>50</v>
      </c>
    </row>
    <row r="256" spans="1:25" x14ac:dyDescent="0.25">
      <c r="A256" s="443">
        <v>43480</v>
      </c>
      <c r="B256" s="51" t="s">
        <v>70</v>
      </c>
      <c r="C256" s="51" t="s">
        <v>44</v>
      </c>
      <c r="D256" s="51">
        <v>38.034300000000002</v>
      </c>
      <c r="E256" s="51">
        <v>-121.52484</v>
      </c>
      <c r="F256" s="51" t="s">
        <v>5002</v>
      </c>
      <c r="G256" s="51" t="s">
        <v>46</v>
      </c>
      <c r="H256" s="51" t="s">
        <v>59</v>
      </c>
      <c r="I256" s="66">
        <v>0.32569444444444445</v>
      </c>
      <c r="J256" s="428">
        <v>262.47500000000002</v>
      </c>
      <c r="K256" s="428">
        <v>9.6999999999999993</v>
      </c>
      <c r="L256" s="428" t="s">
        <v>50</v>
      </c>
      <c r="M256" s="428">
        <v>1.3900000000000001</v>
      </c>
      <c r="N256" s="428">
        <v>6.25</v>
      </c>
      <c r="O256" s="51" t="s">
        <v>48</v>
      </c>
      <c r="P256" s="51">
        <v>4</v>
      </c>
      <c r="Q256" s="51">
        <v>10</v>
      </c>
      <c r="R256" s="51" t="s">
        <v>64</v>
      </c>
      <c r="S256" s="51" t="s">
        <v>50</v>
      </c>
      <c r="T256" s="51" t="s">
        <v>50</v>
      </c>
      <c r="U256" s="51" t="s">
        <v>50</v>
      </c>
      <c r="V256" s="51" t="s">
        <v>50</v>
      </c>
      <c r="W256" s="51" t="s">
        <v>50</v>
      </c>
      <c r="X256" s="51" t="s">
        <v>50</v>
      </c>
      <c r="Y256" s="52" t="s">
        <v>766</v>
      </c>
    </row>
    <row r="257" spans="1:25" x14ac:dyDescent="0.25">
      <c r="A257" s="443">
        <v>43480</v>
      </c>
      <c r="B257" s="51" t="s">
        <v>70</v>
      </c>
      <c r="C257" s="51" t="s">
        <v>44</v>
      </c>
      <c r="D257" s="51">
        <v>38.003619999999998</v>
      </c>
      <c r="E257" s="51">
        <v>-121.51191</v>
      </c>
      <c r="F257" s="51" t="s">
        <v>5003</v>
      </c>
      <c r="G257" s="51" t="s">
        <v>46</v>
      </c>
      <c r="H257" s="51" t="s">
        <v>59</v>
      </c>
      <c r="I257" s="66">
        <v>0.375</v>
      </c>
      <c r="J257" s="428">
        <v>294.57499999999999</v>
      </c>
      <c r="K257" s="428">
        <v>9.6</v>
      </c>
      <c r="L257" s="428" t="s">
        <v>50</v>
      </c>
      <c r="M257" s="428">
        <v>1.6349999999999998</v>
      </c>
      <c r="N257" s="428">
        <v>13.625000000000002</v>
      </c>
      <c r="O257" s="51" t="s">
        <v>48</v>
      </c>
      <c r="P257" s="51">
        <v>4</v>
      </c>
      <c r="Q257" s="51">
        <v>10</v>
      </c>
      <c r="R257" s="51" t="s">
        <v>64</v>
      </c>
      <c r="S257" s="51" t="s">
        <v>50</v>
      </c>
      <c r="T257" s="51" t="s">
        <v>50</v>
      </c>
      <c r="U257" s="51" t="s">
        <v>50</v>
      </c>
      <c r="V257" s="51" t="s">
        <v>50</v>
      </c>
      <c r="W257" s="51" t="s">
        <v>50</v>
      </c>
      <c r="X257" s="51" t="s">
        <v>50</v>
      </c>
      <c r="Y257" s="52" t="s">
        <v>5004</v>
      </c>
    </row>
    <row r="258" spans="1:25" x14ac:dyDescent="0.25">
      <c r="A258" s="443">
        <v>43480</v>
      </c>
      <c r="B258" s="51" t="s">
        <v>70</v>
      </c>
      <c r="C258" s="51" t="s">
        <v>44</v>
      </c>
      <c r="D258" s="51">
        <v>38.012439999999998</v>
      </c>
      <c r="E258" s="51">
        <v>-121.55421</v>
      </c>
      <c r="F258" s="51" t="s">
        <v>5005</v>
      </c>
      <c r="G258" s="51" t="s">
        <v>46</v>
      </c>
      <c r="H258" s="51" t="s">
        <v>74</v>
      </c>
      <c r="I258" s="66">
        <v>0.42569444444444443</v>
      </c>
      <c r="J258" s="428">
        <v>401.07499999999993</v>
      </c>
      <c r="K258" s="428">
        <v>9.625</v>
      </c>
      <c r="L258" s="428" t="s">
        <v>50</v>
      </c>
      <c r="M258" s="428">
        <v>1.2475000000000001</v>
      </c>
      <c r="N258" s="428">
        <v>9.15</v>
      </c>
      <c r="O258" s="51" t="s">
        <v>48</v>
      </c>
      <c r="P258" s="51">
        <v>4</v>
      </c>
      <c r="Q258" s="51">
        <v>10</v>
      </c>
      <c r="R258" s="51" t="s">
        <v>64</v>
      </c>
      <c r="S258" s="51" t="s">
        <v>50</v>
      </c>
      <c r="T258" s="51" t="s">
        <v>50</v>
      </c>
      <c r="U258" s="51" t="s">
        <v>50</v>
      </c>
      <c r="V258" s="51" t="s">
        <v>50</v>
      </c>
      <c r="W258" s="51" t="s">
        <v>50</v>
      </c>
      <c r="X258" s="51" t="s">
        <v>50</v>
      </c>
      <c r="Y258" s="52" t="s">
        <v>766</v>
      </c>
    </row>
    <row r="259" spans="1:25" s="437" customFormat="1" x14ac:dyDescent="0.25">
      <c r="A259" s="476">
        <v>43480</v>
      </c>
      <c r="B259" s="437" t="s">
        <v>70</v>
      </c>
      <c r="C259" s="437" t="s">
        <v>78</v>
      </c>
      <c r="D259" s="437">
        <v>38.050849999999997</v>
      </c>
      <c r="E259" s="437">
        <v>-121.83544999999999</v>
      </c>
      <c r="F259" s="437" t="s">
        <v>5006</v>
      </c>
      <c r="G259" s="437" t="s">
        <v>27</v>
      </c>
      <c r="H259" s="437" t="s">
        <v>101</v>
      </c>
      <c r="I259" s="438">
        <v>0.33055555555555555</v>
      </c>
      <c r="J259" s="439">
        <v>721.875</v>
      </c>
      <c r="K259" s="439">
        <v>9.6749999999999989</v>
      </c>
      <c r="L259" s="439">
        <v>39.200000000000003</v>
      </c>
      <c r="M259" s="439">
        <v>0.39249999999999996</v>
      </c>
      <c r="N259" s="439">
        <v>9.875</v>
      </c>
      <c r="O259" s="437" t="s">
        <v>48</v>
      </c>
      <c r="P259" s="437">
        <v>4</v>
      </c>
      <c r="Q259" s="437">
        <v>10</v>
      </c>
      <c r="R259" s="437" t="s">
        <v>64</v>
      </c>
      <c r="S259" s="437" t="s">
        <v>31</v>
      </c>
      <c r="T259" s="437">
        <v>3</v>
      </c>
      <c r="U259" s="437" t="s">
        <v>5007</v>
      </c>
      <c r="V259" s="437" t="s">
        <v>66</v>
      </c>
      <c r="W259" s="437" t="s">
        <v>50</v>
      </c>
      <c r="X259" s="437" t="s">
        <v>50</v>
      </c>
      <c r="Y259" s="440"/>
    </row>
    <row r="260" spans="1:25" s="437" customFormat="1" x14ac:dyDescent="0.25">
      <c r="A260" s="476">
        <v>43480</v>
      </c>
      <c r="B260" s="437" t="s">
        <v>70</v>
      </c>
      <c r="C260" s="437" t="s">
        <v>78</v>
      </c>
      <c r="D260" s="437">
        <v>38.050849999999997</v>
      </c>
      <c r="E260" s="437">
        <v>-121.83544999999999</v>
      </c>
      <c r="F260" s="437" t="s">
        <v>5006</v>
      </c>
      <c r="G260" s="437" t="s">
        <v>27</v>
      </c>
      <c r="H260" s="437" t="s">
        <v>101</v>
      </c>
      <c r="I260" s="438">
        <v>0.33055555555555555</v>
      </c>
      <c r="J260" s="439"/>
      <c r="K260" s="439"/>
      <c r="L260" s="439"/>
      <c r="M260" s="439"/>
      <c r="N260" s="439"/>
      <c r="S260" s="437" t="s">
        <v>31</v>
      </c>
      <c r="T260" s="437">
        <v>1</v>
      </c>
      <c r="U260" s="437">
        <v>81</v>
      </c>
      <c r="V260" s="437" t="s">
        <v>2789</v>
      </c>
      <c r="W260" s="437" t="s">
        <v>50</v>
      </c>
      <c r="X260" s="437" t="s">
        <v>50</v>
      </c>
      <c r="Y260" s="440"/>
    </row>
    <row r="261" spans="1:25" x14ac:dyDescent="0.25">
      <c r="A261" s="443">
        <v>43480</v>
      </c>
      <c r="B261" s="51" t="s">
        <v>70</v>
      </c>
      <c r="C261" s="51" t="s">
        <v>78</v>
      </c>
      <c r="D261" s="51">
        <v>38.070590000000003</v>
      </c>
      <c r="E261" s="51">
        <v>-121.97431</v>
      </c>
      <c r="F261" s="51" t="s">
        <v>5008</v>
      </c>
      <c r="G261" s="51" t="s">
        <v>27</v>
      </c>
      <c r="H261" s="51" t="s">
        <v>86</v>
      </c>
      <c r="I261" s="66">
        <v>0.39999999999999997</v>
      </c>
      <c r="J261" s="428">
        <v>7173</v>
      </c>
      <c r="K261" s="428">
        <v>9.8000000000000007</v>
      </c>
      <c r="L261" s="428">
        <v>31.925000000000004</v>
      </c>
      <c r="M261" s="428">
        <v>0.42</v>
      </c>
      <c r="N261" s="428">
        <v>6.1</v>
      </c>
      <c r="O261" s="51" t="s">
        <v>48</v>
      </c>
      <c r="P261" s="51">
        <v>4</v>
      </c>
      <c r="Q261" s="51">
        <v>10</v>
      </c>
      <c r="R261" s="51" t="s">
        <v>64</v>
      </c>
      <c r="S261" s="51" t="s">
        <v>50</v>
      </c>
      <c r="T261" s="51" t="s">
        <v>50</v>
      </c>
      <c r="U261" s="51" t="s">
        <v>50</v>
      </c>
      <c r="V261" s="51" t="s">
        <v>50</v>
      </c>
      <c r="W261" s="51" t="s">
        <v>50</v>
      </c>
      <c r="X261" s="51" t="s">
        <v>50</v>
      </c>
    </row>
    <row r="262" spans="1:25" x14ac:dyDescent="0.25">
      <c r="A262" s="443">
        <v>43480</v>
      </c>
      <c r="B262" s="51" t="s">
        <v>70</v>
      </c>
      <c r="C262" s="51" t="s">
        <v>78</v>
      </c>
      <c r="D262" s="51">
        <v>38.037590000000002</v>
      </c>
      <c r="E262" s="51">
        <v>-121.88133999999999</v>
      </c>
      <c r="F262" s="51" t="s">
        <v>5009</v>
      </c>
      <c r="G262" s="51" t="s">
        <v>27</v>
      </c>
      <c r="H262" s="51" t="s">
        <v>101</v>
      </c>
      <c r="I262" s="66">
        <v>0.4770833333333333</v>
      </c>
      <c r="J262" s="428">
        <v>3742.5</v>
      </c>
      <c r="K262" s="428">
        <v>9.6999999999999993</v>
      </c>
      <c r="L262" s="428">
        <v>26.7</v>
      </c>
      <c r="M262" s="428">
        <v>0.56999999999999995</v>
      </c>
      <c r="N262" s="428">
        <v>10.6</v>
      </c>
      <c r="O262" s="51" t="s">
        <v>48</v>
      </c>
      <c r="P262" s="51">
        <v>4</v>
      </c>
      <c r="Q262" s="51">
        <v>10</v>
      </c>
      <c r="R262" s="51" t="s">
        <v>49</v>
      </c>
      <c r="S262" s="51" t="s">
        <v>50</v>
      </c>
      <c r="T262" s="51" t="s">
        <v>50</v>
      </c>
      <c r="U262" s="51" t="s">
        <v>50</v>
      </c>
      <c r="V262" s="51" t="s">
        <v>50</v>
      </c>
      <c r="W262" s="51" t="s">
        <v>50</v>
      </c>
      <c r="X262" s="51" t="s">
        <v>50</v>
      </c>
      <c r="Y262" s="52" t="s">
        <v>5010</v>
      </c>
    </row>
    <row r="263" spans="1:25" s="437" customFormat="1" x14ac:dyDescent="0.25">
      <c r="A263" s="476">
        <v>43481</v>
      </c>
      <c r="B263" s="437" t="s">
        <v>87</v>
      </c>
      <c r="C263" s="437" t="s">
        <v>95</v>
      </c>
      <c r="D263" s="437">
        <v>38.02637</v>
      </c>
      <c r="E263" s="437">
        <v>-121.75842</v>
      </c>
      <c r="F263" s="437" t="s">
        <v>5011</v>
      </c>
      <c r="G263" s="437" t="s">
        <v>27</v>
      </c>
      <c r="H263" s="437" t="s">
        <v>863</v>
      </c>
      <c r="I263" s="438">
        <v>0.33958333333333335</v>
      </c>
      <c r="J263" s="439">
        <v>569.75</v>
      </c>
      <c r="K263" s="439">
        <v>9.6</v>
      </c>
      <c r="L263" s="439">
        <v>15.8</v>
      </c>
      <c r="M263" s="439">
        <v>0.75249999999999995</v>
      </c>
      <c r="N263" s="439">
        <v>10.55</v>
      </c>
      <c r="O263" s="437" t="s">
        <v>48</v>
      </c>
      <c r="P263" s="437">
        <v>4</v>
      </c>
      <c r="Q263" s="437">
        <v>10</v>
      </c>
      <c r="R263" s="437" t="s">
        <v>64</v>
      </c>
      <c r="S263" s="437" t="s">
        <v>449</v>
      </c>
      <c r="T263" s="437">
        <v>1</v>
      </c>
      <c r="U263" s="437">
        <v>216</v>
      </c>
      <c r="V263" s="437" t="s">
        <v>50</v>
      </c>
      <c r="W263" s="437">
        <v>5</v>
      </c>
      <c r="X263" s="437" t="s">
        <v>2525</v>
      </c>
      <c r="Y263" s="440"/>
    </row>
    <row r="264" spans="1:25" x14ac:dyDescent="0.25">
      <c r="A264" s="443">
        <v>43481</v>
      </c>
      <c r="B264" s="51" t="s">
        <v>87</v>
      </c>
      <c r="C264" s="51" t="s">
        <v>95</v>
      </c>
      <c r="D264" s="51">
        <v>38.023400000000002</v>
      </c>
      <c r="E264" s="51">
        <v>-121.75606999999999</v>
      </c>
      <c r="F264" s="51" t="s">
        <v>5012</v>
      </c>
      <c r="G264" s="51" t="s">
        <v>27</v>
      </c>
      <c r="H264" s="51" t="s">
        <v>863</v>
      </c>
      <c r="I264" s="66">
        <v>0.38958333333333334</v>
      </c>
      <c r="J264" s="428">
        <v>614.75</v>
      </c>
      <c r="K264" s="428">
        <v>9.625</v>
      </c>
      <c r="L264" s="428">
        <v>25.625</v>
      </c>
      <c r="M264" s="428">
        <v>0.57499999999999996</v>
      </c>
      <c r="N264" s="428">
        <v>5.45</v>
      </c>
      <c r="O264" s="51" t="s">
        <v>48</v>
      </c>
      <c r="P264" s="51">
        <v>4</v>
      </c>
      <c r="Q264" s="51">
        <v>10</v>
      </c>
      <c r="R264" s="51" t="s">
        <v>64</v>
      </c>
      <c r="S264" s="51" t="s">
        <v>50</v>
      </c>
      <c r="T264" s="51" t="s">
        <v>50</v>
      </c>
      <c r="U264" s="51" t="s">
        <v>50</v>
      </c>
      <c r="V264" s="51" t="s">
        <v>50</v>
      </c>
      <c r="W264" s="51" t="s">
        <v>50</v>
      </c>
      <c r="X264" s="51" t="s">
        <v>50</v>
      </c>
      <c r="Y264" s="52" t="s">
        <v>5013</v>
      </c>
    </row>
    <row r="265" spans="1:25" x14ac:dyDescent="0.25">
      <c r="A265" s="443">
        <v>43481</v>
      </c>
      <c r="B265" s="51" t="s">
        <v>87</v>
      </c>
      <c r="C265" s="51" t="s">
        <v>95</v>
      </c>
      <c r="D265" s="51">
        <v>38.020470000000003</v>
      </c>
      <c r="E265" s="51">
        <v>-121.74330999999999</v>
      </c>
      <c r="F265" s="51" t="s">
        <v>5014</v>
      </c>
      <c r="G265" s="51" t="s">
        <v>27</v>
      </c>
      <c r="H265" s="51" t="s">
        <v>863</v>
      </c>
      <c r="I265" s="66">
        <v>0.4381944444444445</v>
      </c>
      <c r="J265" s="428">
        <v>647.25</v>
      </c>
      <c r="K265" s="428">
        <v>9.6750000000000007</v>
      </c>
      <c r="L265" s="428">
        <v>28.274999999999999</v>
      </c>
      <c r="M265" s="428">
        <v>0.53749999999999998</v>
      </c>
      <c r="N265" s="428">
        <v>3.2749999999999999</v>
      </c>
      <c r="O265" s="51" t="s">
        <v>48</v>
      </c>
      <c r="P265" s="51">
        <v>4</v>
      </c>
      <c r="Q265" s="51">
        <v>10</v>
      </c>
      <c r="R265" s="51" t="s">
        <v>64</v>
      </c>
      <c r="S265" s="51" t="s">
        <v>50</v>
      </c>
      <c r="T265" s="51" t="s">
        <v>50</v>
      </c>
      <c r="U265" s="51" t="s">
        <v>50</v>
      </c>
      <c r="V265" s="51" t="s">
        <v>50</v>
      </c>
      <c r="W265" s="51" t="s">
        <v>50</v>
      </c>
      <c r="X265" s="51" t="s">
        <v>50</v>
      </c>
    </row>
    <row r="266" spans="1:25" x14ac:dyDescent="0.25">
      <c r="A266" s="443">
        <v>43481</v>
      </c>
      <c r="B266" s="51" t="s">
        <v>87</v>
      </c>
      <c r="C266" s="51" t="s">
        <v>95</v>
      </c>
      <c r="D266" s="51">
        <v>38.026589999999999</v>
      </c>
      <c r="E266" s="51">
        <v>-121.70144999999999</v>
      </c>
      <c r="F266" s="51" t="s">
        <v>5015</v>
      </c>
      <c r="G266" s="51" t="s">
        <v>27</v>
      </c>
      <c r="H266" s="51" t="s">
        <v>863</v>
      </c>
      <c r="I266" s="66">
        <v>0.50416666666666665</v>
      </c>
      <c r="J266" s="428">
        <v>545.25</v>
      </c>
      <c r="K266" s="428">
        <v>9.625</v>
      </c>
      <c r="L266" s="428">
        <v>18.45</v>
      </c>
      <c r="M266" s="428">
        <v>0.72499999999999998</v>
      </c>
      <c r="N266" s="428">
        <v>5.5750000000000002</v>
      </c>
      <c r="O266" s="51" t="s">
        <v>48</v>
      </c>
      <c r="P266" s="51">
        <v>4</v>
      </c>
      <c r="Q266" s="51">
        <v>10</v>
      </c>
      <c r="R266" s="51" t="s">
        <v>64</v>
      </c>
      <c r="S266" s="51" t="s">
        <v>50</v>
      </c>
      <c r="T266" s="51" t="s">
        <v>50</v>
      </c>
      <c r="U266" s="51" t="s">
        <v>50</v>
      </c>
      <c r="V266" s="51" t="s">
        <v>50</v>
      </c>
      <c r="W266" s="51" t="s">
        <v>50</v>
      </c>
      <c r="X266" s="51" t="s">
        <v>50</v>
      </c>
      <c r="Y266" s="52" t="s">
        <v>5016</v>
      </c>
    </row>
    <row r="267" spans="1:25" x14ac:dyDescent="0.25">
      <c r="A267" s="443">
        <v>43481</v>
      </c>
      <c r="B267" s="51" t="s">
        <v>87</v>
      </c>
      <c r="C267" s="51" t="s">
        <v>95</v>
      </c>
      <c r="D267" s="51">
        <v>38.040849999999999</v>
      </c>
      <c r="E267" s="51">
        <v>-121.71259999999999</v>
      </c>
      <c r="F267" s="51" t="s">
        <v>5017</v>
      </c>
      <c r="G267" s="51" t="s">
        <v>27</v>
      </c>
      <c r="H267" s="51" t="s">
        <v>863</v>
      </c>
      <c r="I267" s="66">
        <v>0.56041666666666667</v>
      </c>
      <c r="J267" s="428">
        <v>510.75</v>
      </c>
      <c r="K267" s="428">
        <v>9.75</v>
      </c>
      <c r="L267" s="428">
        <v>19.399999999999999</v>
      </c>
      <c r="M267" s="428">
        <v>0.56000000000000005</v>
      </c>
      <c r="N267" s="428">
        <v>6.0750000000000002</v>
      </c>
      <c r="O267" s="51" t="s">
        <v>48</v>
      </c>
      <c r="P267" s="51">
        <v>4</v>
      </c>
      <c r="Q267" s="51">
        <v>10</v>
      </c>
      <c r="R267" s="51" t="s">
        <v>49</v>
      </c>
      <c r="S267" s="51" t="s">
        <v>50</v>
      </c>
      <c r="T267" s="51" t="s">
        <v>50</v>
      </c>
      <c r="U267" s="51" t="s">
        <v>50</v>
      </c>
      <c r="V267" s="51" t="s">
        <v>50</v>
      </c>
      <c r="W267" s="51" t="s">
        <v>50</v>
      </c>
      <c r="X267" s="51" t="s">
        <v>50</v>
      </c>
    </row>
    <row r="268" spans="1:25" s="431" customFormat="1" x14ac:dyDescent="0.25">
      <c r="A268" s="447">
        <v>43481</v>
      </c>
      <c r="B268" s="431" t="s">
        <v>87</v>
      </c>
      <c r="C268" s="431" t="s">
        <v>88</v>
      </c>
      <c r="D268" s="431">
        <v>38.068809999999999</v>
      </c>
      <c r="E268" s="431">
        <v>-121.78607</v>
      </c>
      <c r="F268" s="431" t="s">
        <v>5018</v>
      </c>
      <c r="G268" s="431" t="s">
        <v>27</v>
      </c>
      <c r="H268" s="431" t="s">
        <v>25</v>
      </c>
      <c r="I268" s="432">
        <v>0.32430555555555557</v>
      </c>
      <c r="J268" s="433">
        <v>120</v>
      </c>
      <c r="K268" s="433">
        <v>10.3</v>
      </c>
      <c r="L268" s="433">
        <v>42.33</v>
      </c>
      <c r="M268" s="433">
        <v>0.32669999999999999</v>
      </c>
      <c r="N268" s="433">
        <v>5.867</v>
      </c>
      <c r="O268" s="431" t="s">
        <v>48</v>
      </c>
      <c r="P268" s="431">
        <v>3</v>
      </c>
      <c r="Q268" s="431">
        <v>10</v>
      </c>
      <c r="R268" s="431" t="s">
        <v>64</v>
      </c>
      <c r="S268" s="431" t="s">
        <v>323</v>
      </c>
      <c r="T268" s="431">
        <v>1</v>
      </c>
      <c r="U268" s="431">
        <v>61</v>
      </c>
      <c r="V268" s="431" t="s">
        <v>66</v>
      </c>
      <c r="W268" s="431" t="s">
        <v>50</v>
      </c>
      <c r="X268" s="431" t="s">
        <v>50</v>
      </c>
      <c r="Y268" s="448"/>
    </row>
    <row r="269" spans="1:25" s="437" customFormat="1" x14ac:dyDescent="0.25">
      <c r="A269" s="476">
        <v>43481</v>
      </c>
      <c r="B269" s="437" t="s">
        <v>87</v>
      </c>
      <c r="C269" s="437" t="s">
        <v>88</v>
      </c>
      <c r="D269" s="437">
        <v>38.068809999999999</v>
      </c>
      <c r="E269" s="437">
        <v>-121.78607</v>
      </c>
      <c r="F269" s="437" t="s">
        <v>5018</v>
      </c>
      <c r="G269" s="437" t="s">
        <v>27</v>
      </c>
      <c r="H269" s="437" t="s">
        <v>25</v>
      </c>
      <c r="I269" s="438">
        <v>0.32430555555555557</v>
      </c>
      <c r="J269" s="439"/>
      <c r="K269" s="439"/>
      <c r="L269" s="439"/>
      <c r="M269" s="439"/>
      <c r="N269" s="439"/>
      <c r="S269" s="437" t="s">
        <v>348</v>
      </c>
      <c r="T269" s="437">
        <v>1</v>
      </c>
      <c r="U269" s="437">
        <v>153</v>
      </c>
      <c r="V269" s="437" t="s">
        <v>50</v>
      </c>
      <c r="W269" s="437">
        <v>5</v>
      </c>
      <c r="X269" s="437" t="s">
        <v>2525</v>
      </c>
      <c r="Y269" s="440"/>
    </row>
    <row r="270" spans="1:25" s="437" customFormat="1" x14ac:dyDescent="0.25">
      <c r="A270" s="476">
        <v>43481</v>
      </c>
      <c r="B270" s="437" t="s">
        <v>87</v>
      </c>
      <c r="C270" s="437" t="s">
        <v>88</v>
      </c>
      <c r="D270" s="437">
        <v>38.087809999999998</v>
      </c>
      <c r="E270" s="437">
        <v>-121.74572000000001</v>
      </c>
      <c r="F270" s="437" t="s">
        <v>5019</v>
      </c>
      <c r="G270" s="437" t="s">
        <v>27</v>
      </c>
      <c r="H270" s="437" t="s">
        <v>25</v>
      </c>
      <c r="I270" s="438">
        <v>0.36736111111111108</v>
      </c>
      <c r="J270" s="439">
        <v>123.35</v>
      </c>
      <c r="K270" s="439">
        <v>10.3</v>
      </c>
      <c r="L270" s="439">
        <v>40.1</v>
      </c>
      <c r="M270" s="439">
        <v>0.42249999999999999</v>
      </c>
      <c r="N270" s="439">
        <v>10.45</v>
      </c>
      <c r="O270" s="437" t="s">
        <v>48</v>
      </c>
      <c r="P270" s="437">
        <v>4</v>
      </c>
      <c r="Q270" s="437">
        <v>10</v>
      </c>
      <c r="R270" s="437" t="s">
        <v>64</v>
      </c>
      <c r="S270" s="437" t="s">
        <v>31</v>
      </c>
      <c r="T270" s="437">
        <v>4</v>
      </c>
      <c r="U270" s="437" t="s">
        <v>5020</v>
      </c>
      <c r="V270" s="437" t="s">
        <v>5021</v>
      </c>
      <c r="W270" s="437" t="s">
        <v>50</v>
      </c>
      <c r="X270" s="437" t="s">
        <v>50</v>
      </c>
      <c r="Y270" s="440" t="s">
        <v>5022</v>
      </c>
    </row>
    <row r="271" spans="1:25" s="437" customFormat="1" x14ac:dyDescent="0.25">
      <c r="A271" s="476">
        <v>43481</v>
      </c>
      <c r="B271" s="437" t="s">
        <v>87</v>
      </c>
      <c r="C271" s="437" t="s">
        <v>88</v>
      </c>
      <c r="D271" s="437">
        <v>38.087809999999998</v>
      </c>
      <c r="E271" s="437">
        <v>-121.74572000000001</v>
      </c>
      <c r="F271" s="437" t="s">
        <v>5019</v>
      </c>
      <c r="G271" s="437" t="s">
        <v>27</v>
      </c>
      <c r="H271" s="437" t="s">
        <v>25</v>
      </c>
      <c r="I271" s="438">
        <v>0.36736111111111108</v>
      </c>
      <c r="J271" s="439"/>
      <c r="K271" s="439"/>
      <c r="L271" s="439"/>
      <c r="M271" s="439"/>
      <c r="N271" s="439"/>
      <c r="S271" s="437" t="s">
        <v>758</v>
      </c>
      <c r="T271" s="437">
        <v>1</v>
      </c>
      <c r="U271" s="437">
        <v>113</v>
      </c>
      <c r="V271" s="437" t="s">
        <v>50</v>
      </c>
      <c r="W271" s="437">
        <v>5</v>
      </c>
      <c r="X271" s="437" t="s">
        <v>50</v>
      </c>
      <c r="Y271" s="440"/>
    </row>
    <row r="272" spans="1:25" s="431" customFormat="1" x14ac:dyDescent="0.25">
      <c r="A272" s="447">
        <v>43481</v>
      </c>
      <c r="B272" s="431" t="s">
        <v>87</v>
      </c>
      <c r="C272" s="431" t="s">
        <v>88</v>
      </c>
      <c r="D272" s="431">
        <v>38.087809999999998</v>
      </c>
      <c r="E272" s="431">
        <v>-121.74572000000001</v>
      </c>
      <c r="F272" s="431" t="s">
        <v>5019</v>
      </c>
      <c r="G272" s="431" t="s">
        <v>27</v>
      </c>
      <c r="H272" s="431" t="s">
        <v>25</v>
      </c>
      <c r="I272" s="432">
        <v>0.36736111111111108</v>
      </c>
      <c r="J272" s="433"/>
      <c r="K272" s="433"/>
      <c r="L272" s="433"/>
      <c r="M272" s="433"/>
      <c r="N272" s="433"/>
      <c r="S272" s="431" t="s">
        <v>323</v>
      </c>
      <c r="T272" s="431">
        <v>1</v>
      </c>
      <c r="U272" s="431">
        <v>70</v>
      </c>
      <c r="V272" s="431" t="s">
        <v>66</v>
      </c>
      <c r="W272" s="431" t="s">
        <v>50</v>
      </c>
      <c r="X272" s="431" t="s">
        <v>50</v>
      </c>
      <c r="Y272" s="448"/>
    </row>
    <row r="273" spans="1:25" s="437" customFormat="1" x14ac:dyDescent="0.25">
      <c r="A273" s="476">
        <v>43481</v>
      </c>
      <c r="B273" s="437" t="s">
        <v>87</v>
      </c>
      <c r="C273" s="437" t="s">
        <v>88</v>
      </c>
      <c r="D273" s="437">
        <v>38.087809999999998</v>
      </c>
      <c r="E273" s="437">
        <v>-121.74572000000001</v>
      </c>
      <c r="F273" s="437" t="s">
        <v>5019</v>
      </c>
      <c r="G273" s="437" t="s">
        <v>27</v>
      </c>
      <c r="H273" s="437" t="s">
        <v>25</v>
      </c>
      <c r="I273" s="438">
        <v>0.36736111111111108</v>
      </c>
      <c r="J273" s="439"/>
      <c r="K273" s="439"/>
      <c r="L273" s="439"/>
      <c r="M273" s="439"/>
      <c r="N273" s="439"/>
      <c r="S273" s="437" t="s">
        <v>622</v>
      </c>
      <c r="T273" s="437">
        <v>1</v>
      </c>
      <c r="U273" s="437">
        <v>257</v>
      </c>
      <c r="V273" s="437" t="s">
        <v>50</v>
      </c>
      <c r="W273" s="437" t="s">
        <v>50</v>
      </c>
      <c r="X273" s="437" t="s">
        <v>50</v>
      </c>
      <c r="Y273" s="440"/>
    </row>
    <row r="274" spans="1:25" s="437" customFormat="1" x14ac:dyDescent="0.25">
      <c r="A274" s="476">
        <v>43481</v>
      </c>
      <c r="B274" s="437" t="s">
        <v>87</v>
      </c>
      <c r="C274" s="437" t="s">
        <v>88</v>
      </c>
      <c r="D274" s="437">
        <v>38.087809999999998</v>
      </c>
      <c r="E274" s="437">
        <v>-121.74572000000001</v>
      </c>
      <c r="F274" s="437" t="s">
        <v>5019</v>
      </c>
      <c r="G274" s="437" t="s">
        <v>27</v>
      </c>
      <c r="H274" s="437" t="s">
        <v>25</v>
      </c>
      <c r="I274" s="438">
        <v>0.36736111111111108</v>
      </c>
      <c r="J274" s="439"/>
      <c r="K274" s="439"/>
      <c r="L274" s="439"/>
      <c r="M274" s="439"/>
      <c r="N274" s="439"/>
      <c r="S274" s="437" t="s">
        <v>348</v>
      </c>
      <c r="T274" s="437">
        <v>1</v>
      </c>
      <c r="U274" s="437">
        <v>149</v>
      </c>
      <c r="V274" s="437" t="s">
        <v>50</v>
      </c>
      <c r="W274" s="437" t="s">
        <v>50</v>
      </c>
      <c r="X274" s="437" t="s">
        <v>2525</v>
      </c>
      <c r="Y274" s="440" t="s">
        <v>5023</v>
      </c>
    </row>
    <row r="275" spans="1:25" s="437" customFormat="1" x14ac:dyDescent="0.25">
      <c r="A275" s="476">
        <v>43481</v>
      </c>
      <c r="B275" s="437" t="s">
        <v>87</v>
      </c>
      <c r="C275" s="437" t="s">
        <v>88</v>
      </c>
      <c r="D275" s="437">
        <v>38.097679999999997</v>
      </c>
      <c r="E275" s="437">
        <v>-121.72344</v>
      </c>
      <c r="F275" s="437" t="s">
        <v>5024</v>
      </c>
      <c r="G275" s="437" t="s">
        <v>90</v>
      </c>
      <c r="H275" s="437" t="s">
        <v>91</v>
      </c>
      <c r="I275" s="438">
        <v>0.42083333333333334</v>
      </c>
      <c r="J275" s="439">
        <v>123.22499999999999</v>
      </c>
      <c r="K275" s="439">
        <v>10.25</v>
      </c>
      <c r="L275" s="439">
        <v>43.25</v>
      </c>
      <c r="M275" s="439">
        <v>0.38</v>
      </c>
      <c r="N275" s="439">
        <v>6.55</v>
      </c>
      <c r="O275" s="437" t="s">
        <v>48</v>
      </c>
      <c r="P275" s="437">
        <v>4</v>
      </c>
      <c r="Q275" s="437">
        <v>10</v>
      </c>
      <c r="R275" s="437" t="s">
        <v>64</v>
      </c>
      <c r="S275" s="437" t="s">
        <v>31</v>
      </c>
      <c r="T275" s="437">
        <v>1</v>
      </c>
      <c r="U275" s="437">
        <v>106</v>
      </c>
      <c r="V275" s="437" t="s">
        <v>355</v>
      </c>
      <c r="W275" s="437" t="s">
        <v>50</v>
      </c>
      <c r="X275" s="437" t="s">
        <v>50</v>
      </c>
      <c r="Y275" s="440"/>
    </row>
    <row r="276" spans="1:25" s="437" customFormat="1" x14ac:dyDescent="0.25">
      <c r="A276" s="476">
        <v>43481</v>
      </c>
      <c r="B276" s="437" t="s">
        <v>87</v>
      </c>
      <c r="C276" s="437" t="s">
        <v>88</v>
      </c>
      <c r="D276" s="437">
        <v>38.097679999999997</v>
      </c>
      <c r="E276" s="437">
        <v>-121.72344</v>
      </c>
      <c r="F276" s="437" t="s">
        <v>5024</v>
      </c>
      <c r="G276" s="437" t="s">
        <v>90</v>
      </c>
      <c r="H276" s="437" t="s">
        <v>91</v>
      </c>
      <c r="I276" s="438">
        <v>0.42083333333333334</v>
      </c>
      <c r="J276" s="439"/>
      <c r="K276" s="439"/>
      <c r="L276" s="439"/>
      <c r="M276" s="439"/>
      <c r="N276" s="439"/>
      <c r="S276" s="437" t="s">
        <v>702</v>
      </c>
      <c r="T276" s="437">
        <v>1</v>
      </c>
      <c r="U276" s="437">
        <v>38</v>
      </c>
      <c r="V276" s="437" t="s">
        <v>50</v>
      </c>
      <c r="W276" s="437">
        <v>3</v>
      </c>
      <c r="X276" s="437" t="s">
        <v>50</v>
      </c>
      <c r="Y276" s="440"/>
    </row>
    <row r="277" spans="1:25" s="437" customFormat="1" x14ac:dyDescent="0.25">
      <c r="A277" s="476">
        <v>43481</v>
      </c>
      <c r="B277" s="437" t="s">
        <v>87</v>
      </c>
      <c r="C277" s="437" t="s">
        <v>88</v>
      </c>
      <c r="D277" s="437">
        <v>38.097679999999997</v>
      </c>
      <c r="E277" s="437">
        <v>-121.72344</v>
      </c>
      <c r="F277" s="437" t="s">
        <v>5024</v>
      </c>
      <c r="G277" s="437" t="s">
        <v>90</v>
      </c>
      <c r="H277" s="437" t="s">
        <v>91</v>
      </c>
      <c r="I277" s="438">
        <v>0.42083333333333334</v>
      </c>
      <c r="J277" s="439"/>
      <c r="K277" s="439"/>
      <c r="L277" s="439"/>
      <c r="M277" s="439"/>
      <c r="N277" s="439"/>
      <c r="S277" s="437" t="s">
        <v>449</v>
      </c>
      <c r="T277" s="437">
        <v>1</v>
      </c>
      <c r="U277" s="437">
        <v>215</v>
      </c>
      <c r="V277" s="437" t="s">
        <v>50</v>
      </c>
      <c r="W277" s="437">
        <v>5</v>
      </c>
      <c r="X277" s="437" t="s">
        <v>50</v>
      </c>
      <c r="Y277" s="440" t="s">
        <v>5025</v>
      </c>
    </row>
    <row r="278" spans="1:25" x14ac:dyDescent="0.25">
      <c r="A278" s="443">
        <v>43481</v>
      </c>
      <c r="B278" s="51" t="s">
        <v>87</v>
      </c>
      <c r="C278" s="51" t="s">
        <v>88</v>
      </c>
      <c r="D278" s="51">
        <v>38.160559999999997</v>
      </c>
      <c r="E278" s="51">
        <v>-121.6819</v>
      </c>
      <c r="F278" s="51" t="s">
        <v>5026</v>
      </c>
      <c r="G278" s="51" t="s">
        <v>90</v>
      </c>
      <c r="H278" s="51" t="s">
        <v>91</v>
      </c>
      <c r="I278" s="66">
        <v>0.4777777777777778</v>
      </c>
      <c r="J278" s="428">
        <v>128.97499999999999</v>
      </c>
      <c r="K278" s="428">
        <v>10.3</v>
      </c>
      <c r="L278" s="428">
        <v>28</v>
      </c>
      <c r="M278" s="428">
        <v>0.54749999999999999</v>
      </c>
      <c r="N278" s="428">
        <v>8.8249999999999993</v>
      </c>
      <c r="O278" s="51" t="s">
        <v>48</v>
      </c>
      <c r="P278" s="51">
        <v>4</v>
      </c>
      <c r="Q278" s="51">
        <v>10</v>
      </c>
      <c r="R278" s="51" t="s">
        <v>64</v>
      </c>
      <c r="S278" s="51" t="s">
        <v>50</v>
      </c>
      <c r="T278" s="51" t="s">
        <v>50</v>
      </c>
      <c r="U278" s="51" t="s">
        <v>50</v>
      </c>
      <c r="V278" s="51" t="s">
        <v>50</v>
      </c>
      <c r="W278" s="51" t="s">
        <v>50</v>
      </c>
      <c r="X278" s="51" t="s">
        <v>50</v>
      </c>
    </row>
    <row r="279" spans="1:25" x14ac:dyDescent="0.25">
      <c r="A279" s="443">
        <v>43481</v>
      </c>
      <c r="B279" s="51" t="s">
        <v>87</v>
      </c>
      <c r="C279" s="51" t="s">
        <v>78</v>
      </c>
      <c r="D279" s="51">
        <v>38.06418</v>
      </c>
      <c r="E279" s="51">
        <v>-122.02142000000001</v>
      </c>
      <c r="F279" s="51" t="s">
        <v>5027</v>
      </c>
      <c r="G279" s="51" t="s">
        <v>27</v>
      </c>
      <c r="H279" s="51" t="s">
        <v>86</v>
      </c>
      <c r="I279" s="66">
        <v>0.3520833333333333</v>
      </c>
      <c r="J279" s="428">
        <v>9555.5</v>
      </c>
      <c r="K279" s="428">
        <v>10.125</v>
      </c>
      <c r="L279" s="428">
        <v>12.125</v>
      </c>
      <c r="M279" s="428">
        <v>0.82250000000000001</v>
      </c>
      <c r="N279" s="428">
        <v>8.6750000000000007</v>
      </c>
      <c r="O279" s="51" t="s">
        <v>48</v>
      </c>
      <c r="P279" s="51">
        <v>4</v>
      </c>
      <c r="Q279" s="51">
        <v>10</v>
      </c>
      <c r="R279" s="51" t="s">
        <v>64</v>
      </c>
      <c r="S279" s="51" t="s">
        <v>50</v>
      </c>
      <c r="T279" s="51" t="s">
        <v>50</v>
      </c>
      <c r="U279" s="51" t="s">
        <v>50</v>
      </c>
      <c r="V279" s="51" t="s">
        <v>50</v>
      </c>
      <c r="W279" s="51" t="s">
        <v>50</v>
      </c>
      <c r="X279" s="51" t="s">
        <v>50</v>
      </c>
    </row>
    <row r="280" spans="1:25" x14ac:dyDescent="0.25">
      <c r="A280" s="443">
        <v>43481</v>
      </c>
      <c r="B280" s="51" t="s">
        <v>87</v>
      </c>
      <c r="C280" s="51" t="s">
        <v>78</v>
      </c>
      <c r="D280" s="51">
        <v>38.03049</v>
      </c>
      <c r="E280" s="51">
        <v>-122.13835</v>
      </c>
      <c r="F280" s="51" t="s">
        <v>5028</v>
      </c>
      <c r="G280" s="51" t="s">
        <v>80</v>
      </c>
      <c r="H280" s="51" t="s">
        <v>81</v>
      </c>
      <c r="I280" s="66">
        <v>0.4465277777777778</v>
      </c>
      <c r="J280" s="428">
        <v>19893.5</v>
      </c>
      <c r="K280" s="428">
        <v>10.85</v>
      </c>
      <c r="L280" s="428">
        <v>16.375</v>
      </c>
      <c r="M280" s="428">
        <v>0.76749999999999996</v>
      </c>
      <c r="N280" s="428">
        <v>17.7</v>
      </c>
      <c r="O280" s="51" t="s">
        <v>48</v>
      </c>
      <c r="P280" s="51">
        <v>4</v>
      </c>
      <c r="Q280" s="51">
        <v>10</v>
      </c>
      <c r="R280" s="51" t="s">
        <v>64</v>
      </c>
      <c r="S280" s="51" t="s">
        <v>50</v>
      </c>
      <c r="T280" s="51" t="s">
        <v>50</v>
      </c>
      <c r="U280" s="51" t="s">
        <v>50</v>
      </c>
      <c r="V280" s="51" t="s">
        <v>50</v>
      </c>
      <c r="W280" s="51" t="s">
        <v>50</v>
      </c>
      <c r="X280" s="51" t="s">
        <v>50</v>
      </c>
      <c r="Y280" s="52" t="s">
        <v>5029</v>
      </c>
    </row>
    <row r="281" spans="1:25" x14ac:dyDescent="0.25">
      <c r="A281" s="443">
        <v>43481</v>
      </c>
      <c r="B281" s="51" t="s">
        <v>87</v>
      </c>
      <c r="C281" s="51" t="s">
        <v>118</v>
      </c>
      <c r="D281" s="51">
        <v>38.027239999999999</v>
      </c>
      <c r="E281" s="51">
        <v>-122.30481</v>
      </c>
      <c r="F281" s="51" t="s">
        <v>5030</v>
      </c>
      <c r="G281" s="51" t="s">
        <v>80</v>
      </c>
      <c r="H281" s="51" t="s">
        <v>123</v>
      </c>
      <c r="I281" s="66">
        <v>0.52152777777777781</v>
      </c>
      <c r="J281" s="428">
        <v>24778</v>
      </c>
      <c r="K281" s="428">
        <v>11.2</v>
      </c>
      <c r="L281" s="428">
        <v>24.55</v>
      </c>
      <c r="M281" s="428">
        <v>0.7</v>
      </c>
      <c r="N281" s="428">
        <v>2.5</v>
      </c>
      <c r="O281" s="51" t="s">
        <v>48</v>
      </c>
      <c r="P281" s="51">
        <v>4</v>
      </c>
      <c r="Q281" s="51">
        <v>10</v>
      </c>
      <c r="R281" s="51" t="s">
        <v>49</v>
      </c>
      <c r="S281" s="51" t="s">
        <v>50</v>
      </c>
      <c r="T281" s="51" t="s">
        <v>50</v>
      </c>
      <c r="U281" s="51" t="s">
        <v>50</v>
      </c>
      <c r="V281" s="51" t="s">
        <v>50</v>
      </c>
      <c r="W281" s="51" t="s">
        <v>50</v>
      </c>
      <c r="X281" s="51" t="s">
        <v>50</v>
      </c>
    </row>
    <row r="282" spans="1:25" s="437" customFormat="1" x14ac:dyDescent="0.25">
      <c r="A282" s="476">
        <v>43482</v>
      </c>
      <c r="B282" s="437" t="s">
        <v>105</v>
      </c>
      <c r="C282" s="437" t="s">
        <v>95</v>
      </c>
      <c r="D282" s="437">
        <v>38.069409999999998</v>
      </c>
      <c r="E282" s="437">
        <v>-121.6772</v>
      </c>
      <c r="F282" s="437" t="s">
        <v>5031</v>
      </c>
      <c r="G282" s="437" t="s">
        <v>46</v>
      </c>
      <c r="H282" s="437" t="s">
        <v>908</v>
      </c>
      <c r="I282" s="438">
        <v>0.33958333333333335</v>
      </c>
      <c r="J282" s="439">
        <v>486.2</v>
      </c>
      <c r="K282" s="439">
        <v>9.9499999999999993</v>
      </c>
      <c r="L282" s="439">
        <v>19.45</v>
      </c>
      <c r="M282" s="439">
        <v>0.58250000000000002</v>
      </c>
      <c r="N282" s="439">
        <v>7.1</v>
      </c>
      <c r="O282" s="437" t="s">
        <v>48</v>
      </c>
      <c r="P282" s="437">
        <v>4</v>
      </c>
      <c r="Q282" s="437">
        <v>10</v>
      </c>
      <c r="R282" s="437" t="s">
        <v>64</v>
      </c>
      <c r="S282" s="437" t="s">
        <v>702</v>
      </c>
      <c r="T282" s="437">
        <v>1</v>
      </c>
      <c r="U282" s="437">
        <v>38</v>
      </c>
      <c r="V282" s="437" t="s">
        <v>50</v>
      </c>
      <c r="W282" s="437" t="s">
        <v>50</v>
      </c>
      <c r="X282" s="437" t="s">
        <v>50</v>
      </c>
      <c r="Y282" s="440"/>
    </row>
    <row r="283" spans="1:25" x14ac:dyDescent="0.25">
      <c r="A283" s="443">
        <v>43482</v>
      </c>
      <c r="B283" s="51" t="s">
        <v>105</v>
      </c>
      <c r="C283" s="51" t="s">
        <v>95</v>
      </c>
      <c r="D283" s="51">
        <v>38.09836</v>
      </c>
      <c r="E283" s="51">
        <v>-121.63266</v>
      </c>
      <c r="F283" s="51" t="s">
        <v>5032</v>
      </c>
      <c r="G283" s="51" t="s">
        <v>46</v>
      </c>
      <c r="H283" s="51" t="s">
        <v>908</v>
      </c>
      <c r="I283" s="66">
        <v>0.39097222222222222</v>
      </c>
      <c r="J283" s="428">
        <v>455.9</v>
      </c>
      <c r="K283" s="428">
        <v>9.8249999999999993</v>
      </c>
      <c r="L283" s="428">
        <v>19.05</v>
      </c>
      <c r="M283" s="428">
        <v>0.625</v>
      </c>
      <c r="N283" s="428">
        <v>12.125</v>
      </c>
      <c r="O283" s="51" t="s">
        <v>48</v>
      </c>
      <c r="P283" s="51">
        <v>4</v>
      </c>
      <c r="Q283" s="51">
        <v>10</v>
      </c>
      <c r="R283" s="51" t="s">
        <v>64</v>
      </c>
      <c r="S283" s="51" t="s">
        <v>50</v>
      </c>
      <c r="T283" s="51" t="s">
        <v>50</v>
      </c>
      <c r="U283" s="51" t="s">
        <v>50</v>
      </c>
      <c r="V283" s="51" t="s">
        <v>50</v>
      </c>
      <c r="W283" s="51" t="s">
        <v>50</v>
      </c>
      <c r="X283" s="51" t="s">
        <v>50</v>
      </c>
    </row>
    <row r="284" spans="1:25" x14ac:dyDescent="0.25">
      <c r="A284" s="443">
        <v>43482</v>
      </c>
      <c r="B284" s="51" t="s">
        <v>105</v>
      </c>
      <c r="C284" s="51" t="s">
        <v>95</v>
      </c>
      <c r="D284" s="51">
        <v>38.104309999999998</v>
      </c>
      <c r="E284" s="51">
        <v>-121.59529999999999</v>
      </c>
      <c r="F284" s="51" t="s">
        <v>5033</v>
      </c>
      <c r="G284" s="51" t="s">
        <v>46</v>
      </c>
      <c r="H284" s="51" t="s">
        <v>115</v>
      </c>
      <c r="I284" s="66">
        <v>0.43888888888888888</v>
      </c>
      <c r="J284" s="428">
        <v>382.35</v>
      </c>
      <c r="K284" s="428">
        <v>9.9250000000000007</v>
      </c>
      <c r="L284" s="428">
        <v>18.925000000000001</v>
      </c>
      <c r="M284" s="428">
        <v>0.58499999999999996</v>
      </c>
      <c r="N284" s="428">
        <v>6.1749999999999998</v>
      </c>
      <c r="O284" s="51" t="s">
        <v>48</v>
      </c>
      <c r="P284" s="51">
        <v>4</v>
      </c>
      <c r="Q284" s="51">
        <v>10</v>
      </c>
      <c r="R284" s="51" t="s">
        <v>64</v>
      </c>
      <c r="S284" s="51" t="s">
        <v>50</v>
      </c>
      <c r="T284" s="51" t="s">
        <v>50</v>
      </c>
      <c r="U284" s="51" t="s">
        <v>50</v>
      </c>
      <c r="V284" s="51" t="s">
        <v>50</v>
      </c>
      <c r="W284" s="51" t="s">
        <v>50</v>
      </c>
      <c r="X284" s="51" t="s">
        <v>50</v>
      </c>
    </row>
    <row r="285" spans="1:25" x14ac:dyDescent="0.25">
      <c r="A285" s="443">
        <v>43482</v>
      </c>
      <c r="B285" s="51" t="s">
        <v>105</v>
      </c>
      <c r="C285" s="51" t="s">
        <v>95</v>
      </c>
      <c r="D285" s="51">
        <v>38.048450000000003</v>
      </c>
      <c r="E285" s="51">
        <v>-121.50432000000001</v>
      </c>
      <c r="F285" s="51" t="s">
        <v>5034</v>
      </c>
      <c r="G285" s="51" t="s">
        <v>46</v>
      </c>
      <c r="H285" s="51" t="s">
        <v>115</v>
      </c>
      <c r="I285" s="66">
        <v>0.49583333333333335</v>
      </c>
      <c r="J285" s="428">
        <v>332.9</v>
      </c>
      <c r="K285" s="428">
        <v>10.074999999999999</v>
      </c>
      <c r="L285" s="428">
        <v>11.324999999999999</v>
      </c>
      <c r="M285" s="428">
        <v>0.93</v>
      </c>
      <c r="N285" s="428">
        <v>12.5</v>
      </c>
      <c r="O285" s="51" t="s">
        <v>48</v>
      </c>
      <c r="P285" s="51">
        <v>4</v>
      </c>
      <c r="Q285" s="51">
        <v>10</v>
      </c>
      <c r="R285" s="51" t="s">
        <v>64</v>
      </c>
      <c r="S285" s="51" t="s">
        <v>50</v>
      </c>
      <c r="T285" s="51" t="s">
        <v>50</v>
      </c>
      <c r="U285" s="51" t="s">
        <v>50</v>
      </c>
      <c r="V285" s="51" t="s">
        <v>50</v>
      </c>
      <c r="W285" s="51" t="s">
        <v>50</v>
      </c>
      <c r="X285" s="51" t="s">
        <v>50</v>
      </c>
    </row>
    <row r="286" spans="1:25" x14ac:dyDescent="0.25">
      <c r="A286" s="443">
        <v>43482</v>
      </c>
      <c r="B286" s="51" t="s">
        <v>105</v>
      </c>
      <c r="C286" s="51" t="s">
        <v>95</v>
      </c>
      <c r="D286" s="51">
        <v>38.043779999999998</v>
      </c>
      <c r="E286" s="51">
        <v>-121.53116</v>
      </c>
      <c r="F286" s="51" t="s">
        <v>5035</v>
      </c>
      <c r="G286" s="51" t="s">
        <v>46</v>
      </c>
      <c r="H286" s="51" t="s">
        <v>115</v>
      </c>
      <c r="I286" s="66">
        <v>0.54305555555555551</v>
      </c>
      <c r="J286" s="428">
        <v>325.85000000000002</v>
      </c>
      <c r="K286" s="428">
        <v>10.1</v>
      </c>
      <c r="L286" s="428">
        <v>17.25</v>
      </c>
      <c r="M286" s="428">
        <v>0.64500000000000002</v>
      </c>
      <c r="N286" s="428">
        <v>16.524999999999999</v>
      </c>
      <c r="O286" s="51" t="s">
        <v>48</v>
      </c>
      <c r="P286" s="51">
        <v>4</v>
      </c>
      <c r="Q286" s="51">
        <v>10</v>
      </c>
      <c r="R286" s="51" t="s">
        <v>64</v>
      </c>
      <c r="S286" s="51" t="s">
        <v>50</v>
      </c>
      <c r="T286" s="51" t="s">
        <v>50</v>
      </c>
      <c r="U286" s="51" t="s">
        <v>50</v>
      </c>
      <c r="V286" s="51" t="s">
        <v>50</v>
      </c>
      <c r="W286" s="51" t="s">
        <v>50</v>
      </c>
      <c r="X286" s="51" t="s">
        <v>50</v>
      </c>
    </row>
    <row r="287" spans="1:25" s="437" customFormat="1" x14ac:dyDescent="0.25">
      <c r="A287" s="476">
        <v>43482</v>
      </c>
      <c r="B287" s="437" t="s">
        <v>105</v>
      </c>
      <c r="C287" s="437" t="s">
        <v>106</v>
      </c>
      <c r="D287" s="437">
        <v>38.191690000000001</v>
      </c>
      <c r="E287" s="437">
        <v>-121.65786</v>
      </c>
      <c r="F287" s="437" t="s">
        <v>5036</v>
      </c>
      <c r="G287" s="437" t="s">
        <v>90</v>
      </c>
      <c r="H287" s="437" t="s">
        <v>362</v>
      </c>
      <c r="I287" s="438">
        <v>0.3215277777777778</v>
      </c>
      <c r="J287" s="439">
        <v>247.5</v>
      </c>
      <c r="K287" s="439">
        <v>10.55</v>
      </c>
      <c r="L287" s="439">
        <v>61.45</v>
      </c>
      <c r="M287" s="439">
        <v>0.30249999999999999</v>
      </c>
      <c r="N287" s="439">
        <v>17.425000000000001</v>
      </c>
      <c r="O287" s="437" t="s">
        <v>48</v>
      </c>
      <c r="P287" s="437">
        <v>4</v>
      </c>
      <c r="Q287" s="437">
        <v>10</v>
      </c>
      <c r="R287" s="437" t="s">
        <v>49</v>
      </c>
      <c r="S287" s="437" t="s">
        <v>449</v>
      </c>
      <c r="T287" s="437">
        <v>1</v>
      </c>
      <c r="U287" s="437" t="s">
        <v>50</v>
      </c>
      <c r="V287" s="437" t="s">
        <v>50</v>
      </c>
      <c r="W287" s="437">
        <v>5</v>
      </c>
      <c r="X287" s="437" t="s">
        <v>50</v>
      </c>
      <c r="Y287" s="440" t="s">
        <v>5037</v>
      </c>
    </row>
    <row r="288" spans="1:25" s="431" customFormat="1" x14ac:dyDescent="0.25">
      <c r="A288" s="447">
        <v>43482</v>
      </c>
      <c r="B288" s="431" t="s">
        <v>105</v>
      </c>
      <c r="C288" s="431" t="s">
        <v>106</v>
      </c>
      <c r="D288" s="431">
        <v>38.341430000000003</v>
      </c>
      <c r="E288" s="431">
        <v>-121.64503999999999</v>
      </c>
      <c r="F288" s="431" t="s">
        <v>5038</v>
      </c>
      <c r="G288" s="431" t="s">
        <v>90</v>
      </c>
      <c r="H288" s="431" t="s">
        <v>362</v>
      </c>
      <c r="I288" s="432">
        <v>0.3979166666666667</v>
      </c>
      <c r="J288" s="433">
        <v>333.65</v>
      </c>
      <c r="K288" s="433">
        <v>9.6999999999999993</v>
      </c>
      <c r="L288" s="433">
        <v>60.5</v>
      </c>
      <c r="M288" s="433">
        <v>0.27500000000000002</v>
      </c>
      <c r="N288" s="433">
        <v>11.2</v>
      </c>
      <c r="O288" s="431" t="s">
        <v>48</v>
      </c>
      <c r="P288" s="431">
        <v>2</v>
      </c>
      <c r="Q288" s="431">
        <v>10</v>
      </c>
      <c r="R288" s="431" t="s">
        <v>64</v>
      </c>
      <c r="S288" s="431" t="s">
        <v>323</v>
      </c>
      <c r="T288" s="431">
        <v>1</v>
      </c>
      <c r="U288" s="431">
        <v>52</v>
      </c>
      <c r="V288" s="431" t="s">
        <v>66</v>
      </c>
      <c r="W288" s="431" t="s">
        <v>50</v>
      </c>
      <c r="X288" s="431" t="s">
        <v>50</v>
      </c>
      <c r="Y288" s="448" t="s">
        <v>5039</v>
      </c>
    </row>
    <row r="289" spans="1:25" s="431" customFormat="1" x14ac:dyDescent="0.25">
      <c r="A289" s="447">
        <v>43482</v>
      </c>
      <c r="B289" s="431" t="s">
        <v>105</v>
      </c>
      <c r="C289" s="431" t="s">
        <v>106</v>
      </c>
      <c r="D289" s="431">
        <v>38.444769999999998</v>
      </c>
      <c r="E289" s="431">
        <v>-121.59746</v>
      </c>
      <c r="F289" s="431" t="s">
        <v>5040</v>
      </c>
      <c r="G289" s="431" t="s">
        <v>90</v>
      </c>
      <c r="H289" s="431" t="s">
        <v>362</v>
      </c>
      <c r="I289" s="432">
        <v>0.43333333333333335</v>
      </c>
      <c r="J289" s="433">
        <v>556.75</v>
      </c>
      <c r="K289" s="433">
        <v>9.9</v>
      </c>
      <c r="L289" s="433">
        <v>123.25</v>
      </c>
      <c r="M289" s="433">
        <v>0.1825</v>
      </c>
      <c r="N289" s="433">
        <v>9.75</v>
      </c>
      <c r="O289" s="431" t="s">
        <v>48</v>
      </c>
      <c r="P289" s="431">
        <v>4</v>
      </c>
      <c r="Q289" s="431">
        <v>10</v>
      </c>
      <c r="R289" s="431" t="s">
        <v>64</v>
      </c>
      <c r="S289" s="431" t="s">
        <v>323</v>
      </c>
      <c r="T289" s="431">
        <v>1</v>
      </c>
      <c r="U289" s="431">
        <v>63</v>
      </c>
      <c r="V289" s="431" t="s">
        <v>66</v>
      </c>
      <c r="W289" s="431" t="s">
        <v>50</v>
      </c>
      <c r="X289" s="431" t="s">
        <v>50</v>
      </c>
      <c r="Y289" s="448" t="s">
        <v>5041</v>
      </c>
    </row>
    <row r="290" spans="1:25" x14ac:dyDescent="0.25">
      <c r="A290" s="443">
        <v>43482</v>
      </c>
      <c r="B290" s="51" t="s">
        <v>105</v>
      </c>
      <c r="C290" s="51" t="s">
        <v>118</v>
      </c>
      <c r="D290" s="51">
        <v>38.053789999999999</v>
      </c>
      <c r="E290" s="51">
        <v>-122.31213</v>
      </c>
      <c r="F290" s="51" t="s">
        <v>5042</v>
      </c>
      <c r="G290" s="51" t="s">
        <v>80</v>
      </c>
      <c r="H290" s="51" t="s">
        <v>123</v>
      </c>
      <c r="I290" s="66">
        <v>0.3444444444444445</v>
      </c>
      <c r="J290" s="428">
        <v>22139.25</v>
      </c>
      <c r="K290" s="428">
        <v>11.2</v>
      </c>
      <c r="L290" s="428">
        <v>15.1</v>
      </c>
      <c r="M290" s="428">
        <v>0.75749999999999995</v>
      </c>
      <c r="N290" s="428">
        <v>12.025</v>
      </c>
      <c r="O290" s="51" t="s">
        <v>48</v>
      </c>
      <c r="P290" s="51">
        <v>4</v>
      </c>
      <c r="Q290" s="51">
        <v>10</v>
      </c>
      <c r="R290" s="51" t="s">
        <v>64</v>
      </c>
      <c r="S290" s="51" t="s">
        <v>50</v>
      </c>
      <c r="T290" s="51" t="s">
        <v>50</v>
      </c>
      <c r="U290" s="51" t="s">
        <v>50</v>
      </c>
      <c r="V290" s="51" t="s">
        <v>50</v>
      </c>
      <c r="W290" s="51" t="s">
        <v>50</v>
      </c>
      <c r="X290" s="51" t="s">
        <v>50</v>
      </c>
    </row>
    <row r="291" spans="1:25" s="74" customFormat="1" x14ac:dyDescent="0.25">
      <c r="A291" s="444">
        <v>43482</v>
      </c>
      <c r="B291" s="74" t="s">
        <v>105</v>
      </c>
      <c r="C291" s="74" t="s">
        <v>118</v>
      </c>
      <c r="D291" s="74">
        <v>38.059379999999997</v>
      </c>
      <c r="E291" s="74">
        <v>-122.24957999999999</v>
      </c>
      <c r="F291" s="74" t="s">
        <v>5043</v>
      </c>
      <c r="G291" s="74" t="s">
        <v>80</v>
      </c>
      <c r="H291" s="74" t="s">
        <v>120</v>
      </c>
      <c r="I291" s="73">
        <v>0.40416666666666662</v>
      </c>
      <c r="J291" s="445">
        <v>21234</v>
      </c>
      <c r="K291" s="445">
        <v>11.175000000000001</v>
      </c>
      <c r="L291" s="445">
        <v>17.975000000000001</v>
      </c>
      <c r="M291" s="445">
        <v>0.80500000000000005</v>
      </c>
      <c r="N291" s="445">
        <v>17.350000000000001</v>
      </c>
      <c r="O291" s="74" t="s">
        <v>48</v>
      </c>
      <c r="P291" s="74">
        <v>4</v>
      </c>
      <c r="Q291" s="74">
        <v>10</v>
      </c>
      <c r="R291" s="74" t="s">
        <v>64</v>
      </c>
      <c r="S291" s="74" t="s">
        <v>50</v>
      </c>
      <c r="T291" s="74" t="s">
        <v>50</v>
      </c>
      <c r="U291" s="74" t="s">
        <v>50</v>
      </c>
      <c r="V291" s="74" t="s">
        <v>50</v>
      </c>
      <c r="W291" s="74" t="s">
        <v>50</v>
      </c>
      <c r="X291" s="74" t="s">
        <v>50</v>
      </c>
      <c r="Y291" s="77" t="s">
        <v>5044</v>
      </c>
    </row>
    <row r="292" spans="1:25" s="437" customFormat="1" x14ac:dyDescent="0.25">
      <c r="A292" s="476">
        <v>43487</v>
      </c>
      <c r="B292" s="437" t="s">
        <v>70</v>
      </c>
      <c r="C292" s="437" t="s">
        <v>106</v>
      </c>
      <c r="D292" s="437">
        <v>38.17971</v>
      </c>
      <c r="E292" s="437">
        <v>-121.66580999999999</v>
      </c>
      <c r="F292" s="437" t="s">
        <v>5045</v>
      </c>
      <c r="G292" s="437" t="s">
        <v>90</v>
      </c>
      <c r="H292" s="437" t="s">
        <v>362</v>
      </c>
      <c r="I292" s="438">
        <v>0.30902777777777779</v>
      </c>
      <c r="J292" s="439">
        <v>120.22499999999999</v>
      </c>
      <c r="K292" s="439">
        <v>10.724999999999998</v>
      </c>
      <c r="L292" s="439">
        <v>129.5</v>
      </c>
      <c r="M292" s="439">
        <v>0.17</v>
      </c>
      <c r="N292" s="439">
        <v>15.399999999999999</v>
      </c>
      <c r="O292" s="437" t="s">
        <v>48</v>
      </c>
      <c r="P292" s="437">
        <v>4</v>
      </c>
      <c r="Q292" s="437">
        <v>10</v>
      </c>
      <c r="R292" s="437" t="s">
        <v>49</v>
      </c>
      <c r="S292" s="437" t="s">
        <v>702</v>
      </c>
      <c r="T292" s="437">
        <v>2</v>
      </c>
      <c r="U292" s="437" t="s">
        <v>5046</v>
      </c>
      <c r="V292" s="437" t="s">
        <v>50</v>
      </c>
      <c r="W292" s="437">
        <v>2</v>
      </c>
      <c r="X292" s="437" t="s">
        <v>50</v>
      </c>
      <c r="Y292" s="440" t="s">
        <v>124</v>
      </c>
    </row>
    <row r="293" spans="1:25" s="437" customFormat="1" x14ac:dyDescent="0.25">
      <c r="A293" s="476">
        <v>43487</v>
      </c>
      <c r="B293" s="437" t="s">
        <v>70</v>
      </c>
      <c r="C293" s="437" t="s">
        <v>106</v>
      </c>
      <c r="D293" s="437">
        <v>38.226149999999997</v>
      </c>
      <c r="E293" s="437">
        <v>-121.6741</v>
      </c>
      <c r="F293" s="437" t="s">
        <v>5047</v>
      </c>
      <c r="G293" s="437" t="s">
        <v>90</v>
      </c>
      <c r="H293" s="437" t="s">
        <v>362</v>
      </c>
      <c r="I293" s="438">
        <v>0.36874999999999997</v>
      </c>
      <c r="J293" s="439">
        <v>154.75</v>
      </c>
      <c r="K293" s="439">
        <v>10.75</v>
      </c>
      <c r="L293" s="439">
        <v>143</v>
      </c>
      <c r="M293" s="439">
        <v>0.1575</v>
      </c>
      <c r="N293" s="439">
        <v>15.025000000000002</v>
      </c>
      <c r="O293" s="437" t="s">
        <v>48</v>
      </c>
      <c r="P293" s="437">
        <v>4</v>
      </c>
      <c r="Q293" s="437">
        <v>10</v>
      </c>
      <c r="R293" s="437" t="s">
        <v>49</v>
      </c>
      <c r="S293" s="437" t="s">
        <v>702</v>
      </c>
      <c r="T293" s="437">
        <v>1</v>
      </c>
      <c r="U293" s="437">
        <v>40</v>
      </c>
      <c r="V293" s="437" t="s">
        <v>50</v>
      </c>
      <c r="W293" s="437">
        <v>2</v>
      </c>
      <c r="X293" s="437" t="s">
        <v>50</v>
      </c>
      <c r="Y293" s="210" t="s">
        <v>5048</v>
      </c>
    </row>
    <row r="294" spans="1:25" s="431" customFormat="1" x14ac:dyDescent="0.25">
      <c r="A294" s="447">
        <v>43487</v>
      </c>
      <c r="B294" s="431" t="s">
        <v>70</v>
      </c>
      <c r="C294" s="431" t="s">
        <v>106</v>
      </c>
      <c r="D294" s="431">
        <v>38.281239999999997</v>
      </c>
      <c r="E294" s="431">
        <v>-121.65989</v>
      </c>
      <c r="F294" s="431" t="s">
        <v>5049</v>
      </c>
      <c r="G294" s="431" t="s">
        <v>90</v>
      </c>
      <c r="H294" s="431" t="s">
        <v>362</v>
      </c>
      <c r="I294" s="432">
        <v>0.42777777777777781</v>
      </c>
      <c r="J294" s="433">
        <v>213.55</v>
      </c>
      <c r="K294" s="433">
        <v>10.350000000000001</v>
      </c>
      <c r="L294" s="433">
        <v>66.150000000000006</v>
      </c>
      <c r="M294" s="433">
        <v>0.22999999999999998</v>
      </c>
      <c r="N294" s="433">
        <v>11.2</v>
      </c>
      <c r="O294" s="431" t="s">
        <v>48</v>
      </c>
      <c r="P294" s="431">
        <v>2</v>
      </c>
      <c r="Q294" s="431">
        <v>10</v>
      </c>
      <c r="R294" s="431" t="s">
        <v>49</v>
      </c>
      <c r="S294" s="431" t="s">
        <v>323</v>
      </c>
      <c r="T294" s="431">
        <v>2</v>
      </c>
      <c r="U294" s="431" t="s">
        <v>5050</v>
      </c>
      <c r="V294" s="431" t="s">
        <v>66</v>
      </c>
      <c r="W294" s="431" t="s">
        <v>50</v>
      </c>
      <c r="X294" s="431" t="s">
        <v>50</v>
      </c>
      <c r="Y294" s="448"/>
    </row>
    <row r="295" spans="1:25" x14ac:dyDescent="0.25">
      <c r="A295" s="443">
        <v>43487</v>
      </c>
      <c r="B295" s="51" t="s">
        <v>70</v>
      </c>
      <c r="C295" s="51" t="s">
        <v>95</v>
      </c>
      <c r="D295" s="51">
        <v>38.094110000000001</v>
      </c>
      <c r="E295" s="51">
        <v>-121.65286999999999</v>
      </c>
      <c r="F295" s="51" t="s">
        <v>5051</v>
      </c>
      <c r="G295" s="51" t="s">
        <v>46</v>
      </c>
      <c r="H295" s="51" t="s">
        <v>908</v>
      </c>
      <c r="I295" s="66">
        <v>0.31736111111111115</v>
      </c>
      <c r="J295" s="428">
        <v>173.7</v>
      </c>
      <c r="K295" s="428">
        <v>10.7</v>
      </c>
      <c r="L295" s="428">
        <v>48.024999999999999</v>
      </c>
      <c r="M295" s="428">
        <v>0.23749999999999999</v>
      </c>
      <c r="N295" s="428">
        <v>5.4749999999999996</v>
      </c>
      <c r="O295" s="51" t="s">
        <v>48</v>
      </c>
      <c r="P295" s="51">
        <v>4</v>
      </c>
      <c r="Q295" s="51">
        <v>10</v>
      </c>
      <c r="R295" s="51" t="s">
        <v>49</v>
      </c>
      <c r="S295" s="51" t="s">
        <v>50</v>
      </c>
      <c r="T295" s="51" t="s">
        <v>50</v>
      </c>
      <c r="U295" s="51" t="s">
        <v>50</v>
      </c>
      <c r="V295" s="51" t="s">
        <v>50</v>
      </c>
      <c r="W295" s="51" t="s">
        <v>50</v>
      </c>
      <c r="X295" s="51" t="s">
        <v>50</v>
      </c>
    </row>
    <row r="296" spans="1:25" x14ac:dyDescent="0.25">
      <c r="A296" s="443">
        <v>43487</v>
      </c>
      <c r="B296" s="51" t="s">
        <v>70</v>
      </c>
      <c r="C296" s="51" t="s">
        <v>95</v>
      </c>
      <c r="D296" s="51">
        <v>38.04515</v>
      </c>
      <c r="E296" s="51">
        <v>-121.50193</v>
      </c>
      <c r="F296" s="51" t="s">
        <v>5052</v>
      </c>
      <c r="G296" s="51" t="s">
        <v>46</v>
      </c>
      <c r="H296" s="51" t="s">
        <v>115</v>
      </c>
      <c r="I296" s="66">
        <v>0.38472222222222219</v>
      </c>
      <c r="J296" s="428">
        <v>266.7</v>
      </c>
      <c r="K296" s="428">
        <v>10.9</v>
      </c>
      <c r="L296" s="428">
        <v>12.899999999999999</v>
      </c>
      <c r="M296" s="428">
        <v>0.79249999999999998</v>
      </c>
      <c r="N296" s="428">
        <v>12.05</v>
      </c>
      <c r="O296" s="51" t="s">
        <v>48</v>
      </c>
      <c r="P296" s="51">
        <v>4</v>
      </c>
      <c r="Q296" s="51">
        <v>10</v>
      </c>
      <c r="R296" s="51" t="s">
        <v>49</v>
      </c>
      <c r="S296" s="51" t="s">
        <v>50</v>
      </c>
      <c r="T296" s="51" t="s">
        <v>50</v>
      </c>
      <c r="U296" s="51" t="s">
        <v>50</v>
      </c>
      <c r="V296" s="51" t="s">
        <v>50</v>
      </c>
      <c r="W296" s="51" t="s">
        <v>50</v>
      </c>
      <c r="X296" s="51" t="s">
        <v>50</v>
      </c>
    </row>
    <row r="297" spans="1:25" x14ac:dyDescent="0.25">
      <c r="A297" s="443">
        <v>43487</v>
      </c>
      <c r="B297" s="51" t="s">
        <v>70</v>
      </c>
      <c r="C297" s="51" t="s">
        <v>95</v>
      </c>
      <c r="D297" s="51">
        <v>38.057299999999998</v>
      </c>
      <c r="E297" s="51">
        <v>-121.53104</v>
      </c>
      <c r="F297" s="51" t="s">
        <v>5053</v>
      </c>
      <c r="G297" s="51" t="s">
        <v>46</v>
      </c>
      <c r="H297" s="51" t="s">
        <v>115</v>
      </c>
      <c r="I297" s="66">
        <v>0.43402777777777773</v>
      </c>
      <c r="J297" s="428">
        <v>251.10000000000002</v>
      </c>
      <c r="K297" s="428">
        <v>10.9</v>
      </c>
      <c r="L297" s="428">
        <v>13.100000000000001</v>
      </c>
      <c r="M297" s="428">
        <v>0.75</v>
      </c>
      <c r="N297" s="428">
        <v>11.324999999999999</v>
      </c>
      <c r="O297" s="51" t="s">
        <v>48</v>
      </c>
      <c r="P297" s="51">
        <v>4</v>
      </c>
      <c r="Q297" s="51">
        <v>10</v>
      </c>
      <c r="R297" s="51" t="s">
        <v>49</v>
      </c>
      <c r="S297" s="51" t="s">
        <v>50</v>
      </c>
      <c r="T297" s="51" t="s">
        <v>50</v>
      </c>
      <c r="U297" s="51" t="s">
        <v>50</v>
      </c>
      <c r="V297" s="51" t="s">
        <v>50</v>
      </c>
      <c r="W297" s="51" t="s">
        <v>50</v>
      </c>
      <c r="X297" s="51" t="s">
        <v>50</v>
      </c>
    </row>
    <row r="298" spans="1:25" s="437" customFormat="1" x14ac:dyDescent="0.25">
      <c r="A298" s="476">
        <v>43487</v>
      </c>
      <c r="B298" s="437" t="s">
        <v>70</v>
      </c>
      <c r="C298" s="437" t="s">
        <v>118</v>
      </c>
      <c r="D298" s="437">
        <v>38.149540000000002</v>
      </c>
      <c r="E298" s="437">
        <v>-122.29142</v>
      </c>
      <c r="F298" s="437" t="s">
        <v>5054</v>
      </c>
      <c r="G298" s="437" t="s">
        <v>80</v>
      </c>
      <c r="H298" s="437" t="s">
        <v>191</v>
      </c>
      <c r="I298" s="438">
        <v>0.36874999999999997</v>
      </c>
      <c r="J298" s="439">
        <v>9304.75</v>
      </c>
      <c r="K298" s="439">
        <v>11.299999999999999</v>
      </c>
      <c r="L298" s="439">
        <v>133.35</v>
      </c>
      <c r="M298" s="439">
        <v>0.32750000000000001</v>
      </c>
      <c r="N298" s="439">
        <v>5.25</v>
      </c>
      <c r="O298" s="437" t="s">
        <v>48</v>
      </c>
      <c r="P298" s="437">
        <v>4</v>
      </c>
      <c r="Q298" s="437">
        <v>10</v>
      </c>
      <c r="R298" s="437" t="s">
        <v>49</v>
      </c>
      <c r="S298" s="437" t="s">
        <v>31</v>
      </c>
      <c r="T298" s="437">
        <v>2</v>
      </c>
      <c r="U298" s="437" t="s">
        <v>5055</v>
      </c>
      <c r="V298" s="437" t="s">
        <v>66</v>
      </c>
      <c r="W298" s="437" t="s">
        <v>50</v>
      </c>
      <c r="X298" s="437" t="s">
        <v>50</v>
      </c>
      <c r="Y298" s="440"/>
    </row>
    <row r="299" spans="1:25" s="437" customFormat="1" x14ac:dyDescent="0.25">
      <c r="A299" s="476">
        <v>43487</v>
      </c>
      <c r="B299" s="437" t="s">
        <v>70</v>
      </c>
      <c r="C299" s="437" t="s">
        <v>118</v>
      </c>
      <c r="D299" s="437">
        <v>38.129249999999999</v>
      </c>
      <c r="E299" s="437">
        <v>-122.28041</v>
      </c>
      <c r="F299" s="437" t="s">
        <v>5056</v>
      </c>
      <c r="G299" s="437" t="s">
        <v>80</v>
      </c>
      <c r="H299" s="437" t="s">
        <v>191</v>
      </c>
      <c r="I299" s="438">
        <v>0.4236111111111111</v>
      </c>
      <c r="J299" s="439">
        <v>8674.5</v>
      </c>
      <c r="K299" s="439">
        <v>11.174999999999999</v>
      </c>
      <c r="L299" s="439">
        <v>171.5</v>
      </c>
      <c r="M299" s="439">
        <v>0.34499999999999997</v>
      </c>
      <c r="N299" s="439">
        <v>8.4499999999999993</v>
      </c>
      <c r="O299" s="437" t="s">
        <v>48</v>
      </c>
      <c r="P299" s="437">
        <v>4</v>
      </c>
      <c r="Q299" s="437">
        <v>10</v>
      </c>
      <c r="R299" s="437" t="s">
        <v>64</v>
      </c>
      <c r="S299" s="437" t="s">
        <v>31</v>
      </c>
      <c r="T299" s="437">
        <v>7</v>
      </c>
      <c r="U299" s="437" t="s">
        <v>5057</v>
      </c>
      <c r="V299" s="437" t="s">
        <v>66</v>
      </c>
      <c r="W299" s="437" t="s">
        <v>50</v>
      </c>
      <c r="X299" s="437" t="s">
        <v>50</v>
      </c>
      <c r="Y299" s="440" t="s">
        <v>124</v>
      </c>
    </row>
    <row r="300" spans="1:25" x14ac:dyDescent="0.25">
      <c r="A300" s="443">
        <v>43487</v>
      </c>
      <c r="B300" s="51" t="s">
        <v>70</v>
      </c>
      <c r="C300" s="51" t="s">
        <v>118</v>
      </c>
      <c r="D300" s="51">
        <v>38.060699999999997</v>
      </c>
      <c r="E300" s="51">
        <v>-122.32034</v>
      </c>
      <c r="F300" s="51" t="s">
        <v>5058</v>
      </c>
      <c r="G300" s="51" t="s">
        <v>80</v>
      </c>
      <c r="H300" s="51" t="s">
        <v>123</v>
      </c>
      <c r="I300" s="66">
        <v>0.4916666666666667</v>
      </c>
      <c r="J300" s="428">
        <v>10784.5</v>
      </c>
      <c r="K300" s="428">
        <v>11.324999999999999</v>
      </c>
      <c r="L300" s="428">
        <v>81.125</v>
      </c>
      <c r="M300" s="428">
        <v>0.46250000000000002</v>
      </c>
      <c r="N300" s="428">
        <v>5.95</v>
      </c>
      <c r="O300" s="51" t="s">
        <v>48</v>
      </c>
      <c r="P300" s="51">
        <v>4</v>
      </c>
      <c r="Q300" s="51">
        <v>10</v>
      </c>
      <c r="R300" s="51" t="s">
        <v>64</v>
      </c>
      <c r="S300" s="51" t="s">
        <v>50</v>
      </c>
      <c r="T300" s="51" t="s">
        <v>50</v>
      </c>
      <c r="U300" s="51" t="s">
        <v>50</v>
      </c>
      <c r="V300" s="51" t="s">
        <v>50</v>
      </c>
      <c r="W300" s="51" t="s">
        <v>50</v>
      </c>
      <c r="X300" s="51" t="s">
        <v>50</v>
      </c>
    </row>
    <row r="301" spans="1:25" x14ac:dyDescent="0.25">
      <c r="A301" s="443">
        <v>43487</v>
      </c>
      <c r="B301" s="51" t="s">
        <v>70</v>
      </c>
      <c r="C301" s="51" t="s">
        <v>118</v>
      </c>
      <c r="D301" s="51">
        <v>38.058520000000001</v>
      </c>
      <c r="E301" s="51">
        <v>-122.25725</v>
      </c>
      <c r="F301" s="51" t="s">
        <v>5059</v>
      </c>
      <c r="G301" s="51" t="s">
        <v>80</v>
      </c>
      <c r="H301" s="51" t="s">
        <v>120</v>
      </c>
      <c r="I301" s="66">
        <v>0.54305555555555551</v>
      </c>
      <c r="J301" s="428">
        <v>16000.25</v>
      </c>
      <c r="K301" s="428">
        <v>11.45</v>
      </c>
      <c r="L301" s="428">
        <v>79.324999999999989</v>
      </c>
      <c r="M301" s="428">
        <v>0.47</v>
      </c>
      <c r="N301" s="428">
        <v>14.000000000000002</v>
      </c>
      <c r="O301" s="51" t="s">
        <v>48</v>
      </c>
      <c r="P301" s="51">
        <v>4</v>
      </c>
      <c r="Q301" s="51">
        <v>10</v>
      </c>
      <c r="R301" s="51" t="s">
        <v>64</v>
      </c>
      <c r="S301" s="51" t="s">
        <v>50</v>
      </c>
      <c r="T301" s="51" t="s">
        <v>50</v>
      </c>
      <c r="U301" s="51" t="s">
        <v>50</v>
      </c>
      <c r="V301" s="51" t="s">
        <v>50</v>
      </c>
      <c r="W301" s="51" t="s">
        <v>50</v>
      </c>
      <c r="X301" s="51" t="s">
        <v>50</v>
      </c>
    </row>
    <row r="302" spans="1:25" s="437" customFormat="1" x14ac:dyDescent="0.25">
      <c r="A302" s="476">
        <v>43487</v>
      </c>
      <c r="B302" s="437" t="s">
        <v>70</v>
      </c>
      <c r="C302" s="437" t="s">
        <v>118</v>
      </c>
      <c r="D302" s="437">
        <v>38.05894</v>
      </c>
      <c r="E302" s="437">
        <v>-122.18562</v>
      </c>
      <c r="F302" s="437" t="s">
        <v>5060</v>
      </c>
      <c r="G302" s="437" t="s">
        <v>80</v>
      </c>
      <c r="H302" s="437" t="s">
        <v>120</v>
      </c>
      <c r="I302" s="438">
        <v>0.60069444444444442</v>
      </c>
      <c r="J302" s="439">
        <v>10929.5</v>
      </c>
      <c r="K302" s="439">
        <v>11.299999999999999</v>
      </c>
      <c r="L302" s="439">
        <v>61.324999999999996</v>
      </c>
      <c r="M302" s="439">
        <v>0.47</v>
      </c>
      <c r="N302" s="439">
        <v>10.85</v>
      </c>
      <c r="O302" s="437" t="s">
        <v>48</v>
      </c>
      <c r="P302" s="437">
        <v>4</v>
      </c>
      <c r="Q302" s="437">
        <v>10</v>
      </c>
      <c r="R302" s="437" t="s">
        <v>64</v>
      </c>
      <c r="S302" s="437" t="s">
        <v>31</v>
      </c>
      <c r="T302" s="437">
        <v>5</v>
      </c>
      <c r="U302" s="437" t="s">
        <v>5061</v>
      </c>
      <c r="V302" s="437" t="s">
        <v>66</v>
      </c>
      <c r="W302" s="437" t="s">
        <v>50</v>
      </c>
      <c r="X302" s="437" t="s">
        <v>50</v>
      </c>
      <c r="Y302" s="440"/>
    </row>
    <row r="303" spans="1:25" s="437" customFormat="1" x14ac:dyDescent="0.25">
      <c r="A303" s="476">
        <v>43488</v>
      </c>
      <c r="B303" s="437" t="s">
        <v>87</v>
      </c>
      <c r="C303" s="437" t="s">
        <v>78</v>
      </c>
      <c r="D303" s="437">
        <v>38.032690000000002</v>
      </c>
      <c r="E303" s="437">
        <v>-121.8342</v>
      </c>
      <c r="F303" s="437" t="s">
        <v>5062</v>
      </c>
      <c r="G303" s="437" t="s">
        <v>27</v>
      </c>
      <c r="H303" s="437" t="s">
        <v>101</v>
      </c>
      <c r="I303" s="438">
        <v>0.34166666666666662</v>
      </c>
      <c r="J303" s="439">
        <v>329.15</v>
      </c>
      <c r="K303" s="439">
        <v>10.6</v>
      </c>
      <c r="L303" s="439">
        <v>84.575000000000003</v>
      </c>
      <c r="M303" s="439">
        <v>0.33750000000000002</v>
      </c>
      <c r="N303" s="439">
        <v>7.2249999999999996</v>
      </c>
      <c r="O303" s="437" t="s">
        <v>48</v>
      </c>
      <c r="P303" s="437">
        <v>4</v>
      </c>
      <c r="Q303" s="437">
        <v>10</v>
      </c>
      <c r="R303" s="437" t="s">
        <v>49</v>
      </c>
      <c r="S303" s="437" t="s">
        <v>702</v>
      </c>
      <c r="T303" s="437">
        <v>2</v>
      </c>
      <c r="U303" s="437">
        <v>37</v>
      </c>
      <c r="V303" s="437" t="s">
        <v>50</v>
      </c>
      <c r="W303" s="437">
        <v>2</v>
      </c>
      <c r="X303" s="437" t="s">
        <v>50</v>
      </c>
      <c r="Y303" s="440"/>
    </row>
    <row r="304" spans="1:25" s="437" customFormat="1" x14ac:dyDescent="0.25">
      <c r="A304" s="476">
        <v>43488</v>
      </c>
      <c r="B304" s="437" t="s">
        <v>87</v>
      </c>
      <c r="C304" s="437" t="s">
        <v>78</v>
      </c>
      <c r="D304" s="437">
        <v>38.032690000000002</v>
      </c>
      <c r="E304" s="437">
        <v>-121.8342</v>
      </c>
      <c r="F304" s="437" t="s">
        <v>5062</v>
      </c>
      <c r="G304" s="437" t="s">
        <v>27</v>
      </c>
      <c r="H304" s="437" t="s">
        <v>101</v>
      </c>
      <c r="I304" s="438">
        <v>0.34166666666666662</v>
      </c>
      <c r="J304" s="439"/>
      <c r="K304" s="439"/>
      <c r="L304" s="439"/>
      <c r="M304" s="439"/>
      <c r="N304" s="439"/>
      <c r="S304" s="437" t="s">
        <v>31</v>
      </c>
      <c r="T304" s="437">
        <v>1</v>
      </c>
      <c r="U304" s="437">
        <v>63</v>
      </c>
      <c r="V304" s="437" t="s">
        <v>66</v>
      </c>
      <c r="W304" s="437" t="s">
        <v>50</v>
      </c>
      <c r="X304" s="437" t="s">
        <v>50</v>
      </c>
      <c r="Y304" s="440"/>
    </row>
    <row r="305" spans="1:25" s="437" customFormat="1" x14ac:dyDescent="0.25">
      <c r="A305" s="476">
        <v>43488</v>
      </c>
      <c r="B305" s="437" t="s">
        <v>87</v>
      </c>
      <c r="C305" s="437" t="s">
        <v>78</v>
      </c>
      <c r="D305" s="437">
        <v>38.058570000000003</v>
      </c>
      <c r="E305" s="437">
        <v>-121.85163</v>
      </c>
      <c r="F305" s="437" t="s">
        <v>5063</v>
      </c>
      <c r="G305" s="437" t="s">
        <v>27</v>
      </c>
      <c r="H305" s="437" t="s">
        <v>101</v>
      </c>
      <c r="I305" s="438">
        <v>0.39444444444444443</v>
      </c>
      <c r="J305" s="439">
        <v>329.125</v>
      </c>
      <c r="K305" s="439">
        <v>10.674999999999999</v>
      </c>
      <c r="L305" s="439">
        <v>94.85</v>
      </c>
      <c r="M305" s="439">
        <v>0.25</v>
      </c>
      <c r="N305" s="439">
        <v>7.3250000000000002</v>
      </c>
      <c r="O305" s="437" t="s">
        <v>48</v>
      </c>
      <c r="P305" s="437">
        <v>4</v>
      </c>
      <c r="Q305" s="437">
        <v>10</v>
      </c>
      <c r="R305" s="437" t="s">
        <v>49</v>
      </c>
      <c r="S305" s="437" t="s">
        <v>702</v>
      </c>
      <c r="T305" s="437">
        <v>1</v>
      </c>
      <c r="U305" s="437">
        <v>34</v>
      </c>
      <c r="V305" s="437" t="s">
        <v>50</v>
      </c>
      <c r="W305" s="437">
        <v>2</v>
      </c>
      <c r="X305" s="437" t="s">
        <v>50</v>
      </c>
      <c r="Y305" s="440"/>
    </row>
    <row r="306" spans="1:25" s="437" customFormat="1" x14ac:dyDescent="0.25">
      <c r="A306" s="476">
        <v>43488</v>
      </c>
      <c r="B306" s="437" t="s">
        <v>87</v>
      </c>
      <c r="C306" s="437" t="s">
        <v>78</v>
      </c>
      <c r="D306" s="437">
        <v>38.060139999999997</v>
      </c>
      <c r="E306" s="437">
        <v>-121.95884</v>
      </c>
      <c r="F306" s="437" t="s">
        <v>5064</v>
      </c>
      <c r="G306" s="437" t="s">
        <v>27</v>
      </c>
      <c r="H306" s="437" t="s">
        <v>170</v>
      </c>
      <c r="I306" s="438">
        <v>0.45347222222222222</v>
      </c>
      <c r="J306" s="439">
        <v>291.97500000000002</v>
      </c>
      <c r="K306" s="439">
        <v>10.8</v>
      </c>
      <c r="L306" s="439">
        <v>160.25</v>
      </c>
      <c r="M306" s="439">
        <v>0.22</v>
      </c>
      <c r="N306" s="439">
        <v>9.8249999999999993</v>
      </c>
      <c r="O306" s="437" t="s">
        <v>48</v>
      </c>
      <c r="P306" s="437">
        <v>4</v>
      </c>
      <c r="Q306" s="437">
        <v>10</v>
      </c>
      <c r="R306" s="437" t="s">
        <v>49</v>
      </c>
      <c r="S306" s="437" t="s">
        <v>348</v>
      </c>
      <c r="T306" s="437">
        <v>1</v>
      </c>
      <c r="U306" s="437">
        <v>139</v>
      </c>
      <c r="V306" s="437" t="s">
        <v>50</v>
      </c>
      <c r="W306" s="437">
        <v>5</v>
      </c>
      <c r="X306" s="437" t="s">
        <v>2525</v>
      </c>
      <c r="Y306" s="440"/>
    </row>
    <row r="307" spans="1:25" s="437" customFormat="1" x14ac:dyDescent="0.25">
      <c r="A307" s="476">
        <v>43488</v>
      </c>
      <c r="B307" s="437" t="s">
        <v>87</v>
      </c>
      <c r="C307" s="437" t="s">
        <v>95</v>
      </c>
      <c r="D307" s="437">
        <v>38.021279999999997</v>
      </c>
      <c r="E307" s="437">
        <v>-121.81216000000001</v>
      </c>
      <c r="F307" s="437" t="s">
        <v>5065</v>
      </c>
      <c r="G307" s="437" t="s">
        <v>27</v>
      </c>
      <c r="H307" s="437" t="s">
        <v>863</v>
      </c>
      <c r="I307" s="438">
        <v>0.38263888888888892</v>
      </c>
      <c r="J307" s="439">
        <v>228.7</v>
      </c>
      <c r="K307" s="439">
        <v>10.574999999999999</v>
      </c>
      <c r="L307" s="439">
        <v>55.900000000000006</v>
      </c>
      <c r="M307" s="439">
        <v>0.21999999999999997</v>
      </c>
      <c r="N307" s="439">
        <v>11.549999999999999</v>
      </c>
      <c r="O307" s="437" t="s">
        <v>48</v>
      </c>
      <c r="P307" s="437">
        <v>4</v>
      </c>
      <c r="Q307" s="437">
        <v>10</v>
      </c>
      <c r="R307" s="437" t="s">
        <v>49</v>
      </c>
      <c r="S307" s="437" t="s">
        <v>702</v>
      </c>
      <c r="T307" s="437">
        <v>1</v>
      </c>
      <c r="U307" s="437">
        <v>39</v>
      </c>
      <c r="V307" s="437" t="s">
        <v>50</v>
      </c>
      <c r="W307" s="437">
        <v>3</v>
      </c>
      <c r="X307" s="437" t="s">
        <v>50</v>
      </c>
      <c r="Y307" s="440"/>
    </row>
    <row r="308" spans="1:25" x14ac:dyDescent="0.25">
      <c r="A308" s="443">
        <v>43488</v>
      </c>
      <c r="B308" s="51" t="s">
        <v>87</v>
      </c>
      <c r="C308" s="51" t="s">
        <v>95</v>
      </c>
      <c r="D308" s="51">
        <v>38.020679999999999</v>
      </c>
      <c r="E308" s="51">
        <v>-121.77718</v>
      </c>
      <c r="F308" s="51" t="s">
        <v>5066</v>
      </c>
      <c r="G308" s="51" t="s">
        <v>27</v>
      </c>
      <c r="H308" s="51" t="s">
        <v>863</v>
      </c>
      <c r="I308" s="66">
        <v>0.45208333333333334</v>
      </c>
      <c r="J308" s="428">
        <v>250.35</v>
      </c>
      <c r="K308" s="428">
        <v>10.7</v>
      </c>
      <c r="L308" s="428">
        <v>33.725000000000001</v>
      </c>
      <c r="M308" s="428">
        <v>0.37</v>
      </c>
      <c r="N308" s="428">
        <v>3.625</v>
      </c>
      <c r="O308" s="51" t="s">
        <v>48</v>
      </c>
      <c r="P308" s="51">
        <v>4</v>
      </c>
      <c r="Q308" s="51">
        <v>10</v>
      </c>
      <c r="R308" s="51" t="s">
        <v>49</v>
      </c>
      <c r="S308" s="51" t="s">
        <v>50</v>
      </c>
      <c r="T308" s="51" t="s">
        <v>50</v>
      </c>
      <c r="U308" s="51" t="s">
        <v>50</v>
      </c>
      <c r="V308" s="51" t="s">
        <v>50</v>
      </c>
      <c r="W308" s="51" t="s">
        <v>50</v>
      </c>
      <c r="X308" s="51" t="s">
        <v>50</v>
      </c>
    </row>
    <row r="309" spans="1:25" x14ac:dyDescent="0.25">
      <c r="A309" s="443">
        <v>43488</v>
      </c>
      <c r="B309" s="51" t="s">
        <v>87</v>
      </c>
      <c r="C309" s="51" t="s">
        <v>95</v>
      </c>
      <c r="D309" s="51">
        <v>38.022919999999999</v>
      </c>
      <c r="E309" s="51">
        <v>-121.76016</v>
      </c>
      <c r="F309" s="51" t="s">
        <v>5067</v>
      </c>
      <c r="G309" s="51" t="s">
        <v>27</v>
      </c>
      <c r="H309" s="51" t="s">
        <v>863</v>
      </c>
      <c r="I309" s="66">
        <v>0.49861111111111112</v>
      </c>
      <c r="J309" s="428">
        <v>240.89999999999998</v>
      </c>
      <c r="K309" s="428">
        <v>10.7</v>
      </c>
      <c r="L309" s="428">
        <v>31.6</v>
      </c>
      <c r="M309" s="428">
        <v>0.375</v>
      </c>
      <c r="N309" s="428">
        <v>5.95</v>
      </c>
      <c r="O309" s="51" t="s">
        <v>48</v>
      </c>
      <c r="P309" s="51">
        <v>4</v>
      </c>
      <c r="Q309" s="51">
        <v>10</v>
      </c>
      <c r="R309" s="51" t="s">
        <v>49</v>
      </c>
      <c r="S309" s="51" t="s">
        <v>50</v>
      </c>
      <c r="T309" s="51" t="s">
        <v>50</v>
      </c>
      <c r="U309" s="51" t="s">
        <v>50</v>
      </c>
      <c r="V309" s="51" t="s">
        <v>50</v>
      </c>
      <c r="W309" s="51" t="s">
        <v>50</v>
      </c>
      <c r="X309" s="51" t="s">
        <v>50</v>
      </c>
      <c r="Y309" s="52" t="s">
        <v>4716</v>
      </c>
    </row>
    <row r="310" spans="1:25" s="437" customFormat="1" x14ac:dyDescent="0.25">
      <c r="A310" s="476">
        <v>43488</v>
      </c>
      <c r="B310" s="437" t="s">
        <v>87</v>
      </c>
      <c r="C310" s="437" t="s">
        <v>845</v>
      </c>
      <c r="D310" s="437">
        <v>38.257829999999998</v>
      </c>
      <c r="E310" s="437">
        <v>-121.6927</v>
      </c>
      <c r="F310" s="437" t="s">
        <v>5068</v>
      </c>
      <c r="G310" s="437" t="s">
        <v>90</v>
      </c>
      <c r="H310" s="437" t="s">
        <v>126</v>
      </c>
      <c r="I310" s="438">
        <v>0.3576388888888889</v>
      </c>
      <c r="J310" s="439">
        <v>207.35000000000002</v>
      </c>
      <c r="K310" s="439">
        <v>10.5</v>
      </c>
      <c r="L310" s="439">
        <v>91.425000000000011</v>
      </c>
      <c r="M310" s="439">
        <v>0.18</v>
      </c>
      <c r="N310" s="439">
        <v>3.5</v>
      </c>
      <c r="O310" s="437" t="s">
        <v>48</v>
      </c>
      <c r="P310" s="437">
        <v>4</v>
      </c>
      <c r="Q310" s="437">
        <v>10</v>
      </c>
      <c r="R310" s="437" t="s">
        <v>49</v>
      </c>
      <c r="S310" s="437" t="s">
        <v>3280</v>
      </c>
      <c r="T310" s="437">
        <v>1</v>
      </c>
      <c r="U310" s="437">
        <v>62</v>
      </c>
      <c r="V310" s="437" t="s">
        <v>50</v>
      </c>
      <c r="W310" s="437">
        <v>3</v>
      </c>
      <c r="X310" s="437" t="s">
        <v>50</v>
      </c>
      <c r="Y310" s="440"/>
    </row>
    <row r="311" spans="1:25" s="437" customFormat="1" x14ac:dyDescent="0.25">
      <c r="A311" s="476">
        <v>43488</v>
      </c>
      <c r="B311" s="437" t="s">
        <v>87</v>
      </c>
      <c r="C311" s="437" t="s">
        <v>845</v>
      </c>
      <c r="D311" s="437">
        <v>38.257829999999998</v>
      </c>
      <c r="E311" s="437">
        <v>-121.6927</v>
      </c>
      <c r="F311" s="437" t="s">
        <v>5068</v>
      </c>
      <c r="G311" s="437" t="s">
        <v>90</v>
      </c>
      <c r="H311" s="437" t="s">
        <v>126</v>
      </c>
      <c r="I311" s="438">
        <v>0.3576388888888889</v>
      </c>
      <c r="J311" s="439"/>
      <c r="K311" s="439"/>
      <c r="L311" s="439"/>
      <c r="M311" s="439"/>
      <c r="N311" s="439"/>
      <c r="S311" s="437" t="s">
        <v>348</v>
      </c>
      <c r="T311" s="437">
        <v>1</v>
      </c>
      <c r="U311" s="437">
        <v>141</v>
      </c>
      <c r="V311" s="437" t="s">
        <v>50</v>
      </c>
      <c r="W311" s="437">
        <v>5</v>
      </c>
      <c r="X311" s="437" t="s">
        <v>2525</v>
      </c>
      <c r="Y311" s="440" t="s">
        <v>5069</v>
      </c>
    </row>
    <row r="312" spans="1:25" x14ac:dyDescent="0.25">
      <c r="A312" s="443">
        <v>43488</v>
      </c>
      <c r="B312" s="51" t="s">
        <v>87</v>
      </c>
      <c r="C312" s="51" t="s">
        <v>845</v>
      </c>
      <c r="D312" s="51">
        <v>38.309480000000001</v>
      </c>
      <c r="E312" s="51">
        <v>-121.69287</v>
      </c>
      <c r="F312" s="51" t="s">
        <v>5070</v>
      </c>
      <c r="G312" s="51" t="s">
        <v>90</v>
      </c>
      <c r="H312" s="51" t="s">
        <v>126</v>
      </c>
      <c r="I312" s="66">
        <v>0.41944444444444445</v>
      </c>
      <c r="J312" s="428">
        <v>275.47500000000002</v>
      </c>
      <c r="K312" s="428">
        <v>10.7</v>
      </c>
      <c r="L312" s="428">
        <v>92.875</v>
      </c>
      <c r="M312" s="428">
        <v>0.17499999999999999</v>
      </c>
      <c r="N312" s="428">
        <v>6.3249999999999993</v>
      </c>
      <c r="O312" s="51" t="s">
        <v>48</v>
      </c>
      <c r="P312" s="51">
        <v>4</v>
      </c>
      <c r="Q312" s="51">
        <v>10</v>
      </c>
      <c r="R312" s="51" t="s">
        <v>49</v>
      </c>
      <c r="S312" s="51" t="s">
        <v>50</v>
      </c>
      <c r="T312" s="51" t="s">
        <v>50</v>
      </c>
      <c r="U312" s="51" t="s">
        <v>50</v>
      </c>
      <c r="V312" s="51" t="s">
        <v>50</v>
      </c>
      <c r="W312" s="51" t="s">
        <v>50</v>
      </c>
      <c r="X312" s="51" t="s">
        <v>50</v>
      </c>
    </row>
    <row r="313" spans="1:25" x14ac:dyDescent="0.25">
      <c r="A313" s="443">
        <v>43488</v>
      </c>
      <c r="B313" s="51" t="s">
        <v>87</v>
      </c>
      <c r="C313" s="51" t="s">
        <v>845</v>
      </c>
      <c r="D313" s="51">
        <v>38.318399999999997</v>
      </c>
      <c r="E313" s="51">
        <v>-121.66718</v>
      </c>
      <c r="F313" s="51" t="s">
        <v>5071</v>
      </c>
      <c r="G313" s="51" t="s">
        <v>90</v>
      </c>
      <c r="H313" s="51" t="s">
        <v>126</v>
      </c>
      <c r="I313" s="66">
        <v>0.4694444444444445</v>
      </c>
      <c r="J313" s="428">
        <v>272.20000000000005</v>
      </c>
      <c r="K313" s="428">
        <v>10.1</v>
      </c>
      <c r="L313" s="428">
        <v>147</v>
      </c>
      <c r="M313" s="428">
        <v>0.1225</v>
      </c>
      <c r="N313" s="428">
        <v>6.3</v>
      </c>
      <c r="O313" s="51" t="s">
        <v>48</v>
      </c>
      <c r="P313" s="51">
        <v>4</v>
      </c>
      <c r="Q313" s="51">
        <v>10</v>
      </c>
      <c r="R313" s="51" t="s">
        <v>49</v>
      </c>
      <c r="S313" s="51" t="s">
        <v>50</v>
      </c>
      <c r="T313" s="51" t="s">
        <v>50</v>
      </c>
      <c r="U313" s="51" t="s">
        <v>50</v>
      </c>
      <c r="V313" s="51" t="s">
        <v>50</v>
      </c>
      <c r="W313" s="51" t="s">
        <v>50</v>
      </c>
      <c r="X313" s="51" t="s">
        <v>50</v>
      </c>
    </row>
    <row r="314" spans="1:25" s="437" customFormat="1" x14ac:dyDescent="0.25">
      <c r="A314" s="476">
        <v>43489</v>
      </c>
      <c r="B314" s="437" t="s">
        <v>105</v>
      </c>
      <c r="C314" s="437" t="s">
        <v>78</v>
      </c>
      <c r="D314" s="437">
        <v>38.053179999999998</v>
      </c>
      <c r="E314" s="437">
        <v>-122.07640000000001</v>
      </c>
      <c r="F314" s="437" t="s">
        <v>5072</v>
      </c>
      <c r="G314" s="437" t="s">
        <v>80</v>
      </c>
      <c r="H314" s="437" t="s">
        <v>81</v>
      </c>
      <c r="I314" s="438">
        <v>0.33958333333333335</v>
      </c>
      <c r="J314" s="439">
        <v>962.75</v>
      </c>
      <c r="K314" s="439">
        <v>10.7</v>
      </c>
      <c r="L314" s="439">
        <v>119.5</v>
      </c>
      <c r="M314" s="439">
        <v>0.2</v>
      </c>
      <c r="N314" s="439">
        <v>8.0250000000000004</v>
      </c>
      <c r="O314" s="437" t="s">
        <v>48</v>
      </c>
      <c r="P314" s="437">
        <v>4</v>
      </c>
      <c r="Q314" s="437">
        <v>10</v>
      </c>
      <c r="R314" s="437" t="s">
        <v>49</v>
      </c>
      <c r="S314" s="437" t="s">
        <v>31</v>
      </c>
      <c r="T314" s="437">
        <v>3</v>
      </c>
      <c r="U314" s="437" t="s">
        <v>5073</v>
      </c>
      <c r="V314" s="437" t="s">
        <v>66</v>
      </c>
      <c r="W314" s="437" t="s">
        <v>50</v>
      </c>
      <c r="X314" s="437" t="s">
        <v>50</v>
      </c>
      <c r="Y314" s="440"/>
    </row>
    <row r="315" spans="1:25" s="437" customFormat="1" x14ac:dyDescent="0.25">
      <c r="A315" s="476">
        <v>43489</v>
      </c>
      <c r="B315" s="437" t="s">
        <v>105</v>
      </c>
      <c r="C315" s="437" t="s">
        <v>78</v>
      </c>
      <c r="D315" s="437">
        <v>38.084090000000003</v>
      </c>
      <c r="E315" s="437">
        <v>-122.05592</v>
      </c>
      <c r="F315" s="437" t="s">
        <v>5074</v>
      </c>
      <c r="G315" s="437" t="s">
        <v>27</v>
      </c>
      <c r="H315" s="437" t="s">
        <v>86</v>
      </c>
      <c r="I315" s="438">
        <v>0.39861111111111108</v>
      </c>
      <c r="J315" s="439">
        <v>588.75</v>
      </c>
      <c r="K315" s="439">
        <v>10.625</v>
      </c>
      <c r="L315" s="439">
        <v>198.5</v>
      </c>
      <c r="M315" s="439">
        <v>0.13500000000000001</v>
      </c>
      <c r="N315" s="439">
        <v>5.5500000000000007</v>
      </c>
      <c r="O315" s="437" t="s">
        <v>48</v>
      </c>
      <c r="P315" s="437">
        <v>4</v>
      </c>
      <c r="Q315" s="437">
        <v>10</v>
      </c>
      <c r="R315" s="437" t="s">
        <v>49</v>
      </c>
      <c r="S315" s="437" t="s">
        <v>31</v>
      </c>
      <c r="T315" s="437">
        <v>1</v>
      </c>
      <c r="U315" s="437">
        <v>72</v>
      </c>
      <c r="V315" s="437" t="s">
        <v>66</v>
      </c>
      <c r="W315" s="437" t="s">
        <v>50</v>
      </c>
      <c r="X315" s="437" t="s">
        <v>50</v>
      </c>
      <c r="Y315" s="440"/>
    </row>
    <row r="316" spans="1:25" s="437" customFormat="1" x14ac:dyDescent="0.25">
      <c r="A316" s="476">
        <v>43489</v>
      </c>
      <c r="B316" s="437" t="s">
        <v>105</v>
      </c>
      <c r="C316" s="437" t="s">
        <v>78</v>
      </c>
      <c r="D316" s="437">
        <v>38.057200000000002</v>
      </c>
      <c r="E316" s="437">
        <v>-121.97785</v>
      </c>
      <c r="F316" s="437" t="s">
        <v>5075</v>
      </c>
      <c r="G316" s="437" t="s">
        <v>27</v>
      </c>
      <c r="H316" s="437" t="s">
        <v>86</v>
      </c>
      <c r="I316" s="438">
        <v>0.4777777777777778</v>
      </c>
      <c r="J316" s="439">
        <v>292.625</v>
      </c>
      <c r="K316" s="439">
        <v>10.8</v>
      </c>
      <c r="L316" s="439">
        <v>114.25</v>
      </c>
      <c r="M316" s="439">
        <v>0.215</v>
      </c>
      <c r="N316" s="439">
        <v>10.35</v>
      </c>
      <c r="O316" s="437" t="s">
        <v>48</v>
      </c>
      <c r="P316" s="437">
        <v>4</v>
      </c>
      <c r="Q316" s="437">
        <v>10</v>
      </c>
      <c r="R316" s="437" t="s">
        <v>49</v>
      </c>
      <c r="S316" s="437" t="s">
        <v>31</v>
      </c>
      <c r="T316" s="437">
        <v>2</v>
      </c>
      <c r="U316" s="437" t="s">
        <v>5076</v>
      </c>
      <c r="V316" s="437" t="s">
        <v>66</v>
      </c>
      <c r="W316" s="437" t="s">
        <v>50</v>
      </c>
      <c r="X316" s="437" t="s">
        <v>50</v>
      </c>
      <c r="Y316" s="440"/>
    </row>
    <row r="317" spans="1:25" s="437" customFormat="1" x14ac:dyDescent="0.25">
      <c r="A317" s="476">
        <v>43489</v>
      </c>
      <c r="B317" s="437" t="s">
        <v>105</v>
      </c>
      <c r="C317" s="437" t="s">
        <v>78</v>
      </c>
      <c r="D317" s="437">
        <v>38.057200000000002</v>
      </c>
      <c r="E317" s="437">
        <v>-121.97785</v>
      </c>
      <c r="F317" s="437" t="s">
        <v>5075</v>
      </c>
      <c r="G317" s="437" t="s">
        <v>27</v>
      </c>
      <c r="H317" s="437" t="s">
        <v>86</v>
      </c>
      <c r="I317" s="438">
        <v>0.4777777777777778</v>
      </c>
      <c r="J317" s="439"/>
      <c r="K317" s="439"/>
      <c r="L317" s="439"/>
      <c r="M317" s="439"/>
      <c r="N317" s="439"/>
      <c r="S317" s="437" t="s">
        <v>702</v>
      </c>
      <c r="T317" s="437">
        <v>2</v>
      </c>
      <c r="U317" s="437" t="s">
        <v>5077</v>
      </c>
      <c r="V317" s="437" t="s">
        <v>50</v>
      </c>
      <c r="W317" s="437" t="s">
        <v>50</v>
      </c>
      <c r="X317" s="437" t="s">
        <v>50</v>
      </c>
      <c r="Y317" s="440" t="s">
        <v>5078</v>
      </c>
    </row>
    <row r="318" spans="1:25" s="437" customFormat="1" x14ac:dyDescent="0.25">
      <c r="A318" s="476">
        <v>43489</v>
      </c>
      <c r="B318" s="437" t="s">
        <v>105</v>
      </c>
      <c r="C318" s="437" t="s">
        <v>88</v>
      </c>
      <c r="D318" s="437">
        <v>38.15043</v>
      </c>
      <c r="E318" s="437">
        <v>-121.68456</v>
      </c>
      <c r="F318" s="437" t="s">
        <v>5079</v>
      </c>
      <c r="G318" s="437" t="s">
        <v>90</v>
      </c>
      <c r="H318" s="437" t="s">
        <v>91</v>
      </c>
      <c r="I318" s="438">
        <v>0.31666666666666665</v>
      </c>
      <c r="J318" s="439">
        <v>127.85</v>
      </c>
      <c r="K318" s="439">
        <v>10.475</v>
      </c>
      <c r="L318" s="439">
        <v>62.625</v>
      </c>
      <c r="M318" s="439">
        <v>0.25750000000000001</v>
      </c>
      <c r="N318" s="439">
        <v>6.5250000000000004</v>
      </c>
      <c r="O318" s="437" t="s">
        <v>48</v>
      </c>
      <c r="P318" s="437">
        <v>4</v>
      </c>
      <c r="Q318" s="437">
        <v>10</v>
      </c>
      <c r="R318" s="437" t="s">
        <v>49</v>
      </c>
      <c r="S318" s="437" t="s">
        <v>31</v>
      </c>
      <c r="T318" s="437">
        <v>1</v>
      </c>
      <c r="U318" s="437">
        <v>75</v>
      </c>
      <c r="V318" s="437" t="s">
        <v>66</v>
      </c>
      <c r="W318" s="437" t="s">
        <v>50</v>
      </c>
      <c r="X318" s="437" t="s">
        <v>50</v>
      </c>
      <c r="Y318" s="440" t="s">
        <v>5080</v>
      </c>
    </row>
    <row r="319" spans="1:25" s="437" customFormat="1" x14ac:dyDescent="0.25">
      <c r="A319" s="476">
        <v>43489</v>
      </c>
      <c r="B319" s="437" t="s">
        <v>105</v>
      </c>
      <c r="C319" s="437" t="s">
        <v>88</v>
      </c>
      <c r="D319" s="437">
        <v>38.15043</v>
      </c>
      <c r="E319" s="437">
        <v>-121.68456</v>
      </c>
      <c r="F319" s="437" t="s">
        <v>5079</v>
      </c>
      <c r="G319" s="437" t="s">
        <v>90</v>
      </c>
      <c r="H319" s="437" t="s">
        <v>91</v>
      </c>
      <c r="I319" s="438">
        <v>0.31666666666666665</v>
      </c>
      <c r="J319" s="439"/>
      <c r="K319" s="439"/>
      <c r="L319" s="439"/>
      <c r="M319" s="439"/>
      <c r="N319" s="439"/>
      <c r="S319" s="437" t="s">
        <v>702</v>
      </c>
      <c r="T319" s="437">
        <v>1</v>
      </c>
      <c r="U319" s="437">
        <v>37</v>
      </c>
      <c r="V319" s="437" t="s">
        <v>50</v>
      </c>
      <c r="W319" s="437">
        <v>2</v>
      </c>
      <c r="X319" s="437" t="s">
        <v>50</v>
      </c>
      <c r="Y319" s="440"/>
    </row>
    <row r="320" spans="1:25" s="437" customFormat="1" x14ac:dyDescent="0.25">
      <c r="A320" s="476">
        <v>43489</v>
      </c>
      <c r="B320" s="437" t="s">
        <v>105</v>
      </c>
      <c r="C320" s="437" t="s">
        <v>88</v>
      </c>
      <c r="D320" s="437">
        <v>38.068759999999997</v>
      </c>
      <c r="E320" s="437">
        <v>-121.82738999999999</v>
      </c>
      <c r="F320" s="437" t="s">
        <v>5081</v>
      </c>
      <c r="G320" s="437" t="s">
        <v>27</v>
      </c>
      <c r="H320" s="437" t="s">
        <v>25</v>
      </c>
      <c r="I320" s="438">
        <v>0.38472222222222219</v>
      </c>
      <c r="J320" s="439">
        <v>141.75</v>
      </c>
      <c r="K320" s="439">
        <v>10.7</v>
      </c>
      <c r="L320" s="439">
        <v>100.8</v>
      </c>
      <c r="M320" s="439">
        <v>0.20749999999999999</v>
      </c>
      <c r="N320" s="439">
        <v>8.65</v>
      </c>
      <c r="O320" s="437" t="s">
        <v>48</v>
      </c>
      <c r="P320" s="437">
        <v>4</v>
      </c>
      <c r="Q320" s="437">
        <v>10</v>
      </c>
      <c r="R320" s="437" t="s">
        <v>49</v>
      </c>
      <c r="S320" s="437" t="s">
        <v>702</v>
      </c>
      <c r="T320" s="437">
        <v>1</v>
      </c>
      <c r="U320" s="437">
        <v>39</v>
      </c>
      <c r="V320" s="437" t="s">
        <v>50</v>
      </c>
      <c r="W320" s="437">
        <v>2</v>
      </c>
      <c r="X320" s="437" t="s">
        <v>50</v>
      </c>
      <c r="Y320" s="440"/>
    </row>
    <row r="321" spans="1:25" x14ac:dyDescent="0.25">
      <c r="A321" s="443">
        <v>43489</v>
      </c>
      <c r="B321" s="51" t="s">
        <v>105</v>
      </c>
      <c r="C321" s="51" t="s">
        <v>88</v>
      </c>
      <c r="D321" s="51">
        <v>38.059350000000002</v>
      </c>
      <c r="E321" s="51">
        <v>-121.81462999999999</v>
      </c>
      <c r="F321" s="51" t="s">
        <v>5082</v>
      </c>
      <c r="G321" s="51" t="s">
        <v>27</v>
      </c>
      <c r="H321" s="51" t="s">
        <v>25</v>
      </c>
      <c r="I321" s="66">
        <v>0.43402777777777773</v>
      </c>
      <c r="J321" s="428">
        <v>164.55</v>
      </c>
      <c r="K321" s="428">
        <v>10.7</v>
      </c>
      <c r="L321" s="428">
        <v>87</v>
      </c>
      <c r="M321" s="428">
        <v>0.20750000000000002</v>
      </c>
      <c r="N321" s="428">
        <v>9.6999999999999993</v>
      </c>
      <c r="O321" s="51" t="s">
        <v>48</v>
      </c>
      <c r="P321" s="51">
        <v>4</v>
      </c>
      <c r="Q321" s="51">
        <v>10</v>
      </c>
      <c r="R321" s="51" t="s">
        <v>49</v>
      </c>
      <c r="S321" s="51" t="s">
        <v>50</v>
      </c>
      <c r="T321" s="51" t="s">
        <v>50</v>
      </c>
      <c r="U321" s="51" t="s">
        <v>50</v>
      </c>
      <c r="V321" s="51" t="s">
        <v>50</v>
      </c>
      <c r="W321" s="51" t="s">
        <v>50</v>
      </c>
      <c r="X321" s="51" t="s">
        <v>50</v>
      </c>
    </row>
    <row r="322" spans="1:25" s="437" customFormat="1" x14ac:dyDescent="0.25">
      <c r="A322" s="476">
        <v>43489</v>
      </c>
      <c r="B322" s="437" t="s">
        <v>105</v>
      </c>
      <c r="C322" s="437" t="s">
        <v>88</v>
      </c>
      <c r="D322" s="437">
        <v>38.143500000000003</v>
      </c>
      <c r="E322" s="437">
        <v>-121.69273</v>
      </c>
      <c r="F322" s="437" t="s">
        <v>5083</v>
      </c>
      <c r="G322" s="437" t="s">
        <v>90</v>
      </c>
      <c r="H322" s="437" t="s">
        <v>91</v>
      </c>
      <c r="I322" s="438">
        <v>0.49305555555555558</v>
      </c>
      <c r="J322" s="439">
        <v>140.25</v>
      </c>
      <c r="K322" s="439">
        <v>10.6</v>
      </c>
      <c r="L322" s="439">
        <v>90.25</v>
      </c>
      <c r="M322" s="439">
        <v>0.19</v>
      </c>
      <c r="N322" s="439">
        <v>11.675000000000001</v>
      </c>
      <c r="O322" s="437" t="s">
        <v>48</v>
      </c>
      <c r="P322" s="437">
        <v>4</v>
      </c>
      <c r="Q322" s="437">
        <v>10</v>
      </c>
      <c r="R322" s="437" t="s">
        <v>49</v>
      </c>
      <c r="S322" s="437" t="s">
        <v>702</v>
      </c>
      <c r="T322" s="437">
        <v>1</v>
      </c>
      <c r="U322" s="437">
        <v>38</v>
      </c>
      <c r="V322" s="437" t="s">
        <v>50</v>
      </c>
      <c r="W322" s="437">
        <v>2</v>
      </c>
      <c r="X322" s="437" t="s">
        <v>50</v>
      </c>
      <c r="Y322" s="440"/>
    </row>
    <row r="323" spans="1:25" x14ac:dyDescent="0.25">
      <c r="A323" s="443">
        <v>43489</v>
      </c>
      <c r="B323" s="51" t="s">
        <v>105</v>
      </c>
      <c r="C323" s="51" t="s">
        <v>44</v>
      </c>
      <c r="D323" s="51">
        <v>38.022280000000002</v>
      </c>
      <c r="E323" s="51">
        <v>-121.52027</v>
      </c>
      <c r="F323" s="51" t="s">
        <v>5084</v>
      </c>
      <c r="G323" s="51" t="s">
        <v>46</v>
      </c>
      <c r="H323" s="51" t="s">
        <v>59</v>
      </c>
      <c r="I323" s="66">
        <v>0.30972222222222223</v>
      </c>
      <c r="J323" s="428">
        <v>243.82499999999999</v>
      </c>
      <c r="K323" s="428">
        <v>11.05</v>
      </c>
      <c r="L323" s="428">
        <v>16.274999999999999</v>
      </c>
      <c r="M323" s="428">
        <v>0.60249999999999992</v>
      </c>
      <c r="N323" s="428">
        <v>8.7249999999999996</v>
      </c>
      <c r="O323" s="51" t="s">
        <v>48</v>
      </c>
      <c r="P323" s="51">
        <v>4</v>
      </c>
      <c r="Q323" s="51">
        <v>10</v>
      </c>
      <c r="R323" s="51" t="s">
        <v>64</v>
      </c>
      <c r="S323" s="51" t="s">
        <v>50</v>
      </c>
      <c r="T323" s="51" t="s">
        <v>50</v>
      </c>
      <c r="U323" s="51" t="s">
        <v>50</v>
      </c>
      <c r="V323" s="51" t="s">
        <v>50</v>
      </c>
      <c r="W323" s="51" t="s">
        <v>50</v>
      </c>
      <c r="X323" s="51" t="s">
        <v>50</v>
      </c>
    </row>
    <row r="324" spans="1:25" x14ac:dyDescent="0.25">
      <c r="A324" s="443">
        <v>43489</v>
      </c>
      <c r="B324" s="51" t="s">
        <v>105</v>
      </c>
      <c r="C324" s="51" t="s">
        <v>44</v>
      </c>
      <c r="D324" s="51">
        <v>37.835819999999998</v>
      </c>
      <c r="E324" s="51">
        <v>-121.54104</v>
      </c>
      <c r="F324" s="51" t="s">
        <v>5085</v>
      </c>
      <c r="G324" s="51" t="s">
        <v>46</v>
      </c>
      <c r="H324" s="51" t="s">
        <v>202</v>
      </c>
      <c r="I324" s="66">
        <v>0.38055555555555554</v>
      </c>
      <c r="J324" s="428">
        <v>361.29999999999995</v>
      </c>
      <c r="K324" s="428">
        <v>10.475</v>
      </c>
      <c r="L324" s="428">
        <v>6.2224999999999993</v>
      </c>
      <c r="M324" s="428">
        <v>1.4</v>
      </c>
      <c r="N324" s="428">
        <v>4.2250000000000005</v>
      </c>
      <c r="O324" s="51" t="s">
        <v>48</v>
      </c>
      <c r="P324" s="51">
        <v>4</v>
      </c>
      <c r="Q324" s="51">
        <v>10</v>
      </c>
      <c r="R324" s="51" t="s">
        <v>49</v>
      </c>
      <c r="S324" s="51" t="s">
        <v>50</v>
      </c>
      <c r="T324" s="51" t="s">
        <v>50</v>
      </c>
      <c r="U324" s="51" t="s">
        <v>50</v>
      </c>
      <c r="V324" s="51" t="s">
        <v>50</v>
      </c>
      <c r="W324" s="51" t="s">
        <v>50</v>
      </c>
      <c r="X324" s="51" t="s">
        <v>50</v>
      </c>
      <c r="Y324" s="52" t="s">
        <v>5086</v>
      </c>
    </row>
    <row r="325" spans="1:25" x14ac:dyDescent="0.25">
      <c r="A325" s="443">
        <v>43489</v>
      </c>
      <c r="B325" s="51" t="s">
        <v>105</v>
      </c>
      <c r="C325" s="51" t="s">
        <v>44</v>
      </c>
      <c r="D325" s="51">
        <v>37.971339999999998</v>
      </c>
      <c r="E325" s="51">
        <v>-121.48667</v>
      </c>
      <c r="F325" s="51" t="s">
        <v>5087</v>
      </c>
      <c r="G325" s="51" t="s">
        <v>46</v>
      </c>
      <c r="H325" s="51" t="s">
        <v>59</v>
      </c>
      <c r="I325" s="66">
        <v>0.4548611111111111</v>
      </c>
      <c r="J325" s="428">
        <v>460.92500000000001</v>
      </c>
      <c r="K325" s="428">
        <v>11.1</v>
      </c>
      <c r="L325" s="428">
        <v>10.735000000000001</v>
      </c>
      <c r="M325" s="428">
        <v>0.79999999999999993</v>
      </c>
      <c r="N325" s="428">
        <v>6.45</v>
      </c>
      <c r="O325" s="51" t="s">
        <v>48</v>
      </c>
      <c r="P325" s="51">
        <v>4</v>
      </c>
      <c r="Q325" s="51">
        <v>10</v>
      </c>
      <c r="R325" s="51" t="s">
        <v>49</v>
      </c>
      <c r="S325" s="51" t="s">
        <v>50</v>
      </c>
      <c r="T325" s="51" t="s">
        <v>50</v>
      </c>
      <c r="U325" s="51" t="s">
        <v>50</v>
      </c>
      <c r="V325" s="51" t="s">
        <v>50</v>
      </c>
      <c r="W325" s="51" t="s">
        <v>50</v>
      </c>
      <c r="X325" s="51" t="s">
        <v>50</v>
      </c>
    </row>
    <row r="326" spans="1:25" s="437" customFormat="1" x14ac:dyDescent="0.25">
      <c r="A326" s="476">
        <v>43490</v>
      </c>
      <c r="B326" s="437" t="s">
        <v>125</v>
      </c>
      <c r="C326" s="437" t="s">
        <v>62</v>
      </c>
      <c r="D326" s="437">
        <v>38.104259999999996</v>
      </c>
      <c r="E326" s="437">
        <v>-122.04397</v>
      </c>
      <c r="F326" s="437" t="s">
        <v>5088</v>
      </c>
      <c r="G326" s="437" t="s">
        <v>27</v>
      </c>
      <c r="H326" s="437" t="s">
        <v>173</v>
      </c>
      <c r="I326" s="438">
        <v>0.34652777777777777</v>
      </c>
      <c r="J326" s="439">
        <v>591</v>
      </c>
      <c r="K326" s="439">
        <v>10.850000000000001</v>
      </c>
      <c r="L326" s="439">
        <v>148</v>
      </c>
      <c r="M326" s="439">
        <v>0.16</v>
      </c>
      <c r="N326" s="439">
        <v>3.15</v>
      </c>
      <c r="O326" s="437" t="s">
        <v>48</v>
      </c>
      <c r="P326" s="437">
        <v>4</v>
      </c>
      <c r="Q326" s="437">
        <v>10</v>
      </c>
      <c r="R326" s="437" t="s">
        <v>49</v>
      </c>
      <c r="S326" s="437" t="s">
        <v>31</v>
      </c>
      <c r="T326" s="437">
        <v>2</v>
      </c>
      <c r="U326" s="437" t="s">
        <v>2567</v>
      </c>
      <c r="V326" s="437" t="s">
        <v>66</v>
      </c>
      <c r="W326" s="437" t="s">
        <v>50</v>
      </c>
      <c r="X326" s="437" t="s">
        <v>50</v>
      </c>
      <c r="Y326" s="440"/>
    </row>
    <row r="327" spans="1:25" x14ac:dyDescent="0.25">
      <c r="A327" s="443">
        <v>43490</v>
      </c>
      <c r="B327" s="51" t="s">
        <v>125</v>
      </c>
      <c r="C327" s="51" t="s">
        <v>62</v>
      </c>
      <c r="D327" s="51">
        <v>38.123170000000002</v>
      </c>
      <c r="E327" s="51">
        <v>-122.05631</v>
      </c>
      <c r="F327" s="51" t="s">
        <v>5089</v>
      </c>
      <c r="G327" s="51" t="s">
        <v>27</v>
      </c>
      <c r="H327" s="51" t="s">
        <v>62</v>
      </c>
      <c r="I327" s="66">
        <v>0.39374999999999999</v>
      </c>
      <c r="J327" s="428">
        <v>577.12</v>
      </c>
      <c r="K327" s="428">
        <v>10.8</v>
      </c>
      <c r="L327" s="428">
        <v>166</v>
      </c>
      <c r="M327" s="428">
        <v>0.14250000000000002</v>
      </c>
      <c r="N327" s="428">
        <v>3.7</v>
      </c>
      <c r="O327" s="51" t="s">
        <v>48</v>
      </c>
      <c r="P327" s="51">
        <v>4</v>
      </c>
      <c r="Q327" s="51">
        <v>10</v>
      </c>
      <c r="R327" s="51" t="s">
        <v>49</v>
      </c>
      <c r="S327" s="51" t="s">
        <v>50</v>
      </c>
      <c r="T327" s="51" t="s">
        <v>50</v>
      </c>
      <c r="U327" s="51" t="s">
        <v>50</v>
      </c>
      <c r="V327" s="51" t="s">
        <v>50</v>
      </c>
      <c r="W327" s="51" t="s">
        <v>50</v>
      </c>
      <c r="X327" s="51" t="s">
        <v>50</v>
      </c>
    </row>
    <row r="328" spans="1:25" x14ac:dyDescent="0.25">
      <c r="A328" s="443">
        <v>43490</v>
      </c>
      <c r="B328" s="51" t="s">
        <v>125</v>
      </c>
      <c r="C328" s="51" t="s">
        <v>62</v>
      </c>
      <c r="D328" s="51">
        <v>38.132390000000001</v>
      </c>
      <c r="E328" s="51">
        <v>-122.06084</v>
      </c>
      <c r="F328" s="51" t="s">
        <v>5090</v>
      </c>
      <c r="G328" s="51" t="s">
        <v>27</v>
      </c>
      <c r="H328" s="51" t="s">
        <v>62</v>
      </c>
      <c r="I328" s="66">
        <v>0.43958333333333338</v>
      </c>
      <c r="J328" s="428">
        <v>956</v>
      </c>
      <c r="K328" s="428">
        <v>10.85</v>
      </c>
      <c r="L328" s="428">
        <v>173.25</v>
      </c>
      <c r="M328" s="428">
        <v>0.13750000000000001</v>
      </c>
      <c r="N328" s="428">
        <v>7.4749999999999996</v>
      </c>
      <c r="O328" s="51" t="s">
        <v>48</v>
      </c>
      <c r="P328" s="51">
        <v>4</v>
      </c>
      <c r="Q328" s="51">
        <v>10</v>
      </c>
      <c r="R328" s="51" t="s">
        <v>49</v>
      </c>
      <c r="S328" s="51" t="s">
        <v>50</v>
      </c>
      <c r="T328" s="51" t="s">
        <v>50</v>
      </c>
      <c r="U328" s="51" t="s">
        <v>50</v>
      </c>
      <c r="V328" s="51" t="s">
        <v>50</v>
      </c>
      <c r="W328" s="51" t="s">
        <v>50</v>
      </c>
      <c r="X328" s="51" t="s">
        <v>50</v>
      </c>
      <c r="Y328" s="52" t="s">
        <v>5091</v>
      </c>
    </row>
    <row r="329" spans="1:25" x14ac:dyDescent="0.25">
      <c r="A329" s="443">
        <v>43490</v>
      </c>
      <c r="B329" s="51" t="s">
        <v>125</v>
      </c>
      <c r="C329" s="51" t="s">
        <v>88</v>
      </c>
      <c r="D329" s="51">
        <v>38.093159999999997</v>
      </c>
      <c r="E329" s="51">
        <v>-121.72575999999999</v>
      </c>
      <c r="F329" s="51" t="s">
        <v>5092</v>
      </c>
      <c r="G329" s="51" t="s">
        <v>90</v>
      </c>
      <c r="H329" s="51" t="s">
        <v>91</v>
      </c>
      <c r="I329" s="66">
        <v>0.33194444444444443</v>
      </c>
      <c r="J329" s="428">
        <v>119.375</v>
      </c>
      <c r="K329" s="428">
        <v>10.4</v>
      </c>
      <c r="L329" s="428">
        <v>69.099999999999994</v>
      </c>
      <c r="M329" s="428">
        <v>0.23</v>
      </c>
      <c r="N329" s="428">
        <v>6</v>
      </c>
      <c r="O329" s="51" t="s">
        <v>48</v>
      </c>
      <c r="P329" s="51">
        <v>4</v>
      </c>
      <c r="Q329" s="51">
        <v>10</v>
      </c>
      <c r="R329" s="51" t="s">
        <v>64</v>
      </c>
      <c r="S329" s="51" t="s">
        <v>50</v>
      </c>
      <c r="T329" s="51" t="s">
        <v>50</v>
      </c>
      <c r="U329" s="51" t="s">
        <v>50</v>
      </c>
      <c r="V329" s="51" t="s">
        <v>50</v>
      </c>
      <c r="W329" s="51" t="s">
        <v>50</v>
      </c>
      <c r="X329" s="51" t="s">
        <v>50</v>
      </c>
      <c r="Y329" s="52" t="s">
        <v>5093</v>
      </c>
    </row>
    <row r="330" spans="1:25" s="437" customFormat="1" x14ac:dyDescent="0.25">
      <c r="A330" s="476">
        <v>43490</v>
      </c>
      <c r="B330" s="437" t="s">
        <v>125</v>
      </c>
      <c r="C330" s="437" t="s">
        <v>88</v>
      </c>
      <c r="D330" s="437">
        <v>38.087380000000003</v>
      </c>
      <c r="E330" s="437">
        <v>-121.74878</v>
      </c>
      <c r="F330" s="437" t="s">
        <v>5094</v>
      </c>
      <c r="G330" s="437" t="s">
        <v>27</v>
      </c>
      <c r="H330" s="437" t="s">
        <v>25</v>
      </c>
      <c r="I330" s="438">
        <v>0.3840277777777778</v>
      </c>
      <c r="J330" s="439">
        <v>133.44999999999999</v>
      </c>
      <c r="K330" s="439">
        <v>10.475</v>
      </c>
      <c r="L330" s="439">
        <v>75.924999999999997</v>
      </c>
      <c r="M330" s="439">
        <v>0.2225</v>
      </c>
      <c r="N330" s="439">
        <v>9.3250000000000011</v>
      </c>
      <c r="O330" s="437" t="s">
        <v>48</v>
      </c>
      <c r="P330" s="437">
        <v>4</v>
      </c>
      <c r="Q330" s="437">
        <v>10</v>
      </c>
      <c r="R330" s="437" t="s">
        <v>49</v>
      </c>
      <c r="S330" s="437" t="s">
        <v>702</v>
      </c>
      <c r="T330" s="437">
        <v>3</v>
      </c>
      <c r="U330" s="437" t="s">
        <v>5095</v>
      </c>
      <c r="V330" s="437" t="s">
        <v>50</v>
      </c>
      <c r="W330" s="437">
        <v>2</v>
      </c>
      <c r="X330" s="437" t="s">
        <v>50</v>
      </c>
      <c r="Y330" s="440"/>
    </row>
    <row r="331" spans="1:25" s="437" customFormat="1" x14ac:dyDescent="0.25">
      <c r="A331" s="476">
        <v>43490</v>
      </c>
      <c r="B331" s="437" t="s">
        <v>125</v>
      </c>
      <c r="C331" s="437" t="s">
        <v>88</v>
      </c>
      <c r="D331" s="437">
        <v>38.084009999999999</v>
      </c>
      <c r="E331" s="437">
        <v>-121.75015999999999</v>
      </c>
      <c r="F331" s="437" t="s">
        <v>5096</v>
      </c>
      <c r="G331" s="437" t="s">
        <v>27</v>
      </c>
      <c r="H331" s="437" t="s">
        <v>25</v>
      </c>
      <c r="I331" s="438">
        <v>0.42986111111111108</v>
      </c>
      <c r="J331" s="439">
        <v>113.8</v>
      </c>
      <c r="K331" s="439">
        <v>10.424999999999999</v>
      </c>
      <c r="L331" s="439">
        <v>91.55</v>
      </c>
      <c r="M331" s="439">
        <v>0.2175</v>
      </c>
      <c r="N331" s="439">
        <v>9.0249999999999986</v>
      </c>
      <c r="O331" s="437" t="s">
        <v>48</v>
      </c>
      <c r="P331" s="437">
        <v>4</v>
      </c>
      <c r="Q331" s="437">
        <v>10</v>
      </c>
      <c r="R331" s="437" t="s">
        <v>49</v>
      </c>
      <c r="S331" s="437" t="s">
        <v>702</v>
      </c>
      <c r="T331" s="437">
        <v>1</v>
      </c>
      <c r="U331" s="437">
        <v>42</v>
      </c>
      <c r="V331" s="437" t="s">
        <v>50</v>
      </c>
      <c r="W331" s="437">
        <v>3</v>
      </c>
      <c r="X331" s="437" t="s">
        <v>50</v>
      </c>
      <c r="Y331" s="440"/>
    </row>
    <row r="332" spans="1:25" x14ac:dyDescent="0.25">
      <c r="A332" s="443">
        <v>43490</v>
      </c>
      <c r="B332" s="51" t="s">
        <v>125</v>
      </c>
      <c r="C332" s="51" t="s">
        <v>44</v>
      </c>
      <c r="D332" s="51">
        <v>38.039059999999999</v>
      </c>
      <c r="E332" s="51">
        <v>-121.57019</v>
      </c>
      <c r="F332" s="51" t="s">
        <v>5097</v>
      </c>
      <c r="G332" s="51" t="s">
        <v>46</v>
      </c>
      <c r="H332" s="51" t="s">
        <v>74</v>
      </c>
      <c r="I332" s="66">
        <v>0.32430555555555557</v>
      </c>
      <c r="J332" s="428">
        <v>270.375</v>
      </c>
      <c r="K332" s="428">
        <v>10.7</v>
      </c>
      <c r="L332" s="428">
        <v>11.324999999999999</v>
      </c>
      <c r="M332" s="428">
        <v>0.86</v>
      </c>
      <c r="N332" s="428">
        <v>5.2250000000000005</v>
      </c>
      <c r="O332" s="51" t="s">
        <v>48</v>
      </c>
      <c r="P332" s="51">
        <v>4</v>
      </c>
      <c r="Q332" s="51">
        <v>10</v>
      </c>
      <c r="R332" s="51" t="s">
        <v>64</v>
      </c>
      <c r="S332" s="51" t="s">
        <v>50</v>
      </c>
      <c r="T332" s="51" t="s">
        <v>50</v>
      </c>
      <c r="U332" s="51" t="s">
        <v>50</v>
      </c>
      <c r="V332" s="51" t="s">
        <v>50</v>
      </c>
      <c r="W332" s="51" t="s">
        <v>50</v>
      </c>
      <c r="X332" s="51" t="s">
        <v>50</v>
      </c>
    </row>
    <row r="333" spans="1:25" x14ac:dyDescent="0.25">
      <c r="A333" s="443">
        <v>43490</v>
      </c>
      <c r="B333" s="51" t="s">
        <v>125</v>
      </c>
      <c r="C333" s="51" t="s">
        <v>44</v>
      </c>
      <c r="D333" s="51">
        <v>38.0047</v>
      </c>
      <c r="E333" s="51">
        <v>-121.56028000000001</v>
      </c>
      <c r="F333" s="51" t="s">
        <v>5098</v>
      </c>
      <c r="G333" s="51" t="s">
        <v>46</v>
      </c>
      <c r="H333" s="51" t="s">
        <v>74</v>
      </c>
      <c r="I333" s="66">
        <v>0.37152777777777773</v>
      </c>
      <c r="J333" s="428">
        <v>286.72500000000002</v>
      </c>
      <c r="K333" s="428">
        <v>10.649999999999999</v>
      </c>
      <c r="L333" s="428">
        <v>9.7349999999999994</v>
      </c>
      <c r="M333" s="428">
        <v>0.94</v>
      </c>
      <c r="N333" s="428">
        <v>5.8</v>
      </c>
      <c r="O333" s="51" t="s">
        <v>48</v>
      </c>
      <c r="P333" s="51">
        <v>4</v>
      </c>
      <c r="Q333" s="51">
        <v>10</v>
      </c>
      <c r="R333" s="51" t="s">
        <v>49</v>
      </c>
      <c r="S333" s="51" t="s">
        <v>50</v>
      </c>
      <c r="T333" s="51" t="s">
        <v>50</v>
      </c>
      <c r="U333" s="51" t="s">
        <v>50</v>
      </c>
      <c r="V333" s="51" t="s">
        <v>50</v>
      </c>
      <c r="W333" s="51" t="s">
        <v>50</v>
      </c>
      <c r="X333" s="51" t="s">
        <v>50</v>
      </c>
    </row>
    <row r="334" spans="1:25" s="74" customFormat="1" x14ac:dyDescent="0.25">
      <c r="A334" s="444">
        <v>43490</v>
      </c>
      <c r="B334" s="74" t="s">
        <v>125</v>
      </c>
      <c r="C334" s="74" t="s">
        <v>44</v>
      </c>
      <c r="D334" s="74">
        <v>38.046970000000002</v>
      </c>
      <c r="E334" s="74">
        <v>-121.64955</v>
      </c>
      <c r="F334" s="74" t="s">
        <v>5099</v>
      </c>
      <c r="G334" s="74" t="s">
        <v>46</v>
      </c>
      <c r="H334" s="74" t="s">
        <v>47</v>
      </c>
      <c r="I334" s="73">
        <v>0.42777777777777781</v>
      </c>
      <c r="J334" s="445">
        <v>193.27499999999998</v>
      </c>
      <c r="K334" s="445">
        <v>10.825000000000001</v>
      </c>
      <c r="L334" s="445">
        <v>27.250000000000004</v>
      </c>
      <c r="M334" s="445">
        <v>0.41500000000000004</v>
      </c>
      <c r="N334" s="445">
        <v>7.65</v>
      </c>
      <c r="O334" s="74" t="s">
        <v>48</v>
      </c>
      <c r="P334" s="74">
        <v>4</v>
      </c>
      <c r="Q334" s="74">
        <v>10</v>
      </c>
      <c r="R334" s="74" t="s">
        <v>49</v>
      </c>
      <c r="S334" s="74" t="s">
        <v>50</v>
      </c>
      <c r="T334" s="74" t="s">
        <v>50</v>
      </c>
      <c r="U334" s="74" t="s">
        <v>50</v>
      </c>
      <c r="V334" s="74" t="s">
        <v>50</v>
      </c>
      <c r="W334" s="74" t="s">
        <v>50</v>
      </c>
      <c r="X334" s="74" t="s">
        <v>50</v>
      </c>
      <c r="Y334" s="77" t="s">
        <v>5100</v>
      </c>
    </row>
    <row r="335" spans="1:25" s="437" customFormat="1" x14ac:dyDescent="0.25">
      <c r="A335" s="476">
        <v>43493</v>
      </c>
      <c r="B335" s="437" t="s">
        <v>43</v>
      </c>
      <c r="C335" s="437" t="s">
        <v>95</v>
      </c>
      <c r="D335" s="437">
        <v>38.1004</v>
      </c>
      <c r="E335" s="437">
        <v>-121.59784999999999</v>
      </c>
      <c r="F335" s="437" t="s">
        <v>5101</v>
      </c>
      <c r="G335" s="437" t="s">
        <v>46</v>
      </c>
      <c r="H335" s="437" t="s">
        <v>115</v>
      </c>
      <c r="I335" s="438">
        <v>0.36805555555555558</v>
      </c>
      <c r="J335" s="439">
        <v>148.25</v>
      </c>
      <c r="K335" s="439">
        <v>10.8</v>
      </c>
      <c r="L335" s="439">
        <v>34.150000000000006</v>
      </c>
      <c r="M335" s="439">
        <v>0.36250000000000004</v>
      </c>
      <c r="N335" s="439">
        <v>13.5</v>
      </c>
      <c r="O335" s="437" t="s">
        <v>48</v>
      </c>
      <c r="P335" s="437">
        <v>4</v>
      </c>
      <c r="Q335" s="437">
        <v>10</v>
      </c>
      <c r="R335" s="437" t="s">
        <v>64</v>
      </c>
      <c r="S335" s="437" t="s">
        <v>702</v>
      </c>
      <c r="T335" s="437">
        <v>2</v>
      </c>
      <c r="U335" s="437" t="s">
        <v>5102</v>
      </c>
      <c r="V335" s="437" t="s">
        <v>50</v>
      </c>
      <c r="W335" s="437">
        <v>2</v>
      </c>
      <c r="X335" s="437" t="s">
        <v>50</v>
      </c>
      <c r="Y335" s="440" t="s">
        <v>5103</v>
      </c>
    </row>
    <row r="336" spans="1:25" x14ac:dyDescent="0.25">
      <c r="A336" s="443">
        <v>43493</v>
      </c>
      <c r="B336" s="51" t="s">
        <v>43</v>
      </c>
      <c r="C336" s="51" t="s">
        <v>95</v>
      </c>
      <c r="D336" s="51">
        <v>38.059060000000002</v>
      </c>
      <c r="E336" s="51">
        <v>-121.5545</v>
      </c>
      <c r="F336" s="51" t="s">
        <v>5104</v>
      </c>
      <c r="G336" s="51" t="s">
        <v>46</v>
      </c>
      <c r="H336" s="51" t="s">
        <v>115</v>
      </c>
      <c r="I336" s="66">
        <v>0.31597222222222221</v>
      </c>
      <c r="J336" s="428">
        <v>176.25</v>
      </c>
      <c r="K336" s="428">
        <v>10.924999999999999</v>
      </c>
      <c r="L336" s="428">
        <v>21.2</v>
      </c>
      <c r="M336" s="428">
        <v>0.5</v>
      </c>
      <c r="N336" s="428">
        <v>16.225000000000001</v>
      </c>
      <c r="O336" s="51" t="s">
        <v>48</v>
      </c>
      <c r="P336" s="51">
        <v>4</v>
      </c>
      <c r="Q336" s="51">
        <v>10</v>
      </c>
      <c r="R336" s="51" t="s">
        <v>64</v>
      </c>
      <c r="S336" s="51" t="s">
        <v>50</v>
      </c>
      <c r="T336" s="51" t="s">
        <v>50</v>
      </c>
      <c r="U336" s="51" t="s">
        <v>50</v>
      </c>
      <c r="V336" s="51" t="s">
        <v>50</v>
      </c>
      <c r="W336" s="51" t="s">
        <v>50</v>
      </c>
      <c r="X336" s="51" t="s">
        <v>50</v>
      </c>
    </row>
    <row r="337" spans="1:25" x14ac:dyDescent="0.25">
      <c r="A337" s="443">
        <v>43493</v>
      </c>
      <c r="B337" s="51" t="s">
        <v>43</v>
      </c>
      <c r="C337" s="51" t="s">
        <v>95</v>
      </c>
      <c r="D337" s="51">
        <v>38.091790000000003</v>
      </c>
      <c r="E337" s="51">
        <v>-121.64644</v>
      </c>
      <c r="F337" s="51" t="s">
        <v>5105</v>
      </c>
      <c r="G337" s="51" t="s">
        <v>46</v>
      </c>
      <c r="H337" s="51" t="s">
        <v>908</v>
      </c>
      <c r="I337" s="66">
        <v>0.46875</v>
      </c>
      <c r="J337" s="428">
        <v>157.44999999999999</v>
      </c>
      <c r="K337" s="428">
        <v>10.75</v>
      </c>
      <c r="L337" s="428">
        <v>36.049999999999997</v>
      </c>
      <c r="M337" s="428">
        <v>0.36250000000000004</v>
      </c>
      <c r="N337" s="428">
        <v>9.1</v>
      </c>
      <c r="O337" s="51" t="s">
        <v>48</v>
      </c>
      <c r="P337" s="51">
        <v>4</v>
      </c>
      <c r="Q337" s="51">
        <v>10</v>
      </c>
      <c r="R337" s="51" t="s">
        <v>64</v>
      </c>
      <c r="S337" s="51" t="s">
        <v>50</v>
      </c>
      <c r="T337" s="51" t="s">
        <v>50</v>
      </c>
      <c r="U337" s="51" t="s">
        <v>50</v>
      </c>
      <c r="V337" s="51" t="s">
        <v>50</v>
      </c>
      <c r="W337" s="51" t="s">
        <v>50</v>
      </c>
      <c r="X337" s="51" t="s">
        <v>50</v>
      </c>
    </row>
    <row r="338" spans="1:25" s="437" customFormat="1" x14ac:dyDescent="0.25">
      <c r="A338" s="476">
        <v>43493</v>
      </c>
      <c r="B338" s="437" t="s">
        <v>43</v>
      </c>
      <c r="C338" s="437" t="s">
        <v>95</v>
      </c>
      <c r="D338" s="437">
        <v>38.089910000000003</v>
      </c>
      <c r="E338" s="437">
        <v>-121.63938</v>
      </c>
      <c r="F338" s="437" t="s">
        <v>5106</v>
      </c>
      <c r="G338" s="437" t="s">
        <v>46</v>
      </c>
      <c r="H338" s="437" t="s">
        <v>908</v>
      </c>
      <c r="I338" s="438">
        <v>0.41666666666666669</v>
      </c>
      <c r="J338" s="439">
        <v>157.57499999999999</v>
      </c>
      <c r="K338" s="439">
        <v>10.775000000000002</v>
      </c>
      <c r="L338" s="439">
        <v>35.1</v>
      </c>
      <c r="M338" s="439">
        <v>0.35750000000000004</v>
      </c>
      <c r="N338" s="439">
        <v>13.274999999999999</v>
      </c>
      <c r="O338" s="437" t="s">
        <v>48</v>
      </c>
      <c r="P338" s="437">
        <v>4</v>
      </c>
      <c r="Q338" s="437">
        <v>10</v>
      </c>
      <c r="R338" s="437" t="s">
        <v>64</v>
      </c>
      <c r="S338" s="437" t="s">
        <v>702</v>
      </c>
      <c r="T338" s="437">
        <v>2</v>
      </c>
      <c r="U338" s="437">
        <v>44</v>
      </c>
      <c r="V338" s="437" t="s">
        <v>50</v>
      </c>
      <c r="W338" s="437" t="s">
        <v>50</v>
      </c>
      <c r="X338" s="437" t="s">
        <v>50</v>
      </c>
      <c r="Y338" s="440" t="s">
        <v>5107</v>
      </c>
    </row>
    <row r="339" spans="1:25" s="437" customFormat="1" x14ac:dyDescent="0.25">
      <c r="A339" s="476">
        <v>43493</v>
      </c>
      <c r="B339" s="437" t="s">
        <v>43</v>
      </c>
      <c r="C339" s="437" t="s">
        <v>88</v>
      </c>
      <c r="D339" s="437">
        <v>38.080930000000002</v>
      </c>
      <c r="E339" s="437">
        <v>-121.74744</v>
      </c>
      <c r="F339" s="437" t="s">
        <v>5108</v>
      </c>
      <c r="G339" s="437" t="s">
        <v>27</v>
      </c>
      <c r="H339" s="437" t="s">
        <v>25</v>
      </c>
      <c r="I339" s="438">
        <v>0.31875000000000003</v>
      </c>
      <c r="J339" s="439">
        <v>128.47499999999999</v>
      </c>
      <c r="K339" s="439">
        <v>10.25</v>
      </c>
      <c r="L339" s="439">
        <v>45.474999999999994</v>
      </c>
      <c r="M339" s="439">
        <v>0.35250000000000004</v>
      </c>
      <c r="N339" s="439">
        <v>11.425000000000001</v>
      </c>
      <c r="O339" s="437" t="s">
        <v>48</v>
      </c>
      <c r="P339" s="437">
        <v>4</v>
      </c>
      <c r="Q339" s="437">
        <v>10</v>
      </c>
      <c r="R339" s="437" t="s">
        <v>64</v>
      </c>
      <c r="S339" s="437" t="s">
        <v>702</v>
      </c>
      <c r="T339" s="437">
        <v>3</v>
      </c>
      <c r="U339" s="437" t="s">
        <v>5077</v>
      </c>
      <c r="V339" s="437" t="s">
        <v>50</v>
      </c>
      <c r="W339" s="437">
        <v>2</v>
      </c>
      <c r="X339" s="437" t="s">
        <v>50</v>
      </c>
      <c r="Y339" s="440" t="s">
        <v>124</v>
      </c>
    </row>
    <row r="340" spans="1:25" s="437" customFormat="1" x14ac:dyDescent="0.25">
      <c r="A340" s="476">
        <v>43493</v>
      </c>
      <c r="B340" s="437" t="s">
        <v>43</v>
      </c>
      <c r="C340" s="437" t="s">
        <v>88</v>
      </c>
      <c r="D340" s="437">
        <v>38.081620000000001</v>
      </c>
      <c r="E340" s="437">
        <v>-121.72976</v>
      </c>
      <c r="F340" s="437" t="s">
        <v>5109</v>
      </c>
      <c r="G340" s="437" t="s">
        <v>90</v>
      </c>
      <c r="H340" s="437" t="s">
        <v>91</v>
      </c>
      <c r="I340" s="438">
        <v>0.36874999999999997</v>
      </c>
      <c r="J340" s="439">
        <v>129.27500000000001</v>
      </c>
      <c r="K340" s="439">
        <v>10.225</v>
      </c>
      <c r="L340" s="439">
        <v>44.949999999999996</v>
      </c>
      <c r="M340" s="439">
        <v>0.33750000000000002</v>
      </c>
      <c r="N340" s="439">
        <v>5.5500000000000007</v>
      </c>
      <c r="O340" s="437" t="s">
        <v>48</v>
      </c>
      <c r="P340" s="437">
        <v>4</v>
      </c>
      <c r="Q340" s="437">
        <v>10</v>
      </c>
      <c r="R340" s="437" t="s">
        <v>64</v>
      </c>
      <c r="S340" s="437" t="s">
        <v>702</v>
      </c>
      <c r="T340" s="437">
        <v>1</v>
      </c>
      <c r="U340" s="437">
        <v>40</v>
      </c>
      <c r="V340" s="437" t="s">
        <v>50</v>
      </c>
      <c r="W340" s="437">
        <v>2</v>
      </c>
      <c r="X340" s="437" t="s">
        <v>50</v>
      </c>
      <c r="Y340" s="440"/>
    </row>
    <row r="341" spans="1:25" s="437" customFormat="1" x14ac:dyDescent="0.25">
      <c r="A341" s="476">
        <v>43493</v>
      </c>
      <c r="B341" s="437" t="s">
        <v>43</v>
      </c>
      <c r="C341" s="437" t="s">
        <v>88</v>
      </c>
      <c r="D341" s="437">
        <v>38.101799999999997</v>
      </c>
      <c r="E341" s="437">
        <v>-121.72014</v>
      </c>
      <c r="F341" s="437" t="s">
        <v>5110</v>
      </c>
      <c r="G341" s="437" t="s">
        <v>90</v>
      </c>
      <c r="H341" s="437" t="s">
        <v>91</v>
      </c>
      <c r="I341" s="438">
        <v>0.42152777777777778</v>
      </c>
      <c r="J341" s="439">
        <v>129.94999999999999</v>
      </c>
      <c r="K341" s="439">
        <v>10.225</v>
      </c>
      <c r="L341" s="439">
        <v>43.875</v>
      </c>
      <c r="M341" s="439">
        <v>0.34250000000000003</v>
      </c>
      <c r="N341" s="439">
        <v>7.1999999999999993</v>
      </c>
      <c r="O341" s="437" t="s">
        <v>48</v>
      </c>
      <c r="P341" s="437">
        <v>4</v>
      </c>
      <c r="Q341" s="437">
        <v>10</v>
      </c>
      <c r="R341" s="437" t="s">
        <v>64</v>
      </c>
      <c r="S341" s="437" t="s">
        <v>702</v>
      </c>
      <c r="T341" s="437">
        <v>1</v>
      </c>
      <c r="U341" s="437">
        <v>39</v>
      </c>
      <c r="V341" s="437" t="s">
        <v>50</v>
      </c>
      <c r="W341" s="437">
        <v>2</v>
      </c>
      <c r="X341" s="437" t="s">
        <v>50</v>
      </c>
      <c r="Y341" s="440" t="s">
        <v>4716</v>
      </c>
    </row>
    <row r="342" spans="1:25" s="437" customFormat="1" x14ac:dyDescent="0.25">
      <c r="A342" s="476">
        <v>43493</v>
      </c>
      <c r="B342" s="437" t="s">
        <v>43</v>
      </c>
      <c r="C342" s="437" t="s">
        <v>88</v>
      </c>
      <c r="D342" s="437">
        <v>38.101799999999997</v>
      </c>
      <c r="E342" s="437">
        <v>-121.72014</v>
      </c>
      <c r="F342" s="437" t="s">
        <v>5110</v>
      </c>
      <c r="G342" s="437" t="s">
        <v>90</v>
      </c>
      <c r="H342" s="437" t="s">
        <v>91</v>
      </c>
      <c r="I342" s="438">
        <v>0.42152777777777778</v>
      </c>
      <c r="J342" s="439"/>
      <c r="K342" s="439"/>
      <c r="L342" s="439"/>
      <c r="M342" s="439"/>
      <c r="N342" s="439"/>
      <c r="S342" s="437" t="s">
        <v>31</v>
      </c>
      <c r="T342" s="437">
        <v>2</v>
      </c>
      <c r="U342" s="437" t="s">
        <v>5111</v>
      </c>
      <c r="V342" s="437" t="s">
        <v>66</v>
      </c>
      <c r="W342" s="437" t="s">
        <v>50</v>
      </c>
      <c r="X342" s="437" t="s">
        <v>50</v>
      </c>
      <c r="Y342" s="440"/>
    </row>
    <row r="343" spans="1:25" s="431" customFormat="1" x14ac:dyDescent="0.25">
      <c r="A343" s="447">
        <v>43493</v>
      </c>
      <c r="B343" s="431" t="s">
        <v>43</v>
      </c>
      <c r="C343" s="431" t="s">
        <v>62</v>
      </c>
      <c r="D343" s="431">
        <v>38.167639999999999</v>
      </c>
      <c r="E343" s="431">
        <v>-121.94309</v>
      </c>
      <c r="F343" s="431" t="s">
        <v>5112</v>
      </c>
      <c r="G343" s="431" t="s">
        <v>27</v>
      </c>
      <c r="H343" s="431" t="s">
        <v>62</v>
      </c>
      <c r="I343" s="432">
        <v>0.35416666666666669</v>
      </c>
      <c r="J343" s="433">
        <v>912.33333333333337</v>
      </c>
      <c r="K343" s="433">
        <v>10.9</v>
      </c>
      <c r="L343" s="433">
        <v>77.833333333333329</v>
      </c>
      <c r="M343" s="433">
        <v>0.19666666666666668</v>
      </c>
      <c r="N343" s="433">
        <v>7.5</v>
      </c>
      <c r="O343" s="431" t="s">
        <v>48</v>
      </c>
      <c r="P343" s="431">
        <v>3</v>
      </c>
      <c r="Q343" s="431">
        <v>10</v>
      </c>
      <c r="R343" s="431" t="s">
        <v>64</v>
      </c>
      <c r="S343" s="431" t="s">
        <v>323</v>
      </c>
      <c r="T343" s="431">
        <v>1</v>
      </c>
      <c r="U343" s="431">
        <v>71</v>
      </c>
      <c r="V343" s="431" t="s">
        <v>66</v>
      </c>
      <c r="W343" s="431" t="s">
        <v>50</v>
      </c>
      <c r="X343" s="431" t="s">
        <v>50</v>
      </c>
      <c r="Y343" s="448"/>
    </row>
    <row r="344" spans="1:25" x14ac:dyDescent="0.25">
      <c r="A344" s="443">
        <v>43493</v>
      </c>
      <c r="B344" s="51" t="s">
        <v>43</v>
      </c>
      <c r="C344" s="51" t="s">
        <v>62</v>
      </c>
      <c r="D344" s="51">
        <v>38.208550000000002</v>
      </c>
      <c r="E344" s="51">
        <v>-122.03406</v>
      </c>
      <c r="F344" s="51" t="s">
        <v>5113</v>
      </c>
      <c r="G344" s="51" t="s">
        <v>27</v>
      </c>
      <c r="H344" s="51" t="s">
        <v>62</v>
      </c>
      <c r="I344" s="66">
        <v>0.41319444444444442</v>
      </c>
      <c r="J344" s="428">
        <v>2099.75</v>
      </c>
      <c r="K344" s="428">
        <v>11.324999999999999</v>
      </c>
      <c r="L344" s="428">
        <v>72.849999999999994</v>
      </c>
      <c r="M344" s="428">
        <v>0.20500000000000002</v>
      </c>
      <c r="N344" s="428">
        <v>6.375</v>
      </c>
      <c r="O344" s="51" t="s">
        <v>48</v>
      </c>
      <c r="P344" s="51">
        <v>4</v>
      </c>
      <c r="Q344" s="51">
        <v>10</v>
      </c>
      <c r="R344" s="51" t="s">
        <v>49</v>
      </c>
      <c r="S344" s="51" t="s">
        <v>50</v>
      </c>
      <c r="T344" s="51" t="s">
        <v>50</v>
      </c>
      <c r="U344" s="51" t="s">
        <v>50</v>
      </c>
      <c r="V344" s="51" t="s">
        <v>50</v>
      </c>
      <c r="W344" s="51" t="s">
        <v>50</v>
      </c>
      <c r="X344" s="51" t="s">
        <v>50</v>
      </c>
    </row>
    <row r="345" spans="1:25" s="437" customFormat="1" x14ac:dyDescent="0.25">
      <c r="A345" s="476">
        <v>43493</v>
      </c>
      <c r="B345" s="437" t="s">
        <v>43</v>
      </c>
      <c r="C345" s="437" t="s">
        <v>62</v>
      </c>
      <c r="D345" s="437">
        <v>38.18224</v>
      </c>
      <c r="E345" s="437">
        <v>-122.05282</v>
      </c>
      <c r="F345" s="437" t="s">
        <v>5114</v>
      </c>
      <c r="G345" s="437" t="s">
        <v>27</v>
      </c>
      <c r="H345" s="437" t="s">
        <v>62</v>
      </c>
      <c r="I345" s="438">
        <v>0.46319444444444446</v>
      </c>
      <c r="J345" s="439">
        <v>2008.5</v>
      </c>
      <c r="K345" s="439">
        <v>11.4</v>
      </c>
      <c r="L345" s="439">
        <v>110.3</v>
      </c>
      <c r="M345" s="439">
        <v>0.18000000000000002</v>
      </c>
      <c r="N345" s="439">
        <v>5.7249999999999996</v>
      </c>
      <c r="O345" s="437" t="s">
        <v>48</v>
      </c>
      <c r="P345" s="437">
        <v>4</v>
      </c>
      <c r="Q345" s="437">
        <v>10</v>
      </c>
      <c r="R345" s="437" t="s">
        <v>49</v>
      </c>
      <c r="S345" s="437" t="s">
        <v>702</v>
      </c>
      <c r="T345" s="437">
        <v>1</v>
      </c>
      <c r="U345" s="437">
        <v>43</v>
      </c>
      <c r="V345" s="437" t="s">
        <v>50</v>
      </c>
      <c r="W345" s="437">
        <v>3</v>
      </c>
      <c r="X345" s="437" t="s">
        <v>50</v>
      </c>
      <c r="Y345" s="440"/>
    </row>
    <row r="346" spans="1:25" s="437" customFormat="1" x14ac:dyDescent="0.25">
      <c r="A346" s="476">
        <v>43494</v>
      </c>
      <c r="B346" s="437" t="s">
        <v>70</v>
      </c>
      <c r="C346" s="437" t="s">
        <v>88</v>
      </c>
      <c r="D346" s="437">
        <v>38.065449999999998</v>
      </c>
      <c r="E346" s="437">
        <v>-121.83315</v>
      </c>
      <c r="F346" s="437" t="s">
        <v>5115</v>
      </c>
      <c r="G346" s="437" t="s">
        <v>27</v>
      </c>
      <c r="H346" s="437" t="s">
        <v>25</v>
      </c>
      <c r="I346" s="438">
        <v>0.3298611111111111</v>
      </c>
      <c r="J346" s="439">
        <v>159.15</v>
      </c>
      <c r="K346" s="439">
        <v>10.625</v>
      </c>
      <c r="L346" s="439">
        <v>47.825000000000003</v>
      </c>
      <c r="M346" s="439">
        <v>0.33</v>
      </c>
      <c r="N346" s="439">
        <v>10.525</v>
      </c>
      <c r="O346" s="437" t="s">
        <v>48</v>
      </c>
      <c r="P346" s="437">
        <v>4</v>
      </c>
      <c r="Q346" s="437">
        <v>10</v>
      </c>
      <c r="R346" s="437" t="s">
        <v>64</v>
      </c>
      <c r="S346" s="437" t="s">
        <v>31</v>
      </c>
      <c r="T346" s="437">
        <v>1</v>
      </c>
      <c r="U346" s="437">
        <v>69</v>
      </c>
      <c r="V346" s="437" t="s">
        <v>66</v>
      </c>
      <c r="W346" s="437" t="s">
        <v>50</v>
      </c>
      <c r="X346" s="437" t="s">
        <v>50</v>
      </c>
      <c r="Y346" s="440"/>
    </row>
    <row r="347" spans="1:25" s="437" customFormat="1" x14ac:dyDescent="0.25">
      <c r="A347" s="476">
        <v>43494</v>
      </c>
      <c r="B347" s="437" t="s">
        <v>70</v>
      </c>
      <c r="C347" s="437" t="s">
        <v>88</v>
      </c>
      <c r="D347" s="437">
        <v>38.065449999999998</v>
      </c>
      <c r="E347" s="437">
        <v>-121.83315</v>
      </c>
      <c r="F347" s="437" t="s">
        <v>5115</v>
      </c>
      <c r="G347" s="437" t="s">
        <v>27</v>
      </c>
      <c r="H347" s="437" t="s">
        <v>25</v>
      </c>
      <c r="I347" s="438">
        <v>0.3298611111111111</v>
      </c>
      <c r="J347" s="439"/>
      <c r="K347" s="439"/>
      <c r="L347" s="439"/>
      <c r="M347" s="439"/>
      <c r="N347" s="439"/>
      <c r="S347" s="437" t="s">
        <v>449</v>
      </c>
      <c r="T347" s="437">
        <v>1</v>
      </c>
      <c r="U347" s="437">
        <v>202</v>
      </c>
      <c r="V347" s="437" t="s">
        <v>50</v>
      </c>
      <c r="W347" s="437">
        <v>5</v>
      </c>
      <c r="X347" s="437" t="s">
        <v>2525</v>
      </c>
      <c r="Y347" s="440" t="s">
        <v>545</v>
      </c>
    </row>
    <row r="348" spans="1:25" x14ac:dyDescent="0.25">
      <c r="A348" s="443">
        <v>43494</v>
      </c>
      <c r="B348" s="51" t="s">
        <v>70</v>
      </c>
      <c r="C348" s="51" t="s">
        <v>88</v>
      </c>
      <c r="D348" s="51">
        <v>38.029620000000001</v>
      </c>
      <c r="E348" s="51">
        <v>-121.78489999999999</v>
      </c>
      <c r="F348" s="51" t="s">
        <v>5116</v>
      </c>
      <c r="G348" s="51" t="s">
        <v>27</v>
      </c>
      <c r="H348" s="51" t="s">
        <v>25</v>
      </c>
      <c r="I348" s="66">
        <v>0.39166666666666666</v>
      </c>
      <c r="J348" s="428">
        <v>146.67500000000001</v>
      </c>
      <c r="K348" s="428">
        <v>10.575000000000001</v>
      </c>
      <c r="L348" s="428">
        <v>44.050000000000004</v>
      </c>
      <c r="M348" s="428">
        <v>0.30249999999999999</v>
      </c>
      <c r="N348" s="428">
        <v>8.25</v>
      </c>
      <c r="O348" s="51" t="s">
        <v>48</v>
      </c>
      <c r="P348" s="51">
        <v>4</v>
      </c>
      <c r="Q348" s="51">
        <v>10</v>
      </c>
      <c r="R348" s="51" t="s">
        <v>64</v>
      </c>
      <c r="S348" s="51" t="s">
        <v>50</v>
      </c>
      <c r="T348" s="51" t="s">
        <v>50</v>
      </c>
      <c r="U348" s="51" t="s">
        <v>50</v>
      </c>
      <c r="V348" s="51" t="s">
        <v>50</v>
      </c>
      <c r="W348" s="51" t="s">
        <v>50</v>
      </c>
      <c r="X348" s="51" t="s">
        <v>50</v>
      </c>
      <c r="Y348" s="52" t="s">
        <v>5117</v>
      </c>
    </row>
    <row r="349" spans="1:25" s="431" customFormat="1" x14ac:dyDescent="0.25">
      <c r="A349" s="447">
        <v>43494</v>
      </c>
      <c r="B349" s="431" t="s">
        <v>70</v>
      </c>
      <c r="C349" s="431" t="s">
        <v>88</v>
      </c>
      <c r="D349" s="431">
        <v>38.134749999999997</v>
      </c>
      <c r="E349" s="431">
        <v>-121.69167</v>
      </c>
      <c r="F349" s="431" t="s">
        <v>5118</v>
      </c>
      <c r="G349" s="431" t="s">
        <v>90</v>
      </c>
      <c r="H349" s="431" t="s">
        <v>91</v>
      </c>
      <c r="I349" s="432">
        <v>0.46527777777777773</v>
      </c>
      <c r="J349" s="433">
        <v>154.55000000000001</v>
      </c>
      <c r="K349" s="433">
        <v>10.6</v>
      </c>
      <c r="L349" s="433">
        <v>31.7</v>
      </c>
      <c r="M349" s="433">
        <v>0.44</v>
      </c>
      <c r="N349" s="433">
        <v>7.65</v>
      </c>
      <c r="O349" s="431" t="s">
        <v>48</v>
      </c>
      <c r="P349" s="431">
        <v>2</v>
      </c>
      <c r="Q349" s="431">
        <v>10</v>
      </c>
      <c r="R349" s="431" t="s">
        <v>64</v>
      </c>
      <c r="S349" s="431" t="s">
        <v>323</v>
      </c>
      <c r="T349" s="431">
        <v>1</v>
      </c>
      <c r="U349" s="431">
        <v>72</v>
      </c>
      <c r="V349" s="431" t="s">
        <v>66</v>
      </c>
      <c r="W349" s="431" t="s">
        <v>50</v>
      </c>
      <c r="X349" s="431" t="s">
        <v>50</v>
      </c>
      <c r="Y349" s="448"/>
    </row>
    <row r="350" spans="1:25" s="437" customFormat="1" x14ac:dyDescent="0.25">
      <c r="A350" s="476">
        <v>43494</v>
      </c>
      <c r="B350" s="437" t="s">
        <v>70</v>
      </c>
      <c r="C350" s="437" t="s">
        <v>95</v>
      </c>
      <c r="D350" s="437">
        <v>38.024279999999997</v>
      </c>
      <c r="E350" s="437">
        <v>-121.74692</v>
      </c>
      <c r="F350" s="437" t="s">
        <v>5119</v>
      </c>
      <c r="G350" s="437" t="s">
        <v>27</v>
      </c>
      <c r="H350" s="437" t="s">
        <v>863</v>
      </c>
      <c r="I350" s="438">
        <v>0.32708333333333334</v>
      </c>
      <c r="J350" s="439">
        <v>286.5</v>
      </c>
      <c r="K350" s="439">
        <v>11.125</v>
      </c>
      <c r="L350" s="439">
        <v>23.75</v>
      </c>
      <c r="M350" s="439">
        <v>0.46</v>
      </c>
      <c r="N350" s="439">
        <v>7.9249999999999998</v>
      </c>
      <c r="O350" s="437" t="s">
        <v>48</v>
      </c>
      <c r="P350" s="437">
        <v>4</v>
      </c>
      <c r="Q350" s="437">
        <v>10</v>
      </c>
      <c r="R350" s="437" t="s">
        <v>64</v>
      </c>
      <c r="S350" s="437" t="s">
        <v>702</v>
      </c>
      <c r="T350" s="437">
        <v>1</v>
      </c>
      <c r="U350" s="437">
        <v>46</v>
      </c>
      <c r="V350" s="437" t="s">
        <v>50</v>
      </c>
      <c r="W350" s="437">
        <v>3</v>
      </c>
      <c r="X350" s="437" t="s">
        <v>50</v>
      </c>
      <c r="Y350" s="440" t="s">
        <v>5120</v>
      </c>
    </row>
    <row r="351" spans="1:25" x14ac:dyDescent="0.25">
      <c r="A351" s="443">
        <v>43494</v>
      </c>
      <c r="B351" s="51" t="s">
        <v>70</v>
      </c>
      <c r="C351" s="51" t="s">
        <v>95</v>
      </c>
      <c r="D351" s="51">
        <v>38.023650000000004</v>
      </c>
      <c r="E351" s="51">
        <v>-121.69007999999999</v>
      </c>
      <c r="F351" s="51" t="s">
        <v>5121</v>
      </c>
      <c r="G351" s="51" t="s">
        <v>27</v>
      </c>
      <c r="H351" s="51" t="s">
        <v>863</v>
      </c>
      <c r="I351" s="66">
        <v>0.37986111111111115</v>
      </c>
      <c r="J351" s="428">
        <v>274.60000000000002</v>
      </c>
      <c r="K351" s="428">
        <v>11.05</v>
      </c>
      <c r="L351" s="428">
        <v>20.824999999999999</v>
      </c>
      <c r="M351" s="428">
        <v>0.4375</v>
      </c>
      <c r="N351" s="428">
        <v>6</v>
      </c>
      <c r="O351" s="51" t="s">
        <v>48</v>
      </c>
      <c r="P351" s="51">
        <v>4</v>
      </c>
      <c r="Q351" s="51">
        <v>10</v>
      </c>
      <c r="R351" s="51" t="s">
        <v>64</v>
      </c>
      <c r="S351" s="51" t="s">
        <v>50</v>
      </c>
      <c r="T351" s="51" t="s">
        <v>50</v>
      </c>
      <c r="U351" s="51" t="s">
        <v>50</v>
      </c>
      <c r="V351" s="51" t="s">
        <v>50</v>
      </c>
      <c r="W351" s="51" t="s">
        <v>50</v>
      </c>
      <c r="X351" s="51" t="s">
        <v>50</v>
      </c>
    </row>
    <row r="352" spans="1:25" s="431" customFormat="1" x14ac:dyDescent="0.25">
      <c r="A352" s="447">
        <v>43494</v>
      </c>
      <c r="B352" s="431" t="s">
        <v>70</v>
      </c>
      <c r="C352" s="431" t="s">
        <v>95</v>
      </c>
      <c r="D352" s="431">
        <v>38.071649999999998</v>
      </c>
      <c r="E352" s="431">
        <v>-121.67944</v>
      </c>
      <c r="F352" s="431" t="s">
        <v>5122</v>
      </c>
      <c r="G352" s="431" t="s">
        <v>46</v>
      </c>
      <c r="H352" s="431" t="s">
        <v>908</v>
      </c>
      <c r="I352" s="432">
        <v>0.43333333333333335</v>
      </c>
      <c r="J352" s="433">
        <v>248.47499999999999</v>
      </c>
      <c r="K352" s="433">
        <v>10.95</v>
      </c>
      <c r="L352" s="433">
        <v>31.9</v>
      </c>
      <c r="M352" s="433">
        <v>0.42499999999999999</v>
      </c>
      <c r="N352" s="433">
        <v>4.9749999999999996</v>
      </c>
      <c r="O352" s="431" t="s">
        <v>48</v>
      </c>
      <c r="P352" s="431">
        <v>4</v>
      </c>
      <c r="Q352" s="431">
        <v>10</v>
      </c>
      <c r="R352" s="431" t="s">
        <v>64</v>
      </c>
      <c r="S352" s="431" t="s">
        <v>323</v>
      </c>
      <c r="T352" s="431">
        <v>1</v>
      </c>
      <c r="U352" s="431">
        <v>70</v>
      </c>
      <c r="V352" s="431" t="s">
        <v>66</v>
      </c>
      <c r="W352" s="431" t="s">
        <v>50</v>
      </c>
      <c r="X352" s="431" t="s">
        <v>50</v>
      </c>
      <c r="Y352" s="448"/>
    </row>
    <row r="353" spans="1:25" x14ac:dyDescent="0.25">
      <c r="A353" s="443">
        <v>43494</v>
      </c>
      <c r="B353" s="51" t="s">
        <v>70</v>
      </c>
      <c r="C353" s="51" t="s">
        <v>78</v>
      </c>
      <c r="D353" s="51">
        <v>38.027360000000002</v>
      </c>
      <c r="E353" s="51">
        <v>-121.82868999999999</v>
      </c>
      <c r="F353" s="51" t="s">
        <v>5123</v>
      </c>
      <c r="G353" s="51" t="s">
        <v>27</v>
      </c>
      <c r="H353" s="51" t="s">
        <v>101</v>
      </c>
      <c r="I353" s="66">
        <v>0.32777777777777778</v>
      </c>
      <c r="J353" s="428">
        <v>202.92500000000001</v>
      </c>
      <c r="K353" s="428">
        <v>10.95</v>
      </c>
      <c r="L353" s="428">
        <v>34.075000000000003</v>
      </c>
      <c r="M353" s="428">
        <v>0.37250000000000005</v>
      </c>
      <c r="N353" s="428">
        <v>20.2</v>
      </c>
      <c r="O353" s="51" t="s">
        <v>48</v>
      </c>
      <c r="P353" s="51">
        <v>4</v>
      </c>
      <c r="Q353" s="51">
        <v>10</v>
      </c>
      <c r="R353" s="51" t="s">
        <v>64</v>
      </c>
      <c r="S353" s="51" t="s">
        <v>50</v>
      </c>
      <c r="T353" s="51" t="s">
        <v>50</v>
      </c>
      <c r="U353" s="51" t="s">
        <v>50</v>
      </c>
      <c r="V353" s="51" t="s">
        <v>50</v>
      </c>
      <c r="W353" s="51" t="s">
        <v>50</v>
      </c>
      <c r="X353" s="51" t="s">
        <v>50</v>
      </c>
    </row>
    <row r="354" spans="1:25" s="437" customFormat="1" x14ac:dyDescent="0.25">
      <c r="A354" s="476">
        <v>43494</v>
      </c>
      <c r="B354" s="437" t="s">
        <v>70</v>
      </c>
      <c r="C354" s="437" t="s">
        <v>78</v>
      </c>
      <c r="D354" s="437">
        <v>38.053530000000002</v>
      </c>
      <c r="E354" s="437">
        <v>-121.88236000000001</v>
      </c>
      <c r="F354" s="437" t="s">
        <v>5124</v>
      </c>
      <c r="G354" s="437" t="s">
        <v>27</v>
      </c>
      <c r="H354" s="437" t="s">
        <v>101</v>
      </c>
      <c r="I354" s="438">
        <v>0.3972222222222222</v>
      </c>
      <c r="J354" s="439">
        <v>162.75</v>
      </c>
      <c r="K354" s="439">
        <v>10.725000000000001</v>
      </c>
      <c r="L354" s="439">
        <v>68.55</v>
      </c>
      <c r="M354" s="439">
        <v>0.22500000000000001</v>
      </c>
      <c r="N354" s="439">
        <v>14.65</v>
      </c>
      <c r="O354" s="437" t="s">
        <v>48</v>
      </c>
      <c r="P354" s="437">
        <v>4</v>
      </c>
      <c r="Q354" s="437">
        <v>10</v>
      </c>
      <c r="R354" s="437" t="s">
        <v>64</v>
      </c>
      <c r="S354" s="437" t="s">
        <v>31</v>
      </c>
      <c r="T354" s="437">
        <v>1</v>
      </c>
      <c r="U354" s="437">
        <v>71</v>
      </c>
      <c r="V354" s="437" t="s">
        <v>355</v>
      </c>
      <c r="W354" s="437" t="s">
        <v>50</v>
      </c>
      <c r="X354" s="437" t="s">
        <v>50</v>
      </c>
      <c r="Y354" s="440"/>
    </row>
    <row r="355" spans="1:25" s="437" customFormat="1" x14ac:dyDescent="0.25">
      <c r="A355" s="476">
        <v>43494</v>
      </c>
      <c r="B355" s="437" t="s">
        <v>70</v>
      </c>
      <c r="C355" s="437" t="s">
        <v>78</v>
      </c>
      <c r="D355" s="437">
        <v>38.053530000000002</v>
      </c>
      <c r="E355" s="437">
        <v>-121.88236000000001</v>
      </c>
      <c r="F355" s="437" t="s">
        <v>5124</v>
      </c>
      <c r="G355" s="437" t="s">
        <v>27</v>
      </c>
      <c r="H355" s="437" t="s">
        <v>101</v>
      </c>
      <c r="I355" s="438">
        <v>0.3972222222222222</v>
      </c>
      <c r="J355" s="439"/>
      <c r="K355" s="439"/>
      <c r="L355" s="439"/>
      <c r="M355" s="439"/>
      <c r="N355" s="439"/>
      <c r="S355" s="437" t="s">
        <v>449</v>
      </c>
      <c r="T355" s="437">
        <v>1</v>
      </c>
      <c r="U355" s="437">
        <v>202</v>
      </c>
      <c r="V355" s="437" t="s">
        <v>50</v>
      </c>
      <c r="W355" s="437">
        <v>5</v>
      </c>
      <c r="X355" s="437" t="s">
        <v>2525</v>
      </c>
      <c r="Y355" s="440" t="s">
        <v>5125</v>
      </c>
    </row>
    <row r="356" spans="1:25" s="431" customFormat="1" x14ac:dyDescent="0.25">
      <c r="A356" s="447">
        <v>43494</v>
      </c>
      <c r="B356" s="431" t="s">
        <v>70</v>
      </c>
      <c r="C356" s="431" t="s">
        <v>78</v>
      </c>
      <c r="D356" s="431">
        <v>38.052700000000002</v>
      </c>
      <c r="E356" s="431">
        <v>-121.95001000000001</v>
      </c>
      <c r="F356" s="431" t="s">
        <v>5126</v>
      </c>
      <c r="G356" s="431" t="s">
        <v>27</v>
      </c>
      <c r="H356" s="431" t="s">
        <v>170</v>
      </c>
      <c r="I356" s="432">
        <v>0.45277777777777778</v>
      </c>
      <c r="J356" s="433">
        <v>271.35000000000002</v>
      </c>
      <c r="K356" s="433">
        <v>10.95</v>
      </c>
      <c r="L356" s="433">
        <v>71.25</v>
      </c>
      <c r="M356" s="433">
        <v>0.22</v>
      </c>
      <c r="N356" s="433">
        <v>15.350000000000001</v>
      </c>
      <c r="O356" s="431" t="s">
        <v>48</v>
      </c>
      <c r="P356" s="431">
        <v>2</v>
      </c>
      <c r="Q356" s="431">
        <v>10</v>
      </c>
      <c r="R356" s="431" t="s">
        <v>64</v>
      </c>
      <c r="S356" s="431" t="s">
        <v>323</v>
      </c>
      <c r="T356" s="431">
        <v>1</v>
      </c>
      <c r="U356" s="431">
        <v>72</v>
      </c>
      <c r="V356" s="431" t="s">
        <v>66</v>
      </c>
      <c r="W356" s="431" t="s">
        <v>50</v>
      </c>
      <c r="X356" s="431" t="s">
        <v>50</v>
      </c>
      <c r="Y356" s="448"/>
    </row>
    <row r="357" spans="1:25" s="431" customFormat="1" x14ac:dyDescent="0.25">
      <c r="A357" s="447">
        <v>43495</v>
      </c>
      <c r="B357" s="431" t="s">
        <v>87</v>
      </c>
      <c r="C357" s="431" t="s">
        <v>845</v>
      </c>
      <c r="D357" s="431">
        <v>38.248370000000001</v>
      </c>
      <c r="E357" s="431">
        <v>-121.68701</v>
      </c>
      <c r="F357" s="431" t="s">
        <v>5127</v>
      </c>
      <c r="G357" s="431" t="s">
        <v>90</v>
      </c>
      <c r="H357" s="431" t="s">
        <v>126</v>
      </c>
      <c r="I357" s="432">
        <v>0.3527777777777778</v>
      </c>
      <c r="J357" s="433">
        <v>263.95</v>
      </c>
      <c r="K357" s="433">
        <v>11.55</v>
      </c>
      <c r="L357" s="433">
        <v>23.6</v>
      </c>
      <c r="M357" s="433">
        <v>0.49</v>
      </c>
      <c r="N357" s="433">
        <v>11.5</v>
      </c>
      <c r="O357" s="431" t="s">
        <v>48</v>
      </c>
      <c r="P357" s="431">
        <v>2</v>
      </c>
      <c r="Q357" s="431">
        <v>10</v>
      </c>
      <c r="R357" s="431" t="s">
        <v>64</v>
      </c>
      <c r="S357" s="431" t="s">
        <v>323</v>
      </c>
      <c r="T357" s="431">
        <v>1</v>
      </c>
      <c r="U357" s="431">
        <v>70</v>
      </c>
      <c r="V357" s="431" t="s">
        <v>66</v>
      </c>
      <c r="W357" s="431" t="s">
        <v>50</v>
      </c>
      <c r="X357" s="431" t="s">
        <v>50</v>
      </c>
      <c r="Y357" s="448"/>
    </row>
    <row r="358" spans="1:25" x14ac:dyDescent="0.25">
      <c r="A358" s="443">
        <v>43495</v>
      </c>
      <c r="B358" s="51" t="s">
        <v>87</v>
      </c>
      <c r="C358" s="51" t="s">
        <v>845</v>
      </c>
      <c r="D358" s="51">
        <v>38.270899999999997</v>
      </c>
      <c r="E358" s="51">
        <v>-121.70473</v>
      </c>
      <c r="F358" s="51" t="s">
        <v>5128</v>
      </c>
      <c r="G358" s="51" t="s">
        <v>90</v>
      </c>
      <c r="H358" s="51" t="s">
        <v>126</v>
      </c>
      <c r="I358" s="66">
        <v>0.38125000000000003</v>
      </c>
      <c r="J358" s="428">
        <v>294.92499999999995</v>
      </c>
      <c r="K358" s="428">
        <v>11.725000000000001</v>
      </c>
      <c r="L358" s="428">
        <v>24.25</v>
      </c>
      <c r="M358" s="428">
        <v>0.46749999999999997</v>
      </c>
      <c r="N358" s="428">
        <v>3.55</v>
      </c>
      <c r="O358" s="51" t="s">
        <v>48</v>
      </c>
      <c r="P358" s="51">
        <v>4</v>
      </c>
      <c r="Q358" s="51">
        <v>10</v>
      </c>
      <c r="R358" s="51" t="s">
        <v>64</v>
      </c>
      <c r="S358" s="51" t="s">
        <v>50</v>
      </c>
      <c r="T358" s="51" t="s">
        <v>50</v>
      </c>
      <c r="U358" s="51" t="s">
        <v>50</v>
      </c>
      <c r="V358" s="51" t="s">
        <v>50</v>
      </c>
      <c r="W358" s="51" t="s">
        <v>50</v>
      </c>
      <c r="X358" s="51" t="s">
        <v>50</v>
      </c>
      <c r="Y358" s="52" t="s">
        <v>5129</v>
      </c>
    </row>
    <row r="359" spans="1:25" s="437" customFormat="1" x14ac:dyDescent="0.25">
      <c r="A359" s="476">
        <v>43495</v>
      </c>
      <c r="B359" s="437" t="s">
        <v>87</v>
      </c>
      <c r="C359" s="437" t="s">
        <v>845</v>
      </c>
      <c r="D359" s="437">
        <v>38.247</v>
      </c>
      <c r="E359" s="437">
        <v>-121.67662</v>
      </c>
      <c r="F359" s="437" t="s">
        <v>5130</v>
      </c>
      <c r="G359" s="437" t="s">
        <v>90</v>
      </c>
      <c r="H359" s="437" t="s">
        <v>126</v>
      </c>
      <c r="I359" s="438">
        <v>0.44236111111111115</v>
      </c>
      <c r="J359" s="439">
        <v>202.4</v>
      </c>
      <c r="K359" s="439">
        <v>11.200000000000001</v>
      </c>
      <c r="L359" s="439">
        <v>26.924999999999997</v>
      </c>
      <c r="M359" s="439">
        <v>0.4325</v>
      </c>
      <c r="N359" s="439">
        <v>11.25</v>
      </c>
      <c r="O359" s="437" t="s">
        <v>48</v>
      </c>
      <c r="P359" s="437">
        <v>4</v>
      </c>
      <c r="Q359" s="437">
        <v>10</v>
      </c>
      <c r="R359" s="437" t="s">
        <v>64</v>
      </c>
      <c r="S359" s="437" t="s">
        <v>702</v>
      </c>
      <c r="T359" s="437">
        <v>1</v>
      </c>
      <c r="U359" s="437">
        <v>40</v>
      </c>
      <c r="V359" s="437" t="s">
        <v>50</v>
      </c>
      <c r="W359" s="437">
        <v>2</v>
      </c>
      <c r="X359" s="437" t="s">
        <v>50</v>
      </c>
      <c r="Y359" s="440" t="s">
        <v>5131</v>
      </c>
    </row>
    <row r="360" spans="1:25" s="424" customFormat="1" x14ac:dyDescent="0.25">
      <c r="A360" s="446">
        <v>43495</v>
      </c>
      <c r="B360" s="424" t="s">
        <v>87</v>
      </c>
      <c r="C360" s="424" t="s">
        <v>845</v>
      </c>
      <c r="D360" s="424">
        <v>38.290559999999999</v>
      </c>
      <c r="E360" s="424">
        <v>-121.72539999999999</v>
      </c>
      <c r="F360" s="424" t="s">
        <v>5132</v>
      </c>
      <c r="G360" s="424" t="s">
        <v>90</v>
      </c>
      <c r="H360" s="424" t="s">
        <v>126</v>
      </c>
      <c r="I360" s="425">
        <v>0.4291666666666667</v>
      </c>
      <c r="J360" s="427" t="s">
        <v>50</v>
      </c>
      <c r="K360" s="427" t="s">
        <v>50</v>
      </c>
      <c r="L360" s="427" t="s">
        <v>50</v>
      </c>
      <c r="M360" s="427" t="s">
        <v>50</v>
      </c>
      <c r="N360" s="427" t="s">
        <v>50</v>
      </c>
      <c r="O360" s="424" t="s">
        <v>48</v>
      </c>
      <c r="P360" s="424">
        <v>0</v>
      </c>
      <c r="Q360" s="424" t="s">
        <v>50</v>
      </c>
      <c r="R360" s="424" t="s">
        <v>50</v>
      </c>
      <c r="S360" s="424" t="s">
        <v>50</v>
      </c>
      <c r="T360" s="424" t="s">
        <v>50</v>
      </c>
      <c r="U360" s="424" t="s">
        <v>50</v>
      </c>
      <c r="V360" s="424" t="s">
        <v>50</v>
      </c>
      <c r="W360" s="424" t="s">
        <v>50</v>
      </c>
      <c r="X360" s="424" t="s">
        <v>50</v>
      </c>
      <c r="Y360" s="426" t="s">
        <v>4960</v>
      </c>
    </row>
    <row r="361" spans="1:25" x14ac:dyDescent="0.25">
      <c r="A361" s="443">
        <v>43495</v>
      </c>
      <c r="B361" s="51" t="s">
        <v>87</v>
      </c>
      <c r="C361" s="51" t="s">
        <v>44</v>
      </c>
      <c r="D361" s="51">
        <v>38.037379999999999</v>
      </c>
      <c r="E361" s="51">
        <v>-121.5917</v>
      </c>
      <c r="F361" s="51" t="s">
        <v>5133</v>
      </c>
      <c r="G361" s="51" t="s">
        <v>46</v>
      </c>
      <c r="H361" s="51" t="s">
        <v>47</v>
      </c>
      <c r="I361" s="66">
        <v>0.35000000000000003</v>
      </c>
      <c r="J361" s="428">
        <v>201.47500000000002</v>
      </c>
      <c r="K361" s="428">
        <v>11.25</v>
      </c>
      <c r="L361" s="428">
        <v>17.824999999999999</v>
      </c>
      <c r="M361" s="428">
        <v>0.70500000000000007</v>
      </c>
      <c r="N361" s="428">
        <v>2.7</v>
      </c>
      <c r="O361" s="51" t="s">
        <v>48</v>
      </c>
      <c r="P361" s="51">
        <v>4</v>
      </c>
      <c r="Q361" s="51">
        <v>10</v>
      </c>
      <c r="R361" s="51" t="s">
        <v>64</v>
      </c>
      <c r="S361" s="51" t="s">
        <v>50</v>
      </c>
      <c r="T361" s="51" t="s">
        <v>50</v>
      </c>
      <c r="U361" s="51" t="s">
        <v>50</v>
      </c>
      <c r="V361" s="51" t="s">
        <v>50</v>
      </c>
      <c r="W361" s="51" t="s">
        <v>50</v>
      </c>
      <c r="X361" s="51" t="s">
        <v>50</v>
      </c>
      <c r="Y361" s="52" t="s">
        <v>5134</v>
      </c>
    </row>
    <row r="362" spans="1:25" x14ac:dyDescent="0.25">
      <c r="A362" s="443">
        <v>43495</v>
      </c>
      <c r="B362" s="51" t="s">
        <v>87</v>
      </c>
      <c r="C362" s="51" t="s">
        <v>44</v>
      </c>
      <c r="D362" s="51">
        <v>38.04889</v>
      </c>
      <c r="E362" s="51">
        <v>-121.59072999999999</v>
      </c>
      <c r="F362" s="51" t="s">
        <v>5135</v>
      </c>
      <c r="G362" s="51" t="s">
        <v>46</v>
      </c>
      <c r="H362" s="51" t="s">
        <v>47</v>
      </c>
      <c r="I362" s="66">
        <v>0.40486111111111112</v>
      </c>
      <c r="J362" s="428">
        <v>189.54999999999998</v>
      </c>
      <c r="K362" s="428">
        <v>11.125</v>
      </c>
      <c r="L362" s="428">
        <v>18.100000000000001</v>
      </c>
      <c r="M362" s="428">
        <v>0.71750000000000003</v>
      </c>
      <c r="N362" s="428">
        <v>2.7250000000000005</v>
      </c>
      <c r="O362" s="51" t="s">
        <v>48</v>
      </c>
      <c r="P362" s="51">
        <v>4</v>
      </c>
      <c r="Q362" s="51">
        <v>10</v>
      </c>
      <c r="R362" s="51" t="s">
        <v>64</v>
      </c>
      <c r="S362" s="51" t="s">
        <v>50</v>
      </c>
      <c r="T362" s="51" t="s">
        <v>50</v>
      </c>
      <c r="U362" s="51" t="s">
        <v>50</v>
      </c>
      <c r="V362" s="51" t="s">
        <v>50</v>
      </c>
      <c r="W362" s="51" t="s">
        <v>50</v>
      </c>
      <c r="X362" s="51" t="s">
        <v>50</v>
      </c>
      <c r="Y362" s="52" t="s">
        <v>5136</v>
      </c>
    </row>
    <row r="363" spans="1:25" x14ac:dyDescent="0.25">
      <c r="A363" s="443">
        <v>43495</v>
      </c>
      <c r="B363" s="51" t="s">
        <v>87</v>
      </c>
      <c r="C363" s="51" t="s">
        <v>44</v>
      </c>
      <c r="D363" s="51">
        <v>38.040120000000002</v>
      </c>
      <c r="E363" s="51">
        <v>-121.62734</v>
      </c>
      <c r="F363" s="51" t="s">
        <v>5137</v>
      </c>
      <c r="G363" s="51" t="s">
        <v>46</v>
      </c>
      <c r="H363" s="51" t="s">
        <v>47</v>
      </c>
      <c r="I363" s="66">
        <v>0.46319444444444446</v>
      </c>
      <c r="J363" s="428">
        <v>183</v>
      </c>
      <c r="K363" s="428">
        <v>11.25</v>
      </c>
      <c r="L363" s="428">
        <v>21.8</v>
      </c>
      <c r="M363" s="428">
        <v>0.57999999999999996</v>
      </c>
      <c r="N363" s="428">
        <v>6.8000000000000007</v>
      </c>
      <c r="O363" s="51" t="s">
        <v>48</v>
      </c>
      <c r="P363" s="51">
        <v>4</v>
      </c>
      <c r="Q363" s="51">
        <v>10</v>
      </c>
      <c r="R363" s="51" t="s">
        <v>49</v>
      </c>
      <c r="S363" s="51" t="s">
        <v>50</v>
      </c>
      <c r="T363" s="51" t="s">
        <v>50</v>
      </c>
      <c r="U363" s="51" t="s">
        <v>50</v>
      </c>
      <c r="V363" s="51" t="s">
        <v>50</v>
      </c>
      <c r="W363" s="51" t="s">
        <v>50</v>
      </c>
      <c r="X363" s="51" t="s">
        <v>50</v>
      </c>
    </row>
    <row r="364" spans="1:25" s="437" customFormat="1" x14ac:dyDescent="0.25">
      <c r="A364" s="476">
        <v>43495</v>
      </c>
      <c r="B364" s="437" t="s">
        <v>87</v>
      </c>
      <c r="C364" s="437" t="s">
        <v>78</v>
      </c>
      <c r="D364" s="437">
        <v>38.071770000000001</v>
      </c>
      <c r="E364" s="437">
        <v>-121.99921999999999</v>
      </c>
      <c r="F364" s="437" t="s">
        <v>5138</v>
      </c>
      <c r="G364" s="437" t="s">
        <v>27</v>
      </c>
      <c r="H364" s="437" t="s">
        <v>86</v>
      </c>
      <c r="I364" s="438">
        <v>0.36458333333333331</v>
      </c>
      <c r="J364" s="439">
        <v>1271.25</v>
      </c>
      <c r="K364" s="439">
        <v>11.025</v>
      </c>
      <c r="L364" s="439">
        <v>57.55</v>
      </c>
      <c r="M364" s="439">
        <v>0.215</v>
      </c>
      <c r="N364" s="439">
        <v>4.7750000000000004</v>
      </c>
      <c r="O364" s="437" t="s">
        <v>48</v>
      </c>
      <c r="P364" s="437">
        <v>4</v>
      </c>
      <c r="Q364" s="437">
        <v>10</v>
      </c>
      <c r="R364" s="437" t="s">
        <v>64</v>
      </c>
      <c r="S364" s="437" t="s">
        <v>31</v>
      </c>
      <c r="T364" s="437">
        <v>14</v>
      </c>
      <c r="U364" s="437" t="s">
        <v>5139</v>
      </c>
      <c r="V364" s="437" t="s">
        <v>66</v>
      </c>
      <c r="W364" s="437" t="s">
        <v>50</v>
      </c>
      <c r="X364" s="437" t="s">
        <v>50</v>
      </c>
      <c r="Y364" s="440"/>
    </row>
    <row r="365" spans="1:25" s="437" customFormat="1" x14ac:dyDescent="0.25">
      <c r="A365" s="476">
        <v>43495</v>
      </c>
      <c r="B365" s="437" t="s">
        <v>87</v>
      </c>
      <c r="C365" s="437" t="s">
        <v>78</v>
      </c>
      <c r="D365" s="437">
        <v>38.053289999999997</v>
      </c>
      <c r="E365" s="437">
        <v>-121.97110000000001</v>
      </c>
      <c r="F365" s="437" t="s">
        <v>5140</v>
      </c>
      <c r="G365" s="437" t="s">
        <v>27</v>
      </c>
      <c r="H365" s="437" t="s">
        <v>170</v>
      </c>
      <c r="I365" s="438">
        <v>0.41111111111111115</v>
      </c>
      <c r="J365" s="439">
        <v>1736.5</v>
      </c>
      <c r="K365" s="439">
        <v>11.149999999999999</v>
      </c>
      <c r="L365" s="439">
        <v>42.849999999999994</v>
      </c>
      <c r="M365" s="439">
        <v>0.27</v>
      </c>
      <c r="N365" s="439">
        <v>7.2</v>
      </c>
      <c r="O365" s="437" t="s">
        <v>48</v>
      </c>
      <c r="P365" s="437">
        <v>4</v>
      </c>
      <c r="Q365" s="437">
        <v>10</v>
      </c>
      <c r="R365" s="437" t="s">
        <v>64</v>
      </c>
      <c r="S365" s="437" t="s">
        <v>31</v>
      </c>
      <c r="T365" s="437">
        <v>3</v>
      </c>
      <c r="U365" s="437" t="s">
        <v>5141</v>
      </c>
      <c r="V365" s="437" t="s">
        <v>66</v>
      </c>
      <c r="W365" s="437" t="s">
        <v>50</v>
      </c>
      <c r="X365" s="437" t="s">
        <v>50</v>
      </c>
      <c r="Y365" s="440" t="s">
        <v>3642</v>
      </c>
    </row>
    <row r="366" spans="1:25" s="54" customFormat="1" x14ac:dyDescent="0.25">
      <c r="A366" s="457">
        <v>43495</v>
      </c>
      <c r="B366" s="54" t="s">
        <v>87</v>
      </c>
      <c r="C366" s="54" t="s">
        <v>78</v>
      </c>
      <c r="D366" s="54">
        <v>38.076050000000002</v>
      </c>
      <c r="E366" s="54">
        <v>-122.09854</v>
      </c>
      <c r="F366" s="54" t="s">
        <v>5142</v>
      </c>
      <c r="G366" s="54" t="s">
        <v>80</v>
      </c>
      <c r="H366" s="54" t="s">
        <v>81</v>
      </c>
      <c r="I366" s="55">
        <v>0.49305555555555558</v>
      </c>
      <c r="J366" s="456">
        <v>7771</v>
      </c>
      <c r="K366" s="456">
        <v>11.850000000000001</v>
      </c>
      <c r="L366" s="456">
        <v>41.125</v>
      </c>
      <c r="M366" s="456">
        <v>0.255</v>
      </c>
      <c r="N366" s="456">
        <v>6.4750000000000005</v>
      </c>
      <c r="O366" s="54" t="s">
        <v>48</v>
      </c>
      <c r="P366" s="54">
        <v>4</v>
      </c>
      <c r="Q366" s="54">
        <v>10</v>
      </c>
      <c r="R366" s="54" t="s">
        <v>49</v>
      </c>
      <c r="S366" s="54" t="s">
        <v>50</v>
      </c>
      <c r="T366" s="54" t="s">
        <v>50</v>
      </c>
      <c r="U366" s="54" t="s">
        <v>50</v>
      </c>
      <c r="V366" s="54" t="s">
        <v>50</v>
      </c>
      <c r="W366" s="54" t="s">
        <v>50</v>
      </c>
      <c r="X366" s="54" t="s">
        <v>50</v>
      </c>
      <c r="Y366" s="67"/>
    </row>
    <row r="367" spans="1:25" s="437" customFormat="1" x14ac:dyDescent="0.25">
      <c r="A367" s="476">
        <v>43495</v>
      </c>
      <c r="B367" s="437" t="s">
        <v>87</v>
      </c>
      <c r="C367" s="437" t="s">
        <v>118</v>
      </c>
      <c r="D367" s="437">
        <v>38.038800000000002</v>
      </c>
      <c r="E367" s="437">
        <v>-122.29212</v>
      </c>
      <c r="F367" s="437" t="s">
        <v>5143</v>
      </c>
      <c r="G367" s="437" t="s">
        <v>80</v>
      </c>
      <c r="H367" s="437" t="s">
        <v>123</v>
      </c>
      <c r="I367" s="438">
        <v>0.56597222222222221</v>
      </c>
      <c r="J367" s="439">
        <v>24731.5</v>
      </c>
      <c r="K367" s="439">
        <v>12.4</v>
      </c>
      <c r="L367" s="439">
        <v>30.224999999999998</v>
      </c>
      <c r="M367" s="439">
        <v>0.42499999999999999</v>
      </c>
      <c r="N367" s="439">
        <v>2.5249999999999999</v>
      </c>
      <c r="O367" s="437" t="s">
        <v>48</v>
      </c>
      <c r="P367" s="437">
        <v>4</v>
      </c>
      <c r="Q367" s="437">
        <v>10</v>
      </c>
      <c r="R367" s="437" t="s">
        <v>49</v>
      </c>
      <c r="S367" s="437" t="s">
        <v>31</v>
      </c>
      <c r="T367" s="437">
        <v>2</v>
      </c>
      <c r="U367" s="437" t="s">
        <v>5144</v>
      </c>
      <c r="V367" s="437" t="s">
        <v>66</v>
      </c>
      <c r="W367" s="437" t="s">
        <v>50</v>
      </c>
      <c r="X367" s="437" t="s">
        <v>50</v>
      </c>
      <c r="Y367" s="440" t="s">
        <v>3642</v>
      </c>
    </row>
    <row r="368" spans="1:25" s="431" customFormat="1" x14ac:dyDescent="0.25">
      <c r="A368" s="447">
        <v>43496</v>
      </c>
      <c r="B368" s="431" t="s">
        <v>105</v>
      </c>
      <c r="C368" s="431" t="s">
        <v>106</v>
      </c>
      <c r="D368" s="431">
        <v>38.222650000000002</v>
      </c>
      <c r="E368" s="431">
        <v>-121.67433</v>
      </c>
      <c r="F368" s="431" t="s">
        <v>5145</v>
      </c>
      <c r="G368" s="431" t="s">
        <v>90</v>
      </c>
      <c r="H368" s="431" t="s">
        <v>362</v>
      </c>
      <c r="I368" s="432">
        <v>0.33333333333333331</v>
      </c>
      <c r="J368" s="433">
        <v>246.95</v>
      </c>
      <c r="K368" s="433">
        <v>11.75</v>
      </c>
      <c r="L368" s="433">
        <v>24.95</v>
      </c>
      <c r="M368" s="433">
        <v>0.54500000000000004</v>
      </c>
      <c r="N368" s="433">
        <v>13.45</v>
      </c>
      <c r="O368" s="431" t="s">
        <v>48</v>
      </c>
      <c r="P368" s="431">
        <v>2</v>
      </c>
      <c r="Q368" s="431">
        <v>10</v>
      </c>
      <c r="R368" s="431" t="s">
        <v>64</v>
      </c>
      <c r="S368" s="431" t="s">
        <v>323</v>
      </c>
      <c r="T368" s="431">
        <v>1</v>
      </c>
      <c r="U368" s="431">
        <v>72</v>
      </c>
      <c r="V368" s="431" t="s">
        <v>66</v>
      </c>
      <c r="W368" s="431" t="s">
        <v>50</v>
      </c>
      <c r="X368" s="431" t="s">
        <v>50</v>
      </c>
      <c r="Y368" s="448"/>
    </row>
    <row r="369" spans="1:25" s="437" customFormat="1" x14ac:dyDescent="0.25">
      <c r="A369" s="476">
        <v>43496</v>
      </c>
      <c r="B369" s="437" t="s">
        <v>105</v>
      </c>
      <c r="C369" s="437" t="s">
        <v>106</v>
      </c>
      <c r="D369" s="437">
        <v>38.261479999999999</v>
      </c>
      <c r="E369" s="437">
        <v>-121.66576000000001</v>
      </c>
      <c r="F369" s="437" t="s">
        <v>5146</v>
      </c>
      <c r="G369" s="437" t="s">
        <v>90</v>
      </c>
      <c r="H369" s="437" t="s">
        <v>362</v>
      </c>
      <c r="I369" s="438">
        <v>0.36944444444444446</v>
      </c>
      <c r="J369" s="439">
        <v>219.45</v>
      </c>
      <c r="K369" s="439">
        <v>11.25</v>
      </c>
      <c r="L369" s="439">
        <v>30.85</v>
      </c>
      <c r="M369" s="439">
        <v>0.495</v>
      </c>
      <c r="N369" s="439">
        <v>11.45</v>
      </c>
      <c r="O369" s="437" t="s">
        <v>48</v>
      </c>
      <c r="P369" s="437">
        <v>2</v>
      </c>
      <c r="Q369" s="437">
        <v>10</v>
      </c>
      <c r="R369" s="437" t="s">
        <v>64</v>
      </c>
      <c r="S369" s="437" t="s">
        <v>702</v>
      </c>
      <c r="T369" s="437">
        <v>1</v>
      </c>
      <c r="U369" s="437">
        <v>38</v>
      </c>
      <c r="V369" s="437" t="s">
        <v>50</v>
      </c>
      <c r="W369" s="437">
        <v>2</v>
      </c>
      <c r="X369" s="437" t="s">
        <v>50</v>
      </c>
      <c r="Y369" s="440"/>
    </row>
    <row r="370" spans="1:25" s="431" customFormat="1" x14ac:dyDescent="0.25">
      <c r="A370" s="447">
        <v>43496</v>
      </c>
      <c r="B370" s="431" t="s">
        <v>105</v>
      </c>
      <c r="C370" s="431" t="s">
        <v>106</v>
      </c>
      <c r="D370" s="431">
        <v>38.261479999999999</v>
      </c>
      <c r="E370" s="431">
        <v>-121.66576000000001</v>
      </c>
      <c r="F370" s="431" t="s">
        <v>5146</v>
      </c>
      <c r="G370" s="431" t="s">
        <v>90</v>
      </c>
      <c r="H370" s="431" t="s">
        <v>362</v>
      </c>
      <c r="I370" s="432">
        <v>0.36944444444444446</v>
      </c>
      <c r="J370" s="433"/>
      <c r="K370" s="433"/>
      <c r="L370" s="433"/>
      <c r="M370" s="433"/>
      <c r="N370" s="433"/>
      <c r="S370" s="431" t="s">
        <v>323</v>
      </c>
      <c r="T370" s="431">
        <v>1</v>
      </c>
      <c r="U370" s="431">
        <v>62</v>
      </c>
      <c r="V370" s="431" t="s">
        <v>66</v>
      </c>
      <c r="W370" s="431" t="s">
        <v>50</v>
      </c>
      <c r="X370" s="431" t="s">
        <v>50</v>
      </c>
      <c r="Y370" s="448"/>
    </row>
    <row r="371" spans="1:25" s="437" customFormat="1" x14ac:dyDescent="0.25">
      <c r="A371" s="476">
        <v>43496</v>
      </c>
      <c r="B371" s="437" t="s">
        <v>105</v>
      </c>
      <c r="C371" s="437" t="s">
        <v>106</v>
      </c>
      <c r="D371" s="437">
        <v>38.351309999999998</v>
      </c>
      <c r="E371" s="437">
        <v>-121.64024999999999</v>
      </c>
      <c r="F371" s="437" t="s">
        <v>5147</v>
      </c>
      <c r="G371" s="437" t="s">
        <v>90</v>
      </c>
      <c r="H371" s="437" t="s">
        <v>362</v>
      </c>
      <c r="I371" s="438">
        <v>0.41875000000000001</v>
      </c>
      <c r="J371" s="439">
        <v>308.8</v>
      </c>
      <c r="K371" s="439">
        <v>10.9</v>
      </c>
      <c r="L371" s="439">
        <v>54.5</v>
      </c>
      <c r="M371" s="439">
        <v>0.30499999999999999</v>
      </c>
      <c r="N371" s="439">
        <v>11.8</v>
      </c>
      <c r="O371" s="437" t="s">
        <v>48</v>
      </c>
      <c r="P371" s="437">
        <v>2</v>
      </c>
      <c r="Q371" s="437">
        <v>10</v>
      </c>
      <c r="R371" s="437" t="s">
        <v>64</v>
      </c>
      <c r="S371" s="437" t="s">
        <v>702</v>
      </c>
      <c r="T371" s="437">
        <v>4</v>
      </c>
      <c r="U371" s="437" t="s">
        <v>5148</v>
      </c>
      <c r="V371" s="437" t="s">
        <v>50</v>
      </c>
      <c r="W371" s="437">
        <v>2</v>
      </c>
      <c r="X371" s="437" t="s">
        <v>50</v>
      </c>
      <c r="Y371" s="440" t="s">
        <v>5149</v>
      </c>
    </row>
    <row r="372" spans="1:25" s="437" customFormat="1" x14ac:dyDescent="0.25">
      <c r="A372" s="476">
        <v>43496</v>
      </c>
      <c r="B372" s="437" t="s">
        <v>105</v>
      </c>
      <c r="C372" s="437" t="s">
        <v>106</v>
      </c>
      <c r="D372" s="437">
        <v>38.351309999999998</v>
      </c>
      <c r="E372" s="437">
        <v>-121.64024999999999</v>
      </c>
      <c r="F372" s="437" t="s">
        <v>5147</v>
      </c>
      <c r="G372" s="437" t="s">
        <v>90</v>
      </c>
      <c r="H372" s="437" t="s">
        <v>362</v>
      </c>
      <c r="I372" s="438">
        <v>0.41875000000000001</v>
      </c>
      <c r="J372" s="439"/>
      <c r="K372" s="439"/>
      <c r="L372" s="439"/>
      <c r="M372" s="439"/>
      <c r="N372" s="439"/>
      <c r="S372" s="437" t="s">
        <v>622</v>
      </c>
      <c r="T372" s="437">
        <v>1</v>
      </c>
      <c r="U372" s="437">
        <v>234</v>
      </c>
      <c r="V372" s="437" t="s">
        <v>50</v>
      </c>
      <c r="W372" s="437">
        <v>5</v>
      </c>
      <c r="X372" s="437" t="s">
        <v>2525</v>
      </c>
      <c r="Y372" s="440"/>
    </row>
    <row r="373" spans="1:25" s="431" customFormat="1" x14ac:dyDescent="0.25">
      <c r="A373" s="447">
        <v>43496</v>
      </c>
      <c r="B373" s="431" t="s">
        <v>105</v>
      </c>
      <c r="C373" s="431" t="s">
        <v>106</v>
      </c>
      <c r="D373" s="431">
        <v>38.351309999999998</v>
      </c>
      <c r="E373" s="431">
        <v>-121.64024999999999</v>
      </c>
      <c r="F373" s="431" t="s">
        <v>5147</v>
      </c>
      <c r="G373" s="431" t="s">
        <v>90</v>
      </c>
      <c r="H373" s="431" t="s">
        <v>362</v>
      </c>
      <c r="I373" s="432">
        <v>0.41875000000000001</v>
      </c>
      <c r="J373" s="433"/>
      <c r="K373" s="433"/>
      <c r="L373" s="433"/>
      <c r="M373" s="433"/>
      <c r="N373" s="433"/>
      <c r="S373" s="431" t="s">
        <v>323</v>
      </c>
      <c r="T373" s="431">
        <v>1</v>
      </c>
      <c r="U373" s="431">
        <v>63</v>
      </c>
      <c r="V373" s="431" t="s">
        <v>66</v>
      </c>
      <c r="W373" s="431" t="s">
        <v>50</v>
      </c>
      <c r="X373" s="431" t="s">
        <v>50</v>
      </c>
      <c r="Y373" s="448"/>
    </row>
    <row r="374" spans="1:25" s="431" customFormat="1" x14ac:dyDescent="0.25">
      <c r="A374" s="447">
        <v>43496</v>
      </c>
      <c r="B374" s="431" t="s">
        <v>105</v>
      </c>
      <c r="C374" s="431" t="s">
        <v>106</v>
      </c>
      <c r="D374" s="431">
        <v>38.48612</v>
      </c>
      <c r="E374" s="431">
        <v>-121.58452</v>
      </c>
      <c r="F374" s="431" t="s">
        <v>5150</v>
      </c>
      <c r="G374" s="431" t="s">
        <v>90</v>
      </c>
      <c r="H374" s="431" t="s">
        <v>1787</v>
      </c>
      <c r="I374" s="432">
        <v>0.4694444444444445</v>
      </c>
      <c r="J374" s="433">
        <v>586</v>
      </c>
      <c r="K374" s="433">
        <v>11.25</v>
      </c>
      <c r="L374" s="433">
        <v>26.7</v>
      </c>
      <c r="M374" s="433">
        <v>0.4425</v>
      </c>
      <c r="N374" s="433">
        <v>11.632999999999999</v>
      </c>
      <c r="O374" s="431" t="s">
        <v>48</v>
      </c>
      <c r="P374" s="431">
        <v>4</v>
      </c>
      <c r="Q374" s="431">
        <v>10</v>
      </c>
      <c r="R374" s="431" t="s">
        <v>64</v>
      </c>
      <c r="S374" s="431" t="s">
        <v>323</v>
      </c>
      <c r="T374" s="431">
        <v>1</v>
      </c>
      <c r="U374" s="431">
        <v>60</v>
      </c>
      <c r="V374" s="431" t="s">
        <v>66</v>
      </c>
      <c r="W374" s="431" t="s">
        <v>50</v>
      </c>
      <c r="X374" s="431" t="s">
        <v>50</v>
      </c>
      <c r="Y374" s="448" t="s">
        <v>5151</v>
      </c>
    </row>
    <row r="375" spans="1:25" x14ac:dyDescent="0.25">
      <c r="A375" s="443">
        <v>43496</v>
      </c>
      <c r="B375" s="51" t="s">
        <v>105</v>
      </c>
      <c r="C375" s="51" t="s">
        <v>44</v>
      </c>
      <c r="D375" s="51">
        <v>38.00271</v>
      </c>
      <c r="E375" s="51">
        <v>-121.52522999999999</v>
      </c>
      <c r="F375" s="51" t="s">
        <v>5152</v>
      </c>
      <c r="G375" s="51" t="s">
        <v>46</v>
      </c>
      <c r="H375" s="51" t="s">
        <v>59</v>
      </c>
      <c r="I375" s="66">
        <v>0.31944444444444448</v>
      </c>
      <c r="J375" s="428">
        <v>231.95</v>
      </c>
      <c r="K375" s="428">
        <v>11.6</v>
      </c>
      <c r="L375" s="428">
        <v>13.55</v>
      </c>
      <c r="M375" s="428">
        <v>0.89249999999999996</v>
      </c>
      <c r="N375" s="428">
        <v>7.55</v>
      </c>
      <c r="O375" s="51" t="s">
        <v>48</v>
      </c>
      <c r="P375" s="51">
        <v>4</v>
      </c>
      <c r="Q375" s="51">
        <v>10</v>
      </c>
      <c r="R375" s="51" t="s">
        <v>64</v>
      </c>
      <c r="S375" s="51" t="s">
        <v>50</v>
      </c>
      <c r="T375" s="51" t="s">
        <v>50</v>
      </c>
      <c r="U375" s="51" t="s">
        <v>50</v>
      </c>
      <c r="V375" s="51" t="s">
        <v>50</v>
      </c>
      <c r="W375" s="51" t="s">
        <v>50</v>
      </c>
      <c r="X375" s="51" t="s">
        <v>50</v>
      </c>
      <c r="Y375" s="52" t="s">
        <v>5153</v>
      </c>
    </row>
    <row r="376" spans="1:25" s="461" customFormat="1" x14ac:dyDescent="0.25">
      <c r="A376" s="460">
        <v>43496</v>
      </c>
      <c r="B376" s="461" t="s">
        <v>105</v>
      </c>
      <c r="C376" s="461" t="s">
        <v>44</v>
      </c>
      <c r="D376" s="461">
        <v>37.782769999999999</v>
      </c>
      <c r="E376" s="461">
        <v>-121.49061</v>
      </c>
      <c r="F376" s="461" t="s">
        <v>5154</v>
      </c>
      <c r="G376" s="461" t="s">
        <v>46</v>
      </c>
      <c r="H376" s="461" t="s">
        <v>376</v>
      </c>
      <c r="I376" s="462">
        <v>0.43194444444444446</v>
      </c>
      <c r="J376" s="463" t="s">
        <v>50</v>
      </c>
      <c r="K376" s="463" t="s">
        <v>50</v>
      </c>
      <c r="L376" s="463" t="s">
        <v>50</v>
      </c>
      <c r="M376" s="463" t="s">
        <v>50</v>
      </c>
      <c r="N376" s="463" t="s">
        <v>50</v>
      </c>
      <c r="O376" s="461" t="s">
        <v>48</v>
      </c>
      <c r="P376" s="461">
        <v>0</v>
      </c>
      <c r="Q376" s="461" t="s">
        <v>50</v>
      </c>
      <c r="R376" s="461" t="s">
        <v>50</v>
      </c>
      <c r="S376" s="461" t="s">
        <v>50</v>
      </c>
      <c r="T376" s="461" t="s">
        <v>50</v>
      </c>
      <c r="U376" s="461" t="s">
        <v>50</v>
      </c>
      <c r="V376" s="461" t="s">
        <v>50</v>
      </c>
      <c r="W376" s="461" t="s">
        <v>50</v>
      </c>
      <c r="X376" s="461" t="s">
        <v>50</v>
      </c>
      <c r="Y376" s="464" t="s">
        <v>4960</v>
      </c>
    </row>
    <row r="377" spans="1:25" x14ac:dyDescent="0.25">
      <c r="A377" s="443">
        <v>43496</v>
      </c>
      <c r="B377" s="51" t="s">
        <v>105</v>
      </c>
      <c r="C377" s="51" t="s">
        <v>44</v>
      </c>
      <c r="D377" s="51">
        <v>37.863230000000001</v>
      </c>
      <c r="E377" s="51">
        <v>-121.575</v>
      </c>
      <c r="F377" s="51" t="s">
        <v>5155</v>
      </c>
      <c r="G377" s="51" t="s">
        <v>46</v>
      </c>
      <c r="H377" s="51" t="s">
        <v>202</v>
      </c>
      <c r="I377" s="66">
        <v>0.44791666666666669</v>
      </c>
      <c r="J377" s="428">
        <v>329.9</v>
      </c>
      <c r="K377" s="428">
        <v>11.875</v>
      </c>
      <c r="L377" s="428">
        <v>8.93</v>
      </c>
      <c r="M377" s="428">
        <v>1.1299999999999999</v>
      </c>
      <c r="N377" s="428">
        <v>5.0750000000000002</v>
      </c>
      <c r="O377" s="51" t="s">
        <v>48</v>
      </c>
      <c r="P377" s="51">
        <v>4</v>
      </c>
      <c r="Q377" s="51">
        <v>10</v>
      </c>
      <c r="R377" s="51" t="s">
        <v>64</v>
      </c>
      <c r="S377" s="51" t="s">
        <v>50</v>
      </c>
      <c r="T377" s="51" t="s">
        <v>50</v>
      </c>
      <c r="U377" s="51" t="s">
        <v>50</v>
      </c>
      <c r="V377" s="51" t="s">
        <v>50</v>
      </c>
      <c r="W377" s="51" t="s">
        <v>50</v>
      </c>
      <c r="X377" s="51" t="s">
        <v>50</v>
      </c>
    </row>
    <row r="378" spans="1:25" x14ac:dyDescent="0.25">
      <c r="A378" s="443">
        <v>43496</v>
      </c>
      <c r="B378" s="51" t="s">
        <v>105</v>
      </c>
      <c r="C378" s="51" t="s">
        <v>118</v>
      </c>
      <c r="D378" s="51">
        <v>38.060870000000001</v>
      </c>
      <c r="E378" s="51">
        <v>-122.27737</v>
      </c>
      <c r="F378" s="51" t="s">
        <v>5156</v>
      </c>
      <c r="G378" s="51" t="s">
        <v>80</v>
      </c>
      <c r="H378" s="51" t="s">
        <v>123</v>
      </c>
      <c r="I378" s="66">
        <v>0.3</v>
      </c>
      <c r="J378" s="428">
        <v>15351</v>
      </c>
      <c r="K378" s="428">
        <v>12.074999999999999</v>
      </c>
      <c r="L378" s="428">
        <v>13.35</v>
      </c>
      <c r="M378" s="428">
        <v>0.625</v>
      </c>
      <c r="N378" s="428">
        <v>15.05</v>
      </c>
      <c r="O378" s="51" t="s">
        <v>48</v>
      </c>
      <c r="P378" s="51">
        <v>4</v>
      </c>
      <c r="Q378" s="51">
        <v>10</v>
      </c>
      <c r="R378" s="51" t="s">
        <v>64</v>
      </c>
      <c r="S378" s="51" t="s">
        <v>50</v>
      </c>
      <c r="T378" s="51" t="s">
        <v>50</v>
      </c>
      <c r="U378" s="51" t="s">
        <v>50</v>
      </c>
      <c r="V378" s="51" t="s">
        <v>50</v>
      </c>
      <c r="W378" s="51" t="s">
        <v>50</v>
      </c>
      <c r="X378" s="51" t="s">
        <v>50</v>
      </c>
      <c r="Y378" s="52" t="s">
        <v>5157</v>
      </c>
    </row>
    <row r="379" spans="1:25" x14ac:dyDescent="0.25">
      <c r="A379" s="443">
        <v>43496</v>
      </c>
      <c r="B379" s="51" t="s">
        <v>105</v>
      </c>
      <c r="C379" s="51" t="s">
        <v>118</v>
      </c>
      <c r="D379" s="51">
        <v>38.060490000000001</v>
      </c>
      <c r="E379" s="51">
        <v>-122.32207</v>
      </c>
      <c r="F379" s="51" t="s">
        <v>5158</v>
      </c>
      <c r="G379" s="51" t="s">
        <v>80</v>
      </c>
      <c r="H379" s="51" t="s">
        <v>123</v>
      </c>
      <c r="I379" s="66">
        <v>0.35694444444444445</v>
      </c>
      <c r="J379" s="428">
        <v>20380</v>
      </c>
      <c r="K379" s="428">
        <v>12.225</v>
      </c>
      <c r="L379" s="428">
        <v>10.725</v>
      </c>
      <c r="M379" s="428">
        <v>0.745</v>
      </c>
      <c r="N379" s="428">
        <v>5.45</v>
      </c>
      <c r="O379" s="51" t="s">
        <v>48</v>
      </c>
      <c r="P379" s="51">
        <v>4</v>
      </c>
      <c r="Q379" s="51">
        <v>10</v>
      </c>
      <c r="R379" s="51" t="s">
        <v>64</v>
      </c>
      <c r="S379" s="51" t="s">
        <v>50</v>
      </c>
      <c r="T379" s="51" t="s">
        <v>50</v>
      </c>
      <c r="U379" s="51" t="s">
        <v>50</v>
      </c>
      <c r="V379" s="51" t="s">
        <v>50</v>
      </c>
      <c r="W379" s="51" t="s">
        <v>50</v>
      </c>
      <c r="X379" s="51" t="s">
        <v>50</v>
      </c>
      <c r="Y379" s="52" t="s">
        <v>5159</v>
      </c>
    </row>
    <row r="380" spans="1:25" s="74" customFormat="1" x14ac:dyDescent="0.25">
      <c r="A380" s="444">
        <v>43496</v>
      </c>
      <c r="B380" s="74" t="s">
        <v>105</v>
      </c>
      <c r="C380" s="74" t="s">
        <v>118</v>
      </c>
      <c r="D380" s="74">
        <v>38.062130000000003</v>
      </c>
      <c r="E380" s="74">
        <v>-122.20587</v>
      </c>
      <c r="F380" s="478" t="s">
        <v>5160</v>
      </c>
      <c r="G380" s="74" t="s">
        <v>80</v>
      </c>
      <c r="H380" s="74" t="s">
        <v>120</v>
      </c>
      <c r="I380" s="73">
        <v>0.44722222222222219</v>
      </c>
      <c r="J380" s="445">
        <v>22001.25</v>
      </c>
      <c r="K380" s="445">
        <v>12.375</v>
      </c>
      <c r="L380" s="445">
        <v>12.425000000000001</v>
      </c>
      <c r="M380" s="445">
        <v>0.62</v>
      </c>
      <c r="N380" s="445">
        <v>22.975000000000001</v>
      </c>
      <c r="O380" s="74" t="s">
        <v>48</v>
      </c>
      <c r="P380" s="74">
        <v>4</v>
      </c>
      <c r="Q380" s="74">
        <v>10</v>
      </c>
      <c r="R380" s="74" t="s">
        <v>64</v>
      </c>
      <c r="S380" s="74" t="s">
        <v>50</v>
      </c>
      <c r="T380" s="74" t="s">
        <v>50</v>
      </c>
      <c r="U380" s="74" t="s">
        <v>50</v>
      </c>
      <c r="V380" s="74" t="s">
        <v>50</v>
      </c>
      <c r="W380" s="74" t="s">
        <v>50</v>
      </c>
      <c r="X380" s="74" t="s">
        <v>50</v>
      </c>
      <c r="Y380" s="77"/>
    </row>
    <row r="381" spans="1:25" x14ac:dyDescent="0.25">
      <c r="A381" s="443">
        <v>43500</v>
      </c>
      <c r="B381" s="51" t="s">
        <v>43</v>
      </c>
      <c r="C381" s="51" t="s">
        <v>95</v>
      </c>
      <c r="D381" s="51">
        <v>38.052079999999997</v>
      </c>
      <c r="E381" s="51">
        <v>-121.51922</v>
      </c>
      <c r="F381" s="51" t="s">
        <v>5161</v>
      </c>
      <c r="G381" s="51" t="s">
        <v>46</v>
      </c>
      <c r="H381" s="51" t="s">
        <v>115</v>
      </c>
      <c r="I381" s="66">
        <v>0.32083333333333336</v>
      </c>
      <c r="J381" s="428">
        <v>186.4</v>
      </c>
      <c r="K381" s="428">
        <v>11.35</v>
      </c>
      <c r="L381" s="428">
        <v>14.100000000000001</v>
      </c>
      <c r="M381" s="428">
        <v>0.79249999999999998</v>
      </c>
      <c r="N381" s="428">
        <v>9.0750000000000011</v>
      </c>
      <c r="O381" s="51" t="s">
        <v>48</v>
      </c>
      <c r="P381" s="51">
        <v>4</v>
      </c>
      <c r="Q381" s="51">
        <v>10</v>
      </c>
      <c r="R381" s="51" t="s">
        <v>49</v>
      </c>
      <c r="S381" s="51" t="s">
        <v>50</v>
      </c>
      <c r="T381" s="51" t="s">
        <v>50</v>
      </c>
      <c r="U381" s="51" t="s">
        <v>50</v>
      </c>
      <c r="V381" s="51" t="s">
        <v>50</v>
      </c>
      <c r="W381" s="51" t="s">
        <v>50</v>
      </c>
      <c r="X381" s="51" t="s">
        <v>50</v>
      </c>
    </row>
    <row r="382" spans="1:25" s="437" customFormat="1" x14ac:dyDescent="0.25">
      <c r="A382" s="476">
        <v>43500</v>
      </c>
      <c r="B382" s="437" t="s">
        <v>43</v>
      </c>
      <c r="C382" s="437" t="s">
        <v>95</v>
      </c>
      <c r="D382" s="437">
        <v>38.094799999999999</v>
      </c>
      <c r="E382" s="437">
        <v>-121.65058999999999</v>
      </c>
      <c r="F382" s="437" t="s">
        <v>5162</v>
      </c>
      <c r="G382" s="437" t="s">
        <v>46</v>
      </c>
      <c r="H382" s="437" t="s">
        <v>908</v>
      </c>
      <c r="I382" s="438">
        <v>0.38680555555555557</v>
      </c>
      <c r="J382" s="439">
        <v>176.27499999999998</v>
      </c>
      <c r="K382" s="439">
        <v>11.3</v>
      </c>
      <c r="L382" s="439">
        <v>25.75</v>
      </c>
      <c r="M382" s="439">
        <v>0.54499999999999993</v>
      </c>
      <c r="N382" s="439">
        <v>9.3249999999999993</v>
      </c>
      <c r="O382" s="437" t="s">
        <v>48</v>
      </c>
      <c r="P382" s="437">
        <v>4</v>
      </c>
      <c r="Q382" s="437">
        <v>10</v>
      </c>
      <c r="R382" s="437" t="s">
        <v>49</v>
      </c>
      <c r="S382" s="437" t="s">
        <v>758</v>
      </c>
      <c r="T382" s="437">
        <v>1</v>
      </c>
      <c r="U382" s="437">
        <v>94</v>
      </c>
      <c r="V382" s="437" t="s">
        <v>50</v>
      </c>
      <c r="W382" s="437">
        <v>4</v>
      </c>
      <c r="X382" s="437" t="s">
        <v>50</v>
      </c>
      <c r="Y382" s="440" t="s">
        <v>2973</v>
      </c>
    </row>
    <row r="383" spans="1:25" s="437" customFormat="1" x14ac:dyDescent="0.25">
      <c r="A383" s="476">
        <v>43500</v>
      </c>
      <c r="B383" s="437" t="s">
        <v>43</v>
      </c>
      <c r="C383" s="437" t="s">
        <v>95</v>
      </c>
      <c r="D383" s="437">
        <v>38.099379999999996</v>
      </c>
      <c r="E383" s="437">
        <v>-121.62965</v>
      </c>
      <c r="F383" s="437" t="s">
        <v>5163</v>
      </c>
      <c r="G383" s="437" t="s">
        <v>46</v>
      </c>
      <c r="H383" s="437" t="s">
        <v>908</v>
      </c>
      <c r="I383" s="438">
        <v>0.43402777777777773</v>
      </c>
      <c r="J383" s="439">
        <v>169.75</v>
      </c>
      <c r="K383" s="439">
        <v>11.3</v>
      </c>
      <c r="L383" s="439">
        <v>20.774999999999999</v>
      </c>
      <c r="M383" s="439">
        <v>0.63749999999999996</v>
      </c>
      <c r="N383" s="439">
        <v>12.05</v>
      </c>
      <c r="O383" s="437" t="s">
        <v>48</v>
      </c>
      <c r="P383" s="437">
        <v>4</v>
      </c>
      <c r="Q383" s="437">
        <v>10</v>
      </c>
      <c r="R383" s="437" t="s">
        <v>49</v>
      </c>
      <c r="S383" s="437" t="s">
        <v>758</v>
      </c>
      <c r="T383" s="437">
        <v>1</v>
      </c>
      <c r="U383" s="437">
        <v>121</v>
      </c>
      <c r="V383" s="437" t="s">
        <v>50</v>
      </c>
      <c r="W383" s="437">
        <v>4</v>
      </c>
      <c r="X383" s="437" t="s">
        <v>50</v>
      </c>
      <c r="Y383" s="440" t="s">
        <v>2973</v>
      </c>
    </row>
    <row r="384" spans="1:25" x14ac:dyDescent="0.25">
      <c r="A384" s="443">
        <v>43500</v>
      </c>
      <c r="B384" s="51" t="s">
        <v>43</v>
      </c>
      <c r="C384" s="51" t="s">
        <v>95</v>
      </c>
      <c r="D384" s="51">
        <v>38.104320000000001</v>
      </c>
      <c r="E384" s="51">
        <v>-121.60321</v>
      </c>
      <c r="F384" s="51" t="s">
        <v>5164</v>
      </c>
      <c r="G384" s="51" t="s">
        <v>46</v>
      </c>
      <c r="H384" s="51" t="s">
        <v>908</v>
      </c>
      <c r="I384" s="66">
        <v>0.48819444444444443</v>
      </c>
      <c r="J384" s="428">
        <v>169.52499999999998</v>
      </c>
      <c r="K384" s="428">
        <v>11.324999999999999</v>
      </c>
      <c r="L384" s="428">
        <v>19.2</v>
      </c>
      <c r="M384" s="428">
        <v>0.63</v>
      </c>
      <c r="N384" s="428">
        <v>10.875</v>
      </c>
      <c r="O384" s="51" t="s">
        <v>48</v>
      </c>
      <c r="P384" s="51">
        <v>4</v>
      </c>
      <c r="Q384" s="51">
        <v>10</v>
      </c>
      <c r="R384" s="51" t="s">
        <v>64</v>
      </c>
      <c r="S384" s="51" t="s">
        <v>50</v>
      </c>
      <c r="T384" s="51" t="s">
        <v>50</v>
      </c>
      <c r="U384" s="51" t="s">
        <v>50</v>
      </c>
      <c r="V384" s="51" t="s">
        <v>50</v>
      </c>
      <c r="W384" s="51" t="s">
        <v>50</v>
      </c>
      <c r="X384" s="51" t="s">
        <v>50</v>
      </c>
      <c r="Y384" s="52" t="s">
        <v>4929</v>
      </c>
    </row>
    <row r="385" spans="1:25" s="437" customFormat="1" x14ac:dyDescent="0.25">
      <c r="A385" s="476">
        <v>43500</v>
      </c>
      <c r="B385" s="437" t="s">
        <v>43</v>
      </c>
      <c r="C385" s="437" t="s">
        <v>845</v>
      </c>
      <c r="D385" s="437">
        <v>38.31521</v>
      </c>
      <c r="E385" s="437">
        <v>-121.69237</v>
      </c>
      <c r="F385" s="437" t="s">
        <v>5165</v>
      </c>
      <c r="G385" s="437" t="s">
        <v>90</v>
      </c>
      <c r="H385" s="437" t="s">
        <v>126</v>
      </c>
      <c r="I385" s="438">
        <v>0.34027777777777773</v>
      </c>
      <c r="J385" s="439">
        <v>365.47500000000002</v>
      </c>
      <c r="K385" s="439">
        <v>11.824999999999999</v>
      </c>
      <c r="L385" s="439">
        <v>24.650000000000002</v>
      </c>
      <c r="M385" s="439">
        <v>0.63</v>
      </c>
      <c r="N385" s="439">
        <v>5.2750000000000004</v>
      </c>
      <c r="O385" s="437" t="s">
        <v>48</v>
      </c>
      <c r="P385" s="437">
        <v>4</v>
      </c>
      <c r="Q385" s="437">
        <v>10</v>
      </c>
      <c r="R385" s="437" t="s">
        <v>49</v>
      </c>
      <c r="S385" s="437" t="s">
        <v>702</v>
      </c>
      <c r="T385" s="437">
        <v>1</v>
      </c>
      <c r="U385" s="437">
        <v>44</v>
      </c>
      <c r="V385" s="437" t="s">
        <v>50</v>
      </c>
      <c r="W385" s="437">
        <v>3</v>
      </c>
      <c r="X385" s="437" t="s">
        <v>50</v>
      </c>
      <c r="Y385" s="440"/>
    </row>
    <row r="386" spans="1:25" s="424" customFormat="1" x14ac:dyDescent="0.25">
      <c r="A386" s="446">
        <v>43500</v>
      </c>
      <c r="B386" s="424" t="s">
        <v>43</v>
      </c>
      <c r="C386" s="424" t="s">
        <v>845</v>
      </c>
      <c r="D386" s="424">
        <v>38.276119999999999</v>
      </c>
      <c r="E386" s="424">
        <v>-121.70744999999999</v>
      </c>
      <c r="F386" s="424" t="s">
        <v>5166</v>
      </c>
      <c r="G386" s="424" t="s">
        <v>90</v>
      </c>
      <c r="H386" s="424" t="s">
        <v>126</v>
      </c>
      <c r="I386" s="425">
        <v>0.39999999999999997</v>
      </c>
      <c r="J386" s="427" t="s">
        <v>50</v>
      </c>
      <c r="K386" s="427" t="s">
        <v>50</v>
      </c>
      <c r="L386" s="427" t="s">
        <v>50</v>
      </c>
      <c r="M386" s="427" t="s">
        <v>50</v>
      </c>
      <c r="N386" s="427" t="s">
        <v>50</v>
      </c>
      <c r="O386" s="424" t="s">
        <v>48</v>
      </c>
      <c r="P386" s="424">
        <v>0</v>
      </c>
      <c r="Q386" s="424" t="s">
        <v>50</v>
      </c>
      <c r="R386" s="424" t="s">
        <v>50</v>
      </c>
      <c r="S386" s="424" t="s">
        <v>50</v>
      </c>
      <c r="T386" s="424" t="s">
        <v>50</v>
      </c>
      <c r="U386" s="424" t="s">
        <v>50</v>
      </c>
      <c r="V386" s="424" t="s">
        <v>50</v>
      </c>
      <c r="W386" s="424" t="s">
        <v>50</v>
      </c>
      <c r="X386" s="424" t="s">
        <v>50</v>
      </c>
      <c r="Y386" s="426" t="s">
        <v>5167</v>
      </c>
    </row>
    <row r="387" spans="1:25" x14ac:dyDescent="0.25">
      <c r="A387" s="443">
        <v>43500</v>
      </c>
      <c r="B387" s="51" t="s">
        <v>43</v>
      </c>
      <c r="C387" s="51" t="s">
        <v>118</v>
      </c>
      <c r="D387" s="51">
        <v>38.084429999999998</v>
      </c>
      <c r="E387" s="51">
        <v>-122.25171</v>
      </c>
      <c r="F387" s="51" t="s">
        <v>5168</v>
      </c>
      <c r="G387" s="51" t="s">
        <v>80</v>
      </c>
      <c r="H387" s="51" t="s">
        <v>191</v>
      </c>
      <c r="I387" s="66">
        <v>0.36874999999999997</v>
      </c>
      <c r="J387" s="428">
        <v>11822.75</v>
      </c>
      <c r="K387" s="428">
        <v>12.1</v>
      </c>
      <c r="L387" s="428">
        <v>32.025000000000006</v>
      </c>
      <c r="M387" s="428">
        <v>0.47249999999999998</v>
      </c>
      <c r="N387" s="428">
        <v>10.35</v>
      </c>
      <c r="O387" s="51" t="s">
        <v>48</v>
      </c>
      <c r="P387" s="51">
        <v>4</v>
      </c>
      <c r="Q387" s="51">
        <v>10</v>
      </c>
      <c r="R387" s="51" t="s">
        <v>64</v>
      </c>
      <c r="S387" s="51" t="s">
        <v>50</v>
      </c>
      <c r="T387" s="51" t="s">
        <v>50</v>
      </c>
      <c r="U387" s="51" t="s">
        <v>50</v>
      </c>
      <c r="V387" s="51" t="s">
        <v>50</v>
      </c>
      <c r="W387" s="51" t="s">
        <v>50</v>
      </c>
      <c r="X387" s="51" t="s">
        <v>50</v>
      </c>
    </row>
    <row r="388" spans="1:25" x14ac:dyDescent="0.25">
      <c r="A388" s="443">
        <v>43500</v>
      </c>
      <c r="B388" s="51" t="s">
        <v>43</v>
      </c>
      <c r="C388" s="51" t="s">
        <v>118</v>
      </c>
      <c r="D388" s="51">
        <v>38.046840000000003</v>
      </c>
      <c r="E388" s="51">
        <v>-122.31214</v>
      </c>
      <c r="F388" s="51" t="s">
        <v>5169</v>
      </c>
      <c r="G388" s="51" t="s">
        <v>80</v>
      </c>
      <c r="H388" s="51" t="s">
        <v>123</v>
      </c>
      <c r="I388" s="66">
        <v>0.4597222222222222</v>
      </c>
      <c r="J388" s="428">
        <v>16708.75</v>
      </c>
      <c r="K388" s="428">
        <v>12.175000000000001</v>
      </c>
      <c r="L388" s="428">
        <v>16.849999999999998</v>
      </c>
      <c r="M388" s="428">
        <v>0.65</v>
      </c>
      <c r="N388" s="428">
        <v>11.074999999999999</v>
      </c>
      <c r="O388" s="51" t="s">
        <v>48</v>
      </c>
      <c r="P388" s="51">
        <v>4</v>
      </c>
      <c r="Q388" s="51">
        <v>10</v>
      </c>
      <c r="R388" s="51" t="s">
        <v>64</v>
      </c>
      <c r="S388" s="51" t="s">
        <v>50</v>
      </c>
      <c r="T388" s="51" t="s">
        <v>50</v>
      </c>
      <c r="U388" s="51" t="s">
        <v>50</v>
      </c>
      <c r="V388" s="51" t="s">
        <v>50</v>
      </c>
      <c r="W388" s="51" t="s">
        <v>50</v>
      </c>
      <c r="X388" s="51" t="s">
        <v>50</v>
      </c>
    </row>
    <row r="389" spans="1:25" x14ac:dyDescent="0.25">
      <c r="A389" s="443">
        <v>43500</v>
      </c>
      <c r="B389" s="51" t="s">
        <v>43</v>
      </c>
      <c r="C389" s="51" t="s">
        <v>118</v>
      </c>
      <c r="D389" s="51">
        <v>38.051769999999998</v>
      </c>
      <c r="E389" s="51">
        <v>-122.17287</v>
      </c>
      <c r="F389" s="51" t="s">
        <v>5170</v>
      </c>
      <c r="G389" s="51" t="s">
        <v>80</v>
      </c>
      <c r="H389" s="51" t="s">
        <v>120</v>
      </c>
      <c r="I389" s="66">
        <v>0.54513888888888895</v>
      </c>
      <c r="J389" s="428">
        <v>14941.25</v>
      </c>
      <c r="K389" s="428">
        <v>12.2</v>
      </c>
      <c r="L389" s="428">
        <v>20.85</v>
      </c>
      <c r="M389" s="428">
        <v>0.42249999999999999</v>
      </c>
      <c r="N389" s="428">
        <v>3.9249999999999998</v>
      </c>
      <c r="O389" s="51" t="s">
        <v>48</v>
      </c>
      <c r="P389" s="51">
        <v>4</v>
      </c>
      <c r="Q389" s="51">
        <v>10</v>
      </c>
      <c r="R389" s="51" t="s">
        <v>64</v>
      </c>
      <c r="S389" s="51" t="s">
        <v>50</v>
      </c>
      <c r="T389" s="51" t="s">
        <v>50</v>
      </c>
      <c r="U389" s="51" t="s">
        <v>50</v>
      </c>
      <c r="V389" s="51" t="s">
        <v>50</v>
      </c>
      <c r="W389" s="51" t="s">
        <v>50</v>
      </c>
      <c r="X389" s="51" t="s">
        <v>50</v>
      </c>
    </row>
    <row r="390" spans="1:25" x14ac:dyDescent="0.25">
      <c r="A390" s="443">
        <v>43500</v>
      </c>
      <c r="B390" s="51" t="s">
        <v>43</v>
      </c>
      <c r="C390" s="51" t="s">
        <v>118</v>
      </c>
      <c r="D390" s="51">
        <v>38.06353</v>
      </c>
      <c r="E390" s="51">
        <v>-122.20997</v>
      </c>
      <c r="F390" s="51" t="s">
        <v>5171</v>
      </c>
      <c r="G390" s="51" t="s">
        <v>80</v>
      </c>
      <c r="H390" s="51" t="s">
        <v>120</v>
      </c>
      <c r="I390" s="66">
        <v>0.60347222222222219</v>
      </c>
      <c r="J390" s="428">
        <v>16090.666666666666</v>
      </c>
      <c r="K390" s="428">
        <v>11.399999999999999</v>
      </c>
      <c r="L390" s="428">
        <v>18.8</v>
      </c>
      <c r="M390" s="428">
        <v>0.495</v>
      </c>
      <c r="N390" s="428">
        <v>18.925000000000001</v>
      </c>
      <c r="O390" s="51" t="s">
        <v>48</v>
      </c>
      <c r="P390" s="51">
        <v>4</v>
      </c>
      <c r="Q390" s="51">
        <v>10</v>
      </c>
      <c r="R390" s="51" t="s">
        <v>64</v>
      </c>
      <c r="S390" s="51" t="s">
        <v>50</v>
      </c>
      <c r="T390" s="51" t="s">
        <v>50</v>
      </c>
      <c r="U390" s="51" t="s">
        <v>50</v>
      </c>
      <c r="V390" s="51" t="s">
        <v>50</v>
      </c>
      <c r="W390" s="51" t="s">
        <v>50</v>
      </c>
      <c r="X390" s="51" t="s">
        <v>50</v>
      </c>
    </row>
    <row r="391" spans="1:25" s="424" customFormat="1" x14ac:dyDescent="0.25">
      <c r="A391" s="479">
        <v>43500</v>
      </c>
      <c r="B391" s="424" t="s">
        <v>43</v>
      </c>
      <c r="C391" s="424" t="s">
        <v>118</v>
      </c>
      <c r="D391" s="424">
        <v>38.080300000000001</v>
      </c>
      <c r="E391" s="424">
        <v>-122.33046</v>
      </c>
      <c r="F391" s="424" t="s">
        <v>5172</v>
      </c>
      <c r="G391" s="424" t="s">
        <v>80</v>
      </c>
      <c r="H391" s="424" t="s">
        <v>123</v>
      </c>
      <c r="I391" s="425">
        <v>0.48958333333333331</v>
      </c>
      <c r="J391" s="427" t="s">
        <v>50</v>
      </c>
      <c r="K391" s="427" t="s">
        <v>50</v>
      </c>
      <c r="L391" s="427" t="s">
        <v>50</v>
      </c>
      <c r="M391" s="427" t="s">
        <v>50</v>
      </c>
      <c r="N391" s="427" t="s">
        <v>50</v>
      </c>
      <c r="O391" s="424" t="s">
        <v>48</v>
      </c>
      <c r="P391" s="424">
        <v>0</v>
      </c>
      <c r="Q391" s="424" t="s">
        <v>50</v>
      </c>
      <c r="R391" s="424" t="s">
        <v>50</v>
      </c>
      <c r="S391" s="424" t="s">
        <v>50</v>
      </c>
      <c r="T391" s="424" t="s">
        <v>50</v>
      </c>
      <c r="U391" s="424" t="s">
        <v>50</v>
      </c>
      <c r="V391" s="424" t="s">
        <v>50</v>
      </c>
      <c r="W391" s="424" t="s">
        <v>50</v>
      </c>
      <c r="X391" s="424" t="s">
        <v>50</v>
      </c>
      <c r="Y391" s="426" t="s">
        <v>5173</v>
      </c>
    </row>
    <row r="392" spans="1:25" x14ac:dyDescent="0.25">
      <c r="A392" s="443">
        <v>43501</v>
      </c>
      <c r="B392" s="51" t="s">
        <v>70</v>
      </c>
      <c r="C392" s="51" t="s">
        <v>95</v>
      </c>
      <c r="D392" s="51">
        <v>38.036969999999997</v>
      </c>
      <c r="E392" s="51">
        <v>-121.70950000000001</v>
      </c>
      <c r="F392" s="51" t="s">
        <v>5174</v>
      </c>
      <c r="G392" s="51" t="s">
        <v>27</v>
      </c>
      <c r="H392" s="51" t="s">
        <v>863</v>
      </c>
      <c r="I392" s="66">
        <v>0.32500000000000001</v>
      </c>
      <c r="J392" s="428">
        <v>193.42499999999998</v>
      </c>
      <c r="K392" s="428">
        <v>11.025</v>
      </c>
      <c r="L392" s="428">
        <v>26.375</v>
      </c>
      <c r="M392" s="428">
        <v>0.4375</v>
      </c>
      <c r="N392" s="428">
        <v>4.9749999999999996</v>
      </c>
      <c r="O392" s="51" t="s">
        <v>48</v>
      </c>
      <c r="P392" s="51">
        <v>4</v>
      </c>
      <c r="Q392" s="51">
        <v>10</v>
      </c>
      <c r="R392" s="51" t="s">
        <v>49</v>
      </c>
      <c r="S392" s="51" t="s">
        <v>50</v>
      </c>
      <c r="T392" s="51" t="s">
        <v>50</v>
      </c>
      <c r="U392" s="51" t="s">
        <v>50</v>
      </c>
      <c r="V392" s="51" t="s">
        <v>50</v>
      </c>
      <c r="W392" s="51" t="s">
        <v>50</v>
      </c>
      <c r="X392" s="51" t="s">
        <v>50</v>
      </c>
      <c r="Y392" s="52" t="s">
        <v>4357</v>
      </c>
    </row>
    <row r="393" spans="1:25" x14ac:dyDescent="0.25">
      <c r="A393" s="443">
        <v>43501</v>
      </c>
      <c r="B393" s="51" t="s">
        <v>70</v>
      </c>
      <c r="C393" s="51" t="s">
        <v>95</v>
      </c>
      <c r="D393" s="51">
        <v>38.04645</v>
      </c>
      <c r="E393" s="51">
        <v>-121.69573</v>
      </c>
      <c r="F393" s="51" t="s">
        <v>5175</v>
      </c>
      <c r="G393" s="51" t="s">
        <v>27</v>
      </c>
      <c r="H393" s="51" t="s">
        <v>863</v>
      </c>
      <c r="I393" s="66">
        <v>0.37291666666666662</v>
      </c>
      <c r="J393" s="428">
        <v>190.75</v>
      </c>
      <c r="K393" s="428">
        <v>11</v>
      </c>
      <c r="L393" s="428">
        <v>24.625</v>
      </c>
      <c r="M393" s="428">
        <v>0.4325</v>
      </c>
      <c r="N393" s="428">
        <v>10.425000000000001</v>
      </c>
      <c r="O393" s="51" t="s">
        <v>48</v>
      </c>
      <c r="P393" s="51">
        <v>4</v>
      </c>
      <c r="Q393" s="51">
        <v>10</v>
      </c>
      <c r="R393" s="51" t="s">
        <v>49</v>
      </c>
      <c r="S393" s="51" t="s">
        <v>50</v>
      </c>
      <c r="T393" s="51" t="s">
        <v>50</v>
      </c>
      <c r="U393" s="51" t="s">
        <v>50</v>
      </c>
      <c r="V393" s="51" t="s">
        <v>50</v>
      </c>
      <c r="W393" s="51" t="s">
        <v>50</v>
      </c>
      <c r="X393" s="51" t="s">
        <v>50</v>
      </c>
    </row>
    <row r="394" spans="1:25" s="437" customFormat="1" x14ac:dyDescent="0.25">
      <c r="A394" s="476">
        <v>43501</v>
      </c>
      <c r="B394" s="437" t="s">
        <v>70</v>
      </c>
      <c r="C394" s="437" t="s">
        <v>95</v>
      </c>
      <c r="D394" s="437">
        <v>38.094889999999999</v>
      </c>
      <c r="E394" s="437">
        <v>-121.67376</v>
      </c>
      <c r="F394" s="437" t="s">
        <v>5176</v>
      </c>
      <c r="G394" s="437" t="s">
        <v>46</v>
      </c>
      <c r="H394" s="437" t="s">
        <v>908</v>
      </c>
      <c r="I394" s="438">
        <v>0.42569444444444443</v>
      </c>
      <c r="J394" s="439">
        <v>172.77500000000003</v>
      </c>
      <c r="K394" s="439">
        <v>11.1</v>
      </c>
      <c r="L394" s="439">
        <v>18.399999999999999</v>
      </c>
      <c r="M394" s="439">
        <v>0.57999999999999996</v>
      </c>
      <c r="N394" s="439">
        <v>15.575000000000001</v>
      </c>
      <c r="O394" s="437" t="s">
        <v>48</v>
      </c>
      <c r="P394" s="437">
        <v>4</v>
      </c>
      <c r="Q394" s="437">
        <v>10</v>
      </c>
      <c r="R394" s="437" t="s">
        <v>49</v>
      </c>
      <c r="S394" s="437" t="s">
        <v>622</v>
      </c>
      <c r="T394" s="437">
        <v>1</v>
      </c>
      <c r="U394" s="437" t="s">
        <v>50</v>
      </c>
      <c r="V394" s="437" t="s">
        <v>50</v>
      </c>
      <c r="W394" s="437" t="s">
        <v>50</v>
      </c>
      <c r="X394" s="437" t="s">
        <v>2525</v>
      </c>
      <c r="Y394" s="440" t="s">
        <v>5177</v>
      </c>
    </row>
    <row r="395" spans="1:25" s="437" customFormat="1" x14ac:dyDescent="0.25">
      <c r="A395" s="476">
        <v>43501</v>
      </c>
      <c r="B395" s="437" t="s">
        <v>70</v>
      </c>
      <c r="C395" s="437" t="s">
        <v>106</v>
      </c>
      <c r="D395" s="437">
        <v>38.374879999999997</v>
      </c>
      <c r="E395" s="437">
        <v>-121.62876</v>
      </c>
      <c r="F395" s="437" t="s">
        <v>5178</v>
      </c>
      <c r="G395" s="437" t="s">
        <v>90</v>
      </c>
      <c r="H395" s="437" t="s">
        <v>362</v>
      </c>
      <c r="I395" s="438">
        <v>0.32916666666666666</v>
      </c>
      <c r="J395" s="439">
        <v>340.65</v>
      </c>
      <c r="K395" s="439">
        <v>10.674999999999999</v>
      </c>
      <c r="L395" s="439">
        <v>87.875</v>
      </c>
      <c r="M395" s="439">
        <v>0.31</v>
      </c>
      <c r="N395" s="439">
        <v>6.0025000000000004</v>
      </c>
      <c r="O395" s="437" t="s">
        <v>48</v>
      </c>
      <c r="P395" s="437">
        <v>4</v>
      </c>
      <c r="Q395" s="437">
        <v>10</v>
      </c>
      <c r="R395" s="437" t="s">
        <v>49</v>
      </c>
      <c r="S395" s="437" t="s">
        <v>31</v>
      </c>
      <c r="T395" s="437">
        <v>1</v>
      </c>
      <c r="U395" s="437">
        <v>112</v>
      </c>
      <c r="V395" s="437" t="s">
        <v>66</v>
      </c>
      <c r="W395" s="437" t="s">
        <v>50</v>
      </c>
      <c r="X395" s="437" t="s">
        <v>50</v>
      </c>
      <c r="Y395" s="440"/>
    </row>
    <row r="396" spans="1:25" s="437" customFormat="1" x14ac:dyDescent="0.25">
      <c r="A396" s="476">
        <v>43501</v>
      </c>
      <c r="B396" s="437" t="s">
        <v>70</v>
      </c>
      <c r="C396" s="437" t="s">
        <v>106</v>
      </c>
      <c r="D396" s="437">
        <v>38.374879999999997</v>
      </c>
      <c r="E396" s="437">
        <v>-121.62876</v>
      </c>
      <c r="F396" s="437" t="s">
        <v>5178</v>
      </c>
      <c r="G396" s="437" t="s">
        <v>90</v>
      </c>
      <c r="H396" s="437" t="s">
        <v>362</v>
      </c>
      <c r="I396" s="438">
        <v>0.32916666666666666</v>
      </c>
      <c r="J396" s="439"/>
      <c r="K396" s="439"/>
      <c r="L396" s="439"/>
      <c r="M396" s="439"/>
      <c r="N396" s="439"/>
      <c r="S396" s="437" t="s">
        <v>702</v>
      </c>
      <c r="T396" s="437">
        <v>1</v>
      </c>
      <c r="U396" s="437">
        <v>40</v>
      </c>
      <c r="V396" s="437" t="s">
        <v>50</v>
      </c>
      <c r="W396" s="437">
        <v>3</v>
      </c>
      <c r="X396" s="437" t="s">
        <v>50</v>
      </c>
      <c r="Y396" s="440"/>
    </row>
    <row r="397" spans="1:25" s="437" customFormat="1" x14ac:dyDescent="0.25">
      <c r="A397" s="476">
        <v>43501</v>
      </c>
      <c r="B397" s="437" t="s">
        <v>70</v>
      </c>
      <c r="C397" s="437" t="s">
        <v>106</v>
      </c>
      <c r="D397" s="437">
        <v>38.34064</v>
      </c>
      <c r="E397" s="437">
        <v>-121.64464</v>
      </c>
      <c r="F397" s="437" t="s">
        <v>5179</v>
      </c>
      <c r="G397" s="437" t="s">
        <v>90</v>
      </c>
      <c r="H397" s="437" t="s">
        <v>362</v>
      </c>
      <c r="I397" s="438">
        <v>0.38055555555555554</v>
      </c>
      <c r="J397" s="439">
        <v>298.2</v>
      </c>
      <c r="K397" s="439">
        <v>10.725000000000001</v>
      </c>
      <c r="L397" s="439">
        <v>81.724999999999994</v>
      </c>
      <c r="M397" s="439">
        <v>0.26500000000000001</v>
      </c>
      <c r="N397" s="439">
        <v>7.0250000000000004</v>
      </c>
      <c r="O397" s="437" t="s">
        <v>48</v>
      </c>
      <c r="P397" s="437">
        <v>4</v>
      </c>
      <c r="Q397" s="437">
        <v>10</v>
      </c>
      <c r="R397" s="437" t="s">
        <v>49</v>
      </c>
      <c r="S397" s="437" t="s">
        <v>31</v>
      </c>
      <c r="T397" s="437">
        <v>1</v>
      </c>
      <c r="U397" s="437">
        <v>100</v>
      </c>
      <c r="V397" s="437" t="s">
        <v>66</v>
      </c>
      <c r="W397" s="437" t="s">
        <v>50</v>
      </c>
      <c r="X397" s="437" t="s">
        <v>50</v>
      </c>
      <c r="Y397" s="440"/>
    </row>
    <row r="398" spans="1:25" s="437" customFormat="1" x14ac:dyDescent="0.25">
      <c r="A398" s="476">
        <v>43501</v>
      </c>
      <c r="B398" s="437" t="s">
        <v>70</v>
      </c>
      <c r="C398" s="437" t="s">
        <v>106</v>
      </c>
      <c r="D398" s="437">
        <v>38.181190000000001</v>
      </c>
      <c r="E398" s="437">
        <v>-121.66565</v>
      </c>
      <c r="F398" s="437" t="s">
        <v>5180</v>
      </c>
      <c r="G398" s="437" t="s">
        <v>90</v>
      </c>
      <c r="H398" s="437" t="s">
        <v>362</v>
      </c>
      <c r="I398" s="438">
        <v>0.44097222222222227</v>
      </c>
      <c r="J398" s="439">
        <v>228.15000000000003</v>
      </c>
      <c r="K398" s="439">
        <v>11.25</v>
      </c>
      <c r="L398" s="439">
        <v>38.424999999999997</v>
      </c>
      <c r="M398" s="439">
        <v>0.49</v>
      </c>
      <c r="N398" s="439">
        <v>11.824999999999999</v>
      </c>
      <c r="O398" s="437" t="s">
        <v>48</v>
      </c>
      <c r="P398" s="437">
        <v>4</v>
      </c>
      <c r="Q398" s="437">
        <v>10</v>
      </c>
      <c r="R398" s="437" t="s">
        <v>49</v>
      </c>
      <c r="S398" s="437" t="s">
        <v>758</v>
      </c>
      <c r="T398" s="437">
        <v>1</v>
      </c>
      <c r="U398" s="437">
        <v>102</v>
      </c>
      <c r="V398" s="437" t="s">
        <v>50</v>
      </c>
      <c r="W398" s="437">
        <v>5</v>
      </c>
      <c r="X398" s="437" t="s">
        <v>50</v>
      </c>
      <c r="Y398" s="440" t="s">
        <v>2973</v>
      </c>
    </row>
    <row r="399" spans="1:25" s="437" customFormat="1" x14ac:dyDescent="0.25">
      <c r="A399" s="476">
        <v>43501</v>
      </c>
      <c r="B399" s="437" t="s">
        <v>70</v>
      </c>
      <c r="C399" s="437" t="s">
        <v>78</v>
      </c>
      <c r="D399" s="437">
        <v>38.046169999999996</v>
      </c>
      <c r="E399" s="437">
        <v>-122.10406999999999</v>
      </c>
      <c r="F399" s="437" t="s">
        <v>5181</v>
      </c>
      <c r="G399" s="437" t="s">
        <v>80</v>
      </c>
      <c r="H399" s="437" t="s">
        <v>81</v>
      </c>
      <c r="I399" s="438">
        <v>0.30833333333333335</v>
      </c>
      <c r="J399" s="439">
        <v>3229.25</v>
      </c>
      <c r="K399" s="439">
        <v>10.975</v>
      </c>
      <c r="L399" s="439">
        <v>40.174999999999997</v>
      </c>
      <c r="M399" s="439">
        <v>0.30249999999999999</v>
      </c>
      <c r="N399" s="439">
        <v>14.2</v>
      </c>
      <c r="O399" s="437" t="s">
        <v>48</v>
      </c>
      <c r="P399" s="437">
        <v>4</v>
      </c>
      <c r="Q399" s="437">
        <v>10</v>
      </c>
      <c r="R399" s="437" t="s">
        <v>49</v>
      </c>
      <c r="S399" s="437" t="s">
        <v>622</v>
      </c>
      <c r="T399" s="437">
        <v>1</v>
      </c>
      <c r="U399" s="437">
        <v>246</v>
      </c>
      <c r="V399" s="437" t="s">
        <v>50</v>
      </c>
      <c r="W399" s="437">
        <v>5</v>
      </c>
      <c r="X399" s="437" t="s">
        <v>2525</v>
      </c>
      <c r="Y399" s="440"/>
    </row>
    <row r="400" spans="1:25" s="437" customFormat="1" x14ac:dyDescent="0.25">
      <c r="A400" s="476">
        <v>43501</v>
      </c>
      <c r="B400" s="437" t="s">
        <v>70</v>
      </c>
      <c r="C400" s="437" t="s">
        <v>78</v>
      </c>
      <c r="D400" s="437">
        <v>38.068669999999997</v>
      </c>
      <c r="E400" s="437">
        <v>-122.07953000000001</v>
      </c>
      <c r="F400" s="437" t="s">
        <v>5182</v>
      </c>
      <c r="G400" s="437" t="s">
        <v>80</v>
      </c>
      <c r="H400" s="437" t="s">
        <v>81</v>
      </c>
      <c r="I400" s="438">
        <v>0.36249999999999999</v>
      </c>
      <c r="J400" s="439">
        <v>2890</v>
      </c>
      <c r="K400" s="439">
        <v>10.649999999999999</v>
      </c>
      <c r="L400" s="439">
        <v>74.425000000000011</v>
      </c>
      <c r="M400" s="439">
        <v>0.33</v>
      </c>
      <c r="N400" s="439">
        <v>3.7</v>
      </c>
      <c r="O400" s="437" t="s">
        <v>48</v>
      </c>
      <c r="P400" s="437">
        <v>4</v>
      </c>
      <c r="Q400" s="437">
        <v>10</v>
      </c>
      <c r="R400" s="437" t="s">
        <v>49</v>
      </c>
      <c r="S400" s="437" t="s">
        <v>31</v>
      </c>
      <c r="T400" s="437">
        <v>2</v>
      </c>
      <c r="U400" s="437" t="s">
        <v>5183</v>
      </c>
      <c r="V400" s="437" t="s">
        <v>66</v>
      </c>
      <c r="W400" s="437" t="s">
        <v>50</v>
      </c>
      <c r="X400" s="437" t="s">
        <v>50</v>
      </c>
      <c r="Y400" s="440" t="s">
        <v>4716</v>
      </c>
    </row>
    <row r="401" spans="1:25" s="437" customFormat="1" x14ac:dyDescent="0.25">
      <c r="A401" s="476">
        <v>43501</v>
      </c>
      <c r="B401" s="437" t="s">
        <v>70</v>
      </c>
      <c r="C401" s="437" t="s">
        <v>78</v>
      </c>
      <c r="D401" s="437">
        <v>38.068669999999997</v>
      </c>
      <c r="E401" s="437">
        <v>-122.07953000000001</v>
      </c>
      <c r="F401" s="437" t="s">
        <v>5182</v>
      </c>
      <c r="G401" s="437" t="s">
        <v>80</v>
      </c>
      <c r="H401" s="437" t="s">
        <v>81</v>
      </c>
      <c r="I401" s="438">
        <v>0.36249999999999999</v>
      </c>
      <c r="J401" s="439"/>
      <c r="K401" s="439"/>
      <c r="L401" s="439"/>
      <c r="M401" s="439"/>
      <c r="N401" s="439"/>
      <c r="S401" s="437" t="s">
        <v>622</v>
      </c>
      <c r="T401" s="437">
        <v>1</v>
      </c>
      <c r="U401" s="437">
        <v>231</v>
      </c>
      <c r="V401" s="437" t="s">
        <v>50</v>
      </c>
      <c r="W401" s="437">
        <v>5</v>
      </c>
      <c r="X401" s="437" t="s">
        <v>2525</v>
      </c>
      <c r="Y401" s="440"/>
    </row>
    <row r="402" spans="1:25" s="437" customFormat="1" x14ac:dyDescent="0.25">
      <c r="A402" s="476">
        <v>43501</v>
      </c>
      <c r="B402" s="437" t="s">
        <v>70</v>
      </c>
      <c r="C402" s="437" t="s">
        <v>78</v>
      </c>
      <c r="D402" s="437">
        <v>38.089790000000001</v>
      </c>
      <c r="E402" s="437">
        <v>-122.07962000000001</v>
      </c>
      <c r="F402" s="437" t="s">
        <v>5184</v>
      </c>
      <c r="G402" s="437" t="s">
        <v>80</v>
      </c>
      <c r="H402" s="437" t="s">
        <v>81</v>
      </c>
      <c r="I402" s="438">
        <v>0.42152777777777778</v>
      </c>
      <c r="J402" s="439">
        <v>2151</v>
      </c>
      <c r="K402" s="439">
        <v>10.725</v>
      </c>
      <c r="L402" s="439">
        <v>94.575000000000003</v>
      </c>
      <c r="M402" s="439">
        <v>0.1925</v>
      </c>
      <c r="N402" s="439">
        <v>8.1</v>
      </c>
      <c r="O402" s="437" t="s">
        <v>48</v>
      </c>
      <c r="P402" s="437">
        <v>4</v>
      </c>
      <c r="Q402" s="437">
        <v>10</v>
      </c>
      <c r="R402" s="437" t="s">
        <v>64</v>
      </c>
      <c r="S402" s="437" t="s">
        <v>31</v>
      </c>
      <c r="T402" s="437">
        <v>2</v>
      </c>
      <c r="U402" s="437" t="s">
        <v>5185</v>
      </c>
      <c r="V402" s="437" t="s">
        <v>355</v>
      </c>
      <c r="W402" s="437" t="s">
        <v>50</v>
      </c>
      <c r="X402" s="437" t="s">
        <v>50</v>
      </c>
      <c r="Y402" s="440" t="s">
        <v>5186</v>
      </c>
    </row>
    <row r="403" spans="1:25" x14ac:dyDescent="0.25">
      <c r="A403" s="443">
        <v>43502</v>
      </c>
      <c r="B403" s="51" t="s">
        <v>87</v>
      </c>
      <c r="C403" s="51" t="s">
        <v>44</v>
      </c>
      <c r="D403" s="51">
        <v>38.03257</v>
      </c>
      <c r="E403" s="51">
        <v>-121.60845999999999</v>
      </c>
      <c r="F403" s="51" t="s">
        <v>5187</v>
      </c>
      <c r="G403" s="51" t="s">
        <v>46</v>
      </c>
      <c r="H403" s="51" t="s">
        <v>47</v>
      </c>
      <c r="I403" s="66">
        <v>0.30902777777777779</v>
      </c>
      <c r="J403" s="428">
        <v>186.47500000000002</v>
      </c>
      <c r="K403" s="428">
        <v>9.9249999999999989</v>
      </c>
      <c r="L403" s="428">
        <v>31.849999999999998</v>
      </c>
      <c r="M403" s="428">
        <v>0.37</v>
      </c>
      <c r="N403" s="428">
        <v>2.8499999999999996</v>
      </c>
      <c r="O403" s="51" t="s">
        <v>48</v>
      </c>
      <c r="P403" s="51">
        <v>4</v>
      </c>
      <c r="Q403" s="51">
        <v>10</v>
      </c>
      <c r="R403" s="51" t="s">
        <v>49</v>
      </c>
      <c r="S403" s="51" t="s">
        <v>50</v>
      </c>
      <c r="T403" s="51" t="s">
        <v>50</v>
      </c>
      <c r="U403" s="51" t="s">
        <v>50</v>
      </c>
      <c r="V403" s="51" t="s">
        <v>50</v>
      </c>
      <c r="W403" s="51" t="s">
        <v>50</v>
      </c>
      <c r="X403" s="51" t="s">
        <v>50</v>
      </c>
    </row>
    <row r="404" spans="1:25" s="437" customFormat="1" x14ac:dyDescent="0.25">
      <c r="A404" s="476">
        <v>43502</v>
      </c>
      <c r="B404" s="437" t="s">
        <v>87</v>
      </c>
      <c r="C404" s="437" t="s">
        <v>44</v>
      </c>
      <c r="D404" s="437">
        <v>37.822319999999998</v>
      </c>
      <c r="E404" s="437">
        <v>-121.55206</v>
      </c>
      <c r="F404" s="437" t="s">
        <v>5188</v>
      </c>
      <c r="G404" s="437" t="s">
        <v>46</v>
      </c>
      <c r="H404" s="437" t="s">
        <v>202</v>
      </c>
      <c r="I404" s="438">
        <v>0.3923611111111111</v>
      </c>
      <c r="J404" s="439">
        <v>324.64999999999998</v>
      </c>
      <c r="K404" s="439">
        <v>10.649999999999999</v>
      </c>
      <c r="L404" s="439">
        <v>31.35</v>
      </c>
      <c r="M404" s="439">
        <v>0.53499999999999992</v>
      </c>
      <c r="N404" s="439">
        <v>6.2</v>
      </c>
      <c r="O404" s="437" t="s">
        <v>48</v>
      </c>
      <c r="P404" s="437">
        <v>4</v>
      </c>
      <c r="Q404" s="437">
        <v>10</v>
      </c>
      <c r="R404" s="437" t="s">
        <v>49</v>
      </c>
      <c r="S404" s="437" t="s">
        <v>702</v>
      </c>
      <c r="T404" s="437">
        <v>4</v>
      </c>
      <c r="U404" s="437" t="s">
        <v>5189</v>
      </c>
      <c r="V404" s="437" t="s">
        <v>50</v>
      </c>
      <c r="W404" s="437">
        <v>2</v>
      </c>
      <c r="X404" s="437" t="s">
        <v>50</v>
      </c>
      <c r="Y404" s="440" t="s">
        <v>5190</v>
      </c>
    </row>
    <row r="405" spans="1:25" x14ac:dyDescent="0.25">
      <c r="A405" s="443">
        <v>43502</v>
      </c>
      <c r="B405" s="51" t="s">
        <v>87</v>
      </c>
      <c r="C405" s="51" t="s">
        <v>44</v>
      </c>
      <c r="D405" s="51">
        <v>37.999720000000003</v>
      </c>
      <c r="E405" s="51">
        <v>-121.56945</v>
      </c>
      <c r="F405" s="51" t="s">
        <v>5191</v>
      </c>
      <c r="G405" s="51" t="s">
        <v>46</v>
      </c>
      <c r="H405" s="51" t="s">
        <v>74</v>
      </c>
      <c r="I405" s="66">
        <v>0.46666666666666662</v>
      </c>
      <c r="J405" s="428">
        <v>215.70000000000002</v>
      </c>
      <c r="K405" s="428">
        <v>10.824999999999999</v>
      </c>
      <c r="L405" s="428">
        <v>12.500000000000002</v>
      </c>
      <c r="M405" s="428">
        <v>0.90500000000000003</v>
      </c>
      <c r="N405" s="428">
        <v>9.1000000000000014</v>
      </c>
      <c r="O405" s="51" t="s">
        <v>48</v>
      </c>
      <c r="P405" s="51">
        <v>4</v>
      </c>
      <c r="Q405" s="51">
        <v>10</v>
      </c>
      <c r="R405" s="51" t="s">
        <v>49</v>
      </c>
      <c r="S405" s="51" t="s">
        <v>50</v>
      </c>
      <c r="T405" s="51" t="s">
        <v>50</v>
      </c>
      <c r="U405" s="51" t="s">
        <v>50</v>
      </c>
      <c r="V405" s="51" t="s">
        <v>50</v>
      </c>
      <c r="W405" s="51" t="s">
        <v>50</v>
      </c>
      <c r="X405" s="51" t="s">
        <v>50</v>
      </c>
    </row>
    <row r="406" spans="1:25" x14ac:dyDescent="0.25">
      <c r="A406" s="443">
        <v>43502</v>
      </c>
      <c r="B406" s="51" t="s">
        <v>87</v>
      </c>
      <c r="C406" s="51" t="s">
        <v>88</v>
      </c>
      <c r="D406" s="51">
        <v>38.060899999999997</v>
      </c>
      <c r="E406" s="51">
        <v>-121.8147</v>
      </c>
      <c r="F406" s="51" t="s">
        <v>5192</v>
      </c>
      <c r="G406" s="51" t="s">
        <v>27</v>
      </c>
      <c r="H406" s="51" t="s">
        <v>25</v>
      </c>
      <c r="I406" s="66">
        <v>0.32430555555555557</v>
      </c>
      <c r="J406" s="428">
        <v>193.93333333333331</v>
      </c>
      <c r="K406" s="428">
        <v>11.066666666666668</v>
      </c>
      <c r="L406" s="428">
        <v>27.425000000000001</v>
      </c>
      <c r="M406" s="428">
        <v>0.50750000000000006</v>
      </c>
      <c r="N406" s="428">
        <v>10.8</v>
      </c>
      <c r="O406" s="51" t="s">
        <v>48</v>
      </c>
      <c r="P406" s="51">
        <v>4</v>
      </c>
      <c r="Q406" s="51">
        <v>10</v>
      </c>
      <c r="R406" s="51" t="s">
        <v>49</v>
      </c>
      <c r="S406" s="51" t="s">
        <v>50</v>
      </c>
      <c r="T406" s="51" t="s">
        <v>50</v>
      </c>
      <c r="U406" s="51" t="s">
        <v>50</v>
      </c>
      <c r="V406" s="51" t="s">
        <v>50</v>
      </c>
      <c r="W406" s="51" t="s">
        <v>50</v>
      </c>
      <c r="X406" s="51" t="s">
        <v>50</v>
      </c>
    </row>
    <row r="407" spans="1:25" s="437" customFormat="1" x14ac:dyDescent="0.25">
      <c r="A407" s="476">
        <v>43502</v>
      </c>
      <c r="B407" s="437" t="s">
        <v>87</v>
      </c>
      <c r="C407" s="437" t="s">
        <v>88</v>
      </c>
      <c r="D407" s="437">
        <v>38.092550000000003</v>
      </c>
      <c r="E407" s="437">
        <v>-121.73754</v>
      </c>
      <c r="F407" s="437" t="s">
        <v>5193</v>
      </c>
      <c r="G407" s="437" t="s">
        <v>90</v>
      </c>
      <c r="H407" s="437" t="s">
        <v>91</v>
      </c>
      <c r="I407" s="438">
        <v>0.37847222222222227</v>
      </c>
      <c r="J407" s="439">
        <v>168.52500000000001</v>
      </c>
      <c r="K407" s="439">
        <v>11</v>
      </c>
      <c r="L407" s="439">
        <v>73.950000000000017</v>
      </c>
      <c r="M407" s="439">
        <v>0.22749999999999998</v>
      </c>
      <c r="N407" s="439">
        <v>9.9</v>
      </c>
      <c r="O407" s="437" t="s">
        <v>48</v>
      </c>
      <c r="P407" s="437">
        <v>4</v>
      </c>
      <c r="Q407" s="437">
        <v>10</v>
      </c>
      <c r="R407" s="437" t="s">
        <v>49</v>
      </c>
      <c r="S407" s="437" t="s">
        <v>758</v>
      </c>
      <c r="T407" s="437">
        <v>1</v>
      </c>
      <c r="U407" s="437">
        <v>122</v>
      </c>
      <c r="V407" s="437" t="s">
        <v>50</v>
      </c>
      <c r="W407" s="437">
        <v>3</v>
      </c>
      <c r="X407" s="437" t="s">
        <v>50</v>
      </c>
      <c r="Y407" s="440"/>
    </row>
    <row r="408" spans="1:25" s="437" customFormat="1" x14ac:dyDescent="0.25">
      <c r="A408" s="476">
        <v>43502</v>
      </c>
      <c r="B408" s="437" t="s">
        <v>87</v>
      </c>
      <c r="C408" s="437" t="s">
        <v>88</v>
      </c>
      <c r="D408" s="437">
        <v>38.092550000000003</v>
      </c>
      <c r="E408" s="437">
        <v>-121.73754</v>
      </c>
      <c r="F408" s="437" t="s">
        <v>5193</v>
      </c>
      <c r="G408" s="437" t="s">
        <v>90</v>
      </c>
      <c r="H408" s="437" t="s">
        <v>91</v>
      </c>
      <c r="I408" s="438">
        <v>0.37847222222222227</v>
      </c>
      <c r="J408" s="439"/>
      <c r="K408" s="439"/>
      <c r="L408" s="439"/>
      <c r="M408" s="439"/>
      <c r="N408" s="439"/>
      <c r="S408" s="437" t="s">
        <v>622</v>
      </c>
      <c r="T408" s="437">
        <v>1</v>
      </c>
      <c r="U408" s="437">
        <v>220</v>
      </c>
      <c r="V408" s="437" t="s">
        <v>50</v>
      </c>
      <c r="W408" s="437">
        <v>5</v>
      </c>
      <c r="X408" s="437" t="s">
        <v>50</v>
      </c>
      <c r="Y408" s="440"/>
    </row>
    <row r="409" spans="1:25" x14ac:dyDescent="0.25">
      <c r="A409" s="443">
        <v>43502</v>
      </c>
      <c r="B409" s="51" t="s">
        <v>87</v>
      </c>
      <c r="C409" s="51" t="s">
        <v>88</v>
      </c>
      <c r="D409" s="51">
        <v>38.105699999999999</v>
      </c>
      <c r="E409" s="51">
        <v>-121.72024999999999</v>
      </c>
      <c r="F409" s="51" t="s">
        <v>5194</v>
      </c>
      <c r="G409" s="51" t="s">
        <v>90</v>
      </c>
      <c r="H409" s="51" t="s">
        <v>91</v>
      </c>
      <c r="I409" s="66">
        <v>0.42638888888888887</v>
      </c>
      <c r="J409" s="428">
        <v>196.47500000000002</v>
      </c>
      <c r="K409" s="428">
        <v>10.975</v>
      </c>
      <c r="L409" s="428">
        <v>95.35</v>
      </c>
      <c r="M409" s="428">
        <v>0.2225</v>
      </c>
      <c r="N409" s="428">
        <v>9.3999999999999986</v>
      </c>
      <c r="O409" s="51" t="s">
        <v>48</v>
      </c>
      <c r="P409" s="51">
        <v>4</v>
      </c>
      <c r="Q409" s="51">
        <v>10</v>
      </c>
      <c r="R409" s="51" t="s">
        <v>49</v>
      </c>
      <c r="S409" s="51" t="s">
        <v>50</v>
      </c>
      <c r="T409" s="51" t="s">
        <v>50</v>
      </c>
      <c r="U409" s="51" t="s">
        <v>50</v>
      </c>
      <c r="V409" s="51" t="s">
        <v>50</v>
      </c>
      <c r="W409" s="51" t="s">
        <v>50</v>
      </c>
      <c r="X409" s="51" t="s">
        <v>50</v>
      </c>
    </row>
    <row r="410" spans="1:25" s="437" customFormat="1" x14ac:dyDescent="0.25">
      <c r="A410" s="476">
        <v>43502</v>
      </c>
      <c r="B410" s="437" t="s">
        <v>87</v>
      </c>
      <c r="C410" s="437" t="s">
        <v>78</v>
      </c>
      <c r="D410" s="437">
        <v>38.049259999999997</v>
      </c>
      <c r="E410" s="437">
        <v>-121.96051</v>
      </c>
      <c r="F410" s="437" t="s">
        <v>5195</v>
      </c>
      <c r="G410" s="437" t="s">
        <v>27</v>
      </c>
      <c r="H410" s="437" t="s">
        <v>170</v>
      </c>
      <c r="I410" s="438">
        <v>0.33402777777777781</v>
      </c>
      <c r="J410" s="439">
        <v>250.25</v>
      </c>
      <c r="K410" s="439">
        <v>10.95</v>
      </c>
      <c r="L410" s="439">
        <v>38.599999999999994</v>
      </c>
      <c r="M410" s="439">
        <v>0.40749999999999997</v>
      </c>
      <c r="N410" s="439">
        <v>4.7750000000000004</v>
      </c>
      <c r="O410" s="437" t="s">
        <v>48</v>
      </c>
      <c r="P410" s="437">
        <v>4</v>
      </c>
      <c r="Q410" s="437">
        <v>10</v>
      </c>
      <c r="R410" s="437" t="s">
        <v>49</v>
      </c>
      <c r="S410" s="437" t="s">
        <v>31</v>
      </c>
      <c r="T410" s="437">
        <v>1</v>
      </c>
      <c r="U410" s="437">
        <v>78</v>
      </c>
      <c r="V410" s="437" t="s">
        <v>66</v>
      </c>
      <c r="W410" s="437" t="s">
        <v>50</v>
      </c>
      <c r="X410" s="437" t="s">
        <v>50</v>
      </c>
      <c r="Y410" s="440"/>
    </row>
    <row r="411" spans="1:25" x14ac:dyDescent="0.25">
      <c r="A411" s="443">
        <v>43502</v>
      </c>
      <c r="B411" s="51" t="s">
        <v>87</v>
      </c>
      <c r="C411" s="51" t="s">
        <v>78</v>
      </c>
      <c r="D411" s="51">
        <v>38.083869999999997</v>
      </c>
      <c r="E411" s="51">
        <v>-121.98871</v>
      </c>
      <c r="F411" s="51" t="s">
        <v>5196</v>
      </c>
      <c r="G411" s="51" t="s">
        <v>27</v>
      </c>
      <c r="H411" s="51" t="s">
        <v>86</v>
      </c>
      <c r="I411" s="66">
        <v>0.38472222222222219</v>
      </c>
      <c r="J411" s="428">
        <v>312.375</v>
      </c>
      <c r="K411" s="428">
        <v>10.774999999999999</v>
      </c>
      <c r="L411" s="428">
        <v>53.15</v>
      </c>
      <c r="M411" s="428">
        <v>0.35499999999999998</v>
      </c>
      <c r="N411" s="428">
        <v>16.225000000000001</v>
      </c>
      <c r="O411" s="51" t="s">
        <v>48</v>
      </c>
      <c r="P411" s="51">
        <v>4</v>
      </c>
      <c r="Q411" s="51">
        <v>10</v>
      </c>
      <c r="R411" s="51" t="s">
        <v>49</v>
      </c>
      <c r="S411" s="51" t="s">
        <v>50</v>
      </c>
      <c r="T411" s="51" t="s">
        <v>50</v>
      </c>
      <c r="U411" s="51" t="s">
        <v>50</v>
      </c>
      <c r="V411" s="51" t="s">
        <v>50</v>
      </c>
      <c r="W411" s="51" t="s">
        <v>50</v>
      </c>
      <c r="X411" s="51" t="s">
        <v>50</v>
      </c>
    </row>
    <row r="412" spans="1:25" s="437" customFormat="1" x14ac:dyDescent="0.25">
      <c r="A412" s="476">
        <v>43502</v>
      </c>
      <c r="B412" s="437" t="s">
        <v>87</v>
      </c>
      <c r="C412" s="437" t="s">
        <v>78</v>
      </c>
      <c r="D412" s="437">
        <v>38.094929999999998</v>
      </c>
      <c r="E412" s="437">
        <v>-122.02966000000001</v>
      </c>
      <c r="F412" s="437" t="s">
        <v>5197</v>
      </c>
      <c r="G412" s="437" t="s">
        <v>27</v>
      </c>
      <c r="H412" s="437" t="s">
        <v>86</v>
      </c>
      <c r="I412" s="438">
        <v>0.43472222222222223</v>
      </c>
      <c r="J412" s="439">
        <v>370.47499999999997</v>
      </c>
      <c r="K412" s="439">
        <v>10.85</v>
      </c>
      <c r="L412" s="439">
        <v>65.625</v>
      </c>
      <c r="M412" s="439">
        <v>0.32000000000000006</v>
      </c>
      <c r="N412" s="439">
        <v>6.7000000000000011</v>
      </c>
      <c r="O412" s="437" t="s">
        <v>48</v>
      </c>
      <c r="P412" s="437">
        <v>4</v>
      </c>
      <c r="Q412" s="437">
        <v>10</v>
      </c>
      <c r="R412" s="437" t="s">
        <v>49</v>
      </c>
      <c r="S412" s="437" t="s">
        <v>31</v>
      </c>
      <c r="T412" s="437">
        <v>1</v>
      </c>
      <c r="U412" s="437">
        <v>73</v>
      </c>
      <c r="V412" s="437" t="s">
        <v>66</v>
      </c>
      <c r="W412" s="437" t="s">
        <v>50</v>
      </c>
      <c r="X412" s="437" t="s">
        <v>50</v>
      </c>
      <c r="Y412" s="440"/>
    </row>
    <row r="413" spans="1:25" s="437" customFormat="1" x14ac:dyDescent="0.25">
      <c r="A413" s="476">
        <v>43503</v>
      </c>
      <c r="B413" s="437" t="s">
        <v>105</v>
      </c>
      <c r="C413" s="437" t="s">
        <v>44</v>
      </c>
      <c r="D413" s="437">
        <v>38.029600000000002</v>
      </c>
      <c r="E413" s="437">
        <v>-121.58871000000001</v>
      </c>
      <c r="F413" s="437" t="s">
        <v>5198</v>
      </c>
      <c r="G413" s="437" t="s">
        <v>46</v>
      </c>
      <c r="H413" s="437" t="s">
        <v>47</v>
      </c>
      <c r="I413" s="438">
        <v>0.33124999999999999</v>
      </c>
      <c r="J413" s="439">
        <v>208.82500000000002</v>
      </c>
      <c r="K413" s="439">
        <v>10.199999999999999</v>
      </c>
      <c r="L413" s="439">
        <v>10.135</v>
      </c>
      <c r="M413" s="439">
        <v>1.0550000000000002</v>
      </c>
      <c r="N413" s="439">
        <v>5.2750000000000004</v>
      </c>
      <c r="O413" s="437" t="s">
        <v>48</v>
      </c>
      <c r="P413" s="437">
        <v>4</v>
      </c>
      <c r="Q413" s="437">
        <v>10</v>
      </c>
      <c r="R413" s="437" t="s">
        <v>49</v>
      </c>
      <c r="S413" s="437" t="s">
        <v>702</v>
      </c>
      <c r="T413" s="437">
        <v>1</v>
      </c>
      <c r="U413" s="437">
        <v>35</v>
      </c>
      <c r="V413" s="437" t="s">
        <v>50</v>
      </c>
      <c r="W413" s="437">
        <v>2</v>
      </c>
      <c r="X413" s="437" t="s">
        <v>50</v>
      </c>
      <c r="Y413" s="440" t="s">
        <v>5199</v>
      </c>
    </row>
    <row r="414" spans="1:25" x14ac:dyDescent="0.25">
      <c r="A414" s="443">
        <v>43503</v>
      </c>
      <c r="B414" s="51" t="s">
        <v>105</v>
      </c>
      <c r="C414" s="51" t="s">
        <v>44</v>
      </c>
      <c r="D414" s="51">
        <v>37.925579999999997</v>
      </c>
      <c r="E414" s="51">
        <v>-121.55880000000001</v>
      </c>
      <c r="F414" s="51" t="s">
        <v>5200</v>
      </c>
      <c r="G414" s="51" t="s">
        <v>46</v>
      </c>
      <c r="H414" s="51" t="s">
        <v>199</v>
      </c>
      <c r="I414" s="66">
        <v>0.39861111111111108</v>
      </c>
      <c r="J414" s="428">
        <v>257.25</v>
      </c>
      <c r="K414" s="428">
        <v>10.649999999999999</v>
      </c>
      <c r="L414" s="428">
        <v>9.4224999999999994</v>
      </c>
      <c r="M414" s="428">
        <v>1.2450000000000001</v>
      </c>
      <c r="N414" s="428">
        <v>7.05</v>
      </c>
      <c r="O414" s="51" t="s">
        <v>48</v>
      </c>
      <c r="P414" s="51">
        <v>4</v>
      </c>
      <c r="Q414" s="51">
        <v>10</v>
      </c>
      <c r="R414" s="51" t="s">
        <v>49</v>
      </c>
      <c r="S414" s="51" t="s">
        <v>50</v>
      </c>
      <c r="T414" s="51" t="s">
        <v>50</v>
      </c>
      <c r="U414" s="51" t="s">
        <v>50</v>
      </c>
      <c r="V414" s="51" t="s">
        <v>50</v>
      </c>
      <c r="W414" s="51" t="s">
        <v>50</v>
      </c>
      <c r="X414" s="51" t="s">
        <v>50</v>
      </c>
    </row>
    <row r="415" spans="1:25" x14ac:dyDescent="0.25">
      <c r="A415" s="443">
        <v>43503</v>
      </c>
      <c r="B415" s="51" t="s">
        <v>105</v>
      </c>
      <c r="C415" s="51" t="s">
        <v>44</v>
      </c>
      <c r="D415" s="51">
        <v>38.038789999999999</v>
      </c>
      <c r="E415" s="51">
        <v>-121.52331</v>
      </c>
      <c r="F415" s="51" t="s">
        <v>5201</v>
      </c>
      <c r="G415" s="51" t="s">
        <v>46</v>
      </c>
      <c r="H415" s="51" t="s">
        <v>59</v>
      </c>
      <c r="I415" s="66">
        <v>0.46666666666666662</v>
      </c>
      <c r="J415" s="428">
        <v>225.20000000000002</v>
      </c>
      <c r="K415" s="428">
        <v>10.925000000000001</v>
      </c>
      <c r="L415" s="428">
        <v>11.274999999999999</v>
      </c>
      <c r="M415" s="428">
        <v>1.0350000000000001</v>
      </c>
      <c r="N415" s="428">
        <v>7.85</v>
      </c>
      <c r="O415" s="51" t="s">
        <v>48</v>
      </c>
      <c r="P415" s="51">
        <v>4</v>
      </c>
      <c r="Q415" s="51">
        <v>10</v>
      </c>
      <c r="R415" s="51" t="s">
        <v>49</v>
      </c>
      <c r="S415" s="51" t="s">
        <v>50</v>
      </c>
      <c r="T415" s="51" t="s">
        <v>50</v>
      </c>
      <c r="U415" s="51" t="s">
        <v>50</v>
      </c>
      <c r="V415" s="51" t="s">
        <v>50</v>
      </c>
      <c r="W415" s="51" t="s">
        <v>50</v>
      </c>
      <c r="X415" s="51" t="s">
        <v>50</v>
      </c>
    </row>
    <row r="416" spans="1:25" s="424" customFormat="1" x14ac:dyDescent="0.25">
      <c r="A416" s="446">
        <v>43503</v>
      </c>
      <c r="B416" s="424" t="s">
        <v>105</v>
      </c>
      <c r="C416" s="424" t="s">
        <v>44</v>
      </c>
      <c r="D416" s="424">
        <v>38.018360000000001</v>
      </c>
      <c r="E416" s="424">
        <v>-121.62803</v>
      </c>
      <c r="F416" s="424" t="s">
        <v>5202</v>
      </c>
      <c r="G416" s="424" t="s">
        <v>46</v>
      </c>
      <c r="H416" s="424" t="s">
        <v>47</v>
      </c>
      <c r="I416" s="425">
        <v>0.31875000000000003</v>
      </c>
      <c r="J416" s="427" t="s">
        <v>50</v>
      </c>
      <c r="K416" s="427" t="s">
        <v>50</v>
      </c>
      <c r="L416" s="427" t="s">
        <v>50</v>
      </c>
      <c r="M416" s="427" t="s">
        <v>50</v>
      </c>
      <c r="N416" s="427" t="s">
        <v>50</v>
      </c>
      <c r="O416" s="424" t="s">
        <v>48</v>
      </c>
      <c r="P416" s="424">
        <v>0</v>
      </c>
      <c r="Q416" s="424" t="s">
        <v>50</v>
      </c>
      <c r="R416" s="424" t="s">
        <v>50</v>
      </c>
      <c r="S416" s="424" t="s">
        <v>50</v>
      </c>
      <c r="T416" s="424" t="s">
        <v>50</v>
      </c>
      <c r="U416" s="424" t="s">
        <v>50</v>
      </c>
      <c r="V416" s="424" t="s">
        <v>50</v>
      </c>
      <c r="W416" s="424" t="s">
        <v>50</v>
      </c>
      <c r="X416" s="424" t="s">
        <v>50</v>
      </c>
      <c r="Y416" s="426" t="s">
        <v>5203</v>
      </c>
    </row>
    <row r="417" spans="1:25" s="437" customFormat="1" x14ac:dyDescent="0.25">
      <c r="A417" s="476">
        <v>43503</v>
      </c>
      <c r="B417" s="437" t="s">
        <v>105</v>
      </c>
      <c r="C417" s="437" t="s">
        <v>88</v>
      </c>
      <c r="D417" s="437">
        <v>38.166260000000001</v>
      </c>
      <c r="E417" s="437">
        <v>-121.67484</v>
      </c>
      <c r="F417" s="437" t="s">
        <v>5204</v>
      </c>
      <c r="G417" s="437" t="s">
        <v>90</v>
      </c>
      <c r="H417" s="437" t="s">
        <v>91</v>
      </c>
      <c r="I417" s="438">
        <v>0.31388888888888888</v>
      </c>
      <c r="J417" s="439">
        <v>134.27500000000001</v>
      </c>
      <c r="K417" s="439">
        <v>9.9</v>
      </c>
      <c r="L417" s="439">
        <v>122.5</v>
      </c>
      <c r="M417" s="439">
        <v>0.1875</v>
      </c>
      <c r="N417" s="439">
        <v>6.1</v>
      </c>
      <c r="O417" s="437" t="s">
        <v>48</v>
      </c>
      <c r="P417" s="437">
        <v>4</v>
      </c>
      <c r="Q417" s="437">
        <v>10</v>
      </c>
      <c r="R417" s="437" t="s">
        <v>49</v>
      </c>
      <c r="S417" s="437" t="s">
        <v>702</v>
      </c>
      <c r="T417" s="437">
        <v>3</v>
      </c>
      <c r="U417" s="437" t="s">
        <v>5205</v>
      </c>
      <c r="V417" s="437" t="s">
        <v>50</v>
      </c>
      <c r="W417" s="437">
        <v>2</v>
      </c>
      <c r="X417" s="437" t="s">
        <v>50</v>
      </c>
      <c r="Y417" s="440"/>
    </row>
    <row r="418" spans="1:25" x14ac:dyDescent="0.25">
      <c r="A418" s="443">
        <v>43503</v>
      </c>
      <c r="B418" s="51" t="s">
        <v>105</v>
      </c>
      <c r="C418" s="51" t="s">
        <v>845</v>
      </c>
      <c r="D418" s="51">
        <v>38.245159999999998</v>
      </c>
      <c r="E418" s="51">
        <v>-121.69607000000001</v>
      </c>
      <c r="F418" s="51" t="s">
        <v>5206</v>
      </c>
      <c r="G418" s="51" t="s">
        <v>90</v>
      </c>
      <c r="H418" s="51" t="s">
        <v>126</v>
      </c>
      <c r="I418" s="66">
        <v>0.37152777777777773</v>
      </c>
      <c r="J418" s="428">
        <v>259.25</v>
      </c>
      <c r="K418" s="428">
        <v>10.149999999999999</v>
      </c>
      <c r="L418" s="428">
        <v>60.6</v>
      </c>
      <c r="M418" s="428">
        <v>0.35250000000000004</v>
      </c>
      <c r="N418" s="428">
        <v>4.4749999999999996</v>
      </c>
      <c r="O418" s="51" t="s">
        <v>48</v>
      </c>
      <c r="P418" s="51">
        <v>4</v>
      </c>
      <c r="Q418" s="51">
        <v>10</v>
      </c>
      <c r="R418" s="51" t="s">
        <v>49</v>
      </c>
      <c r="S418" s="51" t="s">
        <v>50</v>
      </c>
      <c r="T418" s="51" t="s">
        <v>50</v>
      </c>
      <c r="U418" s="51" t="s">
        <v>50</v>
      </c>
      <c r="V418" s="51" t="s">
        <v>50</v>
      </c>
      <c r="W418" s="51" t="s">
        <v>50</v>
      </c>
      <c r="X418" s="51" t="s">
        <v>50</v>
      </c>
      <c r="Y418" s="52" t="s">
        <v>5207</v>
      </c>
    </row>
    <row r="419" spans="1:25" x14ac:dyDescent="0.25">
      <c r="A419" s="443">
        <v>43503</v>
      </c>
      <c r="B419" s="51" t="s">
        <v>105</v>
      </c>
      <c r="C419" s="51" t="s">
        <v>845</v>
      </c>
      <c r="D419" s="51">
        <v>38.254939999999998</v>
      </c>
      <c r="E419" s="51">
        <v>-121.67144</v>
      </c>
      <c r="F419" s="51" t="s">
        <v>5208</v>
      </c>
      <c r="G419" s="51" t="s">
        <v>90</v>
      </c>
      <c r="H419" s="51" t="s">
        <v>126</v>
      </c>
      <c r="I419" s="66">
        <v>0.4284722222222222</v>
      </c>
      <c r="J419" s="428">
        <v>272.375</v>
      </c>
      <c r="K419" s="428">
        <v>9.9499999999999993</v>
      </c>
      <c r="L419" s="428">
        <v>75.225000000000009</v>
      </c>
      <c r="M419" s="428">
        <v>0.2525</v>
      </c>
      <c r="N419" s="428">
        <v>9.8000000000000007</v>
      </c>
      <c r="O419" s="51" t="s">
        <v>48</v>
      </c>
      <c r="P419" s="51">
        <v>4</v>
      </c>
      <c r="Q419" s="51">
        <v>10</v>
      </c>
      <c r="R419" s="51" t="s">
        <v>49</v>
      </c>
      <c r="S419" s="51" t="s">
        <v>50</v>
      </c>
      <c r="T419" s="51" t="s">
        <v>50</v>
      </c>
      <c r="U419" s="51" t="s">
        <v>50</v>
      </c>
      <c r="V419" s="51" t="s">
        <v>50</v>
      </c>
      <c r="W419" s="51" t="s">
        <v>50</v>
      </c>
      <c r="X419" s="51" t="s">
        <v>50</v>
      </c>
    </row>
    <row r="420" spans="1:25" s="437" customFormat="1" x14ac:dyDescent="0.25">
      <c r="A420" s="476">
        <v>43503</v>
      </c>
      <c r="B420" s="437" t="s">
        <v>105</v>
      </c>
      <c r="C420" s="437" t="s">
        <v>62</v>
      </c>
      <c r="D420" s="437">
        <v>38.105719999999998</v>
      </c>
      <c r="E420" s="437">
        <v>-122.05965999999999</v>
      </c>
      <c r="F420" s="437" t="s">
        <v>5209</v>
      </c>
      <c r="G420" s="437" t="s">
        <v>27</v>
      </c>
      <c r="H420" s="437" t="s">
        <v>173</v>
      </c>
      <c r="I420" s="438">
        <v>0.34791666666666665</v>
      </c>
      <c r="J420" s="439">
        <v>579.5</v>
      </c>
      <c r="K420" s="439">
        <v>10.574999999999999</v>
      </c>
      <c r="L420" s="439">
        <v>76.25</v>
      </c>
      <c r="M420" s="439">
        <v>0.22999999999999998</v>
      </c>
      <c r="N420" s="439">
        <v>2.5249999999999999</v>
      </c>
      <c r="O420" s="437" t="s">
        <v>48</v>
      </c>
      <c r="P420" s="437">
        <v>4</v>
      </c>
      <c r="Q420" s="437">
        <v>10</v>
      </c>
      <c r="R420" s="437" t="s">
        <v>49</v>
      </c>
      <c r="S420" s="437" t="s">
        <v>31</v>
      </c>
      <c r="T420" s="437">
        <v>1</v>
      </c>
      <c r="U420" s="437">
        <v>64</v>
      </c>
      <c r="V420" s="437" t="s">
        <v>66</v>
      </c>
      <c r="W420" s="437" t="s">
        <v>50</v>
      </c>
      <c r="X420" s="437" t="s">
        <v>50</v>
      </c>
      <c r="Y420" s="440"/>
    </row>
    <row r="421" spans="1:25" s="431" customFormat="1" x14ac:dyDescent="0.25">
      <c r="A421" s="447">
        <v>43503</v>
      </c>
      <c r="B421" s="431" t="s">
        <v>105</v>
      </c>
      <c r="C421" s="431" t="s">
        <v>62</v>
      </c>
      <c r="D421" s="431">
        <v>38.150449999999999</v>
      </c>
      <c r="E421" s="431">
        <v>-122.05436</v>
      </c>
      <c r="F421" s="431" t="s">
        <v>5210</v>
      </c>
      <c r="G421" s="431" t="s">
        <v>27</v>
      </c>
      <c r="H421" s="431" t="s">
        <v>62</v>
      </c>
      <c r="I421" s="432">
        <v>0.40277777777777773</v>
      </c>
      <c r="J421" s="433">
        <v>1528.3333333333333</v>
      </c>
      <c r="K421" s="433">
        <v>10.799999999999999</v>
      </c>
      <c r="L421" s="433">
        <v>109.2</v>
      </c>
      <c r="M421" s="433">
        <v>0.18333333333333335</v>
      </c>
      <c r="N421" s="433">
        <v>6.2666666666666657</v>
      </c>
      <c r="O421" s="431" t="s">
        <v>48</v>
      </c>
      <c r="P421" s="431">
        <v>3</v>
      </c>
      <c r="Q421" s="431">
        <v>10</v>
      </c>
      <c r="R421" s="431" t="s">
        <v>49</v>
      </c>
      <c r="S421" s="431" t="s">
        <v>323</v>
      </c>
      <c r="T421" s="431">
        <v>1</v>
      </c>
      <c r="U421" s="431">
        <v>62</v>
      </c>
      <c r="V421" s="431" t="s">
        <v>66</v>
      </c>
      <c r="W421" s="431" t="s">
        <v>50</v>
      </c>
      <c r="X421" s="431" t="s">
        <v>50</v>
      </c>
      <c r="Y421" s="448"/>
    </row>
    <row r="422" spans="1:25" s="437" customFormat="1" x14ac:dyDescent="0.25">
      <c r="A422" s="476">
        <v>43503</v>
      </c>
      <c r="B422" s="437" t="s">
        <v>105</v>
      </c>
      <c r="C422" s="437" t="s">
        <v>62</v>
      </c>
      <c r="D422" s="437">
        <v>38.150449999999999</v>
      </c>
      <c r="E422" s="437">
        <v>-122.05436</v>
      </c>
      <c r="F422" s="437" t="s">
        <v>5210</v>
      </c>
      <c r="G422" s="437" t="s">
        <v>27</v>
      </c>
      <c r="H422" s="437" t="s">
        <v>62</v>
      </c>
      <c r="I422" s="438">
        <v>0.40277777777777773</v>
      </c>
      <c r="J422" s="439"/>
      <c r="K422" s="439"/>
      <c r="L422" s="439"/>
      <c r="M422" s="439"/>
      <c r="N422" s="439"/>
      <c r="S422" s="437" t="s">
        <v>702</v>
      </c>
      <c r="T422" s="437">
        <v>1</v>
      </c>
      <c r="U422" s="437">
        <v>43</v>
      </c>
      <c r="V422" s="437" t="s">
        <v>50</v>
      </c>
      <c r="W422" s="437">
        <v>2</v>
      </c>
      <c r="X422" s="437" t="s">
        <v>50</v>
      </c>
      <c r="Y422" s="440"/>
    </row>
    <row r="423" spans="1:25" s="74" customFormat="1" x14ac:dyDescent="0.25">
      <c r="A423" s="444">
        <v>43503</v>
      </c>
      <c r="B423" s="74" t="s">
        <v>105</v>
      </c>
      <c r="C423" s="74" t="s">
        <v>62</v>
      </c>
      <c r="D423" s="74">
        <v>38.109699999999997</v>
      </c>
      <c r="E423" s="74">
        <v>-121.89024000000001</v>
      </c>
      <c r="F423" s="74" t="s">
        <v>5211</v>
      </c>
      <c r="G423" s="74" t="s">
        <v>27</v>
      </c>
      <c r="H423" s="74" t="s">
        <v>62</v>
      </c>
      <c r="I423" s="73">
        <v>0.4777777777777778</v>
      </c>
      <c r="J423" s="445">
        <v>315.35000000000002</v>
      </c>
      <c r="K423" s="445">
        <v>11</v>
      </c>
      <c r="L423" s="445">
        <v>55.849999999999994</v>
      </c>
      <c r="M423" s="445">
        <v>0.37</v>
      </c>
      <c r="N423" s="445">
        <v>6.85</v>
      </c>
      <c r="O423" s="74" t="s">
        <v>48</v>
      </c>
      <c r="P423" s="74">
        <v>4</v>
      </c>
      <c r="Q423" s="74">
        <v>10</v>
      </c>
      <c r="R423" s="74" t="s">
        <v>49</v>
      </c>
      <c r="S423" s="74" t="s">
        <v>50</v>
      </c>
      <c r="T423" s="74" t="s">
        <v>50</v>
      </c>
      <c r="U423" s="74" t="s">
        <v>50</v>
      </c>
      <c r="V423" s="74" t="s">
        <v>50</v>
      </c>
      <c r="W423" s="74" t="s">
        <v>50</v>
      </c>
      <c r="X423" s="74" t="s">
        <v>50</v>
      </c>
      <c r="Y423" s="77" t="s">
        <v>5120</v>
      </c>
    </row>
    <row r="424" spans="1:25" s="431" customFormat="1" x14ac:dyDescent="0.25">
      <c r="A424" s="447">
        <v>43507</v>
      </c>
      <c r="B424" s="431" t="s">
        <v>43</v>
      </c>
      <c r="C424" s="431" t="s">
        <v>106</v>
      </c>
      <c r="D424" s="431">
        <v>38.400410000000001</v>
      </c>
      <c r="E424" s="431">
        <v>-121.61696999999999</v>
      </c>
      <c r="F424" s="431" t="s">
        <v>5212</v>
      </c>
      <c r="G424" s="431" t="s">
        <v>90</v>
      </c>
      <c r="H424" s="431" t="s">
        <v>362</v>
      </c>
      <c r="I424" s="432">
        <v>0.4680555555555555</v>
      </c>
      <c r="J424" s="433">
        <v>414.34999999999997</v>
      </c>
      <c r="K424" s="433">
        <v>10.1</v>
      </c>
      <c r="L424" s="433">
        <v>80.724999999999994</v>
      </c>
      <c r="M424" s="433">
        <v>0.2525</v>
      </c>
      <c r="N424" s="433">
        <v>9.6</v>
      </c>
      <c r="O424" s="431" t="s">
        <v>48</v>
      </c>
      <c r="P424" s="431">
        <v>4</v>
      </c>
      <c r="Q424" s="431">
        <v>10</v>
      </c>
      <c r="R424" s="431" t="s">
        <v>49</v>
      </c>
      <c r="S424" s="431" t="s">
        <v>323</v>
      </c>
      <c r="T424" s="431">
        <v>1</v>
      </c>
      <c r="U424" s="431">
        <v>73</v>
      </c>
      <c r="V424" s="431" t="s">
        <v>66</v>
      </c>
      <c r="W424" s="431" t="s">
        <v>50</v>
      </c>
      <c r="X424" s="431" t="s">
        <v>50</v>
      </c>
      <c r="Y424" s="448" t="s">
        <v>5213</v>
      </c>
    </row>
    <row r="425" spans="1:25" s="437" customFormat="1" x14ac:dyDescent="0.25">
      <c r="A425" s="476">
        <v>43507</v>
      </c>
      <c r="B425" s="437" t="s">
        <v>43</v>
      </c>
      <c r="C425" s="437" t="s">
        <v>106</v>
      </c>
      <c r="D425" s="437">
        <v>38.202089999999998</v>
      </c>
      <c r="E425" s="437">
        <v>-121.6587</v>
      </c>
      <c r="F425" s="437" t="s">
        <v>5214</v>
      </c>
      <c r="G425" s="437" t="s">
        <v>90</v>
      </c>
      <c r="H425" s="437" t="s">
        <v>362</v>
      </c>
      <c r="I425" s="438">
        <v>0.31597222222222221</v>
      </c>
      <c r="J425" s="439">
        <v>157.125</v>
      </c>
      <c r="K425" s="439">
        <v>9.0500000000000007</v>
      </c>
      <c r="L425" s="439">
        <v>40.56666666666667</v>
      </c>
      <c r="M425" s="439">
        <v>0.33</v>
      </c>
      <c r="N425" s="439">
        <v>6.95</v>
      </c>
      <c r="O425" s="437" t="s">
        <v>48</v>
      </c>
      <c r="P425" s="437">
        <v>4</v>
      </c>
      <c r="Q425" s="437">
        <v>10</v>
      </c>
      <c r="R425" s="437" t="s">
        <v>64</v>
      </c>
      <c r="S425" s="437" t="s">
        <v>702</v>
      </c>
      <c r="T425" s="437">
        <v>4</v>
      </c>
      <c r="U425" s="437" t="s">
        <v>5215</v>
      </c>
      <c r="V425" s="437" t="s">
        <v>50</v>
      </c>
      <c r="W425" s="437">
        <v>2</v>
      </c>
      <c r="X425" s="437" t="s">
        <v>50</v>
      </c>
      <c r="Y425" s="440" t="s">
        <v>5216</v>
      </c>
    </row>
    <row r="426" spans="1:25" s="437" customFormat="1" x14ac:dyDescent="0.25">
      <c r="A426" s="476">
        <v>43507</v>
      </c>
      <c r="B426" s="437" t="s">
        <v>43</v>
      </c>
      <c r="C426" s="437" t="s">
        <v>106</v>
      </c>
      <c r="D426" s="437">
        <v>38.202089999999998</v>
      </c>
      <c r="E426" s="437">
        <v>-121.6587</v>
      </c>
      <c r="F426" s="437" t="s">
        <v>5214</v>
      </c>
      <c r="G426" s="437" t="s">
        <v>90</v>
      </c>
      <c r="H426" s="437" t="s">
        <v>362</v>
      </c>
      <c r="I426" s="438">
        <v>0.31597222222222221</v>
      </c>
      <c r="J426" s="439"/>
      <c r="K426" s="439"/>
      <c r="L426" s="439"/>
      <c r="M426" s="439"/>
      <c r="N426" s="439"/>
      <c r="S426" s="437" t="s">
        <v>1425</v>
      </c>
      <c r="T426" s="437">
        <v>1</v>
      </c>
      <c r="U426" s="437">
        <v>720</v>
      </c>
      <c r="V426" s="437" t="s">
        <v>50</v>
      </c>
      <c r="W426" s="437">
        <v>5</v>
      </c>
      <c r="X426" s="437" t="s">
        <v>50</v>
      </c>
      <c r="Y426" s="440" t="s">
        <v>5217</v>
      </c>
    </row>
    <row r="427" spans="1:25" s="437" customFormat="1" x14ac:dyDescent="0.25">
      <c r="A427" s="476">
        <v>43507</v>
      </c>
      <c r="B427" s="437" t="s">
        <v>43</v>
      </c>
      <c r="C427" s="437" t="s">
        <v>106</v>
      </c>
      <c r="D427" s="437">
        <v>38.202089999999998</v>
      </c>
      <c r="E427" s="437">
        <v>-121.6587</v>
      </c>
      <c r="F427" s="437" t="s">
        <v>5214</v>
      </c>
      <c r="G427" s="437" t="s">
        <v>90</v>
      </c>
      <c r="H427" s="437" t="s">
        <v>362</v>
      </c>
      <c r="I427" s="438">
        <v>0.31597222222222221</v>
      </c>
      <c r="J427" s="439"/>
      <c r="K427" s="439"/>
      <c r="L427" s="439"/>
      <c r="M427" s="439"/>
      <c r="N427" s="439"/>
      <c r="S427" s="437" t="s">
        <v>622</v>
      </c>
      <c r="T427" s="437">
        <v>2</v>
      </c>
      <c r="U427" s="437" t="s">
        <v>5218</v>
      </c>
      <c r="V427" s="437" t="s">
        <v>50</v>
      </c>
      <c r="W427" s="437">
        <v>5</v>
      </c>
      <c r="X427" s="437" t="s">
        <v>2525</v>
      </c>
      <c r="Y427" s="440" t="s">
        <v>5219</v>
      </c>
    </row>
    <row r="428" spans="1:25" s="431" customFormat="1" x14ac:dyDescent="0.25">
      <c r="A428" s="447">
        <v>43507</v>
      </c>
      <c r="B428" s="431" t="s">
        <v>43</v>
      </c>
      <c r="C428" s="431" t="s">
        <v>106</v>
      </c>
      <c r="D428" s="431">
        <v>38.331519999999998</v>
      </c>
      <c r="E428" s="431">
        <v>-121.64796</v>
      </c>
      <c r="F428" s="431" t="s">
        <v>5220</v>
      </c>
      <c r="G428" s="431" t="s">
        <v>90</v>
      </c>
      <c r="H428" s="431" t="s">
        <v>362</v>
      </c>
      <c r="I428" s="432">
        <v>0.40972222222222227</v>
      </c>
      <c r="J428" s="433">
        <v>267.60000000000002</v>
      </c>
      <c r="K428" s="433">
        <v>10.3</v>
      </c>
      <c r="L428" s="433">
        <v>68.224999999999994</v>
      </c>
      <c r="M428" s="433">
        <v>0.23749999999999999</v>
      </c>
      <c r="N428" s="433">
        <v>10.899999999999999</v>
      </c>
      <c r="O428" s="431" t="s">
        <v>48</v>
      </c>
      <c r="P428" s="431">
        <v>4</v>
      </c>
      <c r="Q428" s="431">
        <v>10</v>
      </c>
      <c r="R428" s="431" t="s">
        <v>64</v>
      </c>
      <c r="S428" s="431" t="s">
        <v>323</v>
      </c>
      <c r="T428" s="431">
        <v>1</v>
      </c>
      <c r="U428" s="431">
        <v>61</v>
      </c>
      <c r="V428" s="431" t="s">
        <v>66</v>
      </c>
      <c r="W428" s="431" t="s">
        <v>50</v>
      </c>
      <c r="X428" s="431" t="s">
        <v>50</v>
      </c>
      <c r="Y428" s="448" t="s">
        <v>4771</v>
      </c>
    </row>
    <row r="429" spans="1:25" s="437" customFormat="1" x14ac:dyDescent="0.25">
      <c r="A429" s="476">
        <v>43507</v>
      </c>
      <c r="B429" s="437" t="s">
        <v>43</v>
      </c>
      <c r="C429" s="437" t="s">
        <v>106</v>
      </c>
      <c r="D429" s="437">
        <v>38.331519999999998</v>
      </c>
      <c r="E429" s="437">
        <v>-121.64796</v>
      </c>
      <c r="F429" s="437" t="s">
        <v>5220</v>
      </c>
      <c r="G429" s="437" t="s">
        <v>90</v>
      </c>
      <c r="H429" s="437" t="s">
        <v>362</v>
      </c>
      <c r="I429" s="438">
        <v>0.40972222222222227</v>
      </c>
      <c r="J429" s="439"/>
      <c r="K429" s="439"/>
      <c r="L429" s="439"/>
      <c r="M429" s="439"/>
      <c r="N429" s="439"/>
      <c r="S429" s="437" t="s">
        <v>622</v>
      </c>
      <c r="T429" s="437">
        <v>1</v>
      </c>
      <c r="U429" s="437">
        <v>225</v>
      </c>
      <c r="V429" s="437" t="s">
        <v>50</v>
      </c>
      <c r="W429" s="437">
        <v>5</v>
      </c>
      <c r="X429" s="437" t="s">
        <v>2525</v>
      </c>
      <c r="Y429" s="440"/>
    </row>
    <row r="430" spans="1:25" x14ac:dyDescent="0.25">
      <c r="A430" s="443">
        <v>43507</v>
      </c>
      <c r="B430" s="51" t="s">
        <v>43</v>
      </c>
      <c r="C430" s="51" t="s">
        <v>95</v>
      </c>
      <c r="D430" s="51">
        <v>38.014099999999999</v>
      </c>
      <c r="E430" s="51">
        <v>-121.68368</v>
      </c>
      <c r="F430" s="51" t="s">
        <v>5221</v>
      </c>
      <c r="G430" s="51" t="s">
        <v>27</v>
      </c>
      <c r="H430" s="51" t="s">
        <v>863</v>
      </c>
      <c r="I430" s="66">
        <v>0.32916666666666666</v>
      </c>
      <c r="J430" s="428">
        <v>258.55</v>
      </c>
      <c r="K430" s="428">
        <v>9.7249999999999996</v>
      </c>
      <c r="L430" s="428">
        <v>17.399999999999999</v>
      </c>
      <c r="M430" s="428">
        <v>0.69000000000000006</v>
      </c>
      <c r="N430" s="428">
        <v>4.375</v>
      </c>
      <c r="O430" s="51" t="s">
        <v>48</v>
      </c>
      <c r="P430" s="51">
        <v>4</v>
      </c>
      <c r="Q430" s="51">
        <v>10</v>
      </c>
      <c r="R430" s="51" t="s">
        <v>64</v>
      </c>
      <c r="S430" s="51" t="s">
        <v>50</v>
      </c>
      <c r="T430" s="51" t="s">
        <v>50</v>
      </c>
      <c r="U430" s="51" t="s">
        <v>50</v>
      </c>
      <c r="V430" s="51" t="s">
        <v>50</v>
      </c>
      <c r="W430" s="51" t="s">
        <v>50</v>
      </c>
      <c r="X430" s="51" t="s">
        <v>50</v>
      </c>
    </row>
    <row r="431" spans="1:25" x14ac:dyDescent="0.25">
      <c r="A431" s="443">
        <v>43507</v>
      </c>
      <c r="B431" s="51" t="s">
        <v>43</v>
      </c>
      <c r="C431" s="51" t="s">
        <v>95</v>
      </c>
      <c r="D431" s="51">
        <v>38.021039999999999</v>
      </c>
      <c r="E431" s="51">
        <v>-121.80483</v>
      </c>
      <c r="F431" s="51" t="s">
        <v>5222</v>
      </c>
      <c r="G431" s="51" t="s">
        <v>27</v>
      </c>
      <c r="H431" s="51" t="s">
        <v>863</v>
      </c>
      <c r="I431" s="66">
        <v>0.3888888888888889</v>
      </c>
      <c r="J431" s="428">
        <v>165.67500000000001</v>
      </c>
      <c r="K431" s="428">
        <v>10.074999999999999</v>
      </c>
      <c r="L431" s="428">
        <v>31.1</v>
      </c>
      <c r="M431" s="428">
        <v>0.44249999999999995</v>
      </c>
      <c r="N431" s="428">
        <v>8.8249999999999993</v>
      </c>
      <c r="O431" s="51" t="s">
        <v>48</v>
      </c>
      <c r="P431" s="51">
        <v>4</v>
      </c>
      <c r="Q431" s="51">
        <v>10</v>
      </c>
      <c r="R431" s="51" t="s">
        <v>49</v>
      </c>
      <c r="S431" s="51" t="s">
        <v>50</v>
      </c>
      <c r="T431" s="51" t="s">
        <v>50</v>
      </c>
      <c r="U431" s="51" t="s">
        <v>50</v>
      </c>
      <c r="V431" s="51" t="s">
        <v>50</v>
      </c>
      <c r="W431" s="51" t="s">
        <v>50</v>
      </c>
      <c r="X431" s="51" t="s">
        <v>50</v>
      </c>
    </row>
    <row r="432" spans="1:25" x14ac:dyDescent="0.25">
      <c r="A432" s="443">
        <v>43507</v>
      </c>
      <c r="B432" s="51" t="s">
        <v>43</v>
      </c>
      <c r="C432" s="51" t="s">
        <v>95</v>
      </c>
      <c r="D432" s="51">
        <v>38.024070000000002</v>
      </c>
      <c r="E432" s="51">
        <v>-121.78591</v>
      </c>
      <c r="F432" s="51" t="s">
        <v>5223</v>
      </c>
      <c r="G432" s="51" t="s">
        <v>27</v>
      </c>
      <c r="H432" s="51" t="s">
        <v>863</v>
      </c>
      <c r="I432" s="66">
        <v>0.4458333333333333</v>
      </c>
      <c r="J432" s="428">
        <v>159.52500000000001</v>
      </c>
      <c r="K432" s="428">
        <v>10.074999999999999</v>
      </c>
      <c r="L432" s="428">
        <v>29.625</v>
      </c>
      <c r="M432" s="428">
        <v>0.45249999999999996</v>
      </c>
      <c r="N432" s="428">
        <v>12.375</v>
      </c>
      <c r="O432" s="51" t="s">
        <v>48</v>
      </c>
      <c r="P432" s="51">
        <v>4</v>
      </c>
      <c r="Q432" s="51">
        <v>10</v>
      </c>
      <c r="R432" s="51" t="s">
        <v>49</v>
      </c>
      <c r="S432" s="51" t="s">
        <v>50</v>
      </c>
      <c r="T432" s="51" t="s">
        <v>50</v>
      </c>
      <c r="U432" s="51" t="s">
        <v>50</v>
      </c>
      <c r="V432" s="51" t="s">
        <v>50</v>
      </c>
      <c r="W432" s="51" t="s">
        <v>50</v>
      </c>
      <c r="X432" s="51" t="s">
        <v>50</v>
      </c>
    </row>
    <row r="433" spans="1:26" x14ac:dyDescent="0.25">
      <c r="A433" s="443">
        <v>43507</v>
      </c>
      <c r="B433" s="51" t="s">
        <v>43</v>
      </c>
      <c r="C433" s="51" t="s">
        <v>95</v>
      </c>
      <c r="D433" s="51">
        <v>38.025959999999998</v>
      </c>
      <c r="E433" s="51">
        <v>-121.73584</v>
      </c>
      <c r="F433" s="51" t="s">
        <v>5224</v>
      </c>
      <c r="G433" s="51" t="s">
        <v>27</v>
      </c>
      <c r="H433" s="51" t="s">
        <v>863</v>
      </c>
      <c r="I433" s="66">
        <v>0.50763888888888886</v>
      </c>
      <c r="J433" s="428">
        <v>161.75</v>
      </c>
      <c r="K433" s="428">
        <v>10.125</v>
      </c>
      <c r="L433" s="428">
        <v>31.650000000000002</v>
      </c>
      <c r="M433" s="428">
        <v>0.51249999999999996</v>
      </c>
      <c r="N433" s="428">
        <v>8.7749999999999986</v>
      </c>
      <c r="O433" s="51" t="s">
        <v>48</v>
      </c>
      <c r="P433" s="51">
        <v>4</v>
      </c>
      <c r="Q433" s="51">
        <v>10</v>
      </c>
      <c r="R433" s="51" t="s">
        <v>49</v>
      </c>
      <c r="S433" s="51" t="s">
        <v>50</v>
      </c>
      <c r="T433" s="51" t="s">
        <v>50</v>
      </c>
      <c r="U433" s="51" t="s">
        <v>50</v>
      </c>
      <c r="V433" s="51" t="s">
        <v>50</v>
      </c>
      <c r="W433" s="51" t="s">
        <v>50</v>
      </c>
      <c r="X433" s="51" t="s">
        <v>50</v>
      </c>
    </row>
    <row r="434" spans="1:26" x14ac:dyDescent="0.25">
      <c r="A434" s="443">
        <v>43507</v>
      </c>
      <c r="B434" s="51" t="s">
        <v>43</v>
      </c>
      <c r="C434" s="51" t="s">
        <v>62</v>
      </c>
      <c r="D434" s="51">
        <v>38.116459999999996</v>
      </c>
      <c r="E434" s="51">
        <v>-122.05923</v>
      </c>
      <c r="F434" s="51" t="s">
        <v>5225</v>
      </c>
      <c r="G434" s="51" t="s">
        <v>27</v>
      </c>
      <c r="H434" s="51" t="s">
        <v>62</v>
      </c>
      <c r="I434" s="66">
        <v>0.34722222222222227</v>
      </c>
      <c r="J434" s="428">
        <v>295.27499999999998</v>
      </c>
      <c r="K434" s="428">
        <v>9.6749999999999989</v>
      </c>
      <c r="L434" s="428">
        <v>68.350000000000009</v>
      </c>
      <c r="M434" s="428">
        <v>0.375</v>
      </c>
      <c r="N434" s="428">
        <v>3.15</v>
      </c>
      <c r="O434" s="51" t="s">
        <v>48</v>
      </c>
      <c r="P434" s="51">
        <v>4</v>
      </c>
      <c r="Q434" s="51">
        <v>10</v>
      </c>
      <c r="R434" s="51" t="s">
        <v>64</v>
      </c>
      <c r="S434" s="51" t="s">
        <v>50</v>
      </c>
      <c r="T434" s="51" t="s">
        <v>50</v>
      </c>
      <c r="U434" s="51" t="s">
        <v>50</v>
      </c>
      <c r="V434" s="51" t="s">
        <v>50</v>
      </c>
      <c r="W434" s="51" t="s">
        <v>50</v>
      </c>
      <c r="X434" s="51" t="s">
        <v>50</v>
      </c>
    </row>
    <row r="435" spans="1:26" x14ac:dyDescent="0.25">
      <c r="A435" s="443">
        <v>43507</v>
      </c>
      <c r="B435" s="51" t="s">
        <v>43</v>
      </c>
      <c r="C435" s="51" t="s">
        <v>62</v>
      </c>
      <c r="D435" s="51">
        <v>38.169930000000001</v>
      </c>
      <c r="E435" s="51">
        <v>-122.02828</v>
      </c>
      <c r="F435" s="51" t="s">
        <v>5226</v>
      </c>
      <c r="G435" s="51" t="s">
        <v>27</v>
      </c>
      <c r="H435" s="51" t="s">
        <v>62</v>
      </c>
      <c r="I435" s="66">
        <v>0.40763888888888888</v>
      </c>
      <c r="J435" s="428">
        <v>1535.5</v>
      </c>
      <c r="K435" s="428">
        <v>10.1</v>
      </c>
      <c r="L435" s="428">
        <v>85.075000000000003</v>
      </c>
      <c r="M435" s="428">
        <v>0.33750000000000002</v>
      </c>
      <c r="N435" s="428">
        <v>7.8249999999999993</v>
      </c>
      <c r="O435" s="51" t="s">
        <v>48</v>
      </c>
      <c r="P435" s="51">
        <v>4</v>
      </c>
      <c r="Q435" s="51">
        <v>10</v>
      </c>
      <c r="R435" s="51" t="s">
        <v>49</v>
      </c>
      <c r="S435" s="51" t="s">
        <v>50</v>
      </c>
      <c r="T435" s="51" t="s">
        <v>50</v>
      </c>
      <c r="U435" s="51" t="s">
        <v>50</v>
      </c>
      <c r="V435" s="51" t="s">
        <v>50</v>
      </c>
      <c r="W435" s="51" t="s">
        <v>50</v>
      </c>
      <c r="X435" s="51" t="s">
        <v>50</v>
      </c>
      <c r="Y435" s="52" t="s">
        <v>5227</v>
      </c>
    </row>
    <row r="436" spans="1:26" s="437" customFormat="1" x14ac:dyDescent="0.25">
      <c r="A436" s="476">
        <v>43507</v>
      </c>
      <c r="B436" s="437" t="s">
        <v>43</v>
      </c>
      <c r="C436" s="437" t="s">
        <v>62</v>
      </c>
      <c r="D436" s="437">
        <v>38.154919999999997</v>
      </c>
      <c r="E436" s="437">
        <v>-121.92264</v>
      </c>
      <c r="F436" s="437" t="s">
        <v>5228</v>
      </c>
      <c r="G436" s="437" t="s">
        <v>27</v>
      </c>
      <c r="H436" s="437" t="s">
        <v>62</v>
      </c>
      <c r="I436" s="438">
        <v>0.4680555555555555</v>
      </c>
      <c r="J436" s="439">
        <v>711.75</v>
      </c>
      <c r="K436" s="439">
        <v>9.9749999999999996</v>
      </c>
      <c r="L436" s="439">
        <v>61.674999999999997</v>
      </c>
      <c r="M436" s="439">
        <v>0.34</v>
      </c>
      <c r="N436" s="439">
        <v>4.125</v>
      </c>
      <c r="O436" s="437" t="s">
        <v>48</v>
      </c>
      <c r="P436" s="437">
        <v>4</v>
      </c>
      <c r="Q436" s="437">
        <v>10</v>
      </c>
      <c r="R436" s="437" t="s">
        <v>49</v>
      </c>
      <c r="S436" s="437" t="s">
        <v>622</v>
      </c>
      <c r="T436" s="437">
        <v>1</v>
      </c>
      <c r="U436" s="437">
        <v>198</v>
      </c>
      <c r="V436" s="437" t="s">
        <v>50</v>
      </c>
      <c r="W436" s="437">
        <v>5</v>
      </c>
      <c r="X436" s="437" t="s">
        <v>2525</v>
      </c>
      <c r="Y436" s="440" t="s">
        <v>3276</v>
      </c>
      <c r="Z436" s="437" t="s">
        <v>5229</v>
      </c>
    </row>
    <row r="437" spans="1:26" s="424" customFormat="1" x14ac:dyDescent="0.25">
      <c r="A437" s="446">
        <v>43507</v>
      </c>
      <c r="B437" s="424" t="s">
        <v>43</v>
      </c>
      <c r="C437" s="424" t="s">
        <v>62</v>
      </c>
      <c r="D437" s="424">
        <v>38.126460000000002</v>
      </c>
      <c r="E437" s="424">
        <v>-122.08179</v>
      </c>
      <c r="F437" s="424" t="s">
        <v>5230</v>
      </c>
      <c r="G437" s="424" t="s">
        <v>27</v>
      </c>
      <c r="H437" s="424" t="s">
        <v>62</v>
      </c>
      <c r="I437" s="425">
        <v>0.39374999999999999</v>
      </c>
      <c r="J437" s="427" t="s">
        <v>50</v>
      </c>
      <c r="K437" s="427" t="s">
        <v>50</v>
      </c>
      <c r="L437" s="427" t="s">
        <v>50</v>
      </c>
      <c r="M437" s="427" t="s">
        <v>50</v>
      </c>
      <c r="N437" s="427" t="s">
        <v>50</v>
      </c>
      <c r="O437" s="424" t="s">
        <v>48</v>
      </c>
      <c r="P437" s="424">
        <v>0</v>
      </c>
      <c r="Q437" s="424" t="s">
        <v>50</v>
      </c>
      <c r="R437" s="424" t="s">
        <v>50</v>
      </c>
      <c r="S437" s="424" t="s">
        <v>50</v>
      </c>
      <c r="T437" s="424" t="s">
        <v>50</v>
      </c>
      <c r="U437" s="424" t="s">
        <v>50</v>
      </c>
      <c r="V437" s="424" t="s">
        <v>50</v>
      </c>
      <c r="W437" s="424" t="s">
        <v>50</v>
      </c>
      <c r="X437" s="424" t="s">
        <v>50</v>
      </c>
      <c r="Y437" s="426" t="s">
        <v>1822</v>
      </c>
    </row>
    <row r="438" spans="1:26" x14ac:dyDescent="0.25">
      <c r="A438" s="443">
        <v>43508</v>
      </c>
      <c r="B438" s="51" t="s">
        <v>70</v>
      </c>
      <c r="C438" s="51" t="s">
        <v>95</v>
      </c>
      <c r="D438" s="51">
        <v>38.036360000000002</v>
      </c>
      <c r="E438" s="51">
        <v>-121.7287</v>
      </c>
      <c r="F438" s="51" t="s">
        <v>5231</v>
      </c>
      <c r="G438" s="51" t="s">
        <v>27</v>
      </c>
      <c r="H438" s="51" t="s">
        <v>863</v>
      </c>
      <c r="I438" s="66">
        <v>0.32430555555555557</v>
      </c>
      <c r="J438" s="428">
        <v>147.32499999999999</v>
      </c>
      <c r="K438" s="428">
        <v>9.75</v>
      </c>
      <c r="L438" s="428">
        <v>25.3</v>
      </c>
      <c r="M438" s="428">
        <v>0.51500000000000001</v>
      </c>
      <c r="N438" s="428">
        <v>11.875</v>
      </c>
      <c r="O438" s="51" t="s">
        <v>48</v>
      </c>
      <c r="P438" s="51">
        <v>4</v>
      </c>
      <c r="Q438" s="51">
        <v>10</v>
      </c>
      <c r="R438" s="51" t="s">
        <v>64</v>
      </c>
      <c r="S438" s="51" t="s">
        <v>50</v>
      </c>
      <c r="T438" s="51" t="s">
        <v>50</v>
      </c>
      <c r="U438" s="51" t="s">
        <v>50</v>
      </c>
      <c r="V438" s="51" t="s">
        <v>50</v>
      </c>
      <c r="W438" s="51" t="s">
        <v>50</v>
      </c>
      <c r="X438" s="51" t="s">
        <v>50</v>
      </c>
    </row>
    <row r="439" spans="1:26" s="437" customFormat="1" x14ac:dyDescent="0.25">
      <c r="A439" s="476">
        <v>43508</v>
      </c>
      <c r="B439" s="437" t="s">
        <v>70</v>
      </c>
      <c r="C439" s="437" t="s">
        <v>95</v>
      </c>
      <c r="D439" s="437">
        <v>38.050330000000002</v>
      </c>
      <c r="E439" s="437">
        <v>-121.69495999999999</v>
      </c>
      <c r="F439" s="437" t="s">
        <v>5232</v>
      </c>
      <c r="G439" s="437" t="s">
        <v>27</v>
      </c>
      <c r="H439" s="437" t="s">
        <v>863</v>
      </c>
      <c r="I439" s="438">
        <v>0.3743055555555555</v>
      </c>
      <c r="J439" s="439">
        <v>146.22500000000002</v>
      </c>
      <c r="K439" s="439">
        <v>9.75</v>
      </c>
      <c r="L439" s="439">
        <v>26.599999999999998</v>
      </c>
      <c r="M439" s="439">
        <v>0.51249999999999996</v>
      </c>
      <c r="N439" s="439">
        <v>11.649999999999999</v>
      </c>
      <c r="O439" s="437" t="s">
        <v>48</v>
      </c>
      <c r="P439" s="437">
        <v>4</v>
      </c>
      <c r="Q439" s="437">
        <v>10</v>
      </c>
      <c r="R439" s="437" t="s">
        <v>64</v>
      </c>
      <c r="S439" s="437" t="s">
        <v>622</v>
      </c>
      <c r="T439" s="437">
        <v>1</v>
      </c>
      <c r="U439" s="437">
        <v>211</v>
      </c>
      <c r="V439" s="437" t="s">
        <v>50</v>
      </c>
      <c r="W439" s="437">
        <v>5</v>
      </c>
      <c r="X439" s="437" t="s">
        <v>2525</v>
      </c>
      <c r="Y439" s="440"/>
    </row>
    <row r="440" spans="1:26" s="437" customFormat="1" x14ac:dyDescent="0.25">
      <c r="A440" s="476">
        <v>43508</v>
      </c>
      <c r="B440" s="437" t="s">
        <v>70</v>
      </c>
      <c r="C440" s="437" t="s">
        <v>95</v>
      </c>
      <c r="D440" s="437">
        <v>38.055590000000002</v>
      </c>
      <c r="E440" s="437">
        <v>-121.52903999999999</v>
      </c>
      <c r="F440" s="437" t="s">
        <v>5233</v>
      </c>
      <c r="G440" s="437" t="s">
        <v>46</v>
      </c>
      <c r="H440" s="437" t="s">
        <v>115</v>
      </c>
      <c r="I440" s="438">
        <v>0.44930555555555557</v>
      </c>
      <c r="J440" s="439">
        <v>213.3</v>
      </c>
      <c r="K440" s="439">
        <v>9.9</v>
      </c>
      <c r="L440" s="439">
        <v>12.65</v>
      </c>
      <c r="M440" s="439">
        <v>1.02</v>
      </c>
      <c r="N440" s="439">
        <v>12.274999999999999</v>
      </c>
      <c r="O440" s="437" t="s">
        <v>48</v>
      </c>
      <c r="P440" s="437">
        <v>4</v>
      </c>
      <c r="Q440" s="437">
        <v>10</v>
      </c>
      <c r="R440" s="437" t="s">
        <v>49</v>
      </c>
      <c r="S440" s="437" t="s">
        <v>702</v>
      </c>
      <c r="T440" s="437">
        <v>1</v>
      </c>
      <c r="U440" s="437">
        <v>53</v>
      </c>
      <c r="V440" s="437" t="s">
        <v>50</v>
      </c>
      <c r="W440" s="437">
        <v>3</v>
      </c>
      <c r="X440" s="437" t="s">
        <v>50</v>
      </c>
      <c r="Y440" s="440" t="s">
        <v>5234</v>
      </c>
    </row>
    <row r="441" spans="1:26" x14ac:dyDescent="0.25">
      <c r="A441" s="443">
        <v>43508</v>
      </c>
      <c r="B441" s="51" t="s">
        <v>70</v>
      </c>
      <c r="C441" s="51" t="s">
        <v>78</v>
      </c>
      <c r="D441" s="51">
        <v>38.063890000000001</v>
      </c>
      <c r="E441" s="51">
        <v>-122.02337</v>
      </c>
      <c r="F441" s="51" t="s">
        <v>5235</v>
      </c>
      <c r="G441" s="51" t="s">
        <v>27</v>
      </c>
      <c r="H441" s="51" t="s">
        <v>86</v>
      </c>
      <c r="I441" s="66">
        <v>0.33124999999999999</v>
      </c>
      <c r="J441" s="428">
        <v>1217.5</v>
      </c>
      <c r="K441" s="428">
        <v>9.8500000000000014</v>
      </c>
      <c r="L441" s="428">
        <v>37.875</v>
      </c>
      <c r="M441" s="428">
        <v>0.39250000000000002</v>
      </c>
      <c r="N441" s="428">
        <v>10.75</v>
      </c>
      <c r="O441" s="51" t="s">
        <v>48</v>
      </c>
      <c r="P441" s="51">
        <v>4</v>
      </c>
      <c r="Q441" s="51">
        <v>10</v>
      </c>
      <c r="R441" s="51" t="s">
        <v>64</v>
      </c>
      <c r="S441" s="51" t="s">
        <v>50</v>
      </c>
      <c r="T441" s="51" t="s">
        <v>50</v>
      </c>
      <c r="U441" s="51" t="s">
        <v>50</v>
      </c>
      <c r="V441" s="51" t="s">
        <v>50</v>
      </c>
      <c r="W441" s="51" t="s">
        <v>50</v>
      </c>
      <c r="X441" s="51" t="s">
        <v>50</v>
      </c>
      <c r="Y441" s="52" t="s">
        <v>4716</v>
      </c>
    </row>
    <row r="442" spans="1:26" x14ac:dyDescent="0.25">
      <c r="A442" s="443">
        <v>43508</v>
      </c>
      <c r="B442" s="51" t="s">
        <v>70</v>
      </c>
      <c r="C442" s="51" t="s">
        <v>78</v>
      </c>
      <c r="D442" s="51">
        <v>38.069510000000001</v>
      </c>
      <c r="E442" s="51">
        <v>-122.10064</v>
      </c>
      <c r="F442" s="51" t="s">
        <v>5236</v>
      </c>
      <c r="G442" s="51" t="s">
        <v>80</v>
      </c>
      <c r="H442" s="51" t="s">
        <v>81</v>
      </c>
      <c r="I442" s="66">
        <v>0.38541666666666669</v>
      </c>
      <c r="J442" s="428">
        <v>2778.5</v>
      </c>
      <c r="K442" s="428">
        <v>9.7750000000000004</v>
      </c>
      <c r="L442" s="428">
        <v>42.149999999999991</v>
      </c>
      <c r="M442" s="428">
        <v>0.39749999999999996</v>
      </c>
      <c r="N442" s="428">
        <v>9.1000000000000014</v>
      </c>
      <c r="O442" s="51" t="s">
        <v>48</v>
      </c>
      <c r="P442" s="51">
        <v>4</v>
      </c>
      <c r="Q442" s="51">
        <v>10</v>
      </c>
      <c r="R442" s="51" t="s">
        <v>49</v>
      </c>
      <c r="S442" s="51" t="s">
        <v>50</v>
      </c>
      <c r="T442" s="51" t="s">
        <v>50</v>
      </c>
      <c r="U442" s="51" t="s">
        <v>50</v>
      </c>
      <c r="V442" s="51" t="s">
        <v>50</v>
      </c>
      <c r="W442" s="51" t="s">
        <v>50</v>
      </c>
      <c r="X442" s="51" t="s">
        <v>50</v>
      </c>
    </row>
    <row r="443" spans="1:26" s="437" customFormat="1" x14ac:dyDescent="0.25">
      <c r="A443" s="476">
        <v>43508</v>
      </c>
      <c r="B443" s="437" t="s">
        <v>70</v>
      </c>
      <c r="C443" s="437" t="s">
        <v>78</v>
      </c>
      <c r="D443" s="437">
        <v>38.099269999999997</v>
      </c>
      <c r="E443" s="437">
        <v>-122.05298000000001</v>
      </c>
      <c r="F443" s="437" t="s">
        <v>5237</v>
      </c>
      <c r="G443" s="437" t="s">
        <v>27</v>
      </c>
      <c r="H443" s="437" t="s">
        <v>86</v>
      </c>
      <c r="I443" s="438">
        <v>0.44027777777777777</v>
      </c>
      <c r="J443" s="439">
        <v>474.5</v>
      </c>
      <c r="K443" s="439">
        <v>9.75</v>
      </c>
      <c r="L443" s="439">
        <v>61.249999999999993</v>
      </c>
      <c r="M443" s="439">
        <v>0.38250000000000006</v>
      </c>
      <c r="N443" s="439">
        <v>6.8249999999999993</v>
      </c>
      <c r="O443" s="437" t="s">
        <v>48</v>
      </c>
      <c r="P443" s="437">
        <v>4</v>
      </c>
      <c r="Q443" s="437">
        <v>10</v>
      </c>
      <c r="R443" s="437" t="s">
        <v>49</v>
      </c>
      <c r="S443" s="437" t="s">
        <v>31</v>
      </c>
      <c r="T443" s="437">
        <v>1</v>
      </c>
      <c r="U443" s="437">
        <v>75</v>
      </c>
      <c r="V443" s="437" t="s">
        <v>66</v>
      </c>
      <c r="W443" s="437" t="s">
        <v>50</v>
      </c>
      <c r="X443" s="437" t="s">
        <v>50</v>
      </c>
    </row>
    <row r="444" spans="1:26" x14ac:dyDescent="0.25">
      <c r="A444" s="443">
        <v>43508</v>
      </c>
      <c r="B444" s="51" t="s">
        <v>70</v>
      </c>
      <c r="C444" s="51" t="s">
        <v>78</v>
      </c>
      <c r="D444" s="51">
        <v>38.088749999999997</v>
      </c>
      <c r="E444" s="51">
        <v>-122.00962</v>
      </c>
      <c r="F444" s="51" t="s">
        <v>5238</v>
      </c>
      <c r="G444" s="51" t="s">
        <v>27</v>
      </c>
      <c r="H444" s="51" t="s">
        <v>86</v>
      </c>
      <c r="I444" s="66">
        <v>0.49374999999999997</v>
      </c>
      <c r="J444" s="428">
        <v>268.14999999999998</v>
      </c>
      <c r="K444" s="428">
        <v>9.5749999999999993</v>
      </c>
      <c r="L444" s="428">
        <v>56.650000000000006</v>
      </c>
      <c r="M444" s="428">
        <v>0.35250000000000004</v>
      </c>
      <c r="N444" s="428">
        <v>9.2000000000000011</v>
      </c>
      <c r="O444" s="51" t="s">
        <v>48</v>
      </c>
      <c r="P444" s="51">
        <v>4</v>
      </c>
      <c r="Q444" s="51">
        <v>10</v>
      </c>
      <c r="R444" s="51" t="s">
        <v>49</v>
      </c>
      <c r="S444" s="51" t="s">
        <v>50</v>
      </c>
      <c r="T444" s="51" t="s">
        <v>50</v>
      </c>
      <c r="U444" s="51" t="s">
        <v>50</v>
      </c>
      <c r="V444" s="51" t="s">
        <v>50</v>
      </c>
      <c r="W444" s="51" t="s">
        <v>50</v>
      </c>
      <c r="X444" s="51" t="s">
        <v>50</v>
      </c>
      <c r="Y444" s="51"/>
    </row>
    <row r="445" spans="1:26" s="437" customFormat="1" x14ac:dyDescent="0.25">
      <c r="A445" s="476">
        <v>43508</v>
      </c>
      <c r="B445" s="437" t="s">
        <v>70</v>
      </c>
      <c r="C445" s="437" t="s">
        <v>88</v>
      </c>
      <c r="D445" s="437">
        <v>38.157339999999998</v>
      </c>
      <c r="E445" s="437">
        <v>-121.68019</v>
      </c>
      <c r="F445" s="437" t="s">
        <v>5239</v>
      </c>
      <c r="G445" s="437" t="s">
        <v>90</v>
      </c>
      <c r="H445" s="437" t="s">
        <v>91</v>
      </c>
      <c r="I445" s="438">
        <v>0.30902777777777779</v>
      </c>
      <c r="J445" s="439">
        <v>119.325</v>
      </c>
      <c r="K445" s="439">
        <v>9</v>
      </c>
      <c r="L445" s="439">
        <v>34.725000000000001</v>
      </c>
      <c r="M445" s="439">
        <v>0.45</v>
      </c>
      <c r="N445" s="439">
        <v>6.6</v>
      </c>
      <c r="O445" s="437" t="s">
        <v>48</v>
      </c>
      <c r="P445" s="437">
        <v>4</v>
      </c>
      <c r="Q445" s="437">
        <v>10</v>
      </c>
      <c r="R445" s="437" t="s">
        <v>64</v>
      </c>
      <c r="S445" s="437" t="s">
        <v>758</v>
      </c>
      <c r="T445" s="437">
        <v>1</v>
      </c>
      <c r="U445" s="437">
        <v>93</v>
      </c>
      <c r="V445" s="437" t="s">
        <v>50</v>
      </c>
      <c r="W445" s="437">
        <v>4</v>
      </c>
      <c r="X445" s="437" t="s">
        <v>50</v>
      </c>
    </row>
    <row r="446" spans="1:26" s="437" customFormat="1" x14ac:dyDescent="0.25">
      <c r="A446" s="476">
        <v>43508</v>
      </c>
      <c r="B446" s="437" t="s">
        <v>70</v>
      </c>
      <c r="C446" s="437" t="s">
        <v>88</v>
      </c>
      <c r="D446" s="437">
        <v>38.157339999999998</v>
      </c>
      <c r="E446" s="437">
        <v>-121.68019</v>
      </c>
      <c r="F446" s="437" t="s">
        <v>5239</v>
      </c>
      <c r="G446" s="437" t="s">
        <v>90</v>
      </c>
      <c r="H446" s="437" t="s">
        <v>91</v>
      </c>
      <c r="I446" s="438">
        <v>0.30902777777777779</v>
      </c>
      <c r="J446" s="439"/>
      <c r="K446" s="439"/>
      <c r="L446" s="439"/>
      <c r="M446" s="439"/>
      <c r="N446" s="439"/>
      <c r="S446" s="437" t="s">
        <v>702</v>
      </c>
      <c r="T446" s="437">
        <v>2</v>
      </c>
      <c r="U446" s="437" t="s">
        <v>5240</v>
      </c>
      <c r="V446" s="437" t="s">
        <v>50</v>
      </c>
      <c r="W446" s="437" t="s">
        <v>50</v>
      </c>
      <c r="X446" s="437" t="s">
        <v>50</v>
      </c>
      <c r="Y446" s="440" t="s">
        <v>5241</v>
      </c>
    </row>
    <row r="447" spans="1:26" s="437" customFormat="1" x14ac:dyDescent="0.25">
      <c r="A447" s="476">
        <v>43508</v>
      </c>
      <c r="B447" s="437" t="s">
        <v>70</v>
      </c>
      <c r="C447" s="437" t="s">
        <v>88</v>
      </c>
      <c r="D447" s="437">
        <v>38.122340000000001</v>
      </c>
      <c r="E447" s="437">
        <v>-121.69945</v>
      </c>
      <c r="F447" s="437" t="s">
        <v>5242</v>
      </c>
      <c r="G447" s="437" t="s">
        <v>90</v>
      </c>
      <c r="H447" s="437" t="s">
        <v>91</v>
      </c>
      <c r="I447" s="438">
        <v>0.35694444444444445</v>
      </c>
      <c r="J447" s="439">
        <v>151.125</v>
      </c>
      <c r="K447" s="439">
        <v>9.1</v>
      </c>
      <c r="L447" s="439">
        <v>41.924999999999997</v>
      </c>
      <c r="M447" s="439">
        <v>0.4425</v>
      </c>
      <c r="N447" s="439">
        <v>10.6</v>
      </c>
      <c r="O447" s="437" t="s">
        <v>48</v>
      </c>
      <c r="P447" s="437">
        <v>4</v>
      </c>
      <c r="Q447" s="437">
        <v>10</v>
      </c>
      <c r="R447" s="437" t="s">
        <v>49</v>
      </c>
      <c r="S447" s="437" t="s">
        <v>31</v>
      </c>
      <c r="T447" s="437">
        <v>1</v>
      </c>
      <c r="U447" s="437">
        <v>78</v>
      </c>
      <c r="V447" s="437" t="s">
        <v>355</v>
      </c>
      <c r="W447" s="437" t="s">
        <v>50</v>
      </c>
      <c r="X447" s="437" t="s">
        <v>50</v>
      </c>
    </row>
    <row r="448" spans="1:26" s="437" customFormat="1" x14ac:dyDescent="0.25">
      <c r="A448" s="476">
        <v>43508</v>
      </c>
      <c r="B448" s="437" t="s">
        <v>70</v>
      </c>
      <c r="C448" s="437" t="s">
        <v>88</v>
      </c>
      <c r="D448" s="437">
        <v>38.122340000000001</v>
      </c>
      <c r="E448" s="437">
        <v>-121.69945</v>
      </c>
      <c r="F448" s="437" t="s">
        <v>5242</v>
      </c>
      <c r="G448" s="437" t="s">
        <v>90</v>
      </c>
      <c r="H448" s="437" t="s">
        <v>91</v>
      </c>
      <c r="I448" s="438">
        <v>0.35694444444444445</v>
      </c>
      <c r="J448" s="439"/>
      <c r="K448" s="439"/>
      <c r="L448" s="439"/>
      <c r="M448" s="439"/>
      <c r="N448" s="439"/>
      <c r="S448" s="437" t="s">
        <v>622</v>
      </c>
      <c r="T448" s="437">
        <v>1</v>
      </c>
      <c r="U448" s="437">
        <v>201</v>
      </c>
      <c r="V448" s="437" t="s">
        <v>50</v>
      </c>
      <c r="W448" s="437">
        <v>5</v>
      </c>
      <c r="X448" s="437" t="s">
        <v>2525</v>
      </c>
      <c r="Y448" s="440" t="s">
        <v>3276</v>
      </c>
    </row>
    <row r="449" spans="1:25" s="431" customFormat="1" x14ac:dyDescent="0.25">
      <c r="A449" s="447">
        <v>43508</v>
      </c>
      <c r="B449" s="431" t="s">
        <v>70</v>
      </c>
      <c r="C449" s="431" t="s">
        <v>88</v>
      </c>
      <c r="D449" s="431">
        <v>38.058210000000003</v>
      </c>
      <c r="E449" s="431">
        <v>-121.79391</v>
      </c>
      <c r="F449" s="431" t="s">
        <v>5243</v>
      </c>
      <c r="G449" s="431" t="s">
        <v>27</v>
      </c>
      <c r="H449" s="431" t="s">
        <v>25</v>
      </c>
      <c r="I449" s="432">
        <v>0.4152777777777778</v>
      </c>
      <c r="J449" s="433">
        <v>137.85</v>
      </c>
      <c r="K449" s="433">
        <v>9.5500000000000007</v>
      </c>
      <c r="L449" s="433">
        <v>35.5</v>
      </c>
      <c r="M449" s="433">
        <v>0.51</v>
      </c>
      <c r="N449" s="433">
        <v>9.85</v>
      </c>
      <c r="O449" s="431" t="s">
        <v>48</v>
      </c>
      <c r="P449" s="431">
        <v>2</v>
      </c>
      <c r="Q449" s="431">
        <v>10</v>
      </c>
      <c r="R449" s="431" t="s">
        <v>49</v>
      </c>
      <c r="S449" s="431" t="s">
        <v>323</v>
      </c>
      <c r="T449" s="431">
        <v>1</v>
      </c>
      <c r="U449" s="431">
        <v>69</v>
      </c>
      <c r="V449" s="431" t="s">
        <v>355</v>
      </c>
      <c r="W449" s="431" t="s">
        <v>50</v>
      </c>
      <c r="X449" s="431" t="s">
        <v>50</v>
      </c>
      <c r="Y449" s="448" t="s">
        <v>5244</v>
      </c>
    </row>
    <row r="450" spans="1:25" s="437" customFormat="1" x14ac:dyDescent="0.25">
      <c r="A450" s="476">
        <v>43508</v>
      </c>
      <c r="B450" s="437" t="s">
        <v>70</v>
      </c>
      <c r="C450" s="437" t="s">
        <v>88</v>
      </c>
      <c r="D450" s="437">
        <v>38.093530000000001</v>
      </c>
      <c r="E450" s="437">
        <v>-121.73511999999999</v>
      </c>
      <c r="F450" s="437" t="s">
        <v>5245</v>
      </c>
      <c r="G450" s="437" t="s">
        <v>90</v>
      </c>
      <c r="H450" s="437" t="s">
        <v>91</v>
      </c>
      <c r="I450" s="438">
        <v>0.4458333333333333</v>
      </c>
      <c r="J450" s="439">
        <v>136.52500000000001</v>
      </c>
      <c r="K450" s="439">
        <v>9.0750000000000011</v>
      </c>
      <c r="L450" s="439">
        <v>38.200000000000003</v>
      </c>
      <c r="M450" s="439">
        <v>0.47499999999999998</v>
      </c>
      <c r="N450" s="439">
        <v>10.074999999999999</v>
      </c>
      <c r="O450" s="437" t="s">
        <v>48</v>
      </c>
      <c r="P450" s="437">
        <v>4</v>
      </c>
      <c r="Q450" s="437">
        <v>10</v>
      </c>
      <c r="R450" s="437" t="s">
        <v>49</v>
      </c>
      <c r="S450" s="437" t="s">
        <v>702</v>
      </c>
      <c r="T450" s="437">
        <v>1</v>
      </c>
      <c r="U450" s="437">
        <v>39</v>
      </c>
      <c r="V450" s="437" t="s">
        <v>50</v>
      </c>
      <c r="W450" s="437">
        <v>2</v>
      </c>
      <c r="X450" s="437" t="s">
        <v>50</v>
      </c>
      <c r="Y450" s="440"/>
    </row>
    <row r="451" spans="1:25" s="437" customFormat="1" x14ac:dyDescent="0.25">
      <c r="A451" s="476">
        <v>43508</v>
      </c>
      <c r="B451" s="437" t="s">
        <v>70</v>
      </c>
      <c r="C451" s="437" t="s">
        <v>88</v>
      </c>
      <c r="D451" s="437">
        <v>38.093530000000001</v>
      </c>
      <c r="E451" s="437">
        <v>-121.73511999999999</v>
      </c>
      <c r="F451" s="437" t="s">
        <v>5245</v>
      </c>
      <c r="G451" s="437" t="s">
        <v>90</v>
      </c>
      <c r="H451" s="437" t="s">
        <v>91</v>
      </c>
      <c r="I451" s="438">
        <v>0.4458333333333333</v>
      </c>
      <c r="J451" s="439"/>
      <c r="K451" s="439"/>
      <c r="L451" s="439"/>
      <c r="M451" s="439"/>
      <c r="N451" s="439"/>
      <c r="S451" s="437" t="s">
        <v>622</v>
      </c>
      <c r="T451" s="437">
        <v>1</v>
      </c>
      <c r="U451" s="437">
        <v>213</v>
      </c>
      <c r="V451" s="437" t="s">
        <v>50</v>
      </c>
      <c r="W451" s="437">
        <v>5</v>
      </c>
      <c r="X451" s="437" t="s">
        <v>2525</v>
      </c>
      <c r="Y451" s="440"/>
    </row>
    <row r="452" spans="1:25" x14ac:dyDescent="0.25">
      <c r="A452" s="443">
        <v>43510</v>
      </c>
      <c r="B452" s="51" t="s">
        <v>105</v>
      </c>
      <c r="C452" s="51" t="s">
        <v>44</v>
      </c>
      <c r="D452" s="51">
        <v>38.036270000000002</v>
      </c>
      <c r="E452" s="51">
        <v>-121.60715999999999</v>
      </c>
      <c r="F452" s="51" t="s">
        <v>5246</v>
      </c>
      <c r="G452" s="51" t="s">
        <v>46</v>
      </c>
      <c r="H452" s="51" t="s">
        <v>47</v>
      </c>
      <c r="I452" s="66">
        <v>0.34791666666666665</v>
      </c>
      <c r="J452" s="428">
        <v>252.97499999999999</v>
      </c>
      <c r="K452" s="428">
        <v>10.3</v>
      </c>
      <c r="L452" s="428">
        <v>62.225000000000001</v>
      </c>
      <c r="M452" s="428">
        <v>0.24</v>
      </c>
      <c r="N452" s="428">
        <v>3.35</v>
      </c>
      <c r="O452" s="51" t="s">
        <v>48</v>
      </c>
      <c r="P452" s="51">
        <v>4</v>
      </c>
      <c r="Q452" s="51">
        <v>10</v>
      </c>
      <c r="R452" s="51" t="s">
        <v>64</v>
      </c>
      <c r="S452" s="51" t="s">
        <v>50</v>
      </c>
      <c r="T452" s="51" t="s">
        <v>50</v>
      </c>
      <c r="U452" s="51" t="s">
        <v>50</v>
      </c>
      <c r="V452" s="51" t="s">
        <v>50</v>
      </c>
      <c r="W452" s="51" t="s">
        <v>50</v>
      </c>
      <c r="X452" s="51" t="s">
        <v>50</v>
      </c>
      <c r="Y452" s="52" t="s">
        <v>5247</v>
      </c>
    </row>
    <row r="453" spans="1:25" x14ac:dyDescent="0.25">
      <c r="A453" s="443">
        <v>43510</v>
      </c>
      <c r="B453" s="51" t="s">
        <v>105</v>
      </c>
      <c r="C453" s="51" t="s">
        <v>44</v>
      </c>
      <c r="D453" s="51">
        <v>37.83426</v>
      </c>
      <c r="E453" s="51">
        <v>-121.55468</v>
      </c>
      <c r="F453" s="51" t="s">
        <v>5248</v>
      </c>
      <c r="G453" s="51" t="s">
        <v>46</v>
      </c>
      <c r="H453" s="51" t="s">
        <v>202</v>
      </c>
      <c r="I453" s="66">
        <v>0.4284722222222222</v>
      </c>
      <c r="J453" s="428">
        <v>415.27499999999998</v>
      </c>
      <c r="K453" s="428">
        <v>10.6</v>
      </c>
      <c r="L453" s="428">
        <v>24.074999999999999</v>
      </c>
      <c r="M453" s="428">
        <v>0.69750000000000001</v>
      </c>
      <c r="N453" s="428">
        <v>8.9</v>
      </c>
      <c r="O453" s="51" t="s">
        <v>48</v>
      </c>
      <c r="P453" s="51">
        <v>4</v>
      </c>
      <c r="Q453" s="51">
        <v>10</v>
      </c>
      <c r="R453" s="51" t="s">
        <v>64</v>
      </c>
      <c r="S453" s="51" t="s">
        <v>50</v>
      </c>
      <c r="T453" s="51" t="s">
        <v>50</v>
      </c>
      <c r="U453" s="51" t="s">
        <v>50</v>
      </c>
      <c r="V453" s="51" t="s">
        <v>50</v>
      </c>
      <c r="W453" s="51" t="s">
        <v>50</v>
      </c>
      <c r="X453" s="51" t="s">
        <v>50</v>
      </c>
    </row>
    <row r="454" spans="1:25" x14ac:dyDescent="0.25">
      <c r="A454" s="443">
        <v>43511</v>
      </c>
      <c r="B454" s="51" t="s">
        <v>125</v>
      </c>
      <c r="C454" s="51" t="s">
        <v>845</v>
      </c>
      <c r="D454" s="51">
        <v>38.333509999999997</v>
      </c>
      <c r="E454" s="51">
        <v>-121.65085000000001</v>
      </c>
      <c r="F454" s="51" t="s">
        <v>5249</v>
      </c>
      <c r="G454" s="51" t="s">
        <v>90</v>
      </c>
      <c r="H454" s="51" t="s">
        <v>126</v>
      </c>
      <c r="I454" s="66">
        <v>0.37083333333333335</v>
      </c>
      <c r="J454" s="428">
        <v>251.55</v>
      </c>
      <c r="K454" s="428">
        <v>10.125</v>
      </c>
      <c r="L454" s="428">
        <v>436</v>
      </c>
      <c r="M454" s="428">
        <v>7.2499999999999995E-2</v>
      </c>
      <c r="N454" s="428">
        <v>5</v>
      </c>
      <c r="O454" s="51" t="s">
        <v>48</v>
      </c>
      <c r="P454" s="51">
        <v>4</v>
      </c>
      <c r="Q454" s="51">
        <v>10</v>
      </c>
      <c r="R454" s="51" t="s">
        <v>49</v>
      </c>
      <c r="S454" s="51" t="s">
        <v>50</v>
      </c>
      <c r="T454" s="51" t="s">
        <v>50</v>
      </c>
      <c r="U454" s="51" t="s">
        <v>50</v>
      </c>
      <c r="V454" s="51" t="s">
        <v>50</v>
      </c>
      <c r="W454" s="51" t="s">
        <v>50</v>
      </c>
      <c r="X454" s="51" t="s">
        <v>50</v>
      </c>
      <c r="Y454" s="52" t="s">
        <v>5250</v>
      </c>
    </row>
    <row r="455" spans="1:25" x14ac:dyDescent="0.25">
      <c r="A455" s="443">
        <v>43511</v>
      </c>
      <c r="B455" s="51" t="s">
        <v>125</v>
      </c>
      <c r="C455" s="51" t="s">
        <v>845</v>
      </c>
      <c r="D455" s="51">
        <v>38.26641</v>
      </c>
      <c r="E455" s="51">
        <v>-121.69725</v>
      </c>
      <c r="F455" s="51" t="s">
        <v>5251</v>
      </c>
      <c r="G455" s="51" t="s">
        <v>90</v>
      </c>
      <c r="H455" s="51" t="s">
        <v>126</v>
      </c>
      <c r="I455" s="66">
        <v>0.44027777777777777</v>
      </c>
      <c r="J455" s="428">
        <v>184.2</v>
      </c>
      <c r="K455" s="428">
        <v>10.574999999999999</v>
      </c>
      <c r="L455" s="428">
        <v>193.5</v>
      </c>
      <c r="M455" s="428">
        <v>0.10249999999999999</v>
      </c>
      <c r="N455" s="428">
        <v>4.3</v>
      </c>
      <c r="O455" s="51" t="s">
        <v>48</v>
      </c>
      <c r="P455" s="51">
        <v>4</v>
      </c>
      <c r="Q455" s="51">
        <v>10</v>
      </c>
      <c r="R455" s="51" t="s">
        <v>49</v>
      </c>
      <c r="S455" s="51" t="s">
        <v>50</v>
      </c>
      <c r="T455" s="51" t="s">
        <v>50</v>
      </c>
      <c r="U455" s="51" t="s">
        <v>50</v>
      </c>
      <c r="V455" s="51" t="s">
        <v>50</v>
      </c>
      <c r="W455" s="51" t="s">
        <v>50</v>
      </c>
      <c r="X455" s="51" t="s">
        <v>50</v>
      </c>
    </row>
    <row r="456" spans="1:25" x14ac:dyDescent="0.25">
      <c r="A456" s="443">
        <v>43511</v>
      </c>
      <c r="B456" s="51" t="s">
        <v>125</v>
      </c>
      <c r="C456" s="51" t="s">
        <v>118</v>
      </c>
      <c r="D456" s="51">
        <v>38.062559999999998</v>
      </c>
      <c r="E456" s="51">
        <v>-121.24101</v>
      </c>
      <c r="F456" s="51" t="s">
        <v>5252</v>
      </c>
      <c r="G456" s="51" t="s">
        <v>80</v>
      </c>
      <c r="H456" s="51" t="s">
        <v>120</v>
      </c>
      <c r="I456" s="66">
        <v>0.39513888888888887</v>
      </c>
      <c r="J456" s="428">
        <v>9455.33</v>
      </c>
      <c r="K456" s="428">
        <v>10.433</v>
      </c>
      <c r="L456" s="428">
        <v>25.8</v>
      </c>
      <c r="M456" s="428">
        <v>0.49</v>
      </c>
      <c r="N456" s="428">
        <v>17.033000000000001</v>
      </c>
      <c r="O456" s="51" t="s">
        <v>48</v>
      </c>
      <c r="P456" s="51">
        <v>3</v>
      </c>
      <c r="Q456" s="51">
        <v>10</v>
      </c>
      <c r="R456" s="51" t="s">
        <v>64</v>
      </c>
      <c r="S456" s="51" t="s">
        <v>50</v>
      </c>
      <c r="T456" s="51" t="s">
        <v>50</v>
      </c>
      <c r="U456" s="51" t="s">
        <v>50</v>
      </c>
      <c r="V456" s="51" t="s">
        <v>50</v>
      </c>
      <c r="W456" s="51" t="s">
        <v>50</v>
      </c>
      <c r="X456" s="51" t="s">
        <v>50</v>
      </c>
      <c r="Y456" s="52" t="s">
        <v>5253</v>
      </c>
    </row>
    <row r="457" spans="1:25" s="481" customFormat="1" x14ac:dyDescent="0.25">
      <c r="A457" s="480">
        <v>43511</v>
      </c>
      <c r="B457" s="481" t="s">
        <v>125</v>
      </c>
      <c r="C457" s="481" t="s">
        <v>118</v>
      </c>
      <c r="D457" s="481">
        <v>38.040619999999997</v>
      </c>
      <c r="E457" s="481">
        <v>-122.16481</v>
      </c>
      <c r="F457" s="481" t="s">
        <v>5254</v>
      </c>
      <c r="G457" s="481" t="s">
        <v>80</v>
      </c>
      <c r="H457" s="481" t="s">
        <v>120</v>
      </c>
      <c r="I457" s="482">
        <v>0.49583333333333335</v>
      </c>
      <c r="J457" s="483">
        <v>7455.25</v>
      </c>
      <c r="K457" s="483">
        <v>10.425000000000001</v>
      </c>
      <c r="L457" s="483">
        <v>31</v>
      </c>
      <c r="M457" s="483">
        <v>0.51249999999999996</v>
      </c>
      <c r="N457" s="483">
        <v>16.074999999999999</v>
      </c>
      <c r="O457" s="481" t="s">
        <v>48</v>
      </c>
      <c r="P457" s="481">
        <v>4</v>
      </c>
      <c r="Q457" s="481">
        <v>10</v>
      </c>
      <c r="R457" s="481" t="s">
        <v>49</v>
      </c>
      <c r="S457" s="481" t="s">
        <v>622</v>
      </c>
      <c r="T457" s="481">
        <v>1</v>
      </c>
      <c r="U457" s="481">
        <v>167</v>
      </c>
      <c r="V457" s="481" t="s">
        <v>50</v>
      </c>
      <c r="W457" s="481">
        <v>5</v>
      </c>
      <c r="X457" s="481" t="s">
        <v>2525</v>
      </c>
      <c r="Y457" s="484"/>
    </row>
    <row r="458" spans="1:25" s="437" customFormat="1" x14ac:dyDescent="0.25">
      <c r="A458" s="476">
        <v>43515</v>
      </c>
      <c r="B458" s="437" t="s">
        <v>70</v>
      </c>
      <c r="C458" s="437" t="s">
        <v>106</v>
      </c>
      <c r="D458" s="437">
        <v>38.208269999999999</v>
      </c>
      <c r="E458" s="437">
        <v>-121.65954000000001</v>
      </c>
      <c r="F458" s="437" t="s">
        <v>5255</v>
      </c>
      <c r="G458" s="437" t="s">
        <v>90</v>
      </c>
      <c r="H458" s="437" t="s">
        <v>362</v>
      </c>
      <c r="I458" s="438">
        <v>0.31944444444444448</v>
      </c>
      <c r="J458" s="439">
        <v>81.275000000000006</v>
      </c>
      <c r="K458" s="439">
        <v>7.9249999999999998</v>
      </c>
      <c r="L458" s="439">
        <v>193</v>
      </c>
      <c r="M458" s="439">
        <v>0.12</v>
      </c>
      <c r="N458" s="439">
        <v>13.625</v>
      </c>
      <c r="O458" s="437" t="s">
        <v>48</v>
      </c>
      <c r="P458" s="437">
        <v>4</v>
      </c>
      <c r="Q458" s="437">
        <v>10</v>
      </c>
      <c r="R458" s="437" t="s">
        <v>49</v>
      </c>
      <c r="S458" s="437" t="s">
        <v>702</v>
      </c>
      <c r="T458" s="437">
        <v>2</v>
      </c>
      <c r="U458" s="437" t="s">
        <v>5256</v>
      </c>
      <c r="V458" s="437" t="s">
        <v>50</v>
      </c>
      <c r="W458" s="437">
        <v>2</v>
      </c>
      <c r="X458" s="437" t="s">
        <v>50</v>
      </c>
      <c r="Y458" s="440"/>
    </row>
    <row r="459" spans="1:25" s="437" customFormat="1" x14ac:dyDescent="0.25">
      <c r="A459" s="476">
        <v>43515</v>
      </c>
      <c r="B459" s="437" t="s">
        <v>70</v>
      </c>
      <c r="C459" s="437" t="s">
        <v>106</v>
      </c>
      <c r="D459" s="437">
        <v>38.252769999999998</v>
      </c>
      <c r="E459" s="437">
        <v>-121.66812</v>
      </c>
      <c r="F459" s="437" t="s">
        <v>5257</v>
      </c>
      <c r="G459" s="437" t="s">
        <v>90</v>
      </c>
      <c r="H459" s="437" t="s">
        <v>362</v>
      </c>
      <c r="I459" s="438">
        <v>0.38680555555555557</v>
      </c>
      <c r="J459" s="439">
        <v>149.65</v>
      </c>
      <c r="K459" s="439">
        <v>8.9499999999999993</v>
      </c>
      <c r="L459" s="439">
        <v>141.75</v>
      </c>
      <c r="M459" s="439">
        <v>0.1575</v>
      </c>
      <c r="N459" s="439">
        <v>6.8250000000000002</v>
      </c>
      <c r="O459" s="437" t="s">
        <v>48</v>
      </c>
      <c r="P459" s="437">
        <v>4</v>
      </c>
      <c r="Q459" s="437">
        <v>10</v>
      </c>
      <c r="R459" s="437" t="s">
        <v>49</v>
      </c>
      <c r="S459" s="437" t="s">
        <v>702</v>
      </c>
      <c r="T459" s="437">
        <v>1</v>
      </c>
      <c r="U459" s="437">
        <v>40</v>
      </c>
      <c r="V459" s="437" t="s">
        <v>50</v>
      </c>
      <c r="W459" s="437">
        <v>2</v>
      </c>
      <c r="X459" s="437" t="s">
        <v>50</v>
      </c>
      <c r="Y459" s="440"/>
    </row>
    <row r="460" spans="1:25" x14ac:dyDescent="0.25">
      <c r="A460" s="443">
        <v>43515</v>
      </c>
      <c r="B460" s="51" t="s">
        <v>70</v>
      </c>
      <c r="C460" s="51" t="s">
        <v>106</v>
      </c>
      <c r="D460" s="51">
        <v>38.349850000000004</v>
      </c>
      <c r="E460" s="51">
        <v>-121.64093</v>
      </c>
      <c r="F460" s="51" t="s">
        <v>5258</v>
      </c>
      <c r="G460" s="51" t="s">
        <v>90</v>
      </c>
      <c r="H460" s="51" t="s">
        <v>362</v>
      </c>
      <c r="I460" s="66">
        <v>0.43472222222222223</v>
      </c>
      <c r="J460" s="428">
        <v>348.17500000000001</v>
      </c>
      <c r="K460" s="428">
        <v>9.875</v>
      </c>
      <c r="L460" s="428">
        <v>88.275000000000006</v>
      </c>
      <c r="M460" s="428">
        <v>0.20250000000000001</v>
      </c>
      <c r="N460" s="428">
        <v>9.4250000000000007</v>
      </c>
      <c r="O460" s="51" t="s">
        <v>48</v>
      </c>
      <c r="P460" s="51">
        <v>4</v>
      </c>
      <c r="Q460" s="51">
        <v>10</v>
      </c>
      <c r="R460" s="51" t="s">
        <v>49</v>
      </c>
      <c r="S460" s="51" t="s">
        <v>50</v>
      </c>
      <c r="T460" s="51" t="s">
        <v>50</v>
      </c>
      <c r="U460" s="51" t="s">
        <v>50</v>
      </c>
      <c r="V460" s="51" t="s">
        <v>50</v>
      </c>
      <c r="W460" s="51" t="s">
        <v>50</v>
      </c>
      <c r="X460" s="51" t="s">
        <v>50</v>
      </c>
      <c r="Y460" s="52" t="s">
        <v>5259</v>
      </c>
    </row>
    <row r="461" spans="1:25" x14ac:dyDescent="0.25">
      <c r="A461" s="443">
        <v>43515</v>
      </c>
      <c r="B461" s="51" t="s">
        <v>70</v>
      </c>
      <c r="C461" s="51" t="s">
        <v>95</v>
      </c>
      <c r="D461" s="51">
        <v>38.02355</v>
      </c>
      <c r="E461" s="51">
        <v>-121.75596</v>
      </c>
      <c r="F461" s="51" t="s">
        <v>5260</v>
      </c>
      <c r="G461" s="51" t="s">
        <v>27</v>
      </c>
      <c r="H461" s="51" t="s">
        <v>863</v>
      </c>
      <c r="I461" s="66">
        <v>0.3215277777777778</v>
      </c>
      <c r="J461" s="428">
        <v>143.05000000000001</v>
      </c>
      <c r="K461" s="428">
        <v>9.3249999999999993</v>
      </c>
      <c r="L461" s="428">
        <v>51.05</v>
      </c>
      <c r="M461" s="428">
        <v>0.34250000000000003</v>
      </c>
      <c r="N461" s="428">
        <v>5.6</v>
      </c>
      <c r="O461" s="51" t="s">
        <v>48</v>
      </c>
      <c r="P461" s="51">
        <v>4</v>
      </c>
      <c r="Q461" s="51">
        <v>10</v>
      </c>
      <c r="R461" s="51" t="s">
        <v>49</v>
      </c>
      <c r="S461" s="51" t="s">
        <v>50</v>
      </c>
      <c r="T461" s="51" t="s">
        <v>50</v>
      </c>
      <c r="U461" s="51" t="s">
        <v>50</v>
      </c>
      <c r="V461" s="51" t="s">
        <v>50</v>
      </c>
      <c r="W461" s="51" t="s">
        <v>50</v>
      </c>
      <c r="X461" s="51" t="s">
        <v>50</v>
      </c>
    </row>
    <row r="462" spans="1:25" s="437" customFormat="1" x14ac:dyDescent="0.25">
      <c r="A462" s="476">
        <v>43515</v>
      </c>
      <c r="B462" s="437" t="s">
        <v>70</v>
      </c>
      <c r="C462" s="437" t="s">
        <v>95</v>
      </c>
      <c r="D462" s="437">
        <v>38.024540000000002</v>
      </c>
      <c r="E462" s="437">
        <v>-121.7466</v>
      </c>
      <c r="F462" s="437" t="s">
        <v>5261</v>
      </c>
      <c r="G462" s="437" t="s">
        <v>27</v>
      </c>
      <c r="H462" s="437" t="s">
        <v>863</v>
      </c>
      <c r="I462" s="438">
        <v>0.37013888888888885</v>
      </c>
      <c r="J462" s="439">
        <v>138.875</v>
      </c>
      <c r="K462" s="439">
        <v>9.35</v>
      </c>
      <c r="L462" s="439">
        <v>47.125</v>
      </c>
      <c r="M462" s="439">
        <v>0.40250000000000002</v>
      </c>
      <c r="N462" s="439">
        <v>6.875</v>
      </c>
      <c r="O462" s="437" t="s">
        <v>48</v>
      </c>
      <c r="P462" s="437">
        <v>4</v>
      </c>
      <c r="Q462" s="437">
        <v>10</v>
      </c>
      <c r="R462" s="437" t="s">
        <v>49</v>
      </c>
      <c r="S462" s="437" t="s">
        <v>622</v>
      </c>
      <c r="T462" s="437">
        <v>1</v>
      </c>
      <c r="U462" s="437">
        <v>215</v>
      </c>
      <c r="V462" s="437" t="s">
        <v>50</v>
      </c>
      <c r="W462" s="437">
        <v>5</v>
      </c>
      <c r="X462" s="437" t="s">
        <v>2525</v>
      </c>
      <c r="Y462" s="440"/>
    </row>
    <row r="463" spans="1:25" s="437" customFormat="1" x14ac:dyDescent="0.25">
      <c r="A463" s="476">
        <v>43515</v>
      </c>
      <c r="B463" s="437" t="s">
        <v>70</v>
      </c>
      <c r="C463" s="437" t="s">
        <v>95</v>
      </c>
      <c r="D463" s="437">
        <v>38.083599999999997</v>
      </c>
      <c r="E463" s="437">
        <v>-121.67731000000001</v>
      </c>
      <c r="F463" s="437" t="s">
        <v>5262</v>
      </c>
      <c r="G463" s="437" t="s">
        <v>46</v>
      </c>
      <c r="H463" s="437" t="s">
        <v>908</v>
      </c>
      <c r="I463" s="438">
        <v>0.44027777777777777</v>
      </c>
      <c r="J463" s="439">
        <v>107.5</v>
      </c>
      <c r="K463" s="439">
        <v>9.1999999999999993</v>
      </c>
      <c r="L463" s="439">
        <v>47.975000000000001</v>
      </c>
      <c r="M463" s="439">
        <v>0.3725</v>
      </c>
      <c r="N463" s="439">
        <v>9.7750000000000004</v>
      </c>
      <c r="O463" s="437" t="s">
        <v>48</v>
      </c>
      <c r="P463" s="437">
        <v>4</v>
      </c>
      <c r="Q463" s="437">
        <v>10</v>
      </c>
      <c r="R463" s="437" t="s">
        <v>49</v>
      </c>
      <c r="S463" s="437" t="s">
        <v>702</v>
      </c>
      <c r="T463" s="437">
        <v>5</v>
      </c>
      <c r="U463" s="437" t="s">
        <v>5095</v>
      </c>
      <c r="V463" s="437" t="s">
        <v>50</v>
      </c>
      <c r="W463" s="437">
        <v>2</v>
      </c>
      <c r="X463" s="437" t="s">
        <v>50</v>
      </c>
      <c r="Y463" s="440"/>
    </row>
    <row r="464" spans="1:25" s="437" customFormat="1" x14ac:dyDescent="0.25">
      <c r="A464" s="476">
        <v>43515</v>
      </c>
      <c r="B464" s="437" t="s">
        <v>70</v>
      </c>
      <c r="C464" s="437" t="s">
        <v>95</v>
      </c>
      <c r="D464" s="437">
        <v>38.083599999999997</v>
      </c>
      <c r="E464" s="437">
        <v>-121.67731000000001</v>
      </c>
      <c r="F464" s="437" t="s">
        <v>5262</v>
      </c>
      <c r="G464" s="437" t="s">
        <v>46</v>
      </c>
      <c r="H464" s="437" t="s">
        <v>908</v>
      </c>
      <c r="I464" s="438">
        <v>0.44027777777777777</v>
      </c>
      <c r="J464" s="439"/>
      <c r="K464" s="439"/>
      <c r="L464" s="439"/>
      <c r="M464" s="439"/>
      <c r="N464" s="439"/>
      <c r="S464" s="437" t="s">
        <v>31</v>
      </c>
      <c r="T464" s="437">
        <v>1</v>
      </c>
      <c r="U464" s="437">
        <v>72</v>
      </c>
      <c r="V464" s="437" t="s">
        <v>355</v>
      </c>
      <c r="W464" s="437" t="s">
        <v>50</v>
      </c>
      <c r="X464" s="437" t="s">
        <v>50</v>
      </c>
      <c r="Y464" s="440"/>
    </row>
    <row r="465" spans="1:25" s="437" customFormat="1" x14ac:dyDescent="0.25">
      <c r="A465" s="476">
        <v>43515</v>
      </c>
      <c r="B465" s="437" t="s">
        <v>70</v>
      </c>
      <c r="C465" s="437" t="s">
        <v>95</v>
      </c>
      <c r="D465" s="437">
        <v>38.092140000000001</v>
      </c>
      <c r="E465" s="437">
        <v>-121.67606000000001</v>
      </c>
      <c r="F465" s="437" t="s">
        <v>5263</v>
      </c>
      <c r="G465" s="437" t="s">
        <v>46</v>
      </c>
      <c r="H465" s="437" t="s">
        <v>908</v>
      </c>
      <c r="I465" s="438">
        <v>0.49305555555555558</v>
      </c>
      <c r="J465" s="439">
        <v>114.05</v>
      </c>
      <c r="K465" s="439">
        <v>9.4499999999999993</v>
      </c>
      <c r="L465" s="439">
        <v>45.7</v>
      </c>
      <c r="M465" s="439">
        <v>0.34749999999999998</v>
      </c>
      <c r="N465" s="439">
        <v>12.375</v>
      </c>
      <c r="O465" s="437" t="s">
        <v>48</v>
      </c>
      <c r="P465" s="437">
        <v>4</v>
      </c>
      <c r="Q465" s="437">
        <v>10</v>
      </c>
      <c r="R465" s="437" t="s">
        <v>64</v>
      </c>
      <c r="S465" s="437" t="s">
        <v>758</v>
      </c>
      <c r="T465" s="437">
        <v>1</v>
      </c>
      <c r="U465" s="437">
        <v>97</v>
      </c>
      <c r="V465" s="437" t="s">
        <v>50</v>
      </c>
      <c r="W465" s="437">
        <v>4</v>
      </c>
      <c r="X465" s="437" t="s">
        <v>50</v>
      </c>
      <c r="Y465" s="440"/>
    </row>
    <row r="466" spans="1:25" s="437" customFormat="1" x14ac:dyDescent="0.25">
      <c r="A466" s="476">
        <v>43515</v>
      </c>
      <c r="B466" s="437" t="s">
        <v>70</v>
      </c>
      <c r="C466" s="437" t="s">
        <v>95</v>
      </c>
      <c r="D466" s="437">
        <v>38.092140000000001</v>
      </c>
      <c r="E466" s="437">
        <v>-121.67606000000001</v>
      </c>
      <c r="F466" s="437" t="s">
        <v>5263</v>
      </c>
      <c r="G466" s="437" t="s">
        <v>46</v>
      </c>
      <c r="H466" s="437" t="s">
        <v>908</v>
      </c>
      <c r="I466" s="438">
        <v>0.49305555555555558</v>
      </c>
      <c r="J466" s="439"/>
      <c r="K466" s="439"/>
      <c r="L466" s="439"/>
      <c r="M466" s="439"/>
      <c r="N466" s="439"/>
      <c r="S466" s="437" t="s">
        <v>622</v>
      </c>
      <c r="T466" s="437">
        <v>1</v>
      </c>
      <c r="U466" s="437">
        <v>197</v>
      </c>
      <c r="V466" s="437" t="s">
        <v>50</v>
      </c>
      <c r="W466" s="437">
        <v>5</v>
      </c>
      <c r="X466" s="437" t="s">
        <v>2525</v>
      </c>
      <c r="Y466" s="440"/>
    </row>
    <row r="467" spans="1:25" s="437" customFormat="1" x14ac:dyDescent="0.25">
      <c r="A467" s="476">
        <v>43515</v>
      </c>
      <c r="B467" s="437" t="s">
        <v>70</v>
      </c>
      <c r="C467" s="437" t="s">
        <v>62</v>
      </c>
      <c r="D467" s="437">
        <v>38.14331</v>
      </c>
      <c r="E467" s="437">
        <v>-122.06133</v>
      </c>
      <c r="F467" s="437" t="s">
        <v>5264</v>
      </c>
      <c r="G467" s="437" t="s">
        <v>27</v>
      </c>
      <c r="H467" s="437" t="s">
        <v>62</v>
      </c>
      <c r="I467" s="438">
        <v>0.3840277777777778</v>
      </c>
      <c r="J467" s="439">
        <v>659.5</v>
      </c>
      <c r="K467" s="439">
        <v>9.4250000000000007</v>
      </c>
      <c r="L467" s="439">
        <v>126.7</v>
      </c>
      <c r="M467" s="439">
        <v>0.14499999999999999</v>
      </c>
      <c r="N467" s="439">
        <v>11.15</v>
      </c>
      <c r="O467" s="437" t="s">
        <v>48</v>
      </c>
      <c r="P467" s="437">
        <v>4</v>
      </c>
      <c r="Q467" s="437">
        <v>10</v>
      </c>
      <c r="R467" s="437" t="s">
        <v>64</v>
      </c>
      <c r="S467" s="437" t="s">
        <v>5265</v>
      </c>
      <c r="T467" s="437">
        <v>1</v>
      </c>
      <c r="U467" s="437">
        <v>36</v>
      </c>
      <c r="V467" s="437" t="s">
        <v>50</v>
      </c>
      <c r="W467" s="437">
        <v>2</v>
      </c>
      <c r="X467" s="437" t="s">
        <v>50</v>
      </c>
      <c r="Y467" s="440"/>
    </row>
    <row r="468" spans="1:25" s="437" customFormat="1" x14ac:dyDescent="0.25">
      <c r="A468" s="476">
        <v>43515</v>
      </c>
      <c r="B468" s="437" t="s">
        <v>70</v>
      </c>
      <c r="C468" s="437" t="s">
        <v>62</v>
      </c>
      <c r="D468" s="437">
        <v>38.14331</v>
      </c>
      <c r="E468" s="437">
        <v>-122.06133</v>
      </c>
      <c r="F468" s="437" t="s">
        <v>5264</v>
      </c>
      <c r="G468" s="437" t="s">
        <v>27</v>
      </c>
      <c r="H468" s="437" t="s">
        <v>62</v>
      </c>
      <c r="I468" s="438">
        <v>0.3840277777777778</v>
      </c>
      <c r="J468" s="439"/>
      <c r="K468" s="439"/>
      <c r="L468" s="439"/>
      <c r="M468" s="439"/>
      <c r="N468" s="439"/>
      <c r="S468" s="437" t="s">
        <v>31</v>
      </c>
      <c r="T468" s="437">
        <v>1</v>
      </c>
      <c r="U468" s="437">
        <v>82</v>
      </c>
      <c r="V468" s="437" t="s">
        <v>355</v>
      </c>
      <c r="W468" s="437" t="s">
        <v>50</v>
      </c>
      <c r="X468" s="437" t="s">
        <v>50</v>
      </c>
      <c r="Y468" s="440"/>
    </row>
    <row r="469" spans="1:25" x14ac:dyDescent="0.25">
      <c r="A469" s="443">
        <v>43515</v>
      </c>
      <c r="B469" s="51" t="s">
        <v>70</v>
      </c>
      <c r="C469" s="51" t="s">
        <v>62</v>
      </c>
      <c r="D469" s="51">
        <v>38.179290000000002</v>
      </c>
      <c r="E469" s="51">
        <v>-122.00666</v>
      </c>
      <c r="F469" s="51" t="s">
        <v>5266</v>
      </c>
      <c r="G469" s="51" t="s">
        <v>27</v>
      </c>
      <c r="H469" s="51" t="s">
        <v>62</v>
      </c>
      <c r="I469" s="66">
        <v>0.44166666666666665</v>
      </c>
      <c r="J469" s="428">
        <v>659</v>
      </c>
      <c r="K469" s="428">
        <v>9.5250000000000004</v>
      </c>
      <c r="L469" s="428">
        <v>89.75</v>
      </c>
      <c r="M469" s="428">
        <v>0.2</v>
      </c>
      <c r="N469" s="428">
        <v>6.9</v>
      </c>
      <c r="O469" s="51" t="s">
        <v>48</v>
      </c>
      <c r="P469" s="51">
        <v>4</v>
      </c>
      <c r="Q469" s="51">
        <v>10</v>
      </c>
      <c r="R469" s="51" t="s">
        <v>64</v>
      </c>
      <c r="S469" s="51" t="s">
        <v>50</v>
      </c>
      <c r="T469" s="51" t="s">
        <v>50</v>
      </c>
      <c r="U469" s="51" t="s">
        <v>50</v>
      </c>
      <c r="V469" s="51" t="s">
        <v>50</v>
      </c>
      <c r="W469" s="51" t="s">
        <v>50</v>
      </c>
      <c r="X469" s="51" t="s">
        <v>50</v>
      </c>
    </row>
    <row r="470" spans="1:25" s="437" customFormat="1" x14ac:dyDescent="0.25">
      <c r="A470" s="476">
        <v>43515</v>
      </c>
      <c r="B470" s="437" t="s">
        <v>70</v>
      </c>
      <c r="C470" s="437" t="s">
        <v>62</v>
      </c>
      <c r="D470" s="437">
        <v>38.153559999999999</v>
      </c>
      <c r="E470" s="437">
        <v>-121.92025</v>
      </c>
      <c r="F470" s="437" t="s">
        <v>5267</v>
      </c>
      <c r="G470" s="437" t="s">
        <v>27</v>
      </c>
      <c r="H470" s="437" t="s">
        <v>62</v>
      </c>
      <c r="I470" s="438">
        <v>0.51041666666666663</v>
      </c>
      <c r="J470" s="439">
        <v>241.65</v>
      </c>
      <c r="K470" s="439">
        <v>9.4499999999999993</v>
      </c>
      <c r="L470" s="439">
        <v>113.675</v>
      </c>
      <c r="M470" s="439">
        <v>0.21249999999999999</v>
      </c>
      <c r="N470" s="439">
        <v>5.0750000000000002</v>
      </c>
      <c r="O470" s="437" t="s">
        <v>48</v>
      </c>
      <c r="P470" s="437">
        <v>4</v>
      </c>
      <c r="Q470" s="437">
        <v>10</v>
      </c>
      <c r="R470" s="437" t="s">
        <v>64</v>
      </c>
      <c r="S470" s="437" t="s">
        <v>702</v>
      </c>
      <c r="T470" s="437">
        <v>7</v>
      </c>
      <c r="U470" s="437" t="s">
        <v>5268</v>
      </c>
      <c r="V470" s="437" t="s">
        <v>50</v>
      </c>
      <c r="W470" s="437" t="s">
        <v>5269</v>
      </c>
      <c r="X470" s="437" t="s">
        <v>50</v>
      </c>
      <c r="Y470" s="440"/>
    </row>
    <row r="471" spans="1:25" s="437" customFormat="1" x14ac:dyDescent="0.25">
      <c r="A471" s="476">
        <v>43516</v>
      </c>
      <c r="B471" s="437" t="s">
        <v>87</v>
      </c>
      <c r="C471" s="437" t="s">
        <v>88</v>
      </c>
      <c r="D471" s="437">
        <v>38.065820000000002</v>
      </c>
      <c r="E471" s="437">
        <v>-121.81685</v>
      </c>
      <c r="F471" s="437" t="s">
        <v>5270</v>
      </c>
      <c r="G471" s="437" t="s">
        <v>27</v>
      </c>
      <c r="H471" s="437" t="s">
        <v>25</v>
      </c>
      <c r="I471" s="438">
        <v>0.32083333333333336</v>
      </c>
      <c r="J471" s="439">
        <v>90.3</v>
      </c>
      <c r="K471" s="439">
        <v>7.95</v>
      </c>
      <c r="L471" s="439">
        <v>191.25</v>
      </c>
      <c r="M471" s="439">
        <v>0.12</v>
      </c>
      <c r="N471" s="439">
        <v>5.6</v>
      </c>
      <c r="O471" s="437" t="s">
        <v>48</v>
      </c>
      <c r="P471" s="437">
        <v>4</v>
      </c>
      <c r="Q471" s="437">
        <v>10</v>
      </c>
      <c r="R471" s="437" t="s">
        <v>49</v>
      </c>
      <c r="S471" s="437" t="s">
        <v>702</v>
      </c>
      <c r="T471" s="437">
        <v>4</v>
      </c>
      <c r="U471" s="437" t="s">
        <v>924</v>
      </c>
      <c r="V471" s="437" t="s">
        <v>50</v>
      </c>
      <c r="W471" s="437" t="s">
        <v>5271</v>
      </c>
      <c r="X471" s="437" t="s">
        <v>50</v>
      </c>
      <c r="Y471" s="440"/>
    </row>
    <row r="472" spans="1:25" s="437" customFormat="1" x14ac:dyDescent="0.25">
      <c r="A472" s="476">
        <v>43516</v>
      </c>
      <c r="B472" s="437" t="s">
        <v>87</v>
      </c>
      <c r="C472" s="437" t="s">
        <v>88</v>
      </c>
      <c r="D472" s="437">
        <v>38.060339999999997</v>
      </c>
      <c r="E472" s="437">
        <v>-121.8138</v>
      </c>
      <c r="F472" s="437" t="s">
        <v>5272</v>
      </c>
      <c r="G472" s="437" t="s">
        <v>27</v>
      </c>
      <c r="H472" s="437" t="s">
        <v>25</v>
      </c>
      <c r="I472" s="438">
        <v>0.37361111111111112</v>
      </c>
      <c r="J472" s="439">
        <v>86.55</v>
      </c>
      <c r="K472" s="439">
        <v>8.3249999999999993</v>
      </c>
      <c r="L472" s="439">
        <v>150.5</v>
      </c>
      <c r="M472" s="439">
        <v>0.105</v>
      </c>
      <c r="N472" s="439">
        <v>9.85</v>
      </c>
      <c r="O472" s="437" t="s">
        <v>48</v>
      </c>
      <c r="P472" s="437">
        <v>4</v>
      </c>
      <c r="Q472" s="437">
        <v>10</v>
      </c>
      <c r="R472" s="437" t="s">
        <v>49</v>
      </c>
      <c r="S472" s="437" t="s">
        <v>702</v>
      </c>
      <c r="T472" s="437">
        <v>3</v>
      </c>
      <c r="U472" s="437" t="s">
        <v>5189</v>
      </c>
      <c r="V472" s="437" t="s">
        <v>50</v>
      </c>
      <c r="W472" s="437" t="s">
        <v>5271</v>
      </c>
      <c r="X472" s="437" t="s">
        <v>50</v>
      </c>
      <c r="Y472" s="440" t="s">
        <v>5273</v>
      </c>
    </row>
    <row r="473" spans="1:25" s="437" customFormat="1" x14ac:dyDescent="0.25">
      <c r="A473" s="476">
        <v>43516</v>
      </c>
      <c r="B473" s="437" t="s">
        <v>87</v>
      </c>
      <c r="C473" s="437" t="s">
        <v>88</v>
      </c>
      <c r="D473" s="437">
        <v>38.060339999999997</v>
      </c>
      <c r="E473" s="437">
        <v>-121.8138</v>
      </c>
      <c r="F473" s="437" t="s">
        <v>5272</v>
      </c>
      <c r="G473" s="437" t="s">
        <v>27</v>
      </c>
      <c r="H473" s="437" t="s">
        <v>25</v>
      </c>
      <c r="I473" s="438">
        <v>0.37361111111111112</v>
      </c>
      <c r="J473" s="439"/>
      <c r="K473" s="439"/>
      <c r="L473" s="439"/>
      <c r="M473" s="439"/>
      <c r="N473" s="439"/>
      <c r="S473" s="437" t="s">
        <v>31</v>
      </c>
      <c r="T473" s="437">
        <v>1</v>
      </c>
      <c r="U473" s="437">
        <v>82</v>
      </c>
      <c r="V473" s="437" t="s">
        <v>355</v>
      </c>
      <c r="W473" s="437" t="s">
        <v>50</v>
      </c>
      <c r="X473" s="437" t="s">
        <v>50</v>
      </c>
      <c r="Y473" s="440"/>
    </row>
    <row r="474" spans="1:25" s="437" customFormat="1" x14ac:dyDescent="0.25">
      <c r="A474" s="476">
        <v>43516</v>
      </c>
      <c r="B474" s="437" t="s">
        <v>87</v>
      </c>
      <c r="C474" s="437" t="s">
        <v>88</v>
      </c>
      <c r="D474" s="437">
        <v>38.081409999999998</v>
      </c>
      <c r="E474" s="437">
        <v>-121.73114</v>
      </c>
      <c r="F474" s="437" t="s">
        <v>5274</v>
      </c>
      <c r="G474" s="437" t="s">
        <v>90</v>
      </c>
      <c r="H474" s="437" t="s">
        <v>91</v>
      </c>
      <c r="I474" s="438">
        <v>0.43888888888888888</v>
      </c>
      <c r="J474" s="439">
        <v>87.5</v>
      </c>
      <c r="K474" s="439">
        <v>8.375</v>
      </c>
      <c r="L474" s="439">
        <v>135.25</v>
      </c>
      <c r="M474" s="439">
        <v>0.11</v>
      </c>
      <c r="N474" s="439">
        <v>5.55</v>
      </c>
      <c r="O474" s="437" t="s">
        <v>48</v>
      </c>
      <c r="P474" s="437">
        <v>4</v>
      </c>
      <c r="Q474" s="437">
        <v>10</v>
      </c>
      <c r="R474" s="437" t="s">
        <v>49</v>
      </c>
      <c r="S474" s="437" t="s">
        <v>702</v>
      </c>
      <c r="T474" s="437">
        <v>1</v>
      </c>
      <c r="U474" s="437">
        <v>37</v>
      </c>
      <c r="V474" s="437" t="s">
        <v>50</v>
      </c>
      <c r="W474" s="437">
        <v>2</v>
      </c>
      <c r="X474" s="437" t="s">
        <v>50</v>
      </c>
      <c r="Y474" s="440"/>
    </row>
    <row r="475" spans="1:25" s="437" customFormat="1" x14ac:dyDescent="0.25">
      <c r="A475" s="476">
        <v>43516</v>
      </c>
      <c r="B475" s="437" t="s">
        <v>87</v>
      </c>
      <c r="C475" s="437" t="s">
        <v>95</v>
      </c>
      <c r="D475" s="437">
        <v>38.089869999999998</v>
      </c>
      <c r="E475" s="437">
        <v>-121.63500000000001</v>
      </c>
      <c r="F475" s="437" t="s">
        <v>5275</v>
      </c>
      <c r="G475" s="437" t="s">
        <v>46</v>
      </c>
      <c r="H475" s="437" t="s">
        <v>908</v>
      </c>
      <c r="I475" s="438">
        <v>0.30555555555555552</v>
      </c>
      <c r="J475" s="439">
        <v>151.1</v>
      </c>
      <c r="K475" s="439">
        <v>9.1999999999999993</v>
      </c>
      <c r="L475" s="439">
        <v>46.725000000000001</v>
      </c>
      <c r="M475" s="439">
        <v>0.3175</v>
      </c>
      <c r="N475" s="439">
        <v>17.824999999999999</v>
      </c>
      <c r="O475" s="437" t="s">
        <v>48</v>
      </c>
      <c r="P475" s="437">
        <v>4</v>
      </c>
      <c r="Q475" s="437">
        <v>10</v>
      </c>
      <c r="R475" s="437" t="s">
        <v>49</v>
      </c>
      <c r="S475" s="437" t="s">
        <v>702</v>
      </c>
      <c r="T475" s="437">
        <v>4</v>
      </c>
      <c r="U475" s="437" t="s">
        <v>5276</v>
      </c>
      <c r="V475" s="437" t="s">
        <v>50</v>
      </c>
      <c r="W475" s="437">
        <v>2</v>
      </c>
      <c r="X475" s="437" t="s">
        <v>50</v>
      </c>
      <c r="Y475" s="440" t="s">
        <v>5277</v>
      </c>
    </row>
    <row r="476" spans="1:25" x14ac:dyDescent="0.25">
      <c r="A476" s="443">
        <v>43516</v>
      </c>
      <c r="B476" s="51" t="s">
        <v>87</v>
      </c>
      <c r="C476" s="51" t="s">
        <v>95</v>
      </c>
      <c r="D476" s="51">
        <v>38.091050000000003</v>
      </c>
      <c r="E476" s="51">
        <v>-121.63164</v>
      </c>
      <c r="F476" s="51" t="s">
        <v>5278</v>
      </c>
      <c r="G476" s="51" t="s">
        <v>46</v>
      </c>
      <c r="H476" s="51" t="s">
        <v>908</v>
      </c>
      <c r="I476" s="66">
        <v>0.35000000000000003</v>
      </c>
      <c r="J476" s="428" t="s">
        <v>50</v>
      </c>
      <c r="K476" s="428" t="s">
        <v>50</v>
      </c>
      <c r="L476" s="428">
        <v>56.174999999999997</v>
      </c>
      <c r="M476" s="428">
        <v>0.32750000000000001</v>
      </c>
      <c r="N476" s="428">
        <v>7.0250000000000004</v>
      </c>
      <c r="O476" s="51" t="s">
        <v>48</v>
      </c>
      <c r="P476" s="51">
        <v>4</v>
      </c>
      <c r="Q476" s="51">
        <v>10</v>
      </c>
      <c r="R476" s="51" t="s">
        <v>49</v>
      </c>
      <c r="S476" s="51" t="s">
        <v>50</v>
      </c>
      <c r="T476" s="51" t="s">
        <v>50</v>
      </c>
      <c r="U476" s="51" t="s">
        <v>50</v>
      </c>
      <c r="V476" s="51" t="s">
        <v>50</v>
      </c>
      <c r="W476" s="51" t="s">
        <v>50</v>
      </c>
      <c r="X476" s="51" t="s">
        <v>50</v>
      </c>
    </row>
    <row r="477" spans="1:25" x14ac:dyDescent="0.25">
      <c r="A477" s="443">
        <v>43516</v>
      </c>
      <c r="B477" s="51" t="s">
        <v>87</v>
      </c>
      <c r="C477" s="51" t="s">
        <v>95</v>
      </c>
      <c r="D477" s="51">
        <v>38.085369999999998</v>
      </c>
      <c r="E477" s="51">
        <v>-121.57463</v>
      </c>
      <c r="F477" s="51" t="s">
        <v>5279</v>
      </c>
      <c r="G477" s="51" t="s">
        <v>46</v>
      </c>
      <c r="H477" s="51" t="s">
        <v>115</v>
      </c>
      <c r="I477" s="66">
        <v>0.40069444444444446</v>
      </c>
      <c r="J477" s="428" t="s">
        <v>50</v>
      </c>
      <c r="K477" s="428" t="s">
        <v>50</v>
      </c>
      <c r="L477" s="428">
        <v>35.024999999999999</v>
      </c>
      <c r="M477" s="428">
        <v>0.41749999999999998</v>
      </c>
      <c r="N477" s="428">
        <v>8.25</v>
      </c>
      <c r="O477" s="51" t="s">
        <v>48</v>
      </c>
      <c r="P477" s="51">
        <v>4</v>
      </c>
      <c r="Q477" s="51">
        <v>10</v>
      </c>
      <c r="R477" s="51" t="s">
        <v>49</v>
      </c>
      <c r="S477" s="51" t="s">
        <v>50</v>
      </c>
      <c r="T477" s="51" t="s">
        <v>50</v>
      </c>
      <c r="U477" s="51" t="s">
        <v>50</v>
      </c>
      <c r="V477" s="51" t="s">
        <v>50</v>
      </c>
      <c r="W477" s="51" t="s">
        <v>50</v>
      </c>
      <c r="X477" s="51" t="s">
        <v>50</v>
      </c>
      <c r="Y477" s="52" t="s">
        <v>5044</v>
      </c>
    </row>
    <row r="478" spans="1:25" s="437" customFormat="1" x14ac:dyDescent="0.25">
      <c r="A478" s="476">
        <v>43516</v>
      </c>
      <c r="B478" s="437" t="s">
        <v>87</v>
      </c>
      <c r="C478" s="437" t="s">
        <v>118</v>
      </c>
      <c r="D478" s="437">
        <v>38.046840000000003</v>
      </c>
      <c r="E478" s="437">
        <v>-122.31214</v>
      </c>
      <c r="F478" s="437" t="s">
        <v>5280</v>
      </c>
      <c r="G478" s="437" t="s">
        <v>80</v>
      </c>
      <c r="H478" s="437" t="s">
        <v>123</v>
      </c>
      <c r="I478" s="438">
        <v>0.39583333333333331</v>
      </c>
      <c r="J478" s="439">
        <v>340.85</v>
      </c>
      <c r="K478" s="439">
        <v>9.65</v>
      </c>
      <c r="L478" s="439">
        <v>146</v>
      </c>
      <c r="M478" s="439">
        <v>0.14249999999999999</v>
      </c>
      <c r="N478" s="439">
        <v>8.85</v>
      </c>
      <c r="O478" s="437" t="s">
        <v>48</v>
      </c>
      <c r="P478" s="437">
        <v>4</v>
      </c>
      <c r="Q478" s="437">
        <v>10</v>
      </c>
      <c r="R478" s="437" t="s">
        <v>64</v>
      </c>
      <c r="S478" s="437" t="s">
        <v>31</v>
      </c>
      <c r="T478" s="437">
        <v>6</v>
      </c>
      <c r="U478" s="437" t="s">
        <v>5281</v>
      </c>
      <c r="V478" s="437" t="s">
        <v>66</v>
      </c>
      <c r="W478" s="437" t="s">
        <v>50</v>
      </c>
      <c r="X478" s="437" t="s">
        <v>50</v>
      </c>
      <c r="Y478" s="440"/>
    </row>
    <row r="479" spans="1:25" s="437" customFormat="1" x14ac:dyDescent="0.25">
      <c r="A479" s="476">
        <v>43516</v>
      </c>
      <c r="B479" s="437" t="s">
        <v>87</v>
      </c>
      <c r="C479" s="437" t="s">
        <v>118</v>
      </c>
      <c r="D479" s="437">
        <v>38.025170000000003</v>
      </c>
      <c r="E479" s="437">
        <v>-122.30928</v>
      </c>
      <c r="F479" s="437" t="s">
        <v>5282</v>
      </c>
      <c r="G479" s="437" t="s">
        <v>80</v>
      </c>
      <c r="H479" s="437" t="s">
        <v>123</v>
      </c>
      <c r="I479" s="438">
        <v>0.44930555555555557</v>
      </c>
      <c r="J479" s="439">
        <v>4953.25</v>
      </c>
      <c r="K479" s="439">
        <v>9.9499999999999993</v>
      </c>
      <c r="L479" s="439">
        <v>183.5</v>
      </c>
      <c r="M479" s="439">
        <v>0.13</v>
      </c>
      <c r="N479" s="439">
        <v>3.45</v>
      </c>
      <c r="O479" s="437" t="s">
        <v>48</v>
      </c>
      <c r="P479" s="437">
        <v>4</v>
      </c>
      <c r="Q479" s="437">
        <v>10</v>
      </c>
      <c r="R479" s="437" t="s">
        <v>64</v>
      </c>
      <c r="S479" s="437" t="s">
        <v>31</v>
      </c>
      <c r="T479" s="437">
        <v>3</v>
      </c>
      <c r="U479" s="437" t="s">
        <v>5076</v>
      </c>
      <c r="V479" s="437" t="s">
        <v>66</v>
      </c>
      <c r="W479" s="437" t="s">
        <v>50</v>
      </c>
      <c r="X479" s="437" t="s">
        <v>50</v>
      </c>
      <c r="Y479" s="440"/>
    </row>
    <row r="480" spans="1:25" s="437" customFormat="1" x14ac:dyDescent="0.25">
      <c r="A480" s="476">
        <v>43516</v>
      </c>
      <c r="B480" s="437" t="s">
        <v>87</v>
      </c>
      <c r="C480" s="437" t="s">
        <v>118</v>
      </c>
      <c r="D480" s="437">
        <v>38.127249999999997</v>
      </c>
      <c r="E480" s="437">
        <v>-122.28057</v>
      </c>
      <c r="F480" s="437" t="s">
        <v>5283</v>
      </c>
      <c r="G480" s="437" t="s">
        <v>80</v>
      </c>
      <c r="H480" s="437" t="s">
        <v>191</v>
      </c>
      <c r="I480" s="438">
        <v>0.51874999999999993</v>
      </c>
      <c r="J480" s="439">
        <v>508.02499999999998</v>
      </c>
      <c r="K480" s="439">
        <v>9.7249999999999996</v>
      </c>
      <c r="L480" s="439">
        <v>226.25</v>
      </c>
      <c r="M480" s="439">
        <v>0.1075</v>
      </c>
      <c r="N480" s="439">
        <v>9.2750000000000004</v>
      </c>
      <c r="O480" s="437" t="s">
        <v>48</v>
      </c>
      <c r="P480" s="437">
        <v>4</v>
      </c>
      <c r="Q480" s="437">
        <v>10</v>
      </c>
      <c r="R480" s="437" t="s">
        <v>64</v>
      </c>
      <c r="S480" s="437" t="s">
        <v>31</v>
      </c>
      <c r="T480" s="437">
        <v>10</v>
      </c>
      <c r="U480" s="437" t="s">
        <v>5284</v>
      </c>
      <c r="V480" s="437" t="s">
        <v>66</v>
      </c>
      <c r="W480" s="437" t="s">
        <v>50</v>
      </c>
      <c r="X480" s="437" t="s">
        <v>50</v>
      </c>
      <c r="Y480" s="440"/>
    </row>
    <row r="481" spans="1:25" s="486" customFormat="1" x14ac:dyDescent="0.25">
      <c r="A481" s="485">
        <v>43516</v>
      </c>
      <c r="B481" s="486" t="s">
        <v>87</v>
      </c>
      <c r="C481" s="486" t="s">
        <v>118</v>
      </c>
      <c r="D481" s="486">
        <v>38.05639</v>
      </c>
      <c r="E481" s="486">
        <v>-122.27351</v>
      </c>
      <c r="F481" s="486" t="s">
        <v>5285</v>
      </c>
      <c r="G481" s="486" t="s">
        <v>80</v>
      </c>
      <c r="H481" s="486" t="s">
        <v>123</v>
      </c>
      <c r="I481" s="487">
        <v>0.59791666666666665</v>
      </c>
      <c r="J481" s="488">
        <v>3728.5</v>
      </c>
      <c r="K481" s="488">
        <v>10.35</v>
      </c>
      <c r="L481" s="488">
        <v>93.074999999999989</v>
      </c>
      <c r="M481" s="488">
        <v>0.19750000000000001</v>
      </c>
      <c r="N481" s="488">
        <v>16.549999999999997</v>
      </c>
      <c r="O481" s="486" t="s">
        <v>48</v>
      </c>
      <c r="P481" s="486">
        <v>4</v>
      </c>
      <c r="Q481" s="486">
        <v>10</v>
      </c>
      <c r="R481" s="486" t="s">
        <v>64</v>
      </c>
      <c r="S481" s="486" t="s">
        <v>31</v>
      </c>
      <c r="T481" s="486">
        <v>5</v>
      </c>
      <c r="U481" s="486" t="s">
        <v>5286</v>
      </c>
      <c r="V481" s="486" t="s">
        <v>66</v>
      </c>
      <c r="W481" s="486" t="s">
        <v>50</v>
      </c>
      <c r="X481" s="486" t="s">
        <v>50</v>
      </c>
      <c r="Y481" s="489"/>
    </row>
    <row r="482" spans="1:25" s="437" customFormat="1" x14ac:dyDescent="0.25">
      <c r="A482" s="476">
        <v>43517</v>
      </c>
      <c r="B482" s="437" t="s">
        <v>105</v>
      </c>
      <c r="C482" s="437" t="s">
        <v>88</v>
      </c>
      <c r="D482" s="437">
        <v>38.175930000000001</v>
      </c>
      <c r="E482" s="437">
        <v>-121.66804</v>
      </c>
      <c r="F482" s="437" t="s">
        <v>5287</v>
      </c>
      <c r="G482" s="437" t="s">
        <v>90</v>
      </c>
      <c r="H482" s="437" t="s">
        <v>91</v>
      </c>
      <c r="I482" s="438">
        <v>0.30694444444444441</v>
      </c>
      <c r="J482" s="439">
        <v>91.775000000000006</v>
      </c>
      <c r="K482" s="439">
        <v>8.6750000000000007</v>
      </c>
      <c r="L482" s="439">
        <v>78.674999999999997</v>
      </c>
      <c r="M482" s="439">
        <v>0.17500000000000002</v>
      </c>
      <c r="N482" s="439">
        <v>13.225</v>
      </c>
      <c r="O482" s="437" t="s">
        <v>48</v>
      </c>
      <c r="P482" s="437">
        <v>4</v>
      </c>
      <c r="Q482" s="437">
        <v>10</v>
      </c>
      <c r="R482" s="437" t="s">
        <v>49</v>
      </c>
      <c r="S482" s="437" t="s">
        <v>702</v>
      </c>
      <c r="T482" s="437">
        <v>19</v>
      </c>
      <c r="U482" s="437" t="s">
        <v>5288</v>
      </c>
      <c r="V482" s="437" t="s">
        <v>50</v>
      </c>
      <c r="W482" s="437" t="s">
        <v>5269</v>
      </c>
      <c r="X482" s="437" t="s">
        <v>50</v>
      </c>
      <c r="Y482" s="440"/>
    </row>
    <row r="483" spans="1:25" s="437" customFormat="1" x14ac:dyDescent="0.25">
      <c r="A483" s="476">
        <v>43517</v>
      </c>
      <c r="B483" s="437" t="s">
        <v>105</v>
      </c>
      <c r="C483" s="437" t="s">
        <v>88</v>
      </c>
      <c r="D483" s="437">
        <v>38.130609999999997</v>
      </c>
      <c r="E483" s="437">
        <v>-121.69062</v>
      </c>
      <c r="F483" s="437" t="s">
        <v>5289</v>
      </c>
      <c r="G483" s="437" t="s">
        <v>90</v>
      </c>
      <c r="H483" s="437" t="s">
        <v>91</v>
      </c>
      <c r="I483" s="438">
        <v>0.36041666666666666</v>
      </c>
      <c r="J483" s="439">
        <v>92.475000000000009</v>
      </c>
      <c r="K483" s="439">
        <v>8.6999999999999993</v>
      </c>
      <c r="L483" s="439">
        <v>93.025000000000006</v>
      </c>
      <c r="M483" s="439">
        <v>0.16</v>
      </c>
      <c r="N483" s="439">
        <v>3.6750000000000003</v>
      </c>
      <c r="O483" s="437" t="s">
        <v>48</v>
      </c>
      <c r="P483" s="437">
        <v>4</v>
      </c>
      <c r="Q483" s="437">
        <v>10</v>
      </c>
      <c r="R483" s="437" t="s">
        <v>49</v>
      </c>
      <c r="S483" s="437" t="s">
        <v>702</v>
      </c>
      <c r="T483" s="437">
        <v>2</v>
      </c>
      <c r="U483" s="437" t="s">
        <v>5290</v>
      </c>
      <c r="V483" s="437" t="s">
        <v>50</v>
      </c>
      <c r="W483" s="437">
        <v>2</v>
      </c>
      <c r="X483" s="437" t="s">
        <v>50</v>
      </c>
      <c r="Y483" s="440"/>
    </row>
    <row r="484" spans="1:25" s="437" customFormat="1" x14ac:dyDescent="0.25">
      <c r="A484" s="476">
        <v>43517</v>
      </c>
      <c r="B484" s="437" t="s">
        <v>105</v>
      </c>
      <c r="C484" s="437" t="s">
        <v>88</v>
      </c>
      <c r="D484" s="437">
        <v>38.155799999999999</v>
      </c>
      <c r="E484" s="437">
        <v>-121.68770000000001</v>
      </c>
      <c r="F484" s="437" t="s">
        <v>5291</v>
      </c>
      <c r="G484" s="437" t="s">
        <v>90</v>
      </c>
      <c r="H484" s="437" t="s">
        <v>91</v>
      </c>
      <c r="I484" s="438">
        <v>0.40902777777777777</v>
      </c>
      <c r="J484" s="439">
        <v>109.7</v>
      </c>
      <c r="K484" s="439">
        <v>8.6999999999999993</v>
      </c>
      <c r="L484" s="439">
        <v>122.25</v>
      </c>
      <c r="M484" s="439">
        <v>0.13</v>
      </c>
      <c r="N484" s="439">
        <v>9.3249999999999993</v>
      </c>
      <c r="O484" s="437" t="s">
        <v>48</v>
      </c>
      <c r="P484" s="437">
        <v>4</v>
      </c>
      <c r="Q484" s="437">
        <v>10</v>
      </c>
      <c r="R484" s="437" t="s">
        <v>49</v>
      </c>
      <c r="S484" s="437" t="s">
        <v>702</v>
      </c>
      <c r="T484" s="437">
        <v>4</v>
      </c>
      <c r="U484" s="437" t="s">
        <v>5292</v>
      </c>
      <c r="V484" s="437" t="s">
        <v>50</v>
      </c>
      <c r="W484" s="437">
        <v>2</v>
      </c>
      <c r="X484" s="437" t="s">
        <v>50</v>
      </c>
      <c r="Y484" s="440"/>
    </row>
    <row r="485" spans="1:25" s="437" customFormat="1" x14ac:dyDescent="0.25">
      <c r="A485" s="476">
        <v>43517</v>
      </c>
      <c r="B485" s="437" t="s">
        <v>105</v>
      </c>
      <c r="C485" s="437" t="s">
        <v>88</v>
      </c>
      <c r="D485" s="437">
        <v>38.155799999999999</v>
      </c>
      <c r="E485" s="437">
        <v>-121.68770000000001</v>
      </c>
      <c r="F485" s="437" t="s">
        <v>5291</v>
      </c>
      <c r="G485" s="437" t="s">
        <v>90</v>
      </c>
      <c r="H485" s="437" t="s">
        <v>91</v>
      </c>
      <c r="I485" s="438">
        <v>0.40902777777777777</v>
      </c>
      <c r="J485" s="439"/>
      <c r="K485" s="439"/>
      <c r="L485" s="439"/>
      <c r="M485" s="439"/>
      <c r="N485" s="439"/>
      <c r="S485" s="437" t="s">
        <v>622</v>
      </c>
      <c r="T485" s="437">
        <v>1</v>
      </c>
      <c r="U485" s="437">
        <v>190</v>
      </c>
      <c r="V485" s="437" t="s">
        <v>50</v>
      </c>
      <c r="W485" s="437">
        <v>5</v>
      </c>
      <c r="X485" s="437" t="s">
        <v>2525</v>
      </c>
      <c r="Y485" s="440"/>
    </row>
    <row r="486" spans="1:25" s="431" customFormat="1" x14ac:dyDescent="0.25">
      <c r="A486" s="447">
        <v>43517</v>
      </c>
      <c r="B486" s="431" t="s">
        <v>105</v>
      </c>
      <c r="C486" s="431" t="s">
        <v>78</v>
      </c>
      <c r="D486" s="431">
        <v>38.050310000000003</v>
      </c>
      <c r="E486" s="431">
        <v>-122.12379</v>
      </c>
      <c r="F486" s="431" t="s">
        <v>5293</v>
      </c>
      <c r="G486" s="431" t="s">
        <v>80</v>
      </c>
      <c r="H486" s="431" t="s">
        <v>81</v>
      </c>
      <c r="I486" s="432">
        <v>0.32083333333333336</v>
      </c>
      <c r="J486" s="433">
        <v>290.64999999999998</v>
      </c>
      <c r="K486" s="433">
        <v>9</v>
      </c>
      <c r="L486" s="433">
        <v>220.5</v>
      </c>
      <c r="M486" s="433">
        <v>0.10500000000000001</v>
      </c>
      <c r="N486" s="433">
        <v>6.8</v>
      </c>
      <c r="O486" s="431" t="s">
        <v>48</v>
      </c>
      <c r="P486" s="431">
        <v>2</v>
      </c>
      <c r="Q486" s="431">
        <v>10</v>
      </c>
      <c r="R486" s="431" t="s">
        <v>49</v>
      </c>
      <c r="S486" s="431" t="s">
        <v>323</v>
      </c>
      <c r="T486" s="431">
        <v>1</v>
      </c>
      <c r="U486" s="431">
        <v>54</v>
      </c>
      <c r="V486" s="431" t="s">
        <v>50</v>
      </c>
      <c r="W486" s="431" t="s">
        <v>50</v>
      </c>
      <c r="X486" s="431" t="s">
        <v>50</v>
      </c>
      <c r="Y486" s="448" t="s">
        <v>5294</v>
      </c>
    </row>
    <row r="487" spans="1:25" x14ac:dyDescent="0.25">
      <c r="A487" s="443">
        <v>43517</v>
      </c>
      <c r="B487" s="51" t="s">
        <v>105</v>
      </c>
      <c r="C487" s="51" t="s">
        <v>78</v>
      </c>
      <c r="D487" s="51">
        <v>38.097850000000001</v>
      </c>
      <c r="E487" s="51">
        <v>-122.05598000000001</v>
      </c>
      <c r="F487" s="51" t="s">
        <v>5295</v>
      </c>
      <c r="G487" s="51" t="s">
        <v>27</v>
      </c>
      <c r="H487" s="51" t="s">
        <v>86</v>
      </c>
      <c r="I487" s="66">
        <v>0.36388888888888887</v>
      </c>
      <c r="J487" s="428">
        <v>152.10000000000002</v>
      </c>
      <c r="K487" s="428">
        <v>8.9</v>
      </c>
      <c r="L487" s="428">
        <v>159</v>
      </c>
      <c r="M487" s="428">
        <v>0.10999999999999999</v>
      </c>
      <c r="N487" s="428">
        <v>6.375</v>
      </c>
      <c r="O487" s="51" t="s">
        <v>48</v>
      </c>
      <c r="P487" s="51">
        <v>4</v>
      </c>
      <c r="Q487" s="51">
        <v>10</v>
      </c>
      <c r="R487" s="51" t="s">
        <v>49</v>
      </c>
      <c r="S487" s="51" t="s">
        <v>50</v>
      </c>
      <c r="T487" s="51" t="s">
        <v>50</v>
      </c>
      <c r="U487" s="51" t="s">
        <v>50</v>
      </c>
      <c r="V487" s="51" t="s">
        <v>50</v>
      </c>
      <c r="W487" s="51" t="s">
        <v>50</v>
      </c>
      <c r="X487" s="51" t="s">
        <v>50</v>
      </c>
    </row>
    <row r="488" spans="1:25" s="437" customFormat="1" x14ac:dyDescent="0.25">
      <c r="A488" s="476">
        <v>43517</v>
      </c>
      <c r="B488" s="437" t="s">
        <v>105</v>
      </c>
      <c r="C488" s="437" t="s">
        <v>78</v>
      </c>
      <c r="D488" s="437">
        <v>38.076729999999998</v>
      </c>
      <c r="E488" s="437">
        <v>-122.03364999999999</v>
      </c>
      <c r="F488" s="437" t="s">
        <v>5296</v>
      </c>
      <c r="G488" s="437" t="s">
        <v>27</v>
      </c>
      <c r="H488" s="437" t="s">
        <v>86</v>
      </c>
      <c r="I488" s="438">
        <v>0.42222222222222222</v>
      </c>
      <c r="J488" s="439">
        <v>101.125</v>
      </c>
      <c r="K488" s="439">
        <v>8.625</v>
      </c>
      <c r="L488" s="439">
        <v>115.625</v>
      </c>
      <c r="M488" s="439">
        <v>0.11499999999999999</v>
      </c>
      <c r="N488" s="439">
        <v>7.3999999999999995</v>
      </c>
      <c r="O488" s="437" t="s">
        <v>48</v>
      </c>
      <c r="P488" s="437">
        <v>4</v>
      </c>
      <c r="Q488" s="437">
        <v>10</v>
      </c>
      <c r="R488" s="437" t="s">
        <v>49</v>
      </c>
      <c r="S488" s="437" t="s">
        <v>622</v>
      </c>
      <c r="T488" s="437">
        <v>1</v>
      </c>
      <c r="U488" s="437">
        <v>219</v>
      </c>
      <c r="V488" s="437" t="s">
        <v>50</v>
      </c>
      <c r="W488" s="437">
        <v>5</v>
      </c>
      <c r="X488" s="437" t="s">
        <v>50</v>
      </c>
      <c r="Y488" s="440"/>
    </row>
    <row r="489" spans="1:25" s="424" customFormat="1" x14ac:dyDescent="0.25">
      <c r="A489" s="446">
        <v>43517</v>
      </c>
      <c r="B489" s="424" t="s">
        <v>105</v>
      </c>
      <c r="C489" s="424" t="s">
        <v>78</v>
      </c>
      <c r="D489" s="424">
        <v>38.089129999999997</v>
      </c>
      <c r="E489" s="424">
        <v>-122.08588</v>
      </c>
      <c r="F489" s="424" t="s">
        <v>5297</v>
      </c>
      <c r="G489" s="424" t="s">
        <v>80</v>
      </c>
      <c r="H489" s="424" t="s">
        <v>81</v>
      </c>
      <c r="I489" s="425">
        <v>0.35625000000000001</v>
      </c>
      <c r="J489" s="427" t="s">
        <v>50</v>
      </c>
      <c r="K489" s="427" t="s">
        <v>50</v>
      </c>
      <c r="L489" s="427" t="s">
        <v>50</v>
      </c>
      <c r="M489" s="427" t="s">
        <v>50</v>
      </c>
      <c r="N489" s="427" t="s">
        <v>50</v>
      </c>
      <c r="O489" s="424" t="s">
        <v>48</v>
      </c>
      <c r="P489" s="424">
        <v>0</v>
      </c>
      <c r="Q489" s="424" t="s">
        <v>50</v>
      </c>
      <c r="R489" s="424" t="s">
        <v>50</v>
      </c>
      <c r="S489" s="424" t="s">
        <v>50</v>
      </c>
      <c r="T489" s="424" t="s">
        <v>50</v>
      </c>
      <c r="U489" s="424" t="s">
        <v>50</v>
      </c>
      <c r="V489" s="424" t="s">
        <v>50</v>
      </c>
      <c r="W489" s="424" t="s">
        <v>50</v>
      </c>
      <c r="X489" s="424" t="s">
        <v>50</v>
      </c>
      <c r="Y489" s="426" t="s">
        <v>1822</v>
      </c>
    </row>
    <row r="490" spans="1:25" s="424" customFormat="1" x14ac:dyDescent="0.25">
      <c r="A490" s="446">
        <v>43517</v>
      </c>
      <c r="B490" s="424" t="s">
        <v>105</v>
      </c>
      <c r="C490" s="424" t="s">
        <v>44</v>
      </c>
      <c r="D490" s="424">
        <v>37.857500000000002</v>
      </c>
      <c r="E490" s="424">
        <v>-121.54093</v>
      </c>
      <c r="F490" s="424" t="s">
        <v>5298</v>
      </c>
      <c r="G490" s="424" t="s">
        <v>46</v>
      </c>
      <c r="H490" s="424" t="s">
        <v>202</v>
      </c>
      <c r="I490" s="425">
        <v>0.34097222222222223</v>
      </c>
      <c r="J490" s="427">
        <v>260.55</v>
      </c>
      <c r="K490" s="427">
        <v>9.8500000000000014</v>
      </c>
      <c r="L490" s="427">
        <v>14.45</v>
      </c>
      <c r="M490" s="427">
        <v>0.75</v>
      </c>
      <c r="N490" s="427">
        <v>3.05</v>
      </c>
      <c r="O490" s="424" t="s">
        <v>48</v>
      </c>
      <c r="P490" s="424">
        <v>2</v>
      </c>
      <c r="Q490" s="425">
        <v>0.39583333333333331</v>
      </c>
      <c r="R490" s="424" t="s">
        <v>49</v>
      </c>
      <c r="S490" s="424" t="s">
        <v>50</v>
      </c>
      <c r="T490" s="424" t="s">
        <v>50</v>
      </c>
      <c r="U490" s="424" t="s">
        <v>50</v>
      </c>
      <c r="V490" s="424" t="s">
        <v>50</v>
      </c>
      <c r="W490" s="424" t="s">
        <v>50</v>
      </c>
      <c r="X490" s="424" t="s">
        <v>50</v>
      </c>
      <c r="Y490" s="426" t="s">
        <v>5299</v>
      </c>
    </row>
    <row r="491" spans="1:25" s="424" customFormat="1" x14ac:dyDescent="0.25">
      <c r="A491" s="446">
        <v>43517</v>
      </c>
      <c r="B491" s="424" t="s">
        <v>105</v>
      </c>
      <c r="C491" s="424" t="s">
        <v>44</v>
      </c>
      <c r="D491" s="424">
        <v>38.04616</v>
      </c>
      <c r="E491" s="424">
        <v>-121.59698</v>
      </c>
      <c r="F491" s="424" t="s">
        <v>5300</v>
      </c>
      <c r="G491" s="424" t="s">
        <v>46</v>
      </c>
      <c r="H491" s="424" t="s">
        <v>47</v>
      </c>
      <c r="I491" s="425">
        <v>0.30694444444444441</v>
      </c>
      <c r="J491" s="427" t="s">
        <v>50</v>
      </c>
      <c r="K491" s="427" t="s">
        <v>50</v>
      </c>
      <c r="L491" s="427" t="s">
        <v>50</v>
      </c>
      <c r="M491" s="427" t="s">
        <v>50</v>
      </c>
      <c r="N491" s="427" t="s">
        <v>50</v>
      </c>
      <c r="O491" s="424" t="s">
        <v>48</v>
      </c>
      <c r="P491" s="424">
        <v>0</v>
      </c>
      <c r="Q491" s="424" t="s">
        <v>50</v>
      </c>
      <c r="R491" s="424" t="s">
        <v>50</v>
      </c>
      <c r="S491" s="424" t="s">
        <v>50</v>
      </c>
      <c r="T491" s="424" t="s">
        <v>50</v>
      </c>
      <c r="U491" s="424" t="s">
        <v>50</v>
      </c>
      <c r="V491" s="424" t="s">
        <v>50</v>
      </c>
      <c r="W491" s="424" t="s">
        <v>50</v>
      </c>
      <c r="X491" s="424" t="s">
        <v>50</v>
      </c>
      <c r="Y491" s="426" t="s">
        <v>5301</v>
      </c>
    </row>
    <row r="492" spans="1:25" x14ac:dyDescent="0.25">
      <c r="A492" s="446">
        <v>43517</v>
      </c>
      <c r="B492" s="424" t="s">
        <v>105</v>
      </c>
      <c r="C492" s="424" t="s">
        <v>44</v>
      </c>
      <c r="D492" s="424">
        <v>38.049680000000002</v>
      </c>
      <c r="E492" s="424">
        <v>-121.60329</v>
      </c>
      <c r="F492" s="424" t="s">
        <v>5302</v>
      </c>
      <c r="G492" s="424" t="s">
        <v>46</v>
      </c>
      <c r="H492" s="424" t="s">
        <v>47</v>
      </c>
      <c r="I492" s="425">
        <v>0.31597222222222221</v>
      </c>
      <c r="J492" s="427" t="s">
        <v>50</v>
      </c>
      <c r="K492" s="427" t="s">
        <v>50</v>
      </c>
      <c r="L492" s="427" t="s">
        <v>50</v>
      </c>
      <c r="M492" s="427" t="s">
        <v>50</v>
      </c>
      <c r="N492" s="427" t="s">
        <v>50</v>
      </c>
      <c r="O492" s="424" t="s">
        <v>48</v>
      </c>
      <c r="P492" s="424">
        <v>0</v>
      </c>
      <c r="Q492" s="424" t="s">
        <v>50</v>
      </c>
      <c r="R492" s="424" t="s">
        <v>50</v>
      </c>
      <c r="S492" s="424" t="s">
        <v>50</v>
      </c>
      <c r="T492" s="424" t="s">
        <v>50</v>
      </c>
      <c r="U492" s="424" t="s">
        <v>50</v>
      </c>
      <c r="V492" s="424" t="s">
        <v>50</v>
      </c>
      <c r="W492" s="424" t="s">
        <v>50</v>
      </c>
      <c r="X492" s="424" t="s">
        <v>50</v>
      </c>
      <c r="Y492" s="426" t="s">
        <v>5301</v>
      </c>
    </row>
    <row r="493" spans="1:25" s="424" customFormat="1" x14ac:dyDescent="0.25">
      <c r="A493" s="446">
        <v>43517</v>
      </c>
      <c r="B493" s="424" t="s">
        <v>105</v>
      </c>
      <c r="C493" s="424" t="s">
        <v>44</v>
      </c>
      <c r="D493" s="424">
        <v>37.97692</v>
      </c>
      <c r="E493" s="424">
        <v>-121.61879999999999</v>
      </c>
      <c r="F493" s="424" t="s">
        <v>5303</v>
      </c>
      <c r="G493" s="424" t="s">
        <v>46</v>
      </c>
      <c r="H493" s="424" t="s">
        <v>423</v>
      </c>
      <c r="I493" s="425">
        <v>0.3756944444444445</v>
      </c>
      <c r="J493" s="427" t="s">
        <v>50</v>
      </c>
      <c r="K493" s="427" t="s">
        <v>50</v>
      </c>
      <c r="L493" s="427" t="s">
        <v>50</v>
      </c>
      <c r="M493" s="427" t="s">
        <v>50</v>
      </c>
      <c r="N493" s="427" t="s">
        <v>50</v>
      </c>
      <c r="O493" s="424" t="s">
        <v>48</v>
      </c>
      <c r="P493" s="424">
        <v>0</v>
      </c>
      <c r="Q493" s="424" t="s">
        <v>50</v>
      </c>
      <c r="R493" s="424" t="s">
        <v>50</v>
      </c>
      <c r="S493" s="424" t="s">
        <v>50</v>
      </c>
      <c r="T493" s="424" t="s">
        <v>50</v>
      </c>
      <c r="U493" s="424" t="s">
        <v>50</v>
      </c>
      <c r="V493" s="424" t="s">
        <v>50</v>
      </c>
      <c r="W493" s="424" t="s">
        <v>50</v>
      </c>
      <c r="X493" s="424" t="s">
        <v>50</v>
      </c>
      <c r="Y493" s="426" t="s">
        <v>5304</v>
      </c>
    </row>
    <row r="494" spans="1:25" x14ac:dyDescent="0.25">
      <c r="A494" s="443">
        <v>43518</v>
      </c>
      <c r="B494" s="51" t="s">
        <v>125</v>
      </c>
      <c r="C494" s="51" t="s">
        <v>845</v>
      </c>
      <c r="D494" s="51">
        <v>38.272730000000003</v>
      </c>
      <c r="E494" s="51">
        <v>-121.69371</v>
      </c>
      <c r="F494" s="51" t="s">
        <v>5305</v>
      </c>
      <c r="G494" s="51" t="s">
        <v>90</v>
      </c>
      <c r="H494" s="51" t="s">
        <v>126</v>
      </c>
      <c r="I494" s="66">
        <v>0.3298611111111111</v>
      </c>
      <c r="J494" s="51">
        <v>230.92500000000001</v>
      </c>
      <c r="K494" s="428">
        <v>8.4</v>
      </c>
      <c r="L494" s="428">
        <v>165</v>
      </c>
      <c r="M494" s="428">
        <v>0.11249999999999999</v>
      </c>
      <c r="N494" s="428">
        <v>6.5750000000000002</v>
      </c>
      <c r="O494" s="51" t="s">
        <v>48</v>
      </c>
      <c r="P494" s="51">
        <v>4</v>
      </c>
      <c r="Q494" s="51">
        <v>10</v>
      </c>
      <c r="R494" s="51" t="s">
        <v>49</v>
      </c>
      <c r="S494" s="51" t="s">
        <v>50</v>
      </c>
      <c r="T494" s="51" t="s">
        <v>50</v>
      </c>
      <c r="U494" s="51" t="s">
        <v>50</v>
      </c>
      <c r="V494" s="51" t="s">
        <v>50</v>
      </c>
      <c r="W494" s="51" t="s">
        <v>50</v>
      </c>
      <c r="X494" s="51" t="s">
        <v>50</v>
      </c>
    </row>
    <row r="495" spans="1:25" x14ac:dyDescent="0.25">
      <c r="A495" s="443">
        <v>43518</v>
      </c>
      <c r="B495" s="51" t="s">
        <v>125</v>
      </c>
      <c r="C495" s="51" t="s">
        <v>845</v>
      </c>
      <c r="D495" s="51">
        <v>38.321480000000001</v>
      </c>
      <c r="E495" s="51">
        <v>-121.69251</v>
      </c>
      <c r="F495" s="51" t="s">
        <v>5306</v>
      </c>
      <c r="G495" s="51" t="s">
        <v>90</v>
      </c>
      <c r="H495" s="51" t="s">
        <v>126</v>
      </c>
      <c r="I495" s="66">
        <v>0.38750000000000001</v>
      </c>
      <c r="J495" s="51">
        <v>294.02499999999998</v>
      </c>
      <c r="K495" s="428">
        <v>7.375</v>
      </c>
      <c r="L495" s="428">
        <v>130.5</v>
      </c>
      <c r="M495" s="428">
        <v>0.1225</v>
      </c>
      <c r="N495" s="428">
        <v>4.6500000000000004</v>
      </c>
      <c r="O495" s="51" t="s">
        <v>48</v>
      </c>
      <c r="P495" s="51">
        <v>4</v>
      </c>
      <c r="Q495" s="51">
        <v>10</v>
      </c>
      <c r="R495" s="51" t="s">
        <v>49</v>
      </c>
      <c r="S495" s="51" t="s">
        <v>50</v>
      </c>
      <c r="T495" s="51" t="s">
        <v>50</v>
      </c>
      <c r="U495" s="51" t="s">
        <v>50</v>
      </c>
      <c r="V495" s="51" t="s">
        <v>50</v>
      </c>
      <c r="W495" s="51" t="s">
        <v>50</v>
      </c>
      <c r="X495" s="51" t="s">
        <v>50</v>
      </c>
    </row>
    <row r="496" spans="1:25" x14ac:dyDescent="0.25">
      <c r="A496" s="443">
        <v>43518</v>
      </c>
      <c r="B496" s="51" t="s">
        <v>125</v>
      </c>
      <c r="C496" s="51" t="s">
        <v>845</v>
      </c>
      <c r="D496" s="51">
        <v>38.235239999999997</v>
      </c>
      <c r="E496" s="51">
        <v>-121.68013999999999</v>
      </c>
      <c r="F496" s="51" t="s">
        <v>5307</v>
      </c>
      <c r="G496" s="51" t="s">
        <v>90</v>
      </c>
      <c r="H496" s="51" t="s">
        <v>126</v>
      </c>
      <c r="I496" s="66">
        <v>0.47847222222222219</v>
      </c>
      <c r="J496" s="51">
        <v>171.02499999999998</v>
      </c>
      <c r="K496" s="428">
        <v>8.1</v>
      </c>
      <c r="L496" s="428">
        <v>189.5</v>
      </c>
      <c r="M496" s="428">
        <v>0.1275</v>
      </c>
      <c r="N496" s="428">
        <v>9.9</v>
      </c>
      <c r="O496" s="51" t="s">
        <v>48</v>
      </c>
      <c r="P496" s="51">
        <v>4</v>
      </c>
      <c r="Q496" s="51">
        <v>10</v>
      </c>
      <c r="R496" s="51" t="s">
        <v>49</v>
      </c>
      <c r="S496" s="51" t="s">
        <v>50</v>
      </c>
      <c r="T496" s="51" t="s">
        <v>50</v>
      </c>
      <c r="U496" s="51" t="s">
        <v>50</v>
      </c>
      <c r="V496" s="51" t="s">
        <v>50</v>
      </c>
      <c r="W496" s="51" t="s">
        <v>50</v>
      </c>
      <c r="X496" s="51" t="s">
        <v>50</v>
      </c>
      <c r="Y496" s="52" t="s">
        <v>124</v>
      </c>
    </row>
    <row r="497" spans="1:25" s="424" customFormat="1" x14ac:dyDescent="0.25">
      <c r="A497" s="446">
        <v>43518</v>
      </c>
      <c r="B497" s="424" t="s">
        <v>125</v>
      </c>
      <c r="C497" s="424" t="s">
        <v>845</v>
      </c>
      <c r="D497" s="424">
        <v>38.282870000000003</v>
      </c>
      <c r="E497" s="424">
        <v>-121.71558</v>
      </c>
      <c r="F497" s="424" t="s">
        <v>5308</v>
      </c>
      <c r="G497" s="424" t="s">
        <v>90</v>
      </c>
      <c r="H497" s="424" t="s">
        <v>126</v>
      </c>
      <c r="I497" s="425">
        <v>0.4458333333333333</v>
      </c>
      <c r="J497" s="424">
        <v>523</v>
      </c>
      <c r="K497" s="427">
        <v>9.1999999999999993</v>
      </c>
      <c r="L497" s="427">
        <v>39.1</v>
      </c>
      <c r="M497" s="427">
        <v>0.37</v>
      </c>
      <c r="N497" s="427">
        <v>2.8</v>
      </c>
      <c r="O497" s="424" t="s">
        <v>48</v>
      </c>
      <c r="P497" s="424">
        <v>1</v>
      </c>
      <c r="Q497" s="424">
        <v>10</v>
      </c>
      <c r="R497" s="424" t="s">
        <v>49</v>
      </c>
      <c r="S497" s="424" t="s">
        <v>50</v>
      </c>
      <c r="T497" s="424" t="s">
        <v>50</v>
      </c>
      <c r="U497" s="424" t="s">
        <v>50</v>
      </c>
      <c r="V497" s="424" t="s">
        <v>50</v>
      </c>
      <c r="W497" s="424" t="s">
        <v>50</v>
      </c>
      <c r="X497" s="424" t="s">
        <v>50</v>
      </c>
      <c r="Y497" s="426" t="s">
        <v>5309</v>
      </c>
    </row>
    <row r="498" spans="1:25" x14ac:dyDescent="0.25">
      <c r="A498" s="443">
        <v>43518</v>
      </c>
      <c r="B498" s="51" t="s">
        <v>125</v>
      </c>
      <c r="C498" s="51" t="s">
        <v>44</v>
      </c>
      <c r="D498" s="51">
        <v>37.87885</v>
      </c>
      <c r="E498" s="51">
        <v>-121.51134999999999</v>
      </c>
      <c r="F498" s="51" t="s">
        <v>5310</v>
      </c>
      <c r="G498" s="51" t="s">
        <v>46</v>
      </c>
      <c r="H498" s="51" t="s">
        <v>202</v>
      </c>
      <c r="I498" s="66">
        <v>0.34791666666666665</v>
      </c>
      <c r="J498" s="51">
        <v>230.1</v>
      </c>
      <c r="K498" s="428">
        <v>9.5</v>
      </c>
      <c r="L498" s="428">
        <v>14.25</v>
      </c>
      <c r="M498" s="428">
        <v>0.72250000000000003</v>
      </c>
      <c r="N498" s="428">
        <v>4.1749999999999998</v>
      </c>
      <c r="O498" s="51" t="s">
        <v>48</v>
      </c>
      <c r="P498" s="51">
        <v>4</v>
      </c>
      <c r="Q498" s="51">
        <v>10</v>
      </c>
      <c r="R498" s="51" t="s">
        <v>64</v>
      </c>
      <c r="S498" s="51" t="s">
        <v>50</v>
      </c>
      <c r="T498" s="51" t="s">
        <v>50</v>
      </c>
      <c r="U498" s="51" t="s">
        <v>50</v>
      </c>
      <c r="V498" s="51" t="s">
        <v>50</v>
      </c>
      <c r="W498" s="51" t="s">
        <v>50</v>
      </c>
      <c r="X498" s="51" t="s">
        <v>50</v>
      </c>
      <c r="Y498" s="52" t="s">
        <v>4357</v>
      </c>
    </row>
    <row r="499" spans="1:25" x14ac:dyDescent="0.25">
      <c r="A499" s="443">
        <v>43518</v>
      </c>
      <c r="B499" s="51" t="s">
        <v>125</v>
      </c>
      <c r="C499" s="51" t="s">
        <v>44</v>
      </c>
      <c r="D499" s="51">
        <v>38.00497</v>
      </c>
      <c r="E499" s="51">
        <v>-121.54667999999999</v>
      </c>
      <c r="F499" s="51" t="s">
        <v>5311</v>
      </c>
      <c r="G499" s="51" t="s">
        <v>46</v>
      </c>
      <c r="H499" s="51" t="s">
        <v>59</v>
      </c>
      <c r="I499" s="66">
        <v>0.47291666666666665</v>
      </c>
      <c r="J499" s="51">
        <v>183.29999999999998</v>
      </c>
      <c r="K499" s="428">
        <v>9.6749999999999989</v>
      </c>
      <c r="L499" s="428">
        <v>17.174999999999997</v>
      </c>
      <c r="M499" s="428">
        <v>0.7024999999999999</v>
      </c>
      <c r="N499" s="428">
        <v>5.6750000000000007</v>
      </c>
      <c r="O499" s="51" t="s">
        <v>48</v>
      </c>
      <c r="P499" s="51">
        <v>4</v>
      </c>
      <c r="Q499" s="51">
        <v>10</v>
      </c>
      <c r="R499" s="51" t="s">
        <v>64</v>
      </c>
      <c r="S499" s="51" t="s">
        <v>50</v>
      </c>
      <c r="T499" s="51" t="s">
        <v>50</v>
      </c>
      <c r="U499" s="51" t="s">
        <v>50</v>
      </c>
      <c r="V499" s="51" t="s">
        <v>50</v>
      </c>
      <c r="W499" s="51" t="s">
        <v>50</v>
      </c>
      <c r="X499" s="51" t="s">
        <v>50</v>
      </c>
    </row>
    <row r="500" spans="1:25" x14ac:dyDescent="0.25">
      <c r="A500" s="443">
        <v>43518</v>
      </c>
      <c r="B500" s="51" t="s">
        <v>125</v>
      </c>
      <c r="C500" s="51" t="s">
        <v>44</v>
      </c>
      <c r="D500" s="51">
        <v>38.004770000000001</v>
      </c>
      <c r="E500" s="51">
        <v>-121.51387</v>
      </c>
      <c r="F500" s="51" t="s">
        <v>5312</v>
      </c>
      <c r="G500" s="51" t="s">
        <v>46</v>
      </c>
      <c r="H500" s="51" t="s">
        <v>59</v>
      </c>
      <c r="I500" s="66">
        <v>0.41875000000000001</v>
      </c>
      <c r="J500" s="51">
        <v>163.85</v>
      </c>
      <c r="K500" s="428">
        <v>9.6</v>
      </c>
      <c r="L500" s="428">
        <v>21.05</v>
      </c>
      <c r="M500" s="428">
        <v>0.72499999999999987</v>
      </c>
      <c r="N500" s="428">
        <v>9.6750000000000007</v>
      </c>
      <c r="O500" s="51" t="s">
        <v>48</v>
      </c>
      <c r="P500" s="51">
        <v>4</v>
      </c>
      <c r="Q500" s="51">
        <v>10</v>
      </c>
      <c r="R500" s="51" t="s">
        <v>64</v>
      </c>
      <c r="S500" s="51" t="s">
        <v>50</v>
      </c>
      <c r="T500" s="51" t="s">
        <v>50</v>
      </c>
      <c r="U500" s="51" t="s">
        <v>50</v>
      </c>
      <c r="V500" s="51" t="s">
        <v>50</v>
      </c>
      <c r="W500" s="51" t="s">
        <v>50</v>
      </c>
      <c r="X500" s="51" t="s">
        <v>50</v>
      </c>
    </row>
    <row r="501" spans="1:25" s="437" customFormat="1" x14ac:dyDescent="0.25">
      <c r="A501" s="476">
        <v>43518</v>
      </c>
      <c r="B501" s="437" t="s">
        <v>125</v>
      </c>
      <c r="C501" s="437" t="s">
        <v>78</v>
      </c>
      <c r="D501" s="437">
        <v>38.07161</v>
      </c>
      <c r="E501" s="437">
        <v>-121.85117</v>
      </c>
      <c r="F501" s="437" t="s">
        <v>5313</v>
      </c>
      <c r="G501" s="437" t="s">
        <v>27</v>
      </c>
      <c r="H501" s="437" t="s">
        <v>101</v>
      </c>
      <c r="I501" s="438">
        <v>0.33263888888888887</v>
      </c>
      <c r="J501" s="437">
        <v>94.6</v>
      </c>
      <c r="K501" s="439">
        <v>8.4250000000000007</v>
      </c>
      <c r="L501" s="439">
        <v>104.575</v>
      </c>
      <c r="M501" s="439">
        <v>0.16750000000000001</v>
      </c>
      <c r="N501" s="439">
        <v>3.6500000000000004</v>
      </c>
      <c r="O501" s="437" t="s">
        <v>48</v>
      </c>
      <c r="P501" s="437">
        <v>4</v>
      </c>
      <c r="Q501" s="437">
        <v>10</v>
      </c>
      <c r="R501" s="437" t="s">
        <v>49</v>
      </c>
      <c r="S501" s="437" t="s">
        <v>31</v>
      </c>
      <c r="T501" s="437">
        <v>1</v>
      </c>
      <c r="U501" s="437">
        <v>81</v>
      </c>
      <c r="V501" s="437" t="s">
        <v>2789</v>
      </c>
      <c r="W501" s="437" t="s">
        <v>50</v>
      </c>
      <c r="X501" s="437" t="s">
        <v>50</v>
      </c>
      <c r="Y501" s="440"/>
    </row>
    <row r="502" spans="1:25" s="437" customFormat="1" x14ac:dyDescent="0.25">
      <c r="A502" s="476">
        <v>43518</v>
      </c>
      <c r="B502" s="437" t="s">
        <v>125</v>
      </c>
      <c r="C502" s="437" t="s">
        <v>78</v>
      </c>
      <c r="D502" s="437">
        <v>38.07161</v>
      </c>
      <c r="E502" s="437">
        <v>-121.85117</v>
      </c>
      <c r="F502" s="437" t="s">
        <v>5313</v>
      </c>
      <c r="G502" s="437" t="s">
        <v>27</v>
      </c>
      <c r="H502" s="437" t="s">
        <v>101</v>
      </c>
      <c r="I502" s="438">
        <v>0.33263888888888887</v>
      </c>
      <c r="K502" s="439"/>
      <c r="L502" s="439"/>
      <c r="M502" s="439"/>
      <c r="N502" s="439"/>
      <c r="S502" s="437" t="s">
        <v>622</v>
      </c>
      <c r="T502" s="437">
        <v>1</v>
      </c>
      <c r="U502" s="437">
        <v>190</v>
      </c>
      <c r="V502" s="437" t="s">
        <v>50</v>
      </c>
      <c r="W502" s="437">
        <v>5</v>
      </c>
      <c r="X502" s="437" t="s">
        <v>2525</v>
      </c>
      <c r="Y502" s="440"/>
    </row>
    <row r="503" spans="1:25" s="437" customFormat="1" x14ac:dyDescent="0.25">
      <c r="A503" s="476">
        <v>43518</v>
      </c>
      <c r="B503" s="437" t="s">
        <v>125</v>
      </c>
      <c r="C503" s="437" t="s">
        <v>78</v>
      </c>
      <c r="D503" s="437">
        <v>38.049869999999999</v>
      </c>
      <c r="E503" s="437">
        <v>-121.97046</v>
      </c>
      <c r="F503" s="437" t="s">
        <v>5314</v>
      </c>
      <c r="G503" s="437" t="s">
        <v>27</v>
      </c>
      <c r="H503" s="437" t="s">
        <v>170</v>
      </c>
      <c r="I503" s="438">
        <v>0.40833333333333338</v>
      </c>
      <c r="J503" s="437">
        <v>120.75</v>
      </c>
      <c r="K503" s="439">
        <v>8.875</v>
      </c>
      <c r="L503" s="439">
        <v>85.800000000000011</v>
      </c>
      <c r="M503" s="439">
        <v>0.185</v>
      </c>
      <c r="N503" s="439">
        <v>3.7</v>
      </c>
      <c r="O503" s="437" t="s">
        <v>48</v>
      </c>
      <c r="P503" s="437">
        <v>4</v>
      </c>
      <c r="Q503" s="437">
        <v>10</v>
      </c>
      <c r="R503" s="437" t="s">
        <v>49</v>
      </c>
      <c r="S503" s="437" t="s">
        <v>31</v>
      </c>
      <c r="T503" s="437">
        <v>1</v>
      </c>
      <c r="U503" s="437">
        <v>80</v>
      </c>
      <c r="V503" s="437" t="s">
        <v>355</v>
      </c>
      <c r="W503" s="437" t="s">
        <v>50</v>
      </c>
      <c r="X503" s="437" t="s">
        <v>50</v>
      </c>
      <c r="Y503" s="440"/>
    </row>
    <row r="504" spans="1:25" s="437" customFormat="1" x14ac:dyDescent="0.25">
      <c r="A504" s="476">
        <v>43518</v>
      </c>
      <c r="B504" s="437" t="s">
        <v>125</v>
      </c>
      <c r="C504" s="437" t="s">
        <v>78</v>
      </c>
      <c r="D504" s="437">
        <v>38.049869999999999</v>
      </c>
      <c r="E504" s="437">
        <v>-121.97046</v>
      </c>
      <c r="F504" s="437" t="s">
        <v>5314</v>
      </c>
      <c r="G504" s="437" t="s">
        <v>27</v>
      </c>
      <c r="H504" s="437" t="s">
        <v>170</v>
      </c>
      <c r="I504" s="438">
        <v>0.40833333333333338</v>
      </c>
      <c r="K504" s="439"/>
      <c r="L504" s="439"/>
      <c r="M504" s="439"/>
      <c r="N504" s="439"/>
      <c r="S504" s="437" t="s">
        <v>622</v>
      </c>
      <c r="T504" s="437">
        <v>1</v>
      </c>
      <c r="U504" s="437">
        <v>200</v>
      </c>
      <c r="V504" s="437" t="s">
        <v>50</v>
      </c>
      <c r="W504" s="437">
        <v>5</v>
      </c>
      <c r="X504" s="437" t="s">
        <v>2525</v>
      </c>
      <c r="Y504" s="440"/>
    </row>
    <row r="505" spans="1:25" s="437" customFormat="1" x14ac:dyDescent="0.25">
      <c r="A505" s="476">
        <v>43518</v>
      </c>
      <c r="B505" s="437" t="s">
        <v>125</v>
      </c>
      <c r="C505" s="437" t="s">
        <v>78</v>
      </c>
      <c r="D505" s="437">
        <v>38.049869999999999</v>
      </c>
      <c r="E505" s="437">
        <v>-121.97046</v>
      </c>
      <c r="F505" s="437" t="s">
        <v>5314</v>
      </c>
      <c r="G505" s="437" t="s">
        <v>27</v>
      </c>
      <c r="H505" s="437" t="s">
        <v>170</v>
      </c>
      <c r="I505" s="438">
        <v>0.40833333333333338</v>
      </c>
      <c r="K505" s="439"/>
      <c r="L505" s="439"/>
      <c r="M505" s="439"/>
      <c r="N505" s="439"/>
      <c r="S505" s="437" t="s">
        <v>702</v>
      </c>
      <c r="T505" s="437">
        <v>1</v>
      </c>
      <c r="U505" s="437">
        <v>36</v>
      </c>
      <c r="V505" s="437" t="s">
        <v>50</v>
      </c>
      <c r="W505" s="437">
        <v>2</v>
      </c>
      <c r="X505" s="437" t="s">
        <v>50</v>
      </c>
      <c r="Y505" s="440"/>
    </row>
    <row r="506" spans="1:25" s="481" customFormat="1" x14ac:dyDescent="0.25">
      <c r="A506" s="480">
        <v>43518</v>
      </c>
      <c r="B506" s="481" t="s">
        <v>125</v>
      </c>
      <c r="C506" s="481" t="s">
        <v>78</v>
      </c>
      <c r="D506" s="481">
        <v>38.072890000000001</v>
      </c>
      <c r="E506" s="481">
        <v>-121.9871</v>
      </c>
      <c r="F506" s="481" t="s">
        <v>5315</v>
      </c>
      <c r="G506" s="481" t="s">
        <v>27</v>
      </c>
      <c r="H506" s="481" t="s">
        <v>86</v>
      </c>
      <c r="I506" s="482">
        <v>0.45763888888888887</v>
      </c>
      <c r="J506" s="481">
        <v>98.174999999999997</v>
      </c>
      <c r="K506" s="483">
        <v>8.5</v>
      </c>
      <c r="L506" s="483">
        <v>134</v>
      </c>
      <c r="M506" s="483">
        <v>0.13500000000000001</v>
      </c>
      <c r="N506" s="483">
        <v>4.2</v>
      </c>
      <c r="O506" s="481" t="s">
        <v>48</v>
      </c>
      <c r="P506" s="481">
        <v>4</v>
      </c>
      <c r="Q506" s="481">
        <v>10</v>
      </c>
      <c r="R506" s="481" t="s">
        <v>49</v>
      </c>
      <c r="S506" s="481" t="s">
        <v>702</v>
      </c>
      <c r="T506" s="481">
        <v>1</v>
      </c>
      <c r="U506" s="481">
        <v>36</v>
      </c>
      <c r="V506" s="481" t="s">
        <v>50</v>
      </c>
      <c r="W506" s="481">
        <v>2</v>
      </c>
      <c r="X506" s="481" t="s">
        <v>50</v>
      </c>
      <c r="Y506" s="484"/>
    </row>
    <row r="507" spans="1:25" s="437" customFormat="1" x14ac:dyDescent="0.25">
      <c r="A507" s="476">
        <v>43521</v>
      </c>
      <c r="B507" s="437" t="s">
        <v>43</v>
      </c>
      <c r="C507" s="437" t="s">
        <v>106</v>
      </c>
      <c r="D507" s="437">
        <v>38.563079999999999</v>
      </c>
      <c r="E507" s="437">
        <v>-121.55206</v>
      </c>
      <c r="F507" s="437" t="s">
        <v>5316</v>
      </c>
      <c r="G507" s="437" t="s">
        <v>90</v>
      </c>
      <c r="H507" s="437" t="s">
        <v>1787</v>
      </c>
      <c r="I507" s="438">
        <v>0.3756944444444445</v>
      </c>
      <c r="J507" s="439">
        <v>523.25</v>
      </c>
      <c r="K507" s="439">
        <v>10.375</v>
      </c>
      <c r="L507" s="439">
        <v>8.92</v>
      </c>
      <c r="M507" s="439">
        <v>0.89250000000000007</v>
      </c>
      <c r="N507" s="439">
        <v>11.95</v>
      </c>
      <c r="O507" s="437" t="s">
        <v>48</v>
      </c>
      <c r="P507" s="437">
        <v>4</v>
      </c>
      <c r="Q507" s="437">
        <v>10</v>
      </c>
      <c r="R507" s="437" t="s">
        <v>64</v>
      </c>
      <c r="S507" s="437" t="s">
        <v>3280</v>
      </c>
      <c r="T507" s="437">
        <v>1</v>
      </c>
      <c r="U507" s="437">
        <v>60</v>
      </c>
      <c r="V507" s="437" t="s">
        <v>50</v>
      </c>
      <c r="W507" s="437">
        <v>3</v>
      </c>
      <c r="X507" s="437" t="s">
        <v>50</v>
      </c>
      <c r="Y507" s="440"/>
    </row>
    <row r="508" spans="1:25" x14ac:dyDescent="0.25">
      <c r="A508" s="443">
        <v>43521</v>
      </c>
      <c r="B508" s="51" t="s">
        <v>43</v>
      </c>
      <c r="C508" s="51" t="s">
        <v>106</v>
      </c>
      <c r="D508" s="51">
        <v>38.389060000000001</v>
      </c>
      <c r="E508" s="51">
        <v>-121.62307</v>
      </c>
      <c r="F508" s="51" t="s">
        <v>5317</v>
      </c>
      <c r="G508" s="51" t="s">
        <v>90</v>
      </c>
      <c r="H508" s="51" t="s">
        <v>362</v>
      </c>
      <c r="I508" s="66">
        <v>0.44791666666666669</v>
      </c>
      <c r="J508" s="428">
        <v>434.55</v>
      </c>
      <c r="K508" s="428">
        <v>10</v>
      </c>
      <c r="L508" s="428">
        <v>47.1</v>
      </c>
      <c r="M508" s="428">
        <v>0.29249999999999998</v>
      </c>
      <c r="N508" s="428">
        <v>10.850000000000001</v>
      </c>
      <c r="O508" s="51" t="s">
        <v>48</v>
      </c>
      <c r="P508" s="51">
        <v>4</v>
      </c>
      <c r="Q508" s="51">
        <v>10</v>
      </c>
      <c r="R508" s="51" t="s">
        <v>64</v>
      </c>
      <c r="S508" s="51" t="s">
        <v>50</v>
      </c>
      <c r="T508" s="51" t="s">
        <v>50</v>
      </c>
      <c r="U508" s="51" t="s">
        <v>50</v>
      </c>
      <c r="V508" s="51" t="s">
        <v>50</v>
      </c>
      <c r="W508" s="51" t="s">
        <v>50</v>
      </c>
      <c r="X508" s="51" t="s">
        <v>50</v>
      </c>
    </row>
    <row r="509" spans="1:25" s="437" customFormat="1" x14ac:dyDescent="0.25">
      <c r="A509" s="476">
        <v>43521</v>
      </c>
      <c r="B509" s="437" t="s">
        <v>43</v>
      </c>
      <c r="C509" s="437" t="s">
        <v>106</v>
      </c>
      <c r="D509" s="437">
        <v>38.274290000000001</v>
      </c>
      <c r="E509" s="437">
        <v>-121.6613</v>
      </c>
      <c r="F509" s="437" t="s">
        <v>5318</v>
      </c>
      <c r="G509" s="437" t="s">
        <v>90</v>
      </c>
      <c r="H509" s="437" t="s">
        <v>362</v>
      </c>
      <c r="I509" s="438">
        <v>0.51527777777777783</v>
      </c>
      <c r="J509" s="439">
        <v>208.77500000000003</v>
      </c>
      <c r="K509" s="439">
        <v>9.5</v>
      </c>
      <c r="L509" s="439">
        <v>70.849999999999994</v>
      </c>
      <c r="M509" s="439">
        <v>0.26</v>
      </c>
      <c r="N509" s="439">
        <v>10.8</v>
      </c>
      <c r="O509" s="437" t="s">
        <v>48</v>
      </c>
      <c r="P509" s="437">
        <v>4</v>
      </c>
      <c r="Q509" s="437">
        <v>10</v>
      </c>
      <c r="R509" s="437" t="s">
        <v>49</v>
      </c>
      <c r="S509" s="437" t="s">
        <v>3280</v>
      </c>
      <c r="T509" s="437">
        <v>1</v>
      </c>
      <c r="U509" s="437">
        <v>65</v>
      </c>
      <c r="V509" s="437" t="s">
        <v>50</v>
      </c>
      <c r="W509" s="437">
        <v>3</v>
      </c>
      <c r="X509" s="437" t="s">
        <v>50</v>
      </c>
      <c r="Y509" s="440"/>
    </row>
    <row r="510" spans="1:25" s="437" customFormat="1" x14ac:dyDescent="0.25">
      <c r="A510" s="476">
        <v>43521</v>
      </c>
      <c r="B510" s="437" t="s">
        <v>43</v>
      </c>
      <c r="C510" s="437" t="s">
        <v>106</v>
      </c>
      <c r="D510" s="437">
        <v>38.274290000000001</v>
      </c>
      <c r="E510" s="437">
        <v>-121.6613</v>
      </c>
      <c r="F510" s="437" t="s">
        <v>5318</v>
      </c>
      <c r="G510" s="437" t="s">
        <v>90</v>
      </c>
      <c r="H510" s="437" t="s">
        <v>362</v>
      </c>
      <c r="I510" s="438">
        <v>0.51527777777777783</v>
      </c>
      <c r="J510" s="439"/>
      <c r="K510" s="439"/>
      <c r="L510" s="439"/>
      <c r="M510" s="439"/>
      <c r="N510" s="439"/>
      <c r="S510" s="437" t="s">
        <v>5265</v>
      </c>
      <c r="T510" s="437">
        <v>1</v>
      </c>
      <c r="U510" s="437">
        <v>110</v>
      </c>
      <c r="V510" s="437" t="s">
        <v>50</v>
      </c>
      <c r="W510" s="437">
        <v>4</v>
      </c>
      <c r="X510" s="437" t="s">
        <v>2525</v>
      </c>
      <c r="Y510" s="440"/>
    </row>
    <row r="511" spans="1:25" s="437" customFormat="1" x14ac:dyDescent="0.25">
      <c r="A511" s="476">
        <v>43521</v>
      </c>
      <c r="B511" s="437" t="s">
        <v>43</v>
      </c>
      <c r="C511" s="437" t="s">
        <v>106</v>
      </c>
      <c r="D511" s="437">
        <v>38.274290000000001</v>
      </c>
      <c r="E511" s="437">
        <v>-121.6613</v>
      </c>
      <c r="F511" s="437" t="s">
        <v>5318</v>
      </c>
      <c r="G511" s="437" t="s">
        <v>90</v>
      </c>
      <c r="H511" s="437" t="s">
        <v>362</v>
      </c>
      <c r="I511" s="438">
        <v>0.51527777777777783</v>
      </c>
      <c r="J511" s="439"/>
      <c r="K511" s="439"/>
      <c r="L511" s="439"/>
      <c r="M511" s="439"/>
      <c r="N511" s="439"/>
      <c r="S511" s="437" t="s">
        <v>622</v>
      </c>
      <c r="T511" s="437">
        <v>2</v>
      </c>
      <c r="U511" s="437" t="s">
        <v>5319</v>
      </c>
      <c r="V511" s="437" t="s">
        <v>50</v>
      </c>
      <c r="W511" s="437">
        <v>5</v>
      </c>
      <c r="X511" s="437" t="s">
        <v>2525</v>
      </c>
      <c r="Y511" s="440"/>
    </row>
    <row r="512" spans="1:25" s="431" customFormat="1" x14ac:dyDescent="0.25">
      <c r="A512" s="447">
        <v>43521</v>
      </c>
      <c r="B512" s="431" t="s">
        <v>43</v>
      </c>
      <c r="C512" s="431" t="s">
        <v>106</v>
      </c>
      <c r="D512" s="431">
        <v>38.274290000000001</v>
      </c>
      <c r="E512" s="431">
        <v>-121.6613</v>
      </c>
      <c r="F512" s="431" t="s">
        <v>5318</v>
      </c>
      <c r="G512" s="431" t="s">
        <v>90</v>
      </c>
      <c r="H512" s="431" t="s">
        <v>362</v>
      </c>
      <c r="I512" s="432">
        <v>0.51527777777777783</v>
      </c>
      <c r="J512" s="433"/>
      <c r="K512" s="433"/>
      <c r="L512" s="433"/>
      <c r="M512" s="433"/>
      <c r="N512" s="433"/>
      <c r="S512" s="431" t="s">
        <v>323</v>
      </c>
      <c r="T512" s="431">
        <v>2</v>
      </c>
      <c r="U512" s="431" t="s">
        <v>5320</v>
      </c>
      <c r="V512" s="474" t="s">
        <v>66</v>
      </c>
      <c r="W512" s="431" t="s">
        <v>50</v>
      </c>
      <c r="X512" s="431" t="s">
        <v>50</v>
      </c>
      <c r="Y512" s="448"/>
    </row>
    <row r="513" spans="1:25" x14ac:dyDescent="0.25">
      <c r="A513" s="443">
        <v>43521</v>
      </c>
      <c r="B513" s="51" t="s">
        <v>43</v>
      </c>
      <c r="C513" s="51" t="s">
        <v>62</v>
      </c>
      <c r="D513" s="51">
        <v>38.105510000000002</v>
      </c>
      <c r="E513" s="51">
        <v>-122.05472</v>
      </c>
      <c r="F513" s="51" t="s">
        <v>5321</v>
      </c>
      <c r="G513" s="51" t="s">
        <v>27</v>
      </c>
      <c r="H513" s="51" t="s">
        <v>173</v>
      </c>
      <c r="I513" s="66">
        <v>0.34027777777777773</v>
      </c>
      <c r="J513" s="428">
        <v>348.375</v>
      </c>
      <c r="K513" s="428">
        <v>9.3000000000000007</v>
      </c>
      <c r="L513" s="428">
        <v>108.75</v>
      </c>
      <c r="M513" s="428">
        <v>0.21</v>
      </c>
      <c r="N513" s="428">
        <v>3.7</v>
      </c>
      <c r="O513" s="51" t="s">
        <v>48</v>
      </c>
      <c r="P513" s="51">
        <v>4</v>
      </c>
      <c r="Q513" s="51">
        <v>10</v>
      </c>
      <c r="R513" s="51" t="s">
        <v>49</v>
      </c>
      <c r="S513" s="51" t="s">
        <v>50</v>
      </c>
      <c r="T513" s="51" t="s">
        <v>50</v>
      </c>
      <c r="U513" s="51" t="s">
        <v>50</v>
      </c>
      <c r="V513" s="51" t="s">
        <v>50</v>
      </c>
      <c r="W513" s="51" t="s">
        <v>50</v>
      </c>
      <c r="X513" s="51" t="s">
        <v>50</v>
      </c>
    </row>
    <row r="514" spans="1:25" x14ac:dyDescent="0.25">
      <c r="A514" s="443">
        <v>43521</v>
      </c>
      <c r="B514" s="51" t="s">
        <v>43</v>
      </c>
      <c r="C514" s="51" t="s">
        <v>62</v>
      </c>
      <c r="D514" s="51">
        <v>38.185040000000001</v>
      </c>
      <c r="E514" s="51">
        <v>-121.98372999999999</v>
      </c>
      <c r="F514" s="51" t="s">
        <v>5322</v>
      </c>
      <c r="G514" s="51" t="s">
        <v>27</v>
      </c>
      <c r="H514" s="51" t="s">
        <v>62</v>
      </c>
      <c r="I514" s="66">
        <v>0.40277777777777773</v>
      </c>
      <c r="J514" s="428">
        <v>1013.75</v>
      </c>
      <c r="K514" s="428">
        <v>9.2249999999999996</v>
      </c>
      <c r="L514" s="428">
        <v>137.75</v>
      </c>
      <c r="M514" s="428">
        <v>0.19750000000000001</v>
      </c>
      <c r="N514" s="428">
        <v>8.9250000000000007</v>
      </c>
      <c r="O514" s="51" t="s">
        <v>48</v>
      </c>
      <c r="P514" s="51">
        <v>4</v>
      </c>
      <c r="Q514" s="51">
        <v>10</v>
      </c>
      <c r="R514" s="51" t="s">
        <v>49</v>
      </c>
      <c r="S514" s="51" t="s">
        <v>50</v>
      </c>
      <c r="T514" s="51" t="s">
        <v>50</v>
      </c>
      <c r="U514" s="51" t="s">
        <v>50</v>
      </c>
      <c r="V514" s="51" t="s">
        <v>50</v>
      </c>
      <c r="W514" s="51" t="s">
        <v>50</v>
      </c>
      <c r="X514" s="51" t="s">
        <v>50</v>
      </c>
    </row>
    <row r="515" spans="1:25" s="437" customFormat="1" x14ac:dyDescent="0.25">
      <c r="A515" s="476">
        <v>43521</v>
      </c>
      <c r="B515" s="437" t="s">
        <v>43</v>
      </c>
      <c r="C515" s="437" t="s">
        <v>62</v>
      </c>
      <c r="D515" s="437">
        <v>38.118670000000002</v>
      </c>
      <c r="E515" s="437">
        <v>-121.90609000000001</v>
      </c>
      <c r="F515" s="437" t="s">
        <v>5323</v>
      </c>
      <c r="G515" s="437" t="s">
        <v>27</v>
      </c>
      <c r="H515" s="437" t="s">
        <v>62</v>
      </c>
      <c r="I515" s="438">
        <v>0.47222222222222227</v>
      </c>
      <c r="J515" s="439">
        <v>463.35</v>
      </c>
      <c r="K515" s="439">
        <v>9.375</v>
      </c>
      <c r="L515" s="439">
        <v>99.550000000000011</v>
      </c>
      <c r="M515" s="439">
        <v>0.21000000000000002</v>
      </c>
      <c r="N515" s="439">
        <v>7.0500000000000007</v>
      </c>
      <c r="O515" s="437" t="s">
        <v>48</v>
      </c>
      <c r="P515" s="437">
        <v>4</v>
      </c>
      <c r="Q515" s="437">
        <v>10</v>
      </c>
      <c r="R515" s="437" t="s">
        <v>49</v>
      </c>
      <c r="S515" s="437" t="s">
        <v>5265</v>
      </c>
      <c r="T515" s="437">
        <v>1</v>
      </c>
      <c r="U515" s="437">
        <v>109</v>
      </c>
      <c r="V515" s="437" t="s">
        <v>50</v>
      </c>
      <c r="W515" s="437">
        <v>5</v>
      </c>
      <c r="X515" s="437" t="s">
        <v>2525</v>
      </c>
      <c r="Y515" s="440"/>
    </row>
    <row r="516" spans="1:25" s="437" customFormat="1" x14ac:dyDescent="0.25">
      <c r="A516" s="476">
        <v>43521</v>
      </c>
      <c r="B516" s="437" t="s">
        <v>43</v>
      </c>
      <c r="C516" s="437" t="s">
        <v>62</v>
      </c>
      <c r="D516" s="437">
        <v>38.118670000000002</v>
      </c>
      <c r="E516" s="437">
        <v>-121.90609000000001</v>
      </c>
      <c r="F516" s="437" t="s">
        <v>5323</v>
      </c>
      <c r="G516" s="437" t="s">
        <v>27</v>
      </c>
      <c r="H516" s="437" t="s">
        <v>62</v>
      </c>
      <c r="I516" s="438">
        <v>0.47222222222222227</v>
      </c>
      <c r="J516" s="439"/>
      <c r="K516" s="439"/>
      <c r="L516" s="439"/>
      <c r="M516" s="439"/>
      <c r="N516" s="439"/>
      <c r="S516" s="437" t="s">
        <v>702</v>
      </c>
      <c r="T516" s="437">
        <v>1</v>
      </c>
      <c r="U516" s="437">
        <v>37</v>
      </c>
      <c r="V516" s="437" t="s">
        <v>50</v>
      </c>
      <c r="W516" s="437">
        <v>2</v>
      </c>
      <c r="X516" s="437" t="s">
        <v>50</v>
      </c>
      <c r="Y516" s="440" t="s">
        <v>5324</v>
      </c>
    </row>
    <row r="517" spans="1:25" s="437" customFormat="1" x14ac:dyDescent="0.25">
      <c r="A517" s="476">
        <v>43521</v>
      </c>
      <c r="B517" s="437" t="s">
        <v>43</v>
      </c>
      <c r="C517" s="437" t="s">
        <v>62</v>
      </c>
      <c r="D517" s="437">
        <v>38.118670000000002</v>
      </c>
      <c r="E517" s="437">
        <v>-121.90609000000001</v>
      </c>
      <c r="F517" s="437" t="s">
        <v>5323</v>
      </c>
      <c r="G517" s="437" t="s">
        <v>27</v>
      </c>
      <c r="H517" s="437" t="s">
        <v>62</v>
      </c>
      <c r="I517" s="438">
        <v>0.47222222222222227</v>
      </c>
      <c r="J517" s="439"/>
      <c r="K517" s="439"/>
      <c r="L517" s="439"/>
      <c r="M517" s="439"/>
      <c r="N517" s="439"/>
      <c r="S517" s="437" t="s">
        <v>31</v>
      </c>
      <c r="T517" s="437">
        <v>1</v>
      </c>
      <c r="U517" s="437">
        <v>79</v>
      </c>
      <c r="V517" s="437" t="s">
        <v>355</v>
      </c>
      <c r="W517" s="437" t="s">
        <v>50</v>
      </c>
      <c r="X517" s="437" t="s">
        <v>50</v>
      </c>
      <c r="Y517" s="440"/>
    </row>
    <row r="518" spans="1:25" x14ac:dyDescent="0.25">
      <c r="A518" s="443">
        <v>43521</v>
      </c>
      <c r="B518" s="51" t="s">
        <v>43</v>
      </c>
      <c r="C518" s="51" t="s">
        <v>44</v>
      </c>
      <c r="D518" s="51">
        <v>38.038490000000003</v>
      </c>
      <c r="E518" s="51">
        <v>-121.59892000000001</v>
      </c>
      <c r="F518" s="51" t="s">
        <v>5325</v>
      </c>
      <c r="G518" s="51" t="s">
        <v>46</v>
      </c>
      <c r="H518" s="51" t="s">
        <v>47</v>
      </c>
      <c r="I518" s="66">
        <v>0.29930555555555555</v>
      </c>
      <c r="J518" s="428">
        <v>158.97499999999999</v>
      </c>
      <c r="K518" s="428">
        <v>9.875</v>
      </c>
      <c r="L518" s="428">
        <v>17.599999999999998</v>
      </c>
      <c r="M518" s="428">
        <v>0.7024999999999999</v>
      </c>
      <c r="N518" s="428">
        <v>2.85</v>
      </c>
      <c r="O518" s="51" t="s">
        <v>48</v>
      </c>
      <c r="P518" s="51">
        <v>4</v>
      </c>
      <c r="Q518" s="51">
        <v>10</v>
      </c>
      <c r="R518" s="51" t="s">
        <v>64</v>
      </c>
      <c r="S518" s="51" t="s">
        <v>50</v>
      </c>
      <c r="T518" s="51" t="s">
        <v>50</v>
      </c>
      <c r="U518" s="51" t="s">
        <v>50</v>
      </c>
      <c r="V518" s="51" t="s">
        <v>50</v>
      </c>
      <c r="W518" s="51" t="s">
        <v>50</v>
      </c>
      <c r="X518" s="51" t="s">
        <v>50</v>
      </c>
      <c r="Y518" s="52" t="s">
        <v>5326</v>
      </c>
    </row>
    <row r="519" spans="1:25" x14ac:dyDescent="0.25">
      <c r="A519" s="443">
        <v>43521</v>
      </c>
      <c r="B519" s="51" t="s">
        <v>43</v>
      </c>
      <c r="C519" s="51" t="s">
        <v>44</v>
      </c>
      <c r="D519" s="51">
        <v>37.92116</v>
      </c>
      <c r="E519" s="51">
        <v>-121.55491000000001</v>
      </c>
      <c r="F519" s="51" t="s">
        <v>5327</v>
      </c>
      <c r="G519" s="51" t="s">
        <v>46</v>
      </c>
      <c r="H519" s="51" t="s">
        <v>199</v>
      </c>
      <c r="I519" s="66">
        <v>0.36041666666666666</v>
      </c>
      <c r="J519" s="428">
        <v>224.375</v>
      </c>
      <c r="K519" s="428">
        <v>10</v>
      </c>
      <c r="L519" s="428">
        <v>15.375</v>
      </c>
      <c r="M519" s="428">
        <v>0.80499999999999994</v>
      </c>
      <c r="N519" s="428">
        <v>9.9</v>
      </c>
      <c r="O519" s="51" t="s">
        <v>48</v>
      </c>
      <c r="P519" s="51">
        <v>4</v>
      </c>
      <c r="Q519" s="51">
        <v>10</v>
      </c>
      <c r="R519" s="51" t="s">
        <v>64</v>
      </c>
      <c r="S519" s="51" t="s">
        <v>50</v>
      </c>
      <c r="T519" s="51" t="s">
        <v>50</v>
      </c>
      <c r="U519" s="51" t="s">
        <v>50</v>
      </c>
      <c r="V519" s="51" t="s">
        <v>50</v>
      </c>
      <c r="W519" s="51" t="s">
        <v>50</v>
      </c>
      <c r="X519" s="51" t="s">
        <v>50</v>
      </c>
    </row>
    <row r="520" spans="1:25" x14ac:dyDescent="0.25">
      <c r="A520" s="443">
        <v>43521</v>
      </c>
      <c r="B520" s="51" t="s">
        <v>43</v>
      </c>
      <c r="C520" s="51" t="s">
        <v>44</v>
      </c>
      <c r="D520" s="51">
        <v>37.837470000000003</v>
      </c>
      <c r="E520" s="51">
        <v>-121.55586</v>
      </c>
      <c r="F520" s="51" t="s">
        <v>5328</v>
      </c>
      <c r="G520" s="51" t="s">
        <v>46</v>
      </c>
      <c r="H520" s="51" t="s">
        <v>202</v>
      </c>
      <c r="I520" s="66">
        <v>0.41597222222222219</v>
      </c>
      <c r="J520" s="428">
        <v>307.39999999999998</v>
      </c>
      <c r="K520" s="428">
        <v>10.25</v>
      </c>
      <c r="L520" s="428">
        <v>11.824999999999999</v>
      </c>
      <c r="M520" s="428">
        <v>0.96499999999999997</v>
      </c>
      <c r="N520" s="428">
        <v>9.0500000000000007</v>
      </c>
      <c r="O520" s="51" t="s">
        <v>48</v>
      </c>
      <c r="P520" s="51">
        <v>4</v>
      </c>
      <c r="Q520" s="51">
        <v>10</v>
      </c>
      <c r="R520" s="51" t="s">
        <v>64</v>
      </c>
      <c r="S520" s="51" t="s">
        <v>50</v>
      </c>
      <c r="T520" s="51" t="s">
        <v>50</v>
      </c>
      <c r="U520" s="51" t="s">
        <v>50</v>
      </c>
      <c r="V520" s="51" t="s">
        <v>50</v>
      </c>
      <c r="W520" s="51" t="s">
        <v>50</v>
      </c>
      <c r="X520" s="51" t="s">
        <v>50</v>
      </c>
    </row>
    <row r="521" spans="1:25" x14ac:dyDescent="0.25">
      <c r="A521" s="443">
        <v>43521</v>
      </c>
      <c r="B521" s="51" t="s">
        <v>43</v>
      </c>
      <c r="C521" s="51" t="s">
        <v>44</v>
      </c>
      <c r="D521" s="51">
        <v>37.964329999999997</v>
      </c>
      <c r="E521" s="51">
        <v>-121.60381</v>
      </c>
      <c r="F521" s="51" t="s">
        <v>5329</v>
      </c>
      <c r="G521" s="51" t="s">
        <v>46</v>
      </c>
      <c r="H521" s="51" t="s">
        <v>423</v>
      </c>
      <c r="I521" s="66">
        <v>0.47847222222222219</v>
      </c>
      <c r="J521" s="428">
        <v>240.85</v>
      </c>
      <c r="K521" s="428">
        <v>10.1</v>
      </c>
      <c r="L521" s="428">
        <v>13.950000000000001</v>
      </c>
      <c r="M521" s="428">
        <v>0.91750000000000009</v>
      </c>
      <c r="N521" s="428">
        <v>3.4</v>
      </c>
      <c r="O521" s="51" t="s">
        <v>48</v>
      </c>
      <c r="P521" s="51">
        <v>4</v>
      </c>
      <c r="Q521" s="51">
        <v>10</v>
      </c>
      <c r="R521" s="51" t="s">
        <v>64</v>
      </c>
      <c r="S521" s="51" t="s">
        <v>50</v>
      </c>
      <c r="T521" s="51" t="s">
        <v>50</v>
      </c>
      <c r="U521" s="51" t="s">
        <v>50</v>
      </c>
      <c r="V521" s="51" t="s">
        <v>50</v>
      </c>
      <c r="W521" s="51" t="s">
        <v>50</v>
      </c>
      <c r="X521" s="51" t="s">
        <v>50</v>
      </c>
      <c r="Y521" s="52" t="s">
        <v>5330</v>
      </c>
    </row>
    <row r="522" spans="1:25" x14ac:dyDescent="0.25">
      <c r="A522" s="443">
        <v>43522</v>
      </c>
      <c r="B522" s="51" t="s">
        <v>70</v>
      </c>
      <c r="C522" s="51" t="s">
        <v>44</v>
      </c>
      <c r="D522" s="51">
        <v>38.046219999999998</v>
      </c>
      <c r="E522" s="51">
        <v>-121.60087</v>
      </c>
      <c r="F522" s="51" t="s">
        <v>5331</v>
      </c>
      <c r="G522" s="51" t="s">
        <v>46</v>
      </c>
      <c r="H522" s="51" t="s">
        <v>47</v>
      </c>
      <c r="I522" s="66">
        <v>0.30833333333333335</v>
      </c>
      <c r="J522" s="428">
        <v>152.27499999999998</v>
      </c>
      <c r="K522" s="428">
        <v>9.9</v>
      </c>
      <c r="L522" s="428">
        <v>21.325000000000003</v>
      </c>
      <c r="M522" s="428">
        <v>0.5774999999999999</v>
      </c>
      <c r="N522" s="428">
        <v>3.1749999999999998</v>
      </c>
      <c r="O522" s="51" t="s">
        <v>48</v>
      </c>
      <c r="P522" s="51">
        <v>4</v>
      </c>
      <c r="Q522" s="51">
        <v>10</v>
      </c>
      <c r="R522" s="51" t="s">
        <v>64</v>
      </c>
      <c r="S522" s="51" t="s">
        <v>50</v>
      </c>
      <c r="T522" s="51" t="s">
        <v>50</v>
      </c>
      <c r="U522" s="51" t="s">
        <v>50</v>
      </c>
      <c r="V522" s="51" t="s">
        <v>50</v>
      </c>
      <c r="W522" s="51" t="s">
        <v>50</v>
      </c>
      <c r="X522" s="51" t="s">
        <v>50</v>
      </c>
    </row>
    <row r="523" spans="1:25" x14ac:dyDescent="0.25">
      <c r="A523" s="443">
        <v>43522</v>
      </c>
      <c r="B523" s="51" t="s">
        <v>70</v>
      </c>
      <c r="C523" s="51" t="s">
        <v>44</v>
      </c>
      <c r="D523" s="51">
        <v>38.048929999999999</v>
      </c>
      <c r="E523" s="51">
        <v>-121.65407</v>
      </c>
      <c r="F523" s="51" t="s">
        <v>5332</v>
      </c>
      <c r="G523" s="51" t="s">
        <v>46</v>
      </c>
      <c r="H523" s="51" t="s">
        <v>47</v>
      </c>
      <c r="I523" s="66">
        <v>0.36944444444444446</v>
      </c>
      <c r="J523" s="428">
        <v>146.15</v>
      </c>
      <c r="K523" s="428">
        <v>9.5</v>
      </c>
      <c r="L523" s="428">
        <v>32.049999999999997</v>
      </c>
      <c r="M523" s="428">
        <v>0.375</v>
      </c>
      <c r="N523" s="428">
        <v>8.6</v>
      </c>
      <c r="O523" s="51" t="s">
        <v>48</v>
      </c>
      <c r="P523" s="51">
        <v>4</v>
      </c>
      <c r="Q523" s="51">
        <v>10</v>
      </c>
      <c r="R523" s="51" t="s">
        <v>64</v>
      </c>
      <c r="S523" s="51" t="s">
        <v>50</v>
      </c>
      <c r="T523" s="51" t="s">
        <v>50</v>
      </c>
      <c r="U523" s="51" t="s">
        <v>50</v>
      </c>
      <c r="V523" s="51" t="s">
        <v>50</v>
      </c>
      <c r="W523" s="51" t="s">
        <v>50</v>
      </c>
      <c r="X523" s="51" t="s">
        <v>50</v>
      </c>
    </row>
    <row r="524" spans="1:25" x14ac:dyDescent="0.25">
      <c r="A524" s="443">
        <v>43522</v>
      </c>
      <c r="B524" s="51" t="s">
        <v>70</v>
      </c>
      <c r="C524" s="51" t="s">
        <v>845</v>
      </c>
      <c r="D524" s="51">
        <v>38.258600000000001</v>
      </c>
      <c r="E524" s="51">
        <v>-121.73784999999999</v>
      </c>
      <c r="F524" s="51" t="s">
        <v>5333</v>
      </c>
      <c r="G524" s="51" t="s">
        <v>90</v>
      </c>
      <c r="H524" s="51" t="s">
        <v>126</v>
      </c>
      <c r="I524" s="66">
        <v>0.3659722222222222</v>
      </c>
      <c r="J524" s="428">
        <v>237.375</v>
      </c>
      <c r="K524" s="428">
        <v>9.4250000000000007</v>
      </c>
      <c r="L524" s="428">
        <v>51.35</v>
      </c>
      <c r="M524" s="428">
        <v>0.31</v>
      </c>
      <c r="N524" s="428">
        <v>4.6500000000000004</v>
      </c>
      <c r="O524" s="51" t="s">
        <v>48</v>
      </c>
      <c r="P524" s="51">
        <v>4</v>
      </c>
      <c r="Q524" s="51">
        <v>10</v>
      </c>
      <c r="R524" s="51" t="s">
        <v>64</v>
      </c>
      <c r="S524" s="51" t="s">
        <v>50</v>
      </c>
      <c r="T524" s="51" t="s">
        <v>50</v>
      </c>
      <c r="U524" s="51" t="s">
        <v>50</v>
      </c>
      <c r="V524" s="51" t="s">
        <v>50</v>
      </c>
      <c r="W524" s="51" t="s">
        <v>50</v>
      </c>
      <c r="X524" s="51" t="s">
        <v>50</v>
      </c>
      <c r="Y524" s="52" t="s">
        <v>5334</v>
      </c>
    </row>
    <row r="525" spans="1:25" s="437" customFormat="1" x14ac:dyDescent="0.25">
      <c r="A525" s="476">
        <v>43522</v>
      </c>
      <c r="B525" s="437" t="s">
        <v>70</v>
      </c>
      <c r="C525" s="437" t="s">
        <v>845</v>
      </c>
      <c r="D525" s="437">
        <v>38.25544</v>
      </c>
      <c r="E525" s="437">
        <v>-121.73023999999999</v>
      </c>
      <c r="F525" s="437" t="s">
        <v>5335</v>
      </c>
      <c r="G525" s="437" t="s">
        <v>90</v>
      </c>
      <c r="H525" s="437" t="s">
        <v>126</v>
      </c>
      <c r="I525" s="438">
        <v>0.44236111111111115</v>
      </c>
      <c r="J525" s="439">
        <v>275.95000000000005</v>
      </c>
      <c r="K525" s="439">
        <v>9.5500000000000007</v>
      </c>
      <c r="L525" s="439">
        <v>64.550000000000011</v>
      </c>
      <c r="M525" s="439">
        <v>0.26750000000000002</v>
      </c>
      <c r="N525" s="439">
        <v>5.3249999999999993</v>
      </c>
      <c r="O525" s="437" t="s">
        <v>48</v>
      </c>
      <c r="P525" s="437">
        <v>4</v>
      </c>
      <c r="Q525" s="437">
        <v>10</v>
      </c>
      <c r="R525" s="437" t="s">
        <v>64</v>
      </c>
      <c r="S525" s="437" t="s">
        <v>622</v>
      </c>
      <c r="T525" s="437">
        <v>1</v>
      </c>
      <c r="U525" s="437">
        <v>225</v>
      </c>
      <c r="V525" s="437" t="s">
        <v>50</v>
      </c>
      <c r="W525" s="437">
        <v>5</v>
      </c>
      <c r="X525" s="437" t="s">
        <v>2525</v>
      </c>
      <c r="Y525" s="440" t="s">
        <v>5336</v>
      </c>
    </row>
    <row r="526" spans="1:25" x14ac:dyDescent="0.25">
      <c r="A526" s="443">
        <v>43522</v>
      </c>
      <c r="B526" s="51" t="s">
        <v>70</v>
      </c>
      <c r="C526" s="51" t="s">
        <v>845</v>
      </c>
      <c r="D526" s="51">
        <v>38.311599999999999</v>
      </c>
      <c r="E526" s="51">
        <v>-121.69287</v>
      </c>
      <c r="F526" s="51" t="s">
        <v>5337</v>
      </c>
      <c r="G526" s="51" t="s">
        <v>90</v>
      </c>
      <c r="H526" s="51" t="s">
        <v>126</v>
      </c>
      <c r="I526" s="66">
        <v>0.51180555555555551</v>
      </c>
      <c r="J526" s="428">
        <v>322.10000000000002</v>
      </c>
      <c r="K526" s="428">
        <v>10.15</v>
      </c>
      <c r="L526" s="428">
        <v>81.05</v>
      </c>
      <c r="M526" s="428">
        <v>0.2525</v>
      </c>
      <c r="N526" s="428">
        <v>6.2</v>
      </c>
      <c r="O526" s="51" t="s">
        <v>48</v>
      </c>
      <c r="P526" s="51">
        <v>4</v>
      </c>
      <c r="Q526" s="51">
        <v>10</v>
      </c>
      <c r="R526" s="51" t="s">
        <v>64</v>
      </c>
      <c r="S526" s="51" t="s">
        <v>50</v>
      </c>
      <c r="T526" s="51" t="s">
        <v>50</v>
      </c>
      <c r="U526" s="51" t="s">
        <v>50</v>
      </c>
      <c r="V526" s="51" t="s">
        <v>50</v>
      </c>
      <c r="W526" s="51" t="s">
        <v>50</v>
      </c>
      <c r="X526" s="51" t="s">
        <v>50</v>
      </c>
    </row>
    <row r="527" spans="1:25" s="437" customFormat="1" x14ac:dyDescent="0.25">
      <c r="A527" s="476">
        <v>43522</v>
      </c>
      <c r="B527" s="437" t="s">
        <v>70</v>
      </c>
      <c r="C527" s="437" t="s">
        <v>78</v>
      </c>
      <c r="D527" s="437">
        <v>38.062829999999998</v>
      </c>
      <c r="E527" s="437">
        <v>-122.05127</v>
      </c>
      <c r="F527" s="437" t="s">
        <v>5338</v>
      </c>
      <c r="G527" s="437" t="s">
        <v>27</v>
      </c>
      <c r="H527" s="437" t="s">
        <v>86</v>
      </c>
      <c r="I527" s="438">
        <v>0.33402777777777781</v>
      </c>
      <c r="J527" s="439">
        <v>2135.5</v>
      </c>
      <c r="K527" s="439">
        <v>9.4250000000000007</v>
      </c>
      <c r="L527" s="439">
        <v>69.875</v>
      </c>
      <c r="M527" s="439">
        <v>0.28000000000000003</v>
      </c>
      <c r="N527" s="439">
        <v>7.2</v>
      </c>
      <c r="O527" s="437" t="s">
        <v>48</v>
      </c>
      <c r="P527" s="437">
        <v>4</v>
      </c>
      <c r="Q527" s="437">
        <v>10</v>
      </c>
      <c r="R527" s="437" t="s">
        <v>64</v>
      </c>
      <c r="S527" s="437" t="s">
        <v>31</v>
      </c>
      <c r="T527" s="437">
        <v>5</v>
      </c>
      <c r="U527" s="437" t="s">
        <v>5339</v>
      </c>
      <c r="V527" s="437" t="s">
        <v>66</v>
      </c>
      <c r="W527" s="437" t="s">
        <v>50</v>
      </c>
      <c r="X527" s="437" t="s">
        <v>50</v>
      </c>
      <c r="Y527" s="440" t="s">
        <v>5340</v>
      </c>
    </row>
    <row r="528" spans="1:25" s="437" customFormat="1" x14ac:dyDescent="0.25">
      <c r="A528" s="476">
        <v>43522</v>
      </c>
      <c r="B528" s="437" t="s">
        <v>70</v>
      </c>
      <c r="C528" s="437" t="s">
        <v>78</v>
      </c>
      <c r="D528" s="437">
        <v>38.060369999999999</v>
      </c>
      <c r="E528" s="437">
        <v>-122.10563999999999</v>
      </c>
      <c r="F528" s="437" t="s">
        <v>5341</v>
      </c>
      <c r="G528" s="437" t="s">
        <v>80</v>
      </c>
      <c r="H528" s="437" t="s">
        <v>81</v>
      </c>
      <c r="I528" s="438">
        <v>0.39166666666666666</v>
      </c>
      <c r="J528" s="439">
        <v>3433.75</v>
      </c>
      <c r="K528" s="439">
        <v>9.5500000000000007</v>
      </c>
      <c r="L528" s="439">
        <v>63.875</v>
      </c>
      <c r="M528" s="439">
        <v>0.27500000000000002</v>
      </c>
      <c r="N528" s="439">
        <v>12.15</v>
      </c>
      <c r="O528" s="437" t="s">
        <v>48</v>
      </c>
      <c r="P528" s="437">
        <v>4</v>
      </c>
      <c r="Q528" s="437">
        <v>10</v>
      </c>
      <c r="R528" s="437" t="s">
        <v>49</v>
      </c>
      <c r="S528" s="437" t="s">
        <v>622</v>
      </c>
      <c r="T528" s="437">
        <v>1</v>
      </c>
      <c r="U528" s="437">
        <v>220</v>
      </c>
      <c r="V528" s="437" t="s">
        <v>50</v>
      </c>
      <c r="W528" s="437">
        <v>5</v>
      </c>
      <c r="X528" s="437" t="s">
        <v>2525</v>
      </c>
      <c r="Y528" s="440"/>
    </row>
    <row r="529" spans="1:25" s="437" customFormat="1" x14ac:dyDescent="0.25">
      <c r="A529" s="476">
        <v>43522</v>
      </c>
      <c r="B529" s="437" t="s">
        <v>70</v>
      </c>
      <c r="C529" s="437" t="s">
        <v>78</v>
      </c>
      <c r="D529" s="437">
        <v>38.043729999999996</v>
      </c>
      <c r="E529" s="437">
        <v>-121.91887</v>
      </c>
      <c r="F529" s="437" t="s">
        <v>5342</v>
      </c>
      <c r="G529" s="437" t="s">
        <v>27</v>
      </c>
      <c r="H529" s="437" t="s">
        <v>101</v>
      </c>
      <c r="I529" s="438">
        <v>0.44305555555555554</v>
      </c>
      <c r="J529" s="439">
        <v>181.57500000000002</v>
      </c>
      <c r="K529" s="439">
        <v>9.4</v>
      </c>
      <c r="L529" s="439">
        <v>61.375</v>
      </c>
      <c r="M529" s="439">
        <v>0.30249999999999999</v>
      </c>
      <c r="N529" s="439">
        <v>15.3</v>
      </c>
      <c r="O529" s="437" t="s">
        <v>48</v>
      </c>
      <c r="P529" s="437">
        <v>4</v>
      </c>
      <c r="Q529" s="437">
        <v>10</v>
      </c>
      <c r="R529" s="437" t="s">
        <v>49</v>
      </c>
      <c r="S529" s="437" t="s">
        <v>622</v>
      </c>
      <c r="T529" s="437">
        <v>2</v>
      </c>
      <c r="U529" s="437" t="s">
        <v>5343</v>
      </c>
      <c r="V529" s="437" t="s">
        <v>50</v>
      </c>
      <c r="W529" s="437">
        <v>5</v>
      </c>
      <c r="X529" s="437" t="s">
        <v>2525</v>
      </c>
      <c r="Y529" s="440"/>
    </row>
    <row r="530" spans="1:25" s="437" customFormat="1" x14ac:dyDescent="0.25">
      <c r="A530" s="476">
        <v>43523</v>
      </c>
      <c r="B530" s="437" t="s">
        <v>87</v>
      </c>
      <c r="C530" s="437" t="s">
        <v>78</v>
      </c>
      <c r="D530" s="437">
        <v>38.10134</v>
      </c>
      <c r="E530" s="437">
        <v>-122.05431</v>
      </c>
      <c r="F530" s="437" t="s">
        <v>5344</v>
      </c>
      <c r="G530" s="437" t="s">
        <v>27</v>
      </c>
      <c r="H530" s="437" t="s">
        <v>86</v>
      </c>
      <c r="I530" s="438">
        <v>0.35347222222222219</v>
      </c>
      <c r="J530" s="439">
        <v>257.39999999999998</v>
      </c>
      <c r="K530" s="439">
        <v>9.625</v>
      </c>
      <c r="L530" s="439">
        <v>93.375</v>
      </c>
      <c r="M530" s="439">
        <v>0.1825</v>
      </c>
      <c r="N530" s="439">
        <v>7.125</v>
      </c>
      <c r="O530" s="437" t="s">
        <v>48</v>
      </c>
      <c r="P530" s="437">
        <v>4</v>
      </c>
      <c r="Q530" s="437">
        <v>10</v>
      </c>
      <c r="R530" s="437" t="s">
        <v>64</v>
      </c>
      <c r="S530" s="437" t="s">
        <v>31</v>
      </c>
      <c r="T530" s="437">
        <v>1</v>
      </c>
      <c r="U530" s="437">
        <v>85</v>
      </c>
      <c r="V530" s="437" t="s">
        <v>2789</v>
      </c>
      <c r="W530" s="437" t="s">
        <v>50</v>
      </c>
      <c r="X530" s="437" t="s">
        <v>50</v>
      </c>
      <c r="Y530" s="440" t="s">
        <v>5345</v>
      </c>
    </row>
    <row r="531" spans="1:25" x14ac:dyDescent="0.25">
      <c r="A531" s="443">
        <v>43523</v>
      </c>
      <c r="B531" s="51" t="s">
        <v>87</v>
      </c>
      <c r="C531" s="51" t="s">
        <v>78</v>
      </c>
      <c r="D531" s="51">
        <v>38.082540000000002</v>
      </c>
      <c r="E531" s="51">
        <v>-122.08611000000001</v>
      </c>
      <c r="F531" s="51" t="s">
        <v>5346</v>
      </c>
      <c r="G531" s="51" t="s">
        <v>80</v>
      </c>
      <c r="H531" s="51" t="s">
        <v>81</v>
      </c>
      <c r="I531" s="66">
        <v>0.40833333333333338</v>
      </c>
      <c r="J531" s="428">
        <v>323.27499999999998</v>
      </c>
      <c r="K531" s="428">
        <v>9.75</v>
      </c>
      <c r="L531" s="428">
        <v>106</v>
      </c>
      <c r="M531" s="428">
        <v>0.17500000000000002</v>
      </c>
      <c r="N531" s="428">
        <v>10.074999999999999</v>
      </c>
      <c r="O531" s="51" t="s">
        <v>48</v>
      </c>
      <c r="P531" s="51">
        <v>4</v>
      </c>
      <c r="Q531" s="51">
        <v>10</v>
      </c>
      <c r="R531" s="51" t="s">
        <v>49</v>
      </c>
      <c r="S531" s="51" t="s">
        <v>50</v>
      </c>
      <c r="T531" s="51" t="s">
        <v>50</v>
      </c>
      <c r="U531" s="51" t="s">
        <v>50</v>
      </c>
      <c r="V531" s="51" t="s">
        <v>50</v>
      </c>
      <c r="W531" s="51" t="s">
        <v>50</v>
      </c>
      <c r="X531" s="51" t="s">
        <v>50</v>
      </c>
    </row>
    <row r="532" spans="1:25" s="437" customFormat="1" x14ac:dyDescent="0.25">
      <c r="A532" s="476">
        <v>43523</v>
      </c>
      <c r="B532" s="437" t="s">
        <v>87</v>
      </c>
      <c r="C532" s="437" t="s">
        <v>78</v>
      </c>
      <c r="D532" s="437">
        <v>38.095750000000002</v>
      </c>
      <c r="E532" s="437">
        <v>-122.03322</v>
      </c>
      <c r="F532" s="437" t="s">
        <v>5347</v>
      </c>
      <c r="G532" s="437" t="s">
        <v>27</v>
      </c>
      <c r="H532" s="437" t="s">
        <v>86</v>
      </c>
      <c r="I532" s="438">
        <v>0.45555555555555555</v>
      </c>
      <c r="J532" s="439">
        <v>189.65</v>
      </c>
      <c r="K532" s="439">
        <v>9.75</v>
      </c>
      <c r="L532" s="439">
        <v>75.199999999999989</v>
      </c>
      <c r="M532" s="439">
        <v>0.21</v>
      </c>
      <c r="N532" s="439">
        <v>5.6749999999999998</v>
      </c>
      <c r="O532" s="437" t="s">
        <v>48</v>
      </c>
      <c r="P532" s="437">
        <v>4</v>
      </c>
      <c r="Q532" s="437">
        <v>10</v>
      </c>
      <c r="R532" s="437" t="s">
        <v>49</v>
      </c>
      <c r="S532" s="486" t="s">
        <v>31</v>
      </c>
      <c r="T532" s="486">
        <v>1</v>
      </c>
      <c r="U532" s="486">
        <v>98</v>
      </c>
      <c r="V532" s="486" t="s">
        <v>355</v>
      </c>
      <c r="W532" s="486" t="s">
        <v>50</v>
      </c>
      <c r="X532" s="486" t="s">
        <v>50</v>
      </c>
      <c r="Y532" s="489" t="s">
        <v>5348</v>
      </c>
    </row>
    <row r="533" spans="1:25" s="437" customFormat="1" x14ac:dyDescent="0.25">
      <c r="A533" s="476">
        <v>43524</v>
      </c>
      <c r="B533" s="437" t="s">
        <v>105</v>
      </c>
      <c r="C533" s="437" t="s">
        <v>88</v>
      </c>
      <c r="D533" s="437">
        <v>38.130859999999998</v>
      </c>
      <c r="E533" s="437">
        <v>-121.69309</v>
      </c>
      <c r="F533" s="437" t="s">
        <v>5349</v>
      </c>
      <c r="G533" s="437" t="s">
        <v>90</v>
      </c>
      <c r="H533" s="437" t="s">
        <v>91</v>
      </c>
      <c r="I533" s="438">
        <v>0.31388888888888888</v>
      </c>
      <c r="J533" s="439">
        <v>86.924999999999997</v>
      </c>
      <c r="K533" s="439">
        <v>9.4249999999999989</v>
      </c>
      <c r="L533" s="439">
        <v>80.699999999999989</v>
      </c>
      <c r="M533" s="439">
        <v>0.35749999999999998</v>
      </c>
      <c r="N533" s="439">
        <v>6.6</v>
      </c>
      <c r="O533" s="437" t="s">
        <v>48</v>
      </c>
      <c r="P533" s="437">
        <v>4</v>
      </c>
      <c r="Q533" s="437">
        <v>10</v>
      </c>
      <c r="R533" s="437" t="s">
        <v>49</v>
      </c>
      <c r="S533" s="437" t="s">
        <v>702</v>
      </c>
      <c r="T533" s="437">
        <v>8</v>
      </c>
      <c r="U533" s="437" t="s">
        <v>5350</v>
      </c>
      <c r="V533" s="437" t="s">
        <v>50</v>
      </c>
      <c r="W533" s="437">
        <v>1</v>
      </c>
      <c r="X533" s="437" t="s">
        <v>50</v>
      </c>
      <c r="Y533" s="440"/>
    </row>
    <row r="534" spans="1:25" s="437" customFormat="1" x14ac:dyDescent="0.25">
      <c r="A534" s="476">
        <v>43524</v>
      </c>
      <c r="B534" s="437" t="s">
        <v>105</v>
      </c>
      <c r="C534" s="437" t="s">
        <v>88</v>
      </c>
      <c r="D534" s="437">
        <v>38.09252</v>
      </c>
      <c r="E534" s="437">
        <v>-121.73896999999999</v>
      </c>
      <c r="F534" s="437" t="s">
        <v>5351</v>
      </c>
      <c r="G534" s="437" t="s">
        <v>90</v>
      </c>
      <c r="H534" s="437" t="s">
        <v>91</v>
      </c>
      <c r="I534" s="438">
        <v>0.36874999999999997</v>
      </c>
      <c r="J534" s="439">
        <v>82.924999999999997</v>
      </c>
      <c r="K534" s="439">
        <v>9.4</v>
      </c>
      <c r="L534" s="439">
        <v>67.425000000000011</v>
      </c>
      <c r="M534" s="439">
        <v>0.34250000000000003</v>
      </c>
      <c r="N534" s="439">
        <v>10</v>
      </c>
      <c r="O534" s="437" t="s">
        <v>48</v>
      </c>
      <c r="P534" s="437">
        <v>4</v>
      </c>
      <c r="Q534" s="437">
        <v>10</v>
      </c>
      <c r="R534" s="437" t="s">
        <v>64</v>
      </c>
      <c r="S534" s="437" t="s">
        <v>622</v>
      </c>
      <c r="T534" s="437">
        <v>1</v>
      </c>
      <c r="U534" s="437">
        <v>175</v>
      </c>
      <c r="V534" s="437" t="s">
        <v>50</v>
      </c>
      <c r="W534" s="437">
        <v>5</v>
      </c>
      <c r="X534" s="437" t="s">
        <v>2525</v>
      </c>
      <c r="Y534" s="440" t="s">
        <v>5352</v>
      </c>
    </row>
    <row r="535" spans="1:25" s="437" customFormat="1" x14ac:dyDescent="0.25">
      <c r="A535" s="476">
        <v>43524</v>
      </c>
      <c r="B535" s="437" t="s">
        <v>105</v>
      </c>
      <c r="C535" s="437" t="s">
        <v>88</v>
      </c>
      <c r="D535" s="437">
        <v>38.09252</v>
      </c>
      <c r="E535" s="437">
        <v>-121.73896999999999</v>
      </c>
      <c r="F535" s="437" t="s">
        <v>5351</v>
      </c>
      <c r="G535" s="437" t="s">
        <v>90</v>
      </c>
      <c r="H535" s="437" t="s">
        <v>91</v>
      </c>
      <c r="I535" s="438">
        <v>0.36874999999999997</v>
      </c>
      <c r="J535" s="439"/>
      <c r="K535" s="439"/>
      <c r="L535" s="439"/>
      <c r="M535" s="439"/>
      <c r="N535" s="439"/>
      <c r="S535" s="437" t="s">
        <v>702</v>
      </c>
      <c r="T535" s="437">
        <v>22</v>
      </c>
      <c r="U535" s="437" t="s">
        <v>5353</v>
      </c>
      <c r="V535" s="437" t="s">
        <v>50</v>
      </c>
      <c r="W535" s="437">
        <v>2</v>
      </c>
      <c r="X535" s="437" t="s">
        <v>50</v>
      </c>
      <c r="Y535" s="440" t="s">
        <v>5354</v>
      </c>
    </row>
    <row r="536" spans="1:25" s="437" customFormat="1" x14ac:dyDescent="0.25">
      <c r="A536" s="476">
        <v>43524</v>
      </c>
      <c r="B536" s="437" t="s">
        <v>105</v>
      </c>
      <c r="C536" s="437" t="s">
        <v>88</v>
      </c>
      <c r="D536" s="437">
        <v>38.09252</v>
      </c>
      <c r="E536" s="437">
        <v>-121.73896999999999</v>
      </c>
      <c r="F536" s="437" t="s">
        <v>5351</v>
      </c>
      <c r="G536" s="437" t="s">
        <v>90</v>
      </c>
      <c r="H536" s="437" t="s">
        <v>91</v>
      </c>
      <c r="I536" s="438">
        <v>0.36874999999999997</v>
      </c>
      <c r="J536" s="439"/>
      <c r="K536" s="439"/>
      <c r="L536" s="439"/>
      <c r="M536" s="439"/>
      <c r="N536" s="439"/>
      <c r="S536" s="437" t="s">
        <v>31</v>
      </c>
      <c r="T536" s="437">
        <v>1</v>
      </c>
      <c r="U536" s="437">
        <v>60</v>
      </c>
      <c r="V536" s="437" t="s">
        <v>50</v>
      </c>
      <c r="W536" s="437" t="s">
        <v>50</v>
      </c>
      <c r="X536" s="437" t="s">
        <v>50</v>
      </c>
      <c r="Y536" s="440"/>
    </row>
    <row r="537" spans="1:25" s="437" customFormat="1" x14ac:dyDescent="0.25">
      <c r="A537" s="476">
        <v>43524</v>
      </c>
      <c r="B537" s="437" t="s">
        <v>105</v>
      </c>
      <c r="C537" s="437" t="s">
        <v>88</v>
      </c>
      <c r="D537" s="437">
        <v>38.09252</v>
      </c>
      <c r="E537" s="437">
        <v>-121.73896999999999</v>
      </c>
      <c r="F537" s="437" t="s">
        <v>5351</v>
      </c>
      <c r="G537" s="437" t="s">
        <v>90</v>
      </c>
      <c r="H537" s="437" t="s">
        <v>91</v>
      </c>
      <c r="I537" s="438">
        <v>0.36874999999999997</v>
      </c>
      <c r="J537" s="439"/>
      <c r="K537" s="439"/>
      <c r="L537" s="439"/>
      <c r="M537" s="439"/>
      <c r="N537" s="439"/>
      <c r="S537" s="437" t="s">
        <v>5265</v>
      </c>
      <c r="T537" s="437">
        <v>1</v>
      </c>
      <c r="U537" s="437">
        <v>111</v>
      </c>
      <c r="V537" s="437" t="s">
        <v>50</v>
      </c>
      <c r="W537" s="437">
        <v>5</v>
      </c>
      <c r="X537" s="437" t="s">
        <v>2525</v>
      </c>
      <c r="Y537" s="440" t="s">
        <v>5355</v>
      </c>
    </row>
    <row r="538" spans="1:25" s="437" customFormat="1" x14ac:dyDescent="0.25">
      <c r="A538" s="476">
        <v>43524</v>
      </c>
      <c r="B538" s="437" t="s">
        <v>105</v>
      </c>
      <c r="C538" s="437" t="s">
        <v>88</v>
      </c>
      <c r="D538" s="437">
        <v>38.09252</v>
      </c>
      <c r="E538" s="437">
        <v>-121.73896999999999</v>
      </c>
      <c r="F538" s="437" t="s">
        <v>5351</v>
      </c>
      <c r="G538" s="437" t="s">
        <v>90</v>
      </c>
      <c r="H538" s="437" t="s">
        <v>91</v>
      </c>
      <c r="I538" s="438">
        <v>0.36874999999999997</v>
      </c>
      <c r="J538" s="439"/>
      <c r="K538" s="439"/>
      <c r="L538" s="439"/>
      <c r="M538" s="439"/>
      <c r="N538" s="439"/>
      <c r="S538" s="437" t="s">
        <v>3280</v>
      </c>
      <c r="T538" s="437">
        <v>1</v>
      </c>
      <c r="U538" s="437">
        <v>64</v>
      </c>
      <c r="V538" s="437" t="s">
        <v>50</v>
      </c>
      <c r="W538" s="437">
        <v>4</v>
      </c>
      <c r="X538" s="437" t="s">
        <v>50</v>
      </c>
      <c r="Y538" s="440"/>
    </row>
    <row r="539" spans="1:25" s="437" customFormat="1" x14ac:dyDescent="0.25">
      <c r="A539" s="476">
        <v>43524</v>
      </c>
      <c r="B539" s="437" t="s">
        <v>105</v>
      </c>
      <c r="C539" s="437" t="s">
        <v>88</v>
      </c>
      <c r="D539" s="437">
        <v>38.032919999999997</v>
      </c>
      <c r="E539" s="437">
        <v>-121.76640999999999</v>
      </c>
      <c r="F539" s="437" t="s">
        <v>5356</v>
      </c>
      <c r="G539" s="437" t="s">
        <v>27</v>
      </c>
      <c r="H539" s="437" t="s">
        <v>25</v>
      </c>
      <c r="I539" s="438">
        <v>0.44166666666666665</v>
      </c>
      <c r="J539" s="439">
        <v>137.42500000000001</v>
      </c>
      <c r="K539" s="439">
        <v>9.75</v>
      </c>
      <c r="L539" s="439">
        <v>45.400000000000006</v>
      </c>
      <c r="M539" s="439">
        <v>0.39</v>
      </c>
      <c r="N539" s="439">
        <v>6.1749999999999998</v>
      </c>
      <c r="O539" s="437" t="s">
        <v>48</v>
      </c>
      <c r="P539" s="437">
        <v>4</v>
      </c>
      <c r="Q539" s="437">
        <v>10</v>
      </c>
      <c r="R539" s="437" t="s">
        <v>64</v>
      </c>
      <c r="S539" s="437" t="s">
        <v>702</v>
      </c>
      <c r="T539" s="437">
        <v>4</v>
      </c>
      <c r="U539" s="437" t="s">
        <v>5357</v>
      </c>
      <c r="V539" s="437" t="s">
        <v>50</v>
      </c>
      <c r="W539" s="437">
        <v>2</v>
      </c>
      <c r="X539" s="437" t="s">
        <v>50</v>
      </c>
      <c r="Y539" s="440" t="s">
        <v>5358</v>
      </c>
    </row>
    <row r="540" spans="1:25" s="437" customFormat="1" x14ac:dyDescent="0.25">
      <c r="A540" s="476">
        <v>43524</v>
      </c>
      <c r="B540" s="437" t="s">
        <v>105</v>
      </c>
      <c r="C540" s="437" t="s">
        <v>88</v>
      </c>
      <c r="D540" s="437">
        <v>38.032919999999997</v>
      </c>
      <c r="E540" s="437">
        <v>-121.76640999999999</v>
      </c>
      <c r="F540" s="437" t="s">
        <v>5356</v>
      </c>
      <c r="G540" s="437" t="s">
        <v>27</v>
      </c>
      <c r="H540" s="437" t="s">
        <v>25</v>
      </c>
      <c r="I540" s="438">
        <v>0.44166666666666665</v>
      </c>
      <c r="J540" s="439"/>
      <c r="K540" s="439"/>
      <c r="L540" s="439"/>
      <c r="M540" s="439"/>
      <c r="N540" s="439"/>
      <c r="S540" s="437" t="s">
        <v>622</v>
      </c>
      <c r="T540" s="437">
        <v>1</v>
      </c>
      <c r="U540" s="437">
        <v>198</v>
      </c>
      <c r="V540" s="437" t="s">
        <v>50</v>
      </c>
      <c r="W540" s="437">
        <v>5</v>
      </c>
      <c r="X540" s="437" t="s">
        <v>2525</v>
      </c>
      <c r="Y540" s="440" t="s">
        <v>3276</v>
      </c>
    </row>
    <row r="541" spans="1:25" s="437" customFormat="1" x14ac:dyDescent="0.25">
      <c r="A541" s="476">
        <v>43524</v>
      </c>
      <c r="B541" s="437" t="s">
        <v>105</v>
      </c>
      <c r="C541" s="437" t="s">
        <v>95</v>
      </c>
      <c r="D541" s="437">
        <v>38.086460000000002</v>
      </c>
      <c r="E541" s="437">
        <v>-121.57442</v>
      </c>
      <c r="F541" s="437" t="s">
        <v>5359</v>
      </c>
      <c r="G541" s="437" t="s">
        <v>46</v>
      </c>
      <c r="H541" s="437" t="s">
        <v>115</v>
      </c>
      <c r="I541" s="438">
        <v>0.33958333333333335</v>
      </c>
      <c r="J541" s="439">
        <v>122.02499999999999</v>
      </c>
      <c r="K541" s="439">
        <v>9.9749999999999996</v>
      </c>
      <c r="L541" s="439">
        <v>31.75</v>
      </c>
      <c r="M541" s="439">
        <v>0.5625</v>
      </c>
      <c r="N541" s="439">
        <v>12.649999999999999</v>
      </c>
      <c r="O541" s="437" t="s">
        <v>48</v>
      </c>
      <c r="P541" s="437">
        <v>4</v>
      </c>
      <c r="Q541" s="437">
        <v>10</v>
      </c>
      <c r="R541" s="437" t="s">
        <v>64</v>
      </c>
      <c r="S541" s="437" t="s">
        <v>702</v>
      </c>
      <c r="T541" s="437">
        <v>4</v>
      </c>
      <c r="U541" s="437" t="s">
        <v>5360</v>
      </c>
      <c r="V541" s="437" t="s">
        <v>50</v>
      </c>
      <c r="W541" s="437">
        <v>2</v>
      </c>
      <c r="X541" s="437" t="s">
        <v>50</v>
      </c>
      <c r="Y541" s="440"/>
    </row>
    <row r="542" spans="1:25" s="437" customFormat="1" x14ac:dyDescent="0.25">
      <c r="A542" s="476">
        <v>43524</v>
      </c>
      <c r="B542" s="437" t="s">
        <v>105</v>
      </c>
      <c r="C542" s="437" t="s">
        <v>95</v>
      </c>
      <c r="D542" s="437">
        <v>38.058280000000003</v>
      </c>
      <c r="E542" s="437">
        <v>-121.67968999999999</v>
      </c>
      <c r="F542" s="437" t="s">
        <v>5361</v>
      </c>
      <c r="G542" s="437" t="s">
        <v>46</v>
      </c>
      <c r="H542" s="437" t="s">
        <v>908</v>
      </c>
      <c r="I542" s="438">
        <v>0.39513888888888887</v>
      </c>
      <c r="J542" s="439">
        <v>131.42500000000001</v>
      </c>
      <c r="K542" s="439">
        <v>9.9499999999999993</v>
      </c>
      <c r="L542" s="439">
        <v>34.725000000000001</v>
      </c>
      <c r="M542" s="439">
        <v>0.42249999999999999</v>
      </c>
      <c r="N542" s="439">
        <v>13.299999999999999</v>
      </c>
      <c r="O542" s="437" t="s">
        <v>48</v>
      </c>
      <c r="P542" s="437">
        <v>4</v>
      </c>
      <c r="Q542" s="437">
        <v>10</v>
      </c>
      <c r="R542" s="437" t="s">
        <v>64</v>
      </c>
      <c r="S542" s="437" t="s">
        <v>5265</v>
      </c>
      <c r="T542" s="437">
        <v>1</v>
      </c>
      <c r="U542" s="437">
        <v>115</v>
      </c>
      <c r="V542" s="437" t="s">
        <v>50</v>
      </c>
      <c r="W542" s="437">
        <v>5</v>
      </c>
      <c r="X542" s="437" t="s">
        <v>2525</v>
      </c>
      <c r="Y542" s="440"/>
    </row>
    <row r="543" spans="1:25" s="437" customFormat="1" x14ac:dyDescent="0.25">
      <c r="A543" s="476">
        <v>43524</v>
      </c>
      <c r="B543" s="437" t="s">
        <v>105</v>
      </c>
      <c r="C543" s="437" t="s">
        <v>95</v>
      </c>
      <c r="D543" s="437">
        <v>38.058280000000003</v>
      </c>
      <c r="E543" s="437">
        <v>-121.67968999999999</v>
      </c>
      <c r="F543" s="437" t="s">
        <v>5361</v>
      </c>
      <c r="G543" s="437" t="s">
        <v>46</v>
      </c>
      <c r="H543" s="437" t="s">
        <v>908</v>
      </c>
      <c r="I543" s="438">
        <v>0.39513888888888887</v>
      </c>
      <c r="J543" s="439"/>
      <c r="K543" s="439"/>
      <c r="L543" s="439"/>
      <c r="M543" s="439"/>
      <c r="N543" s="439"/>
      <c r="S543" s="437" t="s">
        <v>758</v>
      </c>
      <c r="T543" s="437">
        <v>1</v>
      </c>
      <c r="U543" s="437">
        <v>141</v>
      </c>
      <c r="V543" s="437" t="s">
        <v>50</v>
      </c>
      <c r="W543" s="437">
        <v>5</v>
      </c>
      <c r="X543" s="437" t="s">
        <v>50</v>
      </c>
      <c r="Y543" s="440"/>
    </row>
    <row r="544" spans="1:25" s="437" customFormat="1" x14ac:dyDescent="0.25">
      <c r="A544" s="476">
        <v>43524</v>
      </c>
      <c r="B544" s="437" t="s">
        <v>105</v>
      </c>
      <c r="C544" s="437" t="s">
        <v>95</v>
      </c>
      <c r="D544" s="437">
        <v>38.058280000000003</v>
      </c>
      <c r="E544" s="437">
        <v>-121.67968999999999</v>
      </c>
      <c r="F544" s="437" t="s">
        <v>5361</v>
      </c>
      <c r="G544" s="437" t="s">
        <v>46</v>
      </c>
      <c r="H544" s="437" t="s">
        <v>908</v>
      </c>
      <c r="I544" s="438">
        <v>0.39513888888888887</v>
      </c>
      <c r="J544" s="439"/>
      <c r="K544" s="439"/>
      <c r="L544" s="439"/>
      <c r="M544" s="439"/>
      <c r="N544" s="439"/>
      <c r="S544" s="437" t="s">
        <v>702</v>
      </c>
      <c r="T544" s="437">
        <v>1</v>
      </c>
      <c r="U544" s="437">
        <v>55</v>
      </c>
      <c r="V544" s="437" t="s">
        <v>50</v>
      </c>
      <c r="W544" s="437">
        <v>4</v>
      </c>
      <c r="X544" s="437" t="s">
        <v>50</v>
      </c>
      <c r="Y544" s="440"/>
    </row>
    <row r="545" spans="1:25" s="54" customFormat="1" x14ac:dyDescent="0.25">
      <c r="A545" s="457">
        <v>43524</v>
      </c>
      <c r="B545" s="54" t="s">
        <v>105</v>
      </c>
      <c r="C545" s="54" t="s">
        <v>95</v>
      </c>
      <c r="D545" s="54">
        <v>38.021120000000003</v>
      </c>
      <c r="E545" s="54">
        <v>-121.73542</v>
      </c>
      <c r="F545" s="54" t="s">
        <v>5362</v>
      </c>
      <c r="G545" s="54" t="s">
        <v>27</v>
      </c>
      <c r="H545" s="54" t="s">
        <v>863</v>
      </c>
      <c r="I545" s="55">
        <v>0.44791666666666669</v>
      </c>
      <c r="J545" s="456">
        <v>147.875</v>
      </c>
      <c r="K545" s="456">
        <v>10.275</v>
      </c>
      <c r="L545" s="456">
        <v>33.575000000000003</v>
      </c>
      <c r="M545" s="456">
        <v>0.40749999999999997</v>
      </c>
      <c r="N545" s="456">
        <v>4.7750000000000004</v>
      </c>
      <c r="O545" s="54" t="s">
        <v>48</v>
      </c>
      <c r="P545" s="54">
        <v>4</v>
      </c>
      <c r="Q545" s="54">
        <v>10</v>
      </c>
      <c r="R545" s="54" t="s">
        <v>64</v>
      </c>
      <c r="S545" s="54" t="s">
        <v>50</v>
      </c>
      <c r="T545" s="54" t="s">
        <v>50</v>
      </c>
      <c r="U545" s="54" t="s">
        <v>50</v>
      </c>
      <c r="V545" s="54" t="s">
        <v>50</v>
      </c>
      <c r="W545" s="54" t="s">
        <v>50</v>
      </c>
      <c r="X545" s="54" t="s">
        <v>50</v>
      </c>
    </row>
    <row r="546" spans="1:25" s="437" customFormat="1" x14ac:dyDescent="0.25">
      <c r="A546" s="476">
        <v>43524</v>
      </c>
      <c r="B546" s="437" t="s">
        <v>105</v>
      </c>
      <c r="C546" s="437" t="s">
        <v>118</v>
      </c>
      <c r="D546" s="437">
        <v>38.077869999999997</v>
      </c>
      <c r="E546" s="437">
        <v>-122.33063</v>
      </c>
      <c r="F546" s="437" t="s">
        <v>5363</v>
      </c>
      <c r="G546" s="437" t="s">
        <v>80</v>
      </c>
      <c r="H546" s="437" t="s">
        <v>123</v>
      </c>
      <c r="I546" s="438">
        <v>0.31527777777777777</v>
      </c>
      <c r="J546" s="439">
        <v>3450</v>
      </c>
      <c r="K546" s="439">
        <v>10.35</v>
      </c>
      <c r="L546" s="439">
        <v>97.074999999999989</v>
      </c>
      <c r="M546" s="439">
        <v>0.16500000000000001</v>
      </c>
      <c r="N546" s="439">
        <v>3.1749999999999998</v>
      </c>
      <c r="O546" s="437" t="s">
        <v>48</v>
      </c>
      <c r="P546" s="437">
        <v>4</v>
      </c>
      <c r="Q546" s="437">
        <v>10</v>
      </c>
      <c r="R546" s="437" t="s">
        <v>64</v>
      </c>
      <c r="S546" s="437" t="s">
        <v>31</v>
      </c>
      <c r="T546" s="437">
        <v>2</v>
      </c>
      <c r="U546" s="437">
        <v>75</v>
      </c>
      <c r="V546" s="437" t="s">
        <v>66</v>
      </c>
      <c r="W546" s="437" t="s">
        <v>50</v>
      </c>
      <c r="X546" s="437" t="s">
        <v>50</v>
      </c>
      <c r="Y546" s="440"/>
    </row>
    <row r="547" spans="1:25" s="437" customFormat="1" x14ac:dyDescent="0.25">
      <c r="A547" s="476">
        <v>43524</v>
      </c>
      <c r="B547" s="437" t="s">
        <v>105</v>
      </c>
      <c r="C547" s="437" t="s">
        <v>118</v>
      </c>
      <c r="D547" s="437">
        <v>38.077869999999997</v>
      </c>
      <c r="E547" s="437">
        <v>-122.33063</v>
      </c>
      <c r="F547" s="437" t="s">
        <v>5363</v>
      </c>
      <c r="G547" s="437" t="s">
        <v>80</v>
      </c>
      <c r="H547" s="437" t="s">
        <v>123</v>
      </c>
      <c r="I547" s="438">
        <v>0.31527777777777777</v>
      </c>
      <c r="J547" s="439"/>
      <c r="K547" s="439"/>
      <c r="L547" s="439"/>
      <c r="M547" s="439"/>
      <c r="N547" s="439"/>
      <c r="S547" s="437" t="s">
        <v>31</v>
      </c>
      <c r="T547" s="437">
        <v>1</v>
      </c>
      <c r="U547" s="437">
        <v>76</v>
      </c>
      <c r="V547" s="437" t="s">
        <v>355</v>
      </c>
      <c r="W547" s="437" t="s">
        <v>50</v>
      </c>
      <c r="X547" s="437" t="s">
        <v>50</v>
      </c>
      <c r="Y547" s="440"/>
    </row>
    <row r="548" spans="1:25" s="437" customFormat="1" x14ac:dyDescent="0.25">
      <c r="A548" s="476">
        <v>43524</v>
      </c>
      <c r="B548" s="437" t="s">
        <v>105</v>
      </c>
      <c r="C548" s="437" t="s">
        <v>118</v>
      </c>
      <c r="D548" s="437">
        <v>38.057110000000002</v>
      </c>
      <c r="E548" s="437">
        <v>-122.27607999999999</v>
      </c>
      <c r="F548" s="437" t="s">
        <v>5364</v>
      </c>
      <c r="G548" s="437" t="s">
        <v>80</v>
      </c>
      <c r="H548" s="437" t="s">
        <v>123</v>
      </c>
      <c r="I548" s="438">
        <v>0.37152777777777773</v>
      </c>
      <c r="J548" s="439">
        <v>2952</v>
      </c>
      <c r="K548" s="439">
        <v>10.425000000000001</v>
      </c>
      <c r="L548" s="439">
        <v>112.25</v>
      </c>
      <c r="M548" s="439">
        <v>0.16</v>
      </c>
      <c r="N548" s="439">
        <v>17.650000000000002</v>
      </c>
      <c r="O548" s="437" t="s">
        <v>48</v>
      </c>
      <c r="P548" s="437">
        <v>4</v>
      </c>
      <c r="Q548" s="437">
        <v>10</v>
      </c>
      <c r="R548" s="437" t="s">
        <v>64</v>
      </c>
      <c r="S548" s="437" t="s">
        <v>31</v>
      </c>
      <c r="T548" s="437">
        <v>3</v>
      </c>
      <c r="U548" s="437" t="s">
        <v>5365</v>
      </c>
      <c r="V548" s="437" t="s">
        <v>66</v>
      </c>
      <c r="W548" s="437" t="s">
        <v>50</v>
      </c>
      <c r="X548" s="437" t="s">
        <v>50</v>
      </c>
      <c r="Y548" s="440"/>
    </row>
    <row r="549" spans="1:25" s="437" customFormat="1" x14ac:dyDescent="0.25">
      <c r="A549" s="476">
        <v>43524</v>
      </c>
      <c r="B549" s="437" t="s">
        <v>105</v>
      </c>
      <c r="C549" s="437" t="s">
        <v>118</v>
      </c>
      <c r="D549" s="437">
        <v>38.179940000000002</v>
      </c>
      <c r="E549" s="437">
        <v>-122.29949000000001</v>
      </c>
      <c r="F549" s="437" t="s">
        <v>5366</v>
      </c>
      <c r="G549" s="437" t="s">
        <v>27</v>
      </c>
      <c r="H549" s="437" t="s">
        <v>191</v>
      </c>
      <c r="I549" s="438">
        <v>0.43958333333333338</v>
      </c>
      <c r="J549" s="439">
        <v>385.47500000000002</v>
      </c>
      <c r="K549" s="439">
        <v>12.15</v>
      </c>
      <c r="L549" s="439">
        <v>451.25</v>
      </c>
      <c r="M549" s="439">
        <v>0.06</v>
      </c>
      <c r="N549" s="439">
        <v>4.8500000000000005</v>
      </c>
      <c r="O549" s="437" t="s">
        <v>48</v>
      </c>
      <c r="P549" s="437">
        <v>4</v>
      </c>
      <c r="Q549" s="437">
        <v>10</v>
      </c>
      <c r="R549" s="437" t="s">
        <v>49</v>
      </c>
      <c r="S549" s="437" t="s">
        <v>31</v>
      </c>
      <c r="T549" s="437">
        <v>1</v>
      </c>
      <c r="U549" s="437">
        <v>73</v>
      </c>
      <c r="V549" s="437" t="s">
        <v>2789</v>
      </c>
      <c r="W549" s="437" t="s">
        <v>50</v>
      </c>
      <c r="X549" s="437" t="s">
        <v>50</v>
      </c>
      <c r="Y549" s="440"/>
    </row>
    <row r="550" spans="1:25" s="437" customFormat="1" x14ac:dyDescent="0.25">
      <c r="A550" s="476">
        <v>43525</v>
      </c>
      <c r="B550" s="437" t="s">
        <v>125</v>
      </c>
      <c r="C550" s="437" t="s">
        <v>95</v>
      </c>
      <c r="D550" s="437">
        <v>38.068689999999997</v>
      </c>
      <c r="E550" s="437">
        <v>-121.55277</v>
      </c>
      <c r="F550" s="437" t="s">
        <v>5367</v>
      </c>
      <c r="G550" s="437" t="s">
        <v>46</v>
      </c>
      <c r="H550" s="437" t="s">
        <v>115</v>
      </c>
      <c r="I550" s="438">
        <v>0.33263888888888887</v>
      </c>
      <c r="J550" s="439">
        <v>134.04999999999998</v>
      </c>
      <c r="K550" s="439">
        <v>10.475</v>
      </c>
      <c r="L550" s="439">
        <v>36.5</v>
      </c>
      <c r="M550" s="439">
        <v>0.65749999999999997</v>
      </c>
      <c r="N550" s="439">
        <v>6.2749999999999995</v>
      </c>
      <c r="O550" s="437" t="s">
        <v>48</v>
      </c>
      <c r="P550" s="437">
        <v>4</v>
      </c>
      <c r="Q550" s="437">
        <v>10</v>
      </c>
      <c r="R550" s="437" t="s">
        <v>49</v>
      </c>
      <c r="S550" s="437" t="s">
        <v>702</v>
      </c>
      <c r="T550" s="437">
        <v>2</v>
      </c>
      <c r="U550" s="437" t="s">
        <v>5368</v>
      </c>
      <c r="V550" s="437" t="s">
        <v>50</v>
      </c>
      <c r="W550" s="437" t="s">
        <v>50</v>
      </c>
      <c r="X550" s="437" t="s">
        <v>50</v>
      </c>
      <c r="Y550" s="440" t="s">
        <v>5369</v>
      </c>
    </row>
    <row r="551" spans="1:25" s="437" customFormat="1" x14ac:dyDescent="0.25">
      <c r="A551" s="476">
        <v>43525</v>
      </c>
      <c r="B551" s="437" t="s">
        <v>125</v>
      </c>
      <c r="C551" s="437" t="s">
        <v>95</v>
      </c>
      <c r="D551" s="437">
        <v>38.044139999999999</v>
      </c>
      <c r="E551" s="437">
        <v>-121.71156999999999</v>
      </c>
      <c r="F551" s="437" t="s">
        <v>5370</v>
      </c>
      <c r="G551" s="437" t="s">
        <v>27</v>
      </c>
      <c r="H551" s="437" t="s">
        <v>863</v>
      </c>
      <c r="I551" s="438">
        <v>0.39444444444444443</v>
      </c>
      <c r="J551" s="439">
        <v>127.325</v>
      </c>
      <c r="K551" s="439">
        <v>10</v>
      </c>
      <c r="L551" s="439">
        <v>33.975000000000001</v>
      </c>
      <c r="M551" s="439">
        <v>0.51</v>
      </c>
      <c r="N551" s="439">
        <v>5.3</v>
      </c>
      <c r="O551" s="437" t="s">
        <v>48</v>
      </c>
      <c r="P551" s="437">
        <v>4</v>
      </c>
      <c r="Q551" s="437">
        <v>10</v>
      </c>
      <c r="R551" s="437" t="s">
        <v>64</v>
      </c>
      <c r="S551" s="437" t="s">
        <v>702</v>
      </c>
      <c r="T551" s="437">
        <v>2</v>
      </c>
      <c r="U551" s="437" t="s">
        <v>5240</v>
      </c>
      <c r="V551" s="437" t="s">
        <v>50</v>
      </c>
      <c r="W551" s="437" t="s">
        <v>50</v>
      </c>
      <c r="X551" s="437" t="s">
        <v>50</v>
      </c>
      <c r="Y551" s="440" t="s">
        <v>5371</v>
      </c>
    </row>
    <row r="552" spans="1:25" s="74" customFormat="1" x14ac:dyDescent="0.25">
      <c r="A552" s="444">
        <v>43525</v>
      </c>
      <c r="B552" s="74" t="s">
        <v>125</v>
      </c>
      <c r="C552" s="74" t="s">
        <v>95</v>
      </c>
      <c r="D552" s="74">
        <v>38.025149999999996</v>
      </c>
      <c r="E552" s="74">
        <v>-121.78976</v>
      </c>
      <c r="F552" s="74" t="s">
        <v>5372</v>
      </c>
      <c r="G552" s="74" t="s">
        <v>27</v>
      </c>
      <c r="H552" s="74" t="s">
        <v>863</v>
      </c>
      <c r="I552" s="73">
        <v>0.4458333333333333</v>
      </c>
      <c r="J552" s="445">
        <v>127.95</v>
      </c>
      <c r="K552" s="445">
        <v>10.100000000000001</v>
      </c>
      <c r="L552" s="445">
        <v>39.775000000000006</v>
      </c>
      <c r="M552" s="445">
        <v>0.43499999999999994</v>
      </c>
      <c r="N552" s="445">
        <v>13.225</v>
      </c>
      <c r="O552" s="74" t="s">
        <v>48</v>
      </c>
      <c r="P552" s="74">
        <v>4</v>
      </c>
      <c r="Q552" s="74">
        <v>10</v>
      </c>
      <c r="R552" s="74" t="s">
        <v>64</v>
      </c>
      <c r="S552" s="63" t="s">
        <v>50</v>
      </c>
      <c r="T552" s="63" t="s">
        <v>50</v>
      </c>
      <c r="U552" s="63" t="s">
        <v>50</v>
      </c>
      <c r="V552" s="63" t="s">
        <v>50</v>
      </c>
      <c r="W552" s="63" t="s">
        <v>50</v>
      </c>
      <c r="X552" s="63" t="s">
        <v>50</v>
      </c>
      <c r="Y552" s="77"/>
    </row>
    <row r="553" spans="1:25" x14ac:dyDescent="0.25">
      <c r="A553" s="443">
        <v>43528</v>
      </c>
      <c r="B553" s="51" t="s">
        <v>43</v>
      </c>
      <c r="C553" s="51" t="s">
        <v>845</v>
      </c>
      <c r="D553" s="51">
        <v>38.260899999999999</v>
      </c>
      <c r="E553" s="51">
        <v>-121.75134</v>
      </c>
      <c r="F553" s="51" t="s">
        <v>5373</v>
      </c>
      <c r="G553" s="51" t="s">
        <v>90</v>
      </c>
      <c r="H553" s="51" t="s">
        <v>126</v>
      </c>
      <c r="I553" s="66">
        <v>0.34027777777777773</v>
      </c>
      <c r="J553" s="428">
        <v>124.97499999999999</v>
      </c>
      <c r="K553" s="428">
        <v>12.074999999999999</v>
      </c>
      <c r="L553" s="428">
        <v>61.35</v>
      </c>
      <c r="M553" s="428">
        <v>0.23499999999999999</v>
      </c>
      <c r="N553" s="428">
        <v>3.9249999999999998</v>
      </c>
      <c r="O553" s="51" t="s">
        <v>48</v>
      </c>
      <c r="P553" s="51">
        <v>4</v>
      </c>
      <c r="Q553" s="51">
        <v>10</v>
      </c>
      <c r="R553" s="51" t="s">
        <v>49</v>
      </c>
      <c r="S553" s="54" t="s">
        <v>50</v>
      </c>
      <c r="T553" s="54" t="s">
        <v>50</v>
      </c>
      <c r="U553" s="54" t="s">
        <v>50</v>
      </c>
      <c r="V553" s="54" t="s">
        <v>50</v>
      </c>
      <c r="W553" s="54" t="s">
        <v>50</v>
      </c>
      <c r="X553" s="54" t="s">
        <v>50</v>
      </c>
      <c r="Y553" s="52" t="s">
        <v>5374</v>
      </c>
    </row>
    <row r="554" spans="1:25" x14ac:dyDescent="0.25">
      <c r="A554" s="443">
        <v>43528</v>
      </c>
      <c r="B554" s="51" t="s">
        <v>43</v>
      </c>
      <c r="C554" s="51" t="s">
        <v>845</v>
      </c>
      <c r="D554" s="51">
        <v>38.316000000000003</v>
      </c>
      <c r="E554" s="51">
        <v>-121.69258000000001</v>
      </c>
      <c r="F554" s="51" t="s">
        <v>5375</v>
      </c>
      <c r="G554" s="51" t="s">
        <v>90</v>
      </c>
      <c r="H554" s="51" t="s">
        <v>126</v>
      </c>
      <c r="I554" s="66">
        <v>0.39999999999999997</v>
      </c>
      <c r="J554" s="428">
        <v>214.62500000000003</v>
      </c>
      <c r="K554" s="428">
        <v>11.675000000000001</v>
      </c>
      <c r="L554" s="428">
        <v>160</v>
      </c>
      <c r="M554" s="428">
        <v>0.11749999999999999</v>
      </c>
      <c r="N554" s="428">
        <v>6.1750000000000007</v>
      </c>
      <c r="O554" s="51" t="s">
        <v>48</v>
      </c>
      <c r="P554" s="51">
        <v>4</v>
      </c>
      <c r="Q554" s="51">
        <v>10</v>
      </c>
      <c r="R554" s="51" t="s">
        <v>49</v>
      </c>
      <c r="S554" s="54" t="s">
        <v>50</v>
      </c>
      <c r="T554" s="54" t="s">
        <v>50</v>
      </c>
      <c r="U554" s="54" t="s">
        <v>50</v>
      </c>
      <c r="V554" s="54" t="s">
        <v>50</v>
      </c>
      <c r="W554" s="54" t="s">
        <v>50</v>
      </c>
      <c r="X554" s="54" t="s">
        <v>50</v>
      </c>
    </row>
    <row r="555" spans="1:25" x14ac:dyDescent="0.25">
      <c r="A555" s="443">
        <v>43528</v>
      </c>
      <c r="B555" s="51" t="s">
        <v>43</v>
      </c>
      <c r="C555" s="51" t="s">
        <v>845</v>
      </c>
      <c r="D555" s="51">
        <v>38.289209999999997</v>
      </c>
      <c r="E555" s="51">
        <v>-121.66611</v>
      </c>
      <c r="F555" s="51" t="s">
        <v>5376</v>
      </c>
      <c r="G555" s="51" t="s">
        <v>90</v>
      </c>
      <c r="H555" s="51" t="s">
        <v>126</v>
      </c>
      <c r="I555" s="66">
        <v>0.47291666666666665</v>
      </c>
      <c r="J555" s="428">
        <v>80.900000000000006</v>
      </c>
      <c r="K555" s="428">
        <v>11.325000000000001</v>
      </c>
      <c r="L555" s="428">
        <v>422</v>
      </c>
      <c r="M555" s="428">
        <v>8.2500000000000004E-2</v>
      </c>
      <c r="N555" s="428">
        <v>8.0499999999999989</v>
      </c>
      <c r="O555" s="51" t="s">
        <v>48</v>
      </c>
      <c r="P555" s="51">
        <v>4</v>
      </c>
      <c r="Q555" s="51">
        <v>10</v>
      </c>
      <c r="R555" s="51" t="s">
        <v>49</v>
      </c>
      <c r="S555" s="54" t="s">
        <v>50</v>
      </c>
      <c r="T555" s="54" t="s">
        <v>50</v>
      </c>
      <c r="U555" s="54" t="s">
        <v>50</v>
      </c>
      <c r="V555" s="54" t="s">
        <v>50</v>
      </c>
      <c r="W555" s="54" t="s">
        <v>50</v>
      </c>
      <c r="X555" s="54" t="s">
        <v>50</v>
      </c>
    </row>
    <row r="556" spans="1:25" s="437" customFormat="1" x14ac:dyDescent="0.25">
      <c r="A556" s="476">
        <v>43528</v>
      </c>
      <c r="B556" s="437" t="s">
        <v>43</v>
      </c>
      <c r="C556" s="437" t="s">
        <v>95</v>
      </c>
      <c r="D556" s="437">
        <v>38.02373</v>
      </c>
      <c r="E556" s="437">
        <v>-121.80146999999999</v>
      </c>
      <c r="F556" s="437" t="s">
        <v>5377</v>
      </c>
      <c r="G556" s="437" t="s">
        <v>27</v>
      </c>
      <c r="H556" s="437" t="s">
        <v>863</v>
      </c>
      <c r="I556" s="438">
        <v>0.32500000000000001</v>
      </c>
      <c r="J556" s="439">
        <v>145.22500000000002</v>
      </c>
      <c r="K556" s="439">
        <v>10.6</v>
      </c>
      <c r="L556" s="439">
        <v>45.7</v>
      </c>
      <c r="M556" s="439">
        <v>0.255</v>
      </c>
      <c r="N556" s="439">
        <v>9.9749999999999996</v>
      </c>
      <c r="O556" s="437" t="s">
        <v>48</v>
      </c>
      <c r="P556" s="437">
        <v>4</v>
      </c>
      <c r="Q556" s="437">
        <v>10</v>
      </c>
      <c r="R556" s="437" t="s">
        <v>49</v>
      </c>
      <c r="S556" s="437" t="s">
        <v>5265</v>
      </c>
      <c r="T556" s="437">
        <v>1</v>
      </c>
      <c r="U556" s="437">
        <v>114</v>
      </c>
      <c r="V556" s="437" t="s">
        <v>50</v>
      </c>
      <c r="W556" s="437">
        <v>5</v>
      </c>
      <c r="X556" s="437" t="s">
        <v>2525</v>
      </c>
      <c r="Y556" s="440"/>
    </row>
    <row r="557" spans="1:25" s="437" customFormat="1" x14ac:dyDescent="0.25">
      <c r="A557" s="476">
        <v>43528</v>
      </c>
      <c r="B557" s="437" t="s">
        <v>43</v>
      </c>
      <c r="C557" s="437" t="s">
        <v>95</v>
      </c>
      <c r="D557" s="437">
        <v>38.02373</v>
      </c>
      <c r="E557" s="437">
        <v>-121.80146999999999</v>
      </c>
      <c r="F557" s="437" t="s">
        <v>5377</v>
      </c>
      <c r="G557" s="437" t="s">
        <v>27</v>
      </c>
      <c r="H557" s="437" t="s">
        <v>863</v>
      </c>
      <c r="I557" s="438">
        <v>0.32500000000000001</v>
      </c>
      <c r="J557" s="439"/>
      <c r="K557" s="439"/>
      <c r="L557" s="439"/>
      <c r="M557" s="439"/>
      <c r="N557" s="439"/>
      <c r="S557" s="437" t="s">
        <v>702</v>
      </c>
      <c r="T557" s="437">
        <v>1</v>
      </c>
      <c r="U557" s="437">
        <v>39</v>
      </c>
      <c r="V557" s="437" t="s">
        <v>50</v>
      </c>
      <c r="W557" s="437">
        <v>2</v>
      </c>
      <c r="X557" s="437" t="s">
        <v>50</v>
      </c>
      <c r="Y557" s="440"/>
    </row>
    <row r="558" spans="1:25" x14ac:dyDescent="0.25">
      <c r="A558" s="443">
        <v>43528</v>
      </c>
      <c r="B558" s="51" t="s">
        <v>43</v>
      </c>
      <c r="C558" s="51" t="s">
        <v>95</v>
      </c>
      <c r="D558" s="51">
        <v>38.020389999999999</v>
      </c>
      <c r="E558" s="51">
        <v>-121.77957000000001</v>
      </c>
      <c r="F558" s="51" t="s">
        <v>5378</v>
      </c>
      <c r="G558" s="51" t="s">
        <v>27</v>
      </c>
      <c r="H558" s="51" t="s">
        <v>863</v>
      </c>
      <c r="I558" s="66">
        <v>0.375</v>
      </c>
      <c r="J558" s="428">
        <v>150.97499999999999</v>
      </c>
      <c r="K558" s="428">
        <v>10.75</v>
      </c>
      <c r="L558" s="428">
        <v>32.182499999999997</v>
      </c>
      <c r="M558" s="428">
        <v>0.33999999999999997</v>
      </c>
      <c r="N558" s="428">
        <v>5</v>
      </c>
      <c r="O558" s="51" t="s">
        <v>48</v>
      </c>
      <c r="P558" s="51">
        <v>4</v>
      </c>
      <c r="Q558" s="51">
        <v>10</v>
      </c>
      <c r="R558" s="51" t="s">
        <v>49</v>
      </c>
      <c r="S558" s="54" t="s">
        <v>50</v>
      </c>
      <c r="T558" s="54" t="s">
        <v>50</v>
      </c>
      <c r="U558" s="54" t="s">
        <v>50</v>
      </c>
      <c r="V558" s="54" t="s">
        <v>50</v>
      </c>
      <c r="W558" s="54" t="s">
        <v>50</v>
      </c>
      <c r="X558" s="54" t="s">
        <v>50</v>
      </c>
    </row>
    <row r="559" spans="1:25" s="437" customFormat="1" x14ac:dyDescent="0.25">
      <c r="A559" s="476">
        <v>43528</v>
      </c>
      <c r="B559" s="437" t="s">
        <v>43</v>
      </c>
      <c r="C559" s="437" t="s">
        <v>95</v>
      </c>
      <c r="D559" s="437">
        <v>38.029240000000001</v>
      </c>
      <c r="E559" s="437">
        <v>-121.75488</v>
      </c>
      <c r="F559" s="437" t="s">
        <v>5379</v>
      </c>
      <c r="G559" s="437" t="s">
        <v>27</v>
      </c>
      <c r="H559" s="437" t="s">
        <v>863</v>
      </c>
      <c r="I559" s="438">
        <v>0.42291666666666666</v>
      </c>
      <c r="J559" s="439">
        <v>149.875</v>
      </c>
      <c r="K559" s="439">
        <v>10.7</v>
      </c>
      <c r="L559" s="439">
        <v>33.450000000000003</v>
      </c>
      <c r="M559" s="439">
        <v>0.37749999999999995</v>
      </c>
      <c r="N559" s="439">
        <v>9.85</v>
      </c>
      <c r="O559" s="437" t="s">
        <v>48</v>
      </c>
      <c r="P559" s="437">
        <v>4</v>
      </c>
      <c r="Q559" s="437">
        <v>10</v>
      </c>
      <c r="R559" s="437" t="s">
        <v>49</v>
      </c>
      <c r="S559" s="437" t="s">
        <v>702</v>
      </c>
      <c r="T559" s="437">
        <v>7</v>
      </c>
      <c r="U559" s="437" t="s">
        <v>5380</v>
      </c>
      <c r="V559" s="437" t="s">
        <v>50</v>
      </c>
      <c r="W559" s="437">
        <v>2</v>
      </c>
      <c r="X559" s="437" t="s">
        <v>50</v>
      </c>
      <c r="Y559" s="440" t="s">
        <v>5381</v>
      </c>
    </row>
    <row r="560" spans="1:25" s="490" customFormat="1" x14ac:dyDescent="0.25">
      <c r="A560" s="476">
        <v>43528</v>
      </c>
      <c r="B560" s="437" t="s">
        <v>43</v>
      </c>
      <c r="C560" s="437" t="s">
        <v>95</v>
      </c>
      <c r="D560" s="437">
        <v>38.029240000000001</v>
      </c>
      <c r="E560" s="437">
        <v>-121.75488</v>
      </c>
      <c r="F560" s="437" t="s">
        <v>5379</v>
      </c>
      <c r="G560" s="437" t="s">
        <v>27</v>
      </c>
      <c r="H560" s="437" t="s">
        <v>863</v>
      </c>
      <c r="I560" s="438">
        <v>0.42291666666666666</v>
      </c>
      <c r="J560" s="493"/>
      <c r="K560" s="493"/>
      <c r="L560" s="493"/>
      <c r="M560" s="493"/>
      <c r="N560" s="493"/>
      <c r="S560" s="437" t="s">
        <v>3280</v>
      </c>
      <c r="T560" s="437">
        <v>1</v>
      </c>
      <c r="U560" s="437">
        <v>62</v>
      </c>
      <c r="V560" s="437" t="s">
        <v>50</v>
      </c>
      <c r="W560" s="437">
        <v>3</v>
      </c>
      <c r="X560" s="437" t="s">
        <v>50</v>
      </c>
      <c r="Y560" s="440" t="s">
        <v>5382</v>
      </c>
    </row>
    <row r="561" spans="1:25" s="437" customFormat="1" x14ac:dyDescent="0.25">
      <c r="A561" s="476">
        <v>43528</v>
      </c>
      <c r="B561" s="437" t="s">
        <v>43</v>
      </c>
      <c r="C561" s="437" t="s">
        <v>95</v>
      </c>
      <c r="D561" s="437">
        <v>38.029429999999998</v>
      </c>
      <c r="E561" s="437">
        <v>-121.7307</v>
      </c>
      <c r="F561" s="437" t="s">
        <v>5383</v>
      </c>
      <c r="G561" s="437" t="s">
        <v>27</v>
      </c>
      <c r="H561" s="437" t="s">
        <v>863</v>
      </c>
      <c r="I561" s="438">
        <v>0.48055555555555557</v>
      </c>
      <c r="J561" s="439">
        <v>122.27499999999999</v>
      </c>
      <c r="K561" s="439">
        <v>10.875</v>
      </c>
      <c r="L561" s="439">
        <v>35.924999999999997</v>
      </c>
      <c r="M561" s="439">
        <v>0.33</v>
      </c>
      <c r="N561" s="439">
        <v>11.15</v>
      </c>
      <c r="O561" s="437" t="s">
        <v>48</v>
      </c>
      <c r="P561" s="437">
        <v>4</v>
      </c>
      <c r="Q561" s="437">
        <v>10</v>
      </c>
      <c r="R561" s="437" t="s">
        <v>64</v>
      </c>
      <c r="S561" s="437" t="s">
        <v>622</v>
      </c>
      <c r="T561" s="437">
        <v>2</v>
      </c>
      <c r="U561" s="437" t="s">
        <v>5384</v>
      </c>
      <c r="V561" s="437" t="s">
        <v>50</v>
      </c>
      <c r="W561" s="437">
        <v>5</v>
      </c>
      <c r="X561" s="437" t="s">
        <v>2525</v>
      </c>
      <c r="Y561" s="440" t="s">
        <v>5219</v>
      </c>
    </row>
    <row r="562" spans="1:25" s="437" customFormat="1" x14ac:dyDescent="0.25">
      <c r="A562" s="476">
        <v>43528</v>
      </c>
      <c r="B562" s="437" t="s">
        <v>43</v>
      </c>
      <c r="C562" s="437" t="s">
        <v>118</v>
      </c>
      <c r="D562" s="437">
        <v>38.142829999999996</v>
      </c>
      <c r="E562" s="437">
        <v>-122.28270000000001</v>
      </c>
      <c r="F562" s="437" t="s">
        <v>5385</v>
      </c>
      <c r="G562" s="437" t="s">
        <v>80</v>
      </c>
      <c r="H562" s="437" t="s">
        <v>191</v>
      </c>
      <c r="I562" s="438">
        <v>0.37708333333333338</v>
      </c>
      <c r="J562" s="439">
        <v>1035</v>
      </c>
      <c r="K562" s="439">
        <v>12.200000000000001</v>
      </c>
      <c r="L562" s="439">
        <v>166</v>
      </c>
      <c r="M562" s="439">
        <v>0.14750000000000002</v>
      </c>
      <c r="N562" s="439">
        <v>10.1</v>
      </c>
      <c r="O562" s="437" t="s">
        <v>48</v>
      </c>
      <c r="P562" s="437">
        <v>4</v>
      </c>
      <c r="Q562" s="437">
        <v>10</v>
      </c>
      <c r="R562" s="437" t="s">
        <v>64</v>
      </c>
      <c r="S562" s="437" t="s">
        <v>31</v>
      </c>
      <c r="T562" s="437">
        <v>1</v>
      </c>
      <c r="U562" s="437">
        <v>86</v>
      </c>
      <c r="V562" s="437" t="s">
        <v>2789</v>
      </c>
      <c r="W562" s="437" t="s">
        <v>50</v>
      </c>
      <c r="X562" s="437" t="s">
        <v>50</v>
      </c>
      <c r="Y562" s="437" t="s">
        <v>4716</v>
      </c>
    </row>
    <row r="563" spans="1:25" s="437" customFormat="1" x14ac:dyDescent="0.25">
      <c r="A563" s="476">
        <v>43528</v>
      </c>
      <c r="B563" s="437" t="s">
        <v>43</v>
      </c>
      <c r="C563" s="437" t="s">
        <v>118</v>
      </c>
      <c r="D563" s="437">
        <v>38.142829999999996</v>
      </c>
      <c r="E563" s="437">
        <v>-122.28270000000001</v>
      </c>
      <c r="F563" s="437" t="s">
        <v>5385</v>
      </c>
      <c r="G563" s="437" t="s">
        <v>80</v>
      </c>
      <c r="H563" s="437" t="s">
        <v>191</v>
      </c>
      <c r="I563" s="438">
        <v>0.37708333333333338</v>
      </c>
      <c r="J563" s="439"/>
      <c r="K563" s="439"/>
      <c r="L563" s="439"/>
      <c r="M563" s="439"/>
      <c r="N563" s="439"/>
      <c r="S563" s="437" t="s">
        <v>622</v>
      </c>
      <c r="T563" s="437">
        <v>2</v>
      </c>
      <c r="U563" s="437">
        <v>219</v>
      </c>
      <c r="V563" s="437" t="s">
        <v>50</v>
      </c>
      <c r="W563" s="437">
        <v>5</v>
      </c>
      <c r="X563" s="437" t="s">
        <v>2525</v>
      </c>
    </row>
    <row r="564" spans="1:25" x14ac:dyDescent="0.25">
      <c r="A564" s="443">
        <v>43528</v>
      </c>
      <c r="B564" s="51" t="s">
        <v>43</v>
      </c>
      <c r="C564" s="51" t="s">
        <v>118</v>
      </c>
      <c r="D564" s="51">
        <v>38.067360000000001</v>
      </c>
      <c r="E564" s="51">
        <v>-122.24936</v>
      </c>
      <c r="F564" s="51" t="s">
        <v>5386</v>
      </c>
      <c r="G564" s="51" t="s">
        <v>80</v>
      </c>
      <c r="H564" s="51" t="s">
        <v>120</v>
      </c>
      <c r="I564" s="66">
        <v>0.44513888888888892</v>
      </c>
      <c r="J564" s="428">
        <v>793.5</v>
      </c>
      <c r="K564" s="428">
        <v>11.3</v>
      </c>
      <c r="L564" s="428">
        <v>122.65</v>
      </c>
      <c r="M564" s="428">
        <v>0.16500000000000004</v>
      </c>
      <c r="N564" s="428">
        <v>12.299999999999999</v>
      </c>
      <c r="O564" s="51" t="s">
        <v>48</v>
      </c>
      <c r="P564" s="51">
        <v>4</v>
      </c>
      <c r="Q564" s="51">
        <v>10</v>
      </c>
      <c r="R564" s="51" t="s">
        <v>64</v>
      </c>
      <c r="S564" s="54" t="s">
        <v>50</v>
      </c>
      <c r="T564" s="54" t="s">
        <v>50</v>
      </c>
      <c r="U564" s="54" t="s">
        <v>50</v>
      </c>
      <c r="V564" s="54" t="s">
        <v>50</v>
      </c>
      <c r="W564" s="54" t="s">
        <v>50</v>
      </c>
      <c r="X564" s="54" t="s">
        <v>50</v>
      </c>
      <c r="Y564" s="51"/>
    </row>
    <row r="565" spans="1:25" s="437" customFormat="1" x14ac:dyDescent="0.25">
      <c r="A565" s="476">
        <v>43528</v>
      </c>
      <c r="B565" s="437" t="s">
        <v>43</v>
      </c>
      <c r="C565" s="437" t="s">
        <v>118</v>
      </c>
      <c r="D565" s="437">
        <v>38.039520000000003</v>
      </c>
      <c r="E565" s="437">
        <v>-122.32432</v>
      </c>
      <c r="F565" s="437" t="s">
        <v>5387</v>
      </c>
      <c r="G565" s="437" t="s">
        <v>80</v>
      </c>
      <c r="H565" s="437" t="s">
        <v>123</v>
      </c>
      <c r="I565" s="438">
        <v>0.50347222222222221</v>
      </c>
      <c r="J565" s="439">
        <v>3776.75</v>
      </c>
      <c r="K565" s="439">
        <v>11.45</v>
      </c>
      <c r="L565" s="439">
        <v>75.55</v>
      </c>
      <c r="M565" s="439">
        <v>0.24249999999999999</v>
      </c>
      <c r="N565" s="439">
        <v>9.0500000000000007</v>
      </c>
      <c r="O565" s="437" t="s">
        <v>48</v>
      </c>
      <c r="P565" s="437">
        <v>4</v>
      </c>
      <c r="Q565" s="437">
        <v>10</v>
      </c>
      <c r="R565" s="437" t="s">
        <v>64</v>
      </c>
      <c r="S565" s="437" t="s">
        <v>31</v>
      </c>
      <c r="T565" s="437">
        <v>1</v>
      </c>
      <c r="U565" s="437">
        <v>74</v>
      </c>
      <c r="V565" s="437" t="s">
        <v>66</v>
      </c>
      <c r="W565" s="437" t="s">
        <v>50</v>
      </c>
      <c r="X565" s="437" t="s">
        <v>50</v>
      </c>
    </row>
    <row r="566" spans="1:25" s="437" customFormat="1" x14ac:dyDescent="0.25">
      <c r="A566" s="476">
        <v>43528</v>
      </c>
      <c r="B566" s="437" t="s">
        <v>43</v>
      </c>
      <c r="C566" s="437" t="s">
        <v>118</v>
      </c>
      <c r="D566" s="437">
        <v>38.046860000000002</v>
      </c>
      <c r="E566" s="437">
        <v>-122.26714</v>
      </c>
      <c r="F566" s="437" t="s">
        <v>5388</v>
      </c>
      <c r="G566" s="437" t="s">
        <v>80</v>
      </c>
      <c r="H566" s="437" t="s">
        <v>123</v>
      </c>
      <c r="I566" s="438">
        <v>0.56180555555555556</v>
      </c>
      <c r="J566" s="439">
        <v>4800.75</v>
      </c>
      <c r="K566" s="439">
        <v>11.4</v>
      </c>
      <c r="L566" s="439">
        <v>91.625</v>
      </c>
      <c r="M566" s="439">
        <v>0.21</v>
      </c>
      <c r="N566" s="439">
        <v>3.25</v>
      </c>
      <c r="O566" s="437" t="s">
        <v>48</v>
      </c>
      <c r="P566" s="437">
        <v>4</v>
      </c>
      <c r="Q566" s="437">
        <v>10</v>
      </c>
      <c r="R566" s="437" t="s">
        <v>49</v>
      </c>
      <c r="S566" s="437" t="s">
        <v>758</v>
      </c>
      <c r="T566" s="437">
        <v>1</v>
      </c>
      <c r="U566" s="437">
        <v>110</v>
      </c>
      <c r="V566" s="437" t="s">
        <v>50</v>
      </c>
      <c r="W566" s="437">
        <v>5</v>
      </c>
      <c r="X566" s="437" t="s">
        <v>50</v>
      </c>
    </row>
    <row r="567" spans="1:25" s="437" customFormat="1" x14ac:dyDescent="0.25">
      <c r="A567" s="476">
        <v>43528</v>
      </c>
      <c r="B567" s="437" t="s">
        <v>43</v>
      </c>
      <c r="C567" s="437" t="s">
        <v>118</v>
      </c>
      <c r="D567" s="437">
        <v>38.046860000000002</v>
      </c>
      <c r="E567" s="437">
        <v>-122.26714</v>
      </c>
      <c r="F567" s="437" t="s">
        <v>5388</v>
      </c>
      <c r="G567" s="437" t="s">
        <v>80</v>
      </c>
      <c r="H567" s="437" t="s">
        <v>123</v>
      </c>
      <c r="J567" s="439"/>
      <c r="K567" s="439"/>
      <c r="L567" s="439"/>
      <c r="M567" s="439"/>
      <c r="N567" s="439"/>
      <c r="S567" s="437" t="s">
        <v>702</v>
      </c>
      <c r="T567" s="437">
        <v>1</v>
      </c>
      <c r="U567" s="437">
        <v>38</v>
      </c>
      <c r="V567" s="437" t="s">
        <v>50</v>
      </c>
      <c r="W567" s="437">
        <v>2</v>
      </c>
      <c r="X567" s="437" t="s">
        <v>50</v>
      </c>
    </row>
    <row r="568" spans="1:25" s="437" customFormat="1" x14ac:dyDescent="0.25">
      <c r="A568" s="476">
        <v>43528</v>
      </c>
      <c r="B568" s="437" t="s">
        <v>43</v>
      </c>
      <c r="C568" s="437" t="s">
        <v>118</v>
      </c>
      <c r="D568" s="437">
        <v>38.046860000000002</v>
      </c>
      <c r="E568" s="437">
        <v>-122.26714</v>
      </c>
      <c r="F568" s="437" t="s">
        <v>5388</v>
      </c>
      <c r="G568" s="437" t="s">
        <v>80</v>
      </c>
      <c r="H568" s="437" t="s">
        <v>123</v>
      </c>
      <c r="J568" s="439"/>
      <c r="K568" s="439"/>
      <c r="L568" s="439"/>
      <c r="M568" s="439"/>
      <c r="N568" s="439"/>
      <c r="S568" s="437" t="s">
        <v>31</v>
      </c>
      <c r="T568" s="437">
        <v>2</v>
      </c>
      <c r="U568" s="437" t="s">
        <v>5389</v>
      </c>
      <c r="V568" s="437" t="s">
        <v>66</v>
      </c>
      <c r="W568" s="437" t="s">
        <v>50</v>
      </c>
      <c r="X568" s="437" t="s">
        <v>50</v>
      </c>
    </row>
    <row r="569" spans="1:25" s="437" customFormat="1" x14ac:dyDescent="0.25">
      <c r="A569" s="476">
        <v>43529</v>
      </c>
      <c r="B569" s="437" t="s">
        <v>70</v>
      </c>
      <c r="C569" s="437" t="s">
        <v>88</v>
      </c>
      <c r="D569" s="437">
        <v>38.066960000000002</v>
      </c>
      <c r="E569" s="437">
        <v>-121.82647</v>
      </c>
      <c r="F569" s="437" t="s">
        <v>5390</v>
      </c>
      <c r="G569" s="437" t="s">
        <v>27</v>
      </c>
      <c r="H569" s="437" t="s">
        <v>25</v>
      </c>
      <c r="I569" s="438">
        <v>0.32569444444444445</v>
      </c>
      <c r="J569" s="439">
        <v>126.6</v>
      </c>
      <c r="K569" s="439">
        <v>11.65</v>
      </c>
      <c r="L569" s="439">
        <v>241.5</v>
      </c>
      <c r="M569" s="439">
        <v>9.7500000000000003E-2</v>
      </c>
      <c r="N569" s="439">
        <v>8.1999999999999993</v>
      </c>
      <c r="O569" s="437" t="s">
        <v>48</v>
      </c>
      <c r="P569" s="437">
        <v>4</v>
      </c>
      <c r="Q569" s="437">
        <v>10</v>
      </c>
      <c r="R569" s="437" t="s">
        <v>49</v>
      </c>
      <c r="S569" s="437" t="s">
        <v>702</v>
      </c>
      <c r="T569" s="437">
        <v>1</v>
      </c>
      <c r="U569" s="437">
        <v>32</v>
      </c>
      <c r="V569" s="437" t="s">
        <v>50</v>
      </c>
      <c r="W569" s="437">
        <v>2</v>
      </c>
      <c r="X569" s="437" t="s">
        <v>50</v>
      </c>
      <c r="Y569" s="440" t="s">
        <v>5391</v>
      </c>
    </row>
    <row r="570" spans="1:25" s="441" customFormat="1" x14ac:dyDescent="0.25">
      <c r="A570" s="443">
        <v>43529</v>
      </c>
      <c r="B570" s="51" t="s">
        <v>70</v>
      </c>
      <c r="C570" s="51" t="s">
        <v>88</v>
      </c>
      <c r="D570" s="51">
        <v>38.055790000000002</v>
      </c>
      <c r="E570" s="51">
        <v>-121.80953</v>
      </c>
      <c r="F570" s="51" t="s">
        <v>5392</v>
      </c>
      <c r="G570" s="51" t="s">
        <v>27</v>
      </c>
      <c r="H570" s="51" t="s">
        <v>25</v>
      </c>
      <c r="I570" s="66">
        <v>0.3756944444444445</v>
      </c>
      <c r="J570" s="428">
        <v>97.325000000000003</v>
      </c>
      <c r="K570" s="428">
        <v>11.2</v>
      </c>
      <c r="L570" s="428">
        <v>145.25</v>
      </c>
      <c r="M570" s="428">
        <v>0.1525</v>
      </c>
      <c r="N570" s="428">
        <v>9.0500000000000007</v>
      </c>
      <c r="O570" s="51" t="s">
        <v>48</v>
      </c>
      <c r="P570" s="51">
        <v>4</v>
      </c>
      <c r="Q570" s="51">
        <v>10</v>
      </c>
      <c r="R570" s="51" t="s">
        <v>49</v>
      </c>
      <c r="S570" s="51" t="s">
        <v>50</v>
      </c>
      <c r="T570" s="51" t="s">
        <v>50</v>
      </c>
      <c r="U570" s="51" t="s">
        <v>50</v>
      </c>
      <c r="V570" s="51" t="s">
        <v>50</v>
      </c>
      <c r="W570" s="51" t="s">
        <v>50</v>
      </c>
      <c r="X570" s="51" t="s">
        <v>50</v>
      </c>
      <c r="Y570" s="52" t="s">
        <v>5391</v>
      </c>
    </row>
    <row r="571" spans="1:25" s="441" customFormat="1" x14ac:dyDescent="0.25">
      <c r="A571" s="443">
        <v>43529</v>
      </c>
      <c r="B571" s="51" t="s">
        <v>70</v>
      </c>
      <c r="C571" s="51" t="s">
        <v>88</v>
      </c>
      <c r="D571" s="51">
        <v>38.072279999999999</v>
      </c>
      <c r="E571" s="51">
        <v>-121.76666</v>
      </c>
      <c r="F571" s="51" t="s">
        <v>5393</v>
      </c>
      <c r="G571" s="51" t="s">
        <v>27</v>
      </c>
      <c r="H571" s="51" t="s">
        <v>25</v>
      </c>
      <c r="I571" s="66">
        <v>0.43194444444444446</v>
      </c>
      <c r="J571" s="428">
        <v>83.825000000000003</v>
      </c>
      <c r="K571" s="428">
        <v>10.925000000000001</v>
      </c>
      <c r="L571" s="428">
        <v>129.5</v>
      </c>
      <c r="M571" s="428">
        <v>0.16750000000000001</v>
      </c>
      <c r="N571" s="428">
        <v>11.824999999999999</v>
      </c>
      <c r="O571" s="51" t="s">
        <v>48</v>
      </c>
      <c r="P571" s="51">
        <v>4</v>
      </c>
      <c r="Q571" s="51">
        <v>10</v>
      </c>
      <c r="R571" s="51" t="s">
        <v>49</v>
      </c>
      <c r="S571" s="51" t="s">
        <v>50</v>
      </c>
      <c r="T571" s="51" t="s">
        <v>50</v>
      </c>
      <c r="U571" s="51" t="s">
        <v>50</v>
      </c>
      <c r="V571" s="51" t="s">
        <v>50</v>
      </c>
      <c r="W571" s="51" t="s">
        <v>50</v>
      </c>
      <c r="X571" s="51" t="s">
        <v>50</v>
      </c>
      <c r="Y571" s="52"/>
    </row>
    <row r="572" spans="1:25" s="441" customFormat="1" x14ac:dyDescent="0.25">
      <c r="A572" s="443">
        <v>43529</v>
      </c>
      <c r="B572" s="51" t="s">
        <v>70</v>
      </c>
      <c r="C572" s="51" t="s">
        <v>78</v>
      </c>
      <c r="D572" s="51">
        <v>38.064950000000003</v>
      </c>
      <c r="E572" s="51">
        <v>-122.01148000000001</v>
      </c>
      <c r="F572" s="51" t="s">
        <v>5394</v>
      </c>
      <c r="G572" s="51" t="s">
        <v>27</v>
      </c>
      <c r="H572" s="51" t="s">
        <v>86</v>
      </c>
      <c r="I572" s="66">
        <v>0.33124999999999999</v>
      </c>
      <c r="J572" s="428">
        <v>116.75</v>
      </c>
      <c r="K572" s="428">
        <v>11.05</v>
      </c>
      <c r="L572" s="428">
        <v>166.75</v>
      </c>
      <c r="M572" s="428">
        <v>0.13250000000000001</v>
      </c>
      <c r="N572" s="428">
        <v>6.7750000000000004</v>
      </c>
      <c r="O572" s="51" t="s">
        <v>48</v>
      </c>
      <c r="P572" s="51">
        <v>4</v>
      </c>
      <c r="Q572" s="51">
        <v>10</v>
      </c>
      <c r="R572" s="51" t="s">
        <v>49</v>
      </c>
      <c r="S572" s="51" t="s">
        <v>50</v>
      </c>
      <c r="T572" s="51" t="s">
        <v>50</v>
      </c>
      <c r="U572" s="51" t="s">
        <v>50</v>
      </c>
      <c r="V572" s="51" t="s">
        <v>50</v>
      </c>
      <c r="W572" s="51" t="s">
        <v>50</v>
      </c>
      <c r="X572" s="51" t="s">
        <v>50</v>
      </c>
      <c r="Y572" s="52"/>
    </row>
    <row r="573" spans="1:25" s="490" customFormat="1" x14ac:dyDescent="0.25">
      <c r="A573" s="476">
        <v>43529</v>
      </c>
      <c r="B573" s="437" t="s">
        <v>70</v>
      </c>
      <c r="C573" s="437" t="s">
        <v>78</v>
      </c>
      <c r="D573" s="437">
        <v>38.057130000000001</v>
      </c>
      <c r="E573" s="437">
        <v>-122.11759000000001</v>
      </c>
      <c r="F573" s="437" t="s">
        <v>5395</v>
      </c>
      <c r="G573" s="437" t="s">
        <v>80</v>
      </c>
      <c r="H573" s="437" t="s">
        <v>81</v>
      </c>
      <c r="I573" s="438">
        <v>0.3840277777777778</v>
      </c>
      <c r="J573" s="439">
        <v>153.52500000000001</v>
      </c>
      <c r="K573" s="439">
        <v>11.3</v>
      </c>
      <c r="L573" s="439">
        <v>210.5</v>
      </c>
      <c r="M573" s="439">
        <v>0.115</v>
      </c>
      <c r="N573" s="439">
        <v>7.2249999999999996</v>
      </c>
      <c r="O573" s="437" t="s">
        <v>48</v>
      </c>
      <c r="P573" s="437">
        <v>4</v>
      </c>
      <c r="Q573" s="437">
        <v>10</v>
      </c>
      <c r="R573" s="437" t="s">
        <v>49</v>
      </c>
      <c r="S573" s="437" t="s">
        <v>702</v>
      </c>
      <c r="T573" s="437">
        <v>2</v>
      </c>
      <c r="U573" s="437" t="s">
        <v>5396</v>
      </c>
      <c r="V573" s="437" t="s">
        <v>50</v>
      </c>
      <c r="W573" s="437" t="s">
        <v>5269</v>
      </c>
      <c r="X573" s="437" t="s">
        <v>50</v>
      </c>
      <c r="Y573" s="440" t="s">
        <v>5397</v>
      </c>
    </row>
    <row r="574" spans="1:25" s="490" customFormat="1" x14ac:dyDescent="0.25">
      <c r="A574" s="476">
        <v>43529</v>
      </c>
      <c r="B574" s="437" t="s">
        <v>70</v>
      </c>
      <c r="C574" s="437" t="s">
        <v>118</v>
      </c>
      <c r="D574" s="437">
        <v>38.039149999999999</v>
      </c>
      <c r="E574" s="437">
        <v>-122.1544</v>
      </c>
      <c r="F574" s="437" t="s">
        <v>5398</v>
      </c>
      <c r="G574" s="437" t="s">
        <v>80</v>
      </c>
      <c r="H574" s="437" t="s">
        <v>120</v>
      </c>
      <c r="I574" s="438">
        <v>0.4694444444444445</v>
      </c>
      <c r="J574" s="439">
        <v>169.9</v>
      </c>
      <c r="K574" s="439">
        <v>11.375</v>
      </c>
      <c r="L574" s="439">
        <v>180</v>
      </c>
      <c r="M574" s="439">
        <v>0.15</v>
      </c>
      <c r="N574" s="439">
        <v>8.1</v>
      </c>
      <c r="O574" s="437" t="s">
        <v>48</v>
      </c>
      <c r="P574" s="437">
        <v>4</v>
      </c>
      <c r="Q574" s="437">
        <v>10</v>
      </c>
      <c r="R574" s="437" t="s">
        <v>64</v>
      </c>
      <c r="S574" s="437" t="s">
        <v>31</v>
      </c>
      <c r="T574" s="437">
        <v>1</v>
      </c>
      <c r="U574" s="437">
        <v>89</v>
      </c>
      <c r="V574" s="437" t="s">
        <v>50</v>
      </c>
      <c r="W574" s="437" t="s">
        <v>50</v>
      </c>
      <c r="X574" s="437" t="s">
        <v>50</v>
      </c>
      <c r="Y574" s="440"/>
    </row>
    <row r="575" spans="1:25" s="490" customFormat="1" x14ac:dyDescent="0.25">
      <c r="A575" s="476">
        <v>43529</v>
      </c>
      <c r="B575" s="437" t="s">
        <v>70</v>
      </c>
      <c r="C575" s="437" t="s">
        <v>118</v>
      </c>
      <c r="D575" s="437">
        <v>38.039149999999999</v>
      </c>
      <c r="E575" s="437">
        <v>-122.1544</v>
      </c>
      <c r="F575" s="437" t="s">
        <v>5398</v>
      </c>
      <c r="G575" s="437" t="s">
        <v>80</v>
      </c>
      <c r="H575" s="437" t="s">
        <v>120</v>
      </c>
      <c r="I575" s="437"/>
      <c r="J575" s="439"/>
      <c r="K575" s="439"/>
      <c r="L575" s="439"/>
      <c r="M575" s="439"/>
      <c r="N575" s="439"/>
      <c r="O575" s="437"/>
      <c r="P575" s="437"/>
      <c r="Q575" s="437"/>
      <c r="R575" s="437"/>
      <c r="S575" s="437" t="s">
        <v>622</v>
      </c>
      <c r="T575" s="437">
        <v>1</v>
      </c>
      <c r="U575" s="437">
        <v>189</v>
      </c>
      <c r="V575" s="437" t="s">
        <v>50</v>
      </c>
      <c r="W575" s="437">
        <v>5</v>
      </c>
      <c r="X575" s="437" t="s">
        <v>2525</v>
      </c>
      <c r="Y575" s="440"/>
    </row>
    <row r="576" spans="1:25" s="490" customFormat="1" x14ac:dyDescent="0.25">
      <c r="A576" s="476">
        <v>43529</v>
      </c>
      <c r="B576" s="437" t="s">
        <v>70</v>
      </c>
      <c r="C576" s="437" t="s">
        <v>118</v>
      </c>
      <c r="D576" s="437">
        <v>38.039149999999999</v>
      </c>
      <c r="E576" s="437">
        <v>-122.1544</v>
      </c>
      <c r="F576" s="437" t="s">
        <v>5398</v>
      </c>
      <c r="G576" s="437" t="s">
        <v>80</v>
      </c>
      <c r="H576" s="437" t="s">
        <v>120</v>
      </c>
      <c r="I576" s="437"/>
      <c r="J576" s="439"/>
      <c r="K576" s="439"/>
      <c r="L576" s="439"/>
      <c r="M576" s="439"/>
      <c r="N576" s="439"/>
      <c r="O576" s="437"/>
      <c r="P576" s="437"/>
      <c r="Q576" s="437"/>
      <c r="R576" s="437"/>
      <c r="S576" s="437" t="s">
        <v>5265</v>
      </c>
      <c r="T576" s="437">
        <v>1</v>
      </c>
      <c r="U576" s="437">
        <v>98</v>
      </c>
      <c r="V576" s="437" t="s">
        <v>50</v>
      </c>
      <c r="W576" s="437">
        <v>5</v>
      </c>
      <c r="X576" s="437" t="s">
        <v>2525</v>
      </c>
      <c r="Y576" s="440"/>
    </row>
    <row r="577" spans="1:25" s="490" customFormat="1" x14ac:dyDescent="0.25">
      <c r="A577" s="476">
        <v>43529</v>
      </c>
      <c r="B577" s="437" t="s">
        <v>70</v>
      </c>
      <c r="C577" s="437" t="s">
        <v>95</v>
      </c>
      <c r="D577" s="437">
        <v>38.057400000000001</v>
      </c>
      <c r="E577" s="437">
        <v>-121.54977</v>
      </c>
      <c r="F577" s="437" t="s">
        <v>5399</v>
      </c>
      <c r="G577" s="437" t="s">
        <v>46</v>
      </c>
      <c r="H577" s="437" t="s">
        <v>115</v>
      </c>
      <c r="I577" s="438">
        <v>0.30763888888888891</v>
      </c>
      <c r="J577" s="439">
        <v>152.85</v>
      </c>
      <c r="K577" s="439">
        <v>11.975</v>
      </c>
      <c r="L577" s="439">
        <v>13.475</v>
      </c>
      <c r="M577" s="439">
        <v>0.82750000000000001</v>
      </c>
      <c r="N577" s="439">
        <v>11.875</v>
      </c>
      <c r="O577" s="437" t="s">
        <v>48</v>
      </c>
      <c r="P577" s="437">
        <v>4</v>
      </c>
      <c r="Q577" s="437">
        <v>10</v>
      </c>
      <c r="R577" s="437" t="s">
        <v>49</v>
      </c>
      <c r="S577" s="437" t="s">
        <v>702</v>
      </c>
      <c r="T577" s="437">
        <v>1</v>
      </c>
      <c r="U577" s="437">
        <v>39</v>
      </c>
      <c r="V577" s="437" t="s">
        <v>50</v>
      </c>
      <c r="W577" s="437">
        <v>2</v>
      </c>
      <c r="X577" s="437" t="s">
        <v>50</v>
      </c>
      <c r="Y577" s="440"/>
    </row>
    <row r="578" spans="1:25" s="490" customFormat="1" x14ac:dyDescent="0.25">
      <c r="A578" s="476">
        <v>43529</v>
      </c>
      <c r="B578" s="437" t="s">
        <v>70</v>
      </c>
      <c r="C578" s="437" t="s">
        <v>95</v>
      </c>
      <c r="D578" s="437">
        <v>38.025840000000002</v>
      </c>
      <c r="E578" s="437">
        <v>-121.74044000000001</v>
      </c>
      <c r="F578" s="437" t="s">
        <v>5400</v>
      </c>
      <c r="G578" s="437" t="s">
        <v>27</v>
      </c>
      <c r="H578" s="437" t="s">
        <v>863</v>
      </c>
      <c r="I578" s="438">
        <v>0.37361111111111112</v>
      </c>
      <c r="J578" s="439">
        <v>130.32499999999999</v>
      </c>
      <c r="K578" s="439">
        <v>11.225</v>
      </c>
      <c r="L578" s="439">
        <v>32.65</v>
      </c>
      <c r="M578" s="439">
        <v>0.4325</v>
      </c>
      <c r="N578" s="439">
        <v>9.1</v>
      </c>
      <c r="O578" s="437" t="s">
        <v>48</v>
      </c>
      <c r="P578" s="437">
        <v>4</v>
      </c>
      <c r="Q578" s="437">
        <v>10</v>
      </c>
      <c r="R578" s="437" t="s">
        <v>49</v>
      </c>
      <c r="S578" s="437" t="s">
        <v>702</v>
      </c>
      <c r="T578" s="437">
        <v>1</v>
      </c>
      <c r="U578" s="437">
        <v>38</v>
      </c>
      <c r="V578" s="437" t="s">
        <v>50</v>
      </c>
      <c r="W578" s="437">
        <v>2</v>
      </c>
      <c r="X578" s="437" t="s">
        <v>50</v>
      </c>
      <c r="Y578" s="440"/>
    </row>
    <row r="579" spans="1:25" s="490" customFormat="1" x14ac:dyDescent="0.25">
      <c r="A579" s="476">
        <v>43529</v>
      </c>
      <c r="B579" s="437" t="s">
        <v>70</v>
      </c>
      <c r="C579" s="437" t="s">
        <v>95</v>
      </c>
      <c r="D579" s="437">
        <v>38.025840000000002</v>
      </c>
      <c r="E579" s="437">
        <v>-121.74044000000001</v>
      </c>
      <c r="F579" s="437" t="s">
        <v>5400</v>
      </c>
      <c r="G579" s="437" t="s">
        <v>27</v>
      </c>
      <c r="H579" s="437" t="s">
        <v>863</v>
      </c>
      <c r="I579" s="437"/>
      <c r="J579" s="439"/>
      <c r="K579" s="439"/>
      <c r="L579" s="439"/>
      <c r="M579" s="439"/>
      <c r="N579" s="439"/>
      <c r="O579" s="437"/>
      <c r="P579" s="437"/>
      <c r="Q579" s="437"/>
      <c r="R579" s="437"/>
      <c r="S579" s="437" t="s">
        <v>622</v>
      </c>
      <c r="T579" s="437">
        <v>1</v>
      </c>
      <c r="U579" s="437">
        <v>208</v>
      </c>
      <c r="V579" s="437" t="s">
        <v>50</v>
      </c>
      <c r="W579" s="437">
        <v>5</v>
      </c>
      <c r="X579" s="437" t="s">
        <v>2525</v>
      </c>
      <c r="Y579" s="440" t="s">
        <v>5401</v>
      </c>
    </row>
    <row r="580" spans="1:25" s="490" customFormat="1" x14ac:dyDescent="0.25">
      <c r="A580" s="476">
        <v>43529</v>
      </c>
      <c r="B580" s="437" t="s">
        <v>70</v>
      </c>
      <c r="C580" s="437" t="s">
        <v>95</v>
      </c>
      <c r="D580" s="437">
        <v>38.09028</v>
      </c>
      <c r="E580" s="437">
        <v>-121.63506</v>
      </c>
      <c r="F580" s="437" t="s">
        <v>5402</v>
      </c>
      <c r="G580" s="437" t="s">
        <v>46</v>
      </c>
      <c r="H580" s="437" t="s">
        <v>908</v>
      </c>
      <c r="I580" s="438">
        <v>0.4375</v>
      </c>
      <c r="J580" s="439">
        <v>101.2</v>
      </c>
      <c r="K580" s="439">
        <v>11.3</v>
      </c>
      <c r="L580" s="439">
        <v>41.125</v>
      </c>
      <c r="M580" s="439">
        <v>0.35499999999999998</v>
      </c>
      <c r="N580" s="439">
        <v>16.975000000000001</v>
      </c>
      <c r="O580" s="437" t="s">
        <v>48</v>
      </c>
      <c r="P580" s="437">
        <v>4</v>
      </c>
      <c r="Q580" s="437">
        <v>10</v>
      </c>
      <c r="R580" s="437" t="s">
        <v>49</v>
      </c>
      <c r="S580" s="437" t="s">
        <v>702</v>
      </c>
      <c r="T580" s="437">
        <v>10</v>
      </c>
      <c r="U580" s="437" t="s">
        <v>5403</v>
      </c>
      <c r="V580" s="437" t="s">
        <v>50</v>
      </c>
      <c r="W580" s="437" t="s">
        <v>5269</v>
      </c>
      <c r="X580" s="437" t="s">
        <v>50</v>
      </c>
      <c r="Y580" s="440"/>
    </row>
    <row r="581" spans="1:25" s="490" customFormat="1" x14ac:dyDescent="0.25">
      <c r="A581" s="476">
        <v>43529</v>
      </c>
      <c r="B581" s="437" t="s">
        <v>70</v>
      </c>
      <c r="C581" s="437" t="s">
        <v>95</v>
      </c>
      <c r="D581" s="437">
        <v>38.09028</v>
      </c>
      <c r="E581" s="437">
        <v>-121.63506</v>
      </c>
      <c r="F581" s="437" t="s">
        <v>5402</v>
      </c>
      <c r="G581" s="437" t="s">
        <v>46</v>
      </c>
      <c r="H581" s="437" t="s">
        <v>908</v>
      </c>
      <c r="I581" s="437"/>
      <c r="J581" s="439"/>
      <c r="K581" s="439"/>
      <c r="L581" s="439"/>
      <c r="M581" s="439"/>
      <c r="N581" s="439"/>
      <c r="O581" s="437"/>
      <c r="P581" s="437"/>
      <c r="Q581" s="437"/>
      <c r="R581" s="437"/>
      <c r="S581" s="437" t="s">
        <v>31</v>
      </c>
      <c r="T581" s="437">
        <v>1</v>
      </c>
      <c r="U581" s="437">
        <v>64</v>
      </c>
      <c r="V581" s="437" t="s">
        <v>50</v>
      </c>
      <c r="W581" s="437" t="s">
        <v>50</v>
      </c>
      <c r="X581" s="437" t="s">
        <v>50</v>
      </c>
      <c r="Y581" s="440" t="s">
        <v>5404</v>
      </c>
    </row>
    <row r="582" spans="1:25" s="490" customFormat="1" x14ac:dyDescent="0.25">
      <c r="A582" s="476">
        <v>43529</v>
      </c>
      <c r="B582" s="437" t="s">
        <v>70</v>
      </c>
      <c r="C582" s="437" t="s">
        <v>95</v>
      </c>
      <c r="D582" s="437">
        <v>38.09028</v>
      </c>
      <c r="E582" s="437">
        <v>-121.63506</v>
      </c>
      <c r="F582" s="437" t="s">
        <v>5402</v>
      </c>
      <c r="G582" s="437" t="s">
        <v>46</v>
      </c>
      <c r="H582" s="437" t="s">
        <v>908</v>
      </c>
      <c r="I582" s="437"/>
      <c r="J582" s="439"/>
      <c r="K582" s="439"/>
      <c r="L582" s="439"/>
      <c r="M582" s="439"/>
      <c r="N582" s="439"/>
      <c r="O582" s="437"/>
      <c r="P582" s="437"/>
      <c r="Q582" s="437"/>
      <c r="R582" s="437"/>
      <c r="S582" s="437" t="s">
        <v>622</v>
      </c>
      <c r="T582" s="437">
        <v>1</v>
      </c>
      <c r="U582" s="437">
        <v>210</v>
      </c>
      <c r="V582" s="437" t="s">
        <v>50</v>
      </c>
      <c r="W582" s="437">
        <v>5</v>
      </c>
      <c r="X582" s="437" t="s">
        <v>2525</v>
      </c>
      <c r="Y582" s="440" t="s">
        <v>5401</v>
      </c>
    </row>
    <row r="583" spans="1:25" s="490" customFormat="1" x14ac:dyDescent="0.25">
      <c r="A583" s="476">
        <v>43530</v>
      </c>
      <c r="B583" s="437" t="s">
        <v>87</v>
      </c>
      <c r="C583" s="437" t="s">
        <v>88</v>
      </c>
      <c r="D583" s="437">
        <v>38.076799999999999</v>
      </c>
      <c r="E583" s="437">
        <v>-121.76432</v>
      </c>
      <c r="F583" s="437" t="s">
        <v>5405</v>
      </c>
      <c r="G583" s="437" t="s">
        <v>27</v>
      </c>
      <c r="H583" s="437" t="s">
        <v>25</v>
      </c>
      <c r="I583" s="438">
        <v>0.32013888888888892</v>
      </c>
      <c r="J583" s="439">
        <v>167.1</v>
      </c>
      <c r="K583" s="439">
        <v>11.55</v>
      </c>
      <c r="L583" s="439">
        <v>194.75</v>
      </c>
      <c r="M583" s="439">
        <v>9.7500000000000003E-2</v>
      </c>
      <c r="N583" s="439">
        <v>10.1</v>
      </c>
      <c r="O583" s="437" t="s">
        <v>48</v>
      </c>
      <c r="P583" s="437">
        <v>4</v>
      </c>
      <c r="Q583" s="437">
        <v>10</v>
      </c>
      <c r="R583" s="437" t="s">
        <v>49</v>
      </c>
      <c r="S583" s="437" t="s">
        <v>702</v>
      </c>
      <c r="T583" s="437">
        <v>2</v>
      </c>
      <c r="U583" s="437" t="s">
        <v>5406</v>
      </c>
      <c r="V583" s="437" t="s">
        <v>50</v>
      </c>
      <c r="W583" s="437">
        <v>2</v>
      </c>
      <c r="X583" s="437" t="s">
        <v>50</v>
      </c>
      <c r="Y583" s="440"/>
    </row>
    <row r="584" spans="1:25" s="490" customFormat="1" x14ac:dyDescent="0.25">
      <c r="A584" s="476">
        <v>43530</v>
      </c>
      <c r="B584" s="437" t="s">
        <v>87</v>
      </c>
      <c r="C584" s="437" t="s">
        <v>88</v>
      </c>
      <c r="D584" s="437">
        <v>38.076799999999999</v>
      </c>
      <c r="E584" s="437">
        <v>-121.76432</v>
      </c>
      <c r="F584" s="437" t="s">
        <v>5405</v>
      </c>
      <c r="G584" s="437" t="s">
        <v>27</v>
      </c>
      <c r="H584" s="437" t="s">
        <v>25</v>
      </c>
      <c r="I584" s="437"/>
      <c r="J584" s="439"/>
      <c r="K584" s="439"/>
      <c r="L584" s="439"/>
      <c r="M584" s="439"/>
      <c r="N584" s="439"/>
      <c r="O584" s="437"/>
      <c r="P584" s="437"/>
      <c r="Q584" s="437"/>
      <c r="R584" s="437"/>
      <c r="S584" s="437" t="s">
        <v>622</v>
      </c>
      <c r="T584" s="437">
        <v>1</v>
      </c>
      <c r="U584" s="437">
        <v>250</v>
      </c>
      <c r="V584" s="437" t="s">
        <v>50</v>
      </c>
      <c r="W584" s="437">
        <v>5</v>
      </c>
      <c r="X584" s="437" t="s">
        <v>2525</v>
      </c>
      <c r="Y584" s="440"/>
    </row>
    <row r="585" spans="1:25" s="490" customFormat="1" x14ac:dyDescent="0.25">
      <c r="A585" s="476">
        <v>43530</v>
      </c>
      <c r="B585" s="437" t="s">
        <v>87</v>
      </c>
      <c r="C585" s="437" t="s">
        <v>88</v>
      </c>
      <c r="D585" s="437">
        <v>38.11327</v>
      </c>
      <c r="E585" s="437">
        <v>-121.68866</v>
      </c>
      <c r="F585" s="437" t="s">
        <v>5407</v>
      </c>
      <c r="G585" s="437" t="s">
        <v>90</v>
      </c>
      <c r="H585" s="437" t="s">
        <v>91</v>
      </c>
      <c r="I585" s="438">
        <v>0.37777777777777777</v>
      </c>
      <c r="J585" s="439">
        <v>154.52500000000001</v>
      </c>
      <c r="K585" s="439">
        <v>11.4</v>
      </c>
      <c r="L585" s="439">
        <v>151.25</v>
      </c>
      <c r="M585" s="439">
        <v>0.1075</v>
      </c>
      <c r="N585" s="439">
        <v>8.875</v>
      </c>
      <c r="O585" s="437" t="s">
        <v>48</v>
      </c>
      <c r="P585" s="437">
        <v>4</v>
      </c>
      <c r="Q585" s="437">
        <v>10</v>
      </c>
      <c r="R585" s="437" t="s">
        <v>49</v>
      </c>
      <c r="S585" s="437" t="s">
        <v>702</v>
      </c>
      <c r="T585" s="437">
        <v>1</v>
      </c>
      <c r="U585" s="437">
        <v>39</v>
      </c>
      <c r="V585" s="437" t="s">
        <v>50</v>
      </c>
      <c r="W585" s="437">
        <v>2</v>
      </c>
      <c r="X585" s="437" t="s">
        <v>50</v>
      </c>
      <c r="Y585" s="440"/>
    </row>
    <row r="586" spans="1:25" s="441" customFormat="1" x14ac:dyDescent="0.25">
      <c r="A586" s="443">
        <v>43530</v>
      </c>
      <c r="B586" s="51" t="s">
        <v>87</v>
      </c>
      <c r="C586" s="51" t="s">
        <v>88</v>
      </c>
      <c r="D586" s="51">
        <v>38.163739999999997</v>
      </c>
      <c r="E586" s="51">
        <v>-121.67601000000001</v>
      </c>
      <c r="F586" s="51" t="s">
        <v>5408</v>
      </c>
      <c r="G586" s="51" t="s">
        <v>90</v>
      </c>
      <c r="H586" s="51" t="s">
        <v>91</v>
      </c>
      <c r="I586" s="66">
        <v>0.4368055555555555</v>
      </c>
      <c r="J586" s="428">
        <v>126.55</v>
      </c>
      <c r="K586" s="428">
        <v>11.025</v>
      </c>
      <c r="L586" s="428">
        <v>131.25</v>
      </c>
      <c r="M586" s="428">
        <v>0.125</v>
      </c>
      <c r="N586" s="428">
        <v>5.95</v>
      </c>
      <c r="O586" s="51" t="s">
        <v>48</v>
      </c>
      <c r="P586" s="51">
        <v>4</v>
      </c>
      <c r="Q586" s="51">
        <v>10</v>
      </c>
      <c r="R586" s="51" t="s">
        <v>49</v>
      </c>
      <c r="S586" s="51" t="s">
        <v>50</v>
      </c>
      <c r="T586" s="51" t="s">
        <v>50</v>
      </c>
      <c r="U586" s="51" t="s">
        <v>50</v>
      </c>
      <c r="V586" s="51" t="s">
        <v>50</v>
      </c>
      <c r="W586" s="51" t="s">
        <v>50</v>
      </c>
      <c r="X586" s="51" t="s">
        <v>50</v>
      </c>
      <c r="Y586" s="52"/>
    </row>
    <row r="587" spans="1:25" s="490" customFormat="1" x14ac:dyDescent="0.25">
      <c r="A587" s="476">
        <v>43530</v>
      </c>
      <c r="B587" s="437" t="s">
        <v>87</v>
      </c>
      <c r="C587" s="437" t="s">
        <v>78</v>
      </c>
      <c r="D587" s="437">
        <v>38.103200000000001</v>
      </c>
      <c r="E587" s="437">
        <v>-122.03518</v>
      </c>
      <c r="F587" s="437" t="s">
        <v>5409</v>
      </c>
      <c r="G587" s="437" t="s">
        <v>27</v>
      </c>
      <c r="H587" s="437" t="s">
        <v>86</v>
      </c>
      <c r="I587" s="438">
        <v>0.37291666666666662</v>
      </c>
      <c r="J587" s="439">
        <v>126.1</v>
      </c>
      <c r="K587" s="439">
        <v>11.475</v>
      </c>
      <c r="L587" s="439">
        <v>204</v>
      </c>
      <c r="M587" s="439">
        <v>0.1525</v>
      </c>
      <c r="N587" s="439">
        <v>4.45</v>
      </c>
      <c r="O587" s="437" t="s">
        <v>48</v>
      </c>
      <c r="P587" s="437">
        <v>4</v>
      </c>
      <c r="Q587" s="437">
        <v>10</v>
      </c>
      <c r="R587" s="437" t="s">
        <v>49</v>
      </c>
      <c r="S587" s="437" t="s">
        <v>31</v>
      </c>
      <c r="T587" s="437">
        <v>2</v>
      </c>
      <c r="U587" s="437" t="s">
        <v>5410</v>
      </c>
      <c r="V587" s="437" t="s">
        <v>5411</v>
      </c>
      <c r="W587" s="437" t="s">
        <v>50</v>
      </c>
      <c r="X587" s="437" t="s">
        <v>50</v>
      </c>
      <c r="Y587" s="440" t="s">
        <v>5412</v>
      </c>
    </row>
    <row r="588" spans="1:25" s="490" customFormat="1" x14ac:dyDescent="0.25">
      <c r="A588" s="476">
        <v>43530</v>
      </c>
      <c r="B588" s="437" t="s">
        <v>87</v>
      </c>
      <c r="C588" s="437" t="s">
        <v>78</v>
      </c>
      <c r="D588" s="437">
        <v>38.095730000000003</v>
      </c>
      <c r="E588" s="437">
        <v>-122.0295</v>
      </c>
      <c r="F588" s="437" t="s">
        <v>5413</v>
      </c>
      <c r="G588" s="437" t="s">
        <v>27</v>
      </c>
      <c r="H588" s="437" t="s">
        <v>86</v>
      </c>
      <c r="I588" s="438">
        <v>0.39166666666666666</v>
      </c>
      <c r="J588" s="439">
        <v>115.925</v>
      </c>
      <c r="K588" s="439">
        <v>11.45</v>
      </c>
      <c r="L588" s="439">
        <v>199.5</v>
      </c>
      <c r="M588" s="439">
        <v>0.1525</v>
      </c>
      <c r="N588" s="439">
        <v>7.5250000000000004</v>
      </c>
      <c r="O588" s="437" t="s">
        <v>48</v>
      </c>
      <c r="P588" s="437">
        <v>4</v>
      </c>
      <c r="Q588" s="437">
        <v>10</v>
      </c>
      <c r="R588" s="437" t="s">
        <v>49</v>
      </c>
      <c r="S588" s="437" t="s">
        <v>622</v>
      </c>
      <c r="T588" s="437">
        <v>1</v>
      </c>
      <c r="U588" s="437">
        <v>190</v>
      </c>
      <c r="V588" s="437" t="s">
        <v>50</v>
      </c>
      <c r="W588" s="437">
        <v>5</v>
      </c>
      <c r="X588" s="437" t="s">
        <v>2525</v>
      </c>
      <c r="Y588" s="440"/>
    </row>
    <row r="589" spans="1:25" s="490" customFormat="1" x14ac:dyDescent="0.25">
      <c r="A589" s="476">
        <v>43530</v>
      </c>
      <c r="B589" s="437" t="s">
        <v>87</v>
      </c>
      <c r="C589" s="437" t="s">
        <v>78</v>
      </c>
      <c r="D589" s="437">
        <v>38.095730000000003</v>
      </c>
      <c r="E589" s="437">
        <v>-122.0295</v>
      </c>
      <c r="F589" s="437" t="s">
        <v>5413</v>
      </c>
      <c r="G589" s="437" t="s">
        <v>27</v>
      </c>
      <c r="H589" s="437" t="s">
        <v>86</v>
      </c>
      <c r="I589" s="437"/>
      <c r="J589" s="439"/>
      <c r="K589" s="439"/>
      <c r="L589" s="439"/>
      <c r="M589" s="439"/>
      <c r="N589" s="439"/>
      <c r="O589" s="437"/>
      <c r="P589" s="437"/>
      <c r="Q589" s="437"/>
      <c r="R589" s="437"/>
      <c r="S589" s="437" t="s">
        <v>702</v>
      </c>
      <c r="T589" s="437">
        <v>1</v>
      </c>
      <c r="U589" s="437">
        <v>39</v>
      </c>
      <c r="V589" s="437" t="s">
        <v>50</v>
      </c>
      <c r="W589" s="437">
        <v>2</v>
      </c>
      <c r="X589" s="437" t="s">
        <v>50</v>
      </c>
      <c r="Y589" s="440"/>
    </row>
    <row r="590" spans="1:25" s="490" customFormat="1" x14ac:dyDescent="0.25">
      <c r="A590" s="476">
        <v>43530</v>
      </c>
      <c r="B590" s="437" t="s">
        <v>87</v>
      </c>
      <c r="C590" s="437" t="s">
        <v>78</v>
      </c>
      <c r="D590" s="437">
        <v>38.06371</v>
      </c>
      <c r="E590" s="437">
        <v>-121.84772</v>
      </c>
      <c r="F590" s="437" t="s">
        <v>5414</v>
      </c>
      <c r="G590" s="437" t="s">
        <v>27</v>
      </c>
      <c r="H590" s="437" t="s">
        <v>101</v>
      </c>
      <c r="I590" s="438">
        <v>0.4548611111111111</v>
      </c>
      <c r="J590" s="439">
        <v>108.575</v>
      </c>
      <c r="K590" s="439">
        <v>11.45</v>
      </c>
      <c r="L590" s="439">
        <v>147.5</v>
      </c>
      <c r="M590" s="439">
        <v>0.21249999999999999</v>
      </c>
      <c r="N590" s="439">
        <v>12.475</v>
      </c>
      <c r="O590" s="437" t="s">
        <v>48</v>
      </c>
      <c r="P590" s="437">
        <v>4</v>
      </c>
      <c r="Q590" s="437">
        <v>10</v>
      </c>
      <c r="R590" s="437" t="s">
        <v>49</v>
      </c>
      <c r="S590" s="437" t="s">
        <v>702</v>
      </c>
      <c r="T590" s="437">
        <v>3</v>
      </c>
      <c r="U590" s="437" t="s">
        <v>5415</v>
      </c>
      <c r="V590" s="437" t="s">
        <v>50</v>
      </c>
      <c r="W590" s="437" t="s">
        <v>5269</v>
      </c>
      <c r="X590" s="437" t="s">
        <v>50</v>
      </c>
      <c r="Y590" s="440"/>
    </row>
    <row r="591" spans="1:25" s="490" customFormat="1" x14ac:dyDescent="0.25">
      <c r="A591" s="476">
        <v>43530</v>
      </c>
      <c r="B591" s="437" t="s">
        <v>87</v>
      </c>
      <c r="C591" s="437" t="s">
        <v>44</v>
      </c>
      <c r="D591" s="437">
        <v>38.046520000000001</v>
      </c>
      <c r="E591" s="437">
        <v>-121.62177</v>
      </c>
      <c r="F591" s="437" t="s">
        <v>5416</v>
      </c>
      <c r="G591" s="437" t="s">
        <v>46</v>
      </c>
      <c r="H591" s="437" t="s">
        <v>47</v>
      </c>
      <c r="I591" s="438">
        <v>0.32222222222222224</v>
      </c>
      <c r="J591" s="439">
        <v>144.58750000000001</v>
      </c>
      <c r="K591" s="439">
        <v>11.55</v>
      </c>
      <c r="L591" s="439">
        <v>53.7</v>
      </c>
      <c r="M591" s="439">
        <v>0.33250000000000002</v>
      </c>
      <c r="N591" s="439">
        <v>3.625</v>
      </c>
      <c r="O591" s="437" t="s">
        <v>48</v>
      </c>
      <c r="P591" s="437">
        <v>4</v>
      </c>
      <c r="Q591" s="437">
        <v>10</v>
      </c>
      <c r="R591" s="437" t="s">
        <v>49</v>
      </c>
      <c r="S591" s="437" t="s">
        <v>622</v>
      </c>
      <c r="T591" s="437">
        <v>1</v>
      </c>
      <c r="U591" s="437">
        <v>211</v>
      </c>
      <c r="V591" s="437" t="s">
        <v>50</v>
      </c>
      <c r="W591" s="437" t="s">
        <v>50</v>
      </c>
      <c r="X591" s="437" t="s">
        <v>2525</v>
      </c>
      <c r="Y591" s="440" t="s">
        <v>5417</v>
      </c>
    </row>
    <row r="592" spans="1:25" s="491" customFormat="1" x14ac:dyDescent="0.25">
      <c r="A592" s="446">
        <v>43530</v>
      </c>
      <c r="B592" s="424" t="s">
        <v>87</v>
      </c>
      <c r="C592" s="424" t="s">
        <v>44</v>
      </c>
      <c r="D592" s="424">
        <v>38.046520000000001</v>
      </c>
      <c r="E592" s="424">
        <v>-121.62177</v>
      </c>
      <c r="F592" s="424" t="s">
        <v>5418</v>
      </c>
      <c r="G592" s="424" t="s">
        <v>46</v>
      </c>
      <c r="H592" s="424" t="s">
        <v>47</v>
      </c>
      <c r="I592" s="425">
        <v>0.40347222222222223</v>
      </c>
      <c r="J592" s="427">
        <v>575</v>
      </c>
      <c r="K592" s="427">
        <v>11.5</v>
      </c>
      <c r="L592" s="427">
        <v>15</v>
      </c>
      <c r="M592" s="427">
        <v>1.1000000000000001</v>
      </c>
      <c r="N592" s="427">
        <v>5</v>
      </c>
      <c r="O592" s="424" t="s">
        <v>48</v>
      </c>
      <c r="P592" s="424">
        <v>1</v>
      </c>
      <c r="Q592" s="424">
        <v>10</v>
      </c>
      <c r="R592" s="424" t="s">
        <v>49</v>
      </c>
      <c r="S592" s="424" t="s">
        <v>50</v>
      </c>
      <c r="T592" s="424" t="s">
        <v>50</v>
      </c>
      <c r="U592" s="424" t="s">
        <v>50</v>
      </c>
      <c r="V592" s="424" t="s">
        <v>50</v>
      </c>
      <c r="W592" s="424" t="s">
        <v>50</v>
      </c>
      <c r="X592" s="424" t="s">
        <v>50</v>
      </c>
      <c r="Y592" s="426" t="s">
        <v>5419</v>
      </c>
    </row>
    <row r="593" spans="1:25" s="441" customFormat="1" x14ac:dyDescent="0.25">
      <c r="A593" s="443">
        <v>43530</v>
      </c>
      <c r="B593" s="51" t="s">
        <v>87</v>
      </c>
      <c r="C593" s="51" t="s">
        <v>44</v>
      </c>
      <c r="D593" s="51">
        <v>38.051729999999999</v>
      </c>
      <c r="E593" s="51">
        <v>-121.59996</v>
      </c>
      <c r="F593" s="51" t="s">
        <v>5420</v>
      </c>
      <c r="G593" s="51" t="s">
        <v>46</v>
      </c>
      <c r="H593" s="51" t="s">
        <v>47</v>
      </c>
      <c r="I593" s="66">
        <v>0.46388888888888885</v>
      </c>
      <c r="J593" s="428">
        <v>228.02500000000001</v>
      </c>
      <c r="K593" s="428">
        <v>12</v>
      </c>
      <c r="L593" s="428">
        <v>16.649999999999999</v>
      </c>
      <c r="M593" s="428">
        <v>0.72499999999999998</v>
      </c>
      <c r="N593" s="428">
        <v>2.9</v>
      </c>
      <c r="O593" s="51" t="s">
        <v>48</v>
      </c>
      <c r="P593" s="51">
        <v>4</v>
      </c>
      <c r="Q593" s="51">
        <v>10</v>
      </c>
      <c r="R593" s="51" t="s">
        <v>64</v>
      </c>
      <c r="S593" s="51" t="s">
        <v>50</v>
      </c>
      <c r="T593" s="51" t="s">
        <v>50</v>
      </c>
      <c r="U593" s="51" t="s">
        <v>50</v>
      </c>
      <c r="V593" s="51" t="s">
        <v>50</v>
      </c>
      <c r="W593" s="51" t="s">
        <v>50</v>
      </c>
      <c r="X593" s="51" t="s">
        <v>50</v>
      </c>
      <c r="Y593" s="52" t="s">
        <v>5421</v>
      </c>
    </row>
    <row r="594" spans="1:25" s="441" customFormat="1" x14ac:dyDescent="0.25">
      <c r="A594" s="443">
        <v>43531</v>
      </c>
      <c r="B594" s="51" t="s">
        <v>105</v>
      </c>
      <c r="C594" s="51" t="s">
        <v>106</v>
      </c>
      <c r="D594" s="51">
        <v>38.492289999999997</v>
      </c>
      <c r="E594" s="51">
        <v>-121.58418</v>
      </c>
      <c r="F594" s="51" t="s">
        <v>5422</v>
      </c>
      <c r="G594" s="51" t="s">
        <v>90</v>
      </c>
      <c r="H594" s="51" t="s">
        <v>1787</v>
      </c>
      <c r="I594" s="66">
        <v>0.3354166666666667</v>
      </c>
      <c r="J594" s="428">
        <v>662.5</v>
      </c>
      <c r="K594" s="428">
        <v>11.775</v>
      </c>
      <c r="L594" s="428">
        <v>6.94</v>
      </c>
      <c r="M594" s="428">
        <v>1.0974999999999999</v>
      </c>
      <c r="N594" s="428">
        <v>8.9</v>
      </c>
      <c r="O594" s="51" t="s">
        <v>48</v>
      </c>
      <c r="P594" s="51">
        <v>4</v>
      </c>
      <c r="Q594" s="51">
        <v>10</v>
      </c>
      <c r="R594" s="51" t="s">
        <v>64</v>
      </c>
      <c r="S594" s="51" t="s">
        <v>50</v>
      </c>
      <c r="T594" s="51" t="s">
        <v>50</v>
      </c>
      <c r="U594" s="51" t="s">
        <v>50</v>
      </c>
      <c r="V594" s="51" t="s">
        <v>50</v>
      </c>
      <c r="W594" s="51" t="s">
        <v>50</v>
      </c>
      <c r="X594" s="51" t="s">
        <v>50</v>
      </c>
      <c r="Y594" s="52"/>
    </row>
    <row r="595" spans="1:25" s="441" customFormat="1" x14ac:dyDescent="0.25">
      <c r="A595" s="443">
        <v>43531</v>
      </c>
      <c r="B595" s="51" t="s">
        <v>105</v>
      </c>
      <c r="C595" s="51" t="s">
        <v>106</v>
      </c>
      <c r="D595" s="51">
        <v>38.224620000000002</v>
      </c>
      <c r="E595" s="51">
        <v>-121.67448</v>
      </c>
      <c r="F595" s="51" t="s">
        <v>5423</v>
      </c>
      <c r="G595" s="51" t="s">
        <v>90</v>
      </c>
      <c r="H595" s="51" t="s">
        <v>362</v>
      </c>
      <c r="I595" s="66">
        <v>0.41597222222222219</v>
      </c>
      <c r="J595" s="428">
        <v>164.375</v>
      </c>
      <c r="K595" s="428">
        <v>11.95</v>
      </c>
      <c r="L595" s="428">
        <v>164.5</v>
      </c>
      <c r="M595" s="428">
        <v>0.13250000000000001</v>
      </c>
      <c r="N595" s="428">
        <v>13.4</v>
      </c>
      <c r="O595" s="51" t="s">
        <v>48</v>
      </c>
      <c r="P595" s="51">
        <v>4</v>
      </c>
      <c r="Q595" s="51">
        <v>10</v>
      </c>
      <c r="R595" s="51" t="s">
        <v>49</v>
      </c>
      <c r="S595" s="51" t="s">
        <v>50</v>
      </c>
      <c r="T595" s="51" t="s">
        <v>50</v>
      </c>
      <c r="U595" s="51" t="s">
        <v>50</v>
      </c>
      <c r="V595" s="51" t="s">
        <v>50</v>
      </c>
      <c r="W595" s="51" t="s">
        <v>50</v>
      </c>
      <c r="X595" s="51" t="s">
        <v>50</v>
      </c>
      <c r="Y595" s="52"/>
    </row>
    <row r="596" spans="1:25" s="490" customFormat="1" x14ac:dyDescent="0.25">
      <c r="A596" s="476">
        <v>43531</v>
      </c>
      <c r="B596" s="437" t="s">
        <v>105</v>
      </c>
      <c r="C596" s="437" t="s">
        <v>106</v>
      </c>
      <c r="D596" s="437">
        <v>38.184449999999998</v>
      </c>
      <c r="E596" s="437">
        <v>-121.66076</v>
      </c>
      <c r="F596" s="437" t="s">
        <v>5424</v>
      </c>
      <c r="G596" s="437" t="s">
        <v>90</v>
      </c>
      <c r="H596" s="437" t="s">
        <v>362</v>
      </c>
      <c r="I596" s="438">
        <v>0.4770833333333333</v>
      </c>
      <c r="J596" s="439">
        <v>131.69999999999999</v>
      </c>
      <c r="K596" s="439">
        <v>11.6</v>
      </c>
      <c r="L596" s="439">
        <v>167</v>
      </c>
      <c r="M596" s="439">
        <v>0.13250000000000001</v>
      </c>
      <c r="N596" s="439">
        <v>12.45</v>
      </c>
      <c r="O596" s="437" t="s">
        <v>48</v>
      </c>
      <c r="P596" s="437">
        <v>4</v>
      </c>
      <c r="Q596" s="437">
        <v>10</v>
      </c>
      <c r="R596" s="437" t="s">
        <v>49</v>
      </c>
      <c r="S596" s="437" t="s">
        <v>702</v>
      </c>
      <c r="T596" s="437">
        <v>2</v>
      </c>
      <c r="U596" s="437" t="s">
        <v>5425</v>
      </c>
      <c r="V596" s="437" t="s">
        <v>50</v>
      </c>
      <c r="W596" s="437">
        <v>3</v>
      </c>
      <c r="X596" s="437" t="s">
        <v>50</v>
      </c>
      <c r="Y596" s="440"/>
    </row>
    <row r="597" spans="1:25" s="490" customFormat="1" x14ac:dyDescent="0.25">
      <c r="A597" s="476">
        <v>43531</v>
      </c>
      <c r="B597" s="437" t="s">
        <v>105</v>
      </c>
      <c r="C597" s="437" t="s">
        <v>106</v>
      </c>
      <c r="D597" s="437">
        <v>38.184449999999998</v>
      </c>
      <c r="E597" s="437">
        <v>-121.66076</v>
      </c>
      <c r="F597" s="437" t="s">
        <v>5424</v>
      </c>
      <c r="G597" s="437" t="s">
        <v>90</v>
      </c>
      <c r="H597" s="437" t="s">
        <v>362</v>
      </c>
      <c r="I597" s="437"/>
      <c r="J597" s="439"/>
      <c r="K597" s="439"/>
      <c r="L597" s="439"/>
      <c r="M597" s="439"/>
      <c r="N597" s="439"/>
      <c r="O597" s="437"/>
      <c r="P597" s="437"/>
      <c r="Q597" s="437"/>
      <c r="R597" s="437"/>
      <c r="S597" s="437" t="s">
        <v>622</v>
      </c>
      <c r="T597" s="437">
        <v>2</v>
      </c>
      <c r="U597" s="437" t="s">
        <v>5426</v>
      </c>
      <c r="V597" s="437" t="s">
        <v>50</v>
      </c>
      <c r="W597" s="437" t="s">
        <v>5427</v>
      </c>
      <c r="X597" s="437" t="s">
        <v>2525</v>
      </c>
      <c r="Y597" s="440" t="s">
        <v>5428</v>
      </c>
    </row>
    <row r="598" spans="1:25" s="490" customFormat="1" x14ac:dyDescent="0.25">
      <c r="A598" s="476">
        <v>43531</v>
      </c>
      <c r="B598" s="437" t="s">
        <v>105</v>
      </c>
      <c r="C598" s="437" t="s">
        <v>62</v>
      </c>
      <c r="D598" s="437">
        <v>38.118670000000002</v>
      </c>
      <c r="E598" s="437">
        <v>-121.90609000000001</v>
      </c>
      <c r="F598" s="437" t="s">
        <v>5429</v>
      </c>
      <c r="G598" s="437" t="s">
        <v>27</v>
      </c>
      <c r="H598" s="437" t="s">
        <v>62</v>
      </c>
      <c r="I598" s="438">
        <v>0.3666666666666667</v>
      </c>
      <c r="J598" s="439">
        <v>960.5</v>
      </c>
      <c r="K598" s="439">
        <v>12.574999999999999</v>
      </c>
      <c r="L598" s="439">
        <v>130.75</v>
      </c>
      <c r="M598" s="439">
        <v>0.1575</v>
      </c>
      <c r="N598" s="439">
        <v>2.7749999999999999</v>
      </c>
      <c r="O598" s="437" t="s">
        <v>48</v>
      </c>
      <c r="P598" s="437">
        <v>4</v>
      </c>
      <c r="Q598" s="437">
        <v>10</v>
      </c>
      <c r="R598" s="437" t="s">
        <v>49</v>
      </c>
      <c r="S598" s="437" t="s">
        <v>702</v>
      </c>
      <c r="T598" s="437">
        <v>1</v>
      </c>
      <c r="U598" s="437">
        <v>36</v>
      </c>
      <c r="V598" s="437" t="s">
        <v>50</v>
      </c>
      <c r="W598" s="437">
        <v>3</v>
      </c>
      <c r="X598" s="437" t="s">
        <v>50</v>
      </c>
      <c r="Y598" s="440" t="s">
        <v>5430</v>
      </c>
    </row>
    <row r="599" spans="1:25" s="490" customFormat="1" x14ac:dyDescent="0.25">
      <c r="A599" s="476">
        <v>43531</v>
      </c>
      <c r="B599" s="437" t="s">
        <v>105</v>
      </c>
      <c r="C599" s="437" t="s">
        <v>62</v>
      </c>
      <c r="D599" s="437">
        <v>38.118670000000002</v>
      </c>
      <c r="E599" s="437">
        <v>-121.90609000000001</v>
      </c>
      <c r="F599" s="437" t="s">
        <v>5429</v>
      </c>
      <c r="G599" s="437" t="s">
        <v>27</v>
      </c>
      <c r="H599" s="437" t="s">
        <v>62</v>
      </c>
      <c r="I599" s="437"/>
      <c r="J599" s="439"/>
      <c r="K599" s="439"/>
      <c r="L599" s="439"/>
      <c r="M599" s="439"/>
      <c r="N599" s="439"/>
      <c r="O599" s="437"/>
      <c r="P599" s="437"/>
      <c r="Q599" s="437"/>
      <c r="R599" s="437"/>
      <c r="S599" s="437" t="s">
        <v>3280</v>
      </c>
      <c r="T599" s="437">
        <v>3</v>
      </c>
      <c r="U599" s="437" t="s">
        <v>5431</v>
      </c>
      <c r="V599" s="437" t="s">
        <v>50</v>
      </c>
      <c r="W599" s="437" t="s">
        <v>5432</v>
      </c>
      <c r="X599" s="437" t="s">
        <v>50</v>
      </c>
      <c r="Y599" s="440" t="s">
        <v>5433</v>
      </c>
    </row>
    <row r="600" spans="1:25" s="490" customFormat="1" x14ac:dyDescent="0.25">
      <c r="A600" s="476">
        <v>43531</v>
      </c>
      <c r="B600" s="437" t="s">
        <v>105</v>
      </c>
      <c r="C600" s="437" t="s">
        <v>62</v>
      </c>
      <c r="D600" s="437">
        <v>38.178879999999999</v>
      </c>
      <c r="E600" s="437">
        <v>-122.00457</v>
      </c>
      <c r="F600" s="437" t="s">
        <v>5434</v>
      </c>
      <c r="G600" s="437" t="s">
        <v>27</v>
      </c>
      <c r="H600" s="437" t="s">
        <v>62</v>
      </c>
      <c r="I600" s="438">
        <v>0.43888888888888888</v>
      </c>
      <c r="J600" s="439">
        <v>447.32499999999999</v>
      </c>
      <c r="K600" s="439">
        <v>12.05</v>
      </c>
      <c r="L600" s="439">
        <v>169.67</v>
      </c>
      <c r="M600" s="439">
        <v>0.16250000000000001</v>
      </c>
      <c r="N600" s="439">
        <v>4.72</v>
      </c>
      <c r="O600" s="437" t="s">
        <v>48</v>
      </c>
      <c r="P600" s="437">
        <v>4</v>
      </c>
      <c r="Q600" s="437">
        <v>10</v>
      </c>
      <c r="R600" s="437" t="s">
        <v>64</v>
      </c>
      <c r="S600" s="437" t="s">
        <v>702</v>
      </c>
      <c r="T600" s="437">
        <v>3</v>
      </c>
      <c r="U600" s="437" t="s">
        <v>5435</v>
      </c>
      <c r="V600" s="437" t="s">
        <v>50</v>
      </c>
      <c r="W600" s="437" t="s">
        <v>5432</v>
      </c>
      <c r="X600" s="437" t="s">
        <v>50</v>
      </c>
      <c r="Y600" s="440" t="s">
        <v>5436</v>
      </c>
    </row>
    <row r="601" spans="1:25" s="490" customFormat="1" x14ac:dyDescent="0.25">
      <c r="A601" s="476">
        <v>43531</v>
      </c>
      <c r="B601" s="437" t="s">
        <v>105</v>
      </c>
      <c r="C601" s="437" t="s">
        <v>62</v>
      </c>
      <c r="D601" s="437">
        <v>38.146180000000001</v>
      </c>
      <c r="E601" s="437">
        <v>-121.90979</v>
      </c>
      <c r="F601" s="437" t="s">
        <v>5437</v>
      </c>
      <c r="G601" s="437" t="s">
        <v>27</v>
      </c>
      <c r="H601" s="437" t="s">
        <v>62</v>
      </c>
      <c r="I601" s="438">
        <v>0.51388888888888895</v>
      </c>
      <c r="J601" s="439">
        <v>245.27500000000001</v>
      </c>
      <c r="K601" s="439">
        <v>11.85</v>
      </c>
      <c r="L601" s="439">
        <v>168.5</v>
      </c>
      <c r="M601" s="439">
        <v>0.15</v>
      </c>
      <c r="N601" s="439">
        <v>5.8250000000000002</v>
      </c>
      <c r="O601" s="437" t="s">
        <v>48</v>
      </c>
      <c r="P601" s="437">
        <v>4</v>
      </c>
      <c r="Q601" s="437">
        <v>10</v>
      </c>
      <c r="R601" s="437" t="s">
        <v>49</v>
      </c>
      <c r="S601" s="437" t="s">
        <v>702</v>
      </c>
      <c r="T601" s="437">
        <v>16</v>
      </c>
      <c r="U601" s="437" t="s">
        <v>5438</v>
      </c>
      <c r="V601" s="437" t="s">
        <v>50</v>
      </c>
      <c r="W601" s="437" t="s">
        <v>5432</v>
      </c>
      <c r="X601" s="437" t="s">
        <v>50</v>
      </c>
      <c r="Y601" s="440" t="s">
        <v>5439</v>
      </c>
    </row>
    <row r="602" spans="1:25" s="490" customFormat="1" x14ac:dyDescent="0.25">
      <c r="A602" s="476">
        <v>43531</v>
      </c>
      <c r="B602" s="437" t="s">
        <v>105</v>
      </c>
      <c r="C602" s="437" t="s">
        <v>62</v>
      </c>
      <c r="D602" s="437">
        <v>38.146180000000001</v>
      </c>
      <c r="E602" s="437">
        <v>-121.90979</v>
      </c>
      <c r="F602" s="437" t="s">
        <v>5437</v>
      </c>
      <c r="G602" s="437" t="s">
        <v>27</v>
      </c>
      <c r="H602" s="437" t="s">
        <v>62</v>
      </c>
      <c r="I602" s="437"/>
      <c r="J602" s="439"/>
      <c r="K602" s="439"/>
      <c r="L602" s="439"/>
      <c r="M602" s="439"/>
      <c r="N602" s="439"/>
      <c r="O602" s="437"/>
      <c r="P602" s="437"/>
      <c r="Q602" s="437"/>
      <c r="R602" s="437"/>
      <c r="S602" s="437" t="s">
        <v>3280</v>
      </c>
      <c r="T602" s="437">
        <v>1</v>
      </c>
      <c r="U602" s="437">
        <v>63</v>
      </c>
      <c r="V602" s="437" t="s">
        <v>50</v>
      </c>
      <c r="W602" s="437">
        <v>4</v>
      </c>
      <c r="X602" s="437" t="s">
        <v>50</v>
      </c>
      <c r="Y602" s="440"/>
    </row>
    <row r="603" spans="1:25" s="441" customFormat="1" x14ac:dyDescent="0.25">
      <c r="A603" s="443">
        <v>43531</v>
      </c>
      <c r="B603" s="51" t="s">
        <v>105</v>
      </c>
      <c r="C603" s="51" t="s">
        <v>44</v>
      </c>
      <c r="D603" s="51">
        <v>38.044629999999998</v>
      </c>
      <c r="E603" s="51">
        <v>-121.61143</v>
      </c>
      <c r="F603" s="51" t="s">
        <v>5440</v>
      </c>
      <c r="G603" s="51" t="s">
        <v>46</v>
      </c>
      <c r="H603" s="51" t="s">
        <v>47</v>
      </c>
      <c r="I603" s="66">
        <v>0.30902777777777779</v>
      </c>
      <c r="J603" s="428">
        <v>143.55000000000001</v>
      </c>
      <c r="K603" s="428">
        <v>11.95</v>
      </c>
      <c r="L603" s="428">
        <v>24.9</v>
      </c>
      <c r="M603" s="428">
        <v>0.49249999999999999</v>
      </c>
      <c r="N603" s="428">
        <v>2.95</v>
      </c>
      <c r="O603" s="51" t="s">
        <v>48</v>
      </c>
      <c r="P603" s="51">
        <v>4</v>
      </c>
      <c r="Q603" s="51">
        <v>10</v>
      </c>
      <c r="R603" s="51" t="s">
        <v>49</v>
      </c>
      <c r="S603" s="51" t="s">
        <v>50</v>
      </c>
      <c r="T603" s="51" t="s">
        <v>50</v>
      </c>
      <c r="U603" s="51" t="s">
        <v>50</v>
      </c>
      <c r="V603" s="51" t="s">
        <v>50</v>
      </c>
      <c r="W603" s="51" t="s">
        <v>50</v>
      </c>
      <c r="X603" s="51" t="s">
        <v>50</v>
      </c>
      <c r="Y603" s="52" t="s">
        <v>5441</v>
      </c>
    </row>
    <row r="604" spans="1:25" s="441" customFormat="1" x14ac:dyDescent="0.25">
      <c r="A604" s="443">
        <v>43531</v>
      </c>
      <c r="B604" s="51" t="s">
        <v>105</v>
      </c>
      <c r="C604" s="51" t="s">
        <v>44</v>
      </c>
      <c r="D604" s="51">
        <v>37.886209999999998</v>
      </c>
      <c r="E604" s="51">
        <v>-121.49684999999999</v>
      </c>
      <c r="F604" s="51" t="s">
        <v>5442</v>
      </c>
      <c r="G604" s="51" t="s">
        <v>46</v>
      </c>
      <c r="H604" s="51" t="s">
        <v>202</v>
      </c>
      <c r="I604" s="66">
        <v>0.4055555555555555</v>
      </c>
      <c r="J604" s="428">
        <v>219.57499999999999</v>
      </c>
      <c r="K604" s="428">
        <v>12.4</v>
      </c>
      <c r="L604" s="428">
        <v>8.8699999999999992</v>
      </c>
      <c r="M604" s="428">
        <v>1.2075</v>
      </c>
      <c r="N604" s="428">
        <v>5.125</v>
      </c>
      <c r="O604" s="51" t="s">
        <v>48</v>
      </c>
      <c r="P604" s="51">
        <v>4</v>
      </c>
      <c r="Q604" s="51">
        <v>10</v>
      </c>
      <c r="R604" s="51" t="s">
        <v>49</v>
      </c>
      <c r="S604" s="51" t="s">
        <v>50</v>
      </c>
      <c r="T604" s="51" t="s">
        <v>50</v>
      </c>
      <c r="U604" s="51" t="s">
        <v>50</v>
      </c>
      <c r="V604" s="51" t="s">
        <v>50</v>
      </c>
      <c r="W604" s="51" t="s">
        <v>50</v>
      </c>
      <c r="X604" s="51" t="s">
        <v>50</v>
      </c>
      <c r="Y604" s="52"/>
    </row>
    <row r="605" spans="1:25" s="492" customFormat="1" x14ac:dyDescent="0.25">
      <c r="A605" s="444">
        <v>43531</v>
      </c>
      <c r="B605" s="74" t="s">
        <v>105</v>
      </c>
      <c r="C605" s="74" t="s">
        <v>44</v>
      </c>
      <c r="D605" s="74">
        <v>37.979669999999999</v>
      </c>
      <c r="E605" s="74">
        <v>-121.52305</v>
      </c>
      <c r="F605" s="74" t="s">
        <v>5443</v>
      </c>
      <c r="G605" s="74" t="s">
        <v>46</v>
      </c>
      <c r="H605" s="74" t="s">
        <v>59</v>
      </c>
      <c r="I605" s="73">
        <v>0.48055555555555557</v>
      </c>
      <c r="J605" s="445">
        <v>170.4</v>
      </c>
      <c r="K605" s="445">
        <v>12.4</v>
      </c>
      <c r="L605" s="445">
        <v>11.3</v>
      </c>
      <c r="M605" s="445">
        <v>0.96</v>
      </c>
      <c r="N605" s="445">
        <v>4.8</v>
      </c>
      <c r="O605" s="74" t="s">
        <v>48</v>
      </c>
      <c r="P605" s="74">
        <v>4</v>
      </c>
      <c r="Q605" s="74">
        <v>10</v>
      </c>
      <c r="R605" s="74" t="s">
        <v>49</v>
      </c>
      <c r="S605" s="74" t="s">
        <v>50</v>
      </c>
      <c r="T605" s="74" t="s">
        <v>50</v>
      </c>
      <c r="U605" s="74" t="s">
        <v>50</v>
      </c>
      <c r="V605" s="74" t="s">
        <v>50</v>
      </c>
      <c r="W605" s="74" t="s">
        <v>50</v>
      </c>
      <c r="X605" s="74" t="s">
        <v>50</v>
      </c>
      <c r="Y605" s="77"/>
    </row>
    <row r="606" spans="1:25" s="490" customFormat="1" x14ac:dyDescent="0.25">
      <c r="A606" s="476">
        <v>43535</v>
      </c>
      <c r="B606" s="437" t="s">
        <v>43</v>
      </c>
      <c r="C606" s="437" t="s">
        <v>62</v>
      </c>
      <c r="D606" s="437">
        <v>38.210439999999998</v>
      </c>
      <c r="E606" s="437">
        <v>-122.03461</v>
      </c>
      <c r="F606" s="437" t="s">
        <v>5444</v>
      </c>
      <c r="G606" s="437" t="s">
        <v>27</v>
      </c>
      <c r="H606" s="437" t="s">
        <v>62</v>
      </c>
      <c r="I606" s="438">
        <v>0.36388888888888887</v>
      </c>
      <c r="J606" s="439">
        <v>979.75</v>
      </c>
      <c r="K606" s="439">
        <v>11.8</v>
      </c>
      <c r="L606" s="439">
        <v>64.900000000000006</v>
      </c>
      <c r="M606" s="439">
        <v>0.22</v>
      </c>
      <c r="N606" s="439">
        <v>5.625</v>
      </c>
      <c r="O606" s="437" t="s">
        <v>48</v>
      </c>
      <c r="P606" s="437">
        <v>4</v>
      </c>
      <c r="Q606" s="437">
        <v>10</v>
      </c>
      <c r="R606" s="437" t="s">
        <v>49</v>
      </c>
      <c r="S606" s="437" t="s">
        <v>702</v>
      </c>
      <c r="T606" s="437">
        <v>1</v>
      </c>
      <c r="U606" s="437">
        <v>64</v>
      </c>
      <c r="V606" s="437" t="s">
        <v>50</v>
      </c>
      <c r="W606" s="437">
        <v>4</v>
      </c>
      <c r="X606" s="437" t="s">
        <v>50</v>
      </c>
      <c r="Y606" s="440"/>
    </row>
    <row r="607" spans="1:25" s="490" customFormat="1" x14ac:dyDescent="0.25">
      <c r="A607" s="476">
        <v>43535</v>
      </c>
      <c r="B607" s="437" t="s">
        <v>43</v>
      </c>
      <c r="C607" s="437" t="s">
        <v>62</v>
      </c>
      <c r="D607" s="437">
        <v>38.170679999999997</v>
      </c>
      <c r="E607" s="437">
        <v>-122.03061</v>
      </c>
      <c r="F607" s="437" t="s">
        <v>5445</v>
      </c>
      <c r="G607" s="437" t="s">
        <v>27</v>
      </c>
      <c r="H607" s="437" t="s">
        <v>62</v>
      </c>
      <c r="I607" s="438">
        <v>0.42777777777777781</v>
      </c>
      <c r="J607" s="439">
        <v>437.52499999999998</v>
      </c>
      <c r="K607" s="439">
        <v>11.4</v>
      </c>
      <c r="L607" s="439">
        <v>140.25</v>
      </c>
      <c r="M607" s="439">
        <v>0.14250000000000002</v>
      </c>
      <c r="N607" s="439">
        <v>6.9499999999999993</v>
      </c>
      <c r="O607" s="437" t="s">
        <v>48</v>
      </c>
      <c r="P607" s="437">
        <v>4</v>
      </c>
      <c r="Q607" s="437">
        <v>10</v>
      </c>
      <c r="R607" s="437" t="s">
        <v>49</v>
      </c>
      <c r="S607" s="437" t="s">
        <v>622</v>
      </c>
      <c r="T607" s="437">
        <v>1</v>
      </c>
      <c r="U607" s="437">
        <v>225</v>
      </c>
      <c r="V607" s="437" t="s">
        <v>50</v>
      </c>
      <c r="W607" s="437">
        <v>5</v>
      </c>
      <c r="X607" s="437" t="s">
        <v>50</v>
      </c>
      <c r="Y607" s="440"/>
    </row>
    <row r="608" spans="1:25" s="490" customFormat="1" x14ac:dyDescent="0.25">
      <c r="A608" s="476">
        <v>43535</v>
      </c>
      <c r="B608" s="437" t="s">
        <v>43</v>
      </c>
      <c r="C608" s="437" t="s">
        <v>62</v>
      </c>
      <c r="D608" s="437">
        <v>38.13926</v>
      </c>
      <c r="E608" s="437">
        <v>-121.90942</v>
      </c>
      <c r="F608" s="437" t="s">
        <v>5446</v>
      </c>
      <c r="G608" s="437" t="s">
        <v>27</v>
      </c>
      <c r="H608" s="437" t="s">
        <v>62</v>
      </c>
      <c r="I608" s="438">
        <v>0.49722222222222223</v>
      </c>
      <c r="J608" s="439">
        <v>355.27499999999998</v>
      </c>
      <c r="K608" s="439">
        <v>11.149999999999999</v>
      </c>
      <c r="L608" s="439">
        <v>104.5</v>
      </c>
      <c r="M608" s="439">
        <v>0.16</v>
      </c>
      <c r="N608" s="439">
        <v>4.5750000000000002</v>
      </c>
      <c r="O608" s="437" t="s">
        <v>48</v>
      </c>
      <c r="P608" s="437">
        <v>4</v>
      </c>
      <c r="Q608" s="437">
        <v>10</v>
      </c>
      <c r="R608" s="437" t="s">
        <v>49</v>
      </c>
      <c r="S608" s="437" t="s">
        <v>702</v>
      </c>
      <c r="T608" s="437">
        <v>3</v>
      </c>
      <c r="U608" s="437" t="s">
        <v>5447</v>
      </c>
      <c r="V608" s="437" t="s">
        <v>50</v>
      </c>
      <c r="W608" s="437">
        <v>4</v>
      </c>
      <c r="X608" s="437" t="s">
        <v>50</v>
      </c>
      <c r="Y608" s="440" t="s">
        <v>5448</v>
      </c>
    </row>
    <row r="609" spans="1:25" s="441" customFormat="1" x14ac:dyDescent="0.25">
      <c r="A609" s="443">
        <v>43535</v>
      </c>
      <c r="B609" s="51" t="s">
        <v>43</v>
      </c>
      <c r="C609" s="51" t="s">
        <v>845</v>
      </c>
      <c r="D609" s="51">
        <v>38.26549</v>
      </c>
      <c r="E609" s="51">
        <v>-121.69546</v>
      </c>
      <c r="F609" s="51" t="s">
        <v>5449</v>
      </c>
      <c r="G609" s="51" t="s">
        <v>90</v>
      </c>
      <c r="H609" s="51" t="s">
        <v>126</v>
      </c>
      <c r="I609" s="66">
        <v>0.3354166666666667</v>
      </c>
      <c r="J609" s="428">
        <v>236.5</v>
      </c>
      <c r="K609" s="428">
        <v>11.149999999999999</v>
      </c>
      <c r="L609" s="428">
        <v>86.974999999999994</v>
      </c>
      <c r="M609" s="428">
        <v>0.32500000000000001</v>
      </c>
      <c r="N609" s="428">
        <v>6.7750000000000004</v>
      </c>
      <c r="O609" s="51" t="s">
        <v>48</v>
      </c>
      <c r="P609" s="51">
        <v>4</v>
      </c>
      <c r="Q609" s="51">
        <v>10</v>
      </c>
      <c r="R609" s="51" t="s">
        <v>49</v>
      </c>
      <c r="S609" s="51" t="s">
        <v>50</v>
      </c>
      <c r="T609" s="51" t="s">
        <v>50</v>
      </c>
      <c r="U609" s="51" t="s">
        <v>50</v>
      </c>
      <c r="V609" s="51" t="s">
        <v>50</v>
      </c>
      <c r="W609" s="51" t="s">
        <v>50</v>
      </c>
      <c r="X609" s="51" t="s">
        <v>50</v>
      </c>
      <c r="Y609" s="52"/>
    </row>
    <row r="610" spans="1:25" s="491" customFormat="1" x14ac:dyDescent="0.25">
      <c r="A610" s="446">
        <v>43535</v>
      </c>
      <c r="B610" s="424" t="s">
        <v>43</v>
      </c>
      <c r="C610" s="424" t="s">
        <v>845</v>
      </c>
      <c r="D610" s="424">
        <v>38.246369999999999</v>
      </c>
      <c r="E610" s="424">
        <v>-121.70402</v>
      </c>
      <c r="F610" s="424" t="s">
        <v>5450</v>
      </c>
      <c r="G610" s="424" t="s">
        <v>90</v>
      </c>
      <c r="H610" s="424" t="s">
        <v>126</v>
      </c>
      <c r="I610" s="425">
        <v>0.38541666666666669</v>
      </c>
      <c r="J610" s="427">
        <v>217.8</v>
      </c>
      <c r="K610" s="427">
        <v>11.4</v>
      </c>
      <c r="L610" s="427">
        <v>74.900000000000006</v>
      </c>
      <c r="M610" s="427">
        <v>0.35</v>
      </c>
      <c r="N610" s="427">
        <v>5.6</v>
      </c>
      <c r="O610" s="424" t="s">
        <v>48</v>
      </c>
      <c r="P610" s="424">
        <v>1</v>
      </c>
      <c r="Q610" s="425">
        <v>0.36805555555555558</v>
      </c>
      <c r="R610" s="424" t="s">
        <v>49</v>
      </c>
      <c r="S610" s="424" t="s">
        <v>50</v>
      </c>
      <c r="T610" s="424" t="s">
        <v>50</v>
      </c>
      <c r="U610" s="424" t="s">
        <v>50</v>
      </c>
      <c r="V610" s="424" t="s">
        <v>50</v>
      </c>
      <c r="W610" s="424" t="s">
        <v>50</v>
      </c>
      <c r="X610" s="424" t="s">
        <v>50</v>
      </c>
      <c r="Y610" s="426" t="s">
        <v>5451</v>
      </c>
    </row>
    <row r="611" spans="1:25" s="441" customFormat="1" x14ac:dyDescent="0.25">
      <c r="A611" s="443">
        <v>43535</v>
      </c>
      <c r="B611" s="51" t="s">
        <v>43</v>
      </c>
      <c r="C611" s="51" t="s">
        <v>845</v>
      </c>
      <c r="D611" s="51">
        <v>38.284089999999999</v>
      </c>
      <c r="E611" s="51">
        <v>-121.66481</v>
      </c>
      <c r="F611" s="51" t="s">
        <v>5452</v>
      </c>
      <c r="G611" s="51" t="s">
        <v>90</v>
      </c>
      <c r="H611" s="51" t="s">
        <v>126</v>
      </c>
      <c r="I611" s="66">
        <v>0.41944444444444445</v>
      </c>
      <c r="J611" s="428">
        <v>98.724999999999994</v>
      </c>
      <c r="K611" s="428">
        <v>10.875</v>
      </c>
      <c r="L611" s="428">
        <v>137</v>
      </c>
      <c r="M611" s="428">
        <v>0.28250000000000003</v>
      </c>
      <c r="N611" s="428">
        <v>10.225000000000001</v>
      </c>
      <c r="O611" s="51" t="s">
        <v>48</v>
      </c>
      <c r="P611" s="51">
        <v>4</v>
      </c>
      <c r="Q611" s="51">
        <v>10</v>
      </c>
      <c r="R611" s="51" t="s">
        <v>49</v>
      </c>
      <c r="S611" s="51" t="s">
        <v>50</v>
      </c>
      <c r="T611" s="51" t="s">
        <v>50</v>
      </c>
      <c r="U611" s="51" t="s">
        <v>50</v>
      </c>
      <c r="V611" s="51" t="s">
        <v>50</v>
      </c>
      <c r="W611" s="51" t="s">
        <v>50</v>
      </c>
      <c r="X611" s="51" t="s">
        <v>50</v>
      </c>
      <c r="Y611" s="52" t="s">
        <v>4357</v>
      </c>
    </row>
    <row r="612" spans="1:25" s="441" customFormat="1" x14ac:dyDescent="0.25">
      <c r="A612" s="443">
        <v>43535</v>
      </c>
      <c r="B612" s="51" t="s">
        <v>43</v>
      </c>
      <c r="C612" s="51" t="s">
        <v>845</v>
      </c>
      <c r="D612" s="51">
        <v>38.322969999999998</v>
      </c>
      <c r="E612" s="51">
        <v>-121.65322999999999</v>
      </c>
      <c r="F612" s="51" t="s">
        <v>5453</v>
      </c>
      <c r="G612" s="51" t="s">
        <v>90</v>
      </c>
      <c r="H612" s="51" t="s">
        <v>126</v>
      </c>
      <c r="I612" s="66">
        <v>0.4694444444444445</v>
      </c>
      <c r="J612" s="428">
        <v>99.1</v>
      </c>
      <c r="K612" s="428">
        <v>11.149999999999999</v>
      </c>
      <c r="L612" s="428">
        <v>70.349999999999994</v>
      </c>
      <c r="M612" s="428">
        <v>0.27</v>
      </c>
      <c r="N612" s="428">
        <v>6.6999999999999993</v>
      </c>
      <c r="O612" s="51" t="s">
        <v>48</v>
      </c>
      <c r="P612" s="51">
        <v>2</v>
      </c>
      <c r="Q612" s="51">
        <v>10</v>
      </c>
      <c r="R612" s="51" t="s">
        <v>49</v>
      </c>
      <c r="S612" s="51" t="s">
        <v>50</v>
      </c>
      <c r="T612" s="51" t="s">
        <v>50</v>
      </c>
      <c r="U612" s="51" t="s">
        <v>50</v>
      </c>
      <c r="V612" s="51" t="s">
        <v>50</v>
      </c>
      <c r="W612" s="51" t="s">
        <v>50</v>
      </c>
      <c r="X612" s="51" t="s">
        <v>50</v>
      </c>
      <c r="Y612" s="52" t="s">
        <v>5454</v>
      </c>
    </row>
    <row r="613" spans="1:25" s="441" customFormat="1" x14ac:dyDescent="0.25">
      <c r="A613" s="443">
        <v>43535</v>
      </c>
      <c r="B613" s="51" t="s">
        <v>43</v>
      </c>
      <c r="C613" s="51" t="s">
        <v>44</v>
      </c>
      <c r="D613" s="51">
        <v>38.034059999999997</v>
      </c>
      <c r="E613" s="51">
        <v>-121.5886</v>
      </c>
      <c r="F613" s="51" t="s">
        <v>5455</v>
      </c>
      <c r="G613" s="51" t="s">
        <v>46</v>
      </c>
      <c r="H613" s="51" t="s">
        <v>47</v>
      </c>
      <c r="I613" s="66">
        <v>0.31875000000000003</v>
      </c>
      <c r="J613" s="428">
        <v>164.45</v>
      </c>
      <c r="K613" s="428">
        <v>11.8</v>
      </c>
      <c r="L613" s="428">
        <v>9.18</v>
      </c>
      <c r="M613" s="428">
        <v>1.0825</v>
      </c>
      <c r="N613" s="428">
        <v>3.1500000000000004</v>
      </c>
      <c r="O613" s="51" t="s">
        <v>48</v>
      </c>
      <c r="P613" s="51">
        <v>4</v>
      </c>
      <c r="Q613" s="51">
        <v>10</v>
      </c>
      <c r="R613" s="51" t="s">
        <v>64</v>
      </c>
      <c r="S613" s="51" t="s">
        <v>50</v>
      </c>
      <c r="T613" s="51" t="s">
        <v>50</v>
      </c>
      <c r="U613" s="51" t="s">
        <v>50</v>
      </c>
      <c r="V613" s="51" t="s">
        <v>50</v>
      </c>
      <c r="W613" s="51" t="s">
        <v>50</v>
      </c>
      <c r="X613" s="51" t="s">
        <v>50</v>
      </c>
      <c r="Y613" s="52" t="s">
        <v>124</v>
      </c>
    </row>
    <row r="614" spans="1:25" s="441" customFormat="1" x14ac:dyDescent="0.25">
      <c r="A614" s="443">
        <v>43535</v>
      </c>
      <c r="B614" s="51" t="s">
        <v>43</v>
      </c>
      <c r="C614" s="51" t="s">
        <v>44</v>
      </c>
      <c r="D614" s="51">
        <v>38.010280000000002</v>
      </c>
      <c r="E614" s="51">
        <v>-121.6241</v>
      </c>
      <c r="F614" s="51" t="s">
        <v>5456</v>
      </c>
      <c r="G614" s="51" t="s">
        <v>46</v>
      </c>
      <c r="H614" s="51" t="s">
        <v>47</v>
      </c>
      <c r="I614" s="66">
        <v>0.39374999999999999</v>
      </c>
      <c r="J614" s="428">
        <v>229.57500000000002</v>
      </c>
      <c r="K614" s="428">
        <v>11.774999999999999</v>
      </c>
      <c r="L614" s="428">
        <v>7.5150000000000006</v>
      </c>
      <c r="M614" s="428">
        <v>1.3849999999999998</v>
      </c>
      <c r="N614" s="428">
        <v>4.1000000000000005</v>
      </c>
      <c r="O614" s="51" t="s">
        <v>48</v>
      </c>
      <c r="P614" s="51">
        <v>4</v>
      </c>
      <c r="Q614" s="51">
        <v>10</v>
      </c>
      <c r="R614" s="51" t="s">
        <v>64</v>
      </c>
      <c r="S614" s="51" t="s">
        <v>50</v>
      </c>
      <c r="T614" s="51" t="s">
        <v>50</v>
      </c>
      <c r="U614" s="51" t="s">
        <v>50</v>
      </c>
      <c r="V614" s="51" t="s">
        <v>50</v>
      </c>
      <c r="W614" s="51" t="s">
        <v>50</v>
      </c>
      <c r="X614" s="51" t="s">
        <v>50</v>
      </c>
      <c r="Y614" s="52" t="s">
        <v>5457</v>
      </c>
    </row>
    <row r="615" spans="1:25" s="441" customFormat="1" x14ac:dyDescent="0.25">
      <c r="A615" s="443">
        <v>43535</v>
      </c>
      <c r="B615" s="51" t="s">
        <v>43</v>
      </c>
      <c r="C615" s="51" t="s">
        <v>44</v>
      </c>
      <c r="D615" s="51">
        <v>38.055570000000003</v>
      </c>
      <c r="E615" s="51">
        <v>-121.66186</v>
      </c>
      <c r="F615" s="51" t="s">
        <v>5458</v>
      </c>
      <c r="G615" s="51" t="s">
        <v>46</v>
      </c>
      <c r="H615" s="51" t="s">
        <v>47</v>
      </c>
      <c r="I615" s="66">
        <v>0.45833333333333331</v>
      </c>
      <c r="J615" s="428">
        <v>126.05</v>
      </c>
      <c r="K615" s="428">
        <v>11.525</v>
      </c>
      <c r="L615" s="428">
        <v>17.475000000000001</v>
      </c>
      <c r="M615" s="428">
        <v>0.73249999999999993</v>
      </c>
      <c r="N615" s="428">
        <v>9.8249999999999993</v>
      </c>
      <c r="O615" s="51" t="s">
        <v>48</v>
      </c>
      <c r="P615" s="51">
        <v>4</v>
      </c>
      <c r="Q615" s="51">
        <v>10</v>
      </c>
      <c r="R615" s="51" t="s">
        <v>49</v>
      </c>
      <c r="S615" s="51" t="s">
        <v>50</v>
      </c>
      <c r="T615" s="51" t="s">
        <v>50</v>
      </c>
      <c r="U615" s="51" t="s">
        <v>50</v>
      </c>
      <c r="V615" s="51" t="s">
        <v>50</v>
      </c>
      <c r="W615" s="51" t="s">
        <v>50</v>
      </c>
      <c r="X615" s="51" t="s">
        <v>50</v>
      </c>
      <c r="Y615" s="52"/>
    </row>
    <row r="616" spans="1:25" s="490" customFormat="1" x14ac:dyDescent="0.25">
      <c r="A616" s="476">
        <v>43536</v>
      </c>
      <c r="B616" s="437" t="s">
        <v>70</v>
      </c>
      <c r="C616" s="437" t="s">
        <v>44</v>
      </c>
      <c r="D616" s="437">
        <v>37.990760000000002</v>
      </c>
      <c r="E616" s="437">
        <v>-121.51766000000001</v>
      </c>
      <c r="F616" s="437" t="s">
        <v>5459</v>
      </c>
      <c r="G616" s="437" t="s">
        <v>46</v>
      </c>
      <c r="H616" s="437" t="s">
        <v>59</v>
      </c>
      <c r="I616" s="438">
        <v>0.31597222222222221</v>
      </c>
      <c r="J616" s="439">
        <v>210.25</v>
      </c>
      <c r="K616" s="439">
        <v>13.350000000000001</v>
      </c>
      <c r="L616" s="439">
        <v>6.2575000000000003</v>
      </c>
      <c r="M616" s="439">
        <v>1.4075</v>
      </c>
      <c r="N616" s="439">
        <v>5.0999999999999996</v>
      </c>
      <c r="O616" s="437" t="s">
        <v>48</v>
      </c>
      <c r="P616" s="437">
        <v>4</v>
      </c>
      <c r="Q616" s="437">
        <v>10</v>
      </c>
      <c r="R616" s="437" t="s">
        <v>64</v>
      </c>
      <c r="S616" s="437" t="s">
        <v>702</v>
      </c>
      <c r="T616" s="437">
        <v>1</v>
      </c>
      <c r="U616" s="437">
        <v>48</v>
      </c>
      <c r="V616" s="437" t="s">
        <v>50</v>
      </c>
      <c r="W616" s="437">
        <v>3</v>
      </c>
      <c r="X616" s="437" t="s">
        <v>50</v>
      </c>
      <c r="Y616" s="440"/>
    </row>
    <row r="617" spans="1:25" s="490" customFormat="1" x14ac:dyDescent="0.25">
      <c r="A617" s="476">
        <v>43536</v>
      </c>
      <c r="B617" s="437" t="s">
        <v>70</v>
      </c>
      <c r="C617" s="437" t="s">
        <v>44</v>
      </c>
      <c r="D617" s="437">
        <v>37.968400000000003</v>
      </c>
      <c r="E617" s="437">
        <v>-121.52875</v>
      </c>
      <c r="F617" s="437" t="s">
        <v>5460</v>
      </c>
      <c r="G617" s="437" t="s">
        <v>46</v>
      </c>
      <c r="H617" s="437" t="s">
        <v>56</v>
      </c>
      <c r="I617" s="438">
        <v>0.37083333333333335</v>
      </c>
      <c r="J617" s="439">
        <v>231.85</v>
      </c>
      <c r="K617" s="439">
        <v>11.924999999999999</v>
      </c>
      <c r="L617" s="439">
        <v>6.8674999999999997</v>
      </c>
      <c r="M617" s="439">
        <v>1.1949999999999998</v>
      </c>
      <c r="N617" s="439">
        <v>7.6</v>
      </c>
      <c r="O617" s="437" t="s">
        <v>48</v>
      </c>
      <c r="P617" s="437">
        <v>4</v>
      </c>
      <c r="Q617" s="437">
        <v>10</v>
      </c>
      <c r="R617" s="437" t="s">
        <v>64</v>
      </c>
      <c r="S617" s="437" t="s">
        <v>622</v>
      </c>
      <c r="T617" s="437">
        <v>1</v>
      </c>
      <c r="U617" s="437">
        <v>234</v>
      </c>
      <c r="V617" s="437" t="s">
        <v>50</v>
      </c>
      <c r="W617" s="437">
        <v>5</v>
      </c>
      <c r="X617" s="437" t="s">
        <v>2525</v>
      </c>
      <c r="Y617" s="440" t="s">
        <v>3276</v>
      </c>
    </row>
    <row r="618" spans="1:25" s="441" customFormat="1" x14ac:dyDescent="0.25">
      <c r="A618" s="443">
        <v>43536</v>
      </c>
      <c r="B618" s="51" t="s">
        <v>70</v>
      </c>
      <c r="C618" s="51" t="s">
        <v>44</v>
      </c>
      <c r="D618" s="51">
        <v>37.998429999999999</v>
      </c>
      <c r="E618" s="51">
        <v>-121.57204</v>
      </c>
      <c r="F618" s="51" t="s">
        <v>5461</v>
      </c>
      <c r="G618" s="51" t="s">
        <v>46</v>
      </c>
      <c r="H618" s="51" t="s">
        <v>74</v>
      </c>
      <c r="I618" s="66">
        <v>0.43124999999999997</v>
      </c>
      <c r="J618" s="428">
        <v>273.14999999999998</v>
      </c>
      <c r="K618" s="428">
        <v>12.2</v>
      </c>
      <c r="L618" s="428">
        <v>7.0024999999999995</v>
      </c>
      <c r="M618" s="428">
        <v>1.2375</v>
      </c>
      <c r="N618" s="428">
        <v>5.8000000000000007</v>
      </c>
      <c r="O618" s="51" t="s">
        <v>48</v>
      </c>
      <c r="P618" s="51">
        <v>4</v>
      </c>
      <c r="Q618" s="51">
        <v>10</v>
      </c>
      <c r="R618" s="51" t="s">
        <v>49</v>
      </c>
      <c r="S618" s="51" t="s">
        <v>50</v>
      </c>
      <c r="T618" s="51" t="s">
        <v>50</v>
      </c>
      <c r="U618" s="51" t="s">
        <v>50</v>
      </c>
      <c r="V618" s="51" t="s">
        <v>50</v>
      </c>
      <c r="W618" s="51" t="s">
        <v>50</v>
      </c>
      <c r="X618" s="51" t="s">
        <v>50</v>
      </c>
      <c r="Y618" s="52"/>
    </row>
    <row r="619" spans="1:25" s="490" customFormat="1" x14ac:dyDescent="0.25">
      <c r="A619" s="476">
        <v>43536</v>
      </c>
      <c r="B619" s="437" t="s">
        <v>70</v>
      </c>
      <c r="C619" s="437" t="s">
        <v>106</v>
      </c>
      <c r="D619" s="437">
        <v>38.284129999999998</v>
      </c>
      <c r="E619" s="437">
        <v>-121.65974</v>
      </c>
      <c r="F619" s="437" t="s">
        <v>5462</v>
      </c>
      <c r="G619" s="437" t="s">
        <v>90</v>
      </c>
      <c r="H619" s="437" t="s">
        <v>362</v>
      </c>
      <c r="I619" s="438">
        <v>0.32777777777777778</v>
      </c>
      <c r="J619" s="439">
        <v>237.32499999999999</v>
      </c>
      <c r="K619" s="439">
        <v>11.4</v>
      </c>
      <c r="L619" s="439">
        <v>74.5</v>
      </c>
      <c r="M619" s="439">
        <v>0.1825</v>
      </c>
      <c r="N619" s="439">
        <v>11.25</v>
      </c>
      <c r="O619" s="437" t="s">
        <v>48</v>
      </c>
      <c r="P619" s="437">
        <v>4</v>
      </c>
      <c r="Q619" s="437">
        <v>10</v>
      </c>
      <c r="R619" s="437" t="s">
        <v>64</v>
      </c>
      <c r="S619" s="437" t="s">
        <v>622</v>
      </c>
      <c r="T619" s="437">
        <v>1</v>
      </c>
      <c r="U619" s="437">
        <v>240</v>
      </c>
      <c r="V619" s="437" t="s">
        <v>50</v>
      </c>
      <c r="W619" s="437">
        <v>5</v>
      </c>
      <c r="X619" s="437" t="s">
        <v>2525</v>
      </c>
      <c r="Y619" s="440"/>
    </row>
    <row r="620" spans="1:25" s="441" customFormat="1" x14ac:dyDescent="0.25">
      <c r="A620" s="443">
        <v>43536</v>
      </c>
      <c r="B620" s="51" t="s">
        <v>70</v>
      </c>
      <c r="C620" s="51" t="s">
        <v>106</v>
      </c>
      <c r="D620" s="51">
        <v>38.404449999999997</v>
      </c>
      <c r="E620" s="51">
        <v>-121.61584999999999</v>
      </c>
      <c r="F620" s="51" t="s">
        <v>5463</v>
      </c>
      <c r="G620" s="51" t="s">
        <v>90</v>
      </c>
      <c r="H620" s="51" t="s">
        <v>362</v>
      </c>
      <c r="I620" s="66">
        <v>0.3888888888888889</v>
      </c>
      <c r="J620" s="428">
        <v>586</v>
      </c>
      <c r="K620" s="428">
        <v>11.724999999999998</v>
      </c>
      <c r="L620" s="428">
        <v>34.324999999999996</v>
      </c>
      <c r="M620" s="428">
        <v>0.35</v>
      </c>
      <c r="N620" s="428">
        <v>9.9749999999999996</v>
      </c>
      <c r="O620" s="51" t="s">
        <v>48</v>
      </c>
      <c r="P620" s="51">
        <v>4</v>
      </c>
      <c r="Q620" s="51">
        <v>10</v>
      </c>
      <c r="R620" s="51" t="s">
        <v>49</v>
      </c>
      <c r="S620" s="51" t="s">
        <v>50</v>
      </c>
      <c r="T620" s="51" t="s">
        <v>50</v>
      </c>
      <c r="U620" s="51" t="s">
        <v>50</v>
      </c>
      <c r="V620" s="51" t="s">
        <v>50</v>
      </c>
      <c r="W620" s="51" t="s">
        <v>50</v>
      </c>
      <c r="X620" s="51" t="s">
        <v>50</v>
      </c>
      <c r="Y620" s="52"/>
    </row>
    <row r="621" spans="1:25" s="490" customFormat="1" x14ac:dyDescent="0.25">
      <c r="A621" s="476">
        <v>43536</v>
      </c>
      <c r="B621" s="437" t="s">
        <v>70</v>
      </c>
      <c r="C621" s="437" t="s">
        <v>106</v>
      </c>
      <c r="D621" s="437">
        <v>38.470190000000002</v>
      </c>
      <c r="E621" s="437">
        <v>-121.58539</v>
      </c>
      <c r="F621" s="437" t="s">
        <v>5464</v>
      </c>
      <c r="G621" s="437" t="s">
        <v>90</v>
      </c>
      <c r="H621" s="437" t="s">
        <v>362</v>
      </c>
      <c r="I621" s="438">
        <v>0.44444444444444442</v>
      </c>
      <c r="J621" s="439">
        <v>663.5</v>
      </c>
      <c r="K621" s="439">
        <v>12.025</v>
      </c>
      <c r="L621" s="439">
        <v>17.024999999999999</v>
      </c>
      <c r="M621" s="439">
        <v>0.53749999999999998</v>
      </c>
      <c r="N621" s="439">
        <v>10.95</v>
      </c>
      <c r="O621" s="437" t="s">
        <v>48</v>
      </c>
      <c r="P621" s="437">
        <v>4</v>
      </c>
      <c r="Q621" s="437">
        <v>10</v>
      </c>
      <c r="R621" s="437" t="s">
        <v>49</v>
      </c>
      <c r="S621" s="437" t="s">
        <v>702</v>
      </c>
      <c r="T621" s="437">
        <v>1</v>
      </c>
      <c r="U621" s="437">
        <v>52</v>
      </c>
      <c r="V621" s="437" t="s">
        <v>50</v>
      </c>
      <c r="W621" s="437">
        <v>3</v>
      </c>
      <c r="X621" s="437" t="s">
        <v>50</v>
      </c>
      <c r="Y621" s="440"/>
    </row>
    <row r="622" spans="1:25" s="490" customFormat="1" x14ac:dyDescent="0.25">
      <c r="A622" s="476">
        <v>43536</v>
      </c>
      <c r="B622" s="437" t="s">
        <v>70</v>
      </c>
      <c r="C622" s="437" t="s">
        <v>106</v>
      </c>
      <c r="D622" s="437">
        <v>38.470190000000002</v>
      </c>
      <c r="E622" s="437">
        <v>-121.58539</v>
      </c>
      <c r="F622" s="437" t="s">
        <v>5464</v>
      </c>
      <c r="G622" s="437" t="s">
        <v>90</v>
      </c>
      <c r="H622" s="437" t="s">
        <v>362</v>
      </c>
      <c r="I622" s="438">
        <v>0.44444444444444442</v>
      </c>
      <c r="J622" s="439"/>
      <c r="K622" s="439"/>
      <c r="L622" s="439"/>
      <c r="M622" s="439"/>
      <c r="N622" s="439"/>
      <c r="O622" s="437"/>
      <c r="P622" s="437"/>
      <c r="Q622" s="437"/>
      <c r="R622" s="437"/>
      <c r="S622" s="437" t="s">
        <v>3280</v>
      </c>
      <c r="T622" s="437">
        <v>1</v>
      </c>
      <c r="U622" s="437">
        <v>69</v>
      </c>
      <c r="V622" s="437" t="s">
        <v>50</v>
      </c>
      <c r="W622" s="437">
        <v>5</v>
      </c>
      <c r="X622" s="437" t="s">
        <v>50</v>
      </c>
      <c r="Y622" s="440"/>
    </row>
    <row r="623" spans="1:25" s="490" customFormat="1" x14ac:dyDescent="0.25">
      <c r="A623" s="476">
        <v>43536</v>
      </c>
      <c r="B623" s="437" t="s">
        <v>70</v>
      </c>
      <c r="C623" s="437" t="s">
        <v>78</v>
      </c>
      <c r="D623" s="437">
        <v>38.074100000000001</v>
      </c>
      <c r="E623" s="437">
        <v>-122.08853999999999</v>
      </c>
      <c r="F623" s="437" t="s">
        <v>5465</v>
      </c>
      <c r="G623" s="437" t="s">
        <v>80</v>
      </c>
      <c r="H623" s="437" t="s">
        <v>81</v>
      </c>
      <c r="I623" s="438">
        <v>0.36458333333333331</v>
      </c>
      <c r="J623" s="439">
        <v>124.6</v>
      </c>
      <c r="K623" s="439">
        <v>11.25</v>
      </c>
      <c r="L623" s="439">
        <v>65.45</v>
      </c>
      <c r="M623" s="439">
        <v>0.21249999999999999</v>
      </c>
      <c r="N623" s="439">
        <v>6.125</v>
      </c>
      <c r="O623" s="437" t="s">
        <v>48</v>
      </c>
      <c r="P623" s="437">
        <v>4</v>
      </c>
      <c r="Q623" s="437">
        <v>10</v>
      </c>
      <c r="R623" s="437" t="s">
        <v>49</v>
      </c>
      <c r="S623" s="437" t="s">
        <v>622</v>
      </c>
      <c r="T623" s="437">
        <v>6</v>
      </c>
      <c r="U623" s="437" t="s">
        <v>5466</v>
      </c>
      <c r="V623" s="437" t="s">
        <v>50</v>
      </c>
      <c r="W623" s="437">
        <v>5</v>
      </c>
      <c r="X623" s="437" t="s">
        <v>2525</v>
      </c>
      <c r="Y623" s="440" t="s">
        <v>5467</v>
      </c>
    </row>
    <row r="624" spans="1:25" s="490" customFormat="1" x14ac:dyDescent="0.25">
      <c r="A624" s="476">
        <v>43536</v>
      </c>
      <c r="B624" s="437" t="s">
        <v>70</v>
      </c>
      <c r="C624" s="437" t="s">
        <v>78</v>
      </c>
      <c r="D624" s="437">
        <v>38.067</v>
      </c>
      <c r="E624" s="437">
        <v>-121.97533</v>
      </c>
      <c r="F624" s="437" t="s">
        <v>5468</v>
      </c>
      <c r="G624" s="437" t="s">
        <v>27</v>
      </c>
      <c r="H624" s="437" t="s">
        <v>86</v>
      </c>
      <c r="I624" s="438">
        <v>0.48333333333333334</v>
      </c>
      <c r="J624" s="439">
        <v>121.72499999999999</v>
      </c>
      <c r="K624" s="439">
        <v>11.224999999999998</v>
      </c>
      <c r="L624" s="439">
        <v>88.125</v>
      </c>
      <c r="M624" s="439">
        <v>0.19500000000000001</v>
      </c>
      <c r="N624" s="439">
        <v>5.4</v>
      </c>
      <c r="O624" s="437" t="s">
        <v>48</v>
      </c>
      <c r="P624" s="437">
        <v>4</v>
      </c>
      <c r="Q624" s="437">
        <v>10</v>
      </c>
      <c r="R624" s="437" t="s">
        <v>49</v>
      </c>
      <c r="S624" s="437" t="s">
        <v>622</v>
      </c>
      <c r="T624" s="437">
        <v>4</v>
      </c>
      <c r="U624" s="437" t="s">
        <v>5469</v>
      </c>
      <c r="V624" s="437" t="s">
        <v>50</v>
      </c>
      <c r="W624" s="437">
        <v>5</v>
      </c>
      <c r="X624" s="437" t="s">
        <v>2525</v>
      </c>
      <c r="Y624" s="440"/>
    </row>
    <row r="625" spans="1:25" s="490" customFormat="1" x14ac:dyDescent="0.25">
      <c r="A625" s="476">
        <v>43536</v>
      </c>
      <c r="B625" s="437" t="s">
        <v>70</v>
      </c>
      <c r="C625" s="437" t="s">
        <v>78</v>
      </c>
      <c r="D625" s="437">
        <v>38.074559999999998</v>
      </c>
      <c r="E625" s="437">
        <v>-121.99902</v>
      </c>
      <c r="F625" s="437" t="s">
        <v>5470</v>
      </c>
      <c r="G625" s="437" t="s">
        <v>27</v>
      </c>
      <c r="H625" s="437" t="s">
        <v>86</v>
      </c>
      <c r="I625" s="438">
        <v>0.43055555555555558</v>
      </c>
      <c r="J625" s="439">
        <v>118.375</v>
      </c>
      <c r="K625" s="439">
        <v>11.1</v>
      </c>
      <c r="L625" s="439">
        <v>70.5</v>
      </c>
      <c r="M625" s="439">
        <v>0.22750000000000001</v>
      </c>
      <c r="N625" s="439">
        <v>6.8750000000000009</v>
      </c>
      <c r="O625" s="437" t="s">
        <v>48</v>
      </c>
      <c r="P625" s="437">
        <v>4</v>
      </c>
      <c r="Q625" s="437">
        <v>10</v>
      </c>
      <c r="R625" s="437" t="s">
        <v>49</v>
      </c>
      <c r="S625" s="437" t="s">
        <v>622</v>
      </c>
      <c r="T625" s="437">
        <v>1</v>
      </c>
      <c r="U625" s="437">
        <v>173</v>
      </c>
      <c r="V625" s="437" t="s">
        <v>50</v>
      </c>
      <c r="W625" s="437">
        <v>5</v>
      </c>
      <c r="X625" s="437" t="s">
        <v>2525</v>
      </c>
      <c r="Y625" s="440" t="s">
        <v>124</v>
      </c>
    </row>
    <row r="626" spans="1:25" s="441" customFormat="1" x14ac:dyDescent="0.25">
      <c r="A626" s="443">
        <v>43537</v>
      </c>
      <c r="B626" s="51" t="s">
        <v>87</v>
      </c>
      <c r="C626" s="51" t="s">
        <v>88</v>
      </c>
      <c r="D626" s="51">
        <v>38.059460000000001</v>
      </c>
      <c r="E626" s="51">
        <v>-121.81422000000001</v>
      </c>
      <c r="F626" s="51" t="s">
        <v>5471</v>
      </c>
      <c r="G626" s="51" t="s">
        <v>27</v>
      </c>
      <c r="H626" s="51" t="s">
        <v>25</v>
      </c>
      <c r="I626" s="66">
        <v>0.32708333333333334</v>
      </c>
      <c r="J626" s="428">
        <v>115.77500000000001</v>
      </c>
      <c r="K626" s="428">
        <v>11.25</v>
      </c>
      <c r="L626" s="428">
        <v>64.849999999999994</v>
      </c>
      <c r="M626" s="428">
        <v>0.20749999999999999</v>
      </c>
      <c r="N626" s="428">
        <v>9.75</v>
      </c>
      <c r="O626" s="51" t="s">
        <v>48</v>
      </c>
      <c r="P626" s="51">
        <v>4</v>
      </c>
      <c r="Q626" s="51">
        <v>10</v>
      </c>
      <c r="R626" s="51" t="s">
        <v>49</v>
      </c>
      <c r="S626" s="51" t="s">
        <v>50</v>
      </c>
      <c r="T626" s="51" t="s">
        <v>50</v>
      </c>
      <c r="U626" s="51" t="s">
        <v>50</v>
      </c>
      <c r="V626" s="51" t="s">
        <v>50</v>
      </c>
      <c r="W626" s="51" t="s">
        <v>50</v>
      </c>
      <c r="X626" s="51" t="s">
        <v>50</v>
      </c>
      <c r="Y626" s="52"/>
    </row>
    <row r="627" spans="1:25" s="490" customFormat="1" x14ac:dyDescent="0.25">
      <c r="A627" s="476">
        <v>43537</v>
      </c>
      <c r="B627" s="437" t="s">
        <v>87</v>
      </c>
      <c r="C627" s="437" t="s">
        <v>88</v>
      </c>
      <c r="D627" s="437">
        <v>38.086550000000003</v>
      </c>
      <c r="E627" s="437">
        <v>-121.74207</v>
      </c>
      <c r="F627" s="437" t="s">
        <v>5472</v>
      </c>
      <c r="G627" s="437" t="s">
        <v>27</v>
      </c>
      <c r="H627" s="437" t="s">
        <v>25</v>
      </c>
      <c r="I627" s="438">
        <v>0.38750000000000001</v>
      </c>
      <c r="J627" s="439">
        <v>121.375</v>
      </c>
      <c r="K627" s="439">
        <v>11.324999999999999</v>
      </c>
      <c r="L627" s="439">
        <v>67.650000000000006</v>
      </c>
      <c r="M627" s="439">
        <v>0.23749999999999999</v>
      </c>
      <c r="N627" s="439">
        <v>9.11</v>
      </c>
      <c r="O627" s="437" t="s">
        <v>48</v>
      </c>
      <c r="P627" s="437">
        <v>4</v>
      </c>
      <c r="Q627" s="437">
        <v>10</v>
      </c>
      <c r="R627" s="437" t="s">
        <v>49</v>
      </c>
      <c r="S627" s="437" t="s">
        <v>702</v>
      </c>
      <c r="T627" s="437">
        <v>2</v>
      </c>
      <c r="U627" s="437" t="s">
        <v>5473</v>
      </c>
      <c r="V627" s="437" t="s">
        <v>50</v>
      </c>
      <c r="W627" s="437">
        <v>2</v>
      </c>
      <c r="X627" s="437" t="s">
        <v>50</v>
      </c>
      <c r="Y627" s="440"/>
    </row>
    <row r="628" spans="1:25" s="490" customFormat="1" x14ac:dyDescent="0.25">
      <c r="A628" s="476">
        <v>43537</v>
      </c>
      <c r="B628" s="437" t="s">
        <v>87</v>
      </c>
      <c r="C628" s="437" t="s">
        <v>88</v>
      </c>
      <c r="D628" s="437">
        <v>38.086550000000003</v>
      </c>
      <c r="E628" s="437">
        <v>-121.74207</v>
      </c>
      <c r="F628" s="437" t="s">
        <v>5472</v>
      </c>
      <c r="G628" s="437" t="s">
        <v>27</v>
      </c>
      <c r="H628" s="437" t="s">
        <v>25</v>
      </c>
      <c r="I628" s="438">
        <v>0.38750000000000001</v>
      </c>
      <c r="J628" s="439"/>
      <c r="K628" s="439"/>
      <c r="L628" s="439"/>
      <c r="M628" s="439"/>
      <c r="N628" s="439"/>
      <c r="O628" s="437"/>
      <c r="P628" s="437"/>
      <c r="Q628" s="437"/>
      <c r="R628" s="437"/>
      <c r="S628" s="437" t="s">
        <v>622</v>
      </c>
      <c r="T628" s="437">
        <v>1</v>
      </c>
      <c r="U628" s="437">
        <v>214</v>
      </c>
      <c r="V628" s="437" t="s">
        <v>50</v>
      </c>
      <c r="W628" s="437">
        <v>5</v>
      </c>
      <c r="X628" s="437" t="s">
        <v>2525</v>
      </c>
      <c r="Y628" s="440"/>
    </row>
    <row r="629" spans="1:25" s="490" customFormat="1" x14ac:dyDescent="0.25">
      <c r="A629" s="476">
        <v>43537</v>
      </c>
      <c r="B629" s="437" t="s">
        <v>87</v>
      </c>
      <c r="C629" s="437" t="s">
        <v>88</v>
      </c>
      <c r="D629" s="437">
        <v>38.087049999999998</v>
      </c>
      <c r="E629" s="437">
        <v>-121.74708</v>
      </c>
      <c r="F629" s="437" t="s">
        <v>5474</v>
      </c>
      <c r="G629" s="437" t="s">
        <v>27</v>
      </c>
      <c r="H629" s="437" t="s">
        <v>25</v>
      </c>
      <c r="I629" s="438">
        <v>0.4381944444444445</v>
      </c>
      <c r="J629" s="439">
        <v>140.625</v>
      </c>
      <c r="K629" s="439">
        <v>11.6</v>
      </c>
      <c r="L629" s="439">
        <v>78.724999999999994</v>
      </c>
      <c r="M629" s="439">
        <v>0.20749999999999999</v>
      </c>
      <c r="N629" s="439">
        <v>10.26</v>
      </c>
      <c r="O629" s="437" t="s">
        <v>48</v>
      </c>
      <c r="P629" s="437">
        <v>4</v>
      </c>
      <c r="Q629" s="437">
        <v>10</v>
      </c>
      <c r="R629" s="437" t="s">
        <v>49</v>
      </c>
      <c r="S629" s="437" t="s">
        <v>702</v>
      </c>
      <c r="T629" s="437">
        <v>2</v>
      </c>
      <c r="U629" s="437" t="s">
        <v>5475</v>
      </c>
      <c r="V629" s="437" t="s">
        <v>50</v>
      </c>
      <c r="W629" s="437">
        <v>2</v>
      </c>
      <c r="X629" s="437" t="s">
        <v>50</v>
      </c>
      <c r="Y629" s="440" t="s">
        <v>5476</v>
      </c>
    </row>
    <row r="630" spans="1:25" s="441" customFormat="1" x14ac:dyDescent="0.25">
      <c r="A630" s="443">
        <v>43537</v>
      </c>
      <c r="B630" s="51" t="s">
        <v>87</v>
      </c>
      <c r="C630" s="51" t="s">
        <v>95</v>
      </c>
      <c r="D630" s="51">
        <v>38.096609999999998</v>
      </c>
      <c r="E630" s="51">
        <v>-121.67089</v>
      </c>
      <c r="F630" s="51" t="s">
        <v>5477</v>
      </c>
      <c r="G630" s="51" t="s">
        <v>46</v>
      </c>
      <c r="H630" s="51" t="s">
        <v>908</v>
      </c>
      <c r="I630" s="66">
        <v>0.31180555555555556</v>
      </c>
      <c r="J630" s="428">
        <v>140.85000000000002</v>
      </c>
      <c r="K630" s="428">
        <v>11.175000000000001</v>
      </c>
      <c r="L630" s="428">
        <v>21.125</v>
      </c>
      <c r="M630" s="428">
        <v>0.45500000000000002</v>
      </c>
      <c r="N630" s="428">
        <v>14.299999999999999</v>
      </c>
      <c r="O630" s="51" t="s">
        <v>48</v>
      </c>
      <c r="P630" s="51">
        <v>4</v>
      </c>
      <c r="Q630" s="51">
        <v>10</v>
      </c>
      <c r="R630" s="51" t="s">
        <v>64</v>
      </c>
      <c r="S630" s="51" t="s">
        <v>50</v>
      </c>
      <c r="T630" s="51" t="s">
        <v>50</v>
      </c>
      <c r="U630" s="51" t="s">
        <v>50</v>
      </c>
      <c r="V630" s="51" t="s">
        <v>50</v>
      </c>
      <c r="W630" s="51" t="s">
        <v>50</v>
      </c>
      <c r="X630" s="51" t="s">
        <v>50</v>
      </c>
      <c r="Y630" s="52" t="s">
        <v>5478</v>
      </c>
    </row>
    <row r="631" spans="1:25" s="490" customFormat="1" x14ac:dyDescent="0.25">
      <c r="A631" s="476">
        <v>43537</v>
      </c>
      <c r="B631" s="437" t="s">
        <v>87</v>
      </c>
      <c r="C631" s="437" t="s">
        <v>95</v>
      </c>
      <c r="D631" s="437">
        <v>38.094900000000003</v>
      </c>
      <c r="E631" s="437">
        <v>-121.67312</v>
      </c>
      <c r="F631" s="437" t="s">
        <v>5479</v>
      </c>
      <c r="G631" s="437" t="s">
        <v>46</v>
      </c>
      <c r="H631" s="437" t="s">
        <v>908</v>
      </c>
      <c r="I631" s="438">
        <v>0.35902777777777778</v>
      </c>
      <c r="J631" s="439">
        <v>136.375</v>
      </c>
      <c r="K631" s="439">
        <v>11.05</v>
      </c>
      <c r="L631" s="439">
        <v>31.15</v>
      </c>
      <c r="M631" s="439">
        <v>0.3725</v>
      </c>
      <c r="N631" s="439">
        <v>13.95</v>
      </c>
      <c r="O631" s="437" t="s">
        <v>48</v>
      </c>
      <c r="P631" s="437">
        <v>4</v>
      </c>
      <c r="Q631" s="437">
        <v>10</v>
      </c>
      <c r="R631" s="437" t="s">
        <v>64</v>
      </c>
      <c r="S631" s="437" t="s">
        <v>702</v>
      </c>
      <c r="T631" s="437">
        <v>1</v>
      </c>
      <c r="U631" s="437">
        <v>36</v>
      </c>
      <c r="V631" s="437" t="s">
        <v>50</v>
      </c>
      <c r="W631" s="437">
        <v>2</v>
      </c>
      <c r="X631" s="437" t="s">
        <v>50</v>
      </c>
      <c r="Y631" s="440" t="s">
        <v>4716</v>
      </c>
    </row>
    <row r="632" spans="1:25" s="490" customFormat="1" x14ac:dyDescent="0.25">
      <c r="A632" s="476">
        <v>43537</v>
      </c>
      <c r="B632" s="437" t="s">
        <v>87</v>
      </c>
      <c r="C632" s="437" t="s">
        <v>95</v>
      </c>
      <c r="D632" s="437">
        <v>38.094900000000003</v>
      </c>
      <c r="E632" s="437">
        <v>-121.67312</v>
      </c>
      <c r="F632" s="437" t="s">
        <v>5479</v>
      </c>
      <c r="G632" s="437" t="s">
        <v>46</v>
      </c>
      <c r="H632" s="437" t="s">
        <v>908</v>
      </c>
      <c r="I632" s="438">
        <v>0.35902777777777778</v>
      </c>
      <c r="J632" s="439"/>
      <c r="K632" s="439"/>
      <c r="L632" s="439"/>
      <c r="M632" s="439"/>
      <c r="N632" s="439"/>
      <c r="O632" s="437"/>
      <c r="P632" s="437"/>
      <c r="Q632" s="437"/>
      <c r="R632" s="437"/>
      <c r="S632" s="437" t="s">
        <v>622</v>
      </c>
      <c r="T632" s="437">
        <v>5</v>
      </c>
      <c r="U632" s="437" t="s">
        <v>5480</v>
      </c>
      <c r="V632" s="437" t="s">
        <v>50</v>
      </c>
      <c r="W632" s="437">
        <v>5</v>
      </c>
      <c r="X632" s="437" t="s">
        <v>2525</v>
      </c>
      <c r="Y632" s="440" t="s">
        <v>5481</v>
      </c>
    </row>
    <row r="633" spans="1:25" s="490" customFormat="1" x14ac:dyDescent="0.25">
      <c r="A633" s="476">
        <v>43537</v>
      </c>
      <c r="B633" s="437" t="s">
        <v>87</v>
      </c>
      <c r="C633" s="437" t="s">
        <v>95</v>
      </c>
      <c r="D633" s="437">
        <v>38.045299999999997</v>
      </c>
      <c r="E633" s="437">
        <v>-121.70731000000001</v>
      </c>
      <c r="F633" s="437" t="s">
        <v>5482</v>
      </c>
      <c r="G633" s="437" t="s">
        <v>27</v>
      </c>
      <c r="H633" s="437" t="s">
        <v>863</v>
      </c>
      <c r="I633" s="438">
        <v>0.41180555555555554</v>
      </c>
      <c r="J633" s="439">
        <v>147.375</v>
      </c>
      <c r="K633" s="439">
        <v>11.15</v>
      </c>
      <c r="L633" s="439">
        <v>22.824999999999999</v>
      </c>
      <c r="M633" s="439">
        <v>0.46250000000000002</v>
      </c>
      <c r="N633" s="439">
        <v>7.9499999999999993</v>
      </c>
      <c r="O633" s="437" t="s">
        <v>48</v>
      </c>
      <c r="P633" s="437">
        <v>4</v>
      </c>
      <c r="Q633" s="437">
        <v>10</v>
      </c>
      <c r="R633" s="437" t="s">
        <v>49</v>
      </c>
      <c r="S633" s="437" t="s">
        <v>702</v>
      </c>
      <c r="T633" s="437">
        <v>2</v>
      </c>
      <c r="U633" s="437" t="s">
        <v>5483</v>
      </c>
      <c r="V633" s="437" t="s">
        <v>50</v>
      </c>
      <c r="W633" s="437">
        <v>2</v>
      </c>
      <c r="X633" s="437" t="s">
        <v>50</v>
      </c>
      <c r="Y633" s="440"/>
    </row>
    <row r="634" spans="1:25" s="490" customFormat="1" x14ac:dyDescent="0.25">
      <c r="A634" s="476">
        <v>43537</v>
      </c>
      <c r="B634" s="437" t="s">
        <v>87</v>
      </c>
      <c r="C634" s="437" t="s">
        <v>78</v>
      </c>
      <c r="D634" s="437">
        <v>38.044139999999999</v>
      </c>
      <c r="E634" s="437">
        <v>-121.84423</v>
      </c>
      <c r="F634" s="437" t="s">
        <v>5484</v>
      </c>
      <c r="G634" s="437" t="s">
        <v>27</v>
      </c>
      <c r="H634" s="437" t="s">
        <v>101</v>
      </c>
      <c r="I634" s="438">
        <v>0.35625000000000001</v>
      </c>
      <c r="J634" s="439">
        <v>145.32499999999999</v>
      </c>
      <c r="K634" s="439">
        <v>11.3</v>
      </c>
      <c r="L634" s="439">
        <v>33.400000000000006</v>
      </c>
      <c r="M634" s="439">
        <v>0.37250000000000005</v>
      </c>
      <c r="N634" s="439">
        <v>7.4249999999999998</v>
      </c>
      <c r="O634" s="437" t="s">
        <v>48</v>
      </c>
      <c r="P634" s="437">
        <v>4</v>
      </c>
      <c r="Q634" s="437">
        <v>10</v>
      </c>
      <c r="R634" s="437" t="s">
        <v>64</v>
      </c>
      <c r="S634" s="437" t="s">
        <v>702</v>
      </c>
      <c r="T634" s="437">
        <v>1</v>
      </c>
      <c r="U634" s="437">
        <v>46</v>
      </c>
      <c r="V634" s="437" t="s">
        <v>50</v>
      </c>
      <c r="W634" s="437">
        <v>3</v>
      </c>
      <c r="X634" s="437" t="s">
        <v>50</v>
      </c>
      <c r="Y634" s="440" t="s">
        <v>5485</v>
      </c>
    </row>
    <row r="635" spans="1:25" s="490" customFormat="1" x14ac:dyDescent="0.25">
      <c r="A635" s="476">
        <v>43537</v>
      </c>
      <c r="B635" s="437" t="s">
        <v>87</v>
      </c>
      <c r="C635" s="437" t="s">
        <v>78</v>
      </c>
      <c r="D635" s="437">
        <v>38.044139999999999</v>
      </c>
      <c r="E635" s="437">
        <v>-121.84423</v>
      </c>
      <c r="F635" s="437" t="s">
        <v>5484</v>
      </c>
      <c r="G635" s="437" t="s">
        <v>27</v>
      </c>
      <c r="H635" s="437" t="s">
        <v>101</v>
      </c>
      <c r="I635" s="438">
        <v>0.35625000000000001</v>
      </c>
      <c r="J635" s="439"/>
      <c r="K635" s="439"/>
      <c r="L635" s="439"/>
      <c r="M635" s="439"/>
      <c r="N635" s="439"/>
      <c r="O635" s="437"/>
      <c r="P635" s="437"/>
      <c r="Q635" s="437"/>
      <c r="R635" s="437"/>
      <c r="S635" s="437" t="s">
        <v>622</v>
      </c>
      <c r="T635" s="437">
        <v>1</v>
      </c>
      <c r="U635" s="437">
        <v>241</v>
      </c>
      <c r="V635" s="437" t="s">
        <v>50</v>
      </c>
      <c r="W635" s="437">
        <v>5</v>
      </c>
      <c r="X635" s="437" t="s">
        <v>2525</v>
      </c>
      <c r="Y635" s="440"/>
    </row>
    <row r="636" spans="1:25" s="441" customFormat="1" x14ac:dyDescent="0.25">
      <c r="A636" s="443">
        <v>43537</v>
      </c>
      <c r="B636" s="51" t="s">
        <v>87</v>
      </c>
      <c r="C636" s="51" t="s">
        <v>78</v>
      </c>
      <c r="D636" s="51">
        <v>38.05236</v>
      </c>
      <c r="E636" s="51">
        <v>-121.97244999999999</v>
      </c>
      <c r="F636" s="51" t="s">
        <v>5486</v>
      </c>
      <c r="G636" s="51" t="s">
        <v>27</v>
      </c>
      <c r="H636" s="51" t="s">
        <v>86</v>
      </c>
      <c r="I636" s="66">
        <v>0.44097222222222227</v>
      </c>
      <c r="J636" s="428">
        <v>147.92500000000001</v>
      </c>
      <c r="K636" s="428">
        <v>11.4</v>
      </c>
      <c r="L636" s="428">
        <v>56.7</v>
      </c>
      <c r="M636" s="428">
        <v>0.2475</v>
      </c>
      <c r="N636" s="428">
        <v>3.35</v>
      </c>
      <c r="O636" s="51" t="s">
        <v>48</v>
      </c>
      <c r="P636" s="51">
        <v>4</v>
      </c>
      <c r="Q636" s="51">
        <v>10</v>
      </c>
      <c r="R636" s="51" t="s">
        <v>49</v>
      </c>
      <c r="S636" s="51" t="s">
        <v>50</v>
      </c>
      <c r="T636" s="51" t="s">
        <v>50</v>
      </c>
      <c r="U636" s="51" t="s">
        <v>50</v>
      </c>
      <c r="V636" s="51" t="s">
        <v>50</v>
      </c>
      <c r="W636" s="51" t="s">
        <v>50</v>
      </c>
      <c r="X636" s="51" t="s">
        <v>50</v>
      </c>
      <c r="Y636" s="52"/>
    </row>
    <row r="637" spans="1:25" s="437" customFormat="1" x14ac:dyDescent="0.25">
      <c r="A637" s="476">
        <v>43537</v>
      </c>
      <c r="B637" s="437" t="s">
        <v>87</v>
      </c>
      <c r="C637" s="437" t="s">
        <v>118</v>
      </c>
      <c r="D637" s="437">
        <v>38.054490000000001</v>
      </c>
      <c r="E637" s="437">
        <v>-122.18763</v>
      </c>
      <c r="F637" s="437" t="s">
        <v>5487</v>
      </c>
      <c r="G637" s="437" t="s">
        <v>80</v>
      </c>
      <c r="H637" s="437" t="s">
        <v>120</v>
      </c>
      <c r="I637" s="438">
        <v>0.55902777777777779</v>
      </c>
      <c r="J637" s="439">
        <v>154.17500000000001</v>
      </c>
      <c r="K637" s="439">
        <v>11.5</v>
      </c>
      <c r="L637" s="439">
        <v>91.7</v>
      </c>
      <c r="M637" s="439">
        <v>0.17499999999999999</v>
      </c>
      <c r="N637" s="439">
        <v>18.900000000000002</v>
      </c>
      <c r="O637" s="437" t="s">
        <v>48</v>
      </c>
      <c r="P637" s="437">
        <v>4</v>
      </c>
      <c r="Q637" s="437">
        <v>10</v>
      </c>
      <c r="R637" s="437" t="s">
        <v>49</v>
      </c>
      <c r="S637" s="437" t="s">
        <v>622</v>
      </c>
      <c r="T637" s="437">
        <v>2</v>
      </c>
      <c r="U637" s="437" t="s">
        <v>5488</v>
      </c>
      <c r="V637" s="437" t="s">
        <v>50</v>
      </c>
      <c r="W637" s="437">
        <v>5</v>
      </c>
      <c r="X637" s="437" t="s">
        <v>2525</v>
      </c>
    </row>
    <row r="638" spans="1:25" s="437" customFormat="1" x14ac:dyDescent="0.25">
      <c r="A638" s="476">
        <v>43538</v>
      </c>
      <c r="B638" s="437" t="s">
        <v>105</v>
      </c>
      <c r="C638" s="437" t="s">
        <v>95</v>
      </c>
      <c r="D638" s="437">
        <v>38.016640000000002</v>
      </c>
      <c r="E638" s="437">
        <v>-121.79236</v>
      </c>
      <c r="F638" s="437" t="s">
        <v>5489</v>
      </c>
      <c r="G638" s="437" t="s">
        <v>27</v>
      </c>
      <c r="H638" s="437" t="s">
        <v>863</v>
      </c>
      <c r="I638" s="438">
        <v>0.33124999999999999</v>
      </c>
      <c r="J638" s="439">
        <v>180.75</v>
      </c>
      <c r="K638" s="439">
        <v>11.45</v>
      </c>
      <c r="L638" s="439" t="s">
        <v>50</v>
      </c>
      <c r="M638" s="439">
        <v>0.40750000000000003</v>
      </c>
      <c r="N638" s="439">
        <v>11.55</v>
      </c>
      <c r="O638" s="437" t="s">
        <v>48</v>
      </c>
      <c r="P638" s="437">
        <v>4</v>
      </c>
      <c r="Q638" s="437">
        <v>10</v>
      </c>
      <c r="R638" s="437" t="s">
        <v>64</v>
      </c>
      <c r="S638" s="437" t="s">
        <v>702</v>
      </c>
      <c r="T638" s="437">
        <v>2</v>
      </c>
      <c r="U638" s="437" t="s">
        <v>5490</v>
      </c>
      <c r="V638" s="437" t="s">
        <v>50</v>
      </c>
      <c r="W638" s="437">
        <v>2</v>
      </c>
      <c r="X638" s="437" t="s">
        <v>50</v>
      </c>
      <c r="Y638" s="440" t="s">
        <v>5491</v>
      </c>
    </row>
    <row r="639" spans="1:25" s="437" customFormat="1" x14ac:dyDescent="0.25">
      <c r="A639" s="476">
        <v>43538</v>
      </c>
      <c r="B639" s="437" t="s">
        <v>105</v>
      </c>
      <c r="C639" s="437" t="s">
        <v>95</v>
      </c>
      <c r="D639" s="437">
        <v>38.02422</v>
      </c>
      <c r="E639" s="437">
        <v>-121.78531</v>
      </c>
      <c r="F639" s="437" t="s">
        <v>5492</v>
      </c>
      <c r="G639" s="437" t="s">
        <v>27</v>
      </c>
      <c r="H639" s="437" t="s">
        <v>863</v>
      </c>
      <c r="I639" s="438">
        <v>0.37986111111111115</v>
      </c>
      <c r="J639" s="439">
        <v>156.875</v>
      </c>
      <c r="K639" s="439">
        <v>11.324999999999999</v>
      </c>
      <c r="L639" s="439" t="s">
        <v>50</v>
      </c>
      <c r="M639" s="439">
        <v>0.37</v>
      </c>
      <c r="N639" s="439">
        <v>11.7</v>
      </c>
      <c r="O639" s="437" t="s">
        <v>48</v>
      </c>
      <c r="P639" s="437">
        <v>4</v>
      </c>
      <c r="Q639" s="437">
        <v>10</v>
      </c>
      <c r="R639" s="437" t="s">
        <v>64</v>
      </c>
      <c r="S639" s="437" t="s">
        <v>702</v>
      </c>
      <c r="T639" s="437">
        <v>4</v>
      </c>
      <c r="U639" s="437" t="s">
        <v>5493</v>
      </c>
      <c r="V639" s="437" t="s">
        <v>50</v>
      </c>
      <c r="W639" s="437">
        <v>2</v>
      </c>
      <c r="X639" s="437" t="s">
        <v>50</v>
      </c>
      <c r="Y639" s="440" t="s">
        <v>5491</v>
      </c>
    </row>
    <row r="640" spans="1:25" s="437" customFormat="1" x14ac:dyDescent="0.25">
      <c r="A640" s="476">
        <v>43538</v>
      </c>
      <c r="B640" s="437" t="s">
        <v>105</v>
      </c>
      <c r="C640" s="437" t="s">
        <v>95</v>
      </c>
      <c r="D640" s="437">
        <v>38.020330000000001</v>
      </c>
      <c r="E640" s="437">
        <v>-121.73699999999999</v>
      </c>
      <c r="F640" s="437" t="s">
        <v>5494</v>
      </c>
      <c r="G640" s="437" t="s">
        <v>27</v>
      </c>
      <c r="H640" s="437" t="s">
        <v>863</v>
      </c>
      <c r="I640" s="438">
        <v>0.43611111111111112</v>
      </c>
      <c r="J640" s="439">
        <v>198</v>
      </c>
      <c r="K640" s="439">
        <v>11.525</v>
      </c>
      <c r="L640" s="439" t="s">
        <v>50</v>
      </c>
      <c r="M640" s="439">
        <v>0.5</v>
      </c>
      <c r="N640" s="439">
        <v>5.2750000000000004</v>
      </c>
      <c r="O640" s="437" t="s">
        <v>48</v>
      </c>
      <c r="P640" s="437">
        <v>4</v>
      </c>
      <c r="Q640" s="437">
        <v>10</v>
      </c>
      <c r="R640" s="437" t="s">
        <v>49</v>
      </c>
      <c r="S640" s="437" t="s">
        <v>702</v>
      </c>
      <c r="T640" s="437">
        <v>1</v>
      </c>
      <c r="U640" s="437">
        <v>51</v>
      </c>
      <c r="V640" s="437" t="s">
        <v>50</v>
      </c>
      <c r="W640" s="437">
        <v>3</v>
      </c>
      <c r="X640" s="437" t="s">
        <v>50</v>
      </c>
      <c r="Y640" s="440" t="s">
        <v>5491</v>
      </c>
    </row>
    <row r="641" spans="1:25" s="437" customFormat="1" x14ac:dyDescent="0.25">
      <c r="A641" s="476">
        <v>43538</v>
      </c>
      <c r="B641" s="437" t="s">
        <v>105</v>
      </c>
      <c r="C641" s="437" t="s">
        <v>88</v>
      </c>
      <c r="D641" s="437">
        <v>38.097000000000001</v>
      </c>
      <c r="E641" s="437">
        <v>-121.72768000000001</v>
      </c>
      <c r="F641" s="437" t="s">
        <v>5495</v>
      </c>
      <c r="G641" s="437" t="s">
        <v>90</v>
      </c>
      <c r="H641" s="437" t="s">
        <v>91</v>
      </c>
      <c r="I641" s="438">
        <v>0.31944444444444448</v>
      </c>
      <c r="J641" s="439">
        <v>130.32499999999999</v>
      </c>
      <c r="K641" s="439">
        <v>10.975</v>
      </c>
      <c r="L641" s="439">
        <v>79.525000000000006</v>
      </c>
      <c r="M641" s="439">
        <v>0.21000000000000002</v>
      </c>
      <c r="N641" s="439">
        <v>8.2250000000000014</v>
      </c>
      <c r="O641" s="437" t="s">
        <v>48</v>
      </c>
      <c r="P641" s="437">
        <v>4</v>
      </c>
      <c r="Q641" s="437">
        <v>10</v>
      </c>
      <c r="R641" s="437" t="s">
        <v>49</v>
      </c>
      <c r="S641" s="437" t="s">
        <v>622</v>
      </c>
      <c r="T641" s="437">
        <v>1</v>
      </c>
      <c r="U641" s="437">
        <v>250</v>
      </c>
      <c r="V641" s="437" t="s">
        <v>50</v>
      </c>
      <c r="W641" s="437">
        <v>5</v>
      </c>
      <c r="X641" s="437" t="s">
        <v>2525</v>
      </c>
      <c r="Y641" s="440" t="s">
        <v>3276</v>
      </c>
    </row>
    <row r="642" spans="1:25" x14ac:dyDescent="0.25">
      <c r="A642" s="443">
        <v>43538</v>
      </c>
      <c r="B642" s="51" t="s">
        <v>105</v>
      </c>
      <c r="C642" s="51" t="s">
        <v>88</v>
      </c>
      <c r="D642" s="51">
        <v>38.105980000000002</v>
      </c>
      <c r="E642" s="51">
        <v>-121.70381999999999</v>
      </c>
      <c r="F642" s="51" t="s">
        <v>5496</v>
      </c>
      <c r="G642" s="51" t="s">
        <v>90</v>
      </c>
      <c r="H642" s="51" t="s">
        <v>91</v>
      </c>
      <c r="I642" s="66">
        <v>0.37777777777777777</v>
      </c>
      <c r="J642" s="428">
        <v>101.89999999999999</v>
      </c>
      <c r="K642" s="428">
        <v>10.65</v>
      </c>
      <c r="L642" s="428">
        <v>64.775000000000006</v>
      </c>
      <c r="M642" s="428">
        <v>0.24</v>
      </c>
      <c r="N642" s="428">
        <v>8.15</v>
      </c>
      <c r="O642" s="51" t="s">
        <v>48</v>
      </c>
      <c r="P642" s="51">
        <v>4</v>
      </c>
      <c r="Q642" s="51">
        <v>10</v>
      </c>
      <c r="R642" s="51" t="s">
        <v>49</v>
      </c>
      <c r="S642" s="51" t="s">
        <v>50</v>
      </c>
      <c r="T642" s="51" t="s">
        <v>50</v>
      </c>
      <c r="U642" s="51" t="s">
        <v>50</v>
      </c>
      <c r="V642" s="51" t="s">
        <v>50</v>
      </c>
      <c r="W642" s="51" t="s">
        <v>50</v>
      </c>
      <c r="X642" s="51" t="s">
        <v>50</v>
      </c>
    </row>
    <row r="643" spans="1:25" x14ac:dyDescent="0.25">
      <c r="A643" s="443">
        <v>43538</v>
      </c>
      <c r="B643" s="51" t="s">
        <v>105</v>
      </c>
      <c r="C643" s="51" t="s">
        <v>88</v>
      </c>
      <c r="D643" s="51">
        <v>38.147840000000002</v>
      </c>
      <c r="E643" s="51">
        <v>-121.68445</v>
      </c>
      <c r="F643" s="51" t="s">
        <v>5497</v>
      </c>
      <c r="G643" s="51" t="s">
        <v>90</v>
      </c>
      <c r="H643" s="51" t="s">
        <v>91</v>
      </c>
      <c r="I643" s="66">
        <v>0.43263888888888885</v>
      </c>
      <c r="J643" s="428">
        <v>94.375</v>
      </c>
      <c r="K643" s="428">
        <v>10.5</v>
      </c>
      <c r="L643" s="428">
        <v>68.75</v>
      </c>
      <c r="M643" s="428">
        <v>0.255</v>
      </c>
      <c r="N643" s="428">
        <v>4.875</v>
      </c>
      <c r="O643" s="51" t="s">
        <v>48</v>
      </c>
      <c r="P643" s="51">
        <v>4</v>
      </c>
      <c r="Q643" s="51">
        <v>10</v>
      </c>
      <c r="R643" s="51" t="s">
        <v>49</v>
      </c>
      <c r="S643" s="51" t="s">
        <v>50</v>
      </c>
      <c r="T643" s="51" t="s">
        <v>50</v>
      </c>
      <c r="U643" s="51" t="s">
        <v>50</v>
      </c>
      <c r="V643" s="51" t="s">
        <v>50</v>
      </c>
      <c r="W643" s="51" t="s">
        <v>50</v>
      </c>
      <c r="X643" s="51" t="s">
        <v>50</v>
      </c>
    </row>
    <row r="644" spans="1:25" s="437" customFormat="1" x14ac:dyDescent="0.25">
      <c r="A644" s="476">
        <v>43538</v>
      </c>
      <c r="B644" s="437" t="s">
        <v>105</v>
      </c>
      <c r="C644" s="437" t="s">
        <v>118</v>
      </c>
      <c r="D644" s="437">
        <v>38.159959999999998</v>
      </c>
      <c r="E644" s="437">
        <v>-122.29591000000001</v>
      </c>
      <c r="F644" s="437" t="s">
        <v>5498</v>
      </c>
      <c r="G644" s="437" t="s">
        <v>80</v>
      </c>
      <c r="H644" s="437" t="s">
        <v>191</v>
      </c>
      <c r="I644" s="438">
        <v>0.32222222222222224</v>
      </c>
      <c r="J644" s="439">
        <v>1068.25</v>
      </c>
      <c r="K644" s="439">
        <v>11.375</v>
      </c>
      <c r="L644" s="439">
        <v>101.925</v>
      </c>
      <c r="M644" s="439">
        <v>0.16750000000000001</v>
      </c>
      <c r="N644" s="439">
        <v>7.15</v>
      </c>
      <c r="O644" s="437" t="s">
        <v>48</v>
      </c>
      <c r="P644" s="437">
        <v>4</v>
      </c>
      <c r="Q644" s="437">
        <v>10</v>
      </c>
      <c r="R644" s="437" t="s">
        <v>64</v>
      </c>
      <c r="S644" s="437" t="s">
        <v>31</v>
      </c>
      <c r="T644" s="437">
        <v>5</v>
      </c>
      <c r="U644" s="437" t="s">
        <v>5499</v>
      </c>
      <c r="V644" s="437" t="s">
        <v>66</v>
      </c>
      <c r="W644" s="437" t="s">
        <v>50</v>
      </c>
      <c r="X644" s="437" t="s">
        <v>50</v>
      </c>
      <c r="Y644" s="440" t="s">
        <v>5500</v>
      </c>
    </row>
    <row r="645" spans="1:25" s="437" customFormat="1" x14ac:dyDescent="0.25">
      <c r="A645" s="476">
        <v>43538</v>
      </c>
      <c r="B645" s="437" t="s">
        <v>105</v>
      </c>
      <c r="C645" s="437" t="s">
        <v>118</v>
      </c>
      <c r="D645" s="437">
        <v>38.159959999999998</v>
      </c>
      <c r="E645" s="437">
        <v>-122.29591000000001</v>
      </c>
      <c r="F645" s="437" t="s">
        <v>5498</v>
      </c>
      <c r="G645" s="437" t="s">
        <v>80</v>
      </c>
      <c r="H645" s="437" t="s">
        <v>191</v>
      </c>
      <c r="I645" s="438">
        <v>0.32222222222222224</v>
      </c>
      <c r="J645" s="439"/>
      <c r="K645" s="439"/>
      <c r="L645" s="439"/>
      <c r="M645" s="439"/>
      <c r="N645" s="439"/>
      <c r="S645" s="437" t="s">
        <v>3280</v>
      </c>
      <c r="T645" s="437">
        <v>1</v>
      </c>
      <c r="U645" s="437">
        <v>66</v>
      </c>
      <c r="V645" s="437" t="s">
        <v>50</v>
      </c>
      <c r="W645" s="437">
        <v>3</v>
      </c>
      <c r="X645" s="437" t="s">
        <v>50</v>
      </c>
      <c r="Y645" s="440"/>
    </row>
    <row r="646" spans="1:25" s="437" customFormat="1" x14ac:dyDescent="0.25">
      <c r="A646" s="476">
        <v>43538</v>
      </c>
      <c r="B646" s="437" t="s">
        <v>105</v>
      </c>
      <c r="C646" s="437" t="s">
        <v>118</v>
      </c>
      <c r="D646" s="437">
        <v>38.159959999999998</v>
      </c>
      <c r="E646" s="437">
        <v>-122.29591000000001</v>
      </c>
      <c r="F646" s="437" t="s">
        <v>5498</v>
      </c>
      <c r="G646" s="437" t="s">
        <v>80</v>
      </c>
      <c r="H646" s="437" t="s">
        <v>191</v>
      </c>
      <c r="I646" s="438">
        <v>0.32222222222222224</v>
      </c>
      <c r="J646" s="439"/>
      <c r="K646" s="439"/>
      <c r="L646" s="439"/>
      <c r="M646" s="439"/>
      <c r="N646" s="439"/>
      <c r="S646" s="437" t="s">
        <v>622</v>
      </c>
      <c r="T646" s="437">
        <v>1</v>
      </c>
      <c r="U646" s="437">
        <v>238</v>
      </c>
      <c r="V646" s="437" t="s">
        <v>50</v>
      </c>
      <c r="W646" s="437">
        <v>5</v>
      </c>
      <c r="X646" s="437" t="s">
        <v>2525</v>
      </c>
      <c r="Y646" s="440"/>
    </row>
    <row r="647" spans="1:25" s="437" customFormat="1" x14ac:dyDescent="0.25">
      <c r="A647" s="476">
        <v>43538</v>
      </c>
      <c r="B647" s="437" t="s">
        <v>105</v>
      </c>
      <c r="C647" s="437" t="s">
        <v>118</v>
      </c>
      <c r="D647" s="437">
        <v>38.077629999999999</v>
      </c>
      <c r="E647" s="437">
        <v>-122.32758</v>
      </c>
      <c r="F647" s="437" t="s">
        <v>5501</v>
      </c>
      <c r="G647" s="437" t="s">
        <v>80</v>
      </c>
      <c r="H647" s="437" t="s">
        <v>123</v>
      </c>
      <c r="I647" s="438">
        <v>0.39930555555555558</v>
      </c>
      <c r="J647" s="439">
        <v>3100</v>
      </c>
      <c r="K647" s="439">
        <v>11.524999999999999</v>
      </c>
      <c r="L647" s="439">
        <v>69.75</v>
      </c>
      <c r="M647" s="439">
        <v>0.23749999999999999</v>
      </c>
      <c r="N647" s="439">
        <v>2.4750000000000001</v>
      </c>
      <c r="O647" s="437" t="s">
        <v>48</v>
      </c>
      <c r="P647" s="437">
        <v>4</v>
      </c>
      <c r="Q647" s="437">
        <v>10</v>
      </c>
      <c r="R647" s="437" t="s">
        <v>49</v>
      </c>
      <c r="S647" s="437" t="s">
        <v>31</v>
      </c>
      <c r="T647" s="437">
        <v>2</v>
      </c>
      <c r="U647" s="437" t="s">
        <v>5502</v>
      </c>
      <c r="V647" s="437" t="s">
        <v>66</v>
      </c>
      <c r="W647" s="437" t="s">
        <v>50</v>
      </c>
      <c r="X647" s="437" t="s">
        <v>50</v>
      </c>
      <c r="Y647" s="440"/>
    </row>
    <row r="648" spans="1:25" s="437" customFormat="1" x14ac:dyDescent="0.25">
      <c r="A648" s="476">
        <v>43538</v>
      </c>
      <c r="B648" s="437" t="s">
        <v>105</v>
      </c>
      <c r="C648" s="437" t="s">
        <v>118</v>
      </c>
      <c r="D648" s="437">
        <v>38.061639999999997</v>
      </c>
      <c r="E648" s="437">
        <v>-122.27641</v>
      </c>
      <c r="F648" s="437" t="s">
        <v>5503</v>
      </c>
      <c r="G648" s="437" t="s">
        <v>80</v>
      </c>
      <c r="H648" s="437" t="s">
        <v>123</v>
      </c>
      <c r="I648" s="438">
        <v>0.47013888888888888</v>
      </c>
      <c r="J648" s="439">
        <v>2974.75</v>
      </c>
      <c r="K648" s="439">
        <v>11.675000000000001</v>
      </c>
      <c r="L648" s="439">
        <v>71.425000000000011</v>
      </c>
      <c r="M648" s="439">
        <v>0.23749999999999999</v>
      </c>
      <c r="N648" s="439">
        <v>13.875</v>
      </c>
      <c r="O648" s="437" t="s">
        <v>48</v>
      </c>
      <c r="P648" s="437">
        <v>4</v>
      </c>
      <c r="Q648" s="437">
        <v>10</v>
      </c>
      <c r="R648" s="437" t="s">
        <v>49</v>
      </c>
      <c r="S648" s="437" t="s">
        <v>622</v>
      </c>
      <c r="T648" s="437">
        <v>2</v>
      </c>
      <c r="U648" s="437" t="s">
        <v>5504</v>
      </c>
      <c r="V648" s="437" t="s">
        <v>50</v>
      </c>
      <c r="W648" s="437">
        <v>5</v>
      </c>
      <c r="X648" s="437" t="s">
        <v>2525</v>
      </c>
      <c r="Y648" s="489" t="s">
        <v>5505</v>
      </c>
    </row>
    <row r="649" spans="1:25" s="481" customFormat="1" x14ac:dyDescent="0.25">
      <c r="A649" s="480">
        <v>43538</v>
      </c>
      <c r="B649" s="481" t="s">
        <v>105</v>
      </c>
      <c r="C649" s="481" t="s">
        <v>118</v>
      </c>
      <c r="D649" s="481">
        <v>38.061639999999997</v>
      </c>
      <c r="E649" s="481">
        <v>-122.27641</v>
      </c>
      <c r="F649" s="481" t="s">
        <v>5503</v>
      </c>
      <c r="G649" s="481" t="s">
        <v>80</v>
      </c>
      <c r="H649" s="481" t="s">
        <v>123</v>
      </c>
      <c r="I649" s="482">
        <v>0.47013888888888888</v>
      </c>
      <c r="J649" s="483"/>
      <c r="K649" s="483"/>
      <c r="L649" s="483"/>
      <c r="M649" s="483"/>
      <c r="N649" s="483"/>
      <c r="S649" s="481" t="s">
        <v>622</v>
      </c>
      <c r="T649" s="481">
        <v>1</v>
      </c>
      <c r="U649" s="481">
        <v>268</v>
      </c>
      <c r="V649" s="481" t="s">
        <v>50</v>
      </c>
      <c r="W649" s="481">
        <v>5</v>
      </c>
      <c r="X649" s="481" t="s">
        <v>50</v>
      </c>
      <c r="Y649" s="484"/>
    </row>
    <row r="650" spans="1:25" x14ac:dyDescent="0.25">
      <c r="A650" s="443">
        <v>43542</v>
      </c>
      <c r="B650" s="51" t="s">
        <v>43</v>
      </c>
      <c r="C650" s="51" t="s">
        <v>44</v>
      </c>
      <c r="D650" s="51">
        <v>37.95758</v>
      </c>
      <c r="E650" s="51">
        <v>-121.57034</v>
      </c>
      <c r="F650" s="51" t="s">
        <v>5506</v>
      </c>
      <c r="G650" s="51" t="s">
        <v>46</v>
      </c>
      <c r="H650" s="51" t="s">
        <v>199</v>
      </c>
      <c r="I650" s="66">
        <v>0.32708333333333334</v>
      </c>
      <c r="J650" s="428">
        <v>241.42500000000001</v>
      </c>
      <c r="K650" s="428">
        <v>13.4</v>
      </c>
      <c r="L650" s="428">
        <v>7.5549999999999997</v>
      </c>
      <c r="M650" s="428">
        <v>1.27</v>
      </c>
      <c r="N650" s="428">
        <v>5.95</v>
      </c>
      <c r="O650" s="51" t="s">
        <v>48</v>
      </c>
      <c r="P650" s="51">
        <v>4</v>
      </c>
      <c r="Q650" s="51">
        <v>10</v>
      </c>
      <c r="R650" s="51" t="s">
        <v>64</v>
      </c>
      <c r="S650" s="51" t="s">
        <v>50</v>
      </c>
      <c r="T650" s="51" t="s">
        <v>50</v>
      </c>
      <c r="U650" s="51" t="s">
        <v>50</v>
      </c>
      <c r="V650" s="51" t="s">
        <v>50</v>
      </c>
      <c r="W650" s="51" t="s">
        <v>50</v>
      </c>
      <c r="X650" s="51" t="s">
        <v>50</v>
      </c>
      <c r="Y650" s="52" t="s">
        <v>5507</v>
      </c>
    </row>
    <row r="651" spans="1:25" x14ac:dyDescent="0.25">
      <c r="A651" s="443">
        <v>43542</v>
      </c>
      <c r="B651" s="51" t="s">
        <v>43</v>
      </c>
      <c r="C651" s="51" t="s">
        <v>44</v>
      </c>
      <c r="D651" s="51">
        <v>37.933810000000001</v>
      </c>
      <c r="E651" s="51">
        <v>-121.55879</v>
      </c>
      <c r="F651" s="51" t="s">
        <v>5508</v>
      </c>
      <c r="G651" s="51" t="s">
        <v>46</v>
      </c>
      <c r="H651" s="51" t="s">
        <v>199</v>
      </c>
      <c r="I651" s="66">
        <v>0.3833333333333333</v>
      </c>
      <c r="J651" s="428">
        <v>216.10000000000002</v>
      </c>
      <c r="K651" s="428">
        <v>13.324999999999999</v>
      </c>
      <c r="L651" s="428">
        <v>8.2824999999999989</v>
      </c>
      <c r="M651" s="428">
        <v>1.2575000000000001</v>
      </c>
      <c r="N651" s="428">
        <v>6.65</v>
      </c>
      <c r="O651" s="51" t="s">
        <v>48</v>
      </c>
      <c r="P651" s="51">
        <v>4</v>
      </c>
      <c r="Q651" s="51">
        <v>10</v>
      </c>
      <c r="R651" s="51" t="s">
        <v>64</v>
      </c>
      <c r="S651" s="51" t="s">
        <v>50</v>
      </c>
      <c r="T651" s="51" t="s">
        <v>50</v>
      </c>
      <c r="U651" s="51" t="s">
        <v>50</v>
      </c>
      <c r="V651" s="51" t="s">
        <v>50</v>
      </c>
      <c r="W651" s="51" t="s">
        <v>50</v>
      </c>
      <c r="X651" s="51" t="s">
        <v>50</v>
      </c>
    </row>
    <row r="652" spans="1:25" x14ac:dyDescent="0.25">
      <c r="A652" s="443">
        <v>43542</v>
      </c>
      <c r="B652" s="51" t="s">
        <v>43</v>
      </c>
      <c r="C652" s="51" t="s">
        <v>44</v>
      </c>
      <c r="D652" s="51">
        <v>37.819070000000004</v>
      </c>
      <c r="E652" s="51">
        <v>-121.49435</v>
      </c>
      <c r="F652" s="51" t="s">
        <v>5509</v>
      </c>
      <c r="G652" s="51" t="s">
        <v>46</v>
      </c>
      <c r="H652" s="51" t="s">
        <v>376</v>
      </c>
      <c r="I652" s="66">
        <v>0.44513888888888892</v>
      </c>
      <c r="J652" s="428">
        <v>155.52500000000001</v>
      </c>
      <c r="K652" s="428">
        <v>12.425000000000001</v>
      </c>
      <c r="L652" s="428">
        <v>28.274999999999999</v>
      </c>
      <c r="M652" s="428">
        <v>0.64500000000000002</v>
      </c>
      <c r="N652" s="428">
        <v>3.7</v>
      </c>
      <c r="O652" s="51" t="s">
        <v>48</v>
      </c>
      <c r="P652" s="51">
        <v>4</v>
      </c>
      <c r="Q652" s="51">
        <v>10</v>
      </c>
      <c r="R652" s="51" t="s">
        <v>49</v>
      </c>
      <c r="S652" s="51" t="s">
        <v>50</v>
      </c>
      <c r="T652" s="51" t="s">
        <v>50</v>
      </c>
      <c r="U652" s="51" t="s">
        <v>50</v>
      </c>
      <c r="V652" s="51" t="s">
        <v>50</v>
      </c>
      <c r="W652" s="51" t="s">
        <v>50</v>
      </c>
      <c r="X652" s="51" t="s">
        <v>50</v>
      </c>
    </row>
    <row r="653" spans="1:25" s="437" customFormat="1" x14ac:dyDescent="0.25">
      <c r="A653" s="476">
        <v>43542</v>
      </c>
      <c r="B653" s="437" t="s">
        <v>43</v>
      </c>
      <c r="C653" s="437" t="s">
        <v>88</v>
      </c>
      <c r="D653" s="437">
        <v>38.060040000000001</v>
      </c>
      <c r="E653" s="437">
        <v>-121.81929</v>
      </c>
      <c r="F653" s="437" t="s">
        <v>5510</v>
      </c>
      <c r="G653" s="437" t="s">
        <v>27</v>
      </c>
      <c r="H653" s="437" t="s">
        <v>25</v>
      </c>
      <c r="I653" s="438">
        <v>0.37152777777777773</v>
      </c>
      <c r="J653" s="439">
        <v>166.97499999999999</v>
      </c>
      <c r="K653" s="439">
        <v>12.574999999999999</v>
      </c>
      <c r="L653" s="439">
        <v>45.8</v>
      </c>
      <c r="M653" s="439">
        <v>0.3125</v>
      </c>
      <c r="N653" s="439">
        <v>9.5500000000000007</v>
      </c>
      <c r="O653" s="437" t="s">
        <v>48</v>
      </c>
      <c r="P653" s="437">
        <v>4</v>
      </c>
      <c r="Q653" s="437">
        <v>10</v>
      </c>
      <c r="R653" s="437" t="s">
        <v>49</v>
      </c>
      <c r="S653" s="437" t="s">
        <v>702</v>
      </c>
      <c r="T653" s="437">
        <v>1</v>
      </c>
      <c r="U653" s="437">
        <v>36</v>
      </c>
      <c r="V653" s="437" t="s">
        <v>50</v>
      </c>
      <c r="W653" s="437">
        <v>2</v>
      </c>
      <c r="X653" s="437" t="s">
        <v>50</v>
      </c>
      <c r="Y653" s="440"/>
    </row>
    <row r="654" spans="1:25" s="437" customFormat="1" x14ac:dyDescent="0.25">
      <c r="A654" s="476">
        <v>43542</v>
      </c>
      <c r="B654" s="437" t="s">
        <v>43</v>
      </c>
      <c r="C654" s="437" t="s">
        <v>88</v>
      </c>
      <c r="D654" s="437">
        <v>38.069290000000002</v>
      </c>
      <c r="E654" s="437">
        <v>-121.82962999999999</v>
      </c>
      <c r="F654" s="437" t="s">
        <v>5511</v>
      </c>
      <c r="G654" s="437" t="s">
        <v>27</v>
      </c>
      <c r="H654" s="437" t="s">
        <v>25</v>
      </c>
      <c r="I654" s="438">
        <v>0.32430555555555557</v>
      </c>
      <c r="J654" s="439">
        <v>192.9</v>
      </c>
      <c r="K654" s="439">
        <v>12.9</v>
      </c>
      <c r="L654" s="439">
        <v>50.274999999999999</v>
      </c>
      <c r="M654" s="439">
        <v>0.28000000000000003</v>
      </c>
      <c r="N654" s="439">
        <v>7.6499999999999995</v>
      </c>
      <c r="O654" s="437" t="s">
        <v>48</v>
      </c>
      <c r="P654" s="437">
        <v>4</v>
      </c>
      <c r="Q654" s="437">
        <v>10</v>
      </c>
      <c r="R654" s="437" t="s">
        <v>49</v>
      </c>
      <c r="S654" s="437" t="s">
        <v>758</v>
      </c>
      <c r="T654" s="437">
        <v>1</v>
      </c>
      <c r="U654" s="437">
        <v>116</v>
      </c>
      <c r="V654" s="437" t="s">
        <v>50</v>
      </c>
      <c r="W654" s="437">
        <v>4</v>
      </c>
      <c r="X654" s="437" t="s">
        <v>50</v>
      </c>
      <c r="Y654" s="440" t="s">
        <v>2973</v>
      </c>
    </row>
    <row r="655" spans="1:25" s="437" customFormat="1" x14ac:dyDescent="0.25">
      <c r="A655" s="476">
        <v>43542</v>
      </c>
      <c r="B655" s="437" t="s">
        <v>43</v>
      </c>
      <c r="C655" s="437" t="s">
        <v>88</v>
      </c>
      <c r="D655" s="437">
        <v>38.069290000000002</v>
      </c>
      <c r="E655" s="437">
        <v>-121.82962999999999</v>
      </c>
      <c r="F655" s="437" t="s">
        <v>5511</v>
      </c>
      <c r="G655" s="437" t="s">
        <v>27</v>
      </c>
      <c r="H655" s="437" t="s">
        <v>25</v>
      </c>
      <c r="I655" s="438">
        <v>0.32430555555555557</v>
      </c>
      <c r="J655" s="439"/>
      <c r="K655" s="439"/>
      <c r="L655" s="439"/>
      <c r="M655" s="439"/>
      <c r="N655" s="439"/>
      <c r="S655" s="437" t="s">
        <v>702</v>
      </c>
      <c r="T655" s="437">
        <v>1</v>
      </c>
      <c r="U655" s="437">
        <v>40</v>
      </c>
      <c r="V655" s="437" t="s">
        <v>50</v>
      </c>
      <c r="W655" s="437">
        <v>2</v>
      </c>
      <c r="X655" s="437" t="s">
        <v>50</v>
      </c>
      <c r="Y655" s="440"/>
    </row>
    <row r="656" spans="1:25" s="437" customFormat="1" x14ac:dyDescent="0.25">
      <c r="A656" s="476">
        <v>43542</v>
      </c>
      <c r="B656" s="437" t="s">
        <v>43</v>
      </c>
      <c r="C656" s="437" t="s">
        <v>88</v>
      </c>
      <c r="D656" s="437">
        <v>38.069290000000002</v>
      </c>
      <c r="E656" s="437">
        <v>-121.82962999999999</v>
      </c>
      <c r="F656" s="437" t="s">
        <v>5511</v>
      </c>
      <c r="G656" s="437" t="s">
        <v>27</v>
      </c>
      <c r="H656" s="437" t="s">
        <v>25</v>
      </c>
      <c r="I656" s="438">
        <v>0.32430555555555557</v>
      </c>
      <c r="J656" s="439"/>
      <c r="K656" s="439"/>
      <c r="L656" s="439"/>
      <c r="M656" s="439"/>
      <c r="N656" s="439"/>
      <c r="S656" s="437" t="s">
        <v>3280</v>
      </c>
      <c r="T656" s="437">
        <v>2</v>
      </c>
      <c r="U656" s="437" t="s">
        <v>5512</v>
      </c>
      <c r="V656" s="437" t="s">
        <v>50</v>
      </c>
      <c r="W656" s="437">
        <v>4</v>
      </c>
      <c r="X656" s="437" t="s">
        <v>50</v>
      </c>
      <c r="Y656" s="440"/>
    </row>
    <row r="657" spans="1:25" s="437" customFormat="1" x14ac:dyDescent="0.25">
      <c r="A657" s="476">
        <v>43542</v>
      </c>
      <c r="B657" s="437" t="s">
        <v>43</v>
      </c>
      <c r="C657" s="437" t="s">
        <v>88</v>
      </c>
      <c r="D657" s="437">
        <v>38.099739999999997</v>
      </c>
      <c r="E657" s="437">
        <v>-121.71992</v>
      </c>
      <c r="F657" s="437" t="s">
        <v>5513</v>
      </c>
      <c r="G657" s="437" t="s">
        <v>90</v>
      </c>
      <c r="H657" s="437" t="s">
        <v>91</v>
      </c>
      <c r="I657" s="438">
        <v>0.4236111111111111</v>
      </c>
      <c r="J657" s="439">
        <v>153.02500000000001</v>
      </c>
      <c r="K657" s="439">
        <v>12.324999999999999</v>
      </c>
      <c r="L657" s="439">
        <v>37.299999999999997</v>
      </c>
      <c r="M657" s="439">
        <v>0.31250000000000006</v>
      </c>
      <c r="N657" s="439">
        <v>7.375</v>
      </c>
      <c r="O657" s="437" t="s">
        <v>48</v>
      </c>
      <c r="P657" s="437">
        <v>4</v>
      </c>
      <c r="Q657" s="437">
        <v>10</v>
      </c>
      <c r="R657" s="437" t="s">
        <v>49</v>
      </c>
      <c r="S657" s="437" t="s">
        <v>702</v>
      </c>
      <c r="T657" s="437">
        <v>2</v>
      </c>
      <c r="U657" s="437" t="s">
        <v>5148</v>
      </c>
      <c r="V657" s="437" t="s">
        <v>50</v>
      </c>
      <c r="W657" s="437">
        <v>2</v>
      </c>
      <c r="X657" s="437" t="s">
        <v>50</v>
      </c>
      <c r="Y657" s="440"/>
    </row>
    <row r="658" spans="1:25" s="437" customFormat="1" x14ac:dyDescent="0.25">
      <c r="A658" s="476">
        <v>43542</v>
      </c>
      <c r="B658" s="437" t="s">
        <v>43</v>
      </c>
      <c r="C658" s="437" t="s">
        <v>118</v>
      </c>
      <c r="D658" s="437">
        <v>38.062730000000002</v>
      </c>
      <c r="E658" s="437">
        <v>-122.29888</v>
      </c>
      <c r="F658" s="437" t="s">
        <v>5514</v>
      </c>
      <c r="G658" s="437" t="s">
        <v>80</v>
      </c>
      <c r="H658" s="437" t="s">
        <v>123</v>
      </c>
      <c r="I658" s="438">
        <v>0.35972222222222222</v>
      </c>
      <c r="J658" s="439">
        <v>5290</v>
      </c>
      <c r="K658" s="439">
        <v>13.824999999999999</v>
      </c>
      <c r="L658" s="439">
        <v>40.125</v>
      </c>
      <c r="M658" s="439">
        <v>0.32</v>
      </c>
      <c r="N658" s="439">
        <v>7.3249999999999993</v>
      </c>
      <c r="O658" s="437" t="s">
        <v>48</v>
      </c>
      <c r="P658" s="437">
        <v>4</v>
      </c>
      <c r="Q658" s="437">
        <v>10</v>
      </c>
      <c r="R658" s="437" t="s">
        <v>49</v>
      </c>
      <c r="S658" s="437" t="s">
        <v>702</v>
      </c>
      <c r="T658" s="437">
        <v>4</v>
      </c>
      <c r="U658" s="437" t="s">
        <v>5515</v>
      </c>
      <c r="V658" s="437" t="s">
        <v>50</v>
      </c>
      <c r="W658" s="437">
        <v>2</v>
      </c>
      <c r="X658" s="437" t="s">
        <v>50</v>
      </c>
      <c r="Y658" s="440"/>
    </row>
    <row r="659" spans="1:25" s="437" customFormat="1" x14ac:dyDescent="0.25">
      <c r="A659" s="476">
        <v>43542</v>
      </c>
      <c r="B659" s="437" t="s">
        <v>43</v>
      </c>
      <c r="C659" s="437" t="s">
        <v>118</v>
      </c>
      <c r="D659" s="437">
        <v>38.062730000000002</v>
      </c>
      <c r="E659" s="437">
        <v>-122.29888</v>
      </c>
      <c r="F659" s="437" t="s">
        <v>5514</v>
      </c>
      <c r="G659" s="437" t="s">
        <v>80</v>
      </c>
      <c r="H659" s="437" t="s">
        <v>123</v>
      </c>
      <c r="I659" s="438">
        <v>0.35972222222222222</v>
      </c>
      <c r="J659" s="439"/>
      <c r="K659" s="439"/>
      <c r="L659" s="439"/>
      <c r="M659" s="439"/>
      <c r="N659" s="439"/>
      <c r="S659" s="437" t="s">
        <v>622</v>
      </c>
      <c r="T659" s="437">
        <v>1</v>
      </c>
      <c r="U659" s="437">
        <v>207</v>
      </c>
      <c r="V659" s="437" t="s">
        <v>50</v>
      </c>
      <c r="W659" s="437">
        <v>5</v>
      </c>
      <c r="X659" s="437" t="s">
        <v>2525</v>
      </c>
      <c r="Y659" s="440" t="s">
        <v>3276</v>
      </c>
    </row>
    <row r="660" spans="1:25" x14ac:dyDescent="0.25">
      <c r="A660" s="443">
        <v>43542</v>
      </c>
      <c r="B660" s="51" t="s">
        <v>43</v>
      </c>
      <c r="C660" s="51" t="s">
        <v>118</v>
      </c>
      <c r="D660" s="51">
        <v>38.025880000000001</v>
      </c>
      <c r="E660" s="51">
        <v>-122.29292</v>
      </c>
      <c r="F660" s="51" t="s">
        <v>5516</v>
      </c>
      <c r="G660" s="51" t="s">
        <v>80</v>
      </c>
      <c r="H660" s="51" t="s">
        <v>123</v>
      </c>
      <c r="I660" s="66">
        <v>0.42083333333333334</v>
      </c>
      <c r="J660" s="428">
        <v>11387.5</v>
      </c>
      <c r="K660" s="428">
        <v>13.074999999999999</v>
      </c>
      <c r="L660" s="428">
        <v>53.8</v>
      </c>
      <c r="M660" s="428">
        <v>0.30499999999999999</v>
      </c>
      <c r="N660" s="428">
        <v>3.8499999999999996</v>
      </c>
      <c r="O660" s="51" t="s">
        <v>48</v>
      </c>
      <c r="P660" s="51">
        <v>4</v>
      </c>
      <c r="Q660" s="51">
        <v>10</v>
      </c>
      <c r="R660" s="51" t="s">
        <v>64</v>
      </c>
      <c r="S660" s="51" t="s">
        <v>50</v>
      </c>
      <c r="T660" s="51" t="s">
        <v>50</v>
      </c>
      <c r="U660" s="51" t="s">
        <v>50</v>
      </c>
      <c r="V660" s="51" t="s">
        <v>50</v>
      </c>
      <c r="W660" s="51" t="s">
        <v>50</v>
      </c>
      <c r="X660" s="51" t="s">
        <v>50</v>
      </c>
    </row>
    <row r="661" spans="1:25" s="437" customFormat="1" x14ac:dyDescent="0.25">
      <c r="A661" s="476">
        <v>43542</v>
      </c>
      <c r="B661" s="437" t="s">
        <v>43</v>
      </c>
      <c r="C661" s="437" t="s">
        <v>118</v>
      </c>
      <c r="D661" s="437">
        <v>38.044730000000001</v>
      </c>
      <c r="E661" s="437">
        <v>-122.27206</v>
      </c>
      <c r="F661" s="437" t="s">
        <v>5517</v>
      </c>
      <c r="G661" s="437" t="s">
        <v>80</v>
      </c>
      <c r="H661" s="437" t="s">
        <v>123</v>
      </c>
      <c r="I661" s="438">
        <v>0.47430555555555554</v>
      </c>
      <c r="J661" s="439">
        <v>10932.75</v>
      </c>
      <c r="K661" s="439">
        <v>13.275</v>
      </c>
      <c r="L661" s="439">
        <v>60.724999999999994</v>
      </c>
      <c r="M661" s="439">
        <v>0.30499999999999999</v>
      </c>
      <c r="N661" s="439">
        <v>4.7</v>
      </c>
      <c r="O661" s="437" t="s">
        <v>48</v>
      </c>
      <c r="P661" s="437">
        <v>4</v>
      </c>
      <c r="Q661" s="437">
        <v>10</v>
      </c>
      <c r="R661" s="437" t="s">
        <v>64</v>
      </c>
      <c r="S661" s="437" t="s">
        <v>702</v>
      </c>
      <c r="T661" s="437">
        <v>1</v>
      </c>
      <c r="U661" s="437">
        <v>47</v>
      </c>
      <c r="V661" s="437" t="s">
        <v>50</v>
      </c>
      <c r="W661" s="437">
        <v>3</v>
      </c>
      <c r="X661" s="437" t="s">
        <v>50</v>
      </c>
      <c r="Y661" s="440" t="s">
        <v>5227</v>
      </c>
    </row>
    <row r="662" spans="1:25" s="437" customFormat="1" x14ac:dyDescent="0.25">
      <c r="A662" s="476">
        <v>43542</v>
      </c>
      <c r="B662" s="437" t="s">
        <v>43</v>
      </c>
      <c r="C662" s="437" t="s">
        <v>118</v>
      </c>
      <c r="D662" s="437">
        <v>38.05395</v>
      </c>
      <c r="E662" s="437">
        <v>-122.17536</v>
      </c>
      <c r="F662" s="437" t="s">
        <v>5518</v>
      </c>
      <c r="G662" s="437" t="s">
        <v>80</v>
      </c>
      <c r="H662" s="437" t="s">
        <v>120</v>
      </c>
      <c r="I662" s="438">
        <v>0.57500000000000007</v>
      </c>
      <c r="J662" s="439">
        <v>4222</v>
      </c>
      <c r="K662" s="439">
        <v>13.3</v>
      </c>
      <c r="L662" s="439">
        <v>45.8</v>
      </c>
      <c r="M662" s="439">
        <v>0.26750000000000002</v>
      </c>
      <c r="N662" s="439">
        <v>7.4249999999999998</v>
      </c>
      <c r="O662" s="437" t="s">
        <v>48</v>
      </c>
      <c r="P662" s="437">
        <v>4</v>
      </c>
      <c r="Q662" s="437">
        <v>10</v>
      </c>
      <c r="R662" s="437" t="s">
        <v>49</v>
      </c>
      <c r="S662" s="437" t="s">
        <v>3280</v>
      </c>
      <c r="T662" s="437">
        <v>1</v>
      </c>
      <c r="U662" s="437">
        <v>74</v>
      </c>
      <c r="V662" s="437" t="s">
        <v>50</v>
      </c>
      <c r="W662" s="437">
        <v>4</v>
      </c>
      <c r="X662" s="437" t="s">
        <v>50</v>
      </c>
      <c r="Y662" s="440"/>
    </row>
    <row r="663" spans="1:25" s="437" customFormat="1" x14ac:dyDescent="0.25">
      <c r="A663" s="476">
        <v>43542</v>
      </c>
      <c r="B663" s="437" t="s">
        <v>43</v>
      </c>
      <c r="C663" s="437" t="s">
        <v>118</v>
      </c>
      <c r="D663" s="437">
        <v>38.05395</v>
      </c>
      <c r="E663" s="437">
        <v>-122.17536</v>
      </c>
      <c r="F663" s="437" t="s">
        <v>5518</v>
      </c>
      <c r="G663" s="437" t="s">
        <v>80</v>
      </c>
      <c r="H663" s="437" t="s">
        <v>120</v>
      </c>
      <c r="I663" s="438">
        <v>0.57500000000000007</v>
      </c>
      <c r="J663" s="439"/>
      <c r="K663" s="439"/>
      <c r="L663" s="439"/>
      <c r="M663" s="439"/>
      <c r="N663" s="439"/>
      <c r="S663" s="437" t="s">
        <v>31</v>
      </c>
      <c r="T663" s="437">
        <v>1</v>
      </c>
      <c r="U663" s="437">
        <v>72</v>
      </c>
      <c r="V663" s="437" t="s">
        <v>66</v>
      </c>
      <c r="W663" s="437" t="s">
        <v>50</v>
      </c>
      <c r="X663" s="437" t="s">
        <v>50</v>
      </c>
      <c r="Y663" s="440"/>
    </row>
    <row r="664" spans="1:25" s="437" customFormat="1" x14ac:dyDescent="0.25">
      <c r="A664" s="476">
        <v>43543</v>
      </c>
      <c r="B664" s="437" t="s">
        <v>70</v>
      </c>
      <c r="C664" s="437" t="s">
        <v>88</v>
      </c>
      <c r="D664" s="437">
        <v>38.12959</v>
      </c>
      <c r="E664" s="437">
        <v>-121.69734</v>
      </c>
      <c r="F664" s="437" t="s">
        <v>5519</v>
      </c>
      <c r="G664" s="437" t="s">
        <v>90</v>
      </c>
      <c r="H664" s="437" t="s">
        <v>91</v>
      </c>
      <c r="I664" s="438">
        <v>0.30763888888888891</v>
      </c>
      <c r="J664" s="439">
        <v>159.54999999999998</v>
      </c>
      <c r="K664" s="439">
        <v>12.725</v>
      </c>
      <c r="L664" s="439">
        <v>42.1</v>
      </c>
      <c r="M664" s="439">
        <v>0.37499999999999994</v>
      </c>
      <c r="N664" s="439">
        <v>9.8000000000000007</v>
      </c>
      <c r="O664" s="437" t="s">
        <v>48</v>
      </c>
      <c r="P664" s="437">
        <v>4</v>
      </c>
      <c r="Q664" s="437">
        <v>10</v>
      </c>
      <c r="R664" s="437" t="s">
        <v>49</v>
      </c>
      <c r="S664" s="437" t="s">
        <v>758</v>
      </c>
      <c r="T664" s="437">
        <v>1</v>
      </c>
      <c r="U664" s="486">
        <v>105</v>
      </c>
      <c r="V664" s="437" t="s">
        <v>50</v>
      </c>
      <c r="W664" s="437">
        <v>4</v>
      </c>
      <c r="X664" s="437" t="s">
        <v>50</v>
      </c>
      <c r="Y664" s="440" t="s">
        <v>2973</v>
      </c>
    </row>
    <row r="665" spans="1:25" s="437" customFormat="1" x14ac:dyDescent="0.25">
      <c r="A665" s="476">
        <v>43543</v>
      </c>
      <c r="B665" s="437" t="s">
        <v>70</v>
      </c>
      <c r="C665" s="437" t="s">
        <v>88</v>
      </c>
      <c r="D665" s="437">
        <v>38.12959</v>
      </c>
      <c r="E665" s="437">
        <v>-121.69734</v>
      </c>
      <c r="F665" s="437" t="s">
        <v>5519</v>
      </c>
      <c r="G665" s="437" t="s">
        <v>90</v>
      </c>
      <c r="H665" s="437" t="s">
        <v>91</v>
      </c>
      <c r="I665" s="438">
        <v>0.30763888888888891</v>
      </c>
      <c r="J665" s="439"/>
      <c r="K665" s="439"/>
      <c r="L665" s="439"/>
      <c r="M665" s="439"/>
      <c r="N665" s="439"/>
      <c r="S665" s="437" t="s">
        <v>702</v>
      </c>
      <c r="T665" s="437">
        <v>1</v>
      </c>
      <c r="U665" s="437">
        <v>42</v>
      </c>
      <c r="V665" s="437" t="s">
        <v>50</v>
      </c>
      <c r="W665" s="437">
        <v>3</v>
      </c>
      <c r="X665" s="437" t="s">
        <v>50</v>
      </c>
      <c r="Y665" s="440"/>
    </row>
    <row r="666" spans="1:25" s="437" customFormat="1" x14ac:dyDescent="0.25">
      <c r="A666" s="476">
        <v>43543</v>
      </c>
      <c r="B666" s="437" t="s">
        <v>70</v>
      </c>
      <c r="C666" s="437" t="s">
        <v>88</v>
      </c>
      <c r="D666" s="437">
        <v>38.12959</v>
      </c>
      <c r="E666" s="437">
        <v>-121.69734</v>
      </c>
      <c r="F666" s="437" t="s">
        <v>5519</v>
      </c>
      <c r="G666" s="437" t="s">
        <v>90</v>
      </c>
      <c r="H666" s="437" t="s">
        <v>91</v>
      </c>
      <c r="I666" s="438">
        <v>0.30763888888888891</v>
      </c>
      <c r="J666" s="439"/>
      <c r="K666" s="439"/>
      <c r="L666" s="439"/>
      <c r="M666" s="439"/>
      <c r="N666" s="439"/>
      <c r="S666" s="437" t="s">
        <v>3280</v>
      </c>
      <c r="T666" s="437">
        <v>1</v>
      </c>
      <c r="U666" s="437">
        <v>78</v>
      </c>
      <c r="V666" s="437" t="s">
        <v>50</v>
      </c>
      <c r="W666" s="437">
        <v>3</v>
      </c>
      <c r="X666" s="437" t="s">
        <v>50</v>
      </c>
      <c r="Y666" s="440"/>
    </row>
    <row r="667" spans="1:25" s="437" customFormat="1" x14ac:dyDescent="0.25">
      <c r="A667" s="476">
        <v>43543</v>
      </c>
      <c r="B667" s="437" t="s">
        <v>70</v>
      </c>
      <c r="C667" s="437" t="s">
        <v>88</v>
      </c>
      <c r="D667" s="437">
        <v>38.12959</v>
      </c>
      <c r="E667" s="437">
        <v>-121.69734</v>
      </c>
      <c r="F667" s="437" t="s">
        <v>5519</v>
      </c>
      <c r="G667" s="437" t="s">
        <v>90</v>
      </c>
      <c r="H667" s="437" t="s">
        <v>91</v>
      </c>
      <c r="I667" s="438">
        <v>0.30763888888888891</v>
      </c>
      <c r="J667" s="439"/>
      <c r="K667" s="439"/>
      <c r="L667" s="439"/>
      <c r="M667" s="439"/>
      <c r="N667" s="439"/>
      <c r="S667" s="437" t="s">
        <v>622</v>
      </c>
      <c r="T667" s="437">
        <v>1</v>
      </c>
      <c r="U667" s="437">
        <v>221</v>
      </c>
      <c r="V667" s="437" t="s">
        <v>50</v>
      </c>
      <c r="W667" s="437">
        <v>5</v>
      </c>
      <c r="X667" s="437" t="s">
        <v>2525</v>
      </c>
      <c r="Y667" s="440" t="s">
        <v>3276</v>
      </c>
    </row>
    <row r="668" spans="1:25" s="437" customFormat="1" x14ac:dyDescent="0.25">
      <c r="A668" s="476">
        <v>43543</v>
      </c>
      <c r="B668" s="437" t="s">
        <v>70</v>
      </c>
      <c r="C668" s="437" t="s">
        <v>88</v>
      </c>
      <c r="D668" s="437">
        <v>38.169370000000001</v>
      </c>
      <c r="E668" s="437">
        <v>-121.67425</v>
      </c>
      <c r="F668" s="437" t="s">
        <v>5520</v>
      </c>
      <c r="G668" s="437" t="s">
        <v>90</v>
      </c>
      <c r="H668" s="437" t="s">
        <v>91</v>
      </c>
      <c r="I668" s="438">
        <v>0.36249999999999999</v>
      </c>
      <c r="J668" s="439">
        <v>157.69999999999999</v>
      </c>
      <c r="K668" s="439">
        <v>12.675000000000001</v>
      </c>
      <c r="L668" s="439">
        <v>43.2</v>
      </c>
      <c r="M668" s="439">
        <v>0.42499999999999999</v>
      </c>
      <c r="N668" s="439">
        <v>8.6750000000000007</v>
      </c>
      <c r="O668" s="437" t="s">
        <v>48</v>
      </c>
      <c r="P668" s="437">
        <v>4</v>
      </c>
      <c r="Q668" s="437">
        <v>10</v>
      </c>
      <c r="R668" s="437" t="s">
        <v>49</v>
      </c>
      <c r="S668" s="437" t="s">
        <v>3280</v>
      </c>
      <c r="T668" s="437">
        <v>1</v>
      </c>
      <c r="U668" s="437">
        <v>75</v>
      </c>
      <c r="V668" s="437" t="s">
        <v>50</v>
      </c>
      <c r="W668" s="437">
        <v>3</v>
      </c>
      <c r="X668" s="437" t="s">
        <v>50</v>
      </c>
      <c r="Y668" s="440"/>
    </row>
    <row r="669" spans="1:25" s="437" customFormat="1" x14ac:dyDescent="0.25">
      <c r="A669" s="476">
        <v>43543</v>
      </c>
      <c r="B669" s="437" t="s">
        <v>70</v>
      </c>
      <c r="C669" s="437" t="s">
        <v>88</v>
      </c>
      <c r="D669" s="437">
        <v>38.169370000000001</v>
      </c>
      <c r="E669" s="437">
        <v>-121.67425</v>
      </c>
      <c r="F669" s="437" t="s">
        <v>5520</v>
      </c>
      <c r="G669" s="437" t="s">
        <v>90</v>
      </c>
      <c r="H669" s="437" t="s">
        <v>91</v>
      </c>
      <c r="I669" s="438">
        <v>0.36249999999999999</v>
      </c>
      <c r="J669" s="439"/>
      <c r="K669" s="439"/>
      <c r="L669" s="439"/>
      <c r="M669" s="439"/>
      <c r="N669" s="439"/>
      <c r="S669" s="437" t="s">
        <v>622</v>
      </c>
      <c r="T669" s="437">
        <v>1</v>
      </c>
      <c r="U669" s="437">
        <v>241</v>
      </c>
      <c r="V669" s="437" t="s">
        <v>50</v>
      </c>
      <c r="W669" s="437">
        <v>5</v>
      </c>
      <c r="X669" s="437" t="s">
        <v>2525</v>
      </c>
      <c r="Y669" s="440"/>
    </row>
    <row r="670" spans="1:25" x14ac:dyDescent="0.25">
      <c r="A670" s="443">
        <v>43543</v>
      </c>
      <c r="B670" s="51" t="s">
        <v>70</v>
      </c>
      <c r="C670" s="51" t="s">
        <v>88</v>
      </c>
      <c r="D670" s="51">
        <v>38.165889999999997</v>
      </c>
      <c r="E670" s="51">
        <v>-121.68026</v>
      </c>
      <c r="F670" s="51" t="s">
        <v>5521</v>
      </c>
      <c r="G670" s="51" t="s">
        <v>90</v>
      </c>
      <c r="H670" s="51" t="s">
        <v>91</v>
      </c>
      <c r="I670" s="66">
        <v>0.40763888888888888</v>
      </c>
      <c r="J670" s="428">
        <v>192.35</v>
      </c>
      <c r="K670" s="428">
        <v>13.450000000000001</v>
      </c>
      <c r="L670" s="428">
        <v>43.05</v>
      </c>
      <c r="M670" s="428">
        <v>0.40249999999999997</v>
      </c>
      <c r="N670" s="428">
        <v>10.225000000000001</v>
      </c>
      <c r="O670" s="51" t="s">
        <v>48</v>
      </c>
      <c r="P670" s="51">
        <v>4</v>
      </c>
      <c r="Q670" s="51">
        <v>10</v>
      </c>
      <c r="R670" s="51" t="s">
        <v>49</v>
      </c>
      <c r="S670" s="51" t="s">
        <v>50</v>
      </c>
      <c r="T670" s="51" t="s">
        <v>50</v>
      </c>
      <c r="U670" s="51" t="s">
        <v>50</v>
      </c>
      <c r="V670" s="51" t="s">
        <v>50</v>
      </c>
      <c r="W670" s="51" t="s">
        <v>50</v>
      </c>
      <c r="X670" s="51" t="s">
        <v>50</v>
      </c>
    </row>
    <row r="671" spans="1:25" s="437" customFormat="1" x14ac:dyDescent="0.25">
      <c r="A671" s="476">
        <v>43543</v>
      </c>
      <c r="B671" s="437" t="s">
        <v>70</v>
      </c>
      <c r="C671" s="437" t="s">
        <v>44</v>
      </c>
      <c r="D671" s="437">
        <v>37.995759999999997</v>
      </c>
      <c r="E671" s="437">
        <v>-121.50631</v>
      </c>
      <c r="F671" s="437" t="s">
        <v>5522</v>
      </c>
      <c r="G671" s="437" t="s">
        <v>46</v>
      </c>
      <c r="H671" s="437" t="s">
        <v>59</v>
      </c>
      <c r="I671" s="438">
        <v>0.33749999999999997</v>
      </c>
      <c r="J671" s="439">
        <v>186.45000000000002</v>
      </c>
      <c r="K671" s="439">
        <v>13.45</v>
      </c>
      <c r="L671" s="439">
        <v>7.5324999999999998</v>
      </c>
      <c r="M671" s="439">
        <v>1.4424999999999999</v>
      </c>
      <c r="N671" s="439">
        <v>8.9500000000000011</v>
      </c>
      <c r="O671" s="437" t="s">
        <v>48</v>
      </c>
      <c r="P671" s="437">
        <v>4</v>
      </c>
      <c r="Q671" s="437">
        <v>10</v>
      </c>
      <c r="R671" s="437" t="s">
        <v>64</v>
      </c>
      <c r="S671" s="437" t="s">
        <v>702</v>
      </c>
      <c r="T671" s="437">
        <v>3</v>
      </c>
      <c r="U671" s="437" t="s">
        <v>5523</v>
      </c>
      <c r="V671" s="437" t="s">
        <v>50</v>
      </c>
      <c r="W671" s="437">
        <v>4</v>
      </c>
      <c r="X671" s="437" t="s">
        <v>50</v>
      </c>
      <c r="Y671" s="440" t="s">
        <v>5524</v>
      </c>
    </row>
    <row r="672" spans="1:25" s="424" customFormat="1" x14ac:dyDescent="0.25">
      <c r="A672" s="446">
        <v>43543</v>
      </c>
      <c r="B672" s="424" t="s">
        <v>70</v>
      </c>
      <c r="C672" s="424" t="s">
        <v>44</v>
      </c>
      <c r="D672" s="424">
        <v>37.998739999999998</v>
      </c>
      <c r="E672" s="424">
        <v>-121.57563</v>
      </c>
      <c r="F672" s="424" t="s">
        <v>5525</v>
      </c>
      <c r="G672" s="424" t="s">
        <v>46</v>
      </c>
      <c r="H672" s="424" t="s">
        <v>74</v>
      </c>
      <c r="I672" s="425">
        <v>0.3979166666666667</v>
      </c>
      <c r="J672" s="427">
        <v>253.26666666666665</v>
      </c>
      <c r="K672" s="427">
        <v>13.933333333333332</v>
      </c>
      <c r="L672" s="427">
        <v>8.75</v>
      </c>
      <c r="M672" s="427">
        <v>1.3466666666666667</v>
      </c>
      <c r="N672" s="427">
        <v>6.6000000000000005</v>
      </c>
      <c r="O672" s="424" t="s">
        <v>48</v>
      </c>
      <c r="P672" s="424">
        <v>3</v>
      </c>
      <c r="Q672" s="424">
        <v>10</v>
      </c>
      <c r="R672" s="424" t="s">
        <v>64</v>
      </c>
      <c r="S672" s="424" t="s">
        <v>50</v>
      </c>
      <c r="T672" s="424" t="s">
        <v>50</v>
      </c>
      <c r="U672" s="424" t="s">
        <v>50</v>
      </c>
      <c r="V672" s="424" t="s">
        <v>50</v>
      </c>
      <c r="W672" s="424" t="s">
        <v>50</v>
      </c>
      <c r="X672" s="424" t="s">
        <v>50</v>
      </c>
      <c r="Y672" s="426" t="s">
        <v>5526</v>
      </c>
    </row>
    <row r="673" spans="1:25" x14ac:dyDescent="0.25">
      <c r="A673" s="443">
        <v>43543</v>
      </c>
      <c r="B673" s="51" t="s">
        <v>70</v>
      </c>
      <c r="C673" s="51" t="s">
        <v>44</v>
      </c>
      <c r="D673" s="51">
        <v>38.070099999999996</v>
      </c>
      <c r="E673" s="51">
        <v>-121.57867</v>
      </c>
      <c r="F673" s="51" t="s">
        <v>5527</v>
      </c>
      <c r="G673" s="51" t="s">
        <v>46</v>
      </c>
      <c r="H673" s="51" t="s">
        <v>74</v>
      </c>
      <c r="I673" s="66">
        <v>0.47361111111111115</v>
      </c>
      <c r="J673" s="428">
        <v>181.85</v>
      </c>
      <c r="K673" s="428">
        <v>13.675000000000001</v>
      </c>
      <c r="L673" s="428">
        <v>12.649999999999999</v>
      </c>
      <c r="M673" s="428">
        <v>1.1549999999999998</v>
      </c>
      <c r="N673" s="428">
        <v>5.9749999999999996</v>
      </c>
      <c r="O673" s="51" t="s">
        <v>48</v>
      </c>
      <c r="P673" s="51">
        <v>4</v>
      </c>
      <c r="Q673" s="51">
        <v>10</v>
      </c>
      <c r="R673" s="51" t="s">
        <v>64</v>
      </c>
      <c r="S673" s="51" t="s">
        <v>50</v>
      </c>
      <c r="T673" s="51" t="s">
        <v>50</v>
      </c>
      <c r="U673" s="51" t="s">
        <v>50</v>
      </c>
      <c r="V673" s="51" t="s">
        <v>50</v>
      </c>
      <c r="W673" s="51" t="s">
        <v>50</v>
      </c>
      <c r="X673" s="51" t="s">
        <v>50</v>
      </c>
      <c r="Y673" s="52" t="s">
        <v>5528</v>
      </c>
    </row>
    <row r="674" spans="1:25" s="437" customFormat="1" x14ac:dyDescent="0.25">
      <c r="A674" s="476">
        <v>43543</v>
      </c>
      <c r="B674" s="437" t="s">
        <v>70</v>
      </c>
      <c r="C674" s="437" t="s">
        <v>78</v>
      </c>
      <c r="D674" s="437">
        <v>38.074979999999996</v>
      </c>
      <c r="E674" s="437">
        <v>-121.98344</v>
      </c>
      <c r="F674" s="437" t="s">
        <v>5529</v>
      </c>
      <c r="G674" s="437" t="s">
        <v>27</v>
      </c>
      <c r="H674" s="437" t="s">
        <v>86</v>
      </c>
      <c r="I674" s="438">
        <v>0.35069444444444442</v>
      </c>
      <c r="J674" s="439">
        <v>143.39999999999998</v>
      </c>
      <c r="K674" s="439">
        <v>13.175000000000001</v>
      </c>
      <c r="L674" s="439">
        <v>57.25</v>
      </c>
      <c r="M674" s="439">
        <v>0.31</v>
      </c>
      <c r="N674" s="439">
        <v>3.45</v>
      </c>
      <c r="O674" s="437" t="s">
        <v>48</v>
      </c>
      <c r="P674" s="437">
        <v>4</v>
      </c>
      <c r="Q674" s="437">
        <v>10</v>
      </c>
      <c r="R674" s="437" t="s">
        <v>49</v>
      </c>
      <c r="S674" s="437" t="s">
        <v>622</v>
      </c>
      <c r="T674" s="437">
        <v>1</v>
      </c>
      <c r="U674" s="437">
        <v>232</v>
      </c>
      <c r="V674" s="437" t="s">
        <v>50</v>
      </c>
      <c r="W674" s="437">
        <v>5</v>
      </c>
      <c r="X674" s="437" t="s">
        <v>2525</v>
      </c>
      <c r="Y674" s="440"/>
    </row>
    <row r="675" spans="1:25" x14ac:dyDescent="0.25">
      <c r="A675" s="443">
        <v>43543</v>
      </c>
      <c r="B675" s="51" t="s">
        <v>70</v>
      </c>
      <c r="C675" s="51" t="s">
        <v>78</v>
      </c>
      <c r="D675" s="51">
        <v>38.046790000000001</v>
      </c>
      <c r="E675" s="51">
        <v>-121.88272000000001</v>
      </c>
      <c r="F675" s="51" t="s">
        <v>5530</v>
      </c>
      <c r="G675" s="51" t="s">
        <v>27</v>
      </c>
      <c r="H675" s="51" t="s">
        <v>101</v>
      </c>
      <c r="I675" s="66">
        <v>0.41041666666666665</v>
      </c>
      <c r="J675" s="428">
        <v>136.54999999999998</v>
      </c>
      <c r="K675" s="428">
        <v>13.1</v>
      </c>
      <c r="L675" s="428">
        <v>44.825000000000003</v>
      </c>
      <c r="M675" s="428">
        <v>0.49</v>
      </c>
      <c r="N675" s="428">
        <v>13.324999999999999</v>
      </c>
      <c r="O675" s="51" t="s">
        <v>48</v>
      </c>
      <c r="P675" s="51">
        <v>4</v>
      </c>
      <c r="Q675" s="51">
        <v>10</v>
      </c>
      <c r="R675" s="51" t="s">
        <v>49</v>
      </c>
      <c r="S675" s="51" t="s">
        <v>50</v>
      </c>
      <c r="T675" s="51" t="s">
        <v>50</v>
      </c>
      <c r="U675" s="51" t="s">
        <v>50</v>
      </c>
      <c r="V675" s="51" t="s">
        <v>50</v>
      </c>
      <c r="W675" s="51" t="s">
        <v>50</v>
      </c>
      <c r="X675" s="51" t="s">
        <v>50</v>
      </c>
    </row>
    <row r="676" spans="1:25" x14ac:dyDescent="0.25">
      <c r="A676" s="443">
        <v>43543</v>
      </c>
      <c r="B676" s="51" t="s">
        <v>70</v>
      </c>
      <c r="C676" s="51" t="s">
        <v>78</v>
      </c>
      <c r="D676" s="51">
        <v>38.021680000000003</v>
      </c>
      <c r="E676" s="51">
        <v>-121.82017999999999</v>
      </c>
      <c r="F676" s="51" t="s">
        <v>5531</v>
      </c>
      <c r="G676" s="51" t="s">
        <v>27</v>
      </c>
      <c r="H676" s="51" t="s">
        <v>101</v>
      </c>
      <c r="I676" s="66">
        <v>0.47291666666666665</v>
      </c>
      <c r="J676" s="428">
        <v>147.17500000000001</v>
      </c>
      <c r="K676" s="428">
        <v>13.4</v>
      </c>
      <c r="L676" s="428">
        <v>29.375</v>
      </c>
      <c r="M676" s="428">
        <v>0.57999999999999996</v>
      </c>
      <c r="N676" s="428">
        <v>19.325000000000003</v>
      </c>
      <c r="O676" s="51" t="s">
        <v>48</v>
      </c>
      <c r="P676" s="51">
        <v>4</v>
      </c>
      <c r="Q676" s="51">
        <v>10</v>
      </c>
      <c r="R676" s="51" t="s">
        <v>64</v>
      </c>
      <c r="S676" s="51" t="s">
        <v>50</v>
      </c>
      <c r="T676" s="51" t="s">
        <v>50</v>
      </c>
      <c r="U676" s="51" t="s">
        <v>50</v>
      </c>
      <c r="V676" s="51" t="s">
        <v>50</v>
      </c>
      <c r="W676" s="51" t="s">
        <v>50</v>
      </c>
      <c r="X676" s="51" t="s">
        <v>50</v>
      </c>
    </row>
    <row r="677" spans="1:25" x14ac:dyDescent="0.25">
      <c r="A677" s="443">
        <v>43544</v>
      </c>
      <c r="B677" s="51" t="s">
        <v>87</v>
      </c>
      <c r="C677" s="51" t="s">
        <v>845</v>
      </c>
      <c r="D677" s="51">
        <v>38.244500000000002</v>
      </c>
      <c r="E677" s="51">
        <v>-121.68288</v>
      </c>
      <c r="F677" s="51" t="s">
        <v>5532</v>
      </c>
      <c r="G677" s="51" t="s">
        <v>90</v>
      </c>
      <c r="H677" s="51" t="s">
        <v>126</v>
      </c>
      <c r="I677" s="66">
        <v>0.32361111111111113</v>
      </c>
      <c r="J677" s="428">
        <v>250.02500000000001</v>
      </c>
      <c r="K677" s="428">
        <v>14.7</v>
      </c>
      <c r="L677" s="428">
        <v>32.875</v>
      </c>
      <c r="M677" s="428">
        <v>0.42749999999999999</v>
      </c>
      <c r="N677" s="428">
        <v>11.725</v>
      </c>
      <c r="O677" s="51" t="s">
        <v>48</v>
      </c>
      <c r="P677" s="51">
        <v>4</v>
      </c>
      <c r="Q677" s="51">
        <v>10</v>
      </c>
      <c r="R677" s="51" t="s">
        <v>64</v>
      </c>
      <c r="S677" s="51" t="s">
        <v>50</v>
      </c>
      <c r="T677" s="51" t="s">
        <v>50</v>
      </c>
      <c r="U677" s="51" t="s">
        <v>50</v>
      </c>
      <c r="V677" s="51" t="s">
        <v>50</v>
      </c>
      <c r="W677" s="51" t="s">
        <v>50</v>
      </c>
      <c r="X677" s="51" t="s">
        <v>50</v>
      </c>
    </row>
    <row r="678" spans="1:25" x14ac:dyDescent="0.25">
      <c r="A678" s="443">
        <v>43544</v>
      </c>
      <c r="B678" s="51" t="s">
        <v>87</v>
      </c>
      <c r="C678" s="51" t="s">
        <v>845</v>
      </c>
      <c r="D678" s="51">
        <v>38.280760000000001</v>
      </c>
      <c r="E678" s="51">
        <v>-121.69353</v>
      </c>
      <c r="F678" s="51" t="s">
        <v>5533</v>
      </c>
      <c r="G678" s="51" t="s">
        <v>90</v>
      </c>
      <c r="H678" s="51" t="s">
        <v>126</v>
      </c>
      <c r="I678" s="66">
        <v>0.37222222222222223</v>
      </c>
      <c r="J678" s="428">
        <v>366.47500000000002</v>
      </c>
      <c r="K678" s="428">
        <v>17.05</v>
      </c>
      <c r="L678" s="428">
        <v>20.05</v>
      </c>
      <c r="M678" s="428">
        <v>0.59250000000000003</v>
      </c>
      <c r="N678" s="428">
        <v>5.35</v>
      </c>
      <c r="O678" s="51" t="s">
        <v>48</v>
      </c>
      <c r="P678" s="51">
        <v>4</v>
      </c>
      <c r="Q678" s="51">
        <v>10</v>
      </c>
      <c r="R678" s="51" t="s">
        <v>49</v>
      </c>
      <c r="S678" s="51" t="s">
        <v>50</v>
      </c>
      <c r="T678" s="51" t="s">
        <v>50</v>
      </c>
      <c r="U678" s="51" t="s">
        <v>50</v>
      </c>
      <c r="V678" s="51" t="s">
        <v>50</v>
      </c>
      <c r="W678" s="51" t="s">
        <v>50</v>
      </c>
      <c r="X678" s="51" t="s">
        <v>50</v>
      </c>
    </row>
    <row r="679" spans="1:25" x14ac:dyDescent="0.25">
      <c r="A679" s="443">
        <v>43544</v>
      </c>
      <c r="B679" s="51" t="s">
        <v>87</v>
      </c>
      <c r="C679" s="51" t="s">
        <v>845</v>
      </c>
      <c r="D679" s="51">
        <v>38.329470000000001</v>
      </c>
      <c r="E679" s="51">
        <v>-121.65170000000001</v>
      </c>
      <c r="F679" s="51" t="s">
        <v>5534</v>
      </c>
      <c r="G679" s="51" t="s">
        <v>90</v>
      </c>
      <c r="H679" s="51" t="s">
        <v>126</v>
      </c>
      <c r="I679" s="66">
        <v>0.43194444444444446</v>
      </c>
      <c r="J679" s="428">
        <v>215.1</v>
      </c>
      <c r="K679" s="428">
        <v>14.4</v>
      </c>
      <c r="L679" s="428">
        <v>45.5</v>
      </c>
      <c r="M679" s="428">
        <v>0.31</v>
      </c>
      <c r="N679" s="428">
        <v>5.05</v>
      </c>
      <c r="O679" s="51" t="s">
        <v>48</v>
      </c>
      <c r="P679" s="51">
        <v>2</v>
      </c>
      <c r="Q679" s="51">
        <v>7</v>
      </c>
      <c r="R679" s="51" t="s">
        <v>49</v>
      </c>
      <c r="S679" s="51" t="s">
        <v>50</v>
      </c>
      <c r="T679" s="51" t="s">
        <v>50</v>
      </c>
      <c r="U679" s="51" t="s">
        <v>50</v>
      </c>
      <c r="V679" s="51" t="s">
        <v>50</v>
      </c>
      <c r="W679" s="51" t="s">
        <v>50</v>
      </c>
      <c r="X679" s="51" t="s">
        <v>50</v>
      </c>
      <c r="Y679" s="52" t="s">
        <v>5535</v>
      </c>
    </row>
    <row r="680" spans="1:25" s="437" customFormat="1" x14ac:dyDescent="0.25">
      <c r="A680" s="476">
        <v>43544</v>
      </c>
      <c r="B680" s="437" t="s">
        <v>87</v>
      </c>
      <c r="C680" s="437" t="s">
        <v>95</v>
      </c>
      <c r="D680" s="437">
        <v>38.015039999999999</v>
      </c>
      <c r="E680" s="437">
        <v>-121.68444</v>
      </c>
      <c r="F680" s="437" t="s">
        <v>5536</v>
      </c>
      <c r="G680" s="437" t="s">
        <v>27</v>
      </c>
      <c r="H680" s="437" t="s">
        <v>863</v>
      </c>
      <c r="I680" s="438">
        <v>0.3298611111111111</v>
      </c>
      <c r="J680" s="439">
        <v>213.22499999999999</v>
      </c>
      <c r="K680" s="439">
        <v>14.3</v>
      </c>
      <c r="L680" s="439">
        <v>6.4924999999999997</v>
      </c>
      <c r="M680" s="439">
        <v>1.0449999999999999</v>
      </c>
      <c r="N680" s="439">
        <v>5.05</v>
      </c>
      <c r="O680" s="437" t="s">
        <v>48</v>
      </c>
      <c r="P680" s="437">
        <v>4</v>
      </c>
      <c r="Q680" s="437">
        <v>10</v>
      </c>
      <c r="R680" s="437" t="s">
        <v>49</v>
      </c>
      <c r="S680" s="437" t="s">
        <v>622</v>
      </c>
      <c r="T680" s="437">
        <v>1</v>
      </c>
      <c r="U680" s="437">
        <v>237</v>
      </c>
      <c r="V680" s="437" t="s">
        <v>50</v>
      </c>
      <c r="W680" s="437">
        <v>5</v>
      </c>
      <c r="X680" s="437" t="s">
        <v>2525</v>
      </c>
      <c r="Y680" s="440" t="s">
        <v>5537</v>
      </c>
    </row>
    <row r="681" spans="1:25" s="437" customFormat="1" x14ac:dyDescent="0.25">
      <c r="A681" s="476">
        <v>43544</v>
      </c>
      <c r="B681" s="437" t="s">
        <v>87</v>
      </c>
      <c r="C681" s="437" t="s">
        <v>95</v>
      </c>
      <c r="D681" s="437">
        <v>38.023180000000004</v>
      </c>
      <c r="E681" s="437">
        <v>-121.75039</v>
      </c>
      <c r="F681" s="437" t="s">
        <v>5538</v>
      </c>
      <c r="G681" s="437" t="s">
        <v>27</v>
      </c>
      <c r="H681" s="437" t="s">
        <v>863</v>
      </c>
      <c r="I681" s="438">
        <v>0.38055555555555554</v>
      </c>
      <c r="J681" s="439">
        <v>142.625</v>
      </c>
      <c r="K681" s="439">
        <v>13.275</v>
      </c>
      <c r="L681" s="439">
        <v>19.25</v>
      </c>
      <c r="M681" s="439">
        <v>0.58499999999999996</v>
      </c>
      <c r="N681" s="439">
        <v>6.2249999999999996</v>
      </c>
      <c r="O681" s="437" t="s">
        <v>48</v>
      </c>
      <c r="P681" s="437">
        <v>4</v>
      </c>
      <c r="Q681" s="437">
        <v>10</v>
      </c>
      <c r="R681" s="437" t="s">
        <v>49</v>
      </c>
      <c r="S681" s="437" t="s">
        <v>702</v>
      </c>
      <c r="T681" s="437">
        <v>1</v>
      </c>
      <c r="U681" s="437">
        <v>49</v>
      </c>
      <c r="V681" s="437" t="s">
        <v>50</v>
      </c>
      <c r="W681" s="437">
        <v>3</v>
      </c>
      <c r="X681" s="437" t="s">
        <v>50</v>
      </c>
      <c r="Y681" s="440"/>
    </row>
    <row r="682" spans="1:25" x14ac:dyDescent="0.25">
      <c r="A682" s="443">
        <v>43544</v>
      </c>
      <c r="B682" s="51" t="s">
        <v>87</v>
      </c>
      <c r="C682" s="51" t="s">
        <v>95</v>
      </c>
      <c r="D682" s="51">
        <v>38.023180000000004</v>
      </c>
      <c r="E682" s="51">
        <v>-121.75039</v>
      </c>
      <c r="F682" s="51" t="s">
        <v>5539</v>
      </c>
      <c r="G682" s="51" t="s">
        <v>27</v>
      </c>
      <c r="H682" s="51" t="s">
        <v>863</v>
      </c>
      <c r="I682" s="66">
        <v>0.42708333333333331</v>
      </c>
      <c r="J682" s="428">
        <v>134.02500000000001</v>
      </c>
      <c r="K682" s="428">
        <v>13.2</v>
      </c>
      <c r="L682" s="428">
        <v>19.625</v>
      </c>
      <c r="M682" s="428">
        <v>0.63249999999999995</v>
      </c>
      <c r="N682" s="428">
        <v>12.275</v>
      </c>
      <c r="O682" s="51" t="s">
        <v>48</v>
      </c>
      <c r="P682" s="51">
        <v>4</v>
      </c>
      <c r="Q682" s="51">
        <v>10</v>
      </c>
      <c r="R682" s="51" t="s">
        <v>49</v>
      </c>
      <c r="S682" s="51" t="s">
        <v>50</v>
      </c>
      <c r="T682" s="51" t="s">
        <v>50</v>
      </c>
      <c r="U682" s="51" t="s">
        <v>50</v>
      </c>
      <c r="V682" s="51" t="s">
        <v>50</v>
      </c>
      <c r="W682" s="51" t="s">
        <v>50</v>
      </c>
      <c r="X682" s="51" t="s">
        <v>50</v>
      </c>
    </row>
    <row r="683" spans="1:25" x14ac:dyDescent="0.25">
      <c r="A683" s="443">
        <v>43544</v>
      </c>
      <c r="B683" s="51" t="s">
        <v>87</v>
      </c>
      <c r="C683" s="51" t="s">
        <v>95</v>
      </c>
      <c r="D683" s="51">
        <v>38.023180000000004</v>
      </c>
      <c r="E683" s="51">
        <v>-121.75039</v>
      </c>
      <c r="F683" s="51" t="s">
        <v>5540</v>
      </c>
      <c r="G683" s="51" t="s">
        <v>27</v>
      </c>
      <c r="H683" s="51" t="s">
        <v>863</v>
      </c>
      <c r="I683" s="66">
        <v>0.47013888888888888</v>
      </c>
      <c r="J683" s="428">
        <v>139.25</v>
      </c>
      <c r="K683" s="428">
        <v>13.375</v>
      </c>
      <c r="L683" s="428">
        <v>14.875</v>
      </c>
      <c r="M683" s="428">
        <v>0.59250000000000003</v>
      </c>
      <c r="N683" s="428">
        <v>12.425000000000001</v>
      </c>
      <c r="O683" s="51" t="s">
        <v>48</v>
      </c>
      <c r="P683" s="51">
        <v>4</v>
      </c>
      <c r="Q683" s="51">
        <v>10</v>
      </c>
      <c r="R683" s="51" t="s">
        <v>49</v>
      </c>
      <c r="S683" s="51" t="s">
        <v>50</v>
      </c>
      <c r="T683" s="51" t="s">
        <v>50</v>
      </c>
      <c r="U683" s="51" t="s">
        <v>50</v>
      </c>
      <c r="V683" s="51" t="s">
        <v>50</v>
      </c>
      <c r="W683" s="51" t="s">
        <v>50</v>
      </c>
      <c r="X683" s="51" t="s">
        <v>50</v>
      </c>
    </row>
    <row r="684" spans="1:25" s="437" customFormat="1" x14ac:dyDescent="0.25">
      <c r="A684" s="476">
        <v>43544</v>
      </c>
      <c r="B684" s="437" t="s">
        <v>87</v>
      </c>
      <c r="C684" s="437" t="s">
        <v>78</v>
      </c>
      <c r="D684" s="437">
        <v>38.074100000000001</v>
      </c>
      <c r="E684" s="437">
        <v>-122.08853999999999</v>
      </c>
      <c r="F684" s="437" t="s">
        <v>5541</v>
      </c>
      <c r="G684" s="437" t="s">
        <v>80</v>
      </c>
      <c r="H684" s="437" t="s">
        <v>81</v>
      </c>
      <c r="I684" s="438">
        <v>0.40069444444444446</v>
      </c>
      <c r="J684" s="439">
        <v>141.69999999999999</v>
      </c>
      <c r="K684" s="439">
        <v>13.2</v>
      </c>
      <c r="L684" s="439">
        <v>31.15</v>
      </c>
      <c r="M684" s="439">
        <v>0.41499999999999998</v>
      </c>
      <c r="N684" s="439">
        <v>5.8574999999999999</v>
      </c>
      <c r="O684" s="437" t="s">
        <v>48</v>
      </c>
      <c r="P684" s="437">
        <v>4</v>
      </c>
      <c r="Q684" s="437">
        <v>10</v>
      </c>
      <c r="R684" s="437" t="s">
        <v>49</v>
      </c>
      <c r="S684" s="437" t="s">
        <v>622</v>
      </c>
      <c r="T684" s="437">
        <v>1</v>
      </c>
      <c r="U684" s="437">
        <v>207</v>
      </c>
      <c r="V684" s="437" t="s">
        <v>50</v>
      </c>
      <c r="W684" s="437">
        <v>5</v>
      </c>
      <c r="X684" s="437" t="s">
        <v>2525</v>
      </c>
      <c r="Y684" s="440"/>
    </row>
    <row r="685" spans="1:25" x14ac:dyDescent="0.25">
      <c r="A685" s="443">
        <v>43544</v>
      </c>
      <c r="B685" s="51" t="s">
        <v>87</v>
      </c>
      <c r="C685" s="51" t="s">
        <v>78</v>
      </c>
      <c r="D685" s="51">
        <v>38.076169999999998</v>
      </c>
      <c r="E685" s="51">
        <v>-122.08754</v>
      </c>
      <c r="F685" s="51" t="s">
        <v>5542</v>
      </c>
      <c r="G685" s="51" t="s">
        <v>80</v>
      </c>
      <c r="H685" s="51" t="s">
        <v>81</v>
      </c>
      <c r="I685" s="66">
        <v>0.34791666666666665</v>
      </c>
      <c r="J685" s="428">
        <v>148.19999999999999</v>
      </c>
      <c r="K685" s="428">
        <v>13.15</v>
      </c>
      <c r="L685" s="428">
        <v>65.875</v>
      </c>
      <c r="M685" s="428">
        <v>0.34</v>
      </c>
      <c r="N685" s="428">
        <v>10.275</v>
      </c>
      <c r="O685" s="51" t="s">
        <v>48</v>
      </c>
      <c r="P685" s="51">
        <v>4</v>
      </c>
      <c r="Q685" s="51">
        <v>10</v>
      </c>
      <c r="R685" s="51" t="s">
        <v>49</v>
      </c>
      <c r="S685" s="51" t="s">
        <v>50</v>
      </c>
      <c r="T685" s="51" t="s">
        <v>50</v>
      </c>
      <c r="U685" s="51" t="s">
        <v>50</v>
      </c>
      <c r="V685" s="51" t="s">
        <v>50</v>
      </c>
      <c r="W685" s="51" t="s">
        <v>50</v>
      </c>
      <c r="X685" s="51" t="s">
        <v>50</v>
      </c>
    </row>
    <row r="686" spans="1:25" s="437" customFormat="1" x14ac:dyDescent="0.25">
      <c r="A686" s="476">
        <v>43544</v>
      </c>
      <c r="B686" s="437" t="s">
        <v>87</v>
      </c>
      <c r="C686" s="437" t="s">
        <v>78</v>
      </c>
      <c r="D686" s="437">
        <v>38.064790000000002</v>
      </c>
      <c r="E686" s="437">
        <v>-121.96613000000001</v>
      </c>
      <c r="F686" s="437" t="s">
        <v>5543</v>
      </c>
      <c r="G686" s="437" t="s">
        <v>27</v>
      </c>
      <c r="H686" s="437" t="s">
        <v>170</v>
      </c>
      <c r="I686" s="438">
        <v>0.45555555555555555</v>
      </c>
      <c r="J686" s="439">
        <v>137.5</v>
      </c>
      <c r="K686" s="439">
        <v>13.35</v>
      </c>
      <c r="L686" s="439">
        <v>41.524999999999999</v>
      </c>
      <c r="M686" s="439">
        <v>0.39</v>
      </c>
      <c r="N686" s="439">
        <v>6.3250000000000002</v>
      </c>
      <c r="O686" s="437" t="s">
        <v>48</v>
      </c>
      <c r="P686" s="437">
        <v>4</v>
      </c>
      <c r="Q686" s="437">
        <v>10</v>
      </c>
      <c r="R686" s="437" t="s">
        <v>64</v>
      </c>
      <c r="S686" s="437" t="s">
        <v>702</v>
      </c>
      <c r="T686" s="437">
        <v>1</v>
      </c>
      <c r="U686" s="437">
        <v>52</v>
      </c>
      <c r="V686" s="437" t="s">
        <v>50</v>
      </c>
      <c r="W686" s="437">
        <v>3</v>
      </c>
      <c r="X686" s="437" t="s">
        <v>50</v>
      </c>
      <c r="Y686" s="440"/>
    </row>
    <row r="687" spans="1:25" s="437" customFormat="1" x14ac:dyDescent="0.25">
      <c r="A687" s="476">
        <v>43544</v>
      </c>
      <c r="B687" s="437" t="s">
        <v>87</v>
      </c>
      <c r="C687" s="437" t="s">
        <v>78</v>
      </c>
      <c r="D687" s="437">
        <v>38.064790000000002</v>
      </c>
      <c r="E687" s="437">
        <v>-121.96613000000001</v>
      </c>
      <c r="F687" s="437" t="s">
        <v>5543</v>
      </c>
      <c r="G687" s="437" t="s">
        <v>27</v>
      </c>
      <c r="H687" s="437" t="s">
        <v>170</v>
      </c>
      <c r="I687" s="438">
        <v>0.45555555555555555</v>
      </c>
      <c r="J687" s="439"/>
      <c r="K687" s="439"/>
      <c r="L687" s="439"/>
      <c r="M687" s="439"/>
      <c r="N687" s="439"/>
      <c r="S687" s="437" t="s">
        <v>622</v>
      </c>
      <c r="T687" s="437">
        <v>1</v>
      </c>
      <c r="U687" s="437">
        <v>255</v>
      </c>
      <c r="V687" s="437" t="s">
        <v>50</v>
      </c>
      <c r="W687" s="437">
        <v>5</v>
      </c>
      <c r="X687" s="437" t="s">
        <v>2525</v>
      </c>
      <c r="Y687" s="440" t="s">
        <v>5401</v>
      </c>
    </row>
    <row r="688" spans="1:25" x14ac:dyDescent="0.25">
      <c r="A688" s="443">
        <v>43545</v>
      </c>
      <c r="B688" s="51" t="s">
        <v>105</v>
      </c>
      <c r="C688" s="51" t="s">
        <v>106</v>
      </c>
      <c r="D688" s="51">
        <v>38.50029</v>
      </c>
      <c r="E688" s="51">
        <v>-121.58447</v>
      </c>
      <c r="F688" s="51" t="s">
        <v>5544</v>
      </c>
      <c r="G688" s="51" t="s">
        <v>90</v>
      </c>
      <c r="H688" s="51" t="s">
        <v>1787</v>
      </c>
      <c r="I688" s="66">
        <v>0.34166666666666662</v>
      </c>
      <c r="J688" s="428">
        <v>847</v>
      </c>
      <c r="K688" s="428">
        <v>13.324999999999999</v>
      </c>
      <c r="L688" s="428">
        <v>18</v>
      </c>
      <c r="M688" s="428">
        <v>0.62250000000000005</v>
      </c>
      <c r="N688" s="428">
        <v>11.350000000000001</v>
      </c>
      <c r="O688" s="51" t="s">
        <v>48</v>
      </c>
      <c r="P688" s="51">
        <v>4</v>
      </c>
      <c r="Q688" s="51">
        <v>10</v>
      </c>
      <c r="R688" s="51" t="s">
        <v>49</v>
      </c>
      <c r="S688" s="51" t="s">
        <v>50</v>
      </c>
      <c r="T688" s="51" t="s">
        <v>50</v>
      </c>
      <c r="U688" s="51" t="s">
        <v>50</v>
      </c>
      <c r="V688" s="51" t="s">
        <v>50</v>
      </c>
      <c r="W688" s="51" t="s">
        <v>50</v>
      </c>
      <c r="X688" s="51" t="s">
        <v>50</v>
      </c>
    </row>
    <row r="689" spans="1:25" x14ac:dyDescent="0.25">
      <c r="A689" s="443">
        <v>43545</v>
      </c>
      <c r="B689" s="51" t="s">
        <v>105</v>
      </c>
      <c r="C689" s="51" t="s">
        <v>106</v>
      </c>
      <c r="D689" s="51">
        <v>38.423580000000001</v>
      </c>
      <c r="E689" s="51">
        <v>-121.60621999999999</v>
      </c>
      <c r="F689" s="51" t="s">
        <v>5545</v>
      </c>
      <c r="G689" s="51" t="s">
        <v>90</v>
      </c>
      <c r="H689" s="51" t="s">
        <v>362</v>
      </c>
      <c r="I689" s="66">
        <v>0.3979166666666667</v>
      </c>
      <c r="J689" s="428">
        <v>851.75</v>
      </c>
      <c r="K689" s="428">
        <v>13.675000000000001</v>
      </c>
      <c r="L689" s="428">
        <v>30.1</v>
      </c>
      <c r="M689" s="428">
        <v>0.4325</v>
      </c>
      <c r="N689" s="428">
        <v>4.375</v>
      </c>
      <c r="O689" s="51" t="s">
        <v>48</v>
      </c>
      <c r="P689" s="51">
        <v>4</v>
      </c>
      <c r="Q689" s="51">
        <v>10</v>
      </c>
      <c r="R689" s="51" t="s">
        <v>49</v>
      </c>
      <c r="S689" s="51" t="s">
        <v>50</v>
      </c>
      <c r="T689" s="51" t="s">
        <v>50</v>
      </c>
      <c r="U689" s="51" t="s">
        <v>50</v>
      </c>
      <c r="V689" s="51" t="s">
        <v>50</v>
      </c>
      <c r="W689" s="51" t="s">
        <v>50</v>
      </c>
      <c r="X689" s="51" t="s">
        <v>50</v>
      </c>
    </row>
    <row r="690" spans="1:25" x14ac:dyDescent="0.25">
      <c r="A690" s="443">
        <v>43545</v>
      </c>
      <c r="B690" s="51" t="s">
        <v>105</v>
      </c>
      <c r="C690" s="51" t="s">
        <v>106</v>
      </c>
      <c r="D690" s="51">
        <v>38.26952</v>
      </c>
      <c r="E690" s="51">
        <v>-121.66245000000001</v>
      </c>
      <c r="F690" s="51" t="s">
        <v>5546</v>
      </c>
      <c r="G690" s="51" t="s">
        <v>90</v>
      </c>
      <c r="H690" s="51" t="s">
        <v>362</v>
      </c>
      <c r="I690" s="66">
        <v>0.45902777777777781</v>
      </c>
      <c r="J690" s="428">
        <v>384.72500000000002</v>
      </c>
      <c r="K690" s="428">
        <v>13.850000000000001</v>
      </c>
      <c r="L690" s="428">
        <v>52.2</v>
      </c>
      <c r="M690" s="428">
        <v>0.30499999999999999</v>
      </c>
      <c r="N690" s="428">
        <v>4.95</v>
      </c>
      <c r="O690" s="51" t="s">
        <v>48</v>
      </c>
      <c r="P690" s="51">
        <v>4</v>
      </c>
      <c r="Q690" s="51">
        <v>10</v>
      </c>
      <c r="R690" s="51" t="s">
        <v>49</v>
      </c>
      <c r="S690" s="51" t="s">
        <v>50</v>
      </c>
      <c r="T690" s="51" t="s">
        <v>50</v>
      </c>
      <c r="U690" s="51" t="s">
        <v>50</v>
      </c>
      <c r="V690" s="51" t="s">
        <v>50</v>
      </c>
      <c r="W690" s="51" t="s">
        <v>50</v>
      </c>
      <c r="X690" s="51" t="s">
        <v>50</v>
      </c>
    </row>
    <row r="691" spans="1:25" s="424" customFormat="1" x14ac:dyDescent="0.25">
      <c r="A691" s="446">
        <v>43545</v>
      </c>
      <c r="B691" s="424" t="s">
        <v>105</v>
      </c>
      <c r="C691" s="424" t="s">
        <v>95</v>
      </c>
      <c r="D691" s="424">
        <v>38.041220000000003</v>
      </c>
      <c r="E691" s="424">
        <v>-121.52522999999999</v>
      </c>
      <c r="F691" s="424" t="s">
        <v>5547</v>
      </c>
      <c r="G691" s="424" t="s">
        <v>46</v>
      </c>
      <c r="H691" s="424" t="s">
        <v>115</v>
      </c>
      <c r="I691" s="425">
        <v>0.32430555555555557</v>
      </c>
      <c r="J691" s="427">
        <v>155.29999999999998</v>
      </c>
      <c r="K691" s="427">
        <v>13.475</v>
      </c>
      <c r="L691" s="427">
        <v>9.1624999999999996</v>
      </c>
      <c r="M691" s="427">
        <v>0.9325</v>
      </c>
      <c r="N691" s="427">
        <v>6.1</v>
      </c>
      <c r="O691" s="424" t="s">
        <v>48</v>
      </c>
      <c r="P691" s="424">
        <v>4</v>
      </c>
      <c r="Q691" s="424">
        <v>10</v>
      </c>
      <c r="R691" s="424" t="s">
        <v>49</v>
      </c>
      <c r="S691" s="424" t="s">
        <v>50</v>
      </c>
      <c r="T691" s="424" t="s">
        <v>50</v>
      </c>
      <c r="U691" s="424" t="s">
        <v>50</v>
      </c>
      <c r="V691" s="424" t="s">
        <v>50</v>
      </c>
      <c r="W691" s="424" t="s">
        <v>50</v>
      </c>
      <c r="X691" s="424" t="s">
        <v>50</v>
      </c>
      <c r="Y691" s="426" t="s">
        <v>5548</v>
      </c>
    </row>
    <row r="692" spans="1:25" x14ac:dyDescent="0.25">
      <c r="A692" s="443">
        <v>43545</v>
      </c>
      <c r="B692" s="51" t="s">
        <v>105</v>
      </c>
      <c r="C692" s="51" t="s">
        <v>95</v>
      </c>
      <c r="D692" s="51">
        <v>38.100470000000001</v>
      </c>
      <c r="E692" s="51">
        <v>-121.59115</v>
      </c>
      <c r="F692" s="51" t="s">
        <v>5549</v>
      </c>
      <c r="G692" s="51" t="s">
        <v>46</v>
      </c>
      <c r="H692" s="51" t="s">
        <v>115</v>
      </c>
      <c r="I692" s="66">
        <v>0.37916666666666665</v>
      </c>
      <c r="J692" s="428">
        <v>125.27499999999999</v>
      </c>
      <c r="K692" s="428">
        <v>13.35</v>
      </c>
      <c r="L692" s="428">
        <v>14.899999999999999</v>
      </c>
      <c r="M692" s="428">
        <v>0.76249999999999996</v>
      </c>
      <c r="N692" s="428">
        <v>10.525</v>
      </c>
      <c r="O692" s="51" t="s">
        <v>48</v>
      </c>
      <c r="P692" s="51">
        <v>4</v>
      </c>
      <c r="Q692" s="51">
        <v>10</v>
      </c>
      <c r="R692" s="51" t="s">
        <v>49</v>
      </c>
      <c r="S692" s="51" t="s">
        <v>50</v>
      </c>
      <c r="T692" s="51" t="s">
        <v>50</v>
      </c>
      <c r="U692" s="51" t="s">
        <v>50</v>
      </c>
      <c r="V692" s="51" t="s">
        <v>50</v>
      </c>
      <c r="W692" s="51" t="s">
        <v>50</v>
      </c>
      <c r="X692" s="51" t="s">
        <v>50</v>
      </c>
      <c r="Y692" s="52" t="s">
        <v>124</v>
      </c>
    </row>
    <row r="693" spans="1:25" x14ac:dyDescent="0.25">
      <c r="A693" s="443">
        <v>43545</v>
      </c>
      <c r="B693" s="51" t="s">
        <v>105</v>
      </c>
      <c r="C693" s="51" t="s">
        <v>95</v>
      </c>
      <c r="D693" s="51">
        <v>38.099780000000003</v>
      </c>
      <c r="E693" s="51">
        <v>-121.58762</v>
      </c>
      <c r="F693" s="51" t="s">
        <v>5550</v>
      </c>
      <c r="G693" s="51" t="s">
        <v>46</v>
      </c>
      <c r="H693" s="51" t="s">
        <v>115</v>
      </c>
      <c r="I693" s="66">
        <v>0.4201388888888889</v>
      </c>
      <c r="J693" s="428">
        <v>126.375</v>
      </c>
      <c r="K693" s="428">
        <v>13.224999999999998</v>
      </c>
      <c r="L693" s="428">
        <v>16.074999999999999</v>
      </c>
      <c r="M693" s="428">
        <v>0.76500000000000001</v>
      </c>
      <c r="N693" s="428">
        <v>10.25</v>
      </c>
      <c r="O693" s="51" t="s">
        <v>48</v>
      </c>
      <c r="P693" s="51">
        <v>4</v>
      </c>
      <c r="Q693" s="51">
        <v>10</v>
      </c>
      <c r="R693" s="51" t="s">
        <v>49</v>
      </c>
      <c r="S693" s="51" t="s">
        <v>50</v>
      </c>
      <c r="T693" s="51" t="s">
        <v>50</v>
      </c>
      <c r="U693" s="51" t="s">
        <v>50</v>
      </c>
      <c r="V693" s="51" t="s">
        <v>50</v>
      </c>
      <c r="W693" s="51" t="s">
        <v>50</v>
      </c>
      <c r="X693" s="51" t="s">
        <v>50</v>
      </c>
    </row>
    <row r="694" spans="1:25" x14ac:dyDescent="0.25">
      <c r="A694" s="443">
        <v>43545</v>
      </c>
      <c r="B694" s="51" t="s">
        <v>105</v>
      </c>
      <c r="C694" s="51" t="s">
        <v>62</v>
      </c>
      <c r="D694" s="51">
        <v>38.116909999999997</v>
      </c>
      <c r="E694" s="51">
        <v>-122.05439</v>
      </c>
      <c r="F694" s="51" t="s">
        <v>5551</v>
      </c>
      <c r="G694" s="51" t="s">
        <v>27</v>
      </c>
      <c r="H694" s="51" t="s">
        <v>173</v>
      </c>
      <c r="I694" s="66">
        <v>0.34722222222222227</v>
      </c>
      <c r="J694" s="428">
        <v>356.82500000000005</v>
      </c>
      <c r="K694" s="428">
        <v>13.375</v>
      </c>
      <c r="L694" s="428">
        <v>122.5</v>
      </c>
      <c r="M694" s="428">
        <v>0.17</v>
      </c>
      <c r="N694" s="428">
        <v>2.9250000000000003</v>
      </c>
      <c r="O694" s="51" t="s">
        <v>48</v>
      </c>
      <c r="P694" s="51">
        <v>4</v>
      </c>
      <c r="Q694" s="51">
        <v>10</v>
      </c>
      <c r="R694" s="51" t="s">
        <v>49</v>
      </c>
      <c r="S694" s="51" t="s">
        <v>50</v>
      </c>
      <c r="T694" s="51" t="s">
        <v>50</v>
      </c>
      <c r="U694" s="51" t="s">
        <v>50</v>
      </c>
      <c r="V694" s="51" t="s">
        <v>50</v>
      </c>
      <c r="W694" s="51" t="s">
        <v>50</v>
      </c>
      <c r="X694" s="51" t="s">
        <v>50</v>
      </c>
    </row>
    <row r="695" spans="1:25" s="437" customFormat="1" x14ac:dyDescent="0.25">
      <c r="A695" s="476">
        <v>43545</v>
      </c>
      <c r="B695" s="437" t="s">
        <v>105</v>
      </c>
      <c r="C695" s="437" t="s">
        <v>62</v>
      </c>
      <c r="D695" s="437">
        <v>38.133749999999999</v>
      </c>
      <c r="E695" s="437">
        <v>-122.05942</v>
      </c>
      <c r="F695" s="437" t="s">
        <v>5552</v>
      </c>
      <c r="G695" s="437" t="s">
        <v>27</v>
      </c>
      <c r="H695" s="437" t="s">
        <v>62</v>
      </c>
      <c r="I695" s="438">
        <v>0.39861111111111108</v>
      </c>
      <c r="J695" s="439">
        <v>697</v>
      </c>
      <c r="K695" s="439">
        <v>13.85</v>
      </c>
      <c r="L695" s="439">
        <v>148.75</v>
      </c>
      <c r="M695" s="439">
        <v>0.15</v>
      </c>
      <c r="N695" s="439">
        <v>5.8999999999999995</v>
      </c>
      <c r="O695" s="437" t="s">
        <v>48</v>
      </c>
      <c r="P695" s="437">
        <v>4</v>
      </c>
      <c r="Q695" s="437">
        <v>10</v>
      </c>
      <c r="R695" s="437" t="s">
        <v>49</v>
      </c>
      <c r="S695" s="437" t="s">
        <v>702</v>
      </c>
      <c r="T695" s="437">
        <v>1</v>
      </c>
      <c r="U695" s="437">
        <v>43</v>
      </c>
      <c r="V695" s="437" t="s">
        <v>50</v>
      </c>
      <c r="W695" s="437">
        <v>3</v>
      </c>
      <c r="X695" s="437" t="s">
        <v>50</v>
      </c>
      <c r="Y695" s="440"/>
    </row>
    <row r="696" spans="1:25" s="74" customFormat="1" x14ac:dyDescent="0.25">
      <c r="A696" s="444">
        <v>43545</v>
      </c>
      <c r="B696" s="74" t="s">
        <v>105</v>
      </c>
      <c r="C696" s="74" t="s">
        <v>62</v>
      </c>
      <c r="D696" s="74">
        <v>38.110439999999997</v>
      </c>
      <c r="E696" s="74">
        <v>-121.89069000000001</v>
      </c>
      <c r="F696" s="74" t="s">
        <v>5553</v>
      </c>
      <c r="G696" s="74" t="s">
        <v>27</v>
      </c>
      <c r="H696" s="74" t="s">
        <v>62</v>
      </c>
      <c r="I696" s="73">
        <v>0.47361111111111115</v>
      </c>
      <c r="J696" s="445">
        <v>268.55</v>
      </c>
      <c r="K696" s="445">
        <v>13.45</v>
      </c>
      <c r="L696" s="445">
        <v>62.375</v>
      </c>
      <c r="M696" s="445">
        <v>0.29500000000000004</v>
      </c>
      <c r="N696" s="445">
        <v>3.75</v>
      </c>
      <c r="O696" s="74" t="s">
        <v>48</v>
      </c>
      <c r="P696" s="74">
        <v>4</v>
      </c>
      <c r="Q696" s="74">
        <v>10</v>
      </c>
      <c r="R696" s="74" t="s">
        <v>49</v>
      </c>
      <c r="S696" s="74" t="s">
        <v>50</v>
      </c>
      <c r="T696" s="74" t="s">
        <v>50</v>
      </c>
      <c r="U696" s="74" t="s">
        <v>50</v>
      </c>
      <c r="V696" s="74" t="s">
        <v>50</v>
      </c>
      <c r="W696" s="74" t="s">
        <v>50</v>
      </c>
      <c r="X696" s="74" t="s">
        <v>50</v>
      </c>
      <c r="Y696" s="77"/>
    </row>
    <row r="697" spans="1:25" s="437" customFormat="1" x14ac:dyDescent="0.25">
      <c r="A697" s="476">
        <v>43549</v>
      </c>
      <c r="B697" s="437" t="s">
        <v>43</v>
      </c>
      <c r="C697" s="437" t="s">
        <v>62</v>
      </c>
      <c r="D697" s="437">
        <v>38.105870000000003</v>
      </c>
      <c r="E697" s="437">
        <v>-122.06229999999999</v>
      </c>
      <c r="F697" s="437" t="s">
        <v>5554</v>
      </c>
      <c r="G697" s="437" t="s">
        <v>27</v>
      </c>
      <c r="H697" s="437" t="s">
        <v>173</v>
      </c>
      <c r="I697" s="438">
        <v>0.36736111111111108</v>
      </c>
      <c r="J697" s="439">
        <v>189.04999999999998</v>
      </c>
      <c r="K697" s="439">
        <v>13.95</v>
      </c>
      <c r="L697" s="439">
        <v>52.724999999999994</v>
      </c>
      <c r="M697" s="439">
        <v>0.27750000000000002</v>
      </c>
      <c r="N697" s="439">
        <v>2.8</v>
      </c>
      <c r="O697" s="437" t="s">
        <v>48</v>
      </c>
      <c r="P697" s="437">
        <v>4</v>
      </c>
      <c r="Q697" s="437">
        <v>10</v>
      </c>
      <c r="R697" s="437" t="s">
        <v>49</v>
      </c>
      <c r="S697" s="437" t="s">
        <v>702</v>
      </c>
      <c r="T697" s="437">
        <v>3</v>
      </c>
      <c r="U697" s="437" t="s">
        <v>5555</v>
      </c>
      <c r="V697" s="437" t="s">
        <v>50</v>
      </c>
      <c r="W697" s="437">
        <v>2</v>
      </c>
      <c r="X697" s="437" t="s">
        <v>50</v>
      </c>
      <c r="Y697" s="440" t="s">
        <v>124</v>
      </c>
    </row>
    <row r="698" spans="1:25" s="437" customFormat="1" x14ac:dyDescent="0.25">
      <c r="A698" s="476">
        <v>43549</v>
      </c>
      <c r="B698" s="437" t="s">
        <v>43</v>
      </c>
      <c r="C698" s="437" t="s">
        <v>62</v>
      </c>
      <c r="D698" s="437">
        <v>38.105870000000003</v>
      </c>
      <c r="E698" s="437">
        <v>-122.06229999999999</v>
      </c>
      <c r="F698" s="437" t="s">
        <v>5554</v>
      </c>
      <c r="G698" s="437" t="s">
        <v>27</v>
      </c>
      <c r="H698" s="437" t="s">
        <v>173</v>
      </c>
      <c r="I698" s="438">
        <v>0.36736111111111108</v>
      </c>
      <c r="J698" s="439"/>
      <c r="K698" s="439"/>
      <c r="L698" s="439"/>
      <c r="M698" s="439"/>
      <c r="N698" s="439"/>
      <c r="S698" s="437" t="s">
        <v>758</v>
      </c>
      <c r="T698" s="437">
        <v>1</v>
      </c>
      <c r="U698" s="437">
        <v>115</v>
      </c>
      <c r="V698" s="437" t="s">
        <v>50</v>
      </c>
      <c r="W698" s="437">
        <v>4</v>
      </c>
      <c r="X698" s="437" t="s">
        <v>50</v>
      </c>
      <c r="Y698" s="440"/>
    </row>
    <row r="699" spans="1:25" x14ac:dyDescent="0.25">
      <c r="A699" s="443">
        <v>43549</v>
      </c>
      <c r="B699" s="51" t="s">
        <v>43</v>
      </c>
      <c r="C699" s="51" t="s">
        <v>62</v>
      </c>
      <c r="D699" s="51">
        <v>38.162109999999998</v>
      </c>
      <c r="E699" s="51">
        <v>-122.06012</v>
      </c>
      <c r="F699" s="51" t="s">
        <v>5556</v>
      </c>
      <c r="G699" s="51" t="s">
        <v>27</v>
      </c>
      <c r="H699" s="51" t="s">
        <v>62</v>
      </c>
      <c r="I699" s="66">
        <v>0.39444444444444443</v>
      </c>
      <c r="J699" s="428">
        <v>805</v>
      </c>
      <c r="K699" s="428">
        <v>14.574999999999999</v>
      </c>
      <c r="L699" s="428">
        <v>138.75</v>
      </c>
      <c r="M699" s="428">
        <v>0.1575</v>
      </c>
      <c r="N699" s="428">
        <v>3.85</v>
      </c>
      <c r="O699" s="51" t="s">
        <v>48</v>
      </c>
      <c r="P699" s="51">
        <v>4</v>
      </c>
      <c r="Q699" s="51">
        <v>10</v>
      </c>
      <c r="R699" s="51" t="s">
        <v>49</v>
      </c>
      <c r="S699" s="51" t="s">
        <v>50</v>
      </c>
      <c r="T699" s="51" t="s">
        <v>50</v>
      </c>
      <c r="U699" s="51" t="s">
        <v>50</v>
      </c>
      <c r="V699" s="51" t="s">
        <v>50</v>
      </c>
      <c r="W699" s="51" t="s">
        <v>50</v>
      </c>
      <c r="X699" s="51" t="s">
        <v>50</v>
      </c>
    </row>
    <row r="700" spans="1:25" x14ac:dyDescent="0.25">
      <c r="A700" s="443">
        <v>43549</v>
      </c>
      <c r="B700" s="51" t="s">
        <v>43</v>
      </c>
      <c r="C700" s="51" t="s">
        <v>62</v>
      </c>
      <c r="D700" s="51">
        <v>38.115549999999999</v>
      </c>
      <c r="E700" s="51">
        <v>-121.8907</v>
      </c>
      <c r="F700" s="51" t="s">
        <v>5557</v>
      </c>
      <c r="G700" s="51" t="s">
        <v>27</v>
      </c>
      <c r="H700" s="51" t="s">
        <v>62</v>
      </c>
      <c r="I700" s="66">
        <v>0.47013888888888888</v>
      </c>
      <c r="J700" s="428">
        <v>530.25</v>
      </c>
      <c r="K700" s="428">
        <v>13.75</v>
      </c>
      <c r="L700" s="428">
        <v>29.9</v>
      </c>
      <c r="M700" s="428">
        <v>0.40500000000000003</v>
      </c>
      <c r="N700" s="428">
        <v>4.625</v>
      </c>
      <c r="O700" s="51" t="s">
        <v>48</v>
      </c>
      <c r="P700" s="51">
        <v>4</v>
      </c>
      <c r="Q700" s="51">
        <v>10</v>
      </c>
      <c r="R700" s="51" t="s">
        <v>49</v>
      </c>
      <c r="S700" s="51" t="s">
        <v>50</v>
      </c>
      <c r="T700" s="51" t="s">
        <v>50</v>
      </c>
      <c r="U700" s="51" t="s">
        <v>50</v>
      </c>
      <c r="V700" s="51" t="s">
        <v>50</v>
      </c>
      <c r="W700" s="51" t="s">
        <v>50</v>
      </c>
      <c r="X700" s="51" t="s">
        <v>50</v>
      </c>
    </row>
    <row r="701" spans="1:25" s="437" customFormat="1" x14ac:dyDescent="0.25">
      <c r="A701" s="476">
        <v>43549</v>
      </c>
      <c r="B701" s="437" t="s">
        <v>43</v>
      </c>
      <c r="C701" s="437" t="s">
        <v>845</v>
      </c>
      <c r="D701" s="437">
        <v>38.374429999999997</v>
      </c>
      <c r="E701" s="437">
        <v>-121.63346</v>
      </c>
      <c r="F701" s="437" t="s">
        <v>5558</v>
      </c>
      <c r="G701" s="437" t="s">
        <v>90</v>
      </c>
      <c r="H701" s="437" t="s">
        <v>126</v>
      </c>
      <c r="I701" s="438">
        <v>0.33819444444444446</v>
      </c>
      <c r="J701" s="439">
        <v>333.8</v>
      </c>
      <c r="K701" s="439">
        <v>14.824999999999999</v>
      </c>
      <c r="L701" s="439" t="s">
        <v>50</v>
      </c>
      <c r="M701" s="439">
        <v>0.43</v>
      </c>
      <c r="N701" s="439">
        <v>5.625</v>
      </c>
      <c r="O701" s="437" t="s">
        <v>48</v>
      </c>
      <c r="P701" s="437">
        <v>4</v>
      </c>
      <c r="Q701" s="437">
        <v>10</v>
      </c>
      <c r="R701" s="437" t="s">
        <v>49</v>
      </c>
      <c r="S701" s="437" t="s">
        <v>5265</v>
      </c>
      <c r="T701" s="437">
        <v>1</v>
      </c>
      <c r="U701" s="437">
        <v>123</v>
      </c>
      <c r="V701" s="437" t="s">
        <v>50</v>
      </c>
      <c r="W701" s="437">
        <v>4</v>
      </c>
      <c r="X701" s="437" t="s">
        <v>2525</v>
      </c>
      <c r="Y701" s="440" t="s">
        <v>5491</v>
      </c>
    </row>
    <row r="702" spans="1:25" x14ac:dyDescent="0.25">
      <c r="A702" s="443">
        <v>43549</v>
      </c>
      <c r="B702" s="51" t="s">
        <v>43</v>
      </c>
      <c r="C702" s="51" t="s">
        <v>845</v>
      </c>
      <c r="D702" s="51">
        <v>38.291409999999999</v>
      </c>
      <c r="E702" s="51">
        <v>-121.66681</v>
      </c>
      <c r="F702" s="51" t="s">
        <v>5559</v>
      </c>
      <c r="G702" s="51" t="s">
        <v>90</v>
      </c>
      <c r="H702" s="51" t="s">
        <v>126</v>
      </c>
      <c r="I702" s="66">
        <v>0.41250000000000003</v>
      </c>
      <c r="J702" s="428">
        <v>321.42499999999995</v>
      </c>
      <c r="K702" s="428">
        <v>14.900000000000002</v>
      </c>
      <c r="L702" s="428" t="s">
        <v>50</v>
      </c>
      <c r="M702" s="428">
        <v>0.54749999999999999</v>
      </c>
      <c r="N702" s="428">
        <v>6.6749999999999998</v>
      </c>
      <c r="O702" s="51" t="s">
        <v>48</v>
      </c>
      <c r="P702" s="51">
        <v>4</v>
      </c>
      <c r="Q702" s="51">
        <v>10</v>
      </c>
      <c r="R702" s="51" t="s">
        <v>49</v>
      </c>
      <c r="S702" s="51" t="s">
        <v>50</v>
      </c>
      <c r="T702" s="51" t="s">
        <v>50</v>
      </c>
      <c r="U702" s="51" t="s">
        <v>50</v>
      </c>
      <c r="V702" s="51" t="s">
        <v>50</v>
      </c>
      <c r="W702" s="51" t="s">
        <v>50</v>
      </c>
      <c r="X702" s="51" t="s">
        <v>50</v>
      </c>
      <c r="Y702" s="52" t="s">
        <v>5491</v>
      </c>
    </row>
    <row r="703" spans="1:25" s="437" customFormat="1" x14ac:dyDescent="0.25">
      <c r="A703" s="476">
        <v>43549</v>
      </c>
      <c r="B703" s="437" t="s">
        <v>43</v>
      </c>
      <c r="C703" s="437" t="s">
        <v>845</v>
      </c>
      <c r="D703" s="437">
        <v>38.255099999999999</v>
      </c>
      <c r="E703" s="437">
        <v>-121.68906</v>
      </c>
      <c r="F703" s="437" t="s">
        <v>5560</v>
      </c>
      <c r="G703" s="437" t="s">
        <v>90</v>
      </c>
      <c r="H703" s="437" t="s">
        <v>126</v>
      </c>
      <c r="I703" s="438">
        <v>0.47986111111111113</v>
      </c>
      <c r="J703" s="439">
        <v>271.89999999999998</v>
      </c>
      <c r="K703" s="439">
        <v>14.55</v>
      </c>
      <c r="L703" s="439" t="s">
        <v>50</v>
      </c>
      <c r="M703" s="439">
        <v>0.54749999999999999</v>
      </c>
      <c r="N703" s="439">
        <v>9.5749999999999993</v>
      </c>
      <c r="O703" s="437" t="s">
        <v>48</v>
      </c>
      <c r="P703" s="437">
        <v>4</v>
      </c>
      <c r="Q703" s="437">
        <v>10</v>
      </c>
      <c r="R703" s="437" t="s">
        <v>49</v>
      </c>
      <c r="S703" s="437" t="s">
        <v>702</v>
      </c>
      <c r="T703" s="437">
        <v>1</v>
      </c>
      <c r="U703" s="437">
        <v>47</v>
      </c>
      <c r="V703" s="437" t="s">
        <v>50</v>
      </c>
      <c r="W703" s="437">
        <v>3</v>
      </c>
      <c r="X703" s="437" t="s">
        <v>50</v>
      </c>
      <c r="Y703" s="440" t="s">
        <v>5491</v>
      </c>
    </row>
    <row r="704" spans="1:25" x14ac:dyDescent="0.25">
      <c r="A704" s="443">
        <v>43549</v>
      </c>
      <c r="B704" s="51" t="s">
        <v>43</v>
      </c>
      <c r="C704" s="51" t="s">
        <v>44</v>
      </c>
      <c r="D704" s="51">
        <v>37.819969999999998</v>
      </c>
      <c r="E704" s="51">
        <v>-121.48631</v>
      </c>
      <c r="F704" s="51" t="s">
        <v>5561</v>
      </c>
      <c r="G704" s="51" t="s">
        <v>46</v>
      </c>
      <c r="H704" s="51" t="s">
        <v>376</v>
      </c>
      <c r="I704" s="66">
        <v>0.38611111111111113</v>
      </c>
      <c r="J704" s="428">
        <v>181.75</v>
      </c>
      <c r="K704" s="428">
        <v>12.224999999999998</v>
      </c>
      <c r="L704" s="428">
        <v>11.925000000000001</v>
      </c>
      <c r="M704" s="428">
        <v>0.90500000000000003</v>
      </c>
      <c r="N704" s="428">
        <v>4.0999999999999996</v>
      </c>
      <c r="O704" s="51" t="s">
        <v>48</v>
      </c>
      <c r="P704" s="51">
        <v>4</v>
      </c>
      <c r="Q704" s="51">
        <v>10</v>
      </c>
      <c r="R704" s="51" t="s">
        <v>49</v>
      </c>
      <c r="S704" s="51" t="s">
        <v>50</v>
      </c>
      <c r="T704" s="51" t="s">
        <v>50</v>
      </c>
      <c r="U704" s="51" t="s">
        <v>50</v>
      </c>
      <c r="V704" s="51" t="s">
        <v>50</v>
      </c>
      <c r="W704" s="51" t="s">
        <v>50</v>
      </c>
      <c r="X704" s="51" t="s">
        <v>50</v>
      </c>
    </row>
    <row r="705" spans="1:25" x14ac:dyDescent="0.25">
      <c r="A705" s="443">
        <v>43549</v>
      </c>
      <c r="B705" s="51" t="s">
        <v>43</v>
      </c>
      <c r="C705" s="51" t="s">
        <v>44</v>
      </c>
      <c r="D705" s="51">
        <v>37.922310000000003</v>
      </c>
      <c r="E705" s="51">
        <v>-121.52591</v>
      </c>
      <c r="F705" s="51" t="s">
        <v>5562</v>
      </c>
      <c r="G705" s="51" t="s">
        <v>46</v>
      </c>
      <c r="H705" s="51" t="s">
        <v>56</v>
      </c>
      <c r="I705" s="66">
        <v>0.4548611111111111</v>
      </c>
      <c r="J705" s="428">
        <v>269.125</v>
      </c>
      <c r="K705" s="428">
        <v>14.75</v>
      </c>
      <c r="L705" s="428">
        <v>8.6349999999999998</v>
      </c>
      <c r="M705" s="428">
        <v>1.3374999999999999</v>
      </c>
      <c r="N705" s="428">
        <v>7.1750000000000007</v>
      </c>
      <c r="O705" s="51" t="s">
        <v>48</v>
      </c>
      <c r="P705" s="51">
        <v>4</v>
      </c>
      <c r="Q705" s="51">
        <v>10</v>
      </c>
      <c r="R705" s="51" t="s">
        <v>64</v>
      </c>
      <c r="S705" s="51" t="s">
        <v>50</v>
      </c>
      <c r="T705" s="51" t="s">
        <v>50</v>
      </c>
      <c r="U705" s="51" t="s">
        <v>50</v>
      </c>
      <c r="V705" s="51" t="s">
        <v>50</v>
      </c>
      <c r="W705" s="51" t="s">
        <v>50</v>
      </c>
      <c r="X705" s="51" t="s">
        <v>50</v>
      </c>
    </row>
    <row r="706" spans="1:25" x14ac:dyDescent="0.25">
      <c r="A706" s="443">
        <v>43549</v>
      </c>
      <c r="B706" s="51" t="s">
        <v>43</v>
      </c>
      <c r="C706" s="51" t="s">
        <v>44</v>
      </c>
      <c r="D706" s="51">
        <v>37.907330000000002</v>
      </c>
      <c r="E706" s="51">
        <v>-121.50872</v>
      </c>
      <c r="F706" s="51" t="s">
        <v>5563</v>
      </c>
      <c r="G706" s="51" t="s">
        <v>46</v>
      </c>
      <c r="H706" s="51" t="s">
        <v>56</v>
      </c>
      <c r="I706" s="66">
        <v>0.51458333333333328</v>
      </c>
      <c r="J706" s="428">
        <v>278.5</v>
      </c>
      <c r="K706" s="428">
        <v>14.85</v>
      </c>
      <c r="L706" s="428">
        <v>7.3674999999999997</v>
      </c>
      <c r="M706" s="428">
        <v>1.375</v>
      </c>
      <c r="N706" s="428">
        <v>4.5249999999999995</v>
      </c>
      <c r="O706" s="51" t="s">
        <v>48</v>
      </c>
      <c r="P706" s="51">
        <v>4</v>
      </c>
      <c r="Q706" s="51">
        <v>10</v>
      </c>
      <c r="R706" s="51" t="s">
        <v>64</v>
      </c>
      <c r="S706" s="51" t="s">
        <v>50</v>
      </c>
      <c r="T706" s="51" t="s">
        <v>50</v>
      </c>
      <c r="U706" s="51" t="s">
        <v>50</v>
      </c>
      <c r="V706" s="51" t="s">
        <v>50</v>
      </c>
      <c r="W706" s="51" t="s">
        <v>50</v>
      </c>
      <c r="X706" s="51" t="s">
        <v>50</v>
      </c>
    </row>
    <row r="707" spans="1:25" x14ac:dyDescent="0.25">
      <c r="A707" s="443">
        <v>43550</v>
      </c>
      <c r="B707" s="51" t="s">
        <v>70</v>
      </c>
      <c r="C707" s="51" t="s">
        <v>44</v>
      </c>
      <c r="D707" s="51">
        <v>37.97513</v>
      </c>
      <c r="E707" s="51">
        <v>-121.52758</v>
      </c>
      <c r="F707" s="51" t="s">
        <v>5564</v>
      </c>
      <c r="G707" s="51" t="s">
        <v>46</v>
      </c>
      <c r="H707" s="51" t="s">
        <v>59</v>
      </c>
      <c r="I707" s="66">
        <v>0.32777777777777778</v>
      </c>
      <c r="J707" s="428">
        <v>242.97500000000002</v>
      </c>
      <c r="K707" s="428">
        <v>14.274999999999999</v>
      </c>
      <c r="L707" s="428">
        <v>4.8499999999999996</v>
      </c>
      <c r="M707" s="428">
        <v>1.8</v>
      </c>
      <c r="N707" s="428">
        <v>5.0249999999999995</v>
      </c>
      <c r="O707" s="51" t="s">
        <v>48</v>
      </c>
      <c r="P707" s="51">
        <v>4</v>
      </c>
      <c r="Q707" s="51">
        <v>10</v>
      </c>
      <c r="R707" s="51" t="s">
        <v>64</v>
      </c>
      <c r="S707" s="51" t="s">
        <v>50</v>
      </c>
      <c r="T707" s="51" t="s">
        <v>50</v>
      </c>
      <c r="U707" s="51" t="s">
        <v>50</v>
      </c>
      <c r="V707" s="51" t="s">
        <v>50</v>
      </c>
      <c r="W707" s="51" t="s">
        <v>50</v>
      </c>
      <c r="X707" s="51" t="s">
        <v>50</v>
      </c>
    </row>
    <row r="708" spans="1:25" x14ac:dyDescent="0.25">
      <c r="A708" s="443">
        <v>43550</v>
      </c>
      <c r="B708" s="51" t="s">
        <v>70</v>
      </c>
      <c r="C708" s="51" t="s">
        <v>44</v>
      </c>
      <c r="D708" s="51">
        <v>37.983310000000003</v>
      </c>
      <c r="E708" s="51">
        <v>-121.52222999999999</v>
      </c>
      <c r="F708" s="51" t="s">
        <v>5565</v>
      </c>
      <c r="G708" s="51" t="s">
        <v>46</v>
      </c>
      <c r="H708" s="51" t="s">
        <v>59</v>
      </c>
      <c r="I708" s="66">
        <v>0.38055555555555554</v>
      </c>
      <c r="J708" s="428">
        <v>237.77499999999998</v>
      </c>
      <c r="K708" s="428">
        <v>14.45</v>
      </c>
      <c r="L708" s="428">
        <v>6.2999999999999989</v>
      </c>
      <c r="M708" s="428">
        <v>1.8</v>
      </c>
      <c r="N708" s="428">
        <v>5.3249999999999993</v>
      </c>
      <c r="O708" s="51" t="s">
        <v>48</v>
      </c>
      <c r="P708" s="51">
        <v>4</v>
      </c>
      <c r="Q708" s="51">
        <v>10</v>
      </c>
      <c r="R708" s="51" t="s">
        <v>64</v>
      </c>
      <c r="S708" s="51" t="s">
        <v>50</v>
      </c>
      <c r="T708" s="51" t="s">
        <v>50</v>
      </c>
      <c r="U708" s="51" t="s">
        <v>50</v>
      </c>
      <c r="V708" s="51" t="s">
        <v>50</v>
      </c>
      <c r="W708" s="51" t="s">
        <v>50</v>
      </c>
      <c r="X708" s="51" t="s">
        <v>50</v>
      </c>
    </row>
    <row r="709" spans="1:25" x14ac:dyDescent="0.25">
      <c r="A709" s="443">
        <v>43550</v>
      </c>
      <c r="B709" s="51" t="s">
        <v>70</v>
      </c>
      <c r="C709" s="51" t="s">
        <v>44</v>
      </c>
      <c r="D709" s="51">
        <v>38.033430000000003</v>
      </c>
      <c r="E709" s="51">
        <v>-121.59375</v>
      </c>
      <c r="F709" s="51" t="s">
        <v>5566</v>
      </c>
      <c r="G709" s="51" t="s">
        <v>46</v>
      </c>
      <c r="H709" s="51" t="s">
        <v>47</v>
      </c>
      <c r="I709" s="66">
        <v>0.44722222222222219</v>
      </c>
      <c r="J709" s="428">
        <v>240.22499999999997</v>
      </c>
      <c r="K709" s="428">
        <v>14.75</v>
      </c>
      <c r="L709" s="428">
        <v>5.8</v>
      </c>
      <c r="M709" s="428">
        <v>1.6199999999999999</v>
      </c>
      <c r="N709" s="428">
        <v>2.6749999999999998</v>
      </c>
      <c r="O709" s="51" t="s">
        <v>48</v>
      </c>
      <c r="P709" s="51">
        <v>4</v>
      </c>
      <c r="Q709" s="51">
        <v>10</v>
      </c>
      <c r="R709" s="51" t="s">
        <v>49</v>
      </c>
      <c r="S709" s="51" t="s">
        <v>50</v>
      </c>
      <c r="T709" s="51" t="s">
        <v>50</v>
      </c>
      <c r="U709" s="51" t="s">
        <v>50</v>
      </c>
      <c r="V709" s="51" t="s">
        <v>50</v>
      </c>
      <c r="W709" s="51" t="s">
        <v>50</v>
      </c>
      <c r="X709" s="51" t="s">
        <v>50</v>
      </c>
      <c r="Y709" s="52" t="s">
        <v>4740</v>
      </c>
    </row>
    <row r="710" spans="1:25" x14ac:dyDescent="0.25">
      <c r="A710" s="443">
        <v>43550</v>
      </c>
      <c r="B710" s="51" t="s">
        <v>70</v>
      </c>
      <c r="C710" s="51" t="s">
        <v>88</v>
      </c>
      <c r="D710" s="51">
        <v>38.062289999999997</v>
      </c>
      <c r="E710" s="51">
        <v>-121.78891</v>
      </c>
      <c r="F710" s="51" t="s">
        <v>5567</v>
      </c>
      <c r="G710" s="51" t="s">
        <v>27</v>
      </c>
      <c r="H710" s="51" t="s">
        <v>25</v>
      </c>
      <c r="I710" s="66">
        <v>0.3576388888888889</v>
      </c>
      <c r="J710" s="428">
        <v>139.02500000000001</v>
      </c>
      <c r="K710" s="428">
        <v>12.95</v>
      </c>
      <c r="L710" s="428">
        <v>16.524999999999999</v>
      </c>
      <c r="M710" s="428">
        <v>0.71</v>
      </c>
      <c r="N710" s="428">
        <v>9.4250000000000007</v>
      </c>
      <c r="O710" s="51" t="s">
        <v>48</v>
      </c>
      <c r="P710" s="51">
        <v>4</v>
      </c>
      <c r="Q710" s="51">
        <v>10</v>
      </c>
      <c r="R710" s="51" t="s">
        <v>49</v>
      </c>
      <c r="S710" s="51" t="s">
        <v>50</v>
      </c>
      <c r="T710" s="51" t="s">
        <v>50</v>
      </c>
      <c r="U710" s="51" t="s">
        <v>50</v>
      </c>
      <c r="V710" s="51" t="s">
        <v>50</v>
      </c>
      <c r="W710" s="51" t="s">
        <v>50</v>
      </c>
      <c r="X710" s="51" t="s">
        <v>50</v>
      </c>
    </row>
    <row r="711" spans="1:25" s="437" customFormat="1" x14ac:dyDescent="0.25">
      <c r="A711" s="476">
        <v>43550</v>
      </c>
      <c r="B711" s="437" t="s">
        <v>70</v>
      </c>
      <c r="C711" s="437" t="s">
        <v>88</v>
      </c>
      <c r="D711" s="437">
        <v>38.106749999999998</v>
      </c>
      <c r="E711" s="437">
        <v>-121.71726</v>
      </c>
      <c r="F711" s="437" t="s">
        <v>5568</v>
      </c>
      <c r="G711" s="437" t="s">
        <v>90</v>
      </c>
      <c r="H711" s="437" t="s">
        <v>91</v>
      </c>
      <c r="I711" s="438">
        <v>0.4236111111111111</v>
      </c>
      <c r="J711" s="439">
        <v>140.47500000000002</v>
      </c>
      <c r="K711" s="439">
        <v>12.649999999999999</v>
      </c>
      <c r="L711" s="439">
        <v>18.649999999999999</v>
      </c>
      <c r="M711" s="439">
        <v>0.66</v>
      </c>
      <c r="N711" s="439">
        <v>10.375</v>
      </c>
      <c r="O711" s="437" t="s">
        <v>48</v>
      </c>
      <c r="P711" s="437">
        <v>4</v>
      </c>
      <c r="Q711" s="437">
        <v>10</v>
      </c>
      <c r="R711" s="437" t="s">
        <v>49</v>
      </c>
      <c r="S711" s="437" t="s">
        <v>622</v>
      </c>
      <c r="T711" s="437">
        <v>1</v>
      </c>
      <c r="U711" s="437">
        <v>266</v>
      </c>
      <c r="V711" s="437" t="s">
        <v>50</v>
      </c>
      <c r="W711" s="437">
        <v>6</v>
      </c>
      <c r="X711" s="437" t="s">
        <v>2525</v>
      </c>
      <c r="Y711" s="440" t="s">
        <v>3276</v>
      </c>
    </row>
    <row r="712" spans="1:25" x14ac:dyDescent="0.25">
      <c r="A712" s="443">
        <v>43550</v>
      </c>
      <c r="B712" s="51" t="s">
        <v>70</v>
      </c>
      <c r="C712" s="51" t="s">
        <v>88</v>
      </c>
      <c r="D712" s="51">
        <v>38.112499999999997</v>
      </c>
      <c r="E712" s="51">
        <v>-121.68299</v>
      </c>
      <c r="F712" s="51" t="s">
        <v>5569</v>
      </c>
      <c r="G712" s="51" t="s">
        <v>90</v>
      </c>
      <c r="H712" s="51" t="s">
        <v>91</v>
      </c>
      <c r="I712" s="66">
        <v>0.46875</v>
      </c>
      <c r="J712" s="428">
        <v>145.22499999999999</v>
      </c>
      <c r="K712" s="428">
        <v>13.1</v>
      </c>
      <c r="L712" s="428">
        <v>17.2</v>
      </c>
      <c r="M712" s="428">
        <v>0.83750000000000002</v>
      </c>
      <c r="N712" s="428">
        <v>13.825000000000001</v>
      </c>
      <c r="O712" s="51" t="s">
        <v>48</v>
      </c>
      <c r="P712" s="51">
        <v>4</v>
      </c>
      <c r="Q712" s="51">
        <v>10</v>
      </c>
      <c r="R712" s="51" t="s">
        <v>49</v>
      </c>
      <c r="S712" s="51" t="s">
        <v>50</v>
      </c>
      <c r="T712" s="51" t="s">
        <v>50</v>
      </c>
      <c r="U712" s="51" t="s">
        <v>50</v>
      </c>
      <c r="V712" s="51" t="s">
        <v>50</v>
      </c>
      <c r="W712" s="51" t="s">
        <v>50</v>
      </c>
      <c r="X712" s="51" t="s">
        <v>50</v>
      </c>
      <c r="Y712" s="52" t="s">
        <v>5570</v>
      </c>
    </row>
    <row r="713" spans="1:25" x14ac:dyDescent="0.25">
      <c r="A713" s="443">
        <v>43550</v>
      </c>
      <c r="B713" s="51" t="s">
        <v>70</v>
      </c>
      <c r="C713" s="51" t="s">
        <v>78</v>
      </c>
      <c r="D713" s="51">
        <v>38.05518</v>
      </c>
      <c r="E713" s="51">
        <v>-122.08331</v>
      </c>
      <c r="F713" s="51" t="s">
        <v>5571</v>
      </c>
      <c r="G713" s="51" t="s">
        <v>80</v>
      </c>
      <c r="H713" s="51" t="s">
        <v>81</v>
      </c>
      <c r="I713" s="66">
        <v>0.36249999999999999</v>
      </c>
      <c r="J713" s="428">
        <v>396.67500000000001</v>
      </c>
      <c r="K713" s="428">
        <v>13.675000000000001</v>
      </c>
      <c r="L713" s="428">
        <v>25.45</v>
      </c>
      <c r="M713" s="428">
        <v>0.51750000000000007</v>
      </c>
      <c r="N713" s="428">
        <v>8.4250000000000007</v>
      </c>
      <c r="O713" s="51" t="s">
        <v>48</v>
      </c>
      <c r="P713" s="51">
        <v>4</v>
      </c>
      <c r="Q713" s="51">
        <v>10</v>
      </c>
      <c r="R713" s="51" t="s">
        <v>49</v>
      </c>
      <c r="S713" s="51" t="s">
        <v>50</v>
      </c>
      <c r="T713" s="51" t="s">
        <v>50</v>
      </c>
      <c r="U713" s="51" t="s">
        <v>50</v>
      </c>
      <c r="V713" s="51" t="s">
        <v>50</v>
      </c>
      <c r="W713" s="51" t="s">
        <v>50</v>
      </c>
      <c r="X713" s="51" t="s">
        <v>50</v>
      </c>
    </row>
    <row r="714" spans="1:25" x14ac:dyDescent="0.25">
      <c r="A714" s="443">
        <v>43550</v>
      </c>
      <c r="B714" s="51" t="s">
        <v>70</v>
      </c>
      <c r="C714" s="51" t="s">
        <v>78</v>
      </c>
      <c r="D714" s="51">
        <v>38.07938</v>
      </c>
      <c r="E714" s="51">
        <v>-122.035</v>
      </c>
      <c r="F714" s="51" t="s">
        <v>5572</v>
      </c>
      <c r="G714" s="51" t="s">
        <v>27</v>
      </c>
      <c r="H714" s="51" t="s">
        <v>86</v>
      </c>
      <c r="I714" s="66">
        <v>0.41944444444444445</v>
      </c>
      <c r="J714" s="428">
        <v>200.90000000000003</v>
      </c>
      <c r="K714" s="428">
        <v>13.625</v>
      </c>
      <c r="L714" s="428">
        <v>27.949999999999996</v>
      </c>
      <c r="M714" s="428">
        <v>0.54249999999999998</v>
      </c>
      <c r="N714" s="428">
        <v>6.6249999999999991</v>
      </c>
      <c r="O714" s="51" t="s">
        <v>48</v>
      </c>
      <c r="P714" s="51">
        <v>4</v>
      </c>
      <c r="Q714" s="51">
        <v>10</v>
      </c>
      <c r="R714" s="51" t="s">
        <v>49</v>
      </c>
      <c r="S714" s="51" t="s">
        <v>50</v>
      </c>
      <c r="T714" s="51" t="s">
        <v>50</v>
      </c>
      <c r="U714" s="51" t="s">
        <v>50</v>
      </c>
      <c r="V714" s="51" t="s">
        <v>50</v>
      </c>
      <c r="W714" s="51" t="s">
        <v>50</v>
      </c>
      <c r="X714" s="51" t="s">
        <v>50</v>
      </c>
    </row>
    <row r="715" spans="1:25" x14ac:dyDescent="0.25">
      <c r="A715" s="443">
        <v>43550</v>
      </c>
      <c r="B715" s="51" t="s">
        <v>70</v>
      </c>
      <c r="C715" s="51" t="s">
        <v>78</v>
      </c>
      <c r="D715" s="51">
        <v>38.057650000000002</v>
      </c>
      <c r="E715" s="51">
        <v>-121.96632</v>
      </c>
      <c r="F715" s="51" t="s">
        <v>5573</v>
      </c>
      <c r="G715" s="51" t="s">
        <v>27</v>
      </c>
      <c r="H715" s="51" t="s">
        <v>170</v>
      </c>
      <c r="I715" s="66">
        <v>0.47569444444444442</v>
      </c>
      <c r="J715" s="428">
        <v>193.45</v>
      </c>
      <c r="K715" s="428">
        <v>13.5</v>
      </c>
      <c r="L715" s="428">
        <v>24.224999999999998</v>
      </c>
      <c r="M715" s="428">
        <v>0.58750000000000002</v>
      </c>
      <c r="N715" s="428">
        <v>12.55</v>
      </c>
      <c r="O715" s="51" t="s">
        <v>48</v>
      </c>
      <c r="P715" s="51">
        <v>4</v>
      </c>
      <c r="Q715" s="51">
        <v>10</v>
      </c>
      <c r="R715" s="51" t="s">
        <v>49</v>
      </c>
      <c r="S715" s="51" t="s">
        <v>50</v>
      </c>
      <c r="T715" s="51" t="s">
        <v>50</v>
      </c>
      <c r="U715" s="51" t="s">
        <v>50</v>
      </c>
      <c r="V715" s="51" t="s">
        <v>50</v>
      </c>
      <c r="W715" s="51" t="s">
        <v>50</v>
      </c>
      <c r="X715" s="51" t="s">
        <v>50</v>
      </c>
    </row>
    <row r="716" spans="1:25" x14ac:dyDescent="0.25">
      <c r="A716" s="443">
        <v>43551</v>
      </c>
      <c r="B716" s="51" t="s">
        <v>87</v>
      </c>
      <c r="C716" s="51" t="s">
        <v>88</v>
      </c>
      <c r="D716" s="51">
        <v>38.062370000000001</v>
      </c>
      <c r="E716" s="51">
        <v>-121.81562</v>
      </c>
      <c r="F716" s="51" t="s">
        <v>5574</v>
      </c>
      <c r="G716" s="51" t="s">
        <v>27</v>
      </c>
      <c r="H716" s="51" t="s">
        <v>25</v>
      </c>
      <c r="I716" s="66">
        <v>0.32500000000000001</v>
      </c>
      <c r="J716" s="428">
        <v>144.67500000000001</v>
      </c>
      <c r="K716" s="428">
        <v>13.125</v>
      </c>
      <c r="L716" s="428">
        <v>13.3</v>
      </c>
      <c r="M716" s="428">
        <v>0.79</v>
      </c>
      <c r="N716" s="428">
        <v>11.175000000000001</v>
      </c>
      <c r="O716" s="51" t="s">
        <v>48</v>
      </c>
      <c r="P716" s="51">
        <v>4</v>
      </c>
      <c r="Q716" s="51">
        <v>10</v>
      </c>
      <c r="R716" s="51" t="s">
        <v>64</v>
      </c>
      <c r="S716" s="51" t="s">
        <v>50</v>
      </c>
      <c r="T716" s="51" t="s">
        <v>50</v>
      </c>
      <c r="U716" s="51" t="s">
        <v>50</v>
      </c>
      <c r="V716" s="51" t="s">
        <v>50</v>
      </c>
      <c r="W716" s="51" t="s">
        <v>50</v>
      </c>
      <c r="X716" s="51" t="s">
        <v>50</v>
      </c>
    </row>
    <row r="717" spans="1:25" x14ac:dyDescent="0.25">
      <c r="A717" s="443">
        <v>43551</v>
      </c>
      <c r="B717" s="51" t="s">
        <v>87</v>
      </c>
      <c r="C717" s="51" t="s">
        <v>88</v>
      </c>
      <c r="D717" s="51">
        <v>38.050429999999999</v>
      </c>
      <c r="E717" s="51">
        <v>-121.79678</v>
      </c>
      <c r="F717" s="51" t="s">
        <v>5575</v>
      </c>
      <c r="G717" s="51" t="s">
        <v>27</v>
      </c>
      <c r="H717" s="51" t="s">
        <v>25</v>
      </c>
      <c r="I717" s="66">
        <v>0.37222222222222223</v>
      </c>
      <c r="J717" s="428">
        <v>143.875</v>
      </c>
      <c r="K717" s="428">
        <v>13.274999999999999</v>
      </c>
      <c r="L717" s="428">
        <v>14.525</v>
      </c>
      <c r="M717" s="428">
        <v>0.7975000000000001</v>
      </c>
      <c r="N717" s="428">
        <v>5.75</v>
      </c>
      <c r="O717" s="51" t="s">
        <v>48</v>
      </c>
      <c r="P717" s="51">
        <v>4</v>
      </c>
      <c r="Q717" s="51">
        <v>10</v>
      </c>
      <c r="R717" s="51" t="s">
        <v>64</v>
      </c>
      <c r="S717" s="51" t="s">
        <v>50</v>
      </c>
      <c r="T717" s="51" t="s">
        <v>50</v>
      </c>
      <c r="U717" s="51" t="s">
        <v>50</v>
      </c>
      <c r="V717" s="51" t="s">
        <v>50</v>
      </c>
      <c r="W717" s="51" t="s">
        <v>50</v>
      </c>
      <c r="X717" s="51" t="s">
        <v>50</v>
      </c>
      <c r="Y717" s="52" t="s">
        <v>4716</v>
      </c>
    </row>
    <row r="718" spans="1:25" x14ac:dyDescent="0.25">
      <c r="A718" s="443">
        <v>43551</v>
      </c>
      <c r="B718" s="51" t="s">
        <v>87</v>
      </c>
      <c r="C718" s="51" t="s">
        <v>88</v>
      </c>
      <c r="D718" s="51">
        <v>38.065779999999997</v>
      </c>
      <c r="E718" s="51">
        <v>-121.7761</v>
      </c>
      <c r="F718" s="51" t="s">
        <v>5576</v>
      </c>
      <c r="G718" s="51" t="s">
        <v>27</v>
      </c>
      <c r="H718" s="51" t="s">
        <v>25</v>
      </c>
      <c r="I718" s="66">
        <v>0.4201388888888889</v>
      </c>
      <c r="J718" s="428">
        <v>137.70000000000002</v>
      </c>
      <c r="K718" s="428">
        <v>12.924999999999999</v>
      </c>
      <c r="L718" s="428">
        <v>11.85</v>
      </c>
      <c r="M718" s="428">
        <v>0.88249999999999995</v>
      </c>
      <c r="N718" s="428">
        <v>8.65</v>
      </c>
      <c r="O718" s="51" t="s">
        <v>48</v>
      </c>
      <c r="P718" s="51">
        <v>4</v>
      </c>
      <c r="Q718" s="51">
        <v>10</v>
      </c>
      <c r="R718" s="51" t="s">
        <v>49</v>
      </c>
      <c r="S718" s="51" t="s">
        <v>50</v>
      </c>
      <c r="T718" s="51" t="s">
        <v>50</v>
      </c>
      <c r="U718" s="51" t="s">
        <v>50</v>
      </c>
      <c r="V718" s="51" t="s">
        <v>50</v>
      </c>
      <c r="W718" s="51" t="s">
        <v>50</v>
      </c>
      <c r="X718" s="51" t="s">
        <v>50</v>
      </c>
    </row>
    <row r="719" spans="1:25" s="437" customFormat="1" x14ac:dyDescent="0.25">
      <c r="A719" s="476">
        <v>43551</v>
      </c>
      <c r="B719" s="437" t="s">
        <v>87</v>
      </c>
      <c r="C719" s="437" t="s">
        <v>95</v>
      </c>
      <c r="D719" s="437">
        <v>38.025210000000001</v>
      </c>
      <c r="E719" s="437">
        <v>-121.70555</v>
      </c>
      <c r="F719" s="437" t="s">
        <v>5577</v>
      </c>
      <c r="G719" s="437" t="s">
        <v>27</v>
      </c>
      <c r="H719" s="437" t="s">
        <v>863</v>
      </c>
      <c r="I719" s="438">
        <v>0.31666666666666665</v>
      </c>
      <c r="J719" s="439">
        <v>188.52499999999998</v>
      </c>
      <c r="K719" s="439">
        <v>14.025</v>
      </c>
      <c r="L719" s="439">
        <v>9.92</v>
      </c>
      <c r="M719" s="439">
        <v>1.0625</v>
      </c>
      <c r="N719" s="439">
        <v>5.7750000000000004</v>
      </c>
      <c r="O719" s="437" t="s">
        <v>48</v>
      </c>
      <c r="P719" s="437">
        <v>4</v>
      </c>
      <c r="Q719" s="437">
        <v>10</v>
      </c>
      <c r="R719" s="437" t="s">
        <v>64</v>
      </c>
      <c r="S719" s="437" t="s">
        <v>702</v>
      </c>
      <c r="T719" s="437">
        <v>1</v>
      </c>
      <c r="U719" s="437">
        <v>55</v>
      </c>
      <c r="V719" s="437" t="s">
        <v>50</v>
      </c>
      <c r="W719" s="437">
        <v>3</v>
      </c>
      <c r="X719" s="437" t="s">
        <v>50</v>
      </c>
      <c r="Y719" s="440" t="s">
        <v>5234</v>
      </c>
    </row>
    <row r="720" spans="1:25" x14ac:dyDescent="0.25">
      <c r="A720" s="443">
        <v>43551</v>
      </c>
      <c r="B720" s="51" t="s">
        <v>87</v>
      </c>
      <c r="C720" s="51" t="s">
        <v>95</v>
      </c>
      <c r="D720" s="51">
        <v>38.017789999999998</v>
      </c>
      <c r="E720" s="51">
        <v>-121.78865999999999</v>
      </c>
      <c r="F720" s="51" t="s">
        <v>5578</v>
      </c>
      <c r="G720" s="51" t="s">
        <v>27</v>
      </c>
      <c r="H720" s="51" t="s">
        <v>863</v>
      </c>
      <c r="I720" s="66">
        <v>0.3666666666666667</v>
      </c>
      <c r="J720" s="428">
        <v>191.57499999999999</v>
      </c>
      <c r="K720" s="428">
        <v>14.05</v>
      </c>
      <c r="L720" s="428">
        <v>15.175000000000001</v>
      </c>
      <c r="M720" s="428">
        <v>0.83</v>
      </c>
      <c r="N720" s="428">
        <v>10.25</v>
      </c>
      <c r="O720" s="51" t="s">
        <v>48</v>
      </c>
      <c r="P720" s="51">
        <v>4</v>
      </c>
      <c r="Q720" s="51">
        <v>10</v>
      </c>
      <c r="R720" s="51" t="s">
        <v>64</v>
      </c>
      <c r="S720" s="51" t="s">
        <v>50</v>
      </c>
      <c r="T720" s="51" t="s">
        <v>50</v>
      </c>
      <c r="U720" s="51" t="s">
        <v>50</v>
      </c>
      <c r="V720" s="51" t="s">
        <v>50</v>
      </c>
      <c r="W720" s="51" t="s">
        <v>50</v>
      </c>
      <c r="X720" s="51" t="s">
        <v>50</v>
      </c>
    </row>
    <row r="721" spans="1:25" x14ac:dyDescent="0.25">
      <c r="A721" s="443">
        <v>43551</v>
      </c>
      <c r="B721" s="51" t="s">
        <v>87</v>
      </c>
      <c r="C721" s="51" t="s">
        <v>95</v>
      </c>
      <c r="D721" s="51">
        <v>38.043019999999999</v>
      </c>
      <c r="E721" s="51">
        <v>-121.70681</v>
      </c>
      <c r="F721" s="51" t="s">
        <v>5579</v>
      </c>
      <c r="G721" s="51" t="s">
        <v>27</v>
      </c>
      <c r="H721" s="51" t="s">
        <v>863</v>
      </c>
      <c r="I721" s="66">
        <v>0.44027777777777777</v>
      </c>
      <c r="J721" s="428">
        <v>183.875</v>
      </c>
      <c r="K721" s="428">
        <v>14</v>
      </c>
      <c r="L721" s="428">
        <v>12.850000000000001</v>
      </c>
      <c r="M721" s="428">
        <v>0.91749999999999998</v>
      </c>
      <c r="N721" s="428">
        <v>6.6999999999999993</v>
      </c>
      <c r="O721" s="51" t="s">
        <v>48</v>
      </c>
      <c r="P721" s="51">
        <v>4</v>
      </c>
      <c r="Q721" s="51">
        <v>10</v>
      </c>
      <c r="R721" s="51" t="s">
        <v>49</v>
      </c>
      <c r="S721" s="51" t="s">
        <v>50</v>
      </c>
      <c r="T721" s="51" t="s">
        <v>50</v>
      </c>
      <c r="U721" s="51" t="s">
        <v>50</v>
      </c>
      <c r="V721" s="51" t="s">
        <v>50</v>
      </c>
      <c r="W721" s="51" t="s">
        <v>50</v>
      </c>
      <c r="X721" s="51" t="s">
        <v>50</v>
      </c>
    </row>
    <row r="722" spans="1:25" x14ac:dyDescent="0.25">
      <c r="A722" s="443">
        <v>43551</v>
      </c>
      <c r="B722" s="51" t="s">
        <v>87</v>
      </c>
      <c r="C722" s="51" t="s">
        <v>78</v>
      </c>
      <c r="D722" s="51">
        <v>38.070279999999997</v>
      </c>
      <c r="E722" s="51">
        <v>-121.95836</v>
      </c>
      <c r="F722" s="51" t="s">
        <v>5580</v>
      </c>
      <c r="G722" s="51" t="s">
        <v>27</v>
      </c>
      <c r="H722" s="51" t="s">
        <v>170</v>
      </c>
      <c r="I722" s="66">
        <v>0.33680555555555558</v>
      </c>
      <c r="J722" s="428">
        <v>213.35</v>
      </c>
      <c r="K722" s="428">
        <v>13.625</v>
      </c>
      <c r="L722" s="428">
        <v>16.925000000000001</v>
      </c>
      <c r="M722" s="428">
        <v>0.69250000000000012</v>
      </c>
      <c r="N722" s="428">
        <v>4.2750000000000004</v>
      </c>
      <c r="O722" s="51" t="s">
        <v>48</v>
      </c>
      <c r="P722" s="51">
        <v>4</v>
      </c>
      <c r="Q722" s="51">
        <v>10</v>
      </c>
      <c r="R722" s="51" t="s">
        <v>49</v>
      </c>
      <c r="S722" s="51" t="s">
        <v>50</v>
      </c>
      <c r="T722" s="51" t="s">
        <v>50</v>
      </c>
      <c r="U722" s="51" t="s">
        <v>50</v>
      </c>
      <c r="V722" s="51" t="s">
        <v>50</v>
      </c>
      <c r="W722" s="51" t="s">
        <v>50</v>
      </c>
      <c r="X722" s="51" t="s">
        <v>50</v>
      </c>
    </row>
    <row r="723" spans="1:25" x14ac:dyDescent="0.25">
      <c r="A723" s="443">
        <v>43551</v>
      </c>
      <c r="B723" s="51" t="s">
        <v>87</v>
      </c>
      <c r="C723" s="51" t="s">
        <v>78</v>
      </c>
      <c r="D723" s="51">
        <v>38.053750000000001</v>
      </c>
      <c r="E723" s="51">
        <v>-121.87212</v>
      </c>
      <c r="F723" s="51" t="s">
        <v>5581</v>
      </c>
      <c r="G723" s="51" t="s">
        <v>27</v>
      </c>
      <c r="H723" s="51" t="s">
        <v>101</v>
      </c>
      <c r="I723" s="66">
        <v>0.39583333333333331</v>
      </c>
      <c r="J723" s="428">
        <v>194.54999999999998</v>
      </c>
      <c r="K723" s="428">
        <v>13.6</v>
      </c>
      <c r="L723" s="428">
        <v>16.425000000000001</v>
      </c>
      <c r="M723" s="428">
        <v>0.76</v>
      </c>
      <c r="N723" s="428">
        <v>9.25</v>
      </c>
      <c r="O723" s="51" t="s">
        <v>48</v>
      </c>
      <c r="P723" s="51">
        <v>4</v>
      </c>
      <c r="Q723" s="51">
        <v>10</v>
      </c>
      <c r="R723" s="51" t="s">
        <v>49</v>
      </c>
      <c r="S723" s="51" t="s">
        <v>50</v>
      </c>
      <c r="T723" s="51" t="s">
        <v>50</v>
      </c>
      <c r="U723" s="51" t="s">
        <v>50</v>
      </c>
      <c r="V723" s="51" t="s">
        <v>50</v>
      </c>
      <c r="W723" s="51" t="s">
        <v>50</v>
      </c>
      <c r="X723" s="51" t="s">
        <v>50</v>
      </c>
    </row>
    <row r="724" spans="1:25" s="424" customFormat="1" x14ac:dyDescent="0.25">
      <c r="A724" s="446">
        <v>43551</v>
      </c>
      <c r="B724" s="424" t="s">
        <v>87</v>
      </c>
      <c r="C724" s="424" t="s">
        <v>78</v>
      </c>
      <c r="D724" s="424">
        <v>38.028089999999999</v>
      </c>
      <c r="E724" s="424">
        <v>-121.82881</v>
      </c>
      <c r="F724" s="424" t="s">
        <v>5582</v>
      </c>
      <c r="G724" s="424" t="s">
        <v>27</v>
      </c>
      <c r="H724" s="424" t="s">
        <v>101</v>
      </c>
      <c r="I724" s="425">
        <v>0.45</v>
      </c>
      <c r="J724" s="427">
        <v>194.6</v>
      </c>
      <c r="K724" s="427">
        <v>13.7</v>
      </c>
      <c r="L724" s="427">
        <v>13.9</v>
      </c>
      <c r="M724" s="427">
        <v>0.8</v>
      </c>
      <c r="N724" s="427">
        <v>19.3</v>
      </c>
      <c r="O724" s="424" t="s">
        <v>48</v>
      </c>
      <c r="P724" s="424">
        <v>1</v>
      </c>
      <c r="Q724" s="424">
        <v>8</v>
      </c>
      <c r="R724" s="424" t="s">
        <v>49</v>
      </c>
      <c r="S724" s="424" t="s">
        <v>50</v>
      </c>
      <c r="T724" s="424" t="s">
        <v>50</v>
      </c>
      <c r="U724" s="424" t="s">
        <v>50</v>
      </c>
      <c r="V724" s="424" t="s">
        <v>50</v>
      </c>
      <c r="W724" s="424" t="s">
        <v>50</v>
      </c>
      <c r="X724" s="424" t="s">
        <v>50</v>
      </c>
      <c r="Y724" s="426" t="s">
        <v>5583</v>
      </c>
    </row>
    <row r="725" spans="1:25" x14ac:dyDescent="0.25">
      <c r="A725" s="443">
        <v>43552</v>
      </c>
      <c r="B725" s="51" t="s">
        <v>105</v>
      </c>
      <c r="C725" s="51" t="s">
        <v>95</v>
      </c>
      <c r="D725" s="51">
        <v>38.094450000000002</v>
      </c>
      <c r="E725" s="51">
        <v>-121.67113000000001</v>
      </c>
      <c r="F725" s="51" t="s">
        <v>5584</v>
      </c>
      <c r="G725" s="51" t="s">
        <v>46</v>
      </c>
      <c r="H725" s="51" t="s">
        <v>908</v>
      </c>
      <c r="I725" s="66">
        <v>0.31736111111111115</v>
      </c>
      <c r="J725" s="428">
        <v>161.97499999999999</v>
      </c>
      <c r="K725" s="428">
        <v>13.4</v>
      </c>
      <c r="L725" s="428">
        <v>8.2999999999999989</v>
      </c>
      <c r="M725" s="428">
        <v>1.52</v>
      </c>
      <c r="N725" s="428">
        <v>7.7750000000000004</v>
      </c>
      <c r="O725" s="51" t="s">
        <v>48</v>
      </c>
      <c r="P725" s="51">
        <v>4</v>
      </c>
      <c r="Q725" s="51">
        <v>10</v>
      </c>
      <c r="R725" s="51" t="s">
        <v>64</v>
      </c>
      <c r="S725" s="51" t="s">
        <v>50</v>
      </c>
      <c r="T725" s="51" t="s">
        <v>50</v>
      </c>
      <c r="U725" s="51" t="s">
        <v>50</v>
      </c>
      <c r="V725" s="51" t="s">
        <v>50</v>
      </c>
      <c r="W725" s="51" t="s">
        <v>50</v>
      </c>
      <c r="X725" s="51" t="s">
        <v>50</v>
      </c>
    </row>
    <row r="726" spans="1:25" x14ac:dyDescent="0.25">
      <c r="A726" s="443">
        <v>43552</v>
      </c>
      <c r="B726" s="51" t="s">
        <v>105</v>
      </c>
      <c r="C726" s="51" t="s">
        <v>95</v>
      </c>
      <c r="D726" s="51">
        <v>38.095649000000002</v>
      </c>
      <c r="E726" s="51">
        <v>-121.57658000000001</v>
      </c>
      <c r="F726" s="51" t="s">
        <v>5585</v>
      </c>
      <c r="G726" s="51" t="s">
        <v>46</v>
      </c>
      <c r="H726" s="51" t="s">
        <v>115</v>
      </c>
      <c r="I726" s="66">
        <v>0.36874999999999997</v>
      </c>
      <c r="J726" s="428">
        <v>162.19999999999999</v>
      </c>
      <c r="K726" s="428">
        <v>13.024999999999999</v>
      </c>
      <c r="L726" s="428">
        <v>8.1950000000000003</v>
      </c>
      <c r="M726" s="428">
        <v>1.29</v>
      </c>
      <c r="N726" s="428">
        <v>11.6</v>
      </c>
      <c r="O726" s="51" t="s">
        <v>48</v>
      </c>
      <c r="P726" s="51">
        <v>4</v>
      </c>
      <c r="Q726" s="51">
        <v>10</v>
      </c>
      <c r="R726" s="51" t="s">
        <v>64</v>
      </c>
      <c r="S726" s="51" t="s">
        <v>50</v>
      </c>
      <c r="T726" s="51" t="s">
        <v>50</v>
      </c>
      <c r="U726" s="51" t="s">
        <v>50</v>
      </c>
      <c r="V726" s="51" t="s">
        <v>50</v>
      </c>
      <c r="W726" s="51" t="s">
        <v>50</v>
      </c>
      <c r="X726" s="51" t="s">
        <v>50</v>
      </c>
    </row>
    <row r="727" spans="1:25" x14ac:dyDescent="0.25">
      <c r="A727" s="443">
        <v>43552</v>
      </c>
      <c r="B727" s="51" t="s">
        <v>105</v>
      </c>
      <c r="C727" s="51" t="s">
        <v>95</v>
      </c>
      <c r="D727" s="51">
        <v>38.047980000000003</v>
      </c>
      <c r="E727" s="51">
        <v>-121.5348</v>
      </c>
      <c r="F727" s="51" t="s">
        <v>5586</v>
      </c>
      <c r="G727" s="51" t="s">
        <v>46</v>
      </c>
      <c r="H727" s="51" t="s">
        <v>115</v>
      </c>
      <c r="I727" s="66">
        <v>0.41875000000000001</v>
      </c>
      <c r="J727" s="428">
        <v>203.22500000000002</v>
      </c>
      <c r="K727" s="428">
        <v>14.025</v>
      </c>
      <c r="L727" s="428">
        <v>6.8524999999999991</v>
      </c>
      <c r="M727" s="428">
        <v>1.4350000000000001</v>
      </c>
      <c r="N727" s="428">
        <v>13.8</v>
      </c>
      <c r="O727" s="51" t="s">
        <v>48</v>
      </c>
      <c r="P727" s="51">
        <v>4</v>
      </c>
      <c r="Q727" s="51">
        <v>10</v>
      </c>
      <c r="R727" s="51" t="s">
        <v>64</v>
      </c>
      <c r="S727" s="51" t="s">
        <v>50</v>
      </c>
      <c r="T727" s="51" t="s">
        <v>50</v>
      </c>
      <c r="U727" s="51" t="s">
        <v>50</v>
      </c>
      <c r="V727" s="51" t="s">
        <v>50</v>
      </c>
      <c r="W727" s="51" t="s">
        <v>50</v>
      </c>
      <c r="X727" s="51" t="s">
        <v>50</v>
      </c>
    </row>
    <row r="728" spans="1:25" x14ac:dyDescent="0.25">
      <c r="A728" s="443">
        <v>43552</v>
      </c>
      <c r="B728" s="51" t="s">
        <v>105</v>
      </c>
      <c r="C728" s="51" t="s">
        <v>118</v>
      </c>
      <c r="D728" s="51">
        <v>38.041460000000001</v>
      </c>
      <c r="E728" s="51">
        <v>-122.27691</v>
      </c>
      <c r="F728" s="51" t="s">
        <v>5587</v>
      </c>
      <c r="G728" s="51" t="s">
        <v>80</v>
      </c>
      <c r="H728" s="51" t="s">
        <v>123</v>
      </c>
      <c r="I728" s="66">
        <v>0.31527777777777777</v>
      </c>
      <c r="J728" s="428">
        <v>10316</v>
      </c>
      <c r="K728" s="428">
        <v>14.075000000000001</v>
      </c>
      <c r="L728" s="428">
        <v>23.45</v>
      </c>
      <c r="M728" s="428">
        <v>0.44749999999999995</v>
      </c>
      <c r="N728" s="428">
        <v>3.8</v>
      </c>
      <c r="O728" s="51" t="s">
        <v>48</v>
      </c>
      <c r="P728" s="51">
        <v>4</v>
      </c>
      <c r="Q728" s="51">
        <v>10</v>
      </c>
      <c r="R728" s="51" t="s">
        <v>64</v>
      </c>
      <c r="S728" s="51" t="s">
        <v>50</v>
      </c>
      <c r="T728" s="51" t="s">
        <v>50</v>
      </c>
      <c r="U728" s="51" t="s">
        <v>50</v>
      </c>
      <c r="V728" s="51" t="s">
        <v>50</v>
      </c>
      <c r="W728" s="51" t="s">
        <v>50</v>
      </c>
      <c r="X728" s="51" t="s">
        <v>50</v>
      </c>
    </row>
    <row r="729" spans="1:25" s="437" customFormat="1" x14ac:dyDescent="0.25">
      <c r="A729" s="476">
        <v>43552</v>
      </c>
      <c r="B729" s="437" t="s">
        <v>105</v>
      </c>
      <c r="C729" s="437" t="s">
        <v>118</v>
      </c>
      <c r="D729" s="437">
        <v>38.060940000000002</v>
      </c>
      <c r="E729" s="437">
        <v>-122.31372</v>
      </c>
      <c r="F729" s="437" t="s">
        <v>5588</v>
      </c>
      <c r="G729" s="437" t="s">
        <v>80</v>
      </c>
      <c r="H729" s="437" t="s">
        <v>123</v>
      </c>
      <c r="I729" s="438">
        <v>0.36319444444444443</v>
      </c>
      <c r="J729" s="439">
        <v>6271.25</v>
      </c>
      <c r="K729" s="439">
        <v>14.175000000000001</v>
      </c>
      <c r="L729" s="439">
        <v>35.575000000000003</v>
      </c>
      <c r="M729" s="439">
        <v>0.38</v>
      </c>
      <c r="N729" s="439">
        <v>5.2</v>
      </c>
      <c r="O729" s="437" t="s">
        <v>48</v>
      </c>
      <c r="P729" s="437">
        <v>4</v>
      </c>
      <c r="Q729" s="437">
        <v>10</v>
      </c>
      <c r="R729" s="437" t="s">
        <v>49</v>
      </c>
      <c r="S729" s="437" t="s">
        <v>702</v>
      </c>
      <c r="T729" s="437">
        <v>1</v>
      </c>
      <c r="U729" s="437">
        <v>46</v>
      </c>
      <c r="V729" s="437" t="s">
        <v>50</v>
      </c>
      <c r="W729" s="437">
        <v>3</v>
      </c>
      <c r="X729" s="437" t="s">
        <v>50</v>
      </c>
      <c r="Y729" s="440"/>
    </row>
    <row r="730" spans="1:25" s="437" customFormat="1" x14ac:dyDescent="0.25">
      <c r="A730" s="476">
        <v>43552</v>
      </c>
      <c r="B730" s="437" t="s">
        <v>105</v>
      </c>
      <c r="C730" s="437" t="s">
        <v>118</v>
      </c>
      <c r="D730" s="437">
        <v>38.053089999999997</v>
      </c>
      <c r="E730" s="437">
        <v>-122.27912999999999</v>
      </c>
      <c r="F730" s="437" t="s">
        <v>5589</v>
      </c>
      <c r="G730" s="437" t="s">
        <v>80</v>
      </c>
      <c r="H730" s="437" t="s">
        <v>123</v>
      </c>
      <c r="I730" s="438">
        <v>0.40902777777777777</v>
      </c>
      <c r="J730" s="439">
        <v>8619</v>
      </c>
      <c r="K730" s="439">
        <v>14.149999999999999</v>
      </c>
      <c r="L730" s="439">
        <v>20.399999999999999</v>
      </c>
      <c r="M730" s="439">
        <v>0.50249999999999995</v>
      </c>
      <c r="N730" s="439">
        <v>10.95</v>
      </c>
      <c r="O730" s="437" t="s">
        <v>48</v>
      </c>
      <c r="P730" s="437">
        <v>4</v>
      </c>
      <c r="Q730" s="437">
        <v>10</v>
      </c>
      <c r="R730" s="437" t="s">
        <v>49</v>
      </c>
      <c r="S730" s="437" t="s">
        <v>31</v>
      </c>
      <c r="T730" s="437">
        <v>1</v>
      </c>
      <c r="U730" s="437">
        <v>80</v>
      </c>
      <c r="V730" s="437" t="s">
        <v>66</v>
      </c>
      <c r="W730" s="437" t="s">
        <v>50</v>
      </c>
      <c r="X730" s="437" t="s">
        <v>50</v>
      </c>
      <c r="Y730" s="440"/>
    </row>
    <row r="731" spans="1:25" x14ac:dyDescent="0.25">
      <c r="A731" s="443">
        <v>43552</v>
      </c>
      <c r="B731" s="51" t="s">
        <v>105</v>
      </c>
      <c r="C731" s="51" t="s">
        <v>106</v>
      </c>
      <c r="D731" s="51">
        <v>38.559519999999999</v>
      </c>
      <c r="E731" s="51">
        <v>-121.56568</v>
      </c>
      <c r="F731" s="51" t="s">
        <v>5590</v>
      </c>
      <c r="G731" s="51" t="s">
        <v>90</v>
      </c>
      <c r="H731" s="51" t="s">
        <v>1787</v>
      </c>
      <c r="I731" s="66">
        <v>0.35138888888888892</v>
      </c>
      <c r="J731" s="428">
        <v>655.75</v>
      </c>
      <c r="K731" s="428">
        <v>14.149999999999999</v>
      </c>
      <c r="L731" s="428">
        <v>4.1925000000000008</v>
      </c>
      <c r="M731" s="428">
        <v>1.7575000000000001</v>
      </c>
      <c r="N731" s="428">
        <v>10.75</v>
      </c>
      <c r="O731" s="51" t="s">
        <v>48</v>
      </c>
      <c r="P731" s="51">
        <v>4</v>
      </c>
      <c r="Q731" s="51">
        <v>10</v>
      </c>
      <c r="R731" s="51" t="s">
        <v>49</v>
      </c>
      <c r="S731" s="51" t="s">
        <v>50</v>
      </c>
      <c r="T731" s="51" t="s">
        <v>50</v>
      </c>
      <c r="U731" s="51" t="s">
        <v>50</v>
      </c>
      <c r="V731" s="51" t="s">
        <v>50</v>
      </c>
      <c r="W731" s="51" t="s">
        <v>50</v>
      </c>
      <c r="X731" s="51" t="s">
        <v>50</v>
      </c>
      <c r="Y731" s="52" t="s">
        <v>5591</v>
      </c>
    </row>
    <row r="732" spans="1:25" x14ac:dyDescent="0.25">
      <c r="A732" s="443">
        <v>43552</v>
      </c>
      <c r="B732" s="51" t="s">
        <v>105</v>
      </c>
      <c r="C732" s="51" t="s">
        <v>106</v>
      </c>
      <c r="D732" s="51">
        <v>38.514099999999999</v>
      </c>
      <c r="E732" s="51">
        <v>-121.58503</v>
      </c>
      <c r="F732" s="51" t="s">
        <v>5592</v>
      </c>
      <c r="G732" s="51" t="s">
        <v>90</v>
      </c>
      <c r="H732" s="51" t="s">
        <v>1787</v>
      </c>
      <c r="I732" s="66">
        <v>0.41250000000000003</v>
      </c>
      <c r="J732" s="428">
        <v>823.75</v>
      </c>
      <c r="K732" s="428">
        <v>14.149999999999999</v>
      </c>
      <c r="L732" s="428">
        <v>7.6574999999999998</v>
      </c>
      <c r="M732" s="428">
        <v>1.3624999999999998</v>
      </c>
      <c r="N732" s="428">
        <v>7.9999999999999991</v>
      </c>
      <c r="O732" s="51" t="s">
        <v>48</v>
      </c>
      <c r="P732" s="51">
        <v>4</v>
      </c>
      <c r="Q732" s="51">
        <v>10</v>
      </c>
      <c r="R732" s="51" t="s">
        <v>49</v>
      </c>
      <c r="S732" s="51" t="s">
        <v>50</v>
      </c>
      <c r="T732" s="51" t="s">
        <v>50</v>
      </c>
      <c r="U732" s="51" t="s">
        <v>50</v>
      </c>
      <c r="V732" s="51" t="s">
        <v>50</v>
      </c>
      <c r="W732" s="51" t="s">
        <v>50</v>
      </c>
      <c r="X732" s="51" t="s">
        <v>50</v>
      </c>
      <c r="Y732" s="52" t="s">
        <v>5591</v>
      </c>
    </row>
    <row r="733" spans="1:25" x14ac:dyDescent="0.25">
      <c r="A733" s="443">
        <v>43552</v>
      </c>
      <c r="B733" s="51" t="s">
        <v>105</v>
      </c>
      <c r="C733" s="51" t="s">
        <v>106</v>
      </c>
      <c r="D733" s="51">
        <v>38.210999999999999</v>
      </c>
      <c r="E733" s="51">
        <v>-121.66670999999999</v>
      </c>
      <c r="F733" s="51" t="s">
        <v>5593</v>
      </c>
      <c r="G733" s="51" t="s">
        <v>90</v>
      </c>
      <c r="H733" s="51" t="s">
        <v>362</v>
      </c>
      <c r="I733" s="66">
        <v>0.50208333333333333</v>
      </c>
      <c r="J733" s="428">
        <v>264.25</v>
      </c>
      <c r="K733" s="428">
        <v>13.675000000000001</v>
      </c>
      <c r="L733" s="428">
        <v>16.274999999999999</v>
      </c>
      <c r="M733" s="428">
        <v>0.83000000000000007</v>
      </c>
      <c r="N733" s="428">
        <v>14.05</v>
      </c>
      <c r="O733" s="51" t="s">
        <v>48</v>
      </c>
      <c r="P733" s="51">
        <v>4</v>
      </c>
      <c r="Q733" s="51">
        <v>10</v>
      </c>
      <c r="R733" s="51" t="s">
        <v>49</v>
      </c>
      <c r="S733" s="51" t="s">
        <v>50</v>
      </c>
      <c r="T733" s="51" t="s">
        <v>50</v>
      </c>
      <c r="U733" s="51" t="s">
        <v>50</v>
      </c>
      <c r="V733" s="51" t="s">
        <v>50</v>
      </c>
      <c r="W733" s="51" t="s">
        <v>50</v>
      </c>
      <c r="X733" s="51" t="s">
        <v>50</v>
      </c>
    </row>
  </sheetData>
  <conditionalFormatting sqref="S1:S2">
    <cfRule type="cellIs" dxfId="1611" priority="71" operator="equal">
      <formula>"DSM"</formula>
    </cfRule>
  </conditionalFormatting>
  <conditionalFormatting sqref="A4:B15">
    <cfRule type="expression" dxfId="1610" priority="26">
      <formula>$S4="DSM"</formula>
    </cfRule>
    <cfRule type="expression" dxfId="1609" priority="27">
      <formula>SEARCH("GST",$S4)</formula>
    </cfRule>
    <cfRule type="expression" dxfId="1608" priority="28">
      <formula>SEARCH("RBT",$S4)</formula>
    </cfRule>
    <cfRule type="expression" dxfId="1607" priority="29">
      <formula>SEARCH("LFS",$S4)</formula>
    </cfRule>
    <cfRule type="expression" dxfId="1606" priority="30">
      <formula>SEARCH("CHN",$S4)</formula>
    </cfRule>
  </conditionalFormatting>
  <conditionalFormatting sqref="A3:V3 Y3:XFD3 C4:C8">
    <cfRule type="expression" dxfId="1605" priority="46">
      <formula>$S3="DSM"</formula>
    </cfRule>
    <cfRule type="expression" dxfId="1604" priority="47">
      <formula>SEARCH("GST",$S3)</formula>
    </cfRule>
    <cfRule type="expression" dxfId="1603" priority="48">
      <formula>SEARCH("RBT",$S3)</formula>
    </cfRule>
    <cfRule type="expression" dxfId="1602" priority="49">
      <formula>SEARCH("LFS",$S3)</formula>
    </cfRule>
    <cfRule type="expression" dxfId="1601" priority="50">
      <formula>SEARCH("CHN",$S3)</formula>
    </cfRule>
  </conditionalFormatting>
  <conditionalFormatting sqref="S3">
    <cfRule type="cellIs" dxfId="1600" priority="45" operator="equal">
      <formula>"DSM"</formula>
    </cfRule>
  </conditionalFormatting>
  <conditionalFormatting sqref="S3">
    <cfRule type="expression" dxfId="1599" priority="41">
      <formula>SEARCH("RBT",$S3)</formula>
    </cfRule>
    <cfRule type="expression" dxfId="1598" priority="42">
      <formula>SEARCH("GST",$S3)</formula>
    </cfRule>
    <cfRule type="expression" dxfId="1597" priority="43">
      <formula>SEARCH("CHN",$S3)</formula>
    </cfRule>
    <cfRule type="expression" dxfId="1596" priority="44">
      <formula>SEARCH("LFS",$S3)</formula>
    </cfRule>
  </conditionalFormatting>
  <conditionalFormatting sqref="X3">
    <cfRule type="expression" dxfId="1595" priority="36">
      <formula>$S3="DSM"</formula>
    </cfRule>
    <cfRule type="expression" dxfId="1594" priority="37">
      <formula>SEARCH("GST",$S3)</formula>
    </cfRule>
    <cfRule type="expression" dxfId="1593" priority="38">
      <formula>SEARCH("RBT",$S3)</formula>
    </cfRule>
    <cfRule type="expression" dxfId="1592" priority="39">
      <formula>SEARCH("LFS",$S3)</formula>
    </cfRule>
    <cfRule type="expression" dxfId="1591" priority="40">
      <formula>SEARCH("CHN",$S3)</formula>
    </cfRule>
  </conditionalFormatting>
  <conditionalFormatting sqref="W3">
    <cfRule type="expression" dxfId="1590" priority="31">
      <formula>$S3="DSM"</formula>
    </cfRule>
    <cfRule type="expression" dxfId="1589" priority="32">
      <formula>SEARCH("GST",$S3)</formula>
    </cfRule>
    <cfRule type="expression" dxfId="1588" priority="33">
      <formula>SEARCH("RBT",$S3)</formula>
    </cfRule>
    <cfRule type="expression" dxfId="1587" priority="34">
      <formula>SEARCH("LFS",$S3)</formula>
    </cfRule>
    <cfRule type="expression" dxfId="1586" priority="35">
      <formula>SEARCH("CHN",$S3)</formula>
    </cfRule>
  </conditionalFormatting>
  <conditionalFormatting sqref="C13:C14">
    <cfRule type="expression" dxfId="1585" priority="21">
      <formula>$S13="DSM"</formula>
    </cfRule>
    <cfRule type="expression" dxfId="1584" priority="22">
      <formula>SEARCH("GST",$S13)</formula>
    </cfRule>
    <cfRule type="expression" dxfId="1583" priority="23">
      <formula>SEARCH("RBT",$S13)</formula>
    </cfRule>
    <cfRule type="expression" dxfId="1582" priority="24">
      <formula>SEARCH("LFS",$S13)</formula>
    </cfRule>
    <cfRule type="expression" dxfId="1581" priority="25">
      <formula>SEARCH("CHN",$S13)</formula>
    </cfRule>
  </conditionalFormatting>
  <conditionalFormatting sqref="G13:H14">
    <cfRule type="expression" dxfId="1580" priority="16">
      <formula>$S13="DSM"</formula>
    </cfRule>
    <cfRule type="expression" dxfId="1579" priority="17">
      <formula>SEARCH("GST",$S13)</formula>
    </cfRule>
    <cfRule type="expression" dxfId="1578" priority="18">
      <formula>SEARCH("RBT",$S13)</formula>
    </cfRule>
    <cfRule type="expression" dxfId="1577" priority="19">
      <formula>SEARCH("LFS",$S13)</formula>
    </cfRule>
    <cfRule type="expression" dxfId="1576" priority="20">
      <formula>SEARCH("CHN",$S13)</formula>
    </cfRule>
  </conditionalFormatting>
  <conditionalFormatting sqref="A16:B16">
    <cfRule type="expression" dxfId="1575" priority="11">
      <formula>$S16="DSM"</formula>
    </cfRule>
    <cfRule type="expression" dxfId="1574" priority="12">
      <formula>SEARCH("GST",$S16)</formula>
    </cfRule>
    <cfRule type="expression" dxfId="1573" priority="13">
      <formula>SEARCH("RBT",$S16)</formula>
    </cfRule>
    <cfRule type="expression" dxfId="1572" priority="14">
      <formula>SEARCH("LFS",$S16)</formula>
    </cfRule>
    <cfRule type="expression" dxfId="1571" priority="15">
      <formula>SEARCH("CHN",$S16)</formula>
    </cfRule>
  </conditionalFormatting>
  <conditionalFormatting sqref="A17:B27">
    <cfRule type="expression" dxfId="1570" priority="6">
      <formula>$S17="DSM"</formula>
    </cfRule>
    <cfRule type="expression" dxfId="1569" priority="7">
      <formula>SEARCH("GST",$S17)</formula>
    </cfRule>
    <cfRule type="expression" dxfId="1568" priority="8">
      <formula>SEARCH("RBT",$S17)</formula>
    </cfRule>
    <cfRule type="expression" dxfId="1567" priority="9">
      <formula>SEARCH("LFS",$S17)</formula>
    </cfRule>
    <cfRule type="expression" dxfId="1566" priority="10">
      <formula>SEARCH("CHN",$S17)</formula>
    </cfRule>
  </conditionalFormatting>
  <conditionalFormatting sqref="X216">
    <cfRule type="expression" dxfId="1565" priority="1">
      <formula>$S216="DSM"</formula>
    </cfRule>
    <cfRule type="expression" dxfId="1564" priority="2">
      <formula>SEARCH("GST",$S216)</formula>
    </cfRule>
    <cfRule type="expression" dxfId="1563" priority="3">
      <formula>SEARCH("RBT",$S216)</formula>
    </cfRule>
    <cfRule type="expression" dxfId="1562" priority="4">
      <formula>SEARCH("LFS",$S216)</formula>
    </cfRule>
    <cfRule type="expression" dxfId="1561" priority="5">
      <formula>SEARCH("CHN",$S216)</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tabColor theme="6" tint="0.59999389629810485"/>
  </sheetPr>
  <dimension ref="A1:Y835"/>
  <sheetViews>
    <sheetView zoomScaleNormal="100" workbookViewId="0">
      <pane xSplit="3" ySplit="2" topLeftCell="D755" activePane="bottomRight" state="frozen"/>
      <selection pane="topRight" activeCell="D1" sqref="D1"/>
      <selection pane="bottomLeft" activeCell="A4" sqref="A4"/>
      <selection pane="bottomRight" activeCell="Y762" sqref="A762:Y762"/>
    </sheetView>
  </sheetViews>
  <sheetFormatPr defaultColWidth="9.140625" defaultRowHeight="15" x14ac:dyDescent="0.25"/>
  <cols>
    <col min="1" max="1" width="10.7109375" style="27" customWidth="1"/>
    <col min="2" max="2" width="9.140625" style="27" bestFit="1" customWidth="1"/>
    <col min="3" max="3" width="30.85546875" style="27" bestFit="1" customWidth="1"/>
    <col min="4" max="5" width="15.7109375" style="89" customWidth="1"/>
    <col min="6" max="6" width="13.42578125" style="27" customWidth="1"/>
    <col min="7" max="7" width="10.42578125" style="27" customWidth="1"/>
    <col min="8" max="8" width="43.7109375" style="27" customWidth="1"/>
    <col min="9" max="9" width="10.42578125" style="27" customWidth="1"/>
    <col min="10" max="13" width="20.7109375" style="82" customWidth="1"/>
    <col min="14" max="14" width="20.7109375" style="4" customWidth="1"/>
    <col min="15" max="15" width="8" style="27" customWidth="1"/>
    <col min="16" max="16" width="15.7109375" style="27" customWidth="1"/>
    <col min="17" max="17" width="13" style="27" customWidth="1"/>
    <col min="18" max="18" width="13.42578125" style="27" customWidth="1"/>
    <col min="19" max="19" width="7.7109375" style="27" customWidth="1"/>
    <col min="20" max="20" width="6.85546875" style="27" customWidth="1"/>
    <col min="21" max="21" width="14.7109375" style="27" bestFit="1" customWidth="1"/>
    <col min="22" max="22" width="11.85546875" style="27" customWidth="1"/>
    <col min="23" max="23" width="6.85546875" style="27" customWidth="1"/>
    <col min="24" max="24" width="11.42578125" style="27" customWidth="1"/>
    <col min="25" max="25" width="54.85546875" style="35" customWidth="1"/>
    <col min="26" max="16384" width="9.140625" style="27"/>
  </cols>
  <sheetData>
    <row r="1" spans="1:25" s="48" customFormat="1" x14ac:dyDescent="0.25">
      <c r="A1" s="147" t="s">
        <v>33</v>
      </c>
      <c r="B1" s="147"/>
      <c r="C1" s="147"/>
      <c r="D1" s="147"/>
      <c r="E1" s="147"/>
      <c r="F1" s="147"/>
      <c r="G1" s="147"/>
      <c r="H1" s="147"/>
      <c r="I1" s="147"/>
      <c r="J1" s="147"/>
      <c r="K1" s="147"/>
      <c r="L1" s="147"/>
      <c r="M1" s="147"/>
      <c r="N1" s="147"/>
      <c r="O1" s="147"/>
      <c r="P1" s="147"/>
      <c r="Q1" s="147"/>
      <c r="R1" s="147"/>
      <c r="S1" s="147"/>
      <c r="T1" s="147"/>
      <c r="U1" s="147"/>
      <c r="V1" s="147"/>
      <c r="W1" s="146"/>
      <c r="X1" s="146"/>
      <c r="Y1" s="5"/>
    </row>
    <row r="2" spans="1:25" s="141" customFormat="1" ht="15.75" thickBot="1" x14ac:dyDescent="0.3">
      <c r="A2" s="140" t="s">
        <v>1</v>
      </c>
      <c r="B2" s="140" t="s">
        <v>2</v>
      </c>
      <c r="C2" s="141" t="s">
        <v>3</v>
      </c>
      <c r="D2" s="141" t="s">
        <v>4</v>
      </c>
      <c r="E2" s="141" t="s">
        <v>5</v>
      </c>
      <c r="F2" s="94" t="s">
        <v>6</v>
      </c>
      <c r="G2" s="141" t="s">
        <v>7</v>
      </c>
      <c r="H2" s="141" t="s">
        <v>8</v>
      </c>
      <c r="I2" s="140" t="s">
        <v>9</v>
      </c>
      <c r="J2" s="142" t="s">
        <v>34</v>
      </c>
      <c r="K2" s="143" t="s">
        <v>35</v>
      </c>
      <c r="L2" s="142" t="s">
        <v>36</v>
      </c>
      <c r="M2" s="95" t="s">
        <v>37</v>
      </c>
      <c r="N2" s="144" t="s">
        <v>38</v>
      </c>
      <c r="O2" s="140" t="s">
        <v>10</v>
      </c>
      <c r="P2" s="140" t="s">
        <v>13</v>
      </c>
      <c r="Q2" s="140" t="s">
        <v>14</v>
      </c>
      <c r="R2" s="140" t="s">
        <v>39</v>
      </c>
      <c r="S2" s="140" t="s">
        <v>19</v>
      </c>
      <c r="T2" s="140" t="s">
        <v>20</v>
      </c>
      <c r="U2" s="140" t="s">
        <v>21</v>
      </c>
      <c r="V2" s="140" t="s">
        <v>40</v>
      </c>
      <c r="W2" s="140" t="s">
        <v>41</v>
      </c>
      <c r="X2" s="140" t="s">
        <v>42</v>
      </c>
      <c r="Y2" s="145" t="s">
        <v>22</v>
      </c>
    </row>
    <row r="3" spans="1:25" x14ac:dyDescent="0.25">
      <c r="A3" s="36">
        <v>43283</v>
      </c>
      <c r="B3" s="27" t="s">
        <v>43</v>
      </c>
      <c r="C3" s="27" t="s">
        <v>845</v>
      </c>
      <c r="D3" s="89">
        <v>38.260739999999998</v>
      </c>
      <c r="E3" s="89">
        <v>-121.74865</v>
      </c>
      <c r="F3" s="27" t="s">
        <v>5594</v>
      </c>
      <c r="G3" s="27" t="s">
        <v>90</v>
      </c>
      <c r="H3" s="27" t="s">
        <v>126</v>
      </c>
      <c r="I3" s="84">
        <v>0.33888888888888885</v>
      </c>
      <c r="J3" s="82">
        <v>162.28333333333333</v>
      </c>
      <c r="K3" s="82">
        <v>21.599999999999998</v>
      </c>
      <c r="L3" s="82">
        <v>6.0933333333333337</v>
      </c>
      <c r="M3" s="82">
        <v>1.4233333333333336</v>
      </c>
      <c r="N3" s="4">
        <v>3.8166666666666669</v>
      </c>
      <c r="O3" s="27" t="s">
        <v>48</v>
      </c>
      <c r="P3" s="27">
        <v>6</v>
      </c>
      <c r="Q3" s="27">
        <v>10</v>
      </c>
      <c r="R3" s="27" t="s">
        <v>49</v>
      </c>
      <c r="S3" s="97" t="s">
        <v>50</v>
      </c>
      <c r="T3" s="97" t="s">
        <v>50</v>
      </c>
      <c r="U3" s="97" t="s">
        <v>50</v>
      </c>
      <c r="V3" s="97" t="s">
        <v>50</v>
      </c>
      <c r="W3" s="97" t="s">
        <v>50</v>
      </c>
      <c r="X3" s="97" t="s">
        <v>50</v>
      </c>
    </row>
    <row r="4" spans="1:25" x14ac:dyDescent="0.25">
      <c r="A4" s="36">
        <v>43283</v>
      </c>
      <c r="B4" s="27" t="s">
        <v>43</v>
      </c>
      <c r="C4" s="27" t="s">
        <v>845</v>
      </c>
      <c r="D4" s="89">
        <v>38.252139999999997</v>
      </c>
      <c r="E4" s="89">
        <v>-121.67209</v>
      </c>
      <c r="F4" s="27" t="s">
        <v>5595</v>
      </c>
      <c r="G4" s="27" t="s">
        <v>90</v>
      </c>
      <c r="H4" s="27" t="s">
        <v>126</v>
      </c>
      <c r="I4" s="84">
        <v>0.45902777777777781</v>
      </c>
      <c r="J4" s="82">
        <v>130.54999999999998</v>
      </c>
      <c r="K4" s="82">
        <v>21.566666666666663</v>
      </c>
      <c r="L4" s="82">
        <v>39.700000000000003</v>
      </c>
      <c r="M4" s="82">
        <v>0.38166666666666665</v>
      </c>
      <c r="N4" s="4">
        <v>4.5833333333333339</v>
      </c>
      <c r="O4" s="27" t="s">
        <v>48</v>
      </c>
      <c r="P4" s="27">
        <v>6</v>
      </c>
      <c r="Q4" s="27">
        <v>10</v>
      </c>
      <c r="R4" s="27" t="s">
        <v>49</v>
      </c>
      <c r="S4" s="97" t="s">
        <v>50</v>
      </c>
      <c r="T4" s="97" t="s">
        <v>50</v>
      </c>
      <c r="U4" s="97" t="s">
        <v>50</v>
      </c>
      <c r="V4" s="97" t="s">
        <v>50</v>
      </c>
      <c r="W4" s="97" t="s">
        <v>50</v>
      </c>
      <c r="X4" s="97" t="s">
        <v>50</v>
      </c>
    </row>
    <row r="5" spans="1:25" x14ac:dyDescent="0.25">
      <c r="A5" s="36">
        <v>43283</v>
      </c>
      <c r="B5" s="27" t="s">
        <v>43</v>
      </c>
      <c r="C5" s="27" t="s">
        <v>845</v>
      </c>
      <c r="D5" s="89">
        <v>38.247480000000003</v>
      </c>
      <c r="E5" s="89">
        <v>-121.70971</v>
      </c>
      <c r="F5" s="27" t="s">
        <v>5596</v>
      </c>
      <c r="G5" s="27" t="s">
        <v>90</v>
      </c>
      <c r="H5" s="27" t="s">
        <v>126</v>
      </c>
      <c r="I5" s="84">
        <v>0.42291666666666666</v>
      </c>
      <c r="J5" s="82">
        <v>144.4</v>
      </c>
      <c r="K5" s="82">
        <v>21.5</v>
      </c>
      <c r="L5" s="82">
        <v>7.64</v>
      </c>
      <c r="M5" s="82">
        <v>1.36</v>
      </c>
      <c r="N5" s="4">
        <v>3.5</v>
      </c>
      <c r="O5" s="27" t="s">
        <v>48</v>
      </c>
      <c r="P5" s="27">
        <v>1</v>
      </c>
      <c r="Q5" s="27">
        <v>10</v>
      </c>
      <c r="R5" s="27" t="s">
        <v>49</v>
      </c>
      <c r="S5" s="97" t="s">
        <v>50</v>
      </c>
      <c r="T5" s="97" t="s">
        <v>50</v>
      </c>
      <c r="U5" s="97" t="s">
        <v>50</v>
      </c>
      <c r="V5" s="97" t="s">
        <v>50</v>
      </c>
      <c r="W5" s="97" t="s">
        <v>50</v>
      </c>
      <c r="X5" s="97" t="s">
        <v>50</v>
      </c>
      <c r="Y5" s="35" t="s">
        <v>5597</v>
      </c>
    </row>
    <row r="6" spans="1:25" x14ac:dyDescent="0.25">
      <c r="A6" s="36">
        <v>43283</v>
      </c>
      <c r="B6" s="27" t="s">
        <v>43</v>
      </c>
      <c r="C6" s="27" t="s">
        <v>88</v>
      </c>
      <c r="D6" s="89">
        <v>38.131329999999998</v>
      </c>
      <c r="E6" s="89">
        <v>-121.69432999999999</v>
      </c>
      <c r="F6" s="27" t="s">
        <v>5598</v>
      </c>
      <c r="G6" s="27" t="s">
        <v>90</v>
      </c>
      <c r="H6" s="27" t="s">
        <v>91</v>
      </c>
      <c r="I6" s="84">
        <v>0.34375</v>
      </c>
      <c r="J6" s="82">
        <v>191.53333333333333</v>
      </c>
      <c r="K6" s="82">
        <v>22.116666666666664</v>
      </c>
      <c r="L6" s="82">
        <v>9.1600000000000019</v>
      </c>
      <c r="M6" s="82">
        <v>1.0883333333333332</v>
      </c>
      <c r="N6" s="4">
        <v>9.7333333333333343</v>
      </c>
      <c r="O6" s="27" t="s">
        <v>48</v>
      </c>
      <c r="P6" s="27">
        <v>6</v>
      </c>
      <c r="Q6" s="27">
        <v>10</v>
      </c>
      <c r="R6" s="27" t="s">
        <v>49</v>
      </c>
      <c r="S6" s="97" t="s">
        <v>50</v>
      </c>
      <c r="T6" s="97" t="s">
        <v>50</v>
      </c>
      <c r="U6" s="97" t="s">
        <v>50</v>
      </c>
      <c r="V6" s="97" t="s">
        <v>50</v>
      </c>
      <c r="W6" s="97" t="s">
        <v>50</v>
      </c>
      <c r="X6" s="97" t="s">
        <v>50</v>
      </c>
      <c r="Y6" s="35" t="s">
        <v>1016</v>
      </c>
    </row>
    <row r="7" spans="1:25" x14ac:dyDescent="0.25">
      <c r="A7" s="36">
        <v>43283</v>
      </c>
      <c r="B7" s="27" t="s">
        <v>43</v>
      </c>
      <c r="C7" s="27" t="s">
        <v>88</v>
      </c>
      <c r="D7" s="89">
        <v>38.124549999999999</v>
      </c>
      <c r="E7" s="89">
        <v>-121.69318</v>
      </c>
      <c r="F7" s="27" t="s">
        <v>5599</v>
      </c>
      <c r="G7" s="27" t="s">
        <v>90</v>
      </c>
      <c r="H7" s="27" t="s">
        <v>91</v>
      </c>
      <c r="I7" s="84">
        <v>0.44444444444444442</v>
      </c>
      <c r="J7" s="82">
        <v>168.26666666666668</v>
      </c>
      <c r="K7" s="82">
        <v>22.316666666666666</v>
      </c>
      <c r="L7" s="82">
        <v>12.033333333333333</v>
      </c>
      <c r="M7" s="82">
        <v>1.0016666666666667</v>
      </c>
      <c r="N7" s="4">
        <v>2.8666666666666667</v>
      </c>
      <c r="O7" s="27" t="s">
        <v>48</v>
      </c>
      <c r="P7" s="27">
        <v>6</v>
      </c>
      <c r="Q7" s="27">
        <v>10</v>
      </c>
      <c r="R7" s="27" t="s">
        <v>49</v>
      </c>
      <c r="S7" s="97" t="s">
        <v>50</v>
      </c>
      <c r="T7" s="97" t="s">
        <v>50</v>
      </c>
      <c r="U7" s="97" t="s">
        <v>50</v>
      </c>
      <c r="V7" s="97" t="s">
        <v>50</v>
      </c>
      <c r="W7" s="97" t="s">
        <v>50</v>
      </c>
      <c r="X7" s="97" t="s">
        <v>50</v>
      </c>
      <c r="Y7" s="35" t="s">
        <v>5600</v>
      </c>
    </row>
    <row r="8" spans="1:25" x14ac:dyDescent="0.25">
      <c r="A8" s="36">
        <v>43283</v>
      </c>
      <c r="B8" s="27" t="s">
        <v>43</v>
      </c>
      <c r="C8" s="27" t="s">
        <v>88</v>
      </c>
      <c r="D8" s="89">
        <v>38.116140000000001</v>
      </c>
      <c r="E8" s="89">
        <v>-121.70696</v>
      </c>
      <c r="F8" s="27" t="s">
        <v>5601</v>
      </c>
      <c r="G8" s="27" t="s">
        <v>90</v>
      </c>
      <c r="H8" s="27" t="s">
        <v>91</v>
      </c>
      <c r="I8" s="84">
        <v>0.52083333333333337</v>
      </c>
      <c r="J8" s="82">
        <v>142.92000000000002</v>
      </c>
      <c r="K8" s="82">
        <v>22.559999999999995</v>
      </c>
      <c r="L8" s="82">
        <v>14.780000000000001</v>
      </c>
      <c r="M8" s="82">
        <v>0.81799999999999995</v>
      </c>
      <c r="N8" s="4">
        <v>8.34</v>
      </c>
      <c r="O8" s="27" t="s">
        <v>48</v>
      </c>
      <c r="P8" s="27">
        <v>5</v>
      </c>
      <c r="Q8" s="27">
        <v>10</v>
      </c>
      <c r="R8" s="27" t="s">
        <v>49</v>
      </c>
      <c r="S8" s="97" t="s">
        <v>50</v>
      </c>
      <c r="T8" s="97" t="s">
        <v>50</v>
      </c>
      <c r="U8" s="97" t="s">
        <v>50</v>
      </c>
      <c r="V8" s="97" t="s">
        <v>50</v>
      </c>
      <c r="W8" s="97" t="s">
        <v>50</v>
      </c>
      <c r="X8" s="27" t="s">
        <v>50</v>
      </c>
      <c r="Y8" s="35" t="s">
        <v>5602</v>
      </c>
    </row>
    <row r="9" spans="1:25" s="215" customFormat="1" x14ac:dyDescent="0.25">
      <c r="A9" s="346">
        <v>43283</v>
      </c>
      <c r="B9" s="494" t="s">
        <v>43</v>
      </c>
      <c r="C9" s="494" t="s">
        <v>78</v>
      </c>
      <c r="D9" s="496">
        <v>38.06823</v>
      </c>
      <c r="E9" s="496">
        <v>-121.84317</v>
      </c>
      <c r="F9" s="494" t="s">
        <v>5603</v>
      </c>
      <c r="G9" s="494" t="s">
        <v>90</v>
      </c>
      <c r="H9" s="494" t="s">
        <v>101</v>
      </c>
      <c r="I9" s="497">
        <v>0.37638888888888888</v>
      </c>
      <c r="J9" s="498">
        <v>4887.6833333333334</v>
      </c>
      <c r="K9" s="498">
        <v>21.216666666666669</v>
      </c>
      <c r="L9" s="498">
        <v>30.483333333333334</v>
      </c>
      <c r="M9" s="498">
        <v>0.53333333333333333</v>
      </c>
      <c r="N9" s="499">
        <v>6.916666666666667</v>
      </c>
      <c r="O9" s="494" t="s">
        <v>48</v>
      </c>
      <c r="P9" s="494">
        <v>6</v>
      </c>
      <c r="Q9" s="494">
        <v>10</v>
      </c>
      <c r="R9" s="494" t="s">
        <v>49</v>
      </c>
      <c r="S9" s="494" t="s">
        <v>323</v>
      </c>
      <c r="T9" s="494">
        <v>1</v>
      </c>
      <c r="U9" s="494">
        <v>40</v>
      </c>
      <c r="V9" s="494" t="s">
        <v>66</v>
      </c>
      <c r="W9" s="494" t="s">
        <v>50</v>
      </c>
      <c r="X9" s="494" t="s">
        <v>50</v>
      </c>
      <c r="Y9" s="35" t="s">
        <v>5604</v>
      </c>
    </row>
    <row r="10" spans="1:25" s="215" customFormat="1" x14ac:dyDescent="0.25">
      <c r="A10" s="346">
        <v>43283</v>
      </c>
      <c r="B10" s="494" t="s">
        <v>43</v>
      </c>
      <c r="C10" s="494" t="s">
        <v>78</v>
      </c>
      <c r="D10" s="496">
        <v>38.045839999999998</v>
      </c>
      <c r="E10" s="496">
        <v>-121.90125</v>
      </c>
      <c r="F10" s="494" t="s">
        <v>5605</v>
      </c>
      <c r="G10" s="494" t="s">
        <v>90</v>
      </c>
      <c r="H10" s="494" t="s">
        <v>101</v>
      </c>
      <c r="I10" s="497">
        <v>0.46111111111111108</v>
      </c>
      <c r="J10" s="498">
        <v>6053</v>
      </c>
      <c r="K10" s="498">
        <v>21.3</v>
      </c>
      <c r="L10" s="498">
        <v>51.349999999999994</v>
      </c>
      <c r="M10" s="498">
        <v>0.41</v>
      </c>
      <c r="N10" s="499">
        <v>15.95</v>
      </c>
      <c r="O10" s="494" t="s">
        <v>48</v>
      </c>
      <c r="P10" s="494">
        <v>2</v>
      </c>
      <c r="Q10" s="494">
        <v>10</v>
      </c>
      <c r="R10" s="494" t="s">
        <v>49</v>
      </c>
      <c r="S10" s="494" t="s">
        <v>323</v>
      </c>
      <c r="T10" s="494">
        <v>1</v>
      </c>
      <c r="U10" s="494">
        <v>37</v>
      </c>
      <c r="V10" s="494" t="s">
        <v>66</v>
      </c>
      <c r="W10" s="494" t="s">
        <v>50</v>
      </c>
      <c r="X10" s="494" t="s">
        <v>50</v>
      </c>
      <c r="Y10" s="455" t="s">
        <v>5604</v>
      </c>
    </row>
    <row r="11" spans="1:25" x14ac:dyDescent="0.25">
      <c r="A11" s="26">
        <v>43284</v>
      </c>
      <c r="B11" s="27" t="s">
        <v>849</v>
      </c>
      <c r="C11" s="27" t="s">
        <v>845</v>
      </c>
      <c r="D11" s="89">
        <v>38.247990000000001</v>
      </c>
      <c r="E11" s="89">
        <v>-121.68678</v>
      </c>
      <c r="F11" s="27" t="s">
        <v>5606</v>
      </c>
      <c r="G11" s="27" t="s">
        <v>90</v>
      </c>
      <c r="H11" s="27" t="s">
        <v>126</v>
      </c>
      <c r="I11" s="84">
        <v>0.31111111111111112</v>
      </c>
      <c r="J11" s="82">
        <v>115.71666666666665</v>
      </c>
      <c r="K11" s="82">
        <v>21.95</v>
      </c>
      <c r="L11" s="82">
        <v>9.2900000000000009</v>
      </c>
      <c r="M11" s="82">
        <v>1.1616666666666666</v>
      </c>
      <c r="N11" s="4">
        <v>8.25</v>
      </c>
      <c r="O11" s="27" t="s">
        <v>48</v>
      </c>
      <c r="P11" s="27">
        <v>6</v>
      </c>
      <c r="Q11" s="27">
        <v>10</v>
      </c>
      <c r="R11" s="27" t="s">
        <v>49</v>
      </c>
      <c r="S11" s="97" t="s">
        <v>50</v>
      </c>
      <c r="T11" s="97" t="s">
        <v>50</v>
      </c>
      <c r="U11" s="97" t="s">
        <v>50</v>
      </c>
      <c r="V11" s="97" t="s">
        <v>50</v>
      </c>
      <c r="W11" s="97" t="s">
        <v>50</v>
      </c>
      <c r="X11" s="27" t="s">
        <v>50</v>
      </c>
      <c r="Y11" s="35" t="s">
        <v>5607</v>
      </c>
    </row>
    <row r="12" spans="1:25" x14ac:dyDescent="0.25">
      <c r="A12" s="26">
        <v>43284</v>
      </c>
      <c r="B12" s="27" t="s">
        <v>849</v>
      </c>
      <c r="C12" s="27" t="s">
        <v>845</v>
      </c>
      <c r="D12" s="89">
        <v>38.25938</v>
      </c>
      <c r="E12" s="89">
        <v>-121.69136</v>
      </c>
      <c r="F12" s="27" t="s">
        <v>5608</v>
      </c>
      <c r="G12" s="27" t="s">
        <v>90</v>
      </c>
      <c r="H12" s="27" t="s">
        <v>126</v>
      </c>
      <c r="I12" s="84">
        <v>0.3888888888888889</v>
      </c>
      <c r="J12" s="82">
        <v>120.48333333333333</v>
      </c>
      <c r="K12" s="82">
        <v>21.616666666666664</v>
      </c>
      <c r="L12" s="82">
        <v>10.648333333333333</v>
      </c>
      <c r="M12" s="82">
        <v>1.0483333333333333</v>
      </c>
      <c r="N12" s="4">
        <v>6.8999999999999995</v>
      </c>
      <c r="O12" s="27" t="s">
        <v>48</v>
      </c>
      <c r="P12" s="27">
        <v>6</v>
      </c>
      <c r="Q12" s="27">
        <v>10</v>
      </c>
      <c r="R12" s="27" t="s">
        <v>49</v>
      </c>
      <c r="S12" s="97" t="s">
        <v>50</v>
      </c>
      <c r="T12" s="97" t="s">
        <v>50</v>
      </c>
      <c r="U12" s="97" t="s">
        <v>50</v>
      </c>
      <c r="V12" s="97" t="s">
        <v>50</v>
      </c>
      <c r="W12" s="97" t="s">
        <v>50</v>
      </c>
      <c r="X12" s="27" t="s">
        <v>50</v>
      </c>
    </row>
    <row r="13" spans="1:25" s="149" customFormat="1" x14ac:dyDescent="0.25">
      <c r="A13" s="178">
        <v>43284</v>
      </c>
      <c r="B13" s="149" t="s">
        <v>849</v>
      </c>
      <c r="C13" s="149" t="s">
        <v>845</v>
      </c>
      <c r="D13" s="150">
        <v>38.249229999999997</v>
      </c>
      <c r="E13" s="150">
        <v>-121.68013999999999</v>
      </c>
      <c r="F13" s="149" t="s">
        <v>5609</v>
      </c>
      <c r="G13" s="149" t="s">
        <v>90</v>
      </c>
      <c r="H13" s="149" t="s">
        <v>126</v>
      </c>
      <c r="I13" s="151">
        <v>0.30486111111111108</v>
      </c>
      <c r="J13" s="161" t="s">
        <v>50</v>
      </c>
      <c r="K13" s="161" t="s">
        <v>50</v>
      </c>
      <c r="L13" s="161" t="s">
        <v>50</v>
      </c>
      <c r="M13" s="161" t="s">
        <v>50</v>
      </c>
      <c r="N13" s="161" t="s">
        <v>50</v>
      </c>
      <c r="O13" s="161" t="s">
        <v>48</v>
      </c>
      <c r="P13" s="161">
        <v>0</v>
      </c>
      <c r="Q13" s="279" t="s">
        <v>50</v>
      </c>
      <c r="R13" s="157" t="s">
        <v>50</v>
      </c>
      <c r="S13" s="158" t="s">
        <v>50</v>
      </c>
      <c r="T13" s="158" t="s">
        <v>50</v>
      </c>
      <c r="U13" s="157" t="s">
        <v>50</v>
      </c>
      <c r="V13" s="158" t="s">
        <v>50</v>
      </c>
      <c r="W13" s="158" t="s">
        <v>50</v>
      </c>
      <c r="X13" s="157" t="s">
        <v>50</v>
      </c>
      <c r="Y13" s="152" t="s">
        <v>3595</v>
      </c>
    </row>
    <row r="14" spans="1:25" s="149" customFormat="1" x14ac:dyDescent="0.25">
      <c r="A14" s="178">
        <v>43284</v>
      </c>
      <c r="B14" s="149" t="s">
        <v>849</v>
      </c>
      <c r="C14" s="149" t="s">
        <v>78</v>
      </c>
      <c r="D14" s="150">
        <v>38.081270000000004</v>
      </c>
      <c r="E14" s="150">
        <v>-121.91847</v>
      </c>
      <c r="F14" s="149" t="s">
        <v>5610</v>
      </c>
      <c r="G14" s="149" t="s">
        <v>27</v>
      </c>
      <c r="H14" s="149" t="s">
        <v>170</v>
      </c>
      <c r="I14" s="151">
        <v>0.32569444444444445</v>
      </c>
      <c r="J14" s="161" t="s">
        <v>50</v>
      </c>
      <c r="K14" s="161" t="s">
        <v>50</v>
      </c>
      <c r="L14" s="161" t="s">
        <v>50</v>
      </c>
      <c r="M14" s="161" t="s">
        <v>50</v>
      </c>
      <c r="N14" s="161" t="s">
        <v>50</v>
      </c>
      <c r="O14" s="161" t="s">
        <v>48</v>
      </c>
      <c r="P14" s="161">
        <v>0</v>
      </c>
      <c r="Q14" s="279" t="s">
        <v>50</v>
      </c>
      <c r="R14" s="157" t="s">
        <v>50</v>
      </c>
      <c r="S14" s="158" t="s">
        <v>50</v>
      </c>
      <c r="T14" s="158" t="s">
        <v>50</v>
      </c>
      <c r="U14" s="157" t="s">
        <v>50</v>
      </c>
      <c r="V14" s="158" t="s">
        <v>50</v>
      </c>
      <c r="W14" s="158" t="s">
        <v>50</v>
      </c>
      <c r="X14" s="157" t="s">
        <v>50</v>
      </c>
      <c r="Y14" s="152" t="s">
        <v>3595</v>
      </c>
    </row>
    <row r="15" spans="1:25" s="149" customFormat="1" x14ac:dyDescent="0.25">
      <c r="A15" s="178">
        <v>43284</v>
      </c>
      <c r="B15" s="149" t="s">
        <v>849</v>
      </c>
      <c r="C15" s="149" t="s">
        <v>78</v>
      </c>
      <c r="D15" s="150">
        <v>38.085369999999998</v>
      </c>
      <c r="E15" s="150">
        <v>-122.06237</v>
      </c>
      <c r="F15" s="149" t="s">
        <v>5611</v>
      </c>
      <c r="G15" s="149" t="s">
        <v>80</v>
      </c>
      <c r="H15" s="149" t="s">
        <v>81</v>
      </c>
      <c r="I15" s="151">
        <v>0.34652777777777777</v>
      </c>
      <c r="J15" s="161" t="s">
        <v>50</v>
      </c>
      <c r="K15" s="161" t="s">
        <v>50</v>
      </c>
      <c r="L15" s="161" t="s">
        <v>50</v>
      </c>
      <c r="M15" s="161" t="s">
        <v>50</v>
      </c>
      <c r="N15" s="161" t="s">
        <v>50</v>
      </c>
      <c r="O15" s="161" t="s">
        <v>48</v>
      </c>
      <c r="P15" s="161">
        <v>0</v>
      </c>
      <c r="Q15" s="279" t="s">
        <v>50</v>
      </c>
      <c r="R15" s="157" t="s">
        <v>50</v>
      </c>
      <c r="S15" s="158" t="s">
        <v>50</v>
      </c>
      <c r="T15" s="158" t="s">
        <v>50</v>
      </c>
      <c r="U15" s="157" t="s">
        <v>50</v>
      </c>
      <c r="V15" s="158" t="s">
        <v>50</v>
      </c>
      <c r="W15" s="158" t="s">
        <v>50</v>
      </c>
      <c r="X15" s="157" t="s">
        <v>50</v>
      </c>
      <c r="Y15" s="152" t="s">
        <v>3595</v>
      </c>
    </row>
    <row r="16" spans="1:25" s="149" customFormat="1" x14ac:dyDescent="0.25">
      <c r="A16" s="178">
        <v>43284</v>
      </c>
      <c r="B16" s="149" t="s">
        <v>849</v>
      </c>
      <c r="C16" s="149" t="s">
        <v>78</v>
      </c>
      <c r="D16" s="150">
        <v>38.034820000000003</v>
      </c>
      <c r="E16" s="150">
        <v>-122.12245</v>
      </c>
      <c r="F16" s="149" t="s">
        <v>5612</v>
      </c>
      <c r="G16" s="149" t="s">
        <v>80</v>
      </c>
      <c r="H16" s="149" t="s">
        <v>81</v>
      </c>
      <c r="I16" s="151">
        <v>0.35625000000000001</v>
      </c>
      <c r="J16" s="161" t="s">
        <v>50</v>
      </c>
      <c r="K16" s="161" t="s">
        <v>50</v>
      </c>
      <c r="L16" s="161" t="s">
        <v>50</v>
      </c>
      <c r="M16" s="161" t="s">
        <v>50</v>
      </c>
      <c r="N16" s="161" t="s">
        <v>50</v>
      </c>
      <c r="O16" s="161" t="s">
        <v>48</v>
      </c>
      <c r="P16" s="161">
        <v>0</v>
      </c>
      <c r="Q16" s="279" t="s">
        <v>50</v>
      </c>
      <c r="R16" s="157" t="s">
        <v>50</v>
      </c>
      <c r="S16" s="158" t="s">
        <v>50</v>
      </c>
      <c r="T16" s="158" t="s">
        <v>50</v>
      </c>
      <c r="U16" s="157" t="s">
        <v>50</v>
      </c>
      <c r="V16" s="158" t="s">
        <v>50</v>
      </c>
      <c r="W16" s="158" t="s">
        <v>50</v>
      </c>
      <c r="X16" s="157" t="s">
        <v>50</v>
      </c>
      <c r="Y16" s="152" t="s">
        <v>5613</v>
      </c>
    </row>
    <row r="17" spans="1:25" s="341" customFormat="1" x14ac:dyDescent="0.25">
      <c r="A17" s="20">
        <v>43284</v>
      </c>
      <c r="B17" s="631" t="s">
        <v>849</v>
      </c>
      <c r="C17" s="631" t="s">
        <v>78</v>
      </c>
      <c r="D17" s="347">
        <v>38.054760000000002</v>
      </c>
      <c r="E17" s="347">
        <v>-122.10753</v>
      </c>
      <c r="F17" s="631" t="s">
        <v>5614</v>
      </c>
      <c r="G17" s="631" t="s">
        <v>80</v>
      </c>
      <c r="H17" s="631" t="s">
        <v>81</v>
      </c>
      <c r="I17" s="21">
        <v>0.36944444444444446</v>
      </c>
      <c r="J17" s="4">
        <v>19553.166666666668</v>
      </c>
      <c r="K17" s="4">
        <v>19.383333333333329</v>
      </c>
      <c r="L17" s="4">
        <v>31.083333333333332</v>
      </c>
      <c r="M17" s="4">
        <v>0.54166666666666663</v>
      </c>
      <c r="N17" s="4">
        <v>7.7833333333333341</v>
      </c>
      <c r="O17" s="631" t="s">
        <v>48</v>
      </c>
      <c r="P17" s="631">
        <v>6</v>
      </c>
      <c r="Q17" s="631">
        <v>10</v>
      </c>
      <c r="R17" s="631" t="s">
        <v>49</v>
      </c>
      <c r="S17" s="158" t="s">
        <v>50</v>
      </c>
      <c r="T17" s="158" t="s">
        <v>50</v>
      </c>
      <c r="U17" s="157" t="s">
        <v>50</v>
      </c>
      <c r="V17" s="158" t="s">
        <v>50</v>
      </c>
      <c r="W17" s="158" t="s">
        <v>50</v>
      </c>
      <c r="X17" s="157" t="s">
        <v>50</v>
      </c>
      <c r="Y17" s="5"/>
    </row>
    <row r="18" spans="1:25" x14ac:dyDescent="0.25">
      <c r="A18" s="20">
        <v>43284</v>
      </c>
      <c r="B18" s="631" t="s">
        <v>849</v>
      </c>
      <c r="C18" s="631" t="s">
        <v>78</v>
      </c>
      <c r="D18" s="89">
        <v>38.056229999999999</v>
      </c>
      <c r="E18" s="89">
        <v>-121.95403</v>
      </c>
      <c r="F18" s="27" t="s">
        <v>5615</v>
      </c>
      <c r="G18" s="27" t="s">
        <v>27</v>
      </c>
      <c r="H18" s="27" t="s">
        <v>170</v>
      </c>
      <c r="I18" s="84">
        <v>0.4694444444444445</v>
      </c>
      <c r="J18" s="82">
        <v>8389</v>
      </c>
      <c r="K18" s="82">
        <v>20.95</v>
      </c>
      <c r="L18" s="82">
        <v>47.5</v>
      </c>
      <c r="M18" s="82">
        <v>0.47499999999999998</v>
      </c>
      <c r="N18" s="4">
        <v>11.9</v>
      </c>
      <c r="O18" s="27" t="s">
        <v>48</v>
      </c>
      <c r="P18" s="27">
        <v>2</v>
      </c>
      <c r="Q18" s="27">
        <v>10</v>
      </c>
      <c r="R18" s="27" t="s">
        <v>49</v>
      </c>
      <c r="S18" s="40" t="s">
        <v>50</v>
      </c>
      <c r="T18" s="40" t="s">
        <v>50</v>
      </c>
      <c r="U18" s="235" t="s">
        <v>50</v>
      </c>
      <c r="V18" s="40" t="s">
        <v>50</v>
      </c>
      <c r="W18" s="40" t="s">
        <v>50</v>
      </c>
      <c r="X18" s="235" t="s">
        <v>50</v>
      </c>
      <c r="Y18" s="35" t="s">
        <v>5616</v>
      </c>
    </row>
    <row r="19" spans="1:25" x14ac:dyDescent="0.25">
      <c r="A19" s="20">
        <v>43284</v>
      </c>
      <c r="B19" s="631" t="s">
        <v>849</v>
      </c>
      <c r="C19" s="27" t="s">
        <v>88</v>
      </c>
      <c r="D19" s="89">
        <v>38.069740000000003</v>
      </c>
      <c r="E19" s="89">
        <v>-121.83647999999999</v>
      </c>
      <c r="F19" s="27" t="s">
        <v>5617</v>
      </c>
      <c r="G19" s="27" t="s">
        <v>27</v>
      </c>
      <c r="H19" s="27" t="s">
        <v>5618</v>
      </c>
      <c r="I19" s="84">
        <v>0.3298611111111111</v>
      </c>
      <c r="J19" s="82">
        <v>6368.833333333333</v>
      </c>
      <c r="K19" s="82">
        <v>20.900000000000002</v>
      </c>
      <c r="L19" s="82">
        <v>20.066666666666666</v>
      </c>
      <c r="M19" s="82">
        <v>0.54499999999999993</v>
      </c>
      <c r="N19" s="4">
        <v>6.916666666666667</v>
      </c>
      <c r="O19" s="27" t="s">
        <v>48</v>
      </c>
      <c r="P19" s="27">
        <v>6</v>
      </c>
      <c r="Q19" s="27">
        <v>10</v>
      </c>
      <c r="R19" s="27" t="s">
        <v>49</v>
      </c>
      <c r="S19" s="40" t="s">
        <v>50</v>
      </c>
      <c r="T19" s="40" t="s">
        <v>50</v>
      </c>
      <c r="U19" s="235" t="s">
        <v>50</v>
      </c>
      <c r="V19" s="40" t="s">
        <v>50</v>
      </c>
      <c r="W19" s="40" t="s">
        <v>50</v>
      </c>
      <c r="X19" s="235" t="s">
        <v>50</v>
      </c>
    </row>
    <row r="20" spans="1:25" x14ac:dyDescent="0.25">
      <c r="A20" s="20">
        <v>43284</v>
      </c>
      <c r="B20" s="631" t="s">
        <v>849</v>
      </c>
      <c r="C20" s="27" t="s">
        <v>88</v>
      </c>
      <c r="D20" s="89">
        <v>38.072800000000001</v>
      </c>
      <c r="E20" s="89">
        <v>-121.76568</v>
      </c>
      <c r="F20" s="27" t="s">
        <v>5619</v>
      </c>
      <c r="G20" s="27" t="s">
        <v>27</v>
      </c>
      <c r="H20" s="27" t="s">
        <v>5618</v>
      </c>
      <c r="I20" s="84">
        <v>0.41944444444444445</v>
      </c>
      <c r="J20" s="82">
        <v>1399.5</v>
      </c>
      <c r="K20" s="82">
        <v>21.216666666666669</v>
      </c>
      <c r="L20" s="82">
        <v>23.049999999999997</v>
      </c>
      <c r="M20" s="82">
        <v>0.53500000000000003</v>
      </c>
      <c r="N20" s="4">
        <v>10.200000000000001</v>
      </c>
      <c r="O20" s="27" t="s">
        <v>48</v>
      </c>
      <c r="P20" s="27">
        <v>6</v>
      </c>
      <c r="Q20" s="27">
        <v>10</v>
      </c>
      <c r="R20" s="27" t="s">
        <v>49</v>
      </c>
      <c r="S20" s="40" t="s">
        <v>50</v>
      </c>
      <c r="T20" s="40" t="s">
        <v>50</v>
      </c>
      <c r="U20" s="235" t="s">
        <v>50</v>
      </c>
      <c r="V20" s="40" t="s">
        <v>50</v>
      </c>
      <c r="W20" s="40" t="s">
        <v>50</v>
      </c>
      <c r="X20" s="235" t="s">
        <v>50</v>
      </c>
    </row>
    <row r="21" spans="1:25" x14ac:dyDescent="0.25">
      <c r="A21" s="20">
        <v>43286</v>
      </c>
      <c r="B21" s="27" t="s">
        <v>876</v>
      </c>
      <c r="C21" s="27" t="s">
        <v>62</v>
      </c>
      <c r="D21" s="89">
        <v>38.17136</v>
      </c>
      <c r="E21" s="89">
        <v>-121.95972</v>
      </c>
      <c r="F21" s="27" t="s">
        <v>5620</v>
      </c>
      <c r="G21" s="27" t="s">
        <v>27</v>
      </c>
      <c r="H21" s="27" t="s">
        <v>62</v>
      </c>
      <c r="I21" s="84">
        <v>0.36041666666666666</v>
      </c>
      <c r="J21" s="82">
        <v>7388.166666666667</v>
      </c>
      <c r="K21" s="82">
        <v>20.7</v>
      </c>
      <c r="L21" s="82">
        <v>25.966666666666665</v>
      </c>
      <c r="M21" s="82">
        <v>0.48999999999999994</v>
      </c>
      <c r="N21" s="4">
        <v>8.4166666666666679</v>
      </c>
      <c r="O21" s="27" t="s">
        <v>48</v>
      </c>
      <c r="P21" s="27">
        <v>6</v>
      </c>
      <c r="Q21" s="27">
        <v>10</v>
      </c>
      <c r="R21" s="27" t="s">
        <v>49</v>
      </c>
      <c r="S21" s="40" t="s">
        <v>50</v>
      </c>
      <c r="T21" s="40" t="s">
        <v>50</v>
      </c>
      <c r="U21" s="235" t="s">
        <v>50</v>
      </c>
      <c r="V21" s="40" t="s">
        <v>50</v>
      </c>
      <c r="W21" s="40" t="s">
        <v>50</v>
      </c>
      <c r="X21" s="235" t="s">
        <v>50</v>
      </c>
      <c r="Y21" s="35" t="s">
        <v>5621</v>
      </c>
    </row>
    <row r="22" spans="1:25" x14ac:dyDescent="0.25">
      <c r="A22" s="20">
        <v>43286</v>
      </c>
      <c r="B22" s="27" t="s">
        <v>876</v>
      </c>
      <c r="C22" s="27" t="s">
        <v>62</v>
      </c>
      <c r="D22" s="89">
        <v>38.186239999999998</v>
      </c>
      <c r="E22" s="89">
        <v>-121.97179</v>
      </c>
      <c r="F22" s="27" t="s">
        <v>5622</v>
      </c>
      <c r="G22" s="27" t="s">
        <v>27</v>
      </c>
      <c r="H22" s="27" t="s">
        <v>62</v>
      </c>
      <c r="I22" s="84">
        <v>0.45277777777777778</v>
      </c>
      <c r="J22" s="82">
        <v>7497.666666666667</v>
      </c>
      <c r="K22" s="82">
        <v>20.933333333333334</v>
      </c>
      <c r="L22" s="82">
        <v>34.016666666666666</v>
      </c>
      <c r="M22" s="82">
        <v>0.44500000000000001</v>
      </c>
      <c r="N22" s="4">
        <v>6.3999999999999995</v>
      </c>
      <c r="O22" s="27" t="s">
        <v>48</v>
      </c>
      <c r="P22" s="27">
        <v>6</v>
      </c>
      <c r="Q22" s="27">
        <v>10</v>
      </c>
      <c r="R22" s="27" t="s">
        <v>49</v>
      </c>
      <c r="S22" s="40" t="s">
        <v>50</v>
      </c>
      <c r="T22" s="40" t="s">
        <v>50</v>
      </c>
      <c r="U22" s="235" t="s">
        <v>50</v>
      </c>
      <c r="V22" s="40" t="s">
        <v>50</v>
      </c>
      <c r="W22" s="40" t="s">
        <v>50</v>
      </c>
      <c r="X22" s="235" t="s">
        <v>50</v>
      </c>
    </row>
    <row r="23" spans="1:25" s="149" customFormat="1" x14ac:dyDescent="0.25">
      <c r="A23" s="178">
        <v>43286</v>
      </c>
      <c r="B23" s="149" t="s">
        <v>876</v>
      </c>
      <c r="C23" s="149" t="s">
        <v>62</v>
      </c>
      <c r="D23" s="150">
        <v>38.134830000000001</v>
      </c>
      <c r="E23" s="150">
        <v>-122.04379</v>
      </c>
      <c r="F23" s="149" t="s">
        <v>5623</v>
      </c>
      <c r="G23" s="149" t="s">
        <v>27</v>
      </c>
      <c r="H23" s="149" t="s">
        <v>173</v>
      </c>
      <c r="I23" s="151">
        <v>0.53819444444444442</v>
      </c>
      <c r="J23" s="161" t="s">
        <v>50</v>
      </c>
      <c r="K23" s="161" t="s">
        <v>50</v>
      </c>
      <c r="L23" s="161" t="s">
        <v>50</v>
      </c>
      <c r="M23" s="161" t="s">
        <v>50</v>
      </c>
      <c r="N23" s="161" t="s">
        <v>50</v>
      </c>
      <c r="O23" s="161" t="s">
        <v>48</v>
      </c>
      <c r="P23" s="161">
        <v>0</v>
      </c>
      <c r="Q23" s="279" t="s">
        <v>50</v>
      </c>
      <c r="R23" s="157" t="s">
        <v>50</v>
      </c>
      <c r="S23" s="158" t="s">
        <v>50</v>
      </c>
      <c r="T23" s="158" t="s">
        <v>50</v>
      </c>
      <c r="U23" s="157" t="s">
        <v>50</v>
      </c>
      <c r="V23" s="158" t="s">
        <v>50</v>
      </c>
      <c r="W23" s="158" t="s">
        <v>50</v>
      </c>
      <c r="X23" s="157" t="s">
        <v>50</v>
      </c>
      <c r="Y23" s="152" t="s">
        <v>3595</v>
      </c>
    </row>
    <row r="24" spans="1:25" x14ac:dyDescent="0.25">
      <c r="A24" s="20">
        <v>43286</v>
      </c>
      <c r="B24" s="27" t="s">
        <v>876</v>
      </c>
      <c r="C24" s="27" t="s">
        <v>106</v>
      </c>
      <c r="D24" s="89">
        <v>38.563960000000002</v>
      </c>
      <c r="E24" s="89">
        <v>-121.55126</v>
      </c>
      <c r="F24" s="27" t="s">
        <v>5624</v>
      </c>
      <c r="G24" s="27" t="s">
        <v>90</v>
      </c>
      <c r="H24" s="27" t="s">
        <v>1787</v>
      </c>
      <c r="I24" s="84">
        <v>0.3520833333333333</v>
      </c>
      <c r="J24" s="82">
        <v>1023.6666666666666</v>
      </c>
      <c r="K24" s="82">
        <v>24.25</v>
      </c>
      <c r="L24" s="82">
        <v>4.6166666666666663</v>
      </c>
      <c r="M24" s="82">
        <v>1.7666666666666666</v>
      </c>
      <c r="N24" s="4">
        <v>11.483333333333334</v>
      </c>
      <c r="O24" s="27" t="s">
        <v>48</v>
      </c>
      <c r="P24" s="27">
        <v>6</v>
      </c>
      <c r="Q24" s="27">
        <v>10</v>
      </c>
      <c r="R24" s="27" t="s">
        <v>49</v>
      </c>
      <c r="S24" s="40" t="s">
        <v>50</v>
      </c>
      <c r="T24" s="40" t="s">
        <v>50</v>
      </c>
      <c r="U24" s="235" t="s">
        <v>50</v>
      </c>
      <c r="V24" s="40" t="s">
        <v>50</v>
      </c>
      <c r="W24" s="40" t="s">
        <v>50</v>
      </c>
      <c r="X24" s="235" t="s">
        <v>50</v>
      </c>
    </row>
    <row r="25" spans="1:25" x14ac:dyDescent="0.25">
      <c r="A25" s="20">
        <v>43286</v>
      </c>
      <c r="B25" s="27" t="s">
        <v>876</v>
      </c>
      <c r="C25" s="27" t="s">
        <v>106</v>
      </c>
      <c r="D25" s="89">
        <v>38.466290000000001</v>
      </c>
      <c r="E25" s="89">
        <v>-121.58669999999999</v>
      </c>
      <c r="F25" s="27" t="s">
        <v>5625</v>
      </c>
      <c r="G25" s="27" t="s">
        <v>90</v>
      </c>
      <c r="H25" s="27" t="s">
        <v>362</v>
      </c>
      <c r="I25" s="84">
        <v>0.43055555555555558</v>
      </c>
      <c r="J25" s="82">
        <v>747.33333333333337</v>
      </c>
      <c r="K25" s="82">
        <v>22.616666666666664</v>
      </c>
      <c r="L25" s="82">
        <v>24.350000000000005</v>
      </c>
      <c r="M25" s="82">
        <v>0.45166666666666666</v>
      </c>
      <c r="N25" s="4">
        <v>10.75</v>
      </c>
      <c r="O25" s="27" t="s">
        <v>48</v>
      </c>
      <c r="P25" s="27">
        <v>6</v>
      </c>
      <c r="Q25" s="27">
        <v>10</v>
      </c>
      <c r="R25" s="27" t="s">
        <v>49</v>
      </c>
      <c r="S25" s="40" t="s">
        <v>50</v>
      </c>
      <c r="T25" s="40" t="s">
        <v>50</v>
      </c>
      <c r="U25" s="235" t="s">
        <v>50</v>
      </c>
      <c r="V25" s="40" t="s">
        <v>50</v>
      </c>
      <c r="W25" s="40" t="s">
        <v>50</v>
      </c>
      <c r="X25" s="235" t="s">
        <v>50</v>
      </c>
    </row>
    <row r="26" spans="1:25" s="215" customFormat="1" x14ac:dyDescent="0.25">
      <c r="A26" s="348">
        <v>43286</v>
      </c>
      <c r="B26" s="494" t="s">
        <v>876</v>
      </c>
      <c r="C26" s="494" t="s">
        <v>106</v>
      </c>
      <c r="D26" s="496">
        <v>38.395150000000001</v>
      </c>
      <c r="E26" s="496">
        <v>-121.61924</v>
      </c>
      <c r="F26" s="494" t="s">
        <v>5626</v>
      </c>
      <c r="G26" s="494" t="s">
        <v>90</v>
      </c>
      <c r="H26" s="494" t="s">
        <v>362</v>
      </c>
      <c r="I26" s="497">
        <v>0.51527777777777783</v>
      </c>
      <c r="J26" s="498">
        <v>519.33333333333337</v>
      </c>
      <c r="K26" s="498">
        <v>24.333333333333332</v>
      </c>
      <c r="L26" s="498">
        <v>37.966666666666661</v>
      </c>
      <c r="M26" s="498">
        <v>0.33</v>
      </c>
      <c r="N26" s="499">
        <v>7.0333333333333341</v>
      </c>
      <c r="O26" s="494" t="s">
        <v>48</v>
      </c>
      <c r="P26" s="494">
        <v>3</v>
      </c>
      <c r="Q26" s="494">
        <v>10</v>
      </c>
      <c r="R26" s="494" t="s">
        <v>49</v>
      </c>
      <c r="S26" s="494" t="s">
        <v>323</v>
      </c>
      <c r="T26" s="494">
        <v>5</v>
      </c>
      <c r="U26" s="494" t="s">
        <v>5627</v>
      </c>
      <c r="V26" s="494" t="s">
        <v>66</v>
      </c>
      <c r="W26" s="494" t="s">
        <v>50</v>
      </c>
      <c r="X26" s="494" t="s">
        <v>50</v>
      </c>
      <c r="Y26" s="455" t="s">
        <v>5628</v>
      </c>
    </row>
    <row r="27" spans="1:25" x14ac:dyDescent="0.25">
      <c r="A27" s="20">
        <v>43286</v>
      </c>
      <c r="B27" s="27" t="s">
        <v>876</v>
      </c>
      <c r="C27" s="27" t="s">
        <v>95</v>
      </c>
      <c r="D27" s="89">
        <v>38.042819999999999</v>
      </c>
      <c r="E27" s="89">
        <v>-121.49508</v>
      </c>
      <c r="F27" s="27" t="s">
        <v>5629</v>
      </c>
      <c r="G27" s="27" t="s">
        <v>46</v>
      </c>
      <c r="H27" s="27" t="s">
        <v>115</v>
      </c>
      <c r="I27" s="84">
        <v>0.3520833333333333</v>
      </c>
      <c r="J27" s="82">
        <v>168.51666666666668</v>
      </c>
      <c r="K27" s="82">
        <v>23.383333333333329</v>
      </c>
      <c r="L27" s="82">
        <v>7.8566666666666682</v>
      </c>
      <c r="M27" s="82">
        <v>1.22</v>
      </c>
      <c r="N27" s="4">
        <v>7.6166666666666663</v>
      </c>
      <c r="O27" s="27" t="s">
        <v>48</v>
      </c>
      <c r="P27" s="27">
        <v>6</v>
      </c>
      <c r="Q27" s="27">
        <v>10</v>
      </c>
      <c r="R27" s="27" t="s">
        <v>64</v>
      </c>
      <c r="S27" s="40" t="s">
        <v>50</v>
      </c>
      <c r="T27" s="40" t="s">
        <v>50</v>
      </c>
      <c r="U27" s="235" t="s">
        <v>50</v>
      </c>
      <c r="V27" s="40" t="s">
        <v>50</v>
      </c>
      <c r="W27" s="40" t="s">
        <v>50</v>
      </c>
      <c r="X27" s="235" t="s">
        <v>50</v>
      </c>
      <c r="Y27" s="35" t="s">
        <v>5630</v>
      </c>
    </row>
    <row r="28" spans="1:25" x14ac:dyDescent="0.25">
      <c r="A28" s="20">
        <v>43286</v>
      </c>
      <c r="B28" s="27" t="s">
        <v>876</v>
      </c>
      <c r="C28" s="27" t="s">
        <v>95</v>
      </c>
      <c r="D28" s="89">
        <v>38.054659999999998</v>
      </c>
      <c r="E28" s="89">
        <v>-121.51563</v>
      </c>
      <c r="F28" s="27" t="s">
        <v>5631</v>
      </c>
      <c r="G28" s="27" t="s">
        <v>46</v>
      </c>
      <c r="H28" s="27" t="s">
        <v>115</v>
      </c>
      <c r="I28" s="84">
        <v>0.43611111111111112</v>
      </c>
      <c r="J28" s="82">
        <v>167.55</v>
      </c>
      <c r="K28" s="82">
        <v>23.266666666666666</v>
      </c>
      <c r="L28" s="82">
        <v>5.1383333333333345</v>
      </c>
      <c r="M28" s="82">
        <v>1.5033333333333332</v>
      </c>
      <c r="N28" s="4">
        <v>11.983333333333334</v>
      </c>
      <c r="O28" s="27" t="s">
        <v>48</v>
      </c>
      <c r="P28" s="27">
        <v>6</v>
      </c>
      <c r="Q28" s="27">
        <v>10</v>
      </c>
      <c r="R28" s="27" t="s">
        <v>49</v>
      </c>
      <c r="S28" s="40" t="s">
        <v>50</v>
      </c>
      <c r="T28" s="40" t="s">
        <v>50</v>
      </c>
      <c r="U28" s="235" t="s">
        <v>50</v>
      </c>
      <c r="V28" s="40" t="s">
        <v>50</v>
      </c>
      <c r="W28" s="40" t="s">
        <v>50</v>
      </c>
      <c r="X28" s="235" t="s">
        <v>50</v>
      </c>
    </row>
    <row r="29" spans="1:25" x14ac:dyDescent="0.25">
      <c r="A29" s="20">
        <v>43286</v>
      </c>
      <c r="B29" s="27" t="s">
        <v>876</v>
      </c>
      <c r="C29" s="27" t="s">
        <v>95</v>
      </c>
      <c r="D29" s="89">
        <v>38.087440000000001</v>
      </c>
      <c r="E29" s="89">
        <v>-121.63451999999999</v>
      </c>
      <c r="F29" s="27" t="s">
        <v>5632</v>
      </c>
      <c r="G29" s="27" t="s">
        <v>46</v>
      </c>
      <c r="H29" s="27" t="s">
        <v>908</v>
      </c>
      <c r="I29" s="84">
        <v>0.54861111111111105</v>
      </c>
      <c r="J29" s="82">
        <v>153.45000000000002</v>
      </c>
      <c r="K29" s="82">
        <v>22.950000000000003</v>
      </c>
      <c r="L29" s="82">
        <v>6.5283333333333333</v>
      </c>
      <c r="M29" s="82">
        <v>1.3166666666666667</v>
      </c>
      <c r="N29" s="4">
        <v>10.9</v>
      </c>
      <c r="O29" s="27" t="s">
        <v>48</v>
      </c>
      <c r="P29" s="27">
        <v>6</v>
      </c>
      <c r="Q29" s="27">
        <v>10</v>
      </c>
      <c r="R29" s="27" t="s">
        <v>64</v>
      </c>
      <c r="S29" s="40" t="s">
        <v>50</v>
      </c>
      <c r="T29" s="40" t="s">
        <v>50</v>
      </c>
      <c r="U29" s="235" t="s">
        <v>50</v>
      </c>
      <c r="V29" s="40" t="s">
        <v>50</v>
      </c>
      <c r="W29" s="40" t="s">
        <v>50</v>
      </c>
      <c r="X29" s="235" t="s">
        <v>50</v>
      </c>
    </row>
    <row r="30" spans="1:25" x14ac:dyDescent="0.25">
      <c r="A30" s="20">
        <v>43287</v>
      </c>
      <c r="B30" s="27" t="s">
        <v>125</v>
      </c>
      <c r="C30" s="27" t="s">
        <v>106</v>
      </c>
      <c r="D30" s="89">
        <v>38.189709999999998</v>
      </c>
      <c r="E30" s="89">
        <v>-121.65907</v>
      </c>
      <c r="F30" s="27" t="s">
        <v>5633</v>
      </c>
      <c r="G30" s="27" t="s">
        <v>90</v>
      </c>
      <c r="H30" s="27" t="s">
        <v>362</v>
      </c>
      <c r="I30" s="84">
        <v>0.31805555555555554</v>
      </c>
      <c r="J30" s="82">
        <v>119</v>
      </c>
      <c r="K30" s="82">
        <v>21.966666666666665</v>
      </c>
      <c r="L30" s="82">
        <v>146.66</v>
      </c>
      <c r="M30" s="82">
        <v>1.6049999999999998</v>
      </c>
      <c r="N30" s="4">
        <v>18.933333333333334</v>
      </c>
      <c r="O30" s="27" t="s">
        <v>48</v>
      </c>
      <c r="P30" s="27">
        <v>6</v>
      </c>
      <c r="Q30" s="27">
        <v>10</v>
      </c>
      <c r="R30" s="27" t="s">
        <v>64</v>
      </c>
      <c r="S30" s="40" t="s">
        <v>50</v>
      </c>
      <c r="T30" s="40" t="s">
        <v>50</v>
      </c>
      <c r="U30" s="235" t="s">
        <v>50</v>
      </c>
      <c r="V30" s="40" t="s">
        <v>50</v>
      </c>
      <c r="W30" s="40" t="s">
        <v>50</v>
      </c>
      <c r="X30" s="235" t="s">
        <v>50</v>
      </c>
    </row>
    <row r="31" spans="1:25" x14ac:dyDescent="0.25">
      <c r="A31" s="20">
        <v>43287</v>
      </c>
      <c r="B31" s="27" t="s">
        <v>125</v>
      </c>
      <c r="C31" s="27" t="s">
        <v>106</v>
      </c>
      <c r="D31" s="89">
        <v>38.205649999999999</v>
      </c>
      <c r="E31" s="89">
        <v>-121.65903</v>
      </c>
      <c r="F31" s="27" t="s">
        <v>5634</v>
      </c>
      <c r="G31" s="27" t="s">
        <v>90</v>
      </c>
      <c r="H31" s="27" t="s">
        <v>362</v>
      </c>
      <c r="I31" s="84">
        <v>0.38055555555555554</v>
      </c>
      <c r="J31" s="82">
        <v>123.06666666666666</v>
      </c>
      <c r="K31" s="82">
        <v>21.983333333333334</v>
      </c>
      <c r="L31" s="82">
        <v>9.2616666666666649</v>
      </c>
      <c r="M31" s="82">
        <v>1.5133333333333334</v>
      </c>
      <c r="N31" s="4">
        <v>11.966666666666667</v>
      </c>
      <c r="O31" s="27" t="s">
        <v>48</v>
      </c>
      <c r="P31" s="27">
        <v>6</v>
      </c>
      <c r="Q31" s="27">
        <v>10</v>
      </c>
      <c r="R31" s="27" t="s">
        <v>64</v>
      </c>
      <c r="S31" s="40" t="s">
        <v>50</v>
      </c>
      <c r="T31" s="40" t="s">
        <v>50</v>
      </c>
      <c r="U31" s="235" t="s">
        <v>50</v>
      </c>
      <c r="V31" s="40" t="s">
        <v>50</v>
      </c>
      <c r="W31" s="40" t="s">
        <v>50</v>
      </c>
      <c r="X31" s="235" t="s">
        <v>50</v>
      </c>
    </row>
    <row r="32" spans="1:25" x14ac:dyDescent="0.25">
      <c r="A32" s="20">
        <v>43287</v>
      </c>
      <c r="B32" s="27" t="s">
        <v>125</v>
      </c>
      <c r="C32" s="27" t="s">
        <v>95</v>
      </c>
      <c r="D32" s="89">
        <v>38.05489</v>
      </c>
      <c r="E32" s="89">
        <v>-121.68876</v>
      </c>
      <c r="F32" s="27" t="s">
        <v>5635</v>
      </c>
      <c r="G32" s="27" t="s">
        <v>46</v>
      </c>
      <c r="H32" s="27" t="s">
        <v>908</v>
      </c>
      <c r="I32" s="84">
        <v>0.31944444444444448</v>
      </c>
      <c r="J32" s="82">
        <v>266.31666666666666</v>
      </c>
      <c r="K32" s="82">
        <v>22.200000000000003</v>
      </c>
      <c r="L32" s="82">
        <v>9.0350000000000001</v>
      </c>
      <c r="M32" s="82">
        <v>1.5183333333333335</v>
      </c>
      <c r="N32" s="4">
        <v>15</v>
      </c>
      <c r="O32" s="27" t="s">
        <v>48</v>
      </c>
      <c r="P32" s="27">
        <v>6</v>
      </c>
      <c r="Q32" s="27">
        <v>10</v>
      </c>
      <c r="R32" s="27" t="s">
        <v>64</v>
      </c>
      <c r="S32" s="40" t="s">
        <v>50</v>
      </c>
      <c r="T32" s="40" t="s">
        <v>50</v>
      </c>
      <c r="U32" s="235" t="s">
        <v>50</v>
      </c>
      <c r="V32" s="40" t="s">
        <v>50</v>
      </c>
      <c r="W32" s="40" t="s">
        <v>50</v>
      </c>
      <c r="X32" s="235" t="s">
        <v>50</v>
      </c>
    </row>
    <row r="33" spans="1:25" x14ac:dyDescent="0.25">
      <c r="A33" s="20">
        <v>43287</v>
      </c>
      <c r="B33" s="27" t="s">
        <v>125</v>
      </c>
      <c r="C33" s="27" t="s">
        <v>95</v>
      </c>
      <c r="D33" s="89">
        <v>38.03313</v>
      </c>
      <c r="E33" s="89">
        <v>-121.72357</v>
      </c>
      <c r="F33" s="27" t="s">
        <v>5636</v>
      </c>
      <c r="G33" s="27" t="s">
        <v>27</v>
      </c>
      <c r="H33" s="27" t="s">
        <v>863</v>
      </c>
      <c r="I33" s="84">
        <v>0.39513888888888887</v>
      </c>
      <c r="J33" s="82">
        <v>450.73999999999995</v>
      </c>
      <c r="K33" s="82">
        <v>21.76</v>
      </c>
      <c r="L33" s="82">
        <v>12.080000000000002</v>
      </c>
      <c r="M33" s="82">
        <v>1.1480000000000001</v>
      </c>
      <c r="N33" s="4">
        <v>13.38</v>
      </c>
      <c r="O33" s="27" t="s">
        <v>48</v>
      </c>
      <c r="P33" s="27">
        <v>6</v>
      </c>
      <c r="Q33" s="27">
        <v>10</v>
      </c>
      <c r="R33" s="27" t="s">
        <v>64</v>
      </c>
      <c r="S33" s="40" t="s">
        <v>50</v>
      </c>
      <c r="T33" s="40" t="s">
        <v>50</v>
      </c>
      <c r="U33" s="235" t="s">
        <v>50</v>
      </c>
      <c r="V33" s="40" t="s">
        <v>50</v>
      </c>
      <c r="W33" s="40" t="s">
        <v>50</v>
      </c>
      <c r="X33" s="235" t="s">
        <v>50</v>
      </c>
      <c r="Y33" s="35" t="s">
        <v>5637</v>
      </c>
    </row>
    <row r="34" spans="1:25" s="149" customFormat="1" x14ac:dyDescent="0.25">
      <c r="A34" s="178">
        <v>43287</v>
      </c>
      <c r="B34" s="149" t="s">
        <v>125</v>
      </c>
      <c r="C34" s="149" t="s">
        <v>95</v>
      </c>
      <c r="D34" s="150">
        <v>38.009700000000002</v>
      </c>
      <c r="E34" s="150">
        <v>-121.71861</v>
      </c>
      <c r="F34" s="149" t="s">
        <v>5638</v>
      </c>
      <c r="G34" s="149" t="s">
        <v>27</v>
      </c>
      <c r="H34" s="149" t="s">
        <v>863</v>
      </c>
      <c r="I34" s="151">
        <v>0.38819444444444445</v>
      </c>
      <c r="J34" s="161" t="s">
        <v>50</v>
      </c>
      <c r="K34" s="161" t="s">
        <v>50</v>
      </c>
      <c r="L34" s="161" t="s">
        <v>50</v>
      </c>
      <c r="M34" s="161" t="s">
        <v>50</v>
      </c>
      <c r="N34" s="161" t="s">
        <v>50</v>
      </c>
      <c r="O34" s="161" t="s">
        <v>48</v>
      </c>
      <c r="P34" s="161">
        <v>0</v>
      </c>
      <c r="Q34" s="279" t="s">
        <v>50</v>
      </c>
      <c r="R34" s="157" t="s">
        <v>50</v>
      </c>
      <c r="S34" s="158" t="s">
        <v>50</v>
      </c>
      <c r="T34" s="158" t="s">
        <v>50</v>
      </c>
      <c r="U34" s="157" t="s">
        <v>50</v>
      </c>
      <c r="V34" s="158" t="s">
        <v>50</v>
      </c>
      <c r="W34" s="158" t="s">
        <v>50</v>
      </c>
      <c r="X34" s="157" t="s">
        <v>50</v>
      </c>
      <c r="Y34" s="152" t="s">
        <v>3595</v>
      </c>
    </row>
    <row r="35" spans="1:25" x14ac:dyDescent="0.25">
      <c r="A35" s="178">
        <v>43287</v>
      </c>
      <c r="B35" s="149" t="s">
        <v>125</v>
      </c>
      <c r="C35" s="149" t="s">
        <v>95</v>
      </c>
      <c r="D35" s="150">
        <v>38.008049999999997</v>
      </c>
      <c r="E35" s="150">
        <v>-121.71346</v>
      </c>
      <c r="F35" s="149" t="s">
        <v>5639</v>
      </c>
      <c r="G35" s="149" t="s">
        <v>27</v>
      </c>
      <c r="H35" s="149" t="s">
        <v>863</v>
      </c>
      <c r="I35" s="151">
        <v>0.3888888888888889</v>
      </c>
      <c r="J35" s="161" t="s">
        <v>50</v>
      </c>
      <c r="K35" s="161" t="s">
        <v>50</v>
      </c>
      <c r="L35" s="161" t="s">
        <v>50</v>
      </c>
      <c r="M35" s="161" t="s">
        <v>50</v>
      </c>
      <c r="N35" s="161" t="s">
        <v>50</v>
      </c>
      <c r="O35" s="161" t="s">
        <v>48</v>
      </c>
      <c r="P35" s="161">
        <v>0</v>
      </c>
      <c r="Q35" s="279" t="s">
        <v>50</v>
      </c>
      <c r="R35" s="157" t="s">
        <v>50</v>
      </c>
      <c r="S35" s="158" t="s">
        <v>50</v>
      </c>
      <c r="T35" s="158" t="s">
        <v>50</v>
      </c>
      <c r="U35" s="157" t="s">
        <v>50</v>
      </c>
      <c r="V35" s="158" t="s">
        <v>50</v>
      </c>
      <c r="W35" s="158" t="s">
        <v>50</v>
      </c>
      <c r="X35" s="157" t="s">
        <v>50</v>
      </c>
      <c r="Y35" s="152" t="s">
        <v>3595</v>
      </c>
    </row>
    <row r="36" spans="1:25" x14ac:dyDescent="0.25">
      <c r="A36" s="20">
        <v>43287</v>
      </c>
      <c r="B36" s="27" t="s">
        <v>125</v>
      </c>
      <c r="C36" s="27" t="s">
        <v>62</v>
      </c>
      <c r="D36" s="89">
        <v>38.117530000000002</v>
      </c>
      <c r="E36" s="89">
        <v>-122.05739</v>
      </c>
      <c r="F36" s="27" t="s">
        <v>5640</v>
      </c>
      <c r="G36" s="27" t="s">
        <v>27</v>
      </c>
      <c r="H36" s="27" t="s">
        <v>173</v>
      </c>
      <c r="I36" s="84">
        <v>0.3430555555555555</v>
      </c>
      <c r="J36" s="82">
        <v>12590.333333333334</v>
      </c>
      <c r="K36" s="82">
        <v>20.05</v>
      </c>
      <c r="L36" s="82">
        <v>27.400000000000002</v>
      </c>
      <c r="M36" s="82">
        <v>0.43500000000000005</v>
      </c>
      <c r="N36" s="4">
        <v>3.1500000000000004</v>
      </c>
      <c r="O36" s="27" t="s">
        <v>48</v>
      </c>
      <c r="P36" s="27">
        <v>6</v>
      </c>
      <c r="Q36" s="27">
        <v>10</v>
      </c>
      <c r="R36" s="27" t="s">
        <v>49</v>
      </c>
      <c r="S36" s="40" t="s">
        <v>50</v>
      </c>
      <c r="T36" s="40" t="s">
        <v>50</v>
      </c>
      <c r="U36" s="235" t="s">
        <v>50</v>
      </c>
      <c r="V36" s="40" t="s">
        <v>50</v>
      </c>
      <c r="W36" s="40" t="s">
        <v>50</v>
      </c>
      <c r="X36" s="235" t="s">
        <v>50</v>
      </c>
    </row>
    <row r="37" spans="1:25" x14ac:dyDescent="0.25">
      <c r="A37" s="20">
        <v>43287</v>
      </c>
      <c r="B37" s="27" t="s">
        <v>125</v>
      </c>
      <c r="C37" s="27" t="s">
        <v>62</v>
      </c>
      <c r="D37" s="89">
        <v>38.20364</v>
      </c>
      <c r="E37" s="89">
        <v>-122.04092</v>
      </c>
      <c r="F37" s="27" t="s">
        <v>5641</v>
      </c>
      <c r="G37" s="27" t="s">
        <v>27</v>
      </c>
      <c r="H37" s="27" t="s">
        <v>62</v>
      </c>
      <c r="I37" s="84">
        <v>0.44375000000000003</v>
      </c>
      <c r="J37" s="82">
        <v>6661.5</v>
      </c>
      <c r="K37" s="82">
        <v>20.3</v>
      </c>
      <c r="L37" s="82">
        <v>42.483333333333334</v>
      </c>
      <c r="M37" s="82">
        <v>0.28199999999999997</v>
      </c>
      <c r="N37" s="4">
        <v>6.5200000000000005</v>
      </c>
      <c r="O37" s="27" t="s">
        <v>48</v>
      </c>
      <c r="P37" s="27">
        <v>6</v>
      </c>
      <c r="Q37" s="27">
        <v>10</v>
      </c>
      <c r="R37" s="27" t="s">
        <v>49</v>
      </c>
      <c r="S37" s="40" t="s">
        <v>50</v>
      </c>
      <c r="T37" s="40" t="s">
        <v>50</v>
      </c>
      <c r="U37" s="235" t="s">
        <v>50</v>
      </c>
      <c r="V37" s="40" t="s">
        <v>50</v>
      </c>
      <c r="W37" s="40" t="s">
        <v>50</v>
      </c>
      <c r="X37" s="235" t="s">
        <v>50</v>
      </c>
      <c r="Y37" s="35" t="s">
        <v>5642</v>
      </c>
    </row>
    <row r="38" spans="1:25" s="149" customFormat="1" x14ac:dyDescent="0.25">
      <c r="A38" s="178">
        <v>43287</v>
      </c>
      <c r="B38" s="149" t="s">
        <v>125</v>
      </c>
      <c r="C38" s="149" t="s">
        <v>62</v>
      </c>
      <c r="D38" s="150">
        <v>38.124360000000003</v>
      </c>
      <c r="E38" s="150">
        <v>-122.01640999999999</v>
      </c>
      <c r="F38" s="149" t="s">
        <v>5643</v>
      </c>
      <c r="G38" s="149" t="s">
        <v>27</v>
      </c>
      <c r="H38" s="149" t="s">
        <v>173</v>
      </c>
      <c r="I38" s="151">
        <v>0.4145833333333333</v>
      </c>
      <c r="J38" s="161" t="s">
        <v>50</v>
      </c>
      <c r="K38" s="161" t="s">
        <v>50</v>
      </c>
      <c r="L38" s="161" t="s">
        <v>50</v>
      </c>
      <c r="M38" s="161" t="s">
        <v>50</v>
      </c>
      <c r="N38" s="161" t="s">
        <v>50</v>
      </c>
      <c r="O38" s="161" t="s">
        <v>48</v>
      </c>
      <c r="P38" s="161">
        <v>0</v>
      </c>
      <c r="Q38" s="279" t="s">
        <v>50</v>
      </c>
      <c r="R38" s="157" t="s">
        <v>50</v>
      </c>
      <c r="S38" s="158" t="s">
        <v>50</v>
      </c>
      <c r="T38" s="158" t="s">
        <v>50</v>
      </c>
      <c r="U38" s="157" t="s">
        <v>50</v>
      </c>
      <c r="V38" s="158" t="s">
        <v>50</v>
      </c>
      <c r="W38" s="158" t="s">
        <v>50</v>
      </c>
      <c r="X38" s="157" t="s">
        <v>50</v>
      </c>
      <c r="Y38" s="152" t="s">
        <v>3595</v>
      </c>
    </row>
    <row r="39" spans="1:25" s="149" customFormat="1" x14ac:dyDescent="0.25">
      <c r="A39" s="178">
        <v>43287</v>
      </c>
      <c r="B39" s="149" t="s">
        <v>125</v>
      </c>
      <c r="C39" s="149" t="s">
        <v>62</v>
      </c>
      <c r="D39" s="150">
        <v>38.130070000000003</v>
      </c>
      <c r="E39" s="150">
        <v>-122.02731</v>
      </c>
      <c r="F39" s="149" t="s">
        <v>5644</v>
      </c>
      <c r="G39" s="149" t="s">
        <v>27</v>
      </c>
      <c r="H39" s="149" t="s">
        <v>173</v>
      </c>
      <c r="I39" s="151">
        <v>0.4152777777777778</v>
      </c>
      <c r="J39" s="161" t="s">
        <v>50</v>
      </c>
      <c r="K39" s="161" t="s">
        <v>50</v>
      </c>
      <c r="L39" s="161" t="s">
        <v>50</v>
      </c>
      <c r="M39" s="161" t="s">
        <v>50</v>
      </c>
      <c r="N39" s="161" t="s">
        <v>50</v>
      </c>
      <c r="O39" s="161" t="s">
        <v>48</v>
      </c>
      <c r="P39" s="161">
        <v>0</v>
      </c>
      <c r="Q39" s="279" t="s">
        <v>50</v>
      </c>
      <c r="R39" s="157" t="s">
        <v>50</v>
      </c>
      <c r="S39" s="158" t="s">
        <v>50</v>
      </c>
      <c r="T39" s="158" t="s">
        <v>50</v>
      </c>
      <c r="U39" s="157" t="s">
        <v>50</v>
      </c>
      <c r="V39" s="158" t="s">
        <v>50</v>
      </c>
      <c r="W39" s="158" t="s">
        <v>50</v>
      </c>
      <c r="X39" s="157" t="s">
        <v>50</v>
      </c>
      <c r="Y39" s="152" t="s">
        <v>3595</v>
      </c>
    </row>
    <row r="40" spans="1:25" s="149" customFormat="1" x14ac:dyDescent="0.25">
      <c r="A40" s="178">
        <v>43287</v>
      </c>
      <c r="B40" s="149" t="s">
        <v>125</v>
      </c>
      <c r="C40" s="149" t="s">
        <v>62</v>
      </c>
      <c r="D40" s="150">
        <v>38.100720000000003</v>
      </c>
      <c r="E40" s="150">
        <v>-122.01063000000001</v>
      </c>
      <c r="F40" s="149" t="s">
        <v>5645</v>
      </c>
      <c r="G40" s="149" t="s">
        <v>27</v>
      </c>
      <c r="H40" s="149" t="s">
        <v>173</v>
      </c>
      <c r="I40" s="151">
        <v>0.41736111111111113</v>
      </c>
      <c r="J40" s="161" t="s">
        <v>50</v>
      </c>
      <c r="K40" s="161" t="s">
        <v>50</v>
      </c>
      <c r="L40" s="161" t="s">
        <v>50</v>
      </c>
      <c r="M40" s="161" t="s">
        <v>50</v>
      </c>
      <c r="N40" s="161" t="s">
        <v>50</v>
      </c>
      <c r="O40" s="161" t="s">
        <v>48</v>
      </c>
      <c r="P40" s="161">
        <v>0</v>
      </c>
      <c r="Q40" s="279" t="s">
        <v>50</v>
      </c>
      <c r="R40" s="157" t="s">
        <v>50</v>
      </c>
      <c r="S40" s="158" t="s">
        <v>50</v>
      </c>
      <c r="T40" s="158" t="s">
        <v>50</v>
      </c>
      <c r="U40" s="157" t="s">
        <v>50</v>
      </c>
      <c r="V40" s="158" t="s">
        <v>50</v>
      </c>
      <c r="W40" s="158" t="s">
        <v>50</v>
      </c>
      <c r="X40" s="157" t="s">
        <v>50</v>
      </c>
      <c r="Y40" s="152" t="s">
        <v>3595</v>
      </c>
    </row>
    <row r="41" spans="1:25" s="283" customFormat="1" x14ac:dyDescent="0.25">
      <c r="A41" s="350">
        <v>43287</v>
      </c>
      <c r="B41" s="283" t="s">
        <v>125</v>
      </c>
      <c r="C41" s="283" t="s">
        <v>62</v>
      </c>
      <c r="D41" s="351">
        <v>38.121380000000002</v>
      </c>
      <c r="E41" s="351">
        <v>-122.03828</v>
      </c>
      <c r="F41" s="283" t="s">
        <v>5646</v>
      </c>
      <c r="G41" s="283" t="s">
        <v>27</v>
      </c>
      <c r="H41" s="283" t="s">
        <v>173</v>
      </c>
      <c r="I41" s="352">
        <v>0.41875000000000001</v>
      </c>
      <c r="J41" s="285" t="s">
        <v>50</v>
      </c>
      <c r="K41" s="285" t="s">
        <v>50</v>
      </c>
      <c r="L41" s="285" t="s">
        <v>50</v>
      </c>
      <c r="M41" s="285" t="s">
        <v>50</v>
      </c>
      <c r="N41" s="285" t="s">
        <v>50</v>
      </c>
      <c r="O41" s="285" t="s">
        <v>48</v>
      </c>
      <c r="P41" s="285">
        <v>0</v>
      </c>
      <c r="Q41" s="287" t="s">
        <v>50</v>
      </c>
      <c r="R41" s="288" t="s">
        <v>50</v>
      </c>
      <c r="S41" s="289" t="s">
        <v>50</v>
      </c>
      <c r="T41" s="289" t="s">
        <v>50</v>
      </c>
      <c r="U41" s="288" t="s">
        <v>50</v>
      </c>
      <c r="V41" s="289" t="s">
        <v>50</v>
      </c>
      <c r="W41" s="289" t="s">
        <v>50</v>
      </c>
      <c r="X41" s="288" t="s">
        <v>50</v>
      </c>
      <c r="Y41" s="290" t="s">
        <v>3595</v>
      </c>
    </row>
    <row r="42" spans="1:25" x14ac:dyDescent="0.25">
      <c r="A42" s="26">
        <v>43290</v>
      </c>
      <c r="B42" s="27" t="s">
        <v>43</v>
      </c>
      <c r="C42" s="27" t="s">
        <v>88</v>
      </c>
      <c r="D42" s="89">
        <v>38.155239999999999</v>
      </c>
      <c r="E42" s="89">
        <v>-121.68525</v>
      </c>
      <c r="F42" s="27" t="s">
        <v>5647</v>
      </c>
      <c r="G42" s="27" t="s">
        <v>90</v>
      </c>
      <c r="H42" s="27" t="s">
        <v>91</v>
      </c>
      <c r="I42" s="84">
        <v>0.33958333333333335</v>
      </c>
      <c r="J42" s="82">
        <v>126.48333333333333</v>
      </c>
      <c r="K42" s="82">
        <v>22.149999999999995</v>
      </c>
      <c r="L42" s="82">
        <v>8.1516666666666655</v>
      </c>
      <c r="M42" s="82">
        <v>1.1399999999999999</v>
      </c>
      <c r="N42" s="4">
        <v>6.1499999999999995</v>
      </c>
      <c r="O42" s="27" t="s">
        <v>48</v>
      </c>
      <c r="P42" s="27">
        <v>6</v>
      </c>
      <c r="Q42" s="27">
        <v>10</v>
      </c>
      <c r="R42" s="27" t="s">
        <v>49</v>
      </c>
      <c r="S42" s="40" t="s">
        <v>50</v>
      </c>
      <c r="T42" s="40" t="s">
        <v>50</v>
      </c>
      <c r="U42" s="235" t="s">
        <v>50</v>
      </c>
      <c r="V42" s="40" t="s">
        <v>50</v>
      </c>
      <c r="W42" s="40" t="s">
        <v>50</v>
      </c>
      <c r="X42" s="235" t="s">
        <v>50</v>
      </c>
    </row>
    <row r="43" spans="1:25" x14ac:dyDescent="0.25">
      <c r="A43" s="26">
        <v>43290</v>
      </c>
      <c r="B43" s="27" t="s">
        <v>43</v>
      </c>
      <c r="C43" s="27" t="s">
        <v>88</v>
      </c>
      <c r="D43" s="89">
        <v>38.088329999999999</v>
      </c>
      <c r="E43" s="89">
        <v>-121.74441</v>
      </c>
      <c r="F43" s="27" t="s">
        <v>5648</v>
      </c>
      <c r="G43" s="27" t="s">
        <v>27</v>
      </c>
      <c r="H43" s="27" t="s">
        <v>25</v>
      </c>
      <c r="I43" s="84">
        <v>0.41736111111111113</v>
      </c>
      <c r="J43" s="82">
        <v>134.30000000000001</v>
      </c>
      <c r="K43" s="82">
        <v>22.3</v>
      </c>
      <c r="L43" s="82">
        <v>9.7083333333333339</v>
      </c>
      <c r="M43" s="82">
        <v>1.0383333333333333</v>
      </c>
      <c r="N43" s="4">
        <v>9.6</v>
      </c>
      <c r="O43" s="27" t="s">
        <v>48</v>
      </c>
      <c r="P43" s="27">
        <v>6</v>
      </c>
      <c r="Q43" s="27">
        <v>10</v>
      </c>
      <c r="R43" s="27" t="s">
        <v>64</v>
      </c>
      <c r="S43" s="40" t="s">
        <v>50</v>
      </c>
      <c r="T43" s="40" t="s">
        <v>50</v>
      </c>
      <c r="U43" s="235" t="s">
        <v>50</v>
      </c>
      <c r="V43" s="40" t="s">
        <v>50</v>
      </c>
      <c r="W43" s="40" t="s">
        <v>50</v>
      </c>
      <c r="X43" s="235" t="s">
        <v>50</v>
      </c>
    </row>
    <row r="44" spans="1:25" x14ac:dyDescent="0.25">
      <c r="A44" s="26">
        <v>43290</v>
      </c>
      <c r="B44" s="27" t="s">
        <v>43</v>
      </c>
      <c r="C44" s="27" t="s">
        <v>88</v>
      </c>
      <c r="D44" s="89">
        <v>38.112630000000003</v>
      </c>
      <c r="E44" s="89">
        <v>-121.70186</v>
      </c>
      <c r="F44" s="27" t="s">
        <v>5649</v>
      </c>
      <c r="G44" s="27" t="s">
        <v>90</v>
      </c>
      <c r="H44" s="27" t="s">
        <v>91</v>
      </c>
      <c r="I44" s="84">
        <v>0.4916666666666667</v>
      </c>
      <c r="J44" s="82">
        <v>191.25</v>
      </c>
      <c r="K44" s="82">
        <v>22.533333333333331</v>
      </c>
      <c r="L44" s="82">
        <v>8.706666666666667</v>
      </c>
      <c r="M44" s="82">
        <v>1.0533333333333335</v>
      </c>
      <c r="N44" s="4">
        <v>5.25</v>
      </c>
      <c r="O44" s="27" t="s">
        <v>48</v>
      </c>
      <c r="P44" s="27">
        <v>6</v>
      </c>
      <c r="Q44" s="27">
        <v>10</v>
      </c>
      <c r="R44" s="27" t="s">
        <v>64</v>
      </c>
      <c r="S44" s="40" t="s">
        <v>50</v>
      </c>
      <c r="T44" s="40" t="s">
        <v>50</v>
      </c>
      <c r="U44" s="235" t="s">
        <v>50</v>
      </c>
      <c r="V44" s="40" t="s">
        <v>50</v>
      </c>
      <c r="W44" s="40" t="s">
        <v>50</v>
      </c>
      <c r="X44" s="235" t="s">
        <v>50</v>
      </c>
    </row>
    <row r="45" spans="1:25" s="149" customFormat="1" x14ac:dyDescent="0.25">
      <c r="A45" s="178">
        <v>43290</v>
      </c>
      <c r="B45" s="149" t="s">
        <v>43</v>
      </c>
      <c r="C45" s="149" t="s">
        <v>88</v>
      </c>
      <c r="D45" s="150">
        <v>38.149299999999997</v>
      </c>
      <c r="E45" s="150">
        <v>-121.69341</v>
      </c>
      <c r="F45" s="149" t="s">
        <v>5650</v>
      </c>
      <c r="G45" s="149" t="s">
        <v>90</v>
      </c>
      <c r="H45" s="149" t="s">
        <v>91</v>
      </c>
      <c r="I45" s="151">
        <v>0.33263888888888887</v>
      </c>
      <c r="J45" s="161" t="s">
        <v>50</v>
      </c>
      <c r="K45" s="161" t="s">
        <v>50</v>
      </c>
      <c r="L45" s="161" t="s">
        <v>50</v>
      </c>
      <c r="M45" s="161" t="s">
        <v>50</v>
      </c>
      <c r="N45" s="161" t="s">
        <v>50</v>
      </c>
      <c r="O45" s="161" t="s">
        <v>48</v>
      </c>
      <c r="P45" s="161">
        <v>0</v>
      </c>
      <c r="Q45" s="279" t="s">
        <v>50</v>
      </c>
      <c r="R45" s="157" t="s">
        <v>50</v>
      </c>
      <c r="S45" s="158" t="s">
        <v>50</v>
      </c>
      <c r="T45" s="158" t="s">
        <v>50</v>
      </c>
      <c r="U45" s="157" t="s">
        <v>50</v>
      </c>
      <c r="V45" s="158" t="s">
        <v>50</v>
      </c>
      <c r="W45" s="158" t="s">
        <v>50</v>
      </c>
      <c r="X45" s="157" t="s">
        <v>50</v>
      </c>
      <c r="Y45" s="152" t="s">
        <v>5651</v>
      </c>
    </row>
    <row r="46" spans="1:25" s="215" customFormat="1" x14ac:dyDescent="0.25">
      <c r="A46" s="495">
        <v>43290</v>
      </c>
      <c r="B46" s="494" t="s">
        <v>43</v>
      </c>
      <c r="C46" s="494" t="s">
        <v>106</v>
      </c>
      <c r="D46" s="496">
        <v>38.422130000000003</v>
      </c>
      <c r="E46" s="496">
        <v>-121.60738000000001</v>
      </c>
      <c r="F46" s="494" t="s">
        <v>5652</v>
      </c>
      <c r="G46" s="494" t="s">
        <v>90</v>
      </c>
      <c r="H46" s="494" t="s">
        <v>362</v>
      </c>
      <c r="I46" s="497">
        <v>0.34583333333333338</v>
      </c>
      <c r="J46" s="498">
        <v>678.66666666666663</v>
      </c>
      <c r="K46" s="498">
        <v>22.8</v>
      </c>
      <c r="L46" s="498">
        <v>36.800000000000004</v>
      </c>
      <c r="M46" s="498">
        <v>0.34333333333333332</v>
      </c>
      <c r="N46" s="499">
        <v>9.8666666666666671</v>
      </c>
      <c r="O46" s="494" t="s">
        <v>48</v>
      </c>
      <c r="P46" s="494">
        <v>3</v>
      </c>
      <c r="Q46" s="494">
        <v>10</v>
      </c>
      <c r="R46" s="494" t="s">
        <v>49</v>
      </c>
      <c r="S46" s="494" t="s">
        <v>323</v>
      </c>
      <c r="T46" s="494">
        <v>2</v>
      </c>
      <c r="U46" s="494" t="s">
        <v>5653</v>
      </c>
      <c r="V46" s="494" t="s">
        <v>66</v>
      </c>
      <c r="W46" s="494" t="s">
        <v>50</v>
      </c>
      <c r="X46" s="494" t="s">
        <v>50</v>
      </c>
      <c r="Y46" s="477" t="s">
        <v>5654</v>
      </c>
    </row>
    <row r="47" spans="1:25" x14ac:dyDescent="0.25">
      <c r="A47" s="26">
        <v>43290</v>
      </c>
      <c r="B47" s="27" t="s">
        <v>43</v>
      </c>
      <c r="C47" s="27" t="s">
        <v>106</v>
      </c>
      <c r="D47" s="89">
        <v>38.526389999999999</v>
      </c>
      <c r="E47" s="89">
        <v>121.58476</v>
      </c>
      <c r="F47" s="27" t="s">
        <v>5655</v>
      </c>
      <c r="G47" s="27" t="s">
        <v>90</v>
      </c>
      <c r="H47" s="27" t="s">
        <v>1787</v>
      </c>
      <c r="I47" s="84">
        <v>0.4201388888888889</v>
      </c>
      <c r="J47" s="82">
        <v>969.5</v>
      </c>
      <c r="K47" s="82">
        <v>24.283333333333331</v>
      </c>
      <c r="L47" s="82">
        <v>14.216666666666669</v>
      </c>
      <c r="M47" s="82">
        <v>0.64500000000000002</v>
      </c>
      <c r="N47" s="4">
        <v>11.416666666666666</v>
      </c>
      <c r="O47" s="27" t="s">
        <v>48</v>
      </c>
      <c r="P47" s="27">
        <v>6</v>
      </c>
      <c r="Q47" s="27">
        <v>10</v>
      </c>
      <c r="R47" s="27" t="s">
        <v>64</v>
      </c>
      <c r="S47" s="40" t="s">
        <v>50</v>
      </c>
      <c r="T47" s="40" t="s">
        <v>50</v>
      </c>
      <c r="U47" s="235" t="s">
        <v>50</v>
      </c>
      <c r="V47" s="40" t="s">
        <v>50</v>
      </c>
      <c r="W47" s="40" t="s">
        <v>50</v>
      </c>
      <c r="X47" s="235" t="s">
        <v>50</v>
      </c>
    </row>
    <row r="48" spans="1:25" x14ac:dyDescent="0.25">
      <c r="A48" s="26">
        <v>43290</v>
      </c>
      <c r="B48" s="27" t="s">
        <v>43</v>
      </c>
      <c r="C48" s="27" t="s">
        <v>78</v>
      </c>
      <c r="D48" s="89">
        <v>38.091380000000001</v>
      </c>
      <c r="E48" s="89">
        <v>-122.0699</v>
      </c>
      <c r="F48" s="27" t="s">
        <v>5656</v>
      </c>
      <c r="G48" s="27" t="s">
        <v>80</v>
      </c>
      <c r="H48" s="27" t="s">
        <v>81</v>
      </c>
      <c r="I48" s="84">
        <v>0.35486111111111113</v>
      </c>
      <c r="J48" s="82">
        <v>13510</v>
      </c>
      <c r="K48" s="82">
        <v>20.533333333333331</v>
      </c>
      <c r="L48" s="82">
        <v>34.9</v>
      </c>
      <c r="M48" s="82">
        <v>0.42333333333333334</v>
      </c>
      <c r="N48" s="4">
        <v>9.7833333333333332</v>
      </c>
      <c r="O48" s="27" t="s">
        <v>48</v>
      </c>
      <c r="P48" s="27">
        <v>6</v>
      </c>
      <c r="Q48" s="27">
        <v>10</v>
      </c>
      <c r="R48" s="27" t="s">
        <v>64</v>
      </c>
      <c r="S48" s="40" t="s">
        <v>50</v>
      </c>
      <c r="T48" s="40" t="s">
        <v>50</v>
      </c>
      <c r="U48" s="235" t="s">
        <v>50</v>
      </c>
      <c r="V48" s="40" t="s">
        <v>50</v>
      </c>
      <c r="W48" s="40" t="s">
        <v>50</v>
      </c>
      <c r="X48" s="235" t="s">
        <v>50</v>
      </c>
    </row>
    <row r="49" spans="1:25" x14ac:dyDescent="0.25">
      <c r="A49" s="26">
        <v>43290</v>
      </c>
      <c r="B49" s="27" t="s">
        <v>43</v>
      </c>
      <c r="C49" s="27" t="s">
        <v>78</v>
      </c>
      <c r="D49" s="89">
        <v>38.062550000000002</v>
      </c>
      <c r="E49" s="89">
        <v>-122.01108000000001</v>
      </c>
      <c r="F49" s="27" t="s">
        <v>5657</v>
      </c>
      <c r="G49" s="27" t="s">
        <v>27</v>
      </c>
      <c r="H49" s="27" t="s">
        <v>86</v>
      </c>
      <c r="I49" s="84">
        <v>0.44930555555555557</v>
      </c>
      <c r="J49" s="82">
        <v>9589.8333333333339</v>
      </c>
      <c r="K49" s="82">
        <v>21.316666666666666</v>
      </c>
      <c r="L49" s="82">
        <v>21.366666666666664</v>
      </c>
      <c r="M49" s="82">
        <v>0.625</v>
      </c>
      <c r="N49" s="4">
        <v>13.066666666666668</v>
      </c>
      <c r="O49" s="27" t="s">
        <v>48</v>
      </c>
      <c r="P49" s="27">
        <v>6</v>
      </c>
      <c r="Q49" s="27">
        <v>10</v>
      </c>
      <c r="R49" s="27" t="s">
        <v>64</v>
      </c>
      <c r="S49" s="40" t="s">
        <v>50</v>
      </c>
      <c r="T49" s="40" t="s">
        <v>50</v>
      </c>
      <c r="U49" s="235" t="s">
        <v>50</v>
      </c>
      <c r="V49" s="40" t="s">
        <v>50</v>
      </c>
      <c r="W49" s="40" t="s">
        <v>50</v>
      </c>
      <c r="X49" s="235" t="s">
        <v>50</v>
      </c>
    </row>
    <row r="50" spans="1:25" s="149" customFormat="1" x14ac:dyDescent="0.25">
      <c r="A50" s="178">
        <v>43290</v>
      </c>
      <c r="B50" s="149" t="s">
        <v>43</v>
      </c>
      <c r="C50" s="149" t="s">
        <v>78</v>
      </c>
      <c r="D50" s="150">
        <v>38.088039999999999</v>
      </c>
      <c r="E50" s="150">
        <v>-122.0641</v>
      </c>
      <c r="F50" s="149" t="s">
        <v>5658</v>
      </c>
      <c r="G50" s="149" t="s">
        <v>80</v>
      </c>
      <c r="H50" s="149" t="s">
        <v>81</v>
      </c>
      <c r="I50" s="151">
        <v>0.43055555555555558</v>
      </c>
      <c r="J50" s="161" t="s">
        <v>50</v>
      </c>
      <c r="K50" s="161" t="s">
        <v>50</v>
      </c>
      <c r="L50" s="161" t="s">
        <v>50</v>
      </c>
      <c r="M50" s="161" t="s">
        <v>50</v>
      </c>
      <c r="N50" s="161" t="s">
        <v>50</v>
      </c>
      <c r="O50" s="161" t="s">
        <v>48</v>
      </c>
      <c r="P50" s="161">
        <v>0</v>
      </c>
      <c r="Q50" s="279" t="s">
        <v>50</v>
      </c>
      <c r="R50" s="157" t="s">
        <v>50</v>
      </c>
      <c r="S50" s="158" t="s">
        <v>50</v>
      </c>
      <c r="T50" s="158" t="s">
        <v>50</v>
      </c>
      <c r="U50" s="157" t="s">
        <v>50</v>
      </c>
      <c r="V50" s="158" t="s">
        <v>50</v>
      </c>
      <c r="W50" s="158" t="s">
        <v>50</v>
      </c>
      <c r="X50" s="157" t="s">
        <v>50</v>
      </c>
      <c r="Y50" s="152" t="s">
        <v>3595</v>
      </c>
    </row>
    <row r="51" spans="1:25" x14ac:dyDescent="0.25">
      <c r="A51" s="26">
        <v>43291</v>
      </c>
      <c r="B51" s="27" t="s">
        <v>849</v>
      </c>
      <c r="C51" s="27" t="s">
        <v>88</v>
      </c>
      <c r="D51" s="89">
        <v>38.035980000000002</v>
      </c>
      <c r="E51" s="89">
        <v>-121.77719</v>
      </c>
      <c r="F51" s="27" t="s">
        <v>5659</v>
      </c>
      <c r="G51" s="27" t="s">
        <v>27</v>
      </c>
      <c r="H51" s="27" t="s">
        <v>25</v>
      </c>
      <c r="I51" s="84">
        <v>0.35833333333333334</v>
      </c>
      <c r="J51" s="82">
        <v>746.33333333333337</v>
      </c>
      <c r="K51" s="82">
        <v>22.016666666666666</v>
      </c>
      <c r="L51" s="82">
        <v>23.450000000000003</v>
      </c>
      <c r="M51" s="82">
        <v>0.53999999999999992</v>
      </c>
      <c r="N51" s="4">
        <v>4.25</v>
      </c>
      <c r="O51" s="27" t="s">
        <v>48</v>
      </c>
      <c r="P51" s="27">
        <v>6</v>
      </c>
      <c r="Q51" s="27">
        <v>10</v>
      </c>
      <c r="R51" s="27" t="s">
        <v>49</v>
      </c>
      <c r="S51" s="40" t="s">
        <v>50</v>
      </c>
      <c r="T51" s="40" t="s">
        <v>50</v>
      </c>
      <c r="U51" s="235" t="s">
        <v>50</v>
      </c>
      <c r="V51" s="40" t="s">
        <v>50</v>
      </c>
      <c r="W51" s="40" t="s">
        <v>50</v>
      </c>
      <c r="X51" s="235" t="s">
        <v>50</v>
      </c>
    </row>
    <row r="52" spans="1:25" x14ac:dyDescent="0.25">
      <c r="A52" s="26">
        <v>43291</v>
      </c>
      <c r="B52" s="27" t="s">
        <v>849</v>
      </c>
      <c r="C52" s="27" t="s">
        <v>88</v>
      </c>
      <c r="D52" s="89">
        <v>38.09843</v>
      </c>
      <c r="E52" s="89">
        <v>-121.71814999999999</v>
      </c>
      <c r="F52" s="27" t="s">
        <v>5660</v>
      </c>
      <c r="G52" s="27" t="s">
        <v>90</v>
      </c>
      <c r="H52" s="27" t="s">
        <v>91</v>
      </c>
      <c r="I52" s="84">
        <v>0.44027777777777777</v>
      </c>
      <c r="J52" s="82">
        <v>233.71666666666667</v>
      </c>
      <c r="K52" s="82">
        <v>22.5</v>
      </c>
      <c r="L52" s="82">
        <v>8.8833333333333346</v>
      </c>
      <c r="M52" s="82">
        <v>1.1333333333333331</v>
      </c>
      <c r="N52" s="4">
        <v>6.083333333333333</v>
      </c>
      <c r="O52" s="27" t="s">
        <v>48</v>
      </c>
      <c r="P52" s="27">
        <v>6</v>
      </c>
      <c r="Q52" s="27">
        <v>10</v>
      </c>
      <c r="R52" s="27" t="s">
        <v>49</v>
      </c>
      <c r="S52" s="40" t="s">
        <v>50</v>
      </c>
      <c r="T52" s="40" t="s">
        <v>50</v>
      </c>
      <c r="U52" s="235" t="s">
        <v>50</v>
      </c>
      <c r="V52" s="40" t="s">
        <v>50</v>
      </c>
      <c r="W52" s="40" t="s">
        <v>50</v>
      </c>
      <c r="X52" s="235" t="s">
        <v>50</v>
      </c>
    </row>
    <row r="53" spans="1:25" s="149" customFormat="1" x14ac:dyDescent="0.25">
      <c r="A53" s="178">
        <v>43291</v>
      </c>
      <c r="B53" s="149" t="s">
        <v>849</v>
      </c>
      <c r="C53" s="149" t="s">
        <v>88</v>
      </c>
      <c r="D53" s="150">
        <v>38.039099999999998</v>
      </c>
      <c r="E53" s="150">
        <v>-121.79361</v>
      </c>
      <c r="F53" s="149" t="s">
        <v>5661</v>
      </c>
      <c r="G53" s="149" t="s">
        <v>27</v>
      </c>
      <c r="H53" s="149" t="s">
        <v>25</v>
      </c>
      <c r="I53" s="151">
        <v>0.33263888888888887</v>
      </c>
      <c r="J53" s="161" t="s">
        <v>50</v>
      </c>
      <c r="K53" s="161" t="s">
        <v>50</v>
      </c>
      <c r="L53" s="161" t="s">
        <v>50</v>
      </c>
      <c r="M53" s="161" t="s">
        <v>50</v>
      </c>
      <c r="N53" s="161" t="s">
        <v>50</v>
      </c>
      <c r="O53" s="161" t="s">
        <v>48</v>
      </c>
      <c r="P53" s="161">
        <v>0</v>
      </c>
      <c r="Q53" s="279" t="s">
        <v>50</v>
      </c>
      <c r="R53" s="157" t="s">
        <v>50</v>
      </c>
      <c r="S53" s="158" t="s">
        <v>50</v>
      </c>
      <c r="T53" s="158" t="s">
        <v>50</v>
      </c>
      <c r="U53" s="157" t="s">
        <v>50</v>
      </c>
      <c r="V53" s="158" t="s">
        <v>50</v>
      </c>
      <c r="W53" s="158" t="s">
        <v>50</v>
      </c>
      <c r="X53" s="157" t="s">
        <v>50</v>
      </c>
      <c r="Y53" s="152" t="s">
        <v>3595</v>
      </c>
    </row>
    <row r="54" spans="1:25" s="149" customFormat="1" x14ac:dyDescent="0.25">
      <c r="A54" s="178">
        <v>43291</v>
      </c>
      <c r="B54" s="149" t="s">
        <v>849</v>
      </c>
      <c r="C54" s="149" t="s">
        <v>88</v>
      </c>
      <c r="D54" s="150">
        <v>38.044319999999999</v>
      </c>
      <c r="E54" s="150">
        <v>-121.80185</v>
      </c>
      <c r="F54" s="149" t="s">
        <v>5662</v>
      </c>
      <c r="G54" s="149" t="s">
        <v>27</v>
      </c>
      <c r="H54" s="149" t="s">
        <v>25</v>
      </c>
      <c r="I54" s="151">
        <v>0.33958333333333335</v>
      </c>
      <c r="J54" s="161" t="s">
        <v>50</v>
      </c>
      <c r="K54" s="161" t="s">
        <v>50</v>
      </c>
      <c r="L54" s="161" t="s">
        <v>50</v>
      </c>
      <c r="M54" s="161" t="s">
        <v>50</v>
      </c>
      <c r="N54" s="161" t="s">
        <v>50</v>
      </c>
      <c r="O54" s="161" t="s">
        <v>48</v>
      </c>
      <c r="P54" s="161">
        <v>0</v>
      </c>
      <c r="Q54" s="279" t="s">
        <v>50</v>
      </c>
      <c r="R54" s="157" t="s">
        <v>50</v>
      </c>
      <c r="S54" s="158" t="s">
        <v>50</v>
      </c>
      <c r="T54" s="158" t="s">
        <v>50</v>
      </c>
      <c r="U54" s="157" t="s">
        <v>50</v>
      </c>
      <c r="V54" s="158" t="s">
        <v>50</v>
      </c>
      <c r="W54" s="158" t="s">
        <v>50</v>
      </c>
      <c r="X54" s="157" t="s">
        <v>50</v>
      </c>
      <c r="Y54" s="152" t="s">
        <v>3595</v>
      </c>
    </row>
    <row r="55" spans="1:25" s="149" customFormat="1" x14ac:dyDescent="0.25">
      <c r="A55" s="178">
        <v>43291</v>
      </c>
      <c r="B55" s="149" t="s">
        <v>849</v>
      </c>
      <c r="C55" s="149" t="s">
        <v>88</v>
      </c>
      <c r="D55" s="150">
        <v>38.05003</v>
      </c>
      <c r="E55" s="150">
        <v>-121.79962999999999</v>
      </c>
      <c r="F55" s="149" t="s">
        <v>5663</v>
      </c>
      <c r="G55" s="149" t="s">
        <v>27</v>
      </c>
      <c r="H55" s="149" t="s">
        <v>25</v>
      </c>
      <c r="I55" s="151">
        <v>0.3444444444444445</v>
      </c>
      <c r="J55" s="161" t="s">
        <v>50</v>
      </c>
      <c r="K55" s="161" t="s">
        <v>50</v>
      </c>
      <c r="L55" s="161" t="s">
        <v>50</v>
      </c>
      <c r="M55" s="161" t="s">
        <v>50</v>
      </c>
      <c r="N55" s="161" t="s">
        <v>50</v>
      </c>
      <c r="O55" s="161" t="s">
        <v>48</v>
      </c>
      <c r="P55" s="161">
        <v>0</v>
      </c>
      <c r="Q55" s="279" t="s">
        <v>50</v>
      </c>
      <c r="R55" s="157" t="s">
        <v>50</v>
      </c>
      <c r="S55" s="158" t="s">
        <v>50</v>
      </c>
      <c r="T55" s="158" t="s">
        <v>50</v>
      </c>
      <c r="U55" s="157" t="s">
        <v>50</v>
      </c>
      <c r="V55" s="158" t="s">
        <v>50</v>
      </c>
      <c r="W55" s="158" t="s">
        <v>50</v>
      </c>
      <c r="X55" s="157" t="s">
        <v>50</v>
      </c>
      <c r="Y55" s="152" t="s">
        <v>3595</v>
      </c>
    </row>
    <row r="56" spans="1:25" x14ac:dyDescent="0.25">
      <c r="A56" s="26">
        <v>43291</v>
      </c>
      <c r="B56" s="27" t="s">
        <v>849</v>
      </c>
      <c r="C56" s="27" t="s">
        <v>106</v>
      </c>
      <c r="D56" s="89">
        <v>38.195540000000001</v>
      </c>
      <c r="E56" s="89">
        <v>-121.65581</v>
      </c>
      <c r="F56" s="27" t="s">
        <v>5664</v>
      </c>
      <c r="G56" s="27" t="s">
        <v>90</v>
      </c>
      <c r="H56" s="27" t="s">
        <v>362</v>
      </c>
      <c r="I56" s="84">
        <v>0.33333333333333331</v>
      </c>
      <c r="J56" s="82">
        <v>124.16666666666667</v>
      </c>
      <c r="K56" s="82">
        <v>22.083333333333332</v>
      </c>
      <c r="L56" s="82">
        <v>9.2983333333333338</v>
      </c>
      <c r="M56" s="82">
        <v>0.97833333333333339</v>
      </c>
      <c r="N56" s="4">
        <v>12.6</v>
      </c>
      <c r="O56" s="27" t="s">
        <v>48</v>
      </c>
      <c r="P56" s="27">
        <v>6</v>
      </c>
      <c r="Q56" s="27">
        <v>10</v>
      </c>
      <c r="R56" s="27" t="s">
        <v>49</v>
      </c>
      <c r="S56" s="40" t="s">
        <v>50</v>
      </c>
      <c r="T56" s="40" t="s">
        <v>50</v>
      </c>
      <c r="U56" s="235" t="s">
        <v>50</v>
      </c>
      <c r="V56" s="40" t="s">
        <v>50</v>
      </c>
      <c r="W56" s="40" t="s">
        <v>50</v>
      </c>
      <c r="X56" s="235" t="s">
        <v>50</v>
      </c>
    </row>
    <row r="57" spans="1:25" x14ac:dyDescent="0.25">
      <c r="A57" s="26">
        <v>43291</v>
      </c>
      <c r="B57" s="27" t="s">
        <v>849</v>
      </c>
      <c r="C57" s="27" t="s">
        <v>106</v>
      </c>
      <c r="D57" s="89">
        <v>38.270180000000003</v>
      </c>
      <c r="E57" s="89">
        <v>-121.66211</v>
      </c>
      <c r="F57" s="27" t="s">
        <v>5665</v>
      </c>
      <c r="G57" s="27" t="s">
        <v>90</v>
      </c>
      <c r="H57" s="27" t="s">
        <v>362</v>
      </c>
      <c r="I57" s="84">
        <v>0.42152777777777778</v>
      </c>
      <c r="J57" s="82">
        <v>245.88333333333333</v>
      </c>
      <c r="K57" s="82">
        <v>23</v>
      </c>
      <c r="L57" s="82">
        <v>20.183333333333334</v>
      </c>
      <c r="M57" s="82">
        <v>0.56333333333333335</v>
      </c>
      <c r="N57" s="4">
        <v>8.6666666666666661</v>
      </c>
      <c r="O57" s="27" t="s">
        <v>48</v>
      </c>
      <c r="P57" s="27">
        <v>6</v>
      </c>
      <c r="Q57" s="27">
        <v>10</v>
      </c>
      <c r="R57" s="27" t="s">
        <v>49</v>
      </c>
      <c r="S57" s="40" t="s">
        <v>50</v>
      </c>
      <c r="T57" s="40" t="s">
        <v>50</v>
      </c>
      <c r="U57" s="235" t="s">
        <v>50</v>
      </c>
      <c r="V57" s="40" t="s">
        <v>50</v>
      </c>
      <c r="W57" s="40" t="s">
        <v>50</v>
      </c>
      <c r="X57" s="235" t="s">
        <v>50</v>
      </c>
      <c r="Y57" s="35" t="s">
        <v>5666</v>
      </c>
    </row>
    <row r="58" spans="1:25" x14ac:dyDescent="0.25">
      <c r="A58" s="26">
        <v>43291</v>
      </c>
      <c r="B58" s="27" t="s">
        <v>849</v>
      </c>
      <c r="C58" s="27" t="s">
        <v>78</v>
      </c>
      <c r="D58" s="89">
        <v>38.061680000000003</v>
      </c>
      <c r="E58" s="89">
        <v>-121.99259000000001</v>
      </c>
      <c r="F58" s="27" t="s">
        <v>5667</v>
      </c>
      <c r="G58" s="27" t="s">
        <v>27</v>
      </c>
      <c r="H58" s="27" t="s">
        <v>86</v>
      </c>
      <c r="I58" s="84">
        <v>0.33402777777777781</v>
      </c>
      <c r="J58" s="82">
        <v>7651.166666666667</v>
      </c>
      <c r="K58" s="82">
        <v>21.2</v>
      </c>
      <c r="L58" s="82">
        <v>43.300000000000004</v>
      </c>
      <c r="M58" s="82">
        <v>0.46333333333333332</v>
      </c>
      <c r="N58" s="4">
        <v>4.1833333333333336</v>
      </c>
      <c r="O58" s="27" t="s">
        <v>48</v>
      </c>
      <c r="P58" s="27">
        <v>6</v>
      </c>
      <c r="Q58" s="27">
        <v>10</v>
      </c>
      <c r="R58" s="27" t="s">
        <v>49</v>
      </c>
      <c r="S58" s="40" t="s">
        <v>50</v>
      </c>
      <c r="T58" s="40" t="s">
        <v>50</v>
      </c>
      <c r="U58" s="235" t="s">
        <v>50</v>
      </c>
      <c r="V58" s="40" t="s">
        <v>50</v>
      </c>
      <c r="W58" s="40" t="s">
        <v>50</v>
      </c>
      <c r="X58" s="235" t="s">
        <v>50</v>
      </c>
    </row>
    <row r="59" spans="1:25" x14ac:dyDescent="0.25">
      <c r="A59" s="26">
        <v>43291</v>
      </c>
      <c r="B59" s="27" t="s">
        <v>849</v>
      </c>
      <c r="C59" s="27" t="s">
        <v>78</v>
      </c>
      <c r="D59" s="89">
        <v>38.063360000000003</v>
      </c>
      <c r="E59" s="89">
        <v>-122.06247</v>
      </c>
      <c r="F59" s="27" t="s">
        <v>5668</v>
      </c>
      <c r="G59" s="27" t="s">
        <v>80</v>
      </c>
      <c r="H59" s="27" t="s">
        <v>81</v>
      </c>
      <c r="I59" s="84">
        <v>0.41111111111111115</v>
      </c>
      <c r="J59" s="82">
        <v>12490.666666666666</v>
      </c>
      <c r="K59" s="82">
        <v>21.166666666666668</v>
      </c>
      <c r="L59" s="82">
        <v>23.750000000000004</v>
      </c>
      <c r="M59" s="82">
        <v>0.67499999999999993</v>
      </c>
      <c r="N59" s="4">
        <v>5.7</v>
      </c>
      <c r="O59" s="27" t="s">
        <v>48</v>
      </c>
      <c r="P59" s="27">
        <v>6</v>
      </c>
      <c r="Q59" s="27">
        <v>10</v>
      </c>
      <c r="R59" s="27" t="s">
        <v>64</v>
      </c>
      <c r="S59" s="40" t="s">
        <v>50</v>
      </c>
      <c r="T59" s="40" t="s">
        <v>50</v>
      </c>
      <c r="U59" s="235" t="s">
        <v>50</v>
      </c>
      <c r="V59" s="40" t="s">
        <v>50</v>
      </c>
      <c r="W59" s="40" t="s">
        <v>50</v>
      </c>
      <c r="X59" s="235" t="s">
        <v>50</v>
      </c>
    </row>
    <row r="60" spans="1:25" x14ac:dyDescent="0.25">
      <c r="A60" s="26">
        <v>43291</v>
      </c>
      <c r="B60" s="27" t="s">
        <v>849</v>
      </c>
      <c r="C60" s="27" t="s">
        <v>78</v>
      </c>
      <c r="D60" s="89">
        <v>38.033099999999997</v>
      </c>
      <c r="E60" s="89">
        <v>-121.87116</v>
      </c>
      <c r="F60" s="27" t="s">
        <v>5669</v>
      </c>
      <c r="G60" s="27" t="s">
        <v>27</v>
      </c>
      <c r="H60" s="27" t="s">
        <v>101</v>
      </c>
      <c r="I60" s="84">
        <v>0.49513888888888885</v>
      </c>
      <c r="J60" s="82">
        <v>1938.2</v>
      </c>
      <c r="K60" s="82">
        <v>22.1</v>
      </c>
      <c r="L60" s="82">
        <v>16.600000000000001</v>
      </c>
      <c r="M60" s="82">
        <v>0.66599999999999993</v>
      </c>
      <c r="N60" s="4">
        <v>13.559999999999999</v>
      </c>
      <c r="O60" s="27" t="s">
        <v>48</v>
      </c>
      <c r="P60" s="27">
        <v>5</v>
      </c>
      <c r="Q60" s="27">
        <v>10</v>
      </c>
      <c r="R60" s="27" t="s">
        <v>64</v>
      </c>
      <c r="S60" s="40" t="s">
        <v>50</v>
      </c>
      <c r="T60" s="40" t="s">
        <v>50</v>
      </c>
      <c r="U60" s="235" t="s">
        <v>50</v>
      </c>
      <c r="V60" s="40" t="s">
        <v>50</v>
      </c>
      <c r="W60" s="40" t="s">
        <v>50</v>
      </c>
      <c r="X60" s="235" t="s">
        <v>50</v>
      </c>
      <c r="Y60" s="35" t="s">
        <v>5670</v>
      </c>
    </row>
    <row r="61" spans="1:25" x14ac:dyDescent="0.25">
      <c r="A61" s="26">
        <v>43292</v>
      </c>
      <c r="B61" s="27" t="s">
        <v>87</v>
      </c>
      <c r="C61" s="27" t="s">
        <v>95</v>
      </c>
      <c r="D61" s="89">
        <v>38.020150000000001</v>
      </c>
      <c r="E61" s="89">
        <v>-121.80634000000001</v>
      </c>
      <c r="F61" s="27" t="s">
        <v>5671</v>
      </c>
      <c r="G61" s="27" t="s">
        <v>27</v>
      </c>
      <c r="H61" s="27" t="s">
        <v>863</v>
      </c>
      <c r="I61" s="84">
        <v>0.34375</v>
      </c>
      <c r="J61" s="82">
        <v>1318.1666666666667</v>
      </c>
      <c r="K61" s="82">
        <v>22.166666666666671</v>
      </c>
      <c r="L61" s="82">
        <v>16.766666666666669</v>
      </c>
      <c r="M61" s="82">
        <v>0.69166666666666676</v>
      </c>
      <c r="N61" s="4">
        <v>14.783333333333331</v>
      </c>
      <c r="O61" s="27" t="s">
        <v>48</v>
      </c>
      <c r="P61" s="27">
        <v>6</v>
      </c>
      <c r="Q61" s="27">
        <v>10</v>
      </c>
      <c r="R61" s="27" t="s">
        <v>49</v>
      </c>
      <c r="S61" s="40" t="s">
        <v>50</v>
      </c>
      <c r="T61" s="40" t="s">
        <v>50</v>
      </c>
      <c r="U61" s="235" t="s">
        <v>50</v>
      </c>
      <c r="V61" s="40" t="s">
        <v>50</v>
      </c>
      <c r="W61" s="40" t="s">
        <v>50</v>
      </c>
      <c r="X61" s="235" t="s">
        <v>50</v>
      </c>
      <c r="Y61" s="35" t="s">
        <v>5672</v>
      </c>
    </row>
    <row r="62" spans="1:25" x14ac:dyDescent="0.25">
      <c r="A62" s="26">
        <v>43292</v>
      </c>
      <c r="B62" s="27" t="s">
        <v>87</v>
      </c>
      <c r="C62" s="27" t="s">
        <v>95</v>
      </c>
      <c r="D62" s="89">
        <v>38.030200000000001</v>
      </c>
      <c r="E62" s="89">
        <v>-121.76719</v>
      </c>
      <c r="F62" s="27" t="s">
        <v>5673</v>
      </c>
      <c r="G62" s="27" t="s">
        <v>27</v>
      </c>
      <c r="H62" s="27" t="s">
        <v>863</v>
      </c>
      <c r="I62" s="84">
        <v>0.41875000000000001</v>
      </c>
      <c r="J62" s="82">
        <v>520.33333333333337</v>
      </c>
      <c r="K62" s="82">
        <v>22.516666666666666</v>
      </c>
      <c r="L62" s="82">
        <v>16.45</v>
      </c>
      <c r="M62" s="82">
        <v>0.75499999999999989</v>
      </c>
      <c r="N62" s="4">
        <v>10.700000000000001</v>
      </c>
      <c r="O62" s="27" t="s">
        <v>48</v>
      </c>
      <c r="P62" s="27">
        <v>6</v>
      </c>
      <c r="Q62" s="27">
        <v>10</v>
      </c>
      <c r="R62" s="27" t="s">
        <v>49</v>
      </c>
      <c r="S62" s="40" t="s">
        <v>50</v>
      </c>
      <c r="T62" s="40" t="s">
        <v>50</v>
      </c>
      <c r="U62" s="235" t="s">
        <v>50</v>
      </c>
      <c r="V62" s="40" t="s">
        <v>50</v>
      </c>
      <c r="W62" s="40" t="s">
        <v>50</v>
      </c>
      <c r="X62" s="235" t="s">
        <v>50</v>
      </c>
    </row>
    <row r="63" spans="1:25" s="149" customFormat="1" x14ac:dyDescent="0.25">
      <c r="A63" s="178">
        <v>43292</v>
      </c>
      <c r="B63" s="149" t="s">
        <v>87</v>
      </c>
      <c r="C63" s="149" t="s">
        <v>95</v>
      </c>
      <c r="D63" s="150">
        <v>38.018000000000001</v>
      </c>
      <c r="E63" s="150">
        <v>-121.70421</v>
      </c>
      <c r="F63" s="149" t="s">
        <v>5674</v>
      </c>
      <c r="G63" s="149" t="s">
        <v>27</v>
      </c>
      <c r="H63" s="149" t="s">
        <v>863</v>
      </c>
      <c r="I63" s="151">
        <v>0.32013888888888892</v>
      </c>
      <c r="J63" s="161" t="s">
        <v>50</v>
      </c>
      <c r="K63" s="161" t="s">
        <v>50</v>
      </c>
      <c r="L63" s="161" t="s">
        <v>50</v>
      </c>
      <c r="M63" s="161" t="s">
        <v>50</v>
      </c>
      <c r="N63" s="161" t="s">
        <v>50</v>
      </c>
      <c r="O63" s="161" t="s">
        <v>48</v>
      </c>
      <c r="P63" s="161">
        <v>0</v>
      </c>
      <c r="Q63" s="279" t="s">
        <v>50</v>
      </c>
      <c r="R63" s="157" t="s">
        <v>50</v>
      </c>
      <c r="S63" s="158" t="s">
        <v>50</v>
      </c>
      <c r="T63" s="158" t="s">
        <v>50</v>
      </c>
      <c r="U63" s="157" t="s">
        <v>50</v>
      </c>
      <c r="V63" s="158" t="s">
        <v>50</v>
      </c>
      <c r="W63" s="158" t="s">
        <v>50</v>
      </c>
      <c r="X63" s="157" t="s">
        <v>50</v>
      </c>
      <c r="Y63" s="152" t="s">
        <v>3595</v>
      </c>
    </row>
    <row r="64" spans="1:25" s="149" customFormat="1" x14ac:dyDescent="0.25">
      <c r="A64" s="178">
        <v>43292</v>
      </c>
      <c r="B64" s="149" t="s">
        <v>87</v>
      </c>
      <c r="C64" s="149" t="s">
        <v>95</v>
      </c>
      <c r="D64" s="150">
        <v>38.019710000000003</v>
      </c>
      <c r="E64" s="150">
        <v>-121.69374000000001</v>
      </c>
      <c r="F64" s="149" t="s">
        <v>5675</v>
      </c>
      <c r="G64" s="149" t="s">
        <v>27</v>
      </c>
      <c r="H64" s="149" t="s">
        <v>863</v>
      </c>
      <c r="I64" s="151">
        <v>0.32361111111111113</v>
      </c>
      <c r="J64" s="161" t="s">
        <v>50</v>
      </c>
      <c r="K64" s="161" t="s">
        <v>50</v>
      </c>
      <c r="L64" s="161" t="s">
        <v>50</v>
      </c>
      <c r="M64" s="161" t="s">
        <v>50</v>
      </c>
      <c r="N64" s="161" t="s">
        <v>50</v>
      </c>
      <c r="O64" s="161" t="s">
        <v>48</v>
      </c>
      <c r="P64" s="161">
        <v>0</v>
      </c>
      <c r="Q64" s="279" t="s">
        <v>50</v>
      </c>
      <c r="R64" s="157" t="s">
        <v>50</v>
      </c>
      <c r="S64" s="158" t="s">
        <v>50</v>
      </c>
      <c r="T64" s="158" t="s">
        <v>50</v>
      </c>
      <c r="U64" s="157" t="s">
        <v>50</v>
      </c>
      <c r="V64" s="158" t="s">
        <v>50</v>
      </c>
      <c r="W64" s="158" t="s">
        <v>50</v>
      </c>
      <c r="X64" s="157" t="s">
        <v>50</v>
      </c>
      <c r="Y64" s="152" t="s">
        <v>3595</v>
      </c>
    </row>
    <row r="65" spans="1:25" s="149" customFormat="1" x14ac:dyDescent="0.25">
      <c r="A65" s="178">
        <v>43292</v>
      </c>
      <c r="B65" s="149" t="s">
        <v>87</v>
      </c>
      <c r="C65" s="149" t="s">
        <v>95</v>
      </c>
      <c r="D65" s="150">
        <v>38.039990000000003</v>
      </c>
      <c r="E65" s="150">
        <v>-121.71037</v>
      </c>
      <c r="F65" s="149" t="s">
        <v>5676</v>
      </c>
      <c r="G65" s="149" t="s">
        <v>27</v>
      </c>
      <c r="H65" s="149" t="s">
        <v>863</v>
      </c>
      <c r="I65" s="151">
        <v>0.49027777777777781</v>
      </c>
      <c r="J65" s="161" t="s">
        <v>50</v>
      </c>
      <c r="K65" s="161" t="s">
        <v>50</v>
      </c>
      <c r="L65" s="161" t="s">
        <v>50</v>
      </c>
      <c r="M65" s="161" t="s">
        <v>50</v>
      </c>
      <c r="N65" s="161" t="s">
        <v>50</v>
      </c>
      <c r="O65" s="161" t="s">
        <v>48</v>
      </c>
      <c r="P65" s="161">
        <v>0</v>
      </c>
      <c r="Q65" s="279" t="s">
        <v>50</v>
      </c>
      <c r="R65" s="157" t="s">
        <v>50</v>
      </c>
      <c r="S65" s="158" t="s">
        <v>50</v>
      </c>
      <c r="T65" s="158" t="s">
        <v>50</v>
      </c>
      <c r="U65" s="157" t="s">
        <v>50</v>
      </c>
      <c r="V65" s="158" t="s">
        <v>50</v>
      </c>
      <c r="W65" s="158" t="s">
        <v>50</v>
      </c>
      <c r="X65" s="157" t="s">
        <v>50</v>
      </c>
      <c r="Y65" s="152" t="s">
        <v>3595</v>
      </c>
    </row>
    <row r="66" spans="1:25" x14ac:dyDescent="0.25">
      <c r="A66" s="26">
        <v>43292</v>
      </c>
      <c r="B66" s="27" t="s">
        <v>87</v>
      </c>
      <c r="C66" s="27" t="s">
        <v>845</v>
      </c>
      <c r="D66" s="89">
        <v>38.45205</v>
      </c>
      <c r="E66" s="89">
        <v>-121.59787</v>
      </c>
      <c r="F66" s="27" t="s">
        <v>5677</v>
      </c>
      <c r="G66" s="27" t="s">
        <v>90</v>
      </c>
      <c r="H66" s="27" t="s">
        <v>126</v>
      </c>
      <c r="I66" s="84">
        <v>0.35833333333333334</v>
      </c>
      <c r="J66" s="82">
        <v>193.5</v>
      </c>
      <c r="K66" s="82">
        <v>24.7</v>
      </c>
      <c r="L66" s="82">
        <v>46.6</v>
      </c>
      <c r="M66" s="82">
        <v>0.28000000000000003</v>
      </c>
      <c r="N66" s="4">
        <v>3</v>
      </c>
      <c r="O66" s="27" t="s">
        <v>48</v>
      </c>
      <c r="P66" s="27">
        <v>1</v>
      </c>
      <c r="Q66" s="84">
        <v>0.3125</v>
      </c>
      <c r="R66" s="27" t="s">
        <v>49</v>
      </c>
      <c r="S66" s="40" t="s">
        <v>50</v>
      </c>
      <c r="T66" s="40" t="s">
        <v>50</v>
      </c>
      <c r="U66" s="235" t="s">
        <v>50</v>
      </c>
      <c r="V66" s="40" t="s">
        <v>50</v>
      </c>
      <c r="W66" s="40" t="s">
        <v>50</v>
      </c>
      <c r="X66" s="235" t="s">
        <v>50</v>
      </c>
      <c r="Y66" s="35" t="s">
        <v>5678</v>
      </c>
    </row>
    <row r="67" spans="1:25" x14ac:dyDescent="0.25">
      <c r="A67" s="26">
        <v>43292</v>
      </c>
      <c r="B67" s="27" t="s">
        <v>87</v>
      </c>
      <c r="C67" s="27" t="s">
        <v>845</v>
      </c>
      <c r="D67" s="89">
        <v>38.318689999999997</v>
      </c>
      <c r="E67" s="89">
        <v>-121.65425</v>
      </c>
      <c r="F67" s="27" t="s">
        <v>5679</v>
      </c>
      <c r="G67" s="27" t="s">
        <v>90</v>
      </c>
      <c r="H67" s="27" t="s">
        <v>126</v>
      </c>
      <c r="I67" s="84">
        <v>0.42291666666666666</v>
      </c>
      <c r="J67" s="82">
        <v>166.06666666666666</v>
      </c>
      <c r="K67" s="82">
        <v>23.400000000000002</v>
      </c>
      <c r="L67" s="82">
        <v>27.316666666666663</v>
      </c>
      <c r="M67" s="82">
        <v>0.50833333333333341</v>
      </c>
      <c r="N67" s="4">
        <v>5.3999999999999995</v>
      </c>
      <c r="O67" s="27" t="s">
        <v>48</v>
      </c>
      <c r="P67" s="27">
        <v>6</v>
      </c>
      <c r="Q67" s="27">
        <v>10</v>
      </c>
      <c r="R67" s="27" t="s">
        <v>49</v>
      </c>
      <c r="S67" s="40" t="s">
        <v>50</v>
      </c>
      <c r="T67" s="40" t="s">
        <v>50</v>
      </c>
      <c r="U67" s="235" t="s">
        <v>50</v>
      </c>
      <c r="V67" s="40" t="s">
        <v>50</v>
      </c>
      <c r="W67" s="40" t="s">
        <v>50</v>
      </c>
      <c r="X67" s="235" t="s">
        <v>50</v>
      </c>
      <c r="Y67" s="35" t="s">
        <v>5680</v>
      </c>
    </row>
    <row r="68" spans="1:25" x14ac:dyDescent="0.25">
      <c r="A68" s="26">
        <v>43293</v>
      </c>
      <c r="B68" s="27" t="s">
        <v>105</v>
      </c>
      <c r="C68" s="27" t="s">
        <v>95</v>
      </c>
      <c r="D68" s="89">
        <v>38.065040000000003</v>
      </c>
      <c r="E68" s="89">
        <v>-121.67574999999999</v>
      </c>
      <c r="F68" s="27" t="s">
        <v>5681</v>
      </c>
      <c r="G68" s="27" t="s">
        <v>46</v>
      </c>
      <c r="H68" s="27" t="s">
        <v>5682</v>
      </c>
      <c r="I68" s="84">
        <v>0.32430555555555557</v>
      </c>
      <c r="J68" s="82">
        <v>509.16666666666669</v>
      </c>
      <c r="K68" s="82">
        <v>22.650000000000002</v>
      </c>
      <c r="L68" s="82">
        <v>10.791666666666666</v>
      </c>
      <c r="M68" s="82">
        <v>1.03</v>
      </c>
      <c r="N68" s="4">
        <v>8.3166666666666664</v>
      </c>
      <c r="O68" s="27" t="s">
        <v>48</v>
      </c>
      <c r="P68" s="27">
        <v>6</v>
      </c>
      <c r="Q68" s="27">
        <v>10</v>
      </c>
      <c r="R68" s="27" t="s">
        <v>49</v>
      </c>
      <c r="S68" s="40" t="s">
        <v>50</v>
      </c>
      <c r="T68" s="40" t="s">
        <v>50</v>
      </c>
      <c r="U68" s="235" t="s">
        <v>50</v>
      </c>
      <c r="V68" s="40" t="s">
        <v>50</v>
      </c>
      <c r="W68" s="40" t="s">
        <v>50</v>
      </c>
      <c r="X68" s="235" t="s">
        <v>50</v>
      </c>
      <c r="Y68" s="35" t="s">
        <v>5683</v>
      </c>
    </row>
    <row r="69" spans="1:25" x14ac:dyDescent="0.25">
      <c r="A69" s="26">
        <v>43293</v>
      </c>
      <c r="B69" s="27" t="s">
        <v>105</v>
      </c>
      <c r="C69" s="27" t="s">
        <v>95</v>
      </c>
      <c r="D69" s="89">
        <v>38.061439999999997</v>
      </c>
      <c r="E69" s="89">
        <v>-121.55571</v>
      </c>
      <c r="F69" s="27" t="s">
        <v>5684</v>
      </c>
      <c r="G69" s="27" t="s">
        <v>46</v>
      </c>
      <c r="H69" s="27" t="s">
        <v>5685</v>
      </c>
      <c r="I69" s="84">
        <v>0.41319444444444442</v>
      </c>
      <c r="J69" s="82">
        <v>158.36666666666667</v>
      </c>
      <c r="K69" s="82">
        <v>23.616666666666671</v>
      </c>
      <c r="L69" s="82">
        <v>8.6416666666666657</v>
      </c>
      <c r="M69" s="82">
        <v>1.4116666666666664</v>
      </c>
      <c r="N69" s="4">
        <v>10</v>
      </c>
      <c r="O69" s="27" t="s">
        <v>48</v>
      </c>
      <c r="P69" s="27">
        <v>6</v>
      </c>
      <c r="Q69" s="27">
        <v>10</v>
      </c>
      <c r="R69" s="27" t="s">
        <v>49</v>
      </c>
      <c r="S69" s="40" t="s">
        <v>50</v>
      </c>
      <c r="T69" s="40" t="s">
        <v>50</v>
      </c>
      <c r="U69" s="235" t="s">
        <v>50</v>
      </c>
      <c r="V69" s="40" t="s">
        <v>50</v>
      </c>
      <c r="W69" s="40" t="s">
        <v>50</v>
      </c>
      <c r="X69" s="235" t="s">
        <v>50</v>
      </c>
    </row>
    <row r="70" spans="1:25" x14ac:dyDescent="0.25">
      <c r="A70" s="26">
        <v>43293</v>
      </c>
      <c r="B70" s="27" t="s">
        <v>105</v>
      </c>
      <c r="C70" s="27" t="s">
        <v>62</v>
      </c>
      <c r="D70" s="89">
        <v>38.113849999999999</v>
      </c>
      <c r="E70" s="89">
        <v>-121.89049</v>
      </c>
      <c r="F70" s="27" t="s">
        <v>5686</v>
      </c>
      <c r="G70" s="27" t="s">
        <v>27</v>
      </c>
      <c r="H70" s="27" t="s">
        <v>62</v>
      </c>
      <c r="I70" s="84">
        <v>0.39861111111111108</v>
      </c>
      <c r="J70" s="82">
        <v>6772.5</v>
      </c>
      <c r="K70" s="82">
        <v>22.05</v>
      </c>
      <c r="L70" s="82">
        <v>42.866666666666674</v>
      </c>
      <c r="M70" s="82">
        <v>0.39500000000000002</v>
      </c>
      <c r="N70" s="4">
        <v>3.0999999999999996</v>
      </c>
      <c r="O70" s="27" t="s">
        <v>48</v>
      </c>
      <c r="P70" s="27">
        <v>6</v>
      </c>
      <c r="Q70" s="27">
        <v>10</v>
      </c>
      <c r="R70" s="27" t="s">
        <v>49</v>
      </c>
      <c r="S70" s="40" t="s">
        <v>50</v>
      </c>
      <c r="T70" s="40" t="s">
        <v>50</v>
      </c>
      <c r="U70" s="235" t="s">
        <v>50</v>
      </c>
      <c r="V70" s="40" t="s">
        <v>50</v>
      </c>
      <c r="W70" s="40" t="s">
        <v>50</v>
      </c>
      <c r="X70" s="235" t="s">
        <v>50</v>
      </c>
    </row>
    <row r="71" spans="1:25" s="355" customFormat="1" x14ac:dyDescent="0.25">
      <c r="A71" s="354">
        <v>43293</v>
      </c>
      <c r="B71" s="355" t="s">
        <v>105</v>
      </c>
      <c r="C71" s="355" t="s">
        <v>62</v>
      </c>
      <c r="D71" s="356">
        <v>38.13447</v>
      </c>
      <c r="E71" s="356">
        <v>-122.05974000000001</v>
      </c>
      <c r="F71" s="355" t="s">
        <v>5687</v>
      </c>
      <c r="G71" s="355" t="s">
        <v>27</v>
      </c>
      <c r="H71" s="355" t="s">
        <v>62</v>
      </c>
      <c r="I71" s="357">
        <v>0.50624999999999998</v>
      </c>
      <c r="J71" s="358">
        <v>11732.5</v>
      </c>
      <c r="K71" s="358">
        <v>22.666666666666668</v>
      </c>
      <c r="L71" s="358">
        <v>103.33333333333333</v>
      </c>
      <c r="M71" s="358">
        <v>0.21999999999999997</v>
      </c>
      <c r="N71" s="359">
        <v>9.75</v>
      </c>
      <c r="O71" s="355" t="s">
        <v>48</v>
      </c>
      <c r="P71" s="355">
        <v>6</v>
      </c>
      <c r="Q71" s="355">
        <v>10</v>
      </c>
      <c r="R71" s="355" t="s">
        <v>64</v>
      </c>
      <c r="S71" s="355" t="s">
        <v>31</v>
      </c>
      <c r="T71" s="355">
        <v>1</v>
      </c>
      <c r="U71" s="355">
        <v>44</v>
      </c>
      <c r="V71" s="355" t="s">
        <v>66</v>
      </c>
      <c r="W71" s="355" t="s">
        <v>50</v>
      </c>
      <c r="X71" s="355" t="s">
        <v>50</v>
      </c>
      <c r="Y71" s="367" t="s">
        <v>5688</v>
      </c>
    </row>
    <row r="72" spans="1:25" x14ac:dyDescent="0.25">
      <c r="A72" s="26">
        <v>43293</v>
      </c>
      <c r="B72" s="27" t="s">
        <v>105</v>
      </c>
      <c r="C72" s="27" t="s">
        <v>62</v>
      </c>
      <c r="D72" s="89">
        <v>38.168880000000001</v>
      </c>
      <c r="E72" s="89">
        <v>-122.06876</v>
      </c>
      <c r="F72" s="27" t="s">
        <v>5689</v>
      </c>
      <c r="G72" s="27" t="s">
        <v>27</v>
      </c>
      <c r="H72" s="27" t="s">
        <v>62</v>
      </c>
      <c r="I72" s="84">
        <v>0.5854166666666667</v>
      </c>
      <c r="J72" s="82">
        <v>11837.333333333334</v>
      </c>
      <c r="K72" s="82">
        <v>22.566666666666666</v>
      </c>
      <c r="L72" s="82">
        <v>103.06666666666666</v>
      </c>
      <c r="M72" s="82">
        <v>0.21166666666666667</v>
      </c>
      <c r="N72" s="4">
        <v>6.9099999999999993</v>
      </c>
      <c r="O72" s="27" t="s">
        <v>48</v>
      </c>
      <c r="P72" s="27">
        <v>6</v>
      </c>
      <c r="Q72" s="27">
        <v>10</v>
      </c>
      <c r="R72" s="27" t="s">
        <v>64</v>
      </c>
      <c r="S72" s="40" t="s">
        <v>50</v>
      </c>
      <c r="T72" s="40" t="s">
        <v>50</v>
      </c>
      <c r="U72" s="235" t="s">
        <v>50</v>
      </c>
      <c r="V72" s="40" t="s">
        <v>50</v>
      </c>
      <c r="W72" s="40" t="s">
        <v>50</v>
      </c>
      <c r="X72" s="235" t="s">
        <v>50</v>
      </c>
    </row>
    <row r="73" spans="1:25" x14ac:dyDescent="0.25">
      <c r="A73" s="26">
        <v>43293</v>
      </c>
      <c r="B73" s="27" t="s">
        <v>105</v>
      </c>
      <c r="C73" s="27" t="s">
        <v>845</v>
      </c>
      <c r="D73" s="89">
        <v>38.295520000000003</v>
      </c>
      <c r="E73" s="89">
        <v>-121.74419</v>
      </c>
      <c r="F73" s="27" t="s">
        <v>5690</v>
      </c>
      <c r="G73" s="27" t="s">
        <v>90</v>
      </c>
      <c r="H73" s="27" t="s">
        <v>126</v>
      </c>
      <c r="I73" s="84">
        <v>0.34166666666666662</v>
      </c>
      <c r="J73" s="82">
        <v>176.4</v>
      </c>
      <c r="K73" s="82">
        <v>22.916666666666668</v>
      </c>
      <c r="L73" s="82">
        <v>16.871666666666666</v>
      </c>
      <c r="M73" s="82">
        <v>0.58833333333333337</v>
      </c>
      <c r="N73" s="4">
        <v>3.2</v>
      </c>
      <c r="O73" s="27" t="s">
        <v>48</v>
      </c>
      <c r="P73" s="27">
        <v>6</v>
      </c>
      <c r="Q73" s="27">
        <v>10</v>
      </c>
      <c r="R73" s="27" t="s">
        <v>49</v>
      </c>
      <c r="S73" s="40" t="s">
        <v>50</v>
      </c>
      <c r="T73" s="40" t="s">
        <v>50</v>
      </c>
      <c r="U73" s="235" t="s">
        <v>50</v>
      </c>
      <c r="V73" s="40" t="s">
        <v>50</v>
      </c>
      <c r="W73" s="40" t="s">
        <v>50</v>
      </c>
      <c r="X73" s="235" t="s">
        <v>50</v>
      </c>
    </row>
    <row r="74" spans="1:25" x14ac:dyDescent="0.25">
      <c r="A74" s="26">
        <v>43293</v>
      </c>
      <c r="B74" s="27" t="s">
        <v>105</v>
      </c>
      <c r="C74" s="27" t="s">
        <v>845</v>
      </c>
      <c r="D74" s="89">
        <v>38.27037</v>
      </c>
      <c r="E74" s="89">
        <v>-121.7026</v>
      </c>
      <c r="F74" s="27" t="s">
        <v>5691</v>
      </c>
      <c r="G74" s="27" t="s">
        <v>90</v>
      </c>
      <c r="H74" s="27" t="s">
        <v>126</v>
      </c>
      <c r="I74" s="84">
        <v>0.46319444444444446</v>
      </c>
      <c r="J74" s="82">
        <v>141.27142857142857</v>
      </c>
      <c r="K74" s="82">
        <v>22.771428571428572</v>
      </c>
      <c r="L74" s="82">
        <v>4.8642857142857148</v>
      </c>
      <c r="M74" s="82">
        <v>1.7771428571428571</v>
      </c>
      <c r="N74" s="4">
        <v>3.5857142857142854</v>
      </c>
      <c r="O74" s="27" t="s">
        <v>48</v>
      </c>
      <c r="P74" s="27">
        <v>7</v>
      </c>
      <c r="Q74" s="27">
        <v>10</v>
      </c>
      <c r="R74" s="27" t="s">
        <v>64</v>
      </c>
      <c r="S74" s="40" t="s">
        <v>50</v>
      </c>
      <c r="T74" s="40" t="s">
        <v>50</v>
      </c>
      <c r="U74" s="235" t="s">
        <v>50</v>
      </c>
      <c r="V74" s="40" t="s">
        <v>50</v>
      </c>
      <c r="W74" s="40" t="s">
        <v>50</v>
      </c>
      <c r="X74" s="235" t="s">
        <v>50</v>
      </c>
      <c r="Y74" s="35" t="s">
        <v>5692</v>
      </c>
    </row>
    <row r="75" spans="1:25" s="149" customFormat="1" x14ac:dyDescent="0.25">
      <c r="A75" s="178">
        <v>43293</v>
      </c>
      <c r="B75" s="149" t="s">
        <v>105</v>
      </c>
      <c r="C75" s="149" t="s">
        <v>845</v>
      </c>
      <c r="D75" s="150">
        <v>38.272010000000002</v>
      </c>
      <c r="E75" s="150">
        <v>-121.68129999999999</v>
      </c>
      <c r="F75" s="149" t="s">
        <v>5693</v>
      </c>
      <c r="G75" s="149" t="s">
        <v>90</v>
      </c>
      <c r="H75" s="149" t="s">
        <v>126</v>
      </c>
      <c r="I75" s="151">
        <v>0.32291666666666669</v>
      </c>
      <c r="J75" s="161" t="s">
        <v>50</v>
      </c>
      <c r="K75" s="161" t="s">
        <v>50</v>
      </c>
      <c r="L75" s="161" t="s">
        <v>50</v>
      </c>
      <c r="M75" s="161" t="s">
        <v>50</v>
      </c>
      <c r="N75" s="161" t="s">
        <v>50</v>
      </c>
      <c r="O75" s="161" t="s">
        <v>48</v>
      </c>
      <c r="P75" s="161">
        <v>0</v>
      </c>
      <c r="Q75" s="279" t="s">
        <v>50</v>
      </c>
      <c r="R75" s="157" t="s">
        <v>50</v>
      </c>
      <c r="S75" s="158" t="s">
        <v>50</v>
      </c>
      <c r="T75" s="158" t="s">
        <v>50</v>
      </c>
      <c r="U75" s="157" t="s">
        <v>50</v>
      </c>
      <c r="V75" s="158" t="s">
        <v>50</v>
      </c>
      <c r="W75" s="158" t="s">
        <v>50</v>
      </c>
      <c r="X75" s="157" t="s">
        <v>50</v>
      </c>
      <c r="Y75" s="152" t="s">
        <v>3595</v>
      </c>
    </row>
    <row r="76" spans="1:25" s="149" customFormat="1" x14ac:dyDescent="0.25">
      <c r="A76" s="178">
        <v>43293</v>
      </c>
      <c r="B76" s="149" t="s">
        <v>105</v>
      </c>
      <c r="C76" s="149" t="s">
        <v>845</v>
      </c>
      <c r="D76" s="150">
        <v>38.26014</v>
      </c>
      <c r="E76" s="150">
        <v>-121.67914</v>
      </c>
      <c r="F76" s="149" t="s">
        <v>5694</v>
      </c>
      <c r="G76" s="149" t="s">
        <v>90</v>
      </c>
      <c r="H76" s="149" t="s">
        <v>126</v>
      </c>
      <c r="I76" s="151">
        <v>0.32847222222222222</v>
      </c>
      <c r="J76" s="161" t="s">
        <v>50</v>
      </c>
      <c r="K76" s="161" t="s">
        <v>50</v>
      </c>
      <c r="L76" s="161" t="s">
        <v>50</v>
      </c>
      <c r="M76" s="161" t="s">
        <v>50</v>
      </c>
      <c r="N76" s="161" t="s">
        <v>50</v>
      </c>
      <c r="O76" s="161" t="s">
        <v>48</v>
      </c>
      <c r="P76" s="161">
        <v>0</v>
      </c>
      <c r="Q76" s="279" t="s">
        <v>50</v>
      </c>
      <c r="R76" s="157" t="s">
        <v>50</v>
      </c>
      <c r="S76" s="158" t="s">
        <v>50</v>
      </c>
      <c r="T76" s="158" t="s">
        <v>50</v>
      </c>
      <c r="U76" s="157" t="s">
        <v>50</v>
      </c>
      <c r="V76" s="158" t="s">
        <v>50</v>
      </c>
      <c r="W76" s="158" t="s">
        <v>50</v>
      </c>
      <c r="X76" s="157" t="s">
        <v>50</v>
      </c>
      <c r="Y76" s="152" t="s">
        <v>3595</v>
      </c>
    </row>
    <row r="77" spans="1:25" s="149" customFormat="1" x14ac:dyDescent="0.25">
      <c r="A77" s="178">
        <v>43293</v>
      </c>
      <c r="B77" s="149" t="s">
        <v>105</v>
      </c>
      <c r="C77" s="161" t="s">
        <v>62</v>
      </c>
      <c r="D77" s="161">
        <v>38.10331</v>
      </c>
      <c r="E77" s="161">
        <v>-122.05654</v>
      </c>
      <c r="F77" s="161" t="s">
        <v>5695</v>
      </c>
      <c r="G77" s="161" t="s">
        <v>27</v>
      </c>
      <c r="H77" s="161" t="s">
        <v>173</v>
      </c>
      <c r="I77" s="151">
        <v>0.33402777777777781</v>
      </c>
      <c r="J77" s="161" t="s">
        <v>50</v>
      </c>
      <c r="K77" s="161" t="s">
        <v>50</v>
      </c>
      <c r="L77" s="161" t="s">
        <v>50</v>
      </c>
      <c r="M77" s="161" t="s">
        <v>50</v>
      </c>
      <c r="N77" s="161" t="s">
        <v>50</v>
      </c>
      <c r="O77" s="161" t="s">
        <v>48</v>
      </c>
      <c r="P77" s="161">
        <v>0</v>
      </c>
      <c r="Q77" s="279" t="s">
        <v>50</v>
      </c>
      <c r="R77" s="157" t="s">
        <v>50</v>
      </c>
      <c r="S77" s="158" t="s">
        <v>50</v>
      </c>
      <c r="T77" s="158" t="s">
        <v>50</v>
      </c>
      <c r="U77" s="157" t="s">
        <v>50</v>
      </c>
      <c r="V77" s="158" t="s">
        <v>50</v>
      </c>
      <c r="W77" s="158" t="s">
        <v>50</v>
      </c>
      <c r="X77" s="157" t="s">
        <v>50</v>
      </c>
      <c r="Y77" s="152" t="s">
        <v>3595</v>
      </c>
    </row>
    <row r="78" spans="1:25" s="149" customFormat="1" x14ac:dyDescent="0.25">
      <c r="A78" s="178">
        <v>43293</v>
      </c>
      <c r="B78" s="149" t="s">
        <v>105</v>
      </c>
      <c r="C78" s="161" t="s">
        <v>62</v>
      </c>
      <c r="D78" s="161">
        <v>38.115929999999999</v>
      </c>
      <c r="E78" s="161">
        <v>-122.00866000000001</v>
      </c>
      <c r="F78" s="161" t="s">
        <v>5696</v>
      </c>
      <c r="G78" s="161" t="s">
        <v>27</v>
      </c>
      <c r="H78" s="161" t="s">
        <v>173</v>
      </c>
      <c r="I78" s="151">
        <v>0.3347222222222222</v>
      </c>
      <c r="J78" s="161" t="s">
        <v>50</v>
      </c>
      <c r="K78" s="161" t="s">
        <v>50</v>
      </c>
      <c r="L78" s="161" t="s">
        <v>50</v>
      </c>
      <c r="M78" s="161" t="s">
        <v>50</v>
      </c>
      <c r="N78" s="161" t="s">
        <v>50</v>
      </c>
      <c r="O78" s="161" t="s">
        <v>48</v>
      </c>
      <c r="P78" s="161">
        <v>0</v>
      </c>
      <c r="Q78" s="279" t="s">
        <v>50</v>
      </c>
      <c r="R78" s="157" t="s">
        <v>50</v>
      </c>
      <c r="S78" s="158" t="s">
        <v>50</v>
      </c>
      <c r="T78" s="158" t="s">
        <v>50</v>
      </c>
      <c r="U78" s="157" t="s">
        <v>50</v>
      </c>
      <c r="V78" s="158" t="s">
        <v>50</v>
      </c>
      <c r="W78" s="158" t="s">
        <v>50</v>
      </c>
      <c r="X78" s="157" t="s">
        <v>50</v>
      </c>
      <c r="Y78" s="152" t="s">
        <v>3595</v>
      </c>
    </row>
    <row r="79" spans="1:25" s="149" customFormat="1" x14ac:dyDescent="0.25">
      <c r="A79" s="178">
        <v>43293</v>
      </c>
      <c r="B79" s="149" t="s">
        <v>105</v>
      </c>
      <c r="C79" s="161" t="s">
        <v>62</v>
      </c>
      <c r="D79" s="161">
        <v>38.107819999999997</v>
      </c>
      <c r="E79" s="161">
        <v>-122.02540999999999</v>
      </c>
      <c r="F79" s="161" t="s">
        <v>5697</v>
      </c>
      <c r="G79" s="161" t="s">
        <v>27</v>
      </c>
      <c r="H79" s="161" t="s">
        <v>173</v>
      </c>
      <c r="I79" s="151">
        <v>0.3354166666666667</v>
      </c>
      <c r="J79" s="161" t="s">
        <v>50</v>
      </c>
      <c r="K79" s="161" t="s">
        <v>50</v>
      </c>
      <c r="L79" s="161" t="s">
        <v>50</v>
      </c>
      <c r="M79" s="161" t="s">
        <v>50</v>
      </c>
      <c r="N79" s="161" t="s">
        <v>50</v>
      </c>
      <c r="O79" s="161" t="s">
        <v>48</v>
      </c>
      <c r="P79" s="161">
        <v>0</v>
      </c>
      <c r="Q79" s="279" t="s">
        <v>50</v>
      </c>
      <c r="R79" s="157" t="s">
        <v>50</v>
      </c>
      <c r="S79" s="158" t="s">
        <v>50</v>
      </c>
      <c r="T79" s="158" t="s">
        <v>50</v>
      </c>
      <c r="U79" s="157" t="s">
        <v>50</v>
      </c>
      <c r="V79" s="158" t="s">
        <v>50</v>
      </c>
      <c r="W79" s="158" t="s">
        <v>50</v>
      </c>
      <c r="X79" s="157" t="s">
        <v>50</v>
      </c>
      <c r="Y79" s="152" t="s">
        <v>3595</v>
      </c>
    </row>
    <row r="80" spans="1:25" s="149" customFormat="1" x14ac:dyDescent="0.25">
      <c r="A80" s="178">
        <v>43293</v>
      </c>
      <c r="B80" s="149" t="s">
        <v>105</v>
      </c>
      <c r="C80" s="161" t="s">
        <v>62</v>
      </c>
      <c r="D80" s="161">
        <v>38.116500000000002</v>
      </c>
      <c r="E80" s="161">
        <v>-122.51479999999999</v>
      </c>
      <c r="F80" s="161" t="s">
        <v>5698</v>
      </c>
      <c r="G80" s="161" t="s">
        <v>27</v>
      </c>
      <c r="H80" s="161" t="s">
        <v>173</v>
      </c>
      <c r="I80" s="151">
        <v>0.33611111111111103</v>
      </c>
      <c r="J80" s="161" t="s">
        <v>50</v>
      </c>
      <c r="K80" s="161" t="s">
        <v>50</v>
      </c>
      <c r="L80" s="161" t="s">
        <v>50</v>
      </c>
      <c r="M80" s="161" t="s">
        <v>50</v>
      </c>
      <c r="N80" s="161" t="s">
        <v>50</v>
      </c>
      <c r="O80" s="161" t="s">
        <v>48</v>
      </c>
      <c r="P80" s="161">
        <v>0</v>
      </c>
      <c r="Q80" s="279" t="s">
        <v>50</v>
      </c>
      <c r="R80" s="157" t="s">
        <v>50</v>
      </c>
      <c r="S80" s="158" t="s">
        <v>50</v>
      </c>
      <c r="T80" s="158" t="s">
        <v>50</v>
      </c>
      <c r="U80" s="157" t="s">
        <v>50</v>
      </c>
      <c r="V80" s="158" t="s">
        <v>50</v>
      </c>
      <c r="W80" s="158" t="s">
        <v>50</v>
      </c>
      <c r="X80" s="157" t="s">
        <v>50</v>
      </c>
      <c r="Y80" s="152" t="s">
        <v>3595</v>
      </c>
    </row>
    <row r="81" spans="1:25" s="149" customFormat="1" x14ac:dyDescent="0.25">
      <c r="A81" s="178">
        <v>43293</v>
      </c>
      <c r="B81" s="149" t="s">
        <v>105</v>
      </c>
      <c r="C81" s="161" t="s">
        <v>62</v>
      </c>
      <c r="D81" s="161">
        <v>38.12491</v>
      </c>
      <c r="E81" s="161">
        <v>-122.04236</v>
      </c>
      <c r="F81" s="161" t="s">
        <v>5699</v>
      </c>
      <c r="G81" s="161" t="s">
        <v>27</v>
      </c>
      <c r="H81" s="161" t="s">
        <v>173</v>
      </c>
      <c r="I81" s="151">
        <v>0.33680555555555503</v>
      </c>
      <c r="J81" s="161" t="s">
        <v>50</v>
      </c>
      <c r="K81" s="161" t="s">
        <v>50</v>
      </c>
      <c r="L81" s="161" t="s">
        <v>50</v>
      </c>
      <c r="M81" s="161" t="s">
        <v>50</v>
      </c>
      <c r="N81" s="161" t="s">
        <v>50</v>
      </c>
      <c r="O81" s="161" t="s">
        <v>48</v>
      </c>
      <c r="P81" s="161">
        <v>0</v>
      </c>
      <c r="Q81" s="279" t="s">
        <v>50</v>
      </c>
      <c r="R81" s="157" t="s">
        <v>50</v>
      </c>
      <c r="S81" s="158" t="s">
        <v>50</v>
      </c>
      <c r="T81" s="158" t="s">
        <v>50</v>
      </c>
      <c r="U81" s="157" t="s">
        <v>50</v>
      </c>
      <c r="V81" s="158" t="s">
        <v>50</v>
      </c>
      <c r="W81" s="158" t="s">
        <v>50</v>
      </c>
      <c r="X81" s="157" t="s">
        <v>50</v>
      </c>
      <c r="Y81" s="152" t="s">
        <v>3595</v>
      </c>
    </row>
    <row r="82" spans="1:25" s="149" customFormat="1" x14ac:dyDescent="0.25">
      <c r="A82" s="178">
        <v>43293</v>
      </c>
      <c r="B82" s="149" t="s">
        <v>105</v>
      </c>
      <c r="C82" s="161" t="s">
        <v>62</v>
      </c>
      <c r="D82" s="161">
        <v>38.128340000000001</v>
      </c>
      <c r="E82" s="161">
        <v>-122.02545000000001</v>
      </c>
      <c r="F82" s="161" t="s">
        <v>5700</v>
      </c>
      <c r="G82" s="161" t="s">
        <v>27</v>
      </c>
      <c r="H82" s="161" t="s">
        <v>173</v>
      </c>
      <c r="I82" s="151">
        <v>0.33750000000000002</v>
      </c>
      <c r="J82" s="161" t="s">
        <v>50</v>
      </c>
      <c r="K82" s="161" t="s">
        <v>50</v>
      </c>
      <c r="L82" s="161" t="s">
        <v>50</v>
      </c>
      <c r="M82" s="161" t="s">
        <v>50</v>
      </c>
      <c r="N82" s="161" t="s">
        <v>50</v>
      </c>
      <c r="O82" s="161" t="s">
        <v>48</v>
      </c>
      <c r="P82" s="161">
        <v>0</v>
      </c>
      <c r="Q82" s="279" t="s">
        <v>50</v>
      </c>
      <c r="R82" s="157" t="s">
        <v>50</v>
      </c>
      <c r="S82" s="158" t="s">
        <v>50</v>
      </c>
      <c r="T82" s="158" t="s">
        <v>50</v>
      </c>
      <c r="U82" s="157" t="s">
        <v>50</v>
      </c>
      <c r="V82" s="158" t="s">
        <v>50</v>
      </c>
      <c r="W82" s="158" t="s">
        <v>50</v>
      </c>
      <c r="X82" s="157" t="s">
        <v>50</v>
      </c>
      <c r="Y82" s="152" t="s">
        <v>3595</v>
      </c>
    </row>
    <row r="83" spans="1:25" s="149" customFormat="1" x14ac:dyDescent="0.25">
      <c r="A83" s="178">
        <v>43293</v>
      </c>
      <c r="B83" s="149" t="s">
        <v>105</v>
      </c>
      <c r="C83" s="161" t="s">
        <v>62</v>
      </c>
      <c r="D83" s="161">
        <v>38.1081</v>
      </c>
      <c r="E83" s="161">
        <v>-122.05839</v>
      </c>
      <c r="F83" s="161" t="s">
        <v>5701</v>
      </c>
      <c r="G83" s="161" t="s">
        <v>27</v>
      </c>
      <c r="H83" s="161" t="s">
        <v>173</v>
      </c>
      <c r="I83" s="151">
        <v>0.33819444444444402</v>
      </c>
      <c r="J83" s="161" t="s">
        <v>50</v>
      </c>
      <c r="K83" s="161" t="s">
        <v>50</v>
      </c>
      <c r="L83" s="161" t="s">
        <v>50</v>
      </c>
      <c r="M83" s="161" t="s">
        <v>50</v>
      </c>
      <c r="N83" s="161" t="s">
        <v>50</v>
      </c>
      <c r="O83" s="161" t="s">
        <v>48</v>
      </c>
      <c r="P83" s="161">
        <v>0</v>
      </c>
      <c r="Q83" s="279" t="s">
        <v>50</v>
      </c>
      <c r="R83" s="157" t="s">
        <v>50</v>
      </c>
      <c r="S83" s="158" t="s">
        <v>50</v>
      </c>
      <c r="T83" s="158" t="s">
        <v>50</v>
      </c>
      <c r="U83" s="157" t="s">
        <v>50</v>
      </c>
      <c r="V83" s="158" t="s">
        <v>50</v>
      </c>
      <c r="W83" s="158" t="s">
        <v>50</v>
      </c>
      <c r="X83" s="157" t="s">
        <v>50</v>
      </c>
      <c r="Y83" s="152" t="s">
        <v>3595</v>
      </c>
    </row>
    <row r="84" spans="1:25" s="149" customFormat="1" x14ac:dyDescent="0.25">
      <c r="A84" s="178">
        <v>43293</v>
      </c>
      <c r="B84" s="149" t="s">
        <v>105</v>
      </c>
      <c r="C84" s="161" t="s">
        <v>62</v>
      </c>
      <c r="D84" s="161">
        <v>38.120199999999997</v>
      </c>
      <c r="E84" s="161">
        <v>-122.02574</v>
      </c>
      <c r="F84" s="161" t="s">
        <v>5702</v>
      </c>
      <c r="G84" s="161" t="s">
        <v>27</v>
      </c>
      <c r="H84" s="161" t="s">
        <v>173</v>
      </c>
      <c r="I84" s="151">
        <v>0.33888888888888902</v>
      </c>
      <c r="J84" s="161" t="s">
        <v>50</v>
      </c>
      <c r="K84" s="161" t="s">
        <v>50</v>
      </c>
      <c r="L84" s="161" t="s">
        <v>50</v>
      </c>
      <c r="M84" s="161" t="s">
        <v>50</v>
      </c>
      <c r="N84" s="161" t="s">
        <v>50</v>
      </c>
      <c r="O84" s="161" t="s">
        <v>48</v>
      </c>
      <c r="P84" s="161">
        <v>0</v>
      </c>
      <c r="Q84" s="279" t="s">
        <v>50</v>
      </c>
      <c r="R84" s="157" t="s">
        <v>50</v>
      </c>
      <c r="S84" s="158" t="s">
        <v>50</v>
      </c>
      <c r="T84" s="158" t="s">
        <v>50</v>
      </c>
      <c r="U84" s="157" t="s">
        <v>50</v>
      </c>
      <c r="V84" s="158" t="s">
        <v>50</v>
      </c>
      <c r="W84" s="158" t="s">
        <v>50</v>
      </c>
      <c r="X84" s="157" t="s">
        <v>50</v>
      </c>
      <c r="Y84" s="152" t="s">
        <v>3595</v>
      </c>
    </row>
    <row r="85" spans="1:25" s="149" customFormat="1" x14ac:dyDescent="0.25">
      <c r="A85" s="178">
        <v>43293</v>
      </c>
      <c r="B85" s="149" t="s">
        <v>105</v>
      </c>
      <c r="C85" s="161" t="s">
        <v>62</v>
      </c>
      <c r="D85" s="161">
        <v>38.131</v>
      </c>
      <c r="E85" s="161">
        <v>-122.03076</v>
      </c>
      <c r="F85" s="161" t="s">
        <v>5703</v>
      </c>
      <c r="G85" s="161" t="s">
        <v>27</v>
      </c>
      <c r="H85" s="161" t="s">
        <v>173</v>
      </c>
      <c r="I85" s="151">
        <v>0.33958333333333302</v>
      </c>
      <c r="J85" s="161" t="s">
        <v>50</v>
      </c>
      <c r="K85" s="161" t="s">
        <v>50</v>
      </c>
      <c r="L85" s="161" t="s">
        <v>50</v>
      </c>
      <c r="M85" s="161" t="s">
        <v>50</v>
      </c>
      <c r="N85" s="161" t="s">
        <v>50</v>
      </c>
      <c r="O85" s="161" t="s">
        <v>48</v>
      </c>
      <c r="P85" s="161">
        <v>0</v>
      </c>
      <c r="Q85" s="279" t="s">
        <v>50</v>
      </c>
      <c r="R85" s="157" t="s">
        <v>50</v>
      </c>
      <c r="S85" s="158" t="s">
        <v>50</v>
      </c>
      <c r="T85" s="158" t="s">
        <v>50</v>
      </c>
      <c r="U85" s="157" t="s">
        <v>50</v>
      </c>
      <c r="V85" s="158" t="s">
        <v>50</v>
      </c>
      <c r="W85" s="158" t="s">
        <v>50</v>
      </c>
      <c r="X85" s="157" t="s">
        <v>50</v>
      </c>
      <c r="Y85" s="152" t="s">
        <v>3595</v>
      </c>
    </row>
    <row r="86" spans="1:25" s="149" customFormat="1" x14ac:dyDescent="0.25">
      <c r="A86" s="178">
        <v>43293</v>
      </c>
      <c r="B86" s="149" t="s">
        <v>105</v>
      </c>
      <c r="C86" s="161" t="s">
        <v>62</v>
      </c>
      <c r="D86" s="161">
        <v>38.109220000000001</v>
      </c>
      <c r="E86" s="161">
        <v>-122.00346</v>
      </c>
      <c r="F86" s="161" t="s">
        <v>5704</v>
      </c>
      <c r="G86" s="161" t="s">
        <v>27</v>
      </c>
      <c r="H86" s="161" t="s">
        <v>173</v>
      </c>
      <c r="I86" s="151">
        <v>0.34027777777777701</v>
      </c>
      <c r="J86" s="161" t="s">
        <v>50</v>
      </c>
      <c r="K86" s="161" t="s">
        <v>50</v>
      </c>
      <c r="L86" s="161" t="s">
        <v>50</v>
      </c>
      <c r="M86" s="161" t="s">
        <v>50</v>
      </c>
      <c r="N86" s="161" t="s">
        <v>50</v>
      </c>
      <c r="O86" s="161" t="s">
        <v>48</v>
      </c>
      <c r="P86" s="161">
        <v>0</v>
      </c>
      <c r="Q86" s="279" t="s">
        <v>50</v>
      </c>
      <c r="R86" s="157" t="s">
        <v>50</v>
      </c>
      <c r="S86" s="158" t="s">
        <v>50</v>
      </c>
      <c r="T86" s="158" t="s">
        <v>50</v>
      </c>
      <c r="U86" s="157" t="s">
        <v>50</v>
      </c>
      <c r="V86" s="158" t="s">
        <v>50</v>
      </c>
      <c r="W86" s="158" t="s">
        <v>50</v>
      </c>
      <c r="X86" s="157" t="s">
        <v>50</v>
      </c>
      <c r="Y86" s="152" t="s">
        <v>3595</v>
      </c>
    </row>
    <row r="87" spans="1:25" s="149" customFormat="1" x14ac:dyDescent="0.25">
      <c r="A87" s="178">
        <v>43293</v>
      </c>
      <c r="B87" s="149" t="s">
        <v>105</v>
      </c>
      <c r="C87" s="161" t="s">
        <v>62</v>
      </c>
      <c r="D87" s="161">
        <v>38.121569999999998</v>
      </c>
      <c r="E87" s="161">
        <v>-122.02462</v>
      </c>
      <c r="F87" s="161" t="s">
        <v>5705</v>
      </c>
      <c r="G87" s="161" t="s">
        <v>27</v>
      </c>
      <c r="H87" s="161" t="s">
        <v>173</v>
      </c>
      <c r="I87" s="151">
        <v>0.34097222222222201</v>
      </c>
      <c r="J87" s="161" t="s">
        <v>50</v>
      </c>
      <c r="K87" s="161" t="s">
        <v>50</v>
      </c>
      <c r="L87" s="161" t="s">
        <v>50</v>
      </c>
      <c r="M87" s="161" t="s">
        <v>50</v>
      </c>
      <c r="N87" s="161" t="s">
        <v>50</v>
      </c>
      <c r="O87" s="161" t="s">
        <v>48</v>
      </c>
      <c r="P87" s="161">
        <v>0</v>
      </c>
      <c r="Q87" s="279" t="s">
        <v>50</v>
      </c>
      <c r="R87" s="157" t="s">
        <v>50</v>
      </c>
      <c r="S87" s="158" t="s">
        <v>50</v>
      </c>
      <c r="T87" s="158" t="s">
        <v>50</v>
      </c>
      <c r="U87" s="157" t="s">
        <v>50</v>
      </c>
      <c r="V87" s="158" t="s">
        <v>50</v>
      </c>
      <c r="W87" s="158" t="s">
        <v>50</v>
      </c>
      <c r="X87" s="157" t="s">
        <v>50</v>
      </c>
      <c r="Y87" s="152" t="s">
        <v>3595</v>
      </c>
    </row>
    <row r="88" spans="1:25" s="361" customFormat="1" x14ac:dyDescent="0.25">
      <c r="A88" s="360">
        <v>43294</v>
      </c>
      <c r="B88" s="361" t="s">
        <v>125</v>
      </c>
      <c r="C88" s="361" t="s">
        <v>62</v>
      </c>
      <c r="D88" s="362">
        <v>38.176609999999997</v>
      </c>
      <c r="E88" s="362">
        <v>-121.92021</v>
      </c>
      <c r="F88" s="361" t="s">
        <v>5706</v>
      </c>
      <c r="G88" s="361" t="s">
        <v>27</v>
      </c>
      <c r="H88" s="361" t="s">
        <v>62</v>
      </c>
      <c r="I88" s="363">
        <v>0.35902777777777778</v>
      </c>
      <c r="J88" s="364">
        <v>8709.6666666666661</v>
      </c>
      <c r="K88" s="364">
        <v>22.033333333333331</v>
      </c>
      <c r="L88" s="364">
        <v>35.666666666666671</v>
      </c>
      <c r="M88" s="364">
        <v>0.39333333333333331</v>
      </c>
      <c r="N88" s="365">
        <v>4.8500000000000005</v>
      </c>
      <c r="O88" s="361" t="s">
        <v>48</v>
      </c>
      <c r="P88" s="361">
        <v>6</v>
      </c>
      <c r="Q88" s="361">
        <v>10</v>
      </c>
      <c r="R88" s="361" t="s">
        <v>64</v>
      </c>
      <c r="S88" s="361" t="s">
        <v>50</v>
      </c>
      <c r="T88" s="361" t="s">
        <v>50</v>
      </c>
      <c r="U88" s="361" t="s">
        <v>50</v>
      </c>
      <c r="V88" s="361" t="s">
        <v>50</v>
      </c>
      <c r="W88" s="361" t="s">
        <v>50</v>
      </c>
      <c r="X88" s="361" t="s">
        <v>50</v>
      </c>
      <c r="Y88" s="366" t="s">
        <v>5707</v>
      </c>
    </row>
    <row r="89" spans="1:25" x14ac:dyDescent="0.25">
      <c r="A89" s="26">
        <v>43297</v>
      </c>
      <c r="B89" s="27" t="s">
        <v>43</v>
      </c>
      <c r="C89" s="27" t="s">
        <v>78</v>
      </c>
      <c r="D89" s="89">
        <v>38.081299999999999</v>
      </c>
      <c r="E89" s="89">
        <v>-122.06449000000001</v>
      </c>
      <c r="F89" s="27" t="s">
        <v>5708</v>
      </c>
      <c r="G89" s="27" t="s">
        <v>80</v>
      </c>
      <c r="H89" s="27" t="s">
        <v>81</v>
      </c>
      <c r="I89" s="84">
        <v>0.39861111111111108</v>
      </c>
      <c r="J89" s="82">
        <v>17086.166666666668</v>
      </c>
      <c r="K89" s="82">
        <v>20.266666666666666</v>
      </c>
      <c r="L89" s="82">
        <v>149.70000000000002</v>
      </c>
      <c r="M89" s="82">
        <v>0.19000000000000003</v>
      </c>
      <c r="N89" s="4">
        <v>5.333333333333333</v>
      </c>
      <c r="O89" s="27" t="s">
        <v>48</v>
      </c>
      <c r="P89" s="27">
        <v>6</v>
      </c>
      <c r="Q89" s="27">
        <v>10</v>
      </c>
      <c r="R89" s="27" t="s">
        <v>49</v>
      </c>
      <c r="S89" s="40" t="s">
        <v>50</v>
      </c>
      <c r="T89" s="40" t="s">
        <v>50</v>
      </c>
      <c r="U89" s="235" t="s">
        <v>50</v>
      </c>
      <c r="V89" s="40" t="s">
        <v>50</v>
      </c>
      <c r="W89" s="40" t="s">
        <v>50</v>
      </c>
      <c r="X89" s="235" t="s">
        <v>50</v>
      </c>
    </row>
    <row r="90" spans="1:25" s="149" customFormat="1" x14ac:dyDescent="0.25">
      <c r="A90" s="178">
        <v>43297</v>
      </c>
      <c r="B90" s="149" t="s">
        <v>43</v>
      </c>
      <c r="C90" s="149" t="s">
        <v>78</v>
      </c>
      <c r="D90" s="150">
        <v>38.043729999999996</v>
      </c>
      <c r="E90" s="150">
        <v>-122.102</v>
      </c>
      <c r="F90" s="149" t="s">
        <v>5709</v>
      </c>
      <c r="G90" s="149" t="s">
        <v>80</v>
      </c>
      <c r="H90" s="149" t="s">
        <v>81</v>
      </c>
      <c r="I90" s="151">
        <v>0.37986111111111115</v>
      </c>
      <c r="J90" s="161" t="s">
        <v>50</v>
      </c>
      <c r="K90" s="161" t="s">
        <v>50</v>
      </c>
      <c r="L90" s="161" t="s">
        <v>50</v>
      </c>
      <c r="M90" s="161" t="s">
        <v>50</v>
      </c>
      <c r="N90" s="161" t="s">
        <v>50</v>
      </c>
      <c r="O90" s="161" t="s">
        <v>48</v>
      </c>
      <c r="P90" s="161">
        <v>0</v>
      </c>
      <c r="Q90" s="279" t="s">
        <v>50</v>
      </c>
      <c r="R90" s="157" t="s">
        <v>50</v>
      </c>
      <c r="S90" s="158" t="s">
        <v>50</v>
      </c>
      <c r="T90" s="158" t="s">
        <v>50</v>
      </c>
      <c r="U90" s="157" t="s">
        <v>50</v>
      </c>
      <c r="V90" s="158" t="s">
        <v>50</v>
      </c>
      <c r="W90" s="158" t="s">
        <v>50</v>
      </c>
      <c r="X90" s="157" t="s">
        <v>50</v>
      </c>
      <c r="Y90" s="152" t="s">
        <v>3595</v>
      </c>
    </row>
    <row r="91" spans="1:25" x14ac:dyDescent="0.25">
      <c r="A91" s="26">
        <v>43297</v>
      </c>
      <c r="B91" s="27" t="s">
        <v>43</v>
      </c>
      <c r="C91" s="27" t="s">
        <v>845</v>
      </c>
      <c r="D91" s="89">
        <v>38.251649999999998</v>
      </c>
      <c r="E91" s="89">
        <v>-121.72226000000001</v>
      </c>
      <c r="F91" s="27" t="s">
        <v>5710</v>
      </c>
      <c r="G91" s="27" t="s">
        <v>90</v>
      </c>
      <c r="H91" s="27" t="s">
        <v>126</v>
      </c>
      <c r="I91" s="84">
        <v>0.32916666666666666</v>
      </c>
      <c r="J91" s="82">
        <v>146.51666666666668</v>
      </c>
      <c r="K91" s="82">
        <v>21.716666666666669</v>
      </c>
      <c r="L91" s="82">
        <v>6.3233333333333333</v>
      </c>
      <c r="M91" s="82">
        <v>1.42</v>
      </c>
      <c r="N91" s="4">
        <v>5.9283333333333337</v>
      </c>
      <c r="O91" s="27" t="s">
        <v>48</v>
      </c>
      <c r="P91" s="27">
        <v>6</v>
      </c>
      <c r="Q91" s="27">
        <v>10</v>
      </c>
      <c r="R91" s="27" t="s">
        <v>49</v>
      </c>
      <c r="S91" s="40" t="s">
        <v>50</v>
      </c>
      <c r="T91" s="40" t="s">
        <v>50</v>
      </c>
      <c r="U91" s="235" t="s">
        <v>50</v>
      </c>
      <c r="V91" s="40" t="s">
        <v>50</v>
      </c>
      <c r="W91" s="40" t="s">
        <v>50</v>
      </c>
      <c r="X91" s="235" t="s">
        <v>50</v>
      </c>
    </row>
    <row r="92" spans="1:25" x14ac:dyDescent="0.25">
      <c r="A92" s="26">
        <v>43297</v>
      </c>
      <c r="B92" s="27" t="s">
        <v>43</v>
      </c>
      <c r="C92" s="27" t="s">
        <v>845</v>
      </c>
      <c r="D92" s="89">
        <v>38.245899999999999</v>
      </c>
      <c r="E92" s="89">
        <v>-121.67733</v>
      </c>
      <c r="F92" s="27" t="s">
        <v>5711</v>
      </c>
      <c r="G92" s="27" t="s">
        <v>90</v>
      </c>
      <c r="H92" s="27" t="s">
        <v>126</v>
      </c>
      <c r="I92" s="84">
        <v>0.44375000000000003</v>
      </c>
      <c r="J92" s="82">
        <v>114.26666666666669</v>
      </c>
      <c r="K92" s="82">
        <v>21.933333333333337</v>
      </c>
      <c r="L92" s="82">
        <v>14.366666666666665</v>
      </c>
      <c r="M92" s="82">
        <v>0.71666666666666667</v>
      </c>
      <c r="N92" s="4">
        <v>6.45</v>
      </c>
      <c r="O92" s="27" t="s">
        <v>48</v>
      </c>
      <c r="P92" s="27">
        <v>6</v>
      </c>
      <c r="Q92" s="27">
        <v>10</v>
      </c>
      <c r="R92" s="27" t="s">
        <v>49</v>
      </c>
      <c r="S92" s="40" t="s">
        <v>50</v>
      </c>
      <c r="T92" s="40" t="s">
        <v>50</v>
      </c>
      <c r="U92" s="235" t="s">
        <v>50</v>
      </c>
      <c r="V92" s="40" t="s">
        <v>50</v>
      </c>
      <c r="W92" s="40" t="s">
        <v>50</v>
      </c>
      <c r="X92" s="235" t="s">
        <v>50</v>
      </c>
    </row>
    <row r="93" spans="1:25" s="149" customFormat="1" x14ac:dyDescent="0.25">
      <c r="A93" s="178">
        <v>43297</v>
      </c>
      <c r="B93" s="149" t="s">
        <v>43</v>
      </c>
      <c r="C93" s="149" t="s">
        <v>845</v>
      </c>
      <c r="D93" s="150">
        <v>38.395989999999998</v>
      </c>
      <c r="E93" s="150">
        <v>-121.623</v>
      </c>
      <c r="F93" s="149" t="s">
        <v>5712</v>
      </c>
      <c r="G93" s="149" t="s">
        <v>90</v>
      </c>
      <c r="H93" s="149" t="s">
        <v>126</v>
      </c>
      <c r="I93" s="151">
        <v>0.3125</v>
      </c>
      <c r="J93" s="161" t="s">
        <v>50</v>
      </c>
      <c r="K93" s="161" t="s">
        <v>50</v>
      </c>
      <c r="L93" s="161" t="s">
        <v>50</v>
      </c>
      <c r="M93" s="161" t="s">
        <v>50</v>
      </c>
      <c r="N93" s="161" t="s">
        <v>50</v>
      </c>
      <c r="O93" s="161" t="s">
        <v>48</v>
      </c>
      <c r="P93" s="161">
        <v>0</v>
      </c>
      <c r="Q93" s="279" t="s">
        <v>50</v>
      </c>
      <c r="R93" s="157" t="s">
        <v>50</v>
      </c>
      <c r="S93" s="158" t="s">
        <v>50</v>
      </c>
      <c r="T93" s="158" t="s">
        <v>50</v>
      </c>
      <c r="U93" s="157" t="s">
        <v>50</v>
      </c>
      <c r="V93" s="158" t="s">
        <v>50</v>
      </c>
      <c r="W93" s="158" t="s">
        <v>50</v>
      </c>
      <c r="X93" s="157" t="s">
        <v>50</v>
      </c>
      <c r="Y93" s="152" t="s">
        <v>5713</v>
      </c>
    </row>
    <row r="94" spans="1:25" x14ac:dyDescent="0.25">
      <c r="A94" s="26">
        <v>43297</v>
      </c>
      <c r="B94" s="27" t="s">
        <v>43</v>
      </c>
      <c r="C94" s="27" t="s">
        <v>95</v>
      </c>
      <c r="D94" s="89">
        <v>38.054510000000001</v>
      </c>
      <c r="E94" s="89">
        <v>-121.51477</v>
      </c>
      <c r="F94" s="27" t="s">
        <v>5714</v>
      </c>
      <c r="G94" s="27" t="s">
        <v>46</v>
      </c>
      <c r="H94" s="27" t="s">
        <v>5685</v>
      </c>
      <c r="I94" s="84">
        <v>0.3430555555555555</v>
      </c>
      <c r="J94" s="82">
        <v>156.04999999999998</v>
      </c>
      <c r="K94" s="82">
        <v>23.45</v>
      </c>
      <c r="L94" s="82">
        <v>89.793333333333337</v>
      </c>
      <c r="M94" s="82">
        <v>1.5916666666666668</v>
      </c>
      <c r="N94" s="4">
        <v>14.533333333333331</v>
      </c>
      <c r="O94" s="27" t="s">
        <v>48</v>
      </c>
      <c r="P94" s="27">
        <v>6</v>
      </c>
      <c r="Q94" s="27">
        <v>10</v>
      </c>
      <c r="R94" s="27" t="s">
        <v>64</v>
      </c>
      <c r="S94" s="40" t="s">
        <v>50</v>
      </c>
      <c r="T94" s="40" t="s">
        <v>50</v>
      </c>
      <c r="U94" s="235" t="s">
        <v>50</v>
      </c>
      <c r="V94" s="40" t="s">
        <v>50</v>
      </c>
      <c r="W94" s="40" t="s">
        <v>50</v>
      </c>
      <c r="X94" s="235" t="s">
        <v>50</v>
      </c>
    </row>
    <row r="95" spans="1:25" x14ac:dyDescent="0.25">
      <c r="A95" s="26">
        <v>43297</v>
      </c>
      <c r="B95" s="27" t="s">
        <v>43</v>
      </c>
      <c r="C95" s="27" t="s">
        <v>95</v>
      </c>
      <c r="D95" s="89">
        <v>38.055819999999997</v>
      </c>
      <c r="E95" s="89">
        <v>-121.53061</v>
      </c>
      <c r="F95" s="27" t="s">
        <v>5715</v>
      </c>
      <c r="G95" s="27" t="s">
        <v>46</v>
      </c>
      <c r="H95" s="27" t="s">
        <v>5685</v>
      </c>
      <c r="I95" s="84">
        <v>0.41736111111111113</v>
      </c>
      <c r="J95" s="82">
        <v>157.56666666666666</v>
      </c>
      <c r="K95" s="82">
        <v>23.633333333333336</v>
      </c>
      <c r="L95" s="82">
        <v>5.666666666666667</v>
      </c>
      <c r="M95" s="82">
        <v>1.68</v>
      </c>
      <c r="N95" s="4">
        <v>12.516666666666666</v>
      </c>
      <c r="O95" s="27" t="s">
        <v>48</v>
      </c>
      <c r="P95" s="27">
        <v>6</v>
      </c>
      <c r="Q95" s="27">
        <v>10</v>
      </c>
      <c r="R95" s="27" t="s">
        <v>49</v>
      </c>
      <c r="S95" s="40" t="s">
        <v>50</v>
      </c>
      <c r="T95" s="40" t="s">
        <v>50</v>
      </c>
      <c r="U95" s="235" t="s">
        <v>50</v>
      </c>
      <c r="V95" s="40" t="s">
        <v>50</v>
      </c>
      <c r="W95" s="40" t="s">
        <v>50</v>
      </c>
      <c r="X95" s="235" t="s">
        <v>50</v>
      </c>
    </row>
    <row r="96" spans="1:25" x14ac:dyDescent="0.25">
      <c r="A96" s="26">
        <v>43297</v>
      </c>
      <c r="B96" s="27" t="s">
        <v>43</v>
      </c>
      <c r="C96" s="27" t="s">
        <v>95</v>
      </c>
      <c r="D96" s="89">
        <v>38.101529999999997</v>
      </c>
      <c r="E96" s="89">
        <v>-121.60296</v>
      </c>
      <c r="F96" s="27" t="s">
        <v>5716</v>
      </c>
      <c r="G96" s="27" t="s">
        <v>46</v>
      </c>
      <c r="H96" s="27" t="s">
        <v>5685</v>
      </c>
      <c r="I96" s="84">
        <v>0.52847222222222223</v>
      </c>
      <c r="J96" s="82">
        <v>133.61666666666665</v>
      </c>
      <c r="K96" s="82">
        <v>23.349999999999998</v>
      </c>
      <c r="L96" s="82">
        <v>20.48</v>
      </c>
      <c r="M96" s="82">
        <v>1.45</v>
      </c>
      <c r="N96" s="4">
        <v>11.733333333333333</v>
      </c>
      <c r="O96" s="27" t="s">
        <v>48</v>
      </c>
      <c r="P96" s="27">
        <v>6</v>
      </c>
      <c r="Q96" s="27">
        <v>10</v>
      </c>
      <c r="R96" s="27" t="s">
        <v>49</v>
      </c>
      <c r="S96" s="40" t="s">
        <v>50</v>
      </c>
      <c r="T96" s="40" t="s">
        <v>50</v>
      </c>
      <c r="U96" s="235" t="s">
        <v>50</v>
      </c>
      <c r="V96" s="40" t="s">
        <v>50</v>
      </c>
      <c r="W96" s="40" t="s">
        <v>50</v>
      </c>
      <c r="X96" s="235" t="s">
        <v>50</v>
      </c>
    </row>
    <row r="97" spans="1:25" x14ac:dyDescent="0.25">
      <c r="A97" s="26">
        <v>43298</v>
      </c>
      <c r="B97" s="27" t="s">
        <v>70</v>
      </c>
      <c r="C97" s="27" t="s">
        <v>845</v>
      </c>
      <c r="D97" s="89">
        <v>38.334679999999999</v>
      </c>
      <c r="E97" s="89">
        <v>-121.66728000000001</v>
      </c>
      <c r="F97" s="27" t="s">
        <v>5717</v>
      </c>
      <c r="G97" s="27" t="s">
        <v>90</v>
      </c>
      <c r="H97" s="27" t="s">
        <v>126</v>
      </c>
      <c r="I97" s="84">
        <v>0.32291666666666669</v>
      </c>
      <c r="J97" s="82">
        <v>190.25</v>
      </c>
      <c r="K97" s="82">
        <v>22.8</v>
      </c>
      <c r="L97" s="82">
        <v>13.149999999999999</v>
      </c>
      <c r="M97" s="82">
        <v>0.71333333333333337</v>
      </c>
      <c r="N97" s="4">
        <v>6.1833333333333327</v>
      </c>
      <c r="O97" s="27" t="s">
        <v>48</v>
      </c>
      <c r="P97" s="27">
        <v>6</v>
      </c>
      <c r="Q97" s="27">
        <v>10</v>
      </c>
      <c r="R97" s="27" t="s">
        <v>64</v>
      </c>
      <c r="S97" s="40" t="s">
        <v>50</v>
      </c>
      <c r="T97" s="40" t="s">
        <v>50</v>
      </c>
      <c r="U97" s="235" t="s">
        <v>50</v>
      </c>
      <c r="V97" s="40" t="s">
        <v>50</v>
      </c>
      <c r="W97" s="40" t="s">
        <v>50</v>
      </c>
      <c r="X97" s="235" t="s">
        <v>50</v>
      </c>
    </row>
    <row r="98" spans="1:25" x14ac:dyDescent="0.25">
      <c r="A98" s="26">
        <v>43298</v>
      </c>
      <c r="B98" s="27" t="s">
        <v>70</v>
      </c>
      <c r="C98" s="27" t="s">
        <v>845</v>
      </c>
      <c r="D98" s="89">
        <v>38.268459999999997</v>
      </c>
      <c r="E98" s="89">
        <v>-121.70578999999999</v>
      </c>
      <c r="F98" s="27" t="s">
        <v>5718</v>
      </c>
      <c r="G98" s="27" t="s">
        <v>90</v>
      </c>
      <c r="H98" s="27" t="s">
        <v>126</v>
      </c>
      <c r="I98" s="84">
        <v>0.42708333333333331</v>
      </c>
      <c r="J98" s="82">
        <v>142.88333333333333</v>
      </c>
      <c r="K98" s="82">
        <v>21.983333333333331</v>
      </c>
      <c r="L98" s="82">
        <v>6.9833333333333334</v>
      </c>
      <c r="M98" s="82">
        <v>1.3533333333333333</v>
      </c>
      <c r="N98" s="4">
        <v>4.42</v>
      </c>
      <c r="O98" s="27" t="s">
        <v>48</v>
      </c>
      <c r="P98" s="27">
        <v>6</v>
      </c>
      <c r="Q98" s="27">
        <v>10</v>
      </c>
      <c r="R98" s="27" t="s">
        <v>64</v>
      </c>
      <c r="S98" s="40" t="s">
        <v>50</v>
      </c>
      <c r="T98" s="40" t="s">
        <v>50</v>
      </c>
      <c r="U98" s="235" t="s">
        <v>50</v>
      </c>
      <c r="V98" s="40" t="s">
        <v>50</v>
      </c>
      <c r="W98" s="40" t="s">
        <v>50</v>
      </c>
      <c r="X98" s="235" t="s">
        <v>50</v>
      </c>
    </row>
    <row r="99" spans="1:25" x14ac:dyDescent="0.25">
      <c r="A99" s="26">
        <v>43298</v>
      </c>
      <c r="B99" s="27" t="s">
        <v>70</v>
      </c>
      <c r="C99" s="27" t="s">
        <v>95</v>
      </c>
      <c r="D99" s="89">
        <v>38.025570000000002</v>
      </c>
      <c r="E99" s="89">
        <v>-121.75069999999999</v>
      </c>
      <c r="F99" s="27" t="s">
        <v>5719</v>
      </c>
      <c r="G99" s="27" t="s">
        <v>27</v>
      </c>
      <c r="H99" s="27" t="s">
        <v>863</v>
      </c>
      <c r="I99" s="84">
        <v>0.34097222222222223</v>
      </c>
      <c r="J99" s="82">
        <v>1595.1666666666667</v>
      </c>
      <c r="K99" s="82">
        <v>21.7</v>
      </c>
      <c r="L99" s="82">
        <v>16.516666666666669</v>
      </c>
      <c r="M99" s="82">
        <v>0.78166666666666662</v>
      </c>
      <c r="N99" s="4">
        <v>7.8</v>
      </c>
      <c r="O99" s="27" t="s">
        <v>48</v>
      </c>
      <c r="P99" s="27">
        <v>6</v>
      </c>
      <c r="Q99" s="27">
        <v>10</v>
      </c>
      <c r="R99" s="27" t="s">
        <v>64</v>
      </c>
      <c r="S99" s="40" t="s">
        <v>50</v>
      </c>
      <c r="T99" s="40" t="s">
        <v>50</v>
      </c>
      <c r="U99" s="235" t="s">
        <v>50</v>
      </c>
      <c r="V99" s="40" t="s">
        <v>50</v>
      </c>
      <c r="W99" s="40" t="s">
        <v>50</v>
      </c>
      <c r="X99" s="235" t="s">
        <v>50</v>
      </c>
    </row>
    <row r="100" spans="1:25" x14ac:dyDescent="0.25">
      <c r="A100" s="26">
        <v>43298</v>
      </c>
      <c r="B100" s="27" t="s">
        <v>70</v>
      </c>
      <c r="C100" s="27" t="s">
        <v>95</v>
      </c>
      <c r="D100" s="89">
        <v>38.070740000000001</v>
      </c>
      <c r="E100" s="89">
        <v>-121.67559</v>
      </c>
      <c r="F100" s="27" t="s">
        <v>5720</v>
      </c>
      <c r="G100" s="27" t="s">
        <v>46</v>
      </c>
      <c r="H100" s="27" t="s">
        <v>5682</v>
      </c>
      <c r="I100" s="84">
        <v>0.42777777777777781</v>
      </c>
      <c r="J100" s="82">
        <v>465.91666666666669</v>
      </c>
      <c r="K100" s="82">
        <v>22.483333333333334</v>
      </c>
      <c r="L100" s="82">
        <v>9.18</v>
      </c>
      <c r="M100" s="82">
        <v>1.2050000000000001</v>
      </c>
      <c r="N100" s="4">
        <v>9.2166666666666668</v>
      </c>
      <c r="O100" s="27" t="s">
        <v>48</v>
      </c>
      <c r="P100" s="27">
        <v>6</v>
      </c>
      <c r="Q100" s="27">
        <v>10</v>
      </c>
      <c r="R100" s="27" t="s">
        <v>49</v>
      </c>
      <c r="S100" s="40" t="s">
        <v>50</v>
      </c>
      <c r="T100" s="40" t="s">
        <v>50</v>
      </c>
      <c r="U100" s="235" t="s">
        <v>50</v>
      </c>
      <c r="V100" s="40" t="s">
        <v>50</v>
      </c>
      <c r="W100" s="40" t="s">
        <v>50</v>
      </c>
      <c r="X100" s="235" t="s">
        <v>50</v>
      </c>
    </row>
    <row r="101" spans="1:25" x14ac:dyDescent="0.25">
      <c r="A101" s="26">
        <v>43298</v>
      </c>
      <c r="B101" s="27" t="s">
        <v>70</v>
      </c>
      <c r="C101" s="27" t="s">
        <v>95</v>
      </c>
      <c r="D101" s="89">
        <v>38.096640000000001</v>
      </c>
      <c r="E101" s="89">
        <v>-121.63097</v>
      </c>
      <c r="F101" s="27" t="s">
        <v>5721</v>
      </c>
      <c r="G101" s="27" t="s">
        <v>46</v>
      </c>
      <c r="H101" s="27" t="s">
        <v>5682</v>
      </c>
      <c r="I101" s="84">
        <v>0.50138888888888888</v>
      </c>
      <c r="J101" s="82">
        <v>173.30000000000004</v>
      </c>
      <c r="K101" s="82">
        <v>23.150000000000002</v>
      </c>
      <c r="L101" s="82">
        <v>8.8833333333333329</v>
      </c>
      <c r="M101" s="82">
        <v>1.3533333333333335</v>
      </c>
      <c r="N101" s="4">
        <v>13.25</v>
      </c>
      <c r="O101" s="27" t="s">
        <v>48</v>
      </c>
      <c r="P101" s="27">
        <v>6</v>
      </c>
      <c r="Q101" s="27">
        <v>10</v>
      </c>
      <c r="R101" s="27" t="s">
        <v>49</v>
      </c>
      <c r="S101" s="40" t="s">
        <v>50</v>
      </c>
      <c r="T101" s="40" t="s">
        <v>50</v>
      </c>
      <c r="U101" s="235" t="s">
        <v>50</v>
      </c>
      <c r="V101" s="40" t="s">
        <v>50</v>
      </c>
      <c r="W101" s="40" t="s">
        <v>50</v>
      </c>
      <c r="X101" s="235" t="s">
        <v>50</v>
      </c>
      <c r="Y101" s="35" t="s">
        <v>5722</v>
      </c>
    </row>
    <row r="102" spans="1:25" s="215" customFormat="1" x14ac:dyDescent="0.25">
      <c r="A102" s="495">
        <v>43298</v>
      </c>
      <c r="B102" s="494" t="s">
        <v>70</v>
      </c>
      <c r="C102" s="494" t="s">
        <v>78</v>
      </c>
      <c r="D102" s="496">
        <v>38.054960000000001</v>
      </c>
      <c r="E102" s="496">
        <v>-121.93971000000001</v>
      </c>
      <c r="F102" s="494" t="s">
        <v>5723</v>
      </c>
      <c r="G102" s="494" t="s">
        <v>27</v>
      </c>
      <c r="H102" s="494" t="s">
        <v>170</v>
      </c>
      <c r="I102" s="497">
        <v>0.35694444444444445</v>
      </c>
      <c r="J102" s="498">
        <v>10191</v>
      </c>
      <c r="K102" s="498">
        <v>20.6</v>
      </c>
      <c r="L102" s="498">
        <v>67.424999999999997</v>
      </c>
      <c r="M102" s="498">
        <v>0.27750000000000002</v>
      </c>
      <c r="N102" s="499">
        <v>5.8</v>
      </c>
      <c r="O102" s="494" t="s">
        <v>48</v>
      </c>
      <c r="P102" s="494">
        <v>4</v>
      </c>
      <c r="Q102" s="494">
        <v>10</v>
      </c>
      <c r="R102" s="494" t="s">
        <v>49</v>
      </c>
      <c r="S102" s="494" t="s">
        <v>323</v>
      </c>
      <c r="T102" s="494">
        <v>1</v>
      </c>
      <c r="U102" s="494">
        <v>54</v>
      </c>
      <c r="V102" s="494" t="s">
        <v>66</v>
      </c>
      <c r="W102" s="494" t="s">
        <v>50</v>
      </c>
      <c r="X102" s="494" t="s">
        <v>50</v>
      </c>
      <c r="Y102" s="455" t="s">
        <v>5724</v>
      </c>
    </row>
    <row r="103" spans="1:25" s="215" customFormat="1" x14ac:dyDescent="0.25">
      <c r="A103" s="495">
        <v>43298</v>
      </c>
      <c r="B103" s="494" t="s">
        <v>70</v>
      </c>
      <c r="C103" s="494" t="s">
        <v>78</v>
      </c>
      <c r="D103" s="496">
        <v>38.063580000000002</v>
      </c>
      <c r="E103" s="496">
        <v>-121.85397</v>
      </c>
      <c r="F103" s="494" t="s">
        <v>5725</v>
      </c>
      <c r="G103" s="494" t="s">
        <v>27</v>
      </c>
      <c r="H103" s="494" t="s">
        <v>101</v>
      </c>
      <c r="I103" s="497">
        <v>0.41875000000000001</v>
      </c>
      <c r="J103" s="498">
        <v>5426.333333333333</v>
      </c>
      <c r="K103" s="498">
        <v>21.349999999999998</v>
      </c>
      <c r="L103" s="498">
        <v>48.199999999999996</v>
      </c>
      <c r="M103" s="498">
        <v>0.42333333333333334</v>
      </c>
      <c r="N103" s="499">
        <v>14.883333333333333</v>
      </c>
      <c r="O103" s="494" t="s">
        <v>48</v>
      </c>
      <c r="P103" s="494">
        <v>6</v>
      </c>
      <c r="Q103" s="494">
        <v>10</v>
      </c>
      <c r="R103" s="494" t="s">
        <v>49</v>
      </c>
      <c r="S103" s="494" t="s">
        <v>323</v>
      </c>
      <c r="T103" s="494">
        <v>1</v>
      </c>
      <c r="U103" s="494">
        <v>46</v>
      </c>
      <c r="V103" s="494" t="s">
        <v>66</v>
      </c>
      <c r="W103" s="494" t="s">
        <v>50</v>
      </c>
      <c r="X103" s="494" t="s">
        <v>50</v>
      </c>
      <c r="Y103" s="455" t="s">
        <v>5604</v>
      </c>
    </row>
    <row r="104" spans="1:25" s="215" customFormat="1" x14ac:dyDescent="0.25">
      <c r="A104" s="495">
        <v>43299</v>
      </c>
      <c r="B104" s="494" t="s">
        <v>87</v>
      </c>
      <c r="C104" s="494" t="s">
        <v>106</v>
      </c>
      <c r="D104" s="496">
        <v>38.448090000000001</v>
      </c>
      <c r="E104" s="496">
        <v>-121.59529000000001</v>
      </c>
      <c r="F104" s="494" t="s">
        <v>5726</v>
      </c>
      <c r="G104" s="494" t="s">
        <v>90</v>
      </c>
      <c r="H104" s="494" t="s">
        <v>362</v>
      </c>
      <c r="I104" s="497">
        <v>0.3444444444444445</v>
      </c>
      <c r="J104" s="498">
        <v>662.5</v>
      </c>
      <c r="K104" s="498">
        <v>23.65</v>
      </c>
      <c r="L104" s="498">
        <v>247.6</v>
      </c>
      <c r="M104" s="498">
        <v>0.25</v>
      </c>
      <c r="N104" s="499">
        <v>9.0749999999999993</v>
      </c>
      <c r="O104" s="494" t="s">
        <v>48</v>
      </c>
      <c r="P104" s="494">
        <v>2</v>
      </c>
      <c r="Q104" s="494">
        <v>10</v>
      </c>
      <c r="R104" s="494" t="s">
        <v>64</v>
      </c>
      <c r="S104" s="494" t="s">
        <v>323</v>
      </c>
      <c r="T104" s="494">
        <v>1</v>
      </c>
      <c r="U104" s="494">
        <v>48</v>
      </c>
      <c r="V104" s="494" t="s">
        <v>66</v>
      </c>
      <c r="W104" s="494" t="s">
        <v>50</v>
      </c>
      <c r="X104" s="494" t="s">
        <v>50</v>
      </c>
      <c r="Y104" s="455" t="s">
        <v>5727</v>
      </c>
    </row>
    <row r="105" spans="1:25" x14ac:dyDescent="0.25">
      <c r="A105" s="26">
        <v>43299</v>
      </c>
      <c r="B105" s="27" t="s">
        <v>87</v>
      </c>
      <c r="C105" s="27" t="s">
        <v>106</v>
      </c>
      <c r="D105" s="89">
        <v>38.541130000000003</v>
      </c>
      <c r="E105" s="89">
        <v>-121.58432999999999</v>
      </c>
      <c r="F105" s="27" t="s">
        <v>5728</v>
      </c>
      <c r="G105" s="27" t="s">
        <v>90</v>
      </c>
      <c r="H105" s="27" t="s">
        <v>1787</v>
      </c>
      <c r="I105" s="84">
        <v>0.40972222222222227</v>
      </c>
      <c r="J105" s="82">
        <v>982.16666666666663</v>
      </c>
      <c r="K105" s="82">
        <v>25.216666666666665</v>
      </c>
      <c r="L105" s="82">
        <v>11.65</v>
      </c>
      <c r="M105" s="82">
        <v>0.755</v>
      </c>
      <c r="N105" s="4">
        <v>12.643333333333333</v>
      </c>
      <c r="O105" s="27" t="s">
        <v>48</v>
      </c>
      <c r="P105" s="27">
        <v>6</v>
      </c>
      <c r="Q105" s="27">
        <v>10</v>
      </c>
      <c r="R105" s="27" t="s">
        <v>64</v>
      </c>
      <c r="S105" s="40" t="s">
        <v>50</v>
      </c>
      <c r="T105" s="40" t="s">
        <v>50</v>
      </c>
      <c r="U105" s="235" t="s">
        <v>50</v>
      </c>
      <c r="V105" s="40" t="s">
        <v>50</v>
      </c>
      <c r="W105" s="40" t="s">
        <v>50</v>
      </c>
      <c r="X105" s="235" t="s">
        <v>50</v>
      </c>
    </row>
    <row r="106" spans="1:25" x14ac:dyDescent="0.25">
      <c r="A106" s="26">
        <v>43299</v>
      </c>
      <c r="B106" s="27" t="s">
        <v>87</v>
      </c>
      <c r="C106" s="27" t="s">
        <v>106</v>
      </c>
      <c r="D106" s="89">
        <v>38.286250000000003</v>
      </c>
      <c r="E106" s="89">
        <v>-121.65859</v>
      </c>
      <c r="F106" s="27" t="s">
        <v>5729</v>
      </c>
      <c r="G106" s="27" t="s">
        <v>90</v>
      </c>
      <c r="H106" s="27" t="s">
        <v>362</v>
      </c>
      <c r="I106" s="84">
        <v>0.50277777777777777</v>
      </c>
      <c r="J106" s="82">
        <v>195.47000000000003</v>
      </c>
      <c r="K106" s="82">
        <v>23.383333333333329</v>
      </c>
      <c r="L106" s="82">
        <v>14.75</v>
      </c>
      <c r="M106" s="82">
        <v>0.70666666666666667</v>
      </c>
      <c r="N106" s="4">
        <v>10.718333333333334</v>
      </c>
      <c r="O106" s="27" t="s">
        <v>48</v>
      </c>
      <c r="P106" s="27">
        <v>6</v>
      </c>
      <c r="Q106" s="27">
        <v>10</v>
      </c>
      <c r="R106" s="27" t="s">
        <v>49</v>
      </c>
      <c r="S106" s="40" t="s">
        <v>50</v>
      </c>
      <c r="T106" s="40" t="s">
        <v>50</v>
      </c>
      <c r="U106" s="235" t="s">
        <v>50</v>
      </c>
      <c r="V106" s="40" t="s">
        <v>50</v>
      </c>
      <c r="W106" s="40" t="s">
        <v>50</v>
      </c>
      <c r="X106" s="235" t="s">
        <v>50</v>
      </c>
    </row>
    <row r="107" spans="1:25" x14ac:dyDescent="0.25">
      <c r="A107" s="26">
        <v>43299</v>
      </c>
      <c r="B107" s="27" t="s">
        <v>87</v>
      </c>
      <c r="C107" s="27" t="s">
        <v>62</v>
      </c>
      <c r="D107" s="89">
        <v>38.17342</v>
      </c>
      <c r="E107" s="89">
        <v>-122.01761999999999</v>
      </c>
      <c r="F107" s="27" t="s">
        <v>5730</v>
      </c>
      <c r="G107" s="27" t="s">
        <v>27</v>
      </c>
      <c r="H107" s="27" t="s">
        <v>62</v>
      </c>
      <c r="I107" s="84">
        <v>0.39999999999999997</v>
      </c>
      <c r="J107" s="82">
        <v>12660.833333333334</v>
      </c>
      <c r="K107" s="82">
        <v>22.433333333333334</v>
      </c>
      <c r="L107" s="82">
        <v>45.85</v>
      </c>
      <c r="M107" s="82">
        <v>0.39166666666666666</v>
      </c>
      <c r="N107" s="4">
        <v>4.666666666666667</v>
      </c>
      <c r="O107" s="27" t="s">
        <v>48</v>
      </c>
      <c r="P107" s="27">
        <v>6</v>
      </c>
      <c r="Q107" s="27">
        <v>10</v>
      </c>
      <c r="R107" s="27" t="s">
        <v>49</v>
      </c>
      <c r="S107" s="40" t="s">
        <v>50</v>
      </c>
      <c r="T107" s="40" t="s">
        <v>50</v>
      </c>
      <c r="U107" s="235" t="s">
        <v>50</v>
      </c>
      <c r="V107" s="40" t="s">
        <v>50</v>
      </c>
      <c r="W107" s="40" t="s">
        <v>50</v>
      </c>
      <c r="X107" s="235" t="s">
        <v>50</v>
      </c>
      <c r="Y107" s="35" t="s">
        <v>5731</v>
      </c>
    </row>
    <row r="108" spans="1:25" x14ac:dyDescent="0.25">
      <c r="A108" s="26">
        <v>43299</v>
      </c>
      <c r="B108" s="27" t="s">
        <v>87</v>
      </c>
      <c r="C108" s="27" t="s">
        <v>62</v>
      </c>
      <c r="D108" s="89">
        <v>38.138480000000001</v>
      </c>
      <c r="E108" s="89">
        <v>-122.06157</v>
      </c>
      <c r="F108" s="27" t="s">
        <v>5732</v>
      </c>
      <c r="G108" s="27" t="s">
        <v>27</v>
      </c>
      <c r="H108" s="27" t="s">
        <v>62</v>
      </c>
      <c r="I108" s="84">
        <v>0.47500000000000003</v>
      </c>
      <c r="J108" s="82">
        <v>13708.166666666666</v>
      </c>
      <c r="K108" s="82">
        <v>22.416666666666668</v>
      </c>
      <c r="L108" s="82">
        <v>57.466666666666669</v>
      </c>
      <c r="M108" s="82">
        <v>0.28833333333333339</v>
      </c>
      <c r="N108" s="4">
        <v>13.566666666666665</v>
      </c>
      <c r="O108" s="27" t="s">
        <v>48</v>
      </c>
      <c r="P108" s="27">
        <v>6</v>
      </c>
      <c r="Q108" s="27">
        <v>10</v>
      </c>
      <c r="R108" s="27" t="s">
        <v>49</v>
      </c>
      <c r="S108" s="40" t="s">
        <v>50</v>
      </c>
      <c r="T108" s="40" t="s">
        <v>50</v>
      </c>
      <c r="U108" s="235" t="s">
        <v>50</v>
      </c>
      <c r="V108" s="40" t="s">
        <v>50</v>
      </c>
      <c r="W108" s="40" t="s">
        <v>50</v>
      </c>
      <c r="X108" s="235" t="s">
        <v>50</v>
      </c>
      <c r="Y108" s="35" t="s">
        <v>5733</v>
      </c>
    </row>
    <row r="109" spans="1:25" x14ac:dyDescent="0.25">
      <c r="A109" s="26">
        <v>43299</v>
      </c>
      <c r="B109" s="27" t="s">
        <v>87</v>
      </c>
      <c r="C109" s="27" t="s">
        <v>62</v>
      </c>
      <c r="D109" s="89">
        <v>38.119999999999997</v>
      </c>
      <c r="E109" s="89">
        <v>-122.05713</v>
      </c>
      <c r="F109" s="27" t="s">
        <v>5734</v>
      </c>
      <c r="G109" s="27" t="s">
        <v>27</v>
      </c>
      <c r="H109" s="27" t="s">
        <v>62</v>
      </c>
      <c r="I109" s="84">
        <v>0.54652777777777783</v>
      </c>
      <c r="J109" s="82">
        <v>13710.5</v>
      </c>
      <c r="K109" s="82">
        <v>22.316666666666666</v>
      </c>
      <c r="L109" s="82">
        <v>66.266666666666666</v>
      </c>
      <c r="M109" s="82">
        <v>0.34166666666666662</v>
      </c>
      <c r="N109" s="4">
        <v>2.8333333333333335</v>
      </c>
      <c r="O109" s="27" t="s">
        <v>48</v>
      </c>
      <c r="P109" s="27">
        <v>6</v>
      </c>
      <c r="Q109" s="27">
        <v>10</v>
      </c>
      <c r="R109" s="27" t="s">
        <v>49</v>
      </c>
      <c r="S109" s="27" t="s">
        <v>50</v>
      </c>
      <c r="T109" s="27" t="s">
        <v>50</v>
      </c>
      <c r="U109" s="27" t="s">
        <v>50</v>
      </c>
      <c r="V109" s="27" t="s">
        <v>50</v>
      </c>
      <c r="W109" s="27" t="s">
        <v>50</v>
      </c>
      <c r="X109" s="27" t="s">
        <v>50</v>
      </c>
      <c r="Y109" s="35" t="s">
        <v>5735</v>
      </c>
    </row>
    <row r="110" spans="1:25" x14ac:dyDescent="0.25">
      <c r="A110" s="26">
        <v>43299</v>
      </c>
      <c r="B110" s="27" t="s">
        <v>87</v>
      </c>
      <c r="C110" s="27" t="s">
        <v>88</v>
      </c>
      <c r="D110" s="89">
        <v>38.176900000000003</v>
      </c>
      <c r="E110" s="89">
        <v>-121.66222999999999</v>
      </c>
      <c r="F110" s="27" t="s">
        <v>5736</v>
      </c>
      <c r="G110" s="27" t="s">
        <v>90</v>
      </c>
      <c r="H110" s="27" t="s">
        <v>91</v>
      </c>
      <c r="I110" s="84">
        <v>0.36319444444444443</v>
      </c>
      <c r="J110" s="82">
        <v>121.46666666666665</v>
      </c>
      <c r="K110" s="82">
        <v>22.766666666666666</v>
      </c>
      <c r="L110" s="82">
        <v>8.91</v>
      </c>
      <c r="M110" s="82">
        <v>1.7066666666666668</v>
      </c>
      <c r="N110" s="4">
        <v>7.6000000000000005</v>
      </c>
      <c r="O110" s="27" t="s">
        <v>48</v>
      </c>
      <c r="P110" s="27">
        <v>6</v>
      </c>
      <c r="Q110" s="27">
        <v>10</v>
      </c>
      <c r="R110" s="27" t="s">
        <v>64</v>
      </c>
      <c r="S110" s="27" t="s">
        <v>50</v>
      </c>
      <c r="T110" s="27" t="s">
        <v>50</v>
      </c>
      <c r="U110" s="27" t="s">
        <v>50</v>
      </c>
      <c r="V110" s="27" t="s">
        <v>50</v>
      </c>
      <c r="W110" s="27" t="s">
        <v>50</v>
      </c>
      <c r="X110" s="27" t="s">
        <v>50</v>
      </c>
    </row>
    <row r="111" spans="1:25" x14ac:dyDescent="0.25">
      <c r="A111" s="26">
        <v>43299</v>
      </c>
      <c r="B111" s="27" t="s">
        <v>87</v>
      </c>
      <c r="C111" s="27" t="s">
        <v>88</v>
      </c>
      <c r="D111" s="89">
        <v>38.101379999999999</v>
      </c>
      <c r="E111" s="89">
        <v>-121.72344</v>
      </c>
      <c r="F111" s="27" t="s">
        <v>5737</v>
      </c>
      <c r="G111" s="27" t="s">
        <v>90</v>
      </c>
      <c r="H111" s="27" t="s">
        <v>91</v>
      </c>
      <c r="I111" s="84">
        <v>0.5083333333333333</v>
      </c>
      <c r="J111" s="82">
        <v>164.03333333333333</v>
      </c>
      <c r="K111" s="82">
        <v>22.816666666666666</v>
      </c>
      <c r="L111" s="82">
        <v>154.59166666666667</v>
      </c>
      <c r="M111" s="82">
        <v>1.3099999999999998</v>
      </c>
      <c r="N111" s="4">
        <v>6.3000000000000007</v>
      </c>
      <c r="O111" s="27" t="s">
        <v>48</v>
      </c>
      <c r="P111" s="27">
        <v>6</v>
      </c>
      <c r="Q111" s="27">
        <v>10</v>
      </c>
      <c r="R111" s="27" t="s">
        <v>49</v>
      </c>
      <c r="S111" s="27" t="s">
        <v>50</v>
      </c>
      <c r="T111" s="27" t="s">
        <v>50</v>
      </c>
      <c r="U111" s="27" t="s">
        <v>50</v>
      </c>
      <c r="V111" s="27" t="s">
        <v>50</v>
      </c>
      <c r="W111" s="27" t="s">
        <v>50</v>
      </c>
      <c r="X111" s="27" t="s">
        <v>50</v>
      </c>
    </row>
    <row r="112" spans="1:25" x14ac:dyDescent="0.25">
      <c r="A112" s="26">
        <v>43299</v>
      </c>
      <c r="B112" s="27" t="s">
        <v>87</v>
      </c>
      <c r="C112" s="27" t="s">
        <v>88</v>
      </c>
      <c r="D112" s="89">
        <v>38.166739999999997</v>
      </c>
      <c r="E112" s="89">
        <v>-121.67625</v>
      </c>
      <c r="F112" s="27" t="s">
        <v>5738</v>
      </c>
      <c r="G112" s="27" t="s">
        <v>90</v>
      </c>
      <c r="H112" s="27" t="s">
        <v>91</v>
      </c>
      <c r="I112" s="84">
        <v>0.43055555555555558</v>
      </c>
      <c r="J112" s="82">
        <v>123.10000000000001</v>
      </c>
      <c r="K112" s="82">
        <v>22.983333333333334</v>
      </c>
      <c r="L112" s="82">
        <v>6.6583333333333341</v>
      </c>
      <c r="M112" s="82">
        <v>1.7266666666666666</v>
      </c>
      <c r="N112" s="4">
        <v>8.65</v>
      </c>
      <c r="O112" s="27" t="s">
        <v>48</v>
      </c>
      <c r="P112" s="27">
        <v>6</v>
      </c>
      <c r="Q112" s="27">
        <v>10</v>
      </c>
      <c r="R112" s="27" t="s">
        <v>49</v>
      </c>
      <c r="S112" s="27" t="s">
        <v>50</v>
      </c>
      <c r="T112" s="27" t="s">
        <v>50</v>
      </c>
      <c r="U112" s="27" t="s">
        <v>50</v>
      </c>
      <c r="V112" s="27" t="s">
        <v>50</v>
      </c>
      <c r="W112" s="27" t="s">
        <v>50</v>
      </c>
      <c r="X112" s="27" t="s">
        <v>50</v>
      </c>
    </row>
    <row r="113" spans="1:25" s="149" customFormat="1" x14ac:dyDescent="0.25">
      <c r="A113" s="178">
        <v>43300</v>
      </c>
      <c r="B113" s="149" t="s">
        <v>105</v>
      </c>
      <c r="C113" s="149" t="s">
        <v>88</v>
      </c>
      <c r="D113" s="150">
        <v>38.064079999999997</v>
      </c>
      <c r="E113" s="150">
        <v>-121.83208</v>
      </c>
      <c r="F113" s="149" t="s">
        <v>5739</v>
      </c>
      <c r="G113" s="149" t="s">
        <v>27</v>
      </c>
      <c r="H113" s="149" t="s">
        <v>25</v>
      </c>
      <c r="I113" s="151">
        <v>0.35972222222222222</v>
      </c>
      <c r="J113" s="161" t="s">
        <v>50</v>
      </c>
      <c r="K113" s="161" t="s">
        <v>50</v>
      </c>
      <c r="L113" s="161" t="s">
        <v>50</v>
      </c>
      <c r="M113" s="161" t="s">
        <v>50</v>
      </c>
      <c r="N113" s="161" t="s">
        <v>50</v>
      </c>
      <c r="O113" s="161" t="s">
        <v>48</v>
      </c>
      <c r="P113" s="161">
        <v>0</v>
      </c>
      <c r="Q113" s="279" t="s">
        <v>50</v>
      </c>
      <c r="R113" s="157" t="s">
        <v>50</v>
      </c>
      <c r="S113" s="158" t="s">
        <v>50</v>
      </c>
      <c r="T113" s="158" t="s">
        <v>50</v>
      </c>
      <c r="U113" s="157" t="s">
        <v>50</v>
      </c>
      <c r="V113" s="158" t="s">
        <v>50</v>
      </c>
      <c r="W113" s="158" t="s">
        <v>50</v>
      </c>
      <c r="X113" s="157" t="s">
        <v>50</v>
      </c>
      <c r="Y113" s="152" t="s">
        <v>5740</v>
      </c>
    </row>
    <row r="114" spans="1:25" s="149" customFormat="1" x14ac:dyDescent="0.25">
      <c r="A114" s="178">
        <v>43300</v>
      </c>
      <c r="B114" s="149" t="s">
        <v>105</v>
      </c>
      <c r="C114" s="149" t="s">
        <v>88</v>
      </c>
      <c r="D114" s="150">
        <v>38.077779999999997</v>
      </c>
      <c r="E114" s="150">
        <v>-121.76349999999999</v>
      </c>
      <c r="F114" s="149" t="s">
        <v>5741</v>
      </c>
      <c r="G114" s="149" t="s">
        <v>27</v>
      </c>
      <c r="H114" s="149" t="s">
        <v>25</v>
      </c>
      <c r="I114" s="151">
        <v>0.375</v>
      </c>
      <c r="J114" s="161" t="s">
        <v>50</v>
      </c>
      <c r="K114" s="161" t="s">
        <v>50</v>
      </c>
      <c r="L114" s="161" t="s">
        <v>50</v>
      </c>
      <c r="M114" s="161" t="s">
        <v>50</v>
      </c>
      <c r="N114" s="161" t="s">
        <v>50</v>
      </c>
      <c r="O114" s="161" t="s">
        <v>48</v>
      </c>
      <c r="P114" s="161">
        <v>0</v>
      </c>
      <c r="Q114" s="279" t="s">
        <v>50</v>
      </c>
      <c r="R114" s="157" t="s">
        <v>50</v>
      </c>
      <c r="S114" s="158" t="s">
        <v>50</v>
      </c>
      <c r="T114" s="158" t="s">
        <v>50</v>
      </c>
      <c r="U114" s="157" t="s">
        <v>50</v>
      </c>
      <c r="V114" s="158" t="s">
        <v>50</v>
      </c>
      <c r="W114" s="158" t="s">
        <v>50</v>
      </c>
      <c r="X114" s="157" t="s">
        <v>50</v>
      </c>
      <c r="Y114" s="152" t="s">
        <v>5740</v>
      </c>
    </row>
    <row r="115" spans="1:25" s="149" customFormat="1" x14ac:dyDescent="0.25">
      <c r="A115" s="178">
        <v>43300</v>
      </c>
      <c r="B115" s="149" t="s">
        <v>105</v>
      </c>
      <c r="C115" s="149" t="s">
        <v>88</v>
      </c>
      <c r="D115" s="150">
        <v>38.059530000000002</v>
      </c>
      <c r="E115" s="150">
        <v>-121.80632</v>
      </c>
      <c r="F115" s="149" t="s">
        <v>5742</v>
      </c>
      <c r="G115" s="149" t="s">
        <v>27</v>
      </c>
      <c r="H115" s="149" t="s">
        <v>25</v>
      </c>
      <c r="I115" s="151">
        <v>0.36805555555555558</v>
      </c>
      <c r="J115" s="161" t="s">
        <v>50</v>
      </c>
      <c r="K115" s="161" t="s">
        <v>50</v>
      </c>
      <c r="L115" s="161" t="s">
        <v>50</v>
      </c>
      <c r="M115" s="161" t="s">
        <v>50</v>
      </c>
      <c r="N115" s="161" t="s">
        <v>50</v>
      </c>
      <c r="O115" s="161" t="s">
        <v>48</v>
      </c>
      <c r="P115" s="161">
        <v>0</v>
      </c>
      <c r="Q115" s="279" t="s">
        <v>50</v>
      </c>
      <c r="R115" s="157" t="s">
        <v>50</v>
      </c>
      <c r="S115" s="158" t="s">
        <v>50</v>
      </c>
      <c r="T115" s="158" t="s">
        <v>50</v>
      </c>
      <c r="U115" s="157" t="s">
        <v>50</v>
      </c>
      <c r="V115" s="158" t="s">
        <v>50</v>
      </c>
      <c r="W115" s="158" t="s">
        <v>50</v>
      </c>
      <c r="X115" s="157" t="s">
        <v>50</v>
      </c>
      <c r="Y115" s="152" t="s">
        <v>5740</v>
      </c>
    </row>
    <row r="116" spans="1:25" x14ac:dyDescent="0.25">
      <c r="A116" s="26">
        <v>43300</v>
      </c>
      <c r="B116" s="27" t="s">
        <v>105</v>
      </c>
      <c r="C116" s="27" t="s">
        <v>88</v>
      </c>
      <c r="D116" s="89">
        <v>38.104179999999999</v>
      </c>
      <c r="E116" s="89">
        <v>-121.70613</v>
      </c>
      <c r="F116" s="27" t="s">
        <v>5743</v>
      </c>
      <c r="G116" s="27" t="s">
        <v>90</v>
      </c>
      <c r="H116" s="27" t="s">
        <v>91</v>
      </c>
      <c r="I116" s="84">
        <v>0.38958333333333334</v>
      </c>
      <c r="J116" s="82">
        <v>221.08333333333334</v>
      </c>
      <c r="K116" s="82">
        <v>22.616666666666664</v>
      </c>
      <c r="L116" s="82">
        <v>13.766666666666666</v>
      </c>
      <c r="M116" s="82">
        <v>1.1183333333333334</v>
      </c>
      <c r="N116" s="4">
        <v>4.3499999999999996</v>
      </c>
      <c r="O116" s="27" t="s">
        <v>48</v>
      </c>
      <c r="P116" s="27">
        <v>6</v>
      </c>
      <c r="Q116" s="27">
        <v>10</v>
      </c>
      <c r="R116" s="27" t="s">
        <v>64</v>
      </c>
      <c r="S116" s="27" t="s">
        <v>50</v>
      </c>
      <c r="T116" s="27" t="s">
        <v>50</v>
      </c>
      <c r="U116" s="27" t="s">
        <v>50</v>
      </c>
      <c r="V116" s="27" t="s">
        <v>50</v>
      </c>
      <c r="W116" s="27" t="s">
        <v>50</v>
      </c>
      <c r="X116" s="27" t="s">
        <v>50</v>
      </c>
    </row>
    <row r="117" spans="1:25" x14ac:dyDescent="0.25">
      <c r="A117" s="26">
        <v>43300</v>
      </c>
      <c r="B117" s="27" t="s">
        <v>105</v>
      </c>
      <c r="C117" s="27" t="s">
        <v>88</v>
      </c>
      <c r="D117" s="89">
        <v>38.157789999999999</v>
      </c>
      <c r="E117" s="89">
        <v>-121.68192999999999</v>
      </c>
      <c r="F117" s="27" t="s">
        <v>5744</v>
      </c>
      <c r="G117" s="27" t="s">
        <v>90</v>
      </c>
      <c r="H117" s="27" t="s">
        <v>91</v>
      </c>
      <c r="I117" s="84">
        <v>0.46458333333333335</v>
      </c>
      <c r="J117" s="82">
        <v>127.38333333333333</v>
      </c>
      <c r="K117" s="82">
        <v>23.183333333333334</v>
      </c>
      <c r="L117" s="82">
        <v>7.54</v>
      </c>
      <c r="M117" s="82">
        <v>1.79</v>
      </c>
      <c r="N117" s="4">
        <v>6.2833333333333341</v>
      </c>
      <c r="O117" s="27" t="s">
        <v>48</v>
      </c>
      <c r="P117" s="27">
        <v>6</v>
      </c>
      <c r="Q117" s="27">
        <v>10</v>
      </c>
      <c r="R117" s="27" t="s">
        <v>49</v>
      </c>
      <c r="S117" s="27" t="s">
        <v>50</v>
      </c>
      <c r="T117" s="27" t="s">
        <v>50</v>
      </c>
      <c r="U117" s="27" t="s">
        <v>50</v>
      </c>
      <c r="V117" s="27" t="s">
        <v>50</v>
      </c>
      <c r="W117" s="27" t="s">
        <v>50</v>
      </c>
      <c r="X117" s="27" t="s">
        <v>50</v>
      </c>
    </row>
    <row r="118" spans="1:25" s="215" customFormat="1" x14ac:dyDescent="0.25">
      <c r="A118" s="495">
        <v>43300</v>
      </c>
      <c r="B118" s="494" t="s">
        <v>105</v>
      </c>
      <c r="C118" s="494" t="s">
        <v>106</v>
      </c>
      <c r="D118" s="496">
        <v>38.423789999999997</v>
      </c>
      <c r="E118" s="496">
        <v>-121.60636</v>
      </c>
      <c r="F118" s="494" t="s">
        <v>5745</v>
      </c>
      <c r="G118" s="494" t="s">
        <v>90</v>
      </c>
      <c r="H118" s="494" t="s">
        <v>362</v>
      </c>
      <c r="I118" s="497">
        <v>0.35069444444444442</v>
      </c>
      <c r="J118" s="498">
        <v>495.91666666666669</v>
      </c>
      <c r="K118" s="498">
        <v>23.516666666666666</v>
      </c>
      <c r="L118" s="498">
        <v>45.56666666666667</v>
      </c>
      <c r="M118" s="498">
        <v>0.30166666666666669</v>
      </c>
      <c r="N118" s="499">
        <v>9.3833333333333329</v>
      </c>
      <c r="O118" s="494" t="s">
        <v>48</v>
      </c>
      <c r="P118" s="494">
        <v>6</v>
      </c>
      <c r="Q118" s="494">
        <v>10</v>
      </c>
      <c r="R118" s="494" t="s">
        <v>64</v>
      </c>
      <c r="S118" s="494" t="s">
        <v>323</v>
      </c>
      <c r="T118" s="494">
        <v>1</v>
      </c>
      <c r="U118" s="494">
        <v>50</v>
      </c>
      <c r="V118" s="494" t="s">
        <v>66</v>
      </c>
      <c r="W118" s="494" t="s">
        <v>50</v>
      </c>
      <c r="X118" s="494" t="s">
        <v>50</v>
      </c>
      <c r="Y118" s="455" t="s">
        <v>5746</v>
      </c>
    </row>
    <row r="119" spans="1:25" x14ac:dyDescent="0.25">
      <c r="A119" s="26">
        <v>43300</v>
      </c>
      <c r="B119" s="27" t="s">
        <v>105</v>
      </c>
      <c r="C119" s="27" t="s">
        <v>106</v>
      </c>
      <c r="D119" s="89">
        <v>38.229329999999997</v>
      </c>
      <c r="E119" s="89">
        <v>-121.67412</v>
      </c>
      <c r="F119" s="27" t="s">
        <v>5747</v>
      </c>
      <c r="G119" s="27" t="s">
        <v>90</v>
      </c>
      <c r="H119" s="27" t="s">
        <v>362</v>
      </c>
      <c r="I119" s="84">
        <v>0.47916666666666669</v>
      </c>
      <c r="J119" s="82">
        <v>132.58333333333334</v>
      </c>
      <c r="K119" s="82">
        <v>23.133333333333336</v>
      </c>
      <c r="L119" s="82">
        <v>7.72</v>
      </c>
      <c r="M119" s="82">
        <v>1.7466666666666668</v>
      </c>
      <c r="N119" s="4">
        <v>12.166666666666666</v>
      </c>
      <c r="O119" s="27" t="s">
        <v>48</v>
      </c>
      <c r="P119" s="27">
        <v>6</v>
      </c>
      <c r="Q119" s="27">
        <v>10</v>
      </c>
      <c r="R119" s="27" t="s">
        <v>49</v>
      </c>
      <c r="S119" s="27" t="s">
        <v>50</v>
      </c>
      <c r="T119" s="27" t="s">
        <v>50</v>
      </c>
      <c r="U119" s="27" t="s">
        <v>50</v>
      </c>
      <c r="V119" s="27" t="s">
        <v>50</v>
      </c>
      <c r="W119" s="27" t="s">
        <v>50</v>
      </c>
      <c r="X119" s="27" t="s">
        <v>50</v>
      </c>
    </row>
    <row r="120" spans="1:25" x14ac:dyDescent="0.25">
      <c r="A120" s="26">
        <v>43300</v>
      </c>
      <c r="B120" s="27" t="s">
        <v>105</v>
      </c>
      <c r="C120" s="27" t="s">
        <v>62</v>
      </c>
      <c r="D120" s="89">
        <v>38.197110000000002</v>
      </c>
      <c r="E120" s="89">
        <v>-121.92452</v>
      </c>
      <c r="F120" s="27" t="s">
        <v>5748</v>
      </c>
      <c r="G120" s="27" t="s">
        <v>27</v>
      </c>
      <c r="H120" s="27" t="s">
        <v>62</v>
      </c>
      <c r="I120" s="84">
        <v>0.36736111111111108</v>
      </c>
      <c r="J120" s="82">
        <v>9329.8333333333339</v>
      </c>
      <c r="K120" s="82">
        <v>22.333333333333332</v>
      </c>
      <c r="L120" s="82">
        <v>25.016666666666666</v>
      </c>
      <c r="M120" s="82">
        <v>0.42166666666666663</v>
      </c>
      <c r="N120" s="4">
        <v>3.7166666666666663</v>
      </c>
      <c r="O120" s="27" t="s">
        <v>48</v>
      </c>
      <c r="P120" s="27">
        <v>6</v>
      </c>
      <c r="Q120" s="27">
        <v>10</v>
      </c>
      <c r="R120" s="27" t="s">
        <v>64</v>
      </c>
      <c r="S120" s="27" t="s">
        <v>50</v>
      </c>
      <c r="T120" s="27" t="s">
        <v>50</v>
      </c>
      <c r="U120" s="27" t="s">
        <v>50</v>
      </c>
      <c r="V120" s="27" t="s">
        <v>50</v>
      </c>
      <c r="W120" s="27" t="s">
        <v>50</v>
      </c>
      <c r="X120" s="27" t="s">
        <v>50</v>
      </c>
      <c r="Y120" s="35" t="s">
        <v>5749</v>
      </c>
    </row>
    <row r="121" spans="1:25" s="361" customFormat="1" x14ac:dyDescent="0.25">
      <c r="A121" s="360">
        <v>43300</v>
      </c>
      <c r="B121" s="361" t="s">
        <v>105</v>
      </c>
      <c r="C121" s="361" t="s">
        <v>62</v>
      </c>
      <c r="D121" s="362">
        <v>38.033279999999998</v>
      </c>
      <c r="E121" s="362">
        <v>-121.8355</v>
      </c>
      <c r="F121" s="361" t="s">
        <v>5750</v>
      </c>
      <c r="G121" s="361" t="s">
        <v>27</v>
      </c>
      <c r="H121" s="361" t="s">
        <v>101</v>
      </c>
      <c r="I121" s="363">
        <v>0.48819444444444443</v>
      </c>
      <c r="J121" s="364">
        <v>3121.8333333333335</v>
      </c>
      <c r="K121" s="364">
        <v>21.799999999999997</v>
      </c>
      <c r="L121" s="364">
        <v>25.999999999999996</v>
      </c>
      <c r="M121" s="364">
        <v>0.46166666666666667</v>
      </c>
      <c r="N121" s="365">
        <v>7.9333333333333336</v>
      </c>
      <c r="O121" s="361" t="s">
        <v>48</v>
      </c>
      <c r="P121" s="361">
        <v>6</v>
      </c>
      <c r="Q121" s="361">
        <v>10</v>
      </c>
      <c r="R121" s="361" t="s">
        <v>64</v>
      </c>
      <c r="S121" s="361" t="s">
        <v>50</v>
      </c>
      <c r="T121" s="361" t="s">
        <v>50</v>
      </c>
      <c r="U121" s="361" t="s">
        <v>50</v>
      </c>
      <c r="V121" s="361" t="s">
        <v>50</v>
      </c>
      <c r="W121" s="361" t="s">
        <v>50</v>
      </c>
      <c r="X121" s="361" t="s">
        <v>50</v>
      </c>
      <c r="Y121" s="366"/>
    </row>
    <row r="122" spans="1:25" x14ac:dyDescent="0.25">
      <c r="A122" s="26">
        <v>43304</v>
      </c>
      <c r="B122" s="27" t="s">
        <v>43</v>
      </c>
      <c r="C122" s="27" t="s">
        <v>88</v>
      </c>
      <c r="D122" s="89">
        <v>38.114240000000002</v>
      </c>
      <c r="E122" s="89">
        <v>-121.68235</v>
      </c>
      <c r="F122" s="27" t="s">
        <v>5751</v>
      </c>
      <c r="G122" s="27" t="s">
        <v>90</v>
      </c>
      <c r="H122" s="27" t="s">
        <v>91</v>
      </c>
      <c r="I122" s="84">
        <v>0.32777777777777778</v>
      </c>
      <c r="J122" s="82">
        <v>429.32500000000005</v>
      </c>
      <c r="K122" s="82">
        <v>22.774999999999999</v>
      </c>
      <c r="L122" s="82">
        <v>9.8525000000000009</v>
      </c>
      <c r="M122" s="82">
        <v>1.2625</v>
      </c>
      <c r="N122" s="4">
        <v>16.100000000000001</v>
      </c>
      <c r="O122" s="27" t="s">
        <v>48</v>
      </c>
      <c r="P122" s="27">
        <v>4</v>
      </c>
      <c r="Q122" s="27">
        <v>10</v>
      </c>
      <c r="R122" s="27" t="s">
        <v>64</v>
      </c>
      <c r="S122" s="27" t="s">
        <v>50</v>
      </c>
      <c r="T122" s="27" t="s">
        <v>50</v>
      </c>
      <c r="U122" s="27" t="s">
        <v>50</v>
      </c>
      <c r="V122" s="27" t="s">
        <v>50</v>
      </c>
      <c r="W122" s="27" t="s">
        <v>50</v>
      </c>
      <c r="X122" s="27" t="s">
        <v>50</v>
      </c>
    </row>
    <row r="123" spans="1:25" x14ac:dyDescent="0.25">
      <c r="A123" s="26">
        <v>43304</v>
      </c>
      <c r="B123" s="27" t="s">
        <v>43</v>
      </c>
      <c r="C123" s="27" t="s">
        <v>88</v>
      </c>
      <c r="D123" s="89">
        <v>38.112459999999999</v>
      </c>
      <c r="E123" s="89">
        <v>-121.70081999999999</v>
      </c>
      <c r="F123" s="27" t="s">
        <v>5752</v>
      </c>
      <c r="G123" s="27" t="s">
        <v>90</v>
      </c>
      <c r="H123" s="27" t="s">
        <v>91</v>
      </c>
      <c r="I123" s="84">
        <v>0.38125000000000003</v>
      </c>
      <c r="J123" s="82">
        <v>136.25</v>
      </c>
      <c r="K123" s="82">
        <v>22.575000000000003</v>
      </c>
      <c r="L123" s="82">
        <v>9.5424999999999986</v>
      </c>
      <c r="M123" s="82">
        <v>1.32</v>
      </c>
      <c r="N123" s="4">
        <v>6.05</v>
      </c>
      <c r="O123" s="27" t="s">
        <v>48</v>
      </c>
      <c r="P123" s="27">
        <v>4</v>
      </c>
      <c r="Q123" s="27">
        <v>10</v>
      </c>
      <c r="R123" s="27" t="s">
        <v>64</v>
      </c>
      <c r="S123" s="27" t="s">
        <v>50</v>
      </c>
      <c r="T123" s="27" t="s">
        <v>50</v>
      </c>
      <c r="U123" s="27" t="s">
        <v>50</v>
      </c>
      <c r="V123" s="27" t="s">
        <v>50</v>
      </c>
      <c r="W123" s="27" t="s">
        <v>50</v>
      </c>
      <c r="X123" s="27" t="s">
        <v>50</v>
      </c>
    </row>
    <row r="124" spans="1:25" x14ac:dyDescent="0.25">
      <c r="A124" s="26">
        <v>43304</v>
      </c>
      <c r="B124" s="27" t="s">
        <v>43</v>
      </c>
      <c r="C124" s="27" t="s">
        <v>88</v>
      </c>
      <c r="D124" s="89">
        <v>38.159849999999999</v>
      </c>
      <c r="E124" s="89">
        <v>-121.67883</v>
      </c>
      <c r="F124" s="27" t="s">
        <v>5753</v>
      </c>
      <c r="G124" s="27" t="s">
        <v>90</v>
      </c>
      <c r="H124" s="27" t="s">
        <v>91</v>
      </c>
      <c r="I124" s="84">
        <v>0.44375000000000003</v>
      </c>
      <c r="J124" s="82">
        <v>131.125</v>
      </c>
      <c r="K124" s="82">
        <v>23.024999999999999</v>
      </c>
      <c r="L124" s="82">
        <v>6.9275000000000002</v>
      </c>
      <c r="M124" s="82">
        <v>1.3525</v>
      </c>
      <c r="N124" s="4">
        <v>5.95</v>
      </c>
      <c r="O124" s="27" t="s">
        <v>48</v>
      </c>
      <c r="P124" s="27">
        <v>4</v>
      </c>
      <c r="Q124" s="27">
        <v>10</v>
      </c>
      <c r="R124" s="27" t="s">
        <v>64</v>
      </c>
      <c r="S124" s="27" t="s">
        <v>50</v>
      </c>
      <c r="T124" s="27" t="s">
        <v>50</v>
      </c>
      <c r="U124" s="27" t="s">
        <v>50</v>
      </c>
      <c r="V124" s="27" t="s">
        <v>50</v>
      </c>
      <c r="W124" s="27" t="s">
        <v>50</v>
      </c>
      <c r="X124" s="27" t="s">
        <v>50</v>
      </c>
    </row>
    <row r="125" spans="1:25" x14ac:dyDescent="0.25">
      <c r="A125" s="26">
        <v>43304</v>
      </c>
      <c r="B125" s="27" t="s">
        <v>43</v>
      </c>
      <c r="C125" s="27" t="s">
        <v>106</v>
      </c>
      <c r="D125" s="89">
        <v>38.561790000000002</v>
      </c>
      <c r="E125" s="89">
        <v>-121.5485</v>
      </c>
      <c r="F125" s="27" t="s">
        <v>5754</v>
      </c>
      <c r="G125" s="27" t="s">
        <v>90</v>
      </c>
      <c r="H125" s="27" t="s">
        <v>1787</v>
      </c>
      <c r="I125" s="84">
        <v>0.36180555555555555</v>
      </c>
      <c r="J125" s="82">
        <v>1068.75</v>
      </c>
      <c r="K125" s="82">
        <v>26.225000000000001</v>
      </c>
      <c r="L125" s="82">
        <v>5.7424999999999997</v>
      </c>
      <c r="M125" s="82">
        <v>1.5325</v>
      </c>
      <c r="N125" s="4">
        <v>14.066666666666668</v>
      </c>
      <c r="O125" s="27" t="s">
        <v>48</v>
      </c>
      <c r="P125" s="27">
        <v>4</v>
      </c>
      <c r="Q125" s="27">
        <v>10</v>
      </c>
      <c r="R125" s="27" t="s">
        <v>64</v>
      </c>
      <c r="S125" s="27" t="s">
        <v>50</v>
      </c>
      <c r="T125" s="27" t="s">
        <v>50</v>
      </c>
      <c r="U125" s="27" t="s">
        <v>50</v>
      </c>
      <c r="V125" s="27" t="s">
        <v>50</v>
      </c>
      <c r="W125" s="27" t="s">
        <v>50</v>
      </c>
      <c r="X125" s="27" t="s">
        <v>50</v>
      </c>
    </row>
    <row r="126" spans="1:25" s="215" customFormat="1" x14ac:dyDescent="0.25">
      <c r="A126" s="495">
        <v>43304</v>
      </c>
      <c r="B126" s="494" t="s">
        <v>43</v>
      </c>
      <c r="C126" s="494" t="s">
        <v>106</v>
      </c>
      <c r="D126" s="496">
        <v>38.420870000000001</v>
      </c>
      <c r="E126" s="496">
        <v>-121.60776</v>
      </c>
      <c r="F126" s="494" t="s">
        <v>5755</v>
      </c>
      <c r="G126" s="494" t="s">
        <v>90</v>
      </c>
      <c r="H126" s="494" t="s">
        <v>362</v>
      </c>
      <c r="I126" s="497">
        <v>0.48194444444444445</v>
      </c>
      <c r="J126" s="498">
        <v>701.5</v>
      </c>
      <c r="K126" s="498">
        <v>24.1</v>
      </c>
      <c r="L126" s="498">
        <v>35.25</v>
      </c>
      <c r="M126" s="498">
        <v>0.35499999999999998</v>
      </c>
      <c r="N126" s="499">
        <v>10.5</v>
      </c>
      <c r="O126" s="494" t="s">
        <v>48</v>
      </c>
      <c r="P126" s="494">
        <v>2</v>
      </c>
      <c r="Q126" s="494">
        <v>10</v>
      </c>
      <c r="R126" s="494" t="s">
        <v>64</v>
      </c>
      <c r="S126" s="494" t="s">
        <v>323</v>
      </c>
      <c r="T126" s="494">
        <v>1</v>
      </c>
      <c r="U126" s="494">
        <v>44</v>
      </c>
      <c r="V126" s="494" t="s">
        <v>66</v>
      </c>
      <c r="W126" s="494" t="s">
        <v>50</v>
      </c>
      <c r="X126" s="494" t="s">
        <v>50</v>
      </c>
      <c r="Y126" s="455" t="s">
        <v>5756</v>
      </c>
    </row>
    <row r="127" spans="1:25" s="215" customFormat="1" x14ac:dyDescent="0.25">
      <c r="A127" s="495">
        <v>43304</v>
      </c>
      <c r="B127" s="494" t="s">
        <v>43</v>
      </c>
      <c r="C127" s="494" t="s">
        <v>106</v>
      </c>
      <c r="D127" s="496">
        <v>38.424750000000003</v>
      </c>
      <c r="E127" s="496">
        <v>-121.60651</v>
      </c>
      <c r="F127" s="494" t="s">
        <v>5757</v>
      </c>
      <c r="G127" s="494" t="s">
        <v>90</v>
      </c>
      <c r="H127" s="494" t="s">
        <v>362</v>
      </c>
      <c r="I127" s="497">
        <v>0.43194444444444446</v>
      </c>
      <c r="J127" s="498">
        <v>710.25</v>
      </c>
      <c r="K127" s="498">
        <v>23.950000000000003</v>
      </c>
      <c r="L127" s="498">
        <v>32.975000000000001</v>
      </c>
      <c r="M127" s="498">
        <v>0.40749999999999997</v>
      </c>
      <c r="N127" s="499">
        <v>10.350000000000001</v>
      </c>
      <c r="O127" s="494" t="s">
        <v>48</v>
      </c>
      <c r="P127" s="494">
        <v>4</v>
      </c>
      <c r="Q127" s="494">
        <v>10</v>
      </c>
      <c r="R127" s="494" t="s">
        <v>64</v>
      </c>
      <c r="S127" s="494" t="s">
        <v>323</v>
      </c>
      <c r="T127" s="494">
        <v>1</v>
      </c>
      <c r="U127" s="494">
        <v>50</v>
      </c>
      <c r="V127" s="494" t="s">
        <v>66</v>
      </c>
      <c r="W127" s="494" t="s">
        <v>50</v>
      </c>
      <c r="X127" s="494" t="s">
        <v>50</v>
      </c>
      <c r="Y127" s="455" t="s">
        <v>5758</v>
      </c>
    </row>
    <row r="128" spans="1:25" s="149" customFormat="1" x14ac:dyDescent="0.25">
      <c r="A128" s="178">
        <v>43304</v>
      </c>
      <c r="B128" s="149" t="s">
        <v>43</v>
      </c>
      <c r="C128" s="149" t="s">
        <v>62</v>
      </c>
      <c r="D128" s="150">
        <v>38.105899999999998</v>
      </c>
      <c r="E128" s="150">
        <v>-122.04022999999999</v>
      </c>
      <c r="F128" s="149" t="s">
        <v>5759</v>
      </c>
      <c r="G128" s="149" t="s">
        <v>27</v>
      </c>
      <c r="H128" s="149" t="s">
        <v>173</v>
      </c>
      <c r="I128" s="151">
        <v>0.3888888888888889</v>
      </c>
      <c r="J128" s="197" t="s">
        <v>50</v>
      </c>
      <c r="K128" s="197" t="s">
        <v>50</v>
      </c>
      <c r="L128" s="197" t="s">
        <v>50</v>
      </c>
      <c r="M128" s="197" t="s">
        <v>50</v>
      </c>
      <c r="N128" s="197" t="s">
        <v>50</v>
      </c>
      <c r="O128" s="149" t="s">
        <v>48</v>
      </c>
      <c r="P128" s="149">
        <v>0</v>
      </c>
      <c r="Q128" s="149" t="s">
        <v>50</v>
      </c>
      <c r="R128" s="149" t="s">
        <v>50</v>
      </c>
      <c r="S128" s="149" t="s">
        <v>50</v>
      </c>
      <c r="T128" s="149" t="s">
        <v>50</v>
      </c>
      <c r="U128" s="149" t="s">
        <v>50</v>
      </c>
      <c r="V128" s="149" t="s">
        <v>50</v>
      </c>
      <c r="W128" s="149" t="s">
        <v>50</v>
      </c>
      <c r="X128" s="149" t="s">
        <v>50</v>
      </c>
      <c r="Y128" s="152" t="s">
        <v>3595</v>
      </c>
    </row>
    <row r="129" spans="1:25" s="149" customFormat="1" x14ac:dyDescent="0.25">
      <c r="A129" s="178">
        <v>43304</v>
      </c>
      <c r="B129" s="149" t="s">
        <v>43</v>
      </c>
      <c r="C129" s="149" t="s">
        <v>62</v>
      </c>
      <c r="D129" s="150">
        <v>38.102049999999998</v>
      </c>
      <c r="E129" s="150">
        <v>-122.05755000000001</v>
      </c>
      <c r="F129" s="149" t="s">
        <v>5760</v>
      </c>
      <c r="G129" s="149" t="s">
        <v>27</v>
      </c>
      <c r="H129" s="149" t="s">
        <v>173</v>
      </c>
      <c r="I129" s="151">
        <v>0.38611111111111113</v>
      </c>
      <c r="J129" s="197" t="s">
        <v>50</v>
      </c>
      <c r="K129" s="197" t="s">
        <v>50</v>
      </c>
      <c r="L129" s="197" t="s">
        <v>50</v>
      </c>
      <c r="M129" s="197" t="s">
        <v>50</v>
      </c>
      <c r="N129" s="197" t="s">
        <v>50</v>
      </c>
      <c r="O129" s="149" t="s">
        <v>48</v>
      </c>
      <c r="P129" s="149">
        <v>0</v>
      </c>
      <c r="Q129" s="149" t="s">
        <v>50</v>
      </c>
      <c r="R129" s="149" t="s">
        <v>50</v>
      </c>
      <c r="S129" s="149" t="s">
        <v>50</v>
      </c>
      <c r="T129" s="149" t="s">
        <v>50</v>
      </c>
      <c r="U129" s="149" t="s">
        <v>50</v>
      </c>
      <c r="V129" s="149" t="s">
        <v>50</v>
      </c>
      <c r="W129" s="149" t="s">
        <v>50</v>
      </c>
      <c r="X129" s="149" t="s">
        <v>50</v>
      </c>
      <c r="Y129" s="152" t="s">
        <v>5761</v>
      </c>
    </row>
    <row r="130" spans="1:25" s="149" customFormat="1" x14ac:dyDescent="0.25">
      <c r="A130" s="178">
        <v>43304</v>
      </c>
      <c r="B130" s="149" t="s">
        <v>43</v>
      </c>
      <c r="C130" s="149" t="s">
        <v>62</v>
      </c>
      <c r="D130" s="150">
        <v>38.105620000000002</v>
      </c>
      <c r="E130" s="150">
        <v>-122.03841</v>
      </c>
      <c r="F130" s="149" t="s">
        <v>5762</v>
      </c>
      <c r="G130" s="149" t="s">
        <v>27</v>
      </c>
      <c r="H130" s="149" t="s">
        <v>173</v>
      </c>
      <c r="I130" s="151">
        <v>0.3923611111111111</v>
      </c>
      <c r="J130" s="197" t="s">
        <v>50</v>
      </c>
      <c r="K130" s="197" t="s">
        <v>50</v>
      </c>
      <c r="L130" s="197" t="s">
        <v>50</v>
      </c>
      <c r="M130" s="197" t="s">
        <v>50</v>
      </c>
      <c r="N130" s="197" t="s">
        <v>50</v>
      </c>
      <c r="O130" s="149" t="s">
        <v>48</v>
      </c>
      <c r="P130" s="149">
        <v>0</v>
      </c>
      <c r="Q130" s="149" t="s">
        <v>50</v>
      </c>
      <c r="R130" s="149" t="s">
        <v>50</v>
      </c>
      <c r="S130" s="149" t="s">
        <v>50</v>
      </c>
      <c r="T130" s="149" t="s">
        <v>50</v>
      </c>
      <c r="U130" s="149" t="s">
        <v>50</v>
      </c>
      <c r="V130" s="149" t="s">
        <v>50</v>
      </c>
      <c r="W130" s="149" t="s">
        <v>50</v>
      </c>
      <c r="X130" s="149" t="s">
        <v>50</v>
      </c>
      <c r="Y130" s="152" t="s">
        <v>3595</v>
      </c>
    </row>
    <row r="131" spans="1:25" x14ac:dyDescent="0.25">
      <c r="A131" s="26">
        <v>43304</v>
      </c>
      <c r="B131" s="27" t="s">
        <v>43</v>
      </c>
      <c r="C131" s="27" t="s">
        <v>62</v>
      </c>
      <c r="D131" s="89">
        <v>38.127769999999998</v>
      </c>
      <c r="E131" s="89">
        <v>-122.05562999999999</v>
      </c>
      <c r="F131" s="27" t="s">
        <v>5763</v>
      </c>
      <c r="G131" s="27" t="s">
        <v>27</v>
      </c>
      <c r="H131" s="27" t="s">
        <v>62</v>
      </c>
      <c r="I131" s="84">
        <v>0.4055555555555555</v>
      </c>
      <c r="J131" s="82">
        <v>13334.25</v>
      </c>
      <c r="K131" s="82">
        <v>21.574999999999999</v>
      </c>
      <c r="L131" s="82">
        <v>91.85</v>
      </c>
      <c r="M131" s="82">
        <v>0.19750000000000001</v>
      </c>
      <c r="N131" s="4">
        <v>3.0999999999999996</v>
      </c>
      <c r="O131" s="27" t="s">
        <v>48</v>
      </c>
      <c r="P131" s="27">
        <v>4</v>
      </c>
      <c r="Q131" s="27">
        <v>10</v>
      </c>
      <c r="R131" s="27" t="s">
        <v>64</v>
      </c>
      <c r="S131" s="27" t="s">
        <v>50</v>
      </c>
      <c r="T131" s="27" t="s">
        <v>50</v>
      </c>
      <c r="U131" s="27" t="s">
        <v>50</v>
      </c>
      <c r="V131" s="27" t="s">
        <v>50</v>
      </c>
      <c r="W131" s="27" t="s">
        <v>50</v>
      </c>
      <c r="X131" s="27" t="s">
        <v>50</v>
      </c>
    </row>
    <row r="132" spans="1:25" x14ac:dyDescent="0.25">
      <c r="A132" s="26">
        <v>43304</v>
      </c>
      <c r="B132" s="27" t="s">
        <v>43</v>
      </c>
      <c r="C132" s="27" t="s">
        <v>62</v>
      </c>
      <c r="D132" s="89">
        <v>38.202199999999998</v>
      </c>
      <c r="E132" s="89">
        <v>-121.90858</v>
      </c>
      <c r="F132" s="27" t="s">
        <v>5764</v>
      </c>
      <c r="G132" s="27" t="s">
        <v>27</v>
      </c>
      <c r="H132" s="27" t="s">
        <v>62</v>
      </c>
      <c r="I132" s="84">
        <v>0.55069444444444449</v>
      </c>
      <c r="J132" s="82">
        <v>9610</v>
      </c>
      <c r="K132" s="82">
        <v>22.7</v>
      </c>
      <c r="L132" s="82">
        <v>26.549999999999997</v>
      </c>
      <c r="M132" s="82">
        <v>0.30750000000000005</v>
      </c>
      <c r="N132" s="4">
        <v>3.2749999999999995</v>
      </c>
      <c r="O132" s="27" t="s">
        <v>48</v>
      </c>
      <c r="P132" s="27">
        <v>4</v>
      </c>
      <c r="Q132" s="27">
        <v>10</v>
      </c>
      <c r="R132" s="27" t="s">
        <v>64</v>
      </c>
      <c r="S132" s="27" t="s">
        <v>50</v>
      </c>
      <c r="T132" s="27" t="s">
        <v>50</v>
      </c>
      <c r="U132" s="27" t="s">
        <v>50</v>
      </c>
      <c r="V132" s="27" t="s">
        <v>50</v>
      </c>
      <c r="W132" s="27" t="s">
        <v>50</v>
      </c>
      <c r="X132" s="27" t="s">
        <v>50</v>
      </c>
      <c r="Y132" s="35" t="s">
        <v>5765</v>
      </c>
    </row>
    <row r="133" spans="1:25" x14ac:dyDescent="0.25">
      <c r="A133" s="26">
        <v>43304</v>
      </c>
      <c r="B133" s="27" t="s">
        <v>43</v>
      </c>
      <c r="C133" s="27" t="s">
        <v>62</v>
      </c>
      <c r="D133" s="89">
        <v>38.10915</v>
      </c>
      <c r="E133" s="89">
        <v>-122.05349</v>
      </c>
      <c r="F133" s="27" t="s">
        <v>5766</v>
      </c>
      <c r="G133" s="27" t="s">
        <v>27</v>
      </c>
      <c r="H133" s="27" t="s">
        <v>173</v>
      </c>
      <c r="I133" s="84">
        <v>0.46388888888888885</v>
      </c>
      <c r="J133" s="82">
        <v>15306</v>
      </c>
      <c r="K133" s="82">
        <v>20.633333333333333</v>
      </c>
      <c r="L133" s="82">
        <v>71.566666666666663</v>
      </c>
      <c r="M133" s="82">
        <v>0.1925</v>
      </c>
      <c r="N133" s="4">
        <v>3.0666666666666664</v>
      </c>
      <c r="O133" s="27" t="s">
        <v>48</v>
      </c>
      <c r="P133" s="27">
        <v>4</v>
      </c>
      <c r="Q133" s="27">
        <v>10</v>
      </c>
      <c r="R133" s="27" t="s">
        <v>64</v>
      </c>
      <c r="S133" s="27" t="s">
        <v>50</v>
      </c>
      <c r="T133" s="27" t="s">
        <v>50</v>
      </c>
      <c r="U133" s="27" t="s">
        <v>50</v>
      </c>
      <c r="V133" s="27" t="s">
        <v>50</v>
      </c>
      <c r="W133" s="27" t="s">
        <v>50</v>
      </c>
      <c r="X133" s="27" t="s">
        <v>50</v>
      </c>
      <c r="Y133" s="35" t="s">
        <v>5767</v>
      </c>
    </row>
    <row r="134" spans="1:25" x14ac:dyDescent="0.25">
      <c r="A134" s="26">
        <v>43305</v>
      </c>
      <c r="B134" s="27" t="s">
        <v>70</v>
      </c>
      <c r="C134" s="27" t="s">
        <v>88</v>
      </c>
      <c r="D134" s="89">
        <v>38.096679999999999</v>
      </c>
      <c r="E134" s="89">
        <v>-121.7205</v>
      </c>
      <c r="F134" s="27" t="s">
        <v>5768</v>
      </c>
      <c r="G134" s="27" t="s">
        <v>90</v>
      </c>
      <c r="H134" s="27" t="s">
        <v>91</v>
      </c>
      <c r="I134" s="84">
        <v>0.32569444444444445</v>
      </c>
      <c r="J134" s="82">
        <v>263</v>
      </c>
      <c r="K134" s="82">
        <v>22.5</v>
      </c>
      <c r="L134" s="82">
        <v>14.175000000000001</v>
      </c>
      <c r="M134" s="82">
        <v>1.0150000000000001</v>
      </c>
      <c r="N134" s="4">
        <v>4.45</v>
      </c>
      <c r="O134" s="27" t="s">
        <v>48</v>
      </c>
      <c r="P134" s="27">
        <v>4</v>
      </c>
      <c r="Q134" s="27">
        <v>10</v>
      </c>
      <c r="R134" s="27" t="s">
        <v>49</v>
      </c>
      <c r="S134" s="27" t="s">
        <v>50</v>
      </c>
      <c r="T134" s="27" t="s">
        <v>50</v>
      </c>
      <c r="U134" s="27" t="s">
        <v>50</v>
      </c>
      <c r="V134" s="27" t="s">
        <v>50</v>
      </c>
      <c r="W134" s="27" t="s">
        <v>50</v>
      </c>
      <c r="X134" s="27" t="s">
        <v>50</v>
      </c>
      <c r="Y134" s="35" t="s">
        <v>5769</v>
      </c>
    </row>
    <row r="135" spans="1:25" x14ac:dyDescent="0.25">
      <c r="A135" s="26">
        <v>43305</v>
      </c>
      <c r="B135" s="27" t="s">
        <v>70</v>
      </c>
      <c r="C135" s="27" t="s">
        <v>88</v>
      </c>
      <c r="D135" s="89">
        <v>38.07432</v>
      </c>
      <c r="E135" s="89">
        <v>-121.76952</v>
      </c>
      <c r="F135" s="27" t="s">
        <v>5770</v>
      </c>
      <c r="G135" s="27" t="s">
        <v>27</v>
      </c>
      <c r="H135" s="27" t="s">
        <v>5771</v>
      </c>
      <c r="I135" s="84">
        <v>0.37847222222222227</v>
      </c>
      <c r="J135" s="82">
        <v>187.25</v>
      </c>
      <c r="K135" s="82">
        <v>22.575000000000003</v>
      </c>
      <c r="L135" s="82">
        <v>13.5</v>
      </c>
      <c r="M135" s="82">
        <v>0.96</v>
      </c>
      <c r="N135" s="4">
        <v>8.875</v>
      </c>
      <c r="O135" s="27" t="s">
        <v>48</v>
      </c>
      <c r="P135" s="27">
        <v>4</v>
      </c>
      <c r="Q135" s="27">
        <v>10</v>
      </c>
      <c r="R135" s="27" t="s">
        <v>49</v>
      </c>
      <c r="S135" s="27" t="s">
        <v>50</v>
      </c>
      <c r="T135" s="27" t="s">
        <v>50</v>
      </c>
      <c r="U135" s="27" t="s">
        <v>50</v>
      </c>
      <c r="V135" s="27" t="s">
        <v>50</v>
      </c>
      <c r="W135" s="27" t="s">
        <v>50</v>
      </c>
      <c r="X135" s="27" t="s">
        <v>50</v>
      </c>
    </row>
    <row r="136" spans="1:25" x14ac:dyDescent="0.25">
      <c r="A136" s="26">
        <v>43305</v>
      </c>
      <c r="B136" s="27" t="s">
        <v>70</v>
      </c>
      <c r="C136" s="27" t="s">
        <v>88</v>
      </c>
      <c r="D136" s="89">
        <v>38.057690000000001</v>
      </c>
      <c r="E136" s="89">
        <v>-121.80323</v>
      </c>
      <c r="F136" s="27" t="s">
        <v>5772</v>
      </c>
      <c r="G136" s="27" t="s">
        <v>27</v>
      </c>
      <c r="H136" s="27" t="s">
        <v>5771</v>
      </c>
      <c r="I136" s="84">
        <v>0.43194444444444446</v>
      </c>
      <c r="J136" s="82">
        <v>235.42500000000001</v>
      </c>
      <c r="K136" s="82">
        <v>22.424999999999997</v>
      </c>
      <c r="L136" s="82">
        <v>17.824999999999999</v>
      </c>
      <c r="M136" s="82">
        <v>0.91249999999999998</v>
      </c>
      <c r="N136" s="4">
        <v>8.85</v>
      </c>
      <c r="O136" s="27" t="s">
        <v>48</v>
      </c>
      <c r="P136" s="27">
        <v>4</v>
      </c>
      <c r="Q136" s="27">
        <v>10</v>
      </c>
      <c r="R136" s="27" t="s">
        <v>49</v>
      </c>
      <c r="S136" s="27" t="s">
        <v>50</v>
      </c>
      <c r="T136" s="27" t="s">
        <v>50</v>
      </c>
      <c r="U136" s="27" t="s">
        <v>50</v>
      </c>
      <c r="V136" s="27" t="s">
        <v>50</v>
      </c>
      <c r="W136" s="27" t="s">
        <v>50</v>
      </c>
      <c r="X136" s="27" t="s">
        <v>50</v>
      </c>
    </row>
    <row r="137" spans="1:25" s="215" customFormat="1" x14ac:dyDescent="0.25">
      <c r="A137" s="495">
        <v>43305</v>
      </c>
      <c r="B137" s="494" t="s">
        <v>70</v>
      </c>
      <c r="C137" s="494" t="s">
        <v>106</v>
      </c>
      <c r="D137" s="496">
        <v>38.301990000000004</v>
      </c>
      <c r="E137" s="496">
        <v>-121.65461000000001</v>
      </c>
      <c r="F137" s="494" t="s">
        <v>5773</v>
      </c>
      <c r="G137" s="494" t="s">
        <v>90</v>
      </c>
      <c r="H137" s="494" t="s">
        <v>362</v>
      </c>
      <c r="I137" s="497">
        <v>0.37291666666666662</v>
      </c>
      <c r="J137" s="498">
        <v>270.64999999999998</v>
      </c>
      <c r="K137" s="498">
        <v>23.3</v>
      </c>
      <c r="L137" s="498">
        <v>28.75</v>
      </c>
      <c r="M137" s="498">
        <v>0.47</v>
      </c>
      <c r="N137" s="499">
        <v>10.5</v>
      </c>
      <c r="O137" s="494" t="s">
        <v>48</v>
      </c>
      <c r="P137" s="494">
        <v>2</v>
      </c>
      <c r="Q137" s="494">
        <v>10</v>
      </c>
      <c r="R137" s="494" t="s">
        <v>49</v>
      </c>
      <c r="S137" s="494" t="s">
        <v>323</v>
      </c>
      <c r="T137" s="494">
        <v>4</v>
      </c>
      <c r="U137" s="494" t="s">
        <v>5774</v>
      </c>
      <c r="V137" s="494" t="s">
        <v>66</v>
      </c>
      <c r="W137" s="494" t="s">
        <v>50</v>
      </c>
      <c r="X137" s="494" t="s">
        <v>50</v>
      </c>
      <c r="Y137" s="455" t="s">
        <v>5775</v>
      </c>
    </row>
    <row r="138" spans="1:25" x14ac:dyDescent="0.25">
      <c r="A138" s="26">
        <v>43305</v>
      </c>
      <c r="B138" s="27" t="s">
        <v>70</v>
      </c>
      <c r="C138" s="27" t="s">
        <v>106</v>
      </c>
      <c r="D138" s="89">
        <v>38.211919999999999</v>
      </c>
      <c r="E138" s="89">
        <v>-121.66446000000001</v>
      </c>
      <c r="F138" s="27" t="s">
        <v>5776</v>
      </c>
      <c r="G138" s="27" t="s">
        <v>90</v>
      </c>
      <c r="H138" s="27" t="s">
        <v>362</v>
      </c>
      <c r="I138" s="84">
        <v>0.42430555555555555</v>
      </c>
      <c r="J138" s="82">
        <v>136.94999999999999</v>
      </c>
      <c r="K138" s="82">
        <v>22.5</v>
      </c>
      <c r="L138" s="82">
        <v>12.375</v>
      </c>
      <c r="M138" s="82">
        <v>0.9</v>
      </c>
      <c r="N138" s="4">
        <v>14.074999999999999</v>
      </c>
      <c r="O138" s="27" t="s">
        <v>48</v>
      </c>
      <c r="P138" s="27">
        <v>4</v>
      </c>
      <c r="Q138" s="27">
        <v>10</v>
      </c>
      <c r="R138" s="27" t="s">
        <v>49</v>
      </c>
      <c r="S138" s="27" t="s">
        <v>50</v>
      </c>
      <c r="T138" s="27" t="s">
        <v>50</v>
      </c>
      <c r="U138" s="27" t="s">
        <v>50</v>
      </c>
      <c r="V138" s="27" t="s">
        <v>50</v>
      </c>
      <c r="W138" s="27" t="s">
        <v>50</v>
      </c>
      <c r="X138" s="27" t="s">
        <v>50</v>
      </c>
    </row>
    <row r="139" spans="1:25" x14ac:dyDescent="0.25">
      <c r="A139" s="26">
        <v>43305</v>
      </c>
      <c r="B139" s="27" t="s">
        <v>70</v>
      </c>
      <c r="C139" s="27" t="s">
        <v>106</v>
      </c>
      <c r="D139" s="89">
        <v>38.204859999999996</v>
      </c>
      <c r="E139" s="89">
        <v>-121.65928</v>
      </c>
      <c r="F139" s="27" t="s">
        <v>5777</v>
      </c>
      <c r="G139" s="27" t="s">
        <v>90</v>
      </c>
      <c r="H139" s="27" t="s">
        <v>362</v>
      </c>
      <c r="I139" s="84">
        <v>0.48472222222222222</v>
      </c>
      <c r="J139" s="82">
        <v>136.89999999999998</v>
      </c>
      <c r="K139" s="82">
        <v>22.625000000000004</v>
      </c>
      <c r="L139" s="82">
        <v>10.197500000000002</v>
      </c>
      <c r="M139" s="82">
        <v>0.91500000000000004</v>
      </c>
      <c r="N139" s="4">
        <v>11.075000000000001</v>
      </c>
      <c r="O139" s="27" t="s">
        <v>48</v>
      </c>
      <c r="P139" s="27">
        <v>4</v>
      </c>
      <c r="Q139" s="27">
        <v>10</v>
      </c>
      <c r="R139" s="27" t="s">
        <v>64</v>
      </c>
      <c r="S139" s="27" t="s">
        <v>50</v>
      </c>
      <c r="T139" s="27" t="s">
        <v>50</v>
      </c>
      <c r="U139" s="27" t="s">
        <v>50</v>
      </c>
      <c r="V139" s="27" t="s">
        <v>50</v>
      </c>
      <c r="W139" s="27" t="s">
        <v>50</v>
      </c>
      <c r="X139" s="27" t="s">
        <v>50</v>
      </c>
    </row>
    <row r="140" spans="1:25" x14ac:dyDescent="0.25">
      <c r="A140" s="26">
        <v>43305</v>
      </c>
      <c r="B140" s="27" t="s">
        <v>70</v>
      </c>
      <c r="C140" s="27" t="s">
        <v>62</v>
      </c>
      <c r="D140" s="89">
        <v>38.140450000000001</v>
      </c>
      <c r="E140" s="89">
        <v>-122.06081</v>
      </c>
      <c r="F140" s="27" t="s">
        <v>5778</v>
      </c>
      <c r="G140" s="27" t="s">
        <v>27</v>
      </c>
      <c r="H140" s="27" t="s">
        <v>62</v>
      </c>
      <c r="I140" s="84">
        <v>0.36180555555555555</v>
      </c>
      <c r="J140" s="82">
        <v>12697.5</v>
      </c>
      <c r="K140" s="82">
        <v>22.15</v>
      </c>
      <c r="L140" s="82">
        <v>21.375</v>
      </c>
      <c r="M140" s="82">
        <v>0.37999999999999995</v>
      </c>
      <c r="N140" s="4">
        <v>6.85</v>
      </c>
      <c r="O140" s="27" t="s">
        <v>48</v>
      </c>
      <c r="P140" s="27">
        <v>4</v>
      </c>
      <c r="Q140" s="27">
        <v>10</v>
      </c>
      <c r="R140" s="27" t="s">
        <v>64</v>
      </c>
      <c r="S140" s="27" t="s">
        <v>50</v>
      </c>
      <c r="T140" s="27" t="s">
        <v>50</v>
      </c>
      <c r="U140" s="27" t="s">
        <v>50</v>
      </c>
      <c r="V140" s="27" t="s">
        <v>50</v>
      </c>
      <c r="W140" s="27" t="s">
        <v>50</v>
      </c>
      <c r="X140" s="27" t="s">
        <v>50</v>
      </c>
    </row>
    <row r="141" spans="1:25" x14ac:dyDescent="0.25">
      <c r="A141" s="26">
        <v>43305</v>
      </c>
      <c r="B141" s="27" t="s">
        <v>70</v>
      </c>
      <c r="C141" s="27" t="s">
        <v>62</v>
      </c>
      <c r="D141" s="89">
        <v>38.171700000000001</v>
      </c>
      <c r="E141" s="89">
        <v>-122.05799</v>
      </c>
      <c r="F141" s="27" t="s">
        <v>5779</v>
      </c>
      <c r="G141" s="27" t="s">
        <v>27</v>
      </c>
      <c r="H141" s="27" t="s">
        <v>62</v>
      </c>
      <c r="I141" s="84">
        <v>0.43263888888888885</v>
      </c>
      <c r="J141" s="82">
        <v>11831.5</v>
      </c>
      <c r="K141" s="82">
        <v>22.1</v>
      </c>
      <c r="L141" s="82">
        <v>44.55</v>
      </c>
      <c r="M141" s="82">
        <v>0.29249999999999998</v>
      </c>
      <c r="N141" s="4">
        <v>7.2249999999999996</v>
      </c>
      <c r="O141" s="27" t="s">
        <v>48</v>
      </c>
      <c r="P141" s="27">
        <v>4</v>
      </c>
      <c r="Q141" s="27">
        <v>10</v>
      </c>
      <c r="R141" s="27" t="s">
        <v>64</v>
      </c>
      <c r="S141" s="27" t="s">
        <v>50</v>
      </c>
      <c r="T141" s="27" t="s">
        <v>50</v>
      </c>
      <c r="U141" s="27" t="s">
        <v>50</v>
      </c>
      <c r="V141" s="27" t="s">
        <v>50</v>
      </c>
      <c r="W141" s="27" t="s">
        <v>50</v>
      </c>
      <c r="X141" s="27" t="s">
        <v>50</v>
      </c>
    </row>
    <row r="142" spans="1:25" x14ac:dyDescent="0.25">
      <c r="A142" s="26">
        <v>43306</v>
      </c>
      <c r="B142" s="27" t="s">
        <v>87</v>
      </c>
      <c r="C142" s="27" t="s">
        <v>95</v>
      </c>
      <c r="D142" s="89">
        <v>38.0961</v>
      </c>
      <c r="E142" s="89">
        <v>-121.66135</v>
      </c>
      <c r="F142" s="27" t="s">
        <v>5780</v>
      </c>
      <c r="G142" s="27" t="s">
        <v>46</v>
      </c>
      <c r="H142" s="27" t="s">
        <v>908</v>
      </c>
      <c r="I142" s="84">
        <v>0.35069444444444442</v>
      </c>
      <c r="J142" s="82">
        <v>314.70000000000005</v>
      </c>
      <c r="K142" s="82">
        <v>23.049999999999997</v>
      </c>
      <c r="L142" s="82">
        <v>9.1575000000000006</v>
      </c>
      <c r="M142" s="82">
        <v>1.3</v>
      </c>
      <c r="N142" s="4">
        <v>13.475</v>
      </c>
      <c r="O142" s="27" t="s">
        <v>48</v>
      </c>
      <c r="P142" s="27">
        <v>4</v>
      </c>
      <c r="Q142" s="27">
        <v>10</v>
      </c>
      <c r="R142" s="27" t="s">
        <v>49</v>
      </c>
      <c r="S142" s="27" t="s">
        <v>50</v>
      </c>
      <c r="T142" s="27" t="s">
        <v>50</v>
      </c>
      <c r="U142" s="27" t="s">
        <v>50</v>
      </c>
      <c r="V142" s="27" t="s">
        <v>50</v>
      </c>
      <c r="W142" s="27" t="s">
        <v>50</v>
      </c>
      <c r="X142" s="27" t="s">
        <v>50</v>
      </c>
    </row>
    <row r="143" spans="1:25" x14ac:dyDescent="0.25">
      <c r="A143" s="26">
        <v>43306</v>
      </c>
      <c r="B143" s="27" t="s">
        <v>87</v>
      </c>
      <c r="C143" s="27" t="s">
        <v>95</v>
      </c>
      <c r="D143" s="89">
        <v>38.017980000000001</v>
      </c>
      <c r="E143" s="89">
        <v>-121.79446</v>
      </c>
      <c r="F143" s="27" t="s">
        <v>5781</v>
      </c>
      <c r="G143" s="27" t="s">
        <v>27</v>
      </c>
      <c r="H143" s="27" t="s">
        <v>863</v>
      </c>
      <c r="I143" s="84">
        <v>0.41180555555555554</v>
      </c>
      <c r="J143" s="82">
        <v>974.75</v>
      </c>
      <c r="K143" s="82">
        <v>22.5</v>
      </c>
      <c r="L143" s="82">
        <v>13.375</v>
      </c>
      <c r="M143" s="82">
        <v>0.86</v>
      </c>
      <c r="N143" s="4">
        <v>11.424999999999999</v>
      </c>
      <c r="O143" s="27" t="s">
        <v>48</v>
      </c>
      <c r="P143" s="27">
        <v>4</v>
      </c>
      <c r="Q143" s="27">
        <v>10</v>
      </c>
      <c r="R143" s="27" t="s">
        <v>49</v>
      </c>
      <c r="S143" s="27" t="s">
        <v>50</v>
      </c>
      <c r="T143" s="27" t="s">
        <v>50</v>
      </c>
      <c r="U143" s="27" t="s">
        <v>50</v>
      </c>
      <c r="V143" s="27" t="s">
        <v>50</v>
      </c>
      <c r="W143" s="27" t="s">
        <v>50</v>
      </c>
      <c r="X143" s="27" t="s">
        <v>50</v>
      </c>
    </row>
    <row r="144" spans="1:25" x14ac:dyDescent="0.25">
      <c r="A144" s="26">
        <v>43306</v>
      </c>
      <c r="B144" s="27" t="s">
        <v>87</v>
      </c>
      <c r="C144" s="27" t="s">
        <v>95</v>
      </c>
      <c r="D144" s="89">
        <v>38.023359999999997</v>
      </c>
      <c r="E144" s="89">
        <v>-121.75015999999999</v>
      </c>
      <c r="F144" s="27" t="s">
        <v>5782</v>
      </c>
      <c r="G144" s="27" t="s">
        <v>27</v>
      </c>
      <c r="H144" s="27" t="s">
        <v>863</v>
      </c>
      <c r="I144" s="84">
        <v>0.45902777777777781</v>
      </c>
      <c r="J144" s="82">
        <v>556.75</v>
      </c>
      <c r="K144" s="82">
        <v>22.825000000000003</v>
      </c>
      <c r="L144" s="82">
        <v>7.4099999999999993</v>
      </c>
      <c r="M144" s="82">
        <v>1.2749999999999999</v>
      </c>
      <c r="N144" s="4">
        <v>5.2750000000000004</v>
      </c>
      <c r="O144" s="27" t="s">
        <v>48</v>
      </c>
      <c r="P144" s="27">
        <v>4</v>
      </c>
      <c r="Q144" s="27">
        <v>10</v>
      </c>
      <c r="R144" s="27" t="s">
        <v>49</v>
      </c>
      <c r="S144" s="27" t="s">
        <v>50</v>
      </c>
      <c r="T144" s="27" t="s">
        <v>50</v>
      </c>
      <c r="U144" s="27" t="s">
        <v>50</v>
      </c>
      <c r="V144" s="27" t="s">
        <v>50</v>
      </c>
      <c r="W144" s="27" t="s">
        <v>50</v>
      </c>
      <c r="X144" s="27" t="s">
        <v>50</v>
      </c>
    </row>
    <row r="145" spans="1:25" s="149" customFormat="1" x14ac:dyDescent="0.25">
      <c r="A145" s="178">
        <v>43306</v>
      </c>
      <c r="B145" s="149" t="s">
        <v>87</v>
      </c>
      <c r="C145" s="149" t="s">
        <v>845</v>
      </c>
      <c r="D145" s="150">
        <v>38.335790000000003</v>
      </c>
      <c r="E145" s="150">
        <v>-121.66022</v>
      </c>
      <c r="F145" s="149" t="s">
        <v>5783</v>
      </c>
      <c r="G145" s="149" t="s">
        <v>90</v>
      </c>
      <c r="H145" s="149" t="s">
        <v>126</v>
      </c>
      <c r="I145" s="151">
        <v>0.38541666666666669</v>
      </c>
      <c r="J145" s="197" t="s">
        <v>50</v>
      </c>
      <c r="K145" s="197" t="s">
        <v>50</v>
      </c>
      <c r="L145" s="197" t="s">
        <v>50</v>
      </c>
      <c r="M145" s="197" t="s">
        <v>50</v>
      </c>
      <c r="N145" s="197" t="s">
        <v>50</v>
      </c>
      <c r="O145" s="149" t="s">
        <v>48</v>
      </c>
      <c r="P145" s="149">
        <v>0</v>
      </c>
      <c r="Q145" s="149" t="s">
        <v>50</v>
      </c>
      <c r="R145" s="149" t="s">
        <v>50</v>
      </c>
      <c r="S145" s="149" t="s">
        <v>50</v>
      </c>
      <c r="T145" s="149" t="s">
        <v>50</v>
      </c>
      <c r="U145" s="149" t="s">
        <v>50</v>
      </c>
      <c r="V145" s="149" t="s">
        <v>50</v>
      </c>
      <c r="W145" s="149" t="s">
        <v>50</v>
      </c>
      <c r="X145" s="149" t="s">
        <v>50</v>
      </c>
      <c r="Y145" s="152" t="s">
        <v>5784</v>
      </c>
    </row>
    <row r="146" spans="1:25" x14ac:dyDescent="0.25">
      <c r="A146" s="26">
        <v>43306</v>
      </c>
      <c r="B146" s="27" t="s">
        <v>87</v>
      </c>
      <c r="C146" s="27" t="s">
        <v>845</v>
      </c>
      <c r="D146" s="89">
        <v>38.244399999999999</v>
      </c>
      <c r="E146" s="89">
        <v>-121.67743</v>
      </c>
      <c r="F146" s="27" t="s">
        <v>5785</v>
      </c>
      <c r="G146" s="27" t="s">
        <v>90</v>
      </c>
      <c r="H146" s="27" t="s">
        <v>126</v>
      </c>
      <c r="I146" s="84">
        <v>0.40625</v>
      </c>
      <c r="J146" s="82">
        <v>146.07499999999999</v>
      </c>
      <c r="K146" s="82">
        <v>22.424999999999997</v>
      </c>
      <c r="L146" s="82">
        <v>22.499999999999996</v>
      </c>
      <c r="M146" s="82">
        <v>0.61749999999999994</v>
      </c>
      <c r="N146" s="4">
        <v>12.4</v>
      </c>
      <c r="O146" s="27" t="s">
        <v>48</v>
      </c>
      <c r="P146" s="27">
        <v>4</v>
      </c>
      <c r="Q146" s="27">
        <v>10</v>
      </c>
      <c r="R146" s="27" t="s">
        <v>49</v>
      </c>
      <c r="S146" s="27" t="s">
        <v>50</v>
      </c>
      <c r="T146" s="27" t="s">
        <v>50</v>
      </c>
      <c r="U146" s="27" t="s">
        <v>50</v>
      </c>
      <c r="V146" s="27" t="s">
        <v>50</v>
      </c>
      <c r="W146" s="27" t="s">
        <v>50</v>
      </c>
      <c r="X146" s="27" t="s">
        <v>50</v>
      </c>
      <c r="Y146" s="35" t="s">
        <v>5786</v>
      </c>
    </row>
    <row r="147" spans="1:25" x14ac:dyDescent="0.25">
      <c r="A147" s="26">
        <v>43306</v>
      </c>
      <c r="B147" s="27" t="s">
        <v>87</v>
      </c>
      <c r="C147" s="27" t="s">
        <v>845</v>
      </c>
      <c r="D147" s="89">
        <v>38.247860000000003</v>
      </c>
      <c r="E147" s="89">
        <v>-121.68675</v>
      </c>
      <c r="F147" s="27" t="s">
        <v>5787</v>
      </c>
      <c r="G147" s="27" t="s">
        <v>90</v>
      </c>
      <c r="H147" s="27" t="s">
        <v>126</v>
      </c>
      <c r="I147" s="84">
        <v>0.4694444444444445</v>
      </c>
      <c r="J147" s="82">
        <v>142.625</v>
      </c>
      <c r="K147" s="82">
        <v>22.525000000000002</v>
      </c>
      <c r="L147" s="82">
        <v>8.3449999999999989</v>
      </c>
      <c r="M147" s="82">
        <v>1.3475000000000001</v>
      </c>
      <c r="N147" s="4">
        <v>10.975</v>
      </c>
      <c r="O147" s="27" t="s">
        <v>48</v>
      </c>
      <c r="P147" s="27">
        <v>4</v>
      </c>
      <c r="Q147" s="27">
        <v>10</v>
      </c>
      <c r="R147" s="27" t="s">
        <v>49</v>
      </c>
      <c r="S147" s="27" t="s">
        <v>50</v>
      </c>
      <c r="T147" s="27" t="s">
        <v>50</v>
      </c>
      <c r="U147" s="27" t="s">
        <v>50</v>
      </c>
      <c r="V147" s="27" t="s">
        <v>50</v>
      </c>
      <c r="W147" s="27" t="s">
        <v>50</v>
      </c>
      <c r="X147" s="27" t="s">
        <v>50</v>
      </c>
    </row>
    <row r="148" spans="1:25" x14ac:dyDescent="0.25">
      <c r="A148" s="26">
        <v>43306</v>
      </c>
      <c r="B148" s="27" t="s">
        <v>87</v>
      </c>
      <c r="C148" s="27" t="s">
        <v>78</v>
      </c>
      <c r="D148" s="89">
        <v>38.060929999999999</v>
      </c>
      <c r="E148" s="89">
        <v>-121.95314</v>
      </c>
      <c r="F148" s="27" t="s">
        <v>5788</v>
      </c>
      <c r="G148" s="27" t="s">
        <v>27</v>
      </c>
      <c r="H148" s="27" t="s">
        <v>170</v>
      </c>
      <c r="I148" s="84">
        <v>0.36736111111111108</v>
      </c>
      <c r="J148" s="82">
        <v>6281.25</v>
      </c>
      <c r="K148" s="82">
        <v>21.150000000000002</v>
      </c>
      <c r="L148" s="82">
        <v>101.625</v>
      </c>
      <c r="M148" s="82">
        <v>0.18500000000000003</v>
      </c>
      <c r="N148" s="4">
        <v>3</v>
      </c>
      <c r="O148" s="27" t="s">
        <v>48</v>
      </c>
      <c r="P148" s="27">
        <v>4</v>
      </c>
      <c r="Q148" s="27">
        <v>10</v>
      </c>
      <c r="R148" s="27" t="s">
        <v>49</v>
      </c>
      <c r="S148" s="27" t="s">
        <v>50</v>
      </c>
      <c r="T148" s="27" t="s">
        <v>50</v>
      </c>
      <c r="U148" s="27" t="s">
        <v>50</v>
      </c>
      <c r="V148" s="27" t="s">
        <v>50</v>
      </c>
      <c r="W148" s="27" t="s">
        <v>50</v>
      </c>
      <c r="X148" s="27" t="s">
        <v>50</v>
      </c>
    </row>
    <row r="149" spans="1:25" x14ac:dyDescent="0.25">
      <c r="A149" s="26">
        <v>43306</v>
      </c>
      <c r="B149" s="27" t="s">
        <v>87</v>
      </c>
      <c r="C149" s="27" t="s">
        <v>78</v>
      </c>
      <c r="D149" s="89">
        <v>38.058480000000003</v>
      </c>
      <c r="E149" s="89">
        <v>-122.05638999999999</v>
      </c>
      <c r="F149" s="27" t="s">
        <v>5789</v>
      </c>
      <c r="G149" s="27" t="s">
        <v>80</v>
      </c>
      <c r="H149" s="27" t="s">
        <v>81</v>
      </c>
      <c r="I149" s="84">
        <v>0.45208333333333334</v>
      </c>
      <c r="J149" s="82">
        <v>10598.5</v>
      </c>
      <c r="K149" s="82">
        <v>20.924999999999997</v>
      </c>
      <c r="L149" s="82">
        <v>32.950000000000003</v>
      </c>
      <c r="M149" s="82">
        <v>0.39499999999999996</v>
      </c>
      <c r="N149" s="4">
        <v>6.9749999999999996</v>
      </c>
      <c r="O149" s="27" t="s">
        <v>48</v>
      </c>
      <c r="P149" s="27">
        <v>4</v>
      </c>
      <c r="Q149" s="27">
        <v>10</v>
      </c>
      <c r="R149" s="27" t="s">
        <v>64</v>
      </c>
      <c r="S149" s="27" t="s">
        <v>50</v>
      </c>
      <c r="T149" s="27" t="s">
        <v>50</v>
      </c>
      <c r="U149" s="27" t="s">
        <v>50</v>
      </c>
      <c r="V149" s="27" t="s">
        <v>50</v>
      </c>
      <c r="W149" s="27" t="s">
        <v>50</v>
      </c>
      <c r="X149" s="27" t="s">
        <v>50</v>
      </c>
    </row>
    <row r="150" spans="1:25" x14ac:dyDescent="0.25">
      <c r="A150" s="26">
        <v>43307</v>
      </c>
      <c r="B150" s="27" t="s">
        <v>105</v>
      </c>
      <c r="C150" s="27" t="s">
        <v>95</v>
      </c>
      <c r="D150" s="89">
        <v>38.08849</v>
      </c>
      <c r="E150" s="89">
        <v>-121.57643</v>
      </c>
      <c r="F150" s="27" t="s">
        <v>5790</v>
      </c>
      <c r="G150" s="27" t="s">
        <v>46</v>
      </c>
      <c r="H150" s="27" t="s">
        <v>115</v>
      </c>
      <c r="I150" s="84">
        <v>0.3263888888888889</v>
      </c>
      <c r="J150" s="82">
        <v>177.82499999999999</v>
      </c>
      <c r="K150" s="82">
        <v>23.35</v>
      </c>
      <c r="L150" s="82">
        <v>7.53</v>
      </c>
      <c r="M150" s="82">
        <v>1.37</v>
      </c>
      <c r="N150" s="4">
        <v>6.5</v>
      </c>
      <c r="O150" s="27" t="s">
        <v>48</v>
      </c>
      <c r="P150" s="27">
        <v>4</v>
      </c>
      <c r="Q150" s="27">
        <v>10</v>
      </c>
      <c r="R150" s="27" t="s">
        <v>49</v>
      </c>
      <c r="S150" s="27" t="s">
        <v>50</v>
      </c>
      <c r="T150" s="27" t="s">
        <v>50</v>
      </c>
      <c r="U150" s="27" t="s">
        <v>50</v>
      </c>
      <c r="V150" s="27" t="s">
        <v>50</v>
      </c>
      <c r="W150" s="27" t="s">
        <v>50</v>
      </c>
      <c r="X150" s="27" t="s">
        <v>50</v>
      </c>
    </row>
    <row r="151" spans="1:25" x14ac:dyDescent="0.25">
      <c r="A151" s="26">
        <v>43307</v>
      </c>
      <c r="B151" s="27" t="s">
        <v>105</v>
      </c>
      <c r="C151" s="27" t="s">
        <v>95</v>
      </c>
      <c r="D151" s="89">
        <v>38.10107</v>
      </c>
      <c r="E151" s="89">
        <v>-121.60808</v>
      </c>
      <c r="F151" s="27" t="s">
        <v>5791</v>
      </c>
      <c r="G151" s="27" t="s">
        <v>46</v>
      </c>
      <c r="H151" s="27" t="s">
        <v>908</v>
      </c>
      <c r="I151" s="84">
        <v>0.375</v>
      </c>
      <c r="J151" s="82">
        <v>192.72499999999999</v>
      </c>
      <c r="K151" s="82">
        <v>23.175000000000001</v>
      </c>
      <c r="L151" s="82">
        <v>9.41</v>
      </c>
      <c r="M151" s="82">
        <v>1.2675000000000001</v>
      </c>
      <c r="N151" s="4">
        <v>8.9499999999999993</v>
      </c>
      <c r="O151" s="27" t="s">
        <v>48</v>
      </c>
      <c r="P151" s="27">
        <v>4</v>
      </c>
      <c r="Q151" s="27">
        <v>10</v>
      </c>
      <c r="R151" s="27" t="s">
        <v>49</v>
      </c>
      <c r="S151" s="27" t="s">
        <v>50</v>
      </c>
      <c r="T151" s="27" t="s">
        <v>50</v>
      </c>
      <c r="U151" s="27" t="s">
        <v>50</v>
      </c>
      <c r="V151" s="27" t="s">
        <v>50</v>
      </c>
      <c r="W151" s="27" t="s">
        <v>50</v>
      </c>
      <c r="X151" s="27" t="s">
        <v>50</v>
      </c>
    </row>
    <row r="152" spans="1:25" x14ac:dyDescent="0.25">
      <c r="A152" s="26">
        <v>43307</v>
      </c>
      <c r="B152" s="27" t="s">
        <v>105</v>
      </c>
      <c r="C152" s="27" t="s">
        <v>95</v>
      </c>
      <c r="D152" s="89">
        <v>38.086790000000001</v>
      </c>
      <c r="E152" s="89">
        <v>-121.631</v>
      </c>
      <c r="F152" s="27" t="s">
        <v>5792</v>
      </c>
      <c r="G152" s="27" t="s">
        <v>46</v>
      </c>
      <c r="H152" s="27" t="s">
        <v>908</v>
      </c>
      <c r="I152" s="84">
        <v>0.4236111111111111</v>
      </c>
      <c r="J152" s="82">
        <v>291</v>
      </c>
      <c r="K152" s="82">
        <v>23</v>
      </c>
      <c r="L152" s="82">
        <v>7.8874999999999993</v>
      </c>
      <c r="M152" s="82">
        <v>1.4474999999999998</v>
      </c>
      <c r="N152" s="4">
        <v>6.4249999999999998</v>
      </c>
      <c r="O152" s="27" t="s">
        <v>48</v>
      </c>
      <c r="P152" s="27">
        <v>4</v>
      </c>
      <c r="Q152" s="27">
        <v>10</v>
      </c>
      <c r="R152" s="27" t="s">
        <v>49</v>
      </c>
      <c r="S152" s="27" t="s">
        <v>50</v>
      </c>
      <c r="T152" s="27" t="s">
        <v>50</v>
      </c>
      <c r="U152" s="27" t="s">
        <v>50</v>
      </c>
      <c r="V152" s="27" t="s">
        <v>50</v>
      </c>
      <c r="W152" s="27" t="s">
        <v>50</v>
      </c>
      <c r="X152" s="27" t="s">
        <v>50</v>
      </c>
    </row>
    <row r="153" spans="1:25" x14ac:dyDescent="0.25">
      <c r="A153" s="26">
        <v>43307</v>
      </c>
      <c r="B153" s="27" t="s">
        <v>105</v>
      </c>
      <c r="C153" s="27" t="s">
        <v>845</v>
      </c>
      <c r="D153" s="89">
        <v>38.32403</v>
      </c>
      <c r="E153" s="89">
        <v>-121.69342</v>
      </c>
      <c r="F153" s="27" t="s">
        <v>5793</v>
      </c>
      <c r="G153" s="27" t="s">
        <v>90</v>
      </c>
      <c r="H153" s="27" t="s">
        <v>126</v>
      </c>
      <c r="I153" s="84">
        <v>0.34097222222222223</v>
      </c>
      <c r="J153" s="82">
        <v>216.8</v>
      </c>
      <c r="K153" s="82">
        <v>23.349999999999998</v>
      </c>
      <c r="L153" s="82">
        <v>8.8350000000000009</v>
      </c>
      <c r="M153" s="82">
        <v>1.085</v>
      </c>
      <c r="N153" s="4">
        <v>5.6999999999999993</v>
      </c>
      <c r="O153" s="27" t="s">
        <v>48</v>
      </c>
      <c r="P153" s="27">
        <v>4</v>
      </c>
      <c r="Q153" s="27">
        <v>10</v>
      </c>
      <c r="R153" s="27" t="s">
        <v>49</v>
      </c>
      <c r="S153" s="27" t="s">
        <v>50</v>
      </c>
      <c r="T153" s="27" t="s">
        <v>50</v>
      </c>
      <c r="U153" s="27" t="s">
        <v>50</v>
      </c>
      <c r="V153" s="27" t="s">
        <v>50</v>
      </c>
      <c r="W153" s="27" t="s">
        <v>50</v>
      </c>
      <c r="X153" s="27" t="s">
        <v>50</v>
      </c>
    </row>
    <row r="154" spans="1:25" x14ac:dyDescent="0.25">
      <c r="A154" s="26">
        <v>43307</v>
      </c>
      <c r="B154" s="27" t="s">
        <v>105</v>
      </c>
      <c r="C154" s="27" t="s">
        <v>845</v>
      </c>
      <c r="D154" s="89">
        <v>38.247909999999997</v>
      </c>
      <c r="E154" s="89">
        <v>-121.67538999999999</v>
      </c>
      <c r="F154" s="27" t="s">
        <v>5794</v>
      </c>
      <c r="G154" s="27" t="s">
        <v>90</v>
      </c>
      <c r="H154" s="27" t="s">
        <v>126</v>
      </c>
      <c r="I154" s="84">
        <v>0.46666666666666662</v>
      </c>
      <c r="J154" s="82">
        <v>144.54999999999998</v>
      </c>
      <c r="K154" s="82">
        <v>22.450000000000003</v>
      </c>
      <c r="L154" s="82">
        <v>20.324999999999999</v>
      </c>
      <c r="M154" s="82">
        <v>0.64</v>
      </c>
      <c r="N154" s="4">
        <v>8.0175000000000001</v>
      </c>
      <c r="O154" s="27" t="s">
        <v>48</v>
      </c>
      <c r="P154" s="27">
        <v>4</v>
      </c>
      <c r="Q154" s="27">
        <v>10</v>
      </c>
      <c r="R154" s="27" t="s">
        <v>49</v>
      </c>
      <c r="S154" s="27" t="s">
        <v>50</v>
      </c>
      <c r="T154" s="27" t="s">
        <v>50</v>
      </c>
      <c r="U154" s="27" t="s">
        <v>50</v>
      </c>
      <c r="V154" s="27" t="s">
        <v>50</v>
      </c>
      <c r="W154" s="27" t="s">
        <v>50</v>
      </c>
      <c r="X154" s="27" t="s">
        <v>50</v>
      </c>
      <c r="Y154" s="35" t="s">
        <v>5765</v>
      </c>
    </row>
    <row r="155" spans="1:25" x14ac:dyDescent="0.25">
      <c r="A155" s="26">
        <v>43307</v>
      </c>
      <c r="B155" s="27" t="s">
        <v>105</v>
      </c>
      <c r="C155" s="27" t="s">
        <v>845</v>
      </c>
      <c r="D155" s="89">
        <v>38.294510000000002</v>
      </c>
      <c r="E155" s="89">
        <v>-121.72577</v>
      </c>
      <c r="F155" s="27" t="s">
        <v>5795</v>
      </c>
      <c r="G155" s="27" t="s">
        <v>90</v>
      </c>
      <c r="H155" s="27" t="s">
        <v>126</v>
      </c>
      <c r="I155" s="84">
        <v>0.42777777777777781</v>
      </c>
      <c r="J155" s="82">
        <v>155.30000000000001</v>
      </c>
      <c r="K155" s="82">
        <v>23.4</v>
      </c>
      <c r="L155" s="82">
        <v>5.98</v>
      </c>
      <c r="M155" s="82">
        <v>1.25</v>
      </c>
      <c r="N155" s="4">
        <v>3.5</v>
      </c>
      <c r="O155" s="27" t="s">
        <v>48</v>
      </c>
      <c r="P155" s="27">
        <v>1</v>
      </c>
      <c r="Q155" s="27">
        <v>10</v>
      </c>
      <c r="R155" s="27" t="s">
        <v>49</v>
      </c>
      <c r="S155" s="27" t="s">
        <v>50</v>
      </c>
      <c r="T155" s="27" t="s">
        <v>50</v>
      </c>
      <c r="U155" s="27" t="s">
        <v>50</v>
      </c>
      <c r="V155" s="27" t="s">
        <v>50</v>
      </c>
      <c r="W155" s="27" t="s">
        <v>50</v>
      </c>
      <c r="X155" s="27" t="s">
        <v>50</v>
      </c>
      <c r="Y155" s="35" t="s">
        <v>5796</v>
      </c>
    </row>
    <row r="156" spans="1:25" x14ac:dyDescent="0.25">
      <c r="A156" s="26">
        <v>43307</v>
      </c>
      <c r="B156" s="27" t="s">
        <v>105</v>
      </c>
      <c r="C156" s="27" t="s">
        <v>78</v>
      </c>
      <c r="D156" s="89">
        <v>38.049819999999997</v>
      </c>
      <c r="E156" s="89">
        <v>-122.08279</v>
      </c>
      <c r="F156" s="27" t="s">
        <v>5797</v>
      </c>
      <c r="G156" s="27" t="s">
        <v>80</v>
      </c>
      <c r="H156" s="27" t="s">
        <v>81</v>
      </c>
      <c r="I156" s="84">
        <v>0.37986111111111115</v>
      </c>
      <c r="J156" s="82">
        <v>14616</v>
      </c>
      <c r="K156" s="82">
        <v>21.175000000000001</v>
      </c>
      <c r="L156" s="82">
        <v>82.399999999999991</v>
      </c>
      <c r="M156" s="82">
        <v>0.19999999999999998</v>
      </c>
      <c r="N156" s="4">
        <v>5.2</v>
      </c>
      <c r="O156" s="27" t="s">
        <v>48</v>
      </c>
      <c r="P156" s="27">
        <v>4</v>
      </c>
      <c r="Q156" s="27">
        <v>10</v>
      </c>
      <c r="R156" s="27" t="s">
        <v>49</v>
      </c>
      <c r="S156" s="27" t="s">
        <v>50</v>
      </c>
      <c r="T156" s="27" t="s">
        <v>50</v>
      </c>
      <c r="U156" s="27" t="s">
        <v>50</v>
      </c>
      <c r="V156" s="27" t="s">
        <v>50</v>
      </c>
      <c r="W156" s="27" t="s">
        <v>50</v>
      </c>
      <c r="X156" s="27" t="s">
        <v>50</v>
      </c>
    </row>
    <row r="157" spans="1:25" x14ac:dyDescent="0.25">
      <c r="A157" s="26">
        <v>43307</v>
      </c>
      <c r="B157" s="27" t="s">
        <v>105</v>
      </c>
      <c r="C157" s="27" t="s">
        <v>78</v>
      </c>
      <c r="D157" s="89">
        <v>38.089959999999998</v>
      </c>
      <c r="E157" s="89">
        <v>-122.07098000000001</v>
      </c>
      <c r="F157" s="27" t="s">
        <v>5798</v>
      </c>
      <c r="G157" s="27" t="s">
        <v>80</v>
      </c>
      <c r="H157" s="27" t="s">
        <v>81</v>
      </c>
      <c r="I157" s="84">
        <v>0.44166666666666665</v>
      </c>
      <c r="J157" s="82">
        <v>13269.25</v>
      </c>
      <c r="K157" s="82">
        <v>20.85</v>
      </c>
      <c r="L157" s="82">
        <v>104.57499999999999</v>
      </c>
      <c r="M157" s="82">
        <v>0.1875</v>
      </c>
      <c r="N157" s="4">
        <v>8.8000000000000007</v>
      </c>
      <c r="O157" s="27" t="s">
        <v>48</v>
      </c>
      <c r="P157" s="27">
        <v>4</v>
      </c>
      <c r="Q157" s="27">
        <v>10</v>
      </c>
      <c r="R157" s="27" t="s">
        <v>49</v>
      </c>
      <c r="S157" s="27" t="s">
        <v>50</v>
      </c>
      <c r="T157" s="27" t="s">
        <v>50</v>
      </c>
      <c r="U157" s="27" t="s">
        <v>50</v>
      </c>
      <c r="V157" s="27" t="s">
        <v>50</v>
      </c>
      <c r="W157" s="27" t="s">
        <v>50</v>
      </c>
      <c r="X157" s="27" t="s">
        <v>50</v>
      </c>
    </row>
    <row r="158" spans="1:25" s="361" customFormat="1" x14ac:dyDescent="0.25">
      <c r="A158" s="360">
        <v>43307</v>
      </c>
      <c r="B158" s="361" t="s">
        <v>105</v>
      </c>
      <c r="C158" s="361" t="s">
        <v>78</v>
      </c>
      <c r="D158" s="362">
        <v>38.07734</v>
      </c>
      <c r="E158" s="362">
        <v>-122.07561</v>
      </c>
      <c r="F158" s="361" t="s">
        <v>5799</v>
      </c>
      <c r="G158" s="361" t="s">
        <v>80</v>
      </c>
      <c r="H158" s="361" t="s">
        <v>81</v>
      </c>
      <c r="I158" s="363">
        <v>0.50347222222222221</v>
      </c>
      <c r="J158" s="364">
        <v>15699.25</v>
      </c>
      <c r="K158" s="364">
        <v>20.95</v>
      </c>
      <c r="L158" s="364">
        <v>86.474999999999994</v>
      </c>
      <c r="M158" s="364">
        <v>0.29499999999999998</v>
      </c>
      <c r="N158" s="365">
        <v>4.375</v>
      </c>
      <c r="O158" s="361" t="s">
        <v>48</v>
      </c>
      <c r="P158" s="361">
        <v>4</v>
      </c>
      <c r="Q158" s="361">
        <v>10</v>
      </c>
      <c r="R158" s="361" t="s">
        <v>64</v>
      </c>
      <c r="S158" s="361" t="s">
        <v>50</v>
      </c>
      <c r="T158" s="361" t="s">
        <v>50</v>
      </c>
      <c r="U158" s="361" t="s">
        <v>50</v>
      </c>
      <c r="V158" s="361" t="s">
        <v>50</v>
      </c>
      <c r="W158" s="361" t="s">
        <v>50</v>
      </c>
      <c r="X158" s="361" t="s">
        <v>50</v>
      </c>
      <c r="Y158" s="366"/>
    </row>
    <row r="159" spans="1:25" x14ac:dyDescent="0.25">
      <c r="A159" s="26">
        <v>43311</v>
      </c>
      <c r="B159" s="27" t="s">
        <v>43</v>
      </c>
      <c r="C159" s="27" t="s">
        <v>845</v>
      </c>
      <c r="D159" s="89">
        <v>38.307870000000001</v>
      </c>
      <c r="E159" s="89">
        <v>-121.69262999999999</v>
      </c>
      <c r="F159" s="27" t="s">
        <v>5800</v>
      </c>
      <c r="G159" s="27" t="s">
        <v>90</v>
      </c>
      <c r="H159" s="27" t="s">
        <v>126</v>
      </c>
      <c r="I159" s="84">
        <v>0.33888888888888885</v>
      </c>
      <c r="J159" s="82">
        <v>204.5</v>
      </c>
      <c r="K159" s="82">
        <v>22.175000000000001</v>
      </c>
      <c r="L159" s="82">
        <v>6.7925000000000004</v>
      </c>
      <c r="M159" s="82">
        <v>1.3675000000000002</v>
      </c>
      <c r="N159" s="4">
        <v>9</v>
      </c>
      <c r="O159" s="27" t="s">
        <v>48</v>
      </c>
      <c r="P159" s="27">
        <v>4</v>
      </c>
      <c r="Q159" s="27">
        <v>10</v>
      </c>
      <c r="R159" s="27" t="s">
        <v>49</v>
      </c>
      <c r="S159" s="27" t="s">
        <v>50</v>
      </c>
      <c r="T159" s="27" t="s">
        <v>50</v>
      </c>
      <c r="U159" s="27" t="s">
        <v>50</v>
      </c>
      <c r="V159" s="27" t="s">
        <v>50</v>
      </c>
      <c r="W159" s="27" t="s">
        <v>50</v>
      </c>
      <c r="X159" s="27" t="s">
        <v>50</v>
      </c>
    </row>
    <row r="160" spans="1:25" s="149" customFormat="1" x14ac:dyDescent="0.25">
      <c r="A160" s="178">
        <v>43311</v>
      </c>
      <c r="B160" s="149" t="s">
        <v>43</v>
      </c>
      <c r="C160" s="149" t="s">
        <v>845</v>
      </c>
      <c r="D160" s="150">
        <v>38.297339999999998</v>
      </c>
      <c r="E160" s="150">
        <v>-121.66710999999999</v>
      </c>
      <c r="F160" s="149" t="s">
        <v>5801</v>
      </c>
      <c r="G160" s="149" t="s">
        <v>90</v>
      </c>
      <c r="H160" s="149" t="s">
        <v>126</v>
      </c>
      <c r="I160" s="151">
        <v>0.40625</v>
      </c>
      <c r="J160" s="197">
        <v>145.4</v>
      </c>
      <c r="K160" s="197">
        <v>20.85</v>
      </c>
      <c r="L160" s="197">
        <v>17.95</v>
      </c>
      <c r="M160" s="197">
        <v>0.61499999999999999</v>
      </c>
      <c r="N160" s="197">
        <v>5.5</v>
      </c>
      <c r="O160" s="149" t="s">
        <v>48</v>
      </c>
      <c r="P160" s="149">
        <v>2</v>
      </c>
      <c r="Q160" s="149">
        <v>10</v>
      </c>
      <c r="R160" s="149" t="s">
        <v>49</v>
      </c>
      <c r="S160" s="149" t="s">
        <v>50</v>
      </c>
      <c r="T160" s="149" t="s">
        <v>50</v>
      </c>
      <c r="U160" s="149" t="s">
        <v>50</v>
      </c>
      <c r="V160" s="149" t="s">
        <v>50</v>
      </c>
      <c r="W160" s="149" t="s">
        <v>50</v>
      </c>
      <c r="X160" s="149" t="s">
        <v>50</v>
      </c>
      <c r="Y160" s="152" t="s">
        <v>5802</v>
      </c>
    </row>
    <row r="161" spans="1:25" x14ac:dyDescent="0.25">
      <c r="A161" s="26">
        <v>43311</v>
      </c>
      <c r="B161" s="27" t="s">
        <v>43</v>
      </c>
      <c r="C161" s="27" t="s">
        <v>845</v>
      </c>
      <c r="D161" s="89">
        <v>38.237659999999998</v>
      </c>
      <c r="E161" s="89">
        <v>-121.68344</v>
      </c>
      <c r="F161" s="27" t="s">
        <v>5803</v>
      </c>
      <c r="G161" s="27" t="s">
        <v>90</v>
      </c>
      <c r="H161" s="27" t="s">
        <v>126</v>
      </c>
      <c r="I161" s="84">
        <v>0.4465277777777778</v>
      </c>
      <c r="J161" s="82">
        <v>134.35</v>
      </c>
      <c r="K161" s="82">
        <v>21.55</v>
      </c>
      <c r="L161" s="82">
        <v>12.125</v>
      </c>
      <c r="M161" s="82">
        <v>0.97749999999999992</v>
      </c>
      <c r="N161" s="4">
        <v>10.525</v>
      </c>
      <c r="O161" s="27" t="s">
        <v>48</v>
      </c>
      <c r="P161" s="27">
        <v>4</v>
      </c>
      <c r="Q161" s="27">
        <v>10</v>
      </c>
      <c r="R161" s="27" t="s">
        <v>49</v>
      </c>
      <c r="S161" s="27" t="s">
        <v>50</v>
      </c>
      <c r="T161" s="27" t="s">
        <v>50</v>
      </c>
      <c r="U161" s="27" t="s">
        <v>50</v>
      </c>
      <c r="V161" s="27" t="s">
        <v>50</v>
      </c>
      <c r="W161" s="27" t="s">
        <v>50</v>
      </c>
      <c r="X161" s="27" t="s">
        <v>50</v>
      </c>
    </row>
    <row r="162" spans="1:25" x14ac:dyDescent="0.25">
      <c r="A162" s="26">
        <v>43311</v>
      </c>
      <c r="B162" s="27" t="s">
        <v>43</v>
      </c>
      <c r="C162" s="27" t="s">
        <v>95</v>
      </c>
      <c r="D162" s="89">
        <v>38.100879999999997</v>
      </c>
      <c r="E162" s="89">
        <v>-121.62541</v>
      </c>
      <c r="F162" s="27" t="s">
        <v>5804</v>
      </c>
      <c r="G162" s="27" t="s">
        <v>46</v>
      </c>
      <c r="H162" s="27" t="s">
        <v>908</v>
      </c>
      <c r="I162" s="84">
        <v>0.32847222222222222</v>
      </c>
      <c r="J162" s="82">
        <v>338.52499999999998</v>
      </c>
      <c r="K162" s="82">
        <v>22.875</v>
      </c>
      <c r="L162" s="82">
        <v>5.6749999999999998</v>
      </c>
      <c r="M162" s="82">
        <v>1.3625</v>
      </c>
      <c r="N162" s="4">
        <v>12.174999999999999</v>
      </c>
      <c r="O162" s="27" t="s">
        <v>48</v>
      </c>
      <c r="P162" s="27">
        <v>4</v>
      </c>
      <c r="Q162" s="27">
        <v>10</v>
      </c>
      <c r="R162" s="27" t="s">
        <v>49</v>
      </c>
      <c r="S162" s="27" t="s">
        <v>50</v>
      </c>
      <c r="T162" s="27" t="s">
        <v>50</v>
      </c>
      <c r="U162" s="27" t="s">
        <v>50</v>
      </c>
      <c r="V162" s="27" t="s">
        <v>50</v>
      </c>
      <c r="W162" s="27" t="s">
        <v>50</v>
      </c>
      <c r="X162" s="27" t="s">
        <v>50</v>
      </c>
    </row>
    <row r="163" spans="1:25" x14ac:dyDescent="0.25">
      <c r="A163" s="26">
        <v>43311</v>
      </c>
      <c r="B163" s="27" t="s">
        <v>43</v>
      </c>
      <c r="C163" s="27" t="s">
        <v>95</v>
      </c>
      <c r="D163" s="89">
        <v>38.024929999999998</v>
      </c>
      <c r="E163" s="89">
        <v>-121.76730999999999</v>
      </c>
      <c r="F163" s="27" t="s">
        <v>5805</v>
      </c>
      <c r="G163" s="27" t="s">
        <v>27</v>
      </c>
      <c r="H163" s="27" t="s">
        <v>863</v>
      </c>
      <c r="I163" s="84">
        <v>0.3979166666666667</v>
      </c>
      <c r="J163" s="82">
        <v>1220</v>
      </c>
      <c r="K163" s="82">
        <v>21.975000000000001</v>
      </c>
      <c r="L163" s="82">
        <v>12.457500000000001</v>
      </c>
      <c r="M163" s="82">
        <v>0.69</v>
      </c>
      <c r="N163" s="4">
        <v>3.9000000000000004</v>
      </c>
      <c r="O163" s="27" t="s">
        <v>48</v>
      </c>
      <c r="P163" s="27">
        <v>4</v>
      </c>
      <c r="Q163" s="27">
        <v>10</v>
      </c>
      <c r="R163" s="27" t="s">
        <v>49</v>
      </c>
      <c r="S163" s="27" t="s">
        <v>50</v>
      </c>
      <c r="T163" s="27" t="s">
        <v>50</v>
      </c>
      <c r="U163" s="27" t="s">
        <v>50</v>
      </c>
      <c r="V163" s="27" t="s">
        <v>50</v>
      </c>
      <c r="W163" s="27" t="s">
        <v>50</v>
      </c>
      <c r="X163" s="27" t="s">
        <v>50</v>
      </c>
    </row>
    <row r="164" spans="1:25" x14ac:dyDescent="0.25">
      <c r="A164" s="26">
        <v>43311</v>
      </c>
      <c r="B164" s="27" t="s">
        <v>43</v>
      </c>
      <c r="C164" s="27" t="s">
        <v>95</v>
      </c>
      <c r="D164" s="89">
        <v>38.050750000000001</v>
      </c>
      <c r="E164" s="89">
        <v>-121.69438</v>
      </c>
      <c r="F164" s="27" t="s">
        <v>5806</v>
      </c>
      <c r="G164" s="27" t="s">
        <v>46</v>
      </c>
      <c r="H164" s="27" t="s">
        <v>908</v>
      </c>
      <c r="I164" s="84">
        <v>0.45694444444444443</v>
      </c>
      <c r="J164" s="82">
        <v>505.5</v>
      </c>
      <c r="K164" s="82">
        <v>22.475000000000001</v>
      </c>
      <c r="L164" s="82">
        <v>8.1574999999999989</v>
      </c>
      <c r="M164" s="82">
        <v>1.1624999999999999</v>
      </c>
      <c r="N164" s="4">
        <v>12.05</v>
      </c>
      <c r="O164" s="27" t="s">
        <v>48</v>
      </c>
      <c r="P164" s="27">
        <v>4</v>
      </c>
      <c r="Q164" s="27">
        <v>10</v>
      </c>
      <c r="R164" s="27" t="s">
        <v>49</v>
      </c>
      <c r="S164" s="27" t="s">
        <v>50</v>
      </c>
      <c r="T164" s="27" t="s">
        <v>50</v>
      </c>
      <c r="U164" s="27" t="s">
        <v>50</v>
      </c>
      <c r="V164" s="27" t="s">
        <v>50</v>
      </c>
      <c r="W164" s="27" t="s">
        <v>50</v>
      </c>
      <c r="X164" s="27" t="s">
        <v>50</v>
      </c>
    </row>
    <row r="165" spans="1:25" x14ac:dyDescent="0.25">
      <c r="A165" s="26">
        <v>43311</v>
      </c>
      <c r="B165" s="27" t="s">
        <v>43</v>
      </c>
      <c r="C165" s="27" t="s">
        <v>62</v>
      </c>
      <c r="D165" s="89">
        <v>38.121729999999999</v>
      </c>
      <c r="E165" s="89">
        <v>-121.88871</v>
      </c>
      <c r="F165" s="27" t="s">
        <v>5807</v>
      </c>
      <c r="G165" s="27" t="s">
        <v>27</v>
      </c>
      <c r="H165" s="27" t="s">
        <v>62</v>
      </c>
      <c r="I165" s="84">
        <v>0.34861111111111115</v>
      </c>
      <c r="J165" s="82">
        <v>7990.25</v>
      </c>
      <c r="K165" s="82">
        <v>21.174999999999997</v>
      </c>
      <c r="L165" s="82">
        <v>26.774999999999999</v>
      </c>
      <c r="M165" s="82">
        <v>0.66500000000000004</v>
      </c>
      <c r="N165" s="4">
        <v>4.1749999999999998</v>
      </c>
      <c r="O165" s="27" t="s">
        <v>48</v>
      </c>
      <c r="P165" s="27">
        <v>4</v>
      </c>
      <c r="Q165" s="27">
        <v>10</v>
      </c>
      <c r="R165" s="27" t="s">
        <v>49</v>
      </c>
      <c r="S165" s="27" t="s">
        <v>50</v>
      </c>
      <c r="T165" s="27" t="s">
        <v>50</v>
      </c>
      <c r="U165" s="27" t="s">
        <v>50</v>
      </c>
      <c r="V165" s="27" t="s">
        <v>50</v>
      </c>
      <c r="W165" s="27" t="s">
        <v>50</v>
      </c>
      <c r="X165" s="27" t="s">
        <v>50</v>
      </c>
    </row>
    <row r="166" spans="1:25" x14ac:dyDescent="0.25">
      <c r="A166" s="26">
        <v>43311</v>
      </c>
      <c r="B166" s="27" t="s">
        <v>43</v>
      </c>
      <c r="C166" s="27" t="s">
        <v>62</v>
      </c>
      <c r="D166" s="89">
        <v>38.146090000000001</v>
      </c>
      <c r="E166" s="89">
        <v>-122.05855</v>
      </c>
      <c r="F166" s="27" t="s">
        <v>5808</v>
      </c>
      <c r="G166" s="27" t="s">
        <v>27</v>
      </c>
      <c r="H166" s="27" t="s">
        <v>62</v>
      </c>
      <c r="I166" s="84">
        <v>0.42569444444444443</v>
      </c>
      <c r="J166" s="82">
        <v>12733.25</v>
      </c>
      <c r="K166" s="82">
        <v>21.35</v>
      </c>
      <c r="L166" s="82">
        <v>46.1</v>
      </c>
      <c r="M166" s="82">
        <v>0.38500000000000001</v>
      </c>
      <c r="N166" s="4">
        <v>7.5249999999999995</v>
      </c>
      <c r="O166" s="27" t="s">
        <v>48</v>
      </c>
      <c r="P166" s="27">
        <v>4</v>
      </c>
      <c r="Q166" s="27">
        <v>10</v>
      </c>
      <c r="R166" s="27" t="s">
        <v>49</v>
      </c>
      <c r="S166" s="27" t="s">
        <v>50</v>
      </c>
      <c r="T166" s="27" t="s">
        <v>50</v>
      </c>
      <c r="U166" s="27" t="s">
        <v>50</v>
      </c>
      <c r="V166" s="27" t="s">
        <v>50</v>
      </c>
      <c r="W166" s="27" t="s">
        <v>50</v>
      </c>
      <c r="X166" s="27" t="s">
        <v>50</v>
      </c>
      <c r="Y166" s="35" t="s">
        <v>5809</v>
      </c>
    </row>
    <row r="167" spans="1:25" x14ac:dyDescent="0.25">
      <c r="A167" s="26">
        <v>43311</v>
      </c>
      <c r="B167" s="27" t="s">
        <v>43</v>
      </c>
      <c r="C167" s="27" t="s">
        <v>62</v>
      </c>
      <c r="D167" s="89">
        <v>38.103569999999998</v>
      </c>
      <c r="E167" s="89">
        <v>-122.0549</v>
      </c>
      <c r="F167" s="27" t="s">
        <v>5810</v>
      </c>
      <c r="G167" s="27" t="s">
        <v>27</v>
      </c>
      <c r="H167" s="27" t="s">
        <v>173</v>
      </c>
      <c r="I167" s="84">
        <v>0.49027777777777781</v>
      </c>
      <c r="J167" s="82">
        <v>12258.75</v>
      </c>
      <c r="K167" s="82">
        <v>20.25</v>
      </c>
      <c r="L167" s="82">
        <v>74.400000000000006</v>
      </c>
      <c r="M167" s="82">
        <v>0.27</v>
      </c>
      <c r="N167" s="4">
        <v>2.7750000000000004</v>
      </c>
      <c r="O167" s="27" t="s">
        <v>48</v>
      </c>
      <c r="P167" s="27">
        <v>4</v>
      </c>
      <c r="Q167" s="27">
        <v>10</v>
      </c>
      <c r="R167" s="27" t="s">
        <v>49</v>
      </c>
      <c r="S167" s="27" t="s">
        <v>50</v>
      </c>
      <c r="T167" s="27" t="s">
        <v>50</v>
      </c>
      <c r="U167" s="27" t="s">
        <v>50</v>
      </c>
      <c r="V167" s="27" t="s">
        <v>50</v>
      </c>
      <c r="W167" s="27" t="s">
        <v>50</v>
      </c>
      <c r="X167" s="27" t="s">
        <v>50</v>
      </c>
    </row>
    <row r="168" spans="1:25" s="149" customFormat="1" x14ac:dyDescent="0.25">
      <c r="A168" s="178">
        <v>43311</v>
      </c>
      <c r="B168" s="149" t="s">
        <v>43</v>
      </c>
      <c r="C168" s="149" t="s">
        <v>62</v>
      </c>
      <c r="D168" s="150">
        <v>38.117040000000003</v>
      </c>
      <c r="E168" s="150">
        <v>-122.05936</v>
      </c>
      <c r="F168" s="149" t="s">
        <v>5811</v>
      </c>
      <c r="G168" s="149" t="s">
        <v>27</v>
      </c>
      <c r="H168" s="149" t="s">
        <v>62</v>
      </c>
      <c r="I168" s="151">
        <v>0.48055555555555557</v>
      </c>
      <c r="J168" s="197" t="s">
        <v>50</v>
      </c>
      <c r="K168" s="197" t="s">
        <v>50</v>
      </c>
      <c r="L168" s="197" t="s">
        <v>50</v>
      </c>
      <c r="M168" s="197" t="s">
        <v>50</v>
      </c>
      <c r="N168" s="197" t="s">
        <v>50</v>
      </c>
      <c r="O168" s="149" t="s">
        <v>48</v>
      </c>
      <c r="P168" s="149">
        <v>0</v>
      </c>
      <c r="Q168" s="149" t="s">
        <v>50</v>
      </c>
      <c r="R168" s="149" t="s">
        <v>50</v>
      </c>
      <c r="S168" s="149" t="s">
        <v>50</v>
      </c>
      <c r="T168" s="149" t="s">
        <v>50</v>
      </c>
      <c r="U168" s="149" t="s">
        <v>50</v>
      </c>
      <c r="V168" s="149" t="s">
        <v>50</v>
      </c>
      <c r="W168" s="149" t="s">
        <v>50</v>
      </c>
      <c r="X168" s="149" t="s">
        <v>50</v>
      </c>
      <c r="Y168" s="152" t="s">
        <v>3595</v>
      </c>
    </row>
    <row r="169" spans="1:25" x14ac:dyDescent="0.25">
      <c r="A169" s="26">
        <v>43312</v>
      </c>
      <c r="B169" s="27" t="s">
        <v>70</v>
      </c>
      <c r="C169" s="27" t="s">
        <v>95</v>
      </c>
      <c r="D169" s="89">
        <v>38.071849999999998</v>
      </c>
      <c r="E169" s="89">
        <v>-121.56591</v>
      </c>
      <c r="F169" s="27" t="s">
        <v>5812</v>
      </c>
      <c r="G169" s="27" t="s">
        <v>46</v>
      </c>
      <c r="H169" s="27" t="s">
        <v>115</v>
      </c>
      <c r="I169" s="84">
        <v>0.33263888888888887</v>
      </c>
      <c r="J169" s="82">
        <v>196.3</v>
      </c>
      <c r="K169" s="82">
        <v>23.274999999999999</v>
      </c>
      <c r="L169" s="82">
        <v>9.9050000000000011</v>
      </c>
      <c r="M169" s="82">
        <v>1.2475000000000001</v>
      </c>
      <c r="N169" s="4">
        <v>7.1000000000000005</v>
      </c>
      <c r="O169" s="27" t="s">
        <v>48</v>
      </c>
      <c r="P169" s="27">
        <v>4</v>
      </c>
      <c r="Q169" s="27">
        <v>10</v>
      </c>
      <c r="R169" s="27" t="s">
        <v>49</v>
      </c>
      <c r="S169" s="27" t="s">
        <v>50</v>
      </c>
      <c r="T169" s="27" t="s">
        <v>50</v>
      </c>
      <c r="U169" s="27" t="s">
        <v>50</v>
      </c>
      <c r="V169" s="27" t="s">
        <v>50</v>
      </c>
      <c r="W169" s="27" t="s">
        <v>50</v>
      </c>
      <c r="X169" s="27" t="s">
        <v>50</v>
      </c>
    </row>
    <row r="170" spans="1:25" x14ac:dyDescent="0.25">
      <c r="A170" s="26">
        <v>43312</v>
      </c>
      <c r="B170" s="27" t="s">
        <v>70</v>
      </c>
      <c r="C170" s="27" t="s">
        <v>95</v>
      </c>
      <c r="D170" s="89">
        <v>38.094619999999999</v>
      </c>
      <c r="E170" s="89">
        <v>-121.57132</v>
      </c>
      <c r="F170" s="27" t="s">
        <v>5813</v>
      </c>
      <c r="G170" s="27" t="s">
        <v>46</v>
      </c>
      <c r="H170" s="27" t="s">
        <v>115</v>
      </c>
      <c r="I170" s="84">
        <v>0.39513888888888887</v>
      </c>
      <c r="J170" s="82">
        <v>166.17500000000001</v>
      </c>
      <c r="K170" s="82">
        <v>23.25</v>
      </c>
      <c r="L170" s="82">
        <v>7.9775</v>
      </c>
      <c r="M170" s="82">
        <v>1.61</v>
      </c>
      <c r="N170" s="4">
        <v>6.3250000000000002</v>
      </c>
      <c r="O170" s="27" t="s">
        <v>48</v>
      </c>
      <c r="P170" s="27">
        <v>4</v>
      </c>
      <c r="Q170" s="27">
        <v>10</v>
      </c>
      <c r="R170" s="27" t="s">
        <v>49</v>
      </c>
      <c r="S170" s="27" t="s">
        <v>50</v>
      </c>
      <c r="T170" s="27" t="s">
        <v>50</v>
      </c>
      <c r="U170" s="27" t="s">
        <v>50</v>
      </c>
      <c r="V170" s="27" t="s">
        <v>50</v>
      </c>
      <c r="W170" s="27" t="s">
        <v>50</v>
      </c>
      <c r="X170" s="27" t="s">
        <v>50</v>
      </c>
      <c r="Y170" s="35" t="s">
        <v>124</v>
      </c>
    </row>
    <row r="171" spans="1:25" x14ac:dyDescent="0.25">
      <c r="A171" s="26">
        <v>43312</v>
      </c>
      <c r="B171" s="27" t="s">
        <v>70</v>
      </c>
      <c r="C171" s="27" t="s">
        <v>95</v>
      </c>
      <c r="D171" s="89">
        <v>38.103819999999999</v>
      </c>
      <c r="E171" s="89">
        <v>-121.59545</v>
      </c>
      <c r="F171" s="27" t="s">
        <v>5814</v>
      </c>
      <c r="G171" s="27" t="s">
        <v>46</v>
      </c>
      <c r="H171" s="27" t="s">
        <v>115</v>
      </c>
      <c r="I171" s="84">
        <v>0.46180555555555558</v>
      </c>
      <c r="J171" s="82">
        <v>161.19999999999999</v>
      </c>
      <c r="K171" s="82">
        <v>23.274999999999999</v>
      </c>
      <c r="L171" s="82">
        <v>9.6274999999999995</v>
      </c>
      <c r="M171" s="82">
        <v>1.6074999999999999</v>
      </c>
      <c r="N171" s="4">
        <v>7.8000000000000007</v>
      </c>
      <c r="O171" s="27" t="s">
        <v>48</v>
      </c>
      <c r="P171" s="27">
        <v>4</v>
      </c>
      <c r="Q171" s="27">
        <v>10</v>
      </c>
      <c r="R171" s="27" t="s">
        <v>49</v>
      </c>
      <c r="S171" s="27" t="s">
        <v>50</v>
      </c>
      <c r="T171" s="27" t="s">
        <v>50</v>
      </c>
      <c r="U171" s="27" t="s">
        <v>50</v>
      </c>
      <c r="V171" s="27" t="s">
        <v>50</v>
      </c>
      <c r="W171" s="27" t="s">
        <v>50</v>
      </c>
      <c r="X171" s="27" t="s">
        <v>50</v>
      </c>
    </row>
    <row r="172" spans="1:25" x14ac:dyDescent="0.25">
      <c r="A172" s="26">
        <v>43312</v>
      </c>
      <c r="B172" s="27" t="s">
        <v>70</v>
      </c>
      <c r="C172" s="27" t="s">
        <v>845</v>
      </c>
      <c r="D172" s="89">
        <v>38.249200000000002</v>
      </c>
      <c r="E172" s="89">
        <v>-121.70998</v>
      </c>
      <c r="F172" s="27" t="s">
        <v>5815</v>
      </c>
      <c r="G172" s="27" t="s">
        <v>90</v>
      </c>
      <c r="H172" s="27" t="s">
        <v>126</v>
      </c>
      <c r="I172" s="84">
        <v>0.35000000000000003</v>
      </c>
      <c r="J172" s="82">
        <v>138.75</v>
      </c>
      <c r="K172" s="82">
        <v>21.349999999999998</v>
      </c>
      <c r="L172" s="82">
        <v>6.3299999999999992</v>
      </c>
      <c r="M172" s="82">
        <v>1.31</v>
      </c>
      <c r="N172" s="4">
        <v>4.9000000000000004</v>
      </c>
      <c r="O172" s="27" t="s">
        <v>48</v>
      </c>
      <c r="P172" s="27">
        <v>4</v>
      </c>
      <c r="Q172" s="27">
        <v>10</v>
      </c>
      <c r="R172" s="27" t="s">
        <v>49</v>
      </c>
      <c r="S172" s="27" t="s">
        <v>50</v>
      </c>
      <c r="T172" s="27" t="s">
        <v>50</v>
      </c>
      <c r="U172" s="27" t="s">
        <v>50</v>
      </c>
      <c r="V172" s="27" t="s">
        <v>50</v>
      </c>
      <c r="W172" s="27" t="s">
        <v>50</v>
      </c>
      <c r="X172" s="27" t="s">
        <v>50</v>
      </c>
    </row>
    <row r="173" spans="1:25" x14ac:dyDescent="0.25">
      <c r="A173" s="26">
        <v>43312</v>
      </c>
      <c r="B173" s="27" t="s">
        <v>70</v>
      </c>
      <c r="C173" s="27" t="s">
        <v>845</v>
      </c>
      <c r="D173" s="89">
        <v>38.295319999999997</v>
      </c>
      <c r="E173" s="89">
        <v>-121.65987</v>
      </c>
      <c r="F173" s="27" t="s">
        <v>5816</v>
      </c>
      <c r="G173" s="27" t="s">
        <v>90</v>
      </c>
      <c r="H173" s="27" t="s">
        <v>126</v>
      </c>
      <c r="I173" s="84">
        <v>0.40972222222222227</v>
      </c>
      <c r="J173" s="82">
        <v>146.625</v>
      </c>
      <c r="K173" s="82">
        <v>21.3</v>
      </c>
      <c r="L173" s="82">
        <v>13.3</v>
      </c>
      <c r="M173" s="82">
        <v>0.92</v>
      </c>
      <c r="N173" s="4">
        <v>7.25</v>
      </c>
      <c r="O173" s="27" t="s">
        <v>48</v>
      </c>
      <c r="P173" s="27">
        <v>4</v>
      </c>
      <c r="Q173" s="27">
        <v>10</v>
      </c>
      <c r="R173" s="27" t="s">
        <v>49</v>
      </c>
      <c r="S173" s="27" t="s">
        <v>50</v>
      </c>
      <c r="T173" s="27" t="s">
        <v>50</v>
      </c>
      <c r="U173" s="27" t="s">
        <v>50</v>
      </c>
      <c r="V173" s="27" t="s">
        <v>50</v>
      </c>
      <c r="W173" s="27" t="s">
        <v>50</v>
      </c>
      <c r="X173" s="27" t="s">
        <v>50</v>
      </c>
    </row>
    <row r="174" spans="1:25" x14ac:dyDescent="0.25">
      <c r="A174" s="26">
        <v>43312</v>
      </c>
      <c r="B174" s="27" t="s">
        <v>70</v>
      </c>
      <c r="C174" s="27" t="s">
        <v>845</v>
      </c>
      <c r="D174" s="89">
        <v>38.344320000000003</v>
      </c>
      <c r="E174" s="89">
        <v>-121.64688</v>
      </c>
      <c r="F174" s="27" t="s">
        <v>5817</v>
      </c>
      <c r="G174" s="27" t="s">
        <v>90</v>
      </c>
      <c r="H174" s="27" t="s">
        <v>126</v>
      </c>
      <c r="I174" s="84">
        <v>0.4680555555555555</v>
      </c>
      <c r="J174" s="82">
        <v>162.10000000000002</v>
      </c>
      <c r="K174" s="82">
        <v>22.15</v>
      </c>
      <c r="L174" s="82">
        <v>19.899999999999999</v>
      </c>
      <c r="M174" s="82">
        <v>0.625</v>
      </c>
      <c r="N174" s="4">
        <v>6.85</v>
      </c>
      <c r="O174" s="27" t="s">
        <v>48</v>
      </c>
      <c r="P174" s="27">
        <v>4</v>
      </c>
      <c r="Q174" s="27">
        <v>10</v>
      </c>
      <c r="R174" s="27" t="s">
        <v>49</v>
      </c>
      <c r="S174" s="27" t="s">
        <v>50</v>
      </c>
      <c r="T174" s="27" t="s">
        <v>50</v>
      </c>
      <c r="U174" s="27" t="s">
        <v>50</v>
      </c>
      <c r="V174" s="27" t="s">
        <v>50</v>
      </c>
      <c r="W174" s="27" t="s">
        <v>50</v>
      </c>
      <c r="X174" s="27" t="s">
        <v>50</v>
      </c>
    </row>
    <row r="175" spans="1:25" x14ac:dyDescent="0.25">
      <c r="A175" s="26">
        <v>43312</v>
      </c>
      <c r="B175" s="27" t="s">
        <v>70</v>
      </c>
      <c r="C175" s="27" t="s">
        <v>62</v>
      </c>
      <c r="D175" s="89">
        <v>38.11056</v>
      </c>
      <c r="E175" s="89">
        <v>-122.05425</v>
      </c>
      <c r="F175" s="27" t="s">
        <v>5818</v>
      </c>
      <c r="G175" s="27" t="s">
        <v>27</v>
      </c>
      <c r="H175" s="27" t="s">
        <v>173</v>
      </c>
      <c r="I175" s="84">
        <v>0.39166666666666666</v>
      </c>
      <c r="J175" s="82">
        <v>12954</v>
      </c>
      <c r="K175" s="82">
        <v>20.024999999999999</v>
      </c>
      <c r="L175" s="82">
        <v>116.5</v>
      </c>
      <c r="M175" s="82">
        <v>0.1825</v>
      </c>
      <c r="N175" s="4">
        <v>2.6999999999999997</v>
      </c>
      <c r="O175" s="27" t="s">
        <v>48</v>
      </c>
      <c r="P175" s="27">
        <v>4</v>
      </c>
      <c r="Q175" s="27">
        <v>10</v>
      </c>
      <c r="R175" s="27" t="s">
        <v>49</v>
      </c>
      <c r="S175" s="27" t="s">
        <v>50</v>
      </c>
      <c r="T175" s="27" t="s">
        <v>50</v>
      </c>
      <c r="U175" s="27" t="s">
        <v>50</v>
      </c>
      <c r="V175" s="27" t="s">
        <v>50</v>
      </c>
      <c r="W175" s="27" t="s">
        <v>50</v>
      </c>
      <c r="X175" s="27" t="s">
        <v>50</v>
      </c>
    </row>
    <row r="176" spans="1:25" x14ac:dyDescent="0.25">
      <c r="A176" s="26">
        <v>43312</v>
      </c>
      <c r="B176" s="27" t="s">
        <v>70</v>
      </c>
      <c r="C176" s="27" t="s">
        <v>62</v>
      </c>
      <c r="D176" s="89">
        <v>38.17924</v>
      </c>
      <c r="E176" s="89">
        <v>-122.05750999999999</v>
      </c>
      <c r="F176" s="27" t="s">
        <v>5819</v>
      </c>
      <c r="G176" s="27" t="s">
        <v>27</v>
      </c>
      <c r="H176" s="27" t="s">
        <v>62</v>
      </c>
      <c r="I176" s="84">
        <v>0.45069444444444445</v>
      </c>
      <c r="J176" s="82">
        <v>11078.75</v>
      </c>
      <c r="K176" s="82">
        <v>21.024999999999999</v>
      </c>
      <c r="L176" s="82">
        <v>46.924999999999997</v>
      </c>
      <c r="M176" s="82">
        <v>0.38250000000000006</v>
      </c>
      <c r="N176" s="4">
        <v>7.0750000000000002</v>
      </c>
      <c r="O176" s="27" t="s">
        <v>48</v>
      </c>
      <c r="P176" s="27">
        <v>4</v>
      </c>
      <c r="Q176" s="27">
        <v>10</v>
      </c>
      <c r="R176" s="27" t="s">
        <v>49</v>
      </c>
      <c r="S176" s="27" t="s">
        <v>50</v>
      </c>
      <c r="T176" s="27" t="s">
        <v>50</v>
      </c>
      <c r="U176" s="27" t="s">
        <v>50</v>
      </c>
      <c r="V176" s="27" t="s">
        <v>50</v>
      </c>
      <c r="W176" s="27" t="s">
        <v>50</v>
      </c>
      <c r="X176" s="27" t="s">
        <v>50</v>
      </c>
    </row>
    <row r="177" spans="1:25" x14ac:dyDescent="0.25">
      <c r="A177" s="26">
        <v>43312</v>
      </c>
      <c r="B177" s="27" t="s">
        <v>70</v>
      </c>
      <c r="C177" s="27" t="s">
        <v>62</v>
      </c>
      <c r="D177" s="89">
        <v>38.157969999999999</v>
      </c>
      <c r="E177" s="89">
        <v>-121.92637000000001</v>
      </c>
      <c r="F177" s="27" t="s">
        <v>5820</v>
      </c>
      <c r="G177" s="27" t="s">
        <v>27</v>
      </c>
      <c r="H177" s="27" t="s">
        <v>62</v>
      </c>
      <c r="I177" s="84">
        <v>0.5180555555555556</v>
      </c>
      <c r="J177" s="82">
        <v>9215</v>
      </c>
      <c r="K177" s="82">
        <v>21.4</v>
      </c>
      <c r="L177" s="82">
        <v>34.174999999999997</v>
      </c>
      <c r="M177" s="82">
        <v>0.46749999999999997</v>
      </c>
      <c r="N177" s="4">
        <v>3.625</v>
      </c>
      <c r="O177" s="27" t="s">
        <v>48</v>
      </c>
      <c r="P177" s="27">
        <v>4</v>
      </c>
      <c r="Q177" s="27">
        <v>10</v>
      </c>
      <c r="R177" s="27" t="s">
        <v>49</v>
      </c>
      <c r="S177" s="27" t="s">
        <v>50</v>
      </c>
      <c r="T177" s="27" t="s">
        <v>50</v>
      </c>
      <c r="U177" s="27" t="s">
        <v>50</v>
      </c>
      <c r="V177" s="27" t="s">
        <v>50</v>
      </c>
      <c r="W177" s="27" t="s">
        <v>50</v>
      </c>
      <c r="X177" s="27" t="s">
        <v>50</v>
      </c>
    </row>
    <row r="178" spans="1:25" s="149" customFormat="1" x14ac:dyDescent="0.25">
      <c r="A178" s="178">
        <v>43312</v>
      </c>
      <c r="B178" s="149" t="s">
        <v>70</v>
      </c>
      <c r="C178" s="149" t="s">
        <v>62</v>
      </c>
      <c r="D178" s="150">
        <v>38.121009999999998</v>
      </c>
      <c r="E178" s="150">
        <v>-122.07443000000001</v>
      </c>
      <c r="F178" s="149" t="s">
        <v>5821</v>
      </c>
      <c r="G178" s="149" t="s">
        <v>27</v>
      </c>
      <c r="H178" s="149" t="s">
        <v>62</v>
      </c>
      <c r="I178" s="151">
        <v>0.36041666666666666</v>
      </c>
      <c r="J178" s="197">
        <v>13195</v>
      </c>
      <c r="K178" s="197">
        <v>21.1</v>
      </c>
      <c r="L178" s="197">
        <v>62.3</v>
      </c>
      <c r="M178" s="197">
        <v>0.21</v>
      </c>
      <c r="N178" s="197">
        <v>2</v>
      </c>
      <c r="O178" s="149" t="s">
        <v>48</v>
      </c>
      <c r="P178" s="149">
        <v>1</v>
      </c>
      <c r="Q178" s="149">
        <v>2</v>
      </c>
      <c r="R178" s="149" t="s">
        <v>49</v>
      </c>
      <c r="S178" s="149" t="s">
        <v>50</v>
      </c>
      <c r="T178" s="149" t="s">
        <v>50</v>
      </c>
      <c r="U178" s="149" t="s">
        <v>50</v>
      </c>
      <c r="V178" s="149" t="s">
        <v>50</v>
      </c>
      <c r="W178" s="149" t="s">
        <v>50</v>
      </c>
      <c r="X178" s="149" t="s">
        <v>50</v>
      </c>
      <c r="Y178" s="152" t="s">
        <v>5822</v>
      </c>
    </row>
    <row r="179" spans="1:25" s="149" customFormat="1" x14ac:dyDescent="0.25">
      <c r="A179" s="178">
        <v>43312</v>
      </c>
      <c r="B179" s="149" t="s">
        <v>70</v>
      </c>
      <c r="C179" s="149" t="s">
        <v>62</v>
      </c>
      <c r="D179" s="150">
        <v>38.13944</v>
      </c>
      <c r="E179" s="150">
        <v>-122.07604000000001</v>
      </c>
      <c r="F179" s="149" t="s">
        <v>5823</v>
      </c>
      <c r="G179" s="149" t="s">
        <v>27</v>
      </c>
      <c r="H179" s="149" t="s">
        <v>62</v>
      </c>
      <c r="I179" s="151">
        <v>0.37777777777777777</v>
      </c>
      <c r="J179" s="197" t="s">
        <v>50</v>
      </c>
      <c r="K179" s="197" t="s">
        <v>50</v>
      </c>
      <c r="L179" s="197" t="s">
        <v>50</v>
      </c>
      <c r="M179" s="197" t="s">
        <v>50</v>
      </c>
      <c r="N179" s="197" t="s">
        <v>50</v>
      </c>
      <c r="O179" s="149" t="s">
        <v>48</v>
      </c>
      <c r="P179" s="149">
        <v>0</v>
      </c>
      <c r="Q179" s="149" t="s">
        <v>50</v>
      </c>
      <c r="R179" s="149" t="s">
        <v>50</v>
      </c>
      <c r="S179" s="149" t="s">
        <v>50</v>
      </c>
      <c r="T179" s="149" t="s">
        <v>50</v>
      </c>
      <c r="U179" s="149" t="s">
        <v>50</v>
      </c>
      <c r="V179" s="149" t="s">
        <v>50</v>
      </c>
      <c r="W179" s="149" t="s">
        <v>50</v>
      </c>
      <c r="X179" s="149" t="s">
        <v>50</v>
      </c>
      <c r="Y179" s="152" t="s">
        <v>3595</v>
      </c>
    </row>
    <row r="180" spans="1:25" x14ac:dyDescent="0.25">
      <c r="A180" s="26">
        <v>43313</v>
      </c>
      <c r="B180" s="27" t="s">
        <v>87</v>
      </c>
      <c r="C180" s="27" t="s">
        <v>78</v>
      </c>
      <c r="D180" s="89">
        <v>38.071869999999997</v>
      </c>
      <c r="E180" s="89">
        <v>-121.95948</v>
      </c>
      <c r="F180" s="27" t="s">
        <v>5824</v>
      </c>
      <c r="G180" s="27" t="s">
        <v>27</v>
      </c>
      <c r="H180" s="27" t="s">
        <v>170</v>
      </c>
      <c r="I180" s="84">
        <v>0.3527777777777778</v>
      </c>
      <c r="J180" s="82">
        <v>11646.75</v>
      </c>
      <c r="K180" s="82">
        <v>20.224999999999998</v>
      </c>
      <c r="L180" s="82">
        <v>35.300000000000004</v>
      </c>
      <c r="M180" s="82">
        <v>0.38500000000000001</v>
      </c>
      <c r="N180" s="4">
        <v>3.45</v>
      </c>
      <c r="O180" s="27" t="s">
        <v>48</v>
      </c>
      <c r="P180" s="27">
        <v>4</v>
      </c>
      <c r="Q180" s="27">
        <v>10</v>
      </c>
      <c r="R180" s="27" t="s">
        <v>49</v>
      </c>
      <c r="S180" s="27" t="s">
        <v>50</v>
      </c>
      <c r="T180" s="27" t="s">
        <v>50</v>
      </c>
      <c r="U180" s="27" t="s">
        <v>50</v>
      </c>
      <c r="V180" s="27" t="s">
        <v>50</v>
      </c>
      <c r="W180" s="27" t="s">
        <v>50</v>
      </c>
      <c r="X180" s="27" t="s">
        <v>50</v>
      </c>
    </row>
    <row r="181" spans="1:25" x14ac:dyDescent="0.25">
      <c r="A181" s="26">
        <v>43313</v>
      </c>
      <c r="B181" s="27" t="s">
        <v>87</v>
      </c>
      <c r="C181" s="27" t="s">
        <v>78</v>
      </c>
      <c r="D181" s="89">
        <v>38.09787</v>
      </c>
      <c r="E181" s="89">
        <v>-122.04952</v>
      </c>
      <c r="F181" s="27" t="s">
        <v>5825</v>
      </c>
      <c r="G181" s="27" t="s">
        <v>27</v>
      </c>
      <c r="H181" s="27" t="s">
        <v>86</v>
      </c>
      <c r="I181" s="84">
        <v>0.4201388888888889</v>
      </c>
      <c r="J181" s="82">
        <v>14689.75</v>
      </c>
      <c r="K181" s="82">
        <v>19.725000000000001</v>
      </c>
      <c r="L181" s="82">
        <v>31.5</v>
      </c>
      <c r="M181" s="82">
        <v>0.39</v>
      </c>
      <c r="N181" s="4">
        <v>5.1999999999999993</v>
      </c>
      <c r="O181" s="27" t="s">
        <v>48</v>
      </c>
      <c r="P181" s="27">
        <v>4</v>
      </c>
      <c r="Q181" s="27">
        <v>10</v>
      </c>
      <c r="R181" s="27" t="s">
        <v>49</v>
      </c>
      <c r="S181" s="27" t="s">
        <v>50</v>
      </c>
      <c r="T181" s="27" t="s">
        <v>50</v>
      </c>
      <c r="U181" s="27" t="s">
        <v>50</v>
      </c>
      <c r="V181" s="27" t="s">
        <v>50</v>
      </c>
      <c r="W181" s="27" t="s">
        <v>50</v>
      </c>
      <c r="X181" s="27" t="s">
        <v>50</v>
      </c>
    </row>
    <row r="182" spans="1:25" x14ac:dyDescent="0.25">
      <c r="A182" s="26">
        <v>43313</v>
      </c>
      <c r="B182" s="27" t="s">
        <v>87</v>
      </c>
      <c r="C182" s="27" t="s">
        <v>78</v>
      </c>
      <c r="D182" s="89">
        <v>38.095329999999997</v>
      </c>
      <c r="E182" s="89">
        <v>-122.02061999999999</v>
      </c>
      <c r="F182" s="27" t="s">
        <v>5826</v>
      </c>
      <c r="G182" s="27" t="s">
        <v>27</v>
      </c>
      <c r="H182" s="27" t="s">
        <v>86</v>
      </c>
      <c r="I182" s="84">
        <v>0.47361111111111115</v>
      </c>
      <c r="J182" s="82">
        <v>11234</v>
      </c>
      <c r="K182" s="82">
        <v>20.425000000000001</v>
      </c>
      <c r="L182" s="82">
        <v>48.900000000000006</v>
      </c>
      <c r="M182" s="82">
        <v>0.38750000000000001</v>
      </c>
      <c r="N182" s="4">
        <v>9</v>
      </c>
      <c r="O182" s="27" t="s">
        <v>48</v>
      </c>
      <c r="P182" s="27">
        <v>4</v>
      </c>
      <c r="Q182" s="27">
        <v>10</v>
      </c>
      <c r="R182" s="27" t="s">
        <v>49</v>
      </c>
      <c r="S182" s="27" t="s">
        <v>50</v>
      </c>
      <c r="T182" s="27" t="s">
        <v>50</v>
      </c>
      <c r="U182" s="27" t="s">
        <v>50</v>
      </c>
      <c r="V182" s="27" t="s">
        <v>50</v>
      </c>
      <c r="W182" s="27" t="s">
        <v>50</v>
      </c>
      <c r="X182" s="27" t="s">
        <v>50</v>
      </c>
    </row>
    <row r="183" spans="1:25" x14ac:dyDescent="0.25">
      <c r="A183" s="26">
        <v>43313</v>
      </c>
      <c r="B183" s="27" t="s">
        <v>87</v>
      </c>
      <c r="C183" s="27" t="s">
        <v>88</v>
      </c>
      <c r="D183" s="89">
        <v>38.17671</v>
      </c>
      <c r="E183" s="89">
        <v>-121.66761</v>
      </c>
      <c r="F183" s="27" t="s">
        <v>5827</v>
      </c>
      <c r="G183" s="27" t="s">
        <v>90</v>
      </c>
      <c r="H183" s="27" t="s">
        <v>91</v>
      </c>
      <c r="I183" s="84">
        <v>0.3576388888888889</v>
      </c>
      <c r="J183" s="82">
        <v>129.42499999999998</v>
      </c>
      <c r="K183" s="82">
        <v>22.7</v>
      </c>
      <c r="L183" s="82">
        <v>7.1225000000000005</v>
      </c>
      <c r="M183" s="82">
        <v>1.7749999999999999</v>
      </c>
      <c r="N183" s="4">
        <v>14.224999999999998</v>
      </c>
      <c r="O183" s="27" t="s">
        <v>48</v>
      </c>
      <c r="P183" s="27">
        <v>4</v>
      </c>
      <c r="Q183" s="27">
        <v>10</v>
      </c>
      <c r="R183" s="27" t="s">
        <v>49</v>
      </c>
      <c r="S183" s="27" t="s">
        <v>50</v>
      </c>
      <c r="T183" s="27" t="s">
        <v>50</v>
      </c>
      <c r="U183" s="27" t="s">
        <v>50</v>
      </c>
      <c r="V183" s="27" t="s">
        <v>50</v>
      </c>
      <c r="W183" s="27" t="s">
        <v>50</v>
      </c>
      <c r="X183" s="27" t="s">
        <v>50</v>
      </c>
      <c r="Y183" s="35" t="s">
        <v>3878</v>
      </c>
    </row>
    <row r="184" spans="1:25" x14ac:dyDescent="0.25">
      <c r="A184" s="26">
        <v>43313</v>
      </c>
      <c r="B184" s="27" t="s">
        <v>87</v>
      </c>
      <c r="C184" s="27" t="s">
        <v>88</v>
      </c>
      <c r="D184" s="89">
        <v>38.16442</v>
      </c>
      <c r="E184" s="89">
        <v>-121.67699</v>
      </c>
      <c r="F184" s="27" t="s">
        <v>5828</v>
      </c>
      <c r="G184" s="27" t="s">
        <v>90</v>
      </c>
      <c r="H184" s="27" t="s">
        <v>91</v>
      </c>
      <c r="I184" s="84">
        <v>0.4055555555555555</v>
      </c>
      <c r="J184" s="82">
        <v>129.19999999999999</v>
      </c>
      <c r="K184" s="82">
        <v>22.549999999999997</v>
      </c>
      <c r="L184" s="82">
        <v>7.0750000000000002</v>
      </c>
      <c r="M184" s="82" t="s">
        <v>5829</v>
      </c>
      <c r="N184" s="4">
        <v>7.625</v>
      </c>
      <c r="O184" s="27" t="s">
        <v>48</v>
      </c>
      <c r="P184" s="27">
        <v>4</v>
      </c>
      <c r="Q184" s="27">
        <v>10</v>
      </c>
      <c r="R184" s="27" t="s">
        <v>49</v>
      </c>
      <c r="S184" s="27" t="s">
        <v>50</v>
      </c>
      <c r="T184" s="27" t="s">
        <v>50</v>
      </c>
      <c r="U184" s="27" t="s">
        <v>50</v>
      </c>
      <c r="V184" s="27" t="s">
        <v>50</v>
      </c>
      <c r="W184" s="27" t="s">
        <v>50</v>
      </c>
      <c r="X184" s="27" t="s">
        <v>50</v>
      </c>
    </row>
    <row r="185" spans="1:25" x14ac:dyDescent="0.25">
      <c r="A185" s="26">
        <v>43313</v>
      </c>
      <c r="B185" s="27" t="s">
        <v>87</v>
      </c>
      <c r="C185" s="27" t="s">
        <v>88</v>
      </c>
      <c r="D185" s="89">
        <v>38.13223</v>
      </c>
      <c r="E185" s="89">
        <v>-121.69701999999999</v>
      </c>
      <c r="F185" s="27" t="s">
        <v>5830</v>
      </c>
      <c r="G185" s="27" t="s">
        <v>90</v>
      </c>
      <c r="H185" s="27" t="s">
        <v>91</v>
      </c>
      <c r="I185" s="84">
        <v>0.4548611111111111</v>
      </c>
      <c r="J185" s="82">
        <v>132.30000000000001</v>
      </c>
      <c r="K185" s="82">
        <v>22.7</v>
      </c>
      <c r="L185" s="82">
        <v>9.1399999999999988</v>
      </c>
      <c r="M185" s="82">
        <v>1.1850000000000001</v>
      </c>
      <c r="N185" s="4">
        <v>8.7749999999999986</v>
      </c>
      <c r="O185" s="27" t="s">
        <v>48</v>
      </c>
      <c r="P185" s="27">
        <v>4</v>
      </c>
      <c r="Q185" s="27">
        <v>10</v>
      </c>
      <c r="R185" s="27" t="s">
        <v>49</v>
      </c>
      <c r="S185" s="27" t="s">
        <v>50</v>
      </c>
      <c r="T185" s="27" t="s">
        <v>50</v>
      </c>
      <c r="U185" s="27" t="s">
        <v>50</v>
      </c>
      <c r="V185" s="27" t="s">
        <v>50</v>
      </c>
      <c r="W185" s="27" t="s">
        <v>50</v>
      </c>
      <c r="X185" s="27" t="s">
        <v>50</v>
      </c>
    </row>
    <row r="186" spans="1:25" x14ac:dyDescent="0.25">
      <c r="A186" s="26">
        <v>43313</v>
      </c>
      <c r="B186" s="27" t="s">
        <v>87</v>
      </c>
      <c r="C186" s="27" t="s">
        <v>106</v>
      </c>
      <c r="D186" s="89">
        <v>38.28443</v>
      </c>
      <c r="E186" s="89">
        <v>-121.65875</v>
      </c>
      <c r="F186" s="27" t="s">
        <v>5831</v>
      </c>
      <c r="G186" s="27" t="s">
        <v>90</v>
      </c>
      <c r="H186" s="27" t="s">
        <v>362</v>
      </c>
      <c r="I186" s="84">
        <v>0.33124999999999999</v>
      </c>
      <c r="J186" s="82">
        <v>143.4</v>
      </c>
      <c r="K186" s="82">
        <v>21.924999999999997</v>
      </c>
      <c r="L186" s="82">
        <v>9.82</v>
      </c>
      <c r="M186" s="82">
        <v>1.1975</v>
      </c>
      <c r="N186" s="4">
        <v>9.0500000000000007</v>
      </c>
      <c r="O186" s="27" t="s">
        <v>48</v>
      </c>
      <c r="P186" s="27">
        <v>4</v>
      </c>
      <c r="Q186" s="27">
        <v>10</v>
      </c>
      <c r="R186" s="27" t="s">
        <v>49</v>
      </c>
      <c r="S186" s="27" t="s">
        <v>50</v>
      </c>
      <c r="T186" s="27" t="s">
        <v>50</v>
      </c>
      <c r="U186" s="27" t="s">
        <v>50</v>
      </c>
      <c r="V186" s="27" t="s">
        <v>50</v>
      </c>
      <c r="W186" s="27" t="s">
        <v>50</v>
      </c>
      <c r="X186" s="27" t="s">
        <v>50</v>
      </c>
    </row>
    <row r="187" spans="1:25" s="215" customFormat="1" x14ac:dyDescent="0.25">
      <c r="A187" s="495">
        <v>43313</v>
      </c>
      <c r="B187" s="494" t="s">
        <v>87</v>
      </c>
      <c r="C187" s="494" t="s">
        <v>106</v>
      </c>
      <c r="D187" s="496">
        <v>38.468260000000001</v>
      </c>
      <c r="E187" s="496">
        <v>-121.5861</v>
      </c>
      <c r="F187" s="494" t="s">
        <v>5832</v>
      </c>
      <c r="G187" s="494" t="s">
        <v>90</v>
      </c>
      <c r="H187" s="494" t="s">
        <v>362</v>
      </c>
      <c r="I187" s="497">
        <v>0.40347222222222223</v>
      </c>
      <c r="J187" s="498">
        <v>764.5</v>
      </c>
      <c r="K187" s="498">
        <v>23.9</v>
      </c>
      <c r="L187" s="498">
        <v>28.3</v>
      </c>
      <c r="M187" s="498">
        <v>0.44</v>
      </c>
      <c r="N187" s="499">
        <v>10.8</v>
      </c>
      <c r="O187" s="494" t="s">
        <v>48</v>
      </c>
      <c r="P187" s="494">
        <v>2</v>
      </c>
      <c r="Q187" s="494">
        <v>10</v>
      </c>
      <c r="R187" s="494" t="s">
        <v>49</v>
      </c>
      <c r="S187" s="494" t="s">
        <v>323</v>
      </c>
      <c r="T187" s="494">
        <v>2</v>
      </c>
      <c r="U187" s="494" t="s">
        <v>5833</v>
      </c>
      <c r="V187" s="494" t="s">
        <v>66</v>
      </c>
      <c r="W187" s="494" t="s">
        <v>50</v>
      </c>
      <c r="X187" s="494" t="s">
        <v>50</v>
      </c>
      <c r="Y187" s="455" t="s">
        <v>5834</v>
      </c>
    </row>
    <row r="188" spans="1:25" s="215" customFormat="1" x14ac:dyDescent="0.25">
      <c r="A188" s="495">
        <v>43313</v>
      </c>
      <c r="B188" s="494" t="s">
        <v>87</v>
      </c>
      <c r="C188" s="494" t="s">
        <v>106</v>
      </c>
      <c r="D188" s="496">
        <v>38.486190000000001</v>
      </c>
      <c r="E188" s="496">
        <v>-121.58456</v>
      </c>
      <c r="F188" s="494" t="s">
        <v>5835</v>
      </c>
      <c r="G188" s="494" t="s">
        <v>90</v>
      </c>
      <c r="H188" s="494" t="s">
        <v>1787</v>
      </c>
      <c r="I188" s="497">
        <v>0.45</v>
      </c>
      <c r="J188" s="498">
        <v>832</v>
      </c>
      <c r="K188" s="498">
        <v>24.1</v>
      </c>
      <c r="L188" s="498">
        <v>22.200000000000003</v>
      </c>
      <c r="M188" s="498">
        <v>0.51</v>
      </c>
      <c r="N188" s="499">
        <v>12.600000000000001</v>
      </c>
      <c r="O188" s="494" t="s">
        <v>48</v>
      </c>
      <c r="P188" s="494">
        <v>2</v>
      </c>
      <c r="Q188" s="494">
        <v>10</v>
      </c>
      <c r="R188" s="494" t="s">
        <v>49</v>
      </c>
      <c r="S188" s="494" t="s">
        <v>323</v>
      </c>
      <c r="T188" s="494">
        <v>2</v>
      </c>
      <c r="U188" s="494" t="s">
        <v>5836</v>
      </c>
      <c r="V188" s="494" t="s">
        <v>66</v>
      </c>
      <c r="W188" s="494" t="s">
        <v>50</v>
      </c>
      <c r="X188" s="494" t="s">
        <v>50</v>
      </c>
      <c r="Y188" s="455" t="s">
        <v>5837</v>
      </c>
    </row>
    <row r="189" spans="1:25" x14ac:dyDescent="0.25">
      <c r="A189" s="26">
        <v>43314</v>
      </c>
      <c r="B189" s="27" t="s">
        <v>876</v>
      </c>
      <c r="C189" s="27" t="s">
        <v>88</v>
      </c>
      <c r="D189" s="89">
        <v>38.063890000000001</v>
      </c>
      <c r="E189" s="89">
        <v>-121.78478</v>
      </c>
      <c r="F189" s="27" t="s">
        <v>5838</v>
      </c>
      <c r="G189" s="27" t="s">
        <v>27</v>
      </c>
      <c r="H189" s="27" t="s">
        <v>25</v>
      </c>
      <c r="I189" s="84">
        <v>0.35138888888888892</v>
      </c>
      <c r="J189" s="82">
        <v>2007.5</v>
      </c>
      <c r="K189" s="82">
        <v>21.175000000000001</v>
      </c>
      <c r="L189" s="82">
        <v>19.324999999999999</v>
      </c>
      <c r="M189" s="82">
        <v>0.55499999999999994</v>
      </c>
      <c r="N189" s="4">
        <v>9</v>
      </c>
      <c r="O189" s="27" t="s">
        <v>48</v>
      </c>
      <c r="P189" s="27">
        <v>4</v>
      </c>
      <c r="Q189" s="27">
        <v>10</v>
      </c>
      <c r="R189" s="27" t="s">
        <v>49</v>
      </c>
      <c r="S189" s="27" t="s">
        <v>50</v>
      </c>
      <c r="T189" s="27" t="s">
        <v>50</v>
      </c>
      <c r="U189" s="27" t="s">
        <v>50</v>
      </c>
      <c r="V189" s="27" t="s">
        <v>50</v>
      </c>
      <c r="W189" s="27" t="s">
        <v>50</v>
      </c>
      <c r="X189" s="27" t="s">
        <v>50</v>
      </c>
      <c r="Y189" s="35" t="s">
        <v>124</v>
      </c>
    </row>
    <row r="190" spans="1:25" x14ac:dyDescent="0.25">
      <c r="A190" s="26">
        <v>43314</v>
      </c>
      <c r="B190" s="27" t="s">
        <v>876</v>
      </c>
      <c r="C190" s="27" t="s">
        <v>88</v>
      </c>
      <c r="D190" s="89">
        <v>38.114339999999999</v>
      </c>
      <c r="E190" s="89">
        <v>-121.68684</v>
      </c>
      <c r="F190" s="27" t="s">
        <v>5839</v>
      </c>
      <c r="G190" s="27" t="s">
        <v>90</v>
      </c>
      <c r="H190" s="27" t="s">
        <v>91</v>
      </c>
      <c r="I190" s="84">
        <v>0.41597222222222219</v>
      </c>
      <c r="J190" s="82">
        <v>181.47500000000002</v>
      </c>
      <c r="K190" s="82">
        <v>22.1</v>
      </c>
      <c r="L190" s="82">
        <v>9.379999999999999</v>
      </c>
      <c r="M190" s="82">
        <v>0.96250000000000002</v>
      </c>
      <c r="N190" s="4">
        <v>7</v>
      </c>
      <c r="O190" s="27" t="s">
        <v>48</v>
      </c>
      <c r="P190" s="27">
        <v>4</v>
      </c>
      <c r="Q190" s="27">
        <v>10</v>
      </c>
      <c r="R190" s="27" t="s">
        <v>49</v>
      </c>
      <c r="S190" s="27" t="s">
        <v>50</v>
      </c>
      <c r="T190" s="27" t="s">
        <v>50</v>
      </c>
      <c r="U190" s="27" t="s">
        <v>50</v>
      </c>
      <c r="V190" s="27" t="s">
        <v>50</v>
      </c>
      <c r="W190" s="27" t="s">
        <v>50</v>
      </c>
      <c r="X190" s="27" t="s">
        <v>50</v>
      </c>
    </row>
    <row r="191" spans="1:25" s="149" customFormat="1" x14ac:dyDescent="0.25">
      <c r="A191" s="178">
        <v>43314</v>
      </c>
      <c r="B191" s="149" t="s">
        <v>876</v>
      </c>
      <c r="C191" s="149" t="s">
        <v>88</v>
      </c>
      <c r="D191" s="150">
        <v>38.098739999999999</v>
      </c>
      <c r="E191" s="150">
        <v>-121.68552</v>
      </c>
      <c r="F191" s="149" t="s">
        <v>5840</v>
      </c>
      <c r="G191" s="149" t="s">
        <v>90</v>
      </c>
      <c r="H191" s="149" t="s">
        <v>91</v>
      </c>
      <c r="I191" s="151">
        <v>0.4861111111111111</v>
      </c>
      <c r="J191" s="197" t="s">
        <v>50</v>
      </c>
      <c r="K191" s="197" t="s">
        <v>50</v>
      </c>
      <c r="L191" s="197" t="s">
        <v>50</v>
      </c>
      <c r="M191" s="197" t="s">
        <v>50</v>
      </c>
      <c r="N191" s="197" t="s">
        <v>50</v>
      </c>
      <c r="O191" s="149" t="s">
        <v>48</v>
      </c>
      <c r="P191" s="149">
        <v>0</v>
      </c>
      <c r="Q191" s="149" t="s">
        <v>50</v>
      </c>
      <c r="R191" s="149" t="s">
        <v>50</v>
      </c>
      <c r="S191" s="149" t="s">
        <v>50</v>
      </c>
      <c r="T191" s="149" t="s">
        <v>50</v>
      </c>
      <c r="U191" s="149" t="s">
        <v>50</v>
      </c>
      <c r="V191" s="149" t="s">
        <v>50</v>
      </c>
      <c r="W191" s="149" t="s">
        <v>50</v>
      </c>
      <c r="X191" s="149" t="s">
        <v>50</v>
      </c>
      <c r="Y191" s="152" t="s">
        <v>5841</v>
      </c>
    </row>
    <row r="192" spans="1:25" x14ac:dyDescent="0.25">
      <c r="A192" s="26">
        <v>43314</v>
      </c>
      <c r="B192" s="27" t="s">
        <v>876</v>
      </c>
      <c r="C192" s="27" t="s">
        <v>78</v>
      </c>
      <c r="D192" s="89">
        <v>38.081200000000003</v>
      </c>
      <c r="E192" s="89">
        <v>-122.06634</v>
      </c>
      <c r="F192" s="27" t="s">
        <v>5842</v>
      </c>
      <c r="G192" s="27" t="s">
        <v>80</v>
      </c>
      <c r="H192" s="27" t="s">
        <v>81</v>
      </c>
      <c r="I192" s="84">
        <v>0.37916666666666665</v>
      </c>
      <c r="J192" s="82">
        <v>16054.25</v>
      </c>
      <c r="K192" s="82">
        <v>19.524999999999999</v>
      </c>
      <c r="L192" s="82">
        <v>22.3</v>
      </c>
      <c r="M192" s="82">
        <v>0.44249999999999995</v>
      </c>
      <c r="N192" s="4">
        <v>5.75</v>
      </c>
      <c r="O192" s="27" t="s">
        <v>48</v>
      </c>
      <c r="P192" s="27">
        <v>4</v>
      </c>
      <c r="Q192" s="27">
        <v>10</v>
      </c>
      <c r="R192" s="27" t="s">
        <v>49</v>
      </c>
      <c r="S192" s="27" t="s">
        <v>50</v>
      </c>
      <c r="T192" s="27" t="s">
        <v>50</v>
      </c>
      <c r="U192" s="27" t="s">
        <v>50</v>
      </c>
      <c r="V192" s="27" t="s">
        <v>50</v>
      </c>
      <c r="W192" s="27" t="s">
        <v>50</v>
      </c>
      <c r="X192" s="27" t="s">
        <v>50</v>
      </c>
    </row>
    <row r="193" spans="1:25" x14ac:dyDescent="0.25">
      <c r="A193" s="26">
        <v>43314</v>
      </c>
      <c r="B193" s="27" t="s">
        <v>876</v>
      </c>
      <c r="C193" s="27" t="s">
        <v>78</v>
      </c>
      <c r="D193" s="89">
        <v>38.053579999999997</v>
      </c>
      <c r="E193" s="89">
        <v>-121.95169</v>
      </c>
      <c r="F193" s="27" t="s">
        <v>5843</v>
      </c>
      <c r="G193" s="27" t="s">
        <v>27</v>
      </c>
      <c r="H193" s="27" t="s">
        <v>81</v>
      </c>
      <c r="I193" s="84">
        <v>0.44236111111111115</v>
      </c>
      <c r="J193" s="82">
        <v>6452.25</v>
      </c>
      <c r="K193" s="82">
        <v>20.975000000000001</v>
      </c>
      <c r="L193" s="82">
        <v>15.125</v>
      </c>
      <c r="M193" s="82">
        <v>0.65500000000000003</v>
      </c>
      <c r="N193" s="4">
        <v>12.45</v>
      </c>
      <c r="O193" s="27" t="s">
        <v>48</v>
      </c>
      <c r="P193" s="27">
        <v>4</v>
      </c>
      <c r="Q193" s="27">
        <v>10</v>
      </c>
      <c r="R193" s="27" t="s">
        <v>49</v>
      </c>
      <c r="S193" s="27" t="s">
        <v>50</v>
      </c>
      <c r="T193" s="27" t="s">
        <v>50</v>
      </c>
      <c r="U193" s="27" t="s">
        <v>50</v>
      </c>
      <c r="V193" s="27" t="s">
        <v>50</v>
      </c>
      <c r="W193" s="27" t="s">
        <v>50</v>
      </c>
      <c r="X193" s="27" t="s">
        <v>50</v>
      </c>
      <c r="Y193" s="35" t="s">
        <v>5844</v>
      </c>
    </row>
    <row r="194" spans="1:25" s="149" customFormat="1" x14ac:dyDescent="0.25">
      <c r="A194" s="178">
        <v>43314</v>
      </c>
      <c r="B194" s="149" t="s">
        <v>876</v>
      </c>
      <c r="C194" s="149" t="s">
        <v>78</v>
      </c>
      <c r="D194" s="150">
        <v>38.079140000000002</v>
      </c>
      <c r="E194" s="150">
        <v>-122.08807</v>
      </c>
      <c r="F194" s="149" t="s">
        <v>5845</v>
      </c>
      <c r="G194" s="149" t="s">
        <v>80</v>
      </c>
      <c r="H194" s="149" t="s">
        <v>81</v>
      </c>
      <c r="I194" s="151">
        <v>0.3666666666666667</v>
      </c>
      <c r="J194" s="197" t="s">
        <v>50</v>
      </c>
      <c r="K194" s="197" t="s">
        <v>50</v>
      </c>
      <c r="L194" s="197" t="s">
        <v>50</v>
      </c>
      <c r="M194" s="197" t="s">
        <v>50</v>
      </c>
      <c r="N194" s="197" t="s">
        <v>50</v>
      </c>
      <c r="O194" s="149" t="s">
        <v>48</v>
      </c>
      <c r="P194" s="149">
        <v>0</v>
      </c>
      <c r="Q194" s="149" t="s">
        <v>50</v>
      </c>
      <c r="R194" s="149" t="s">
        <v>50</v>
      </c>
      <c r="S194" s="149" t="s">
        <v>50</v>
      </c>
      <c r="T194" s="149" t="s">
        <v>50</v>
      </c>
      <c r="U194" s="149" t="s">
        <v>50</v>
      </c>
      <c r="V194" s="149" t="s">
        <v>50</v>
      </c>
      <c r="W194" s="149" t="s">
        <v>50</v>
      </c>
      <c r="X194" s="149" t="s">
        <v>50</v>
      </c>
      <c r="Y194" s="152" t="s">
        <v>5846</v>
      </c>
    </row>
    <row r="195" spans="1:25" s="283" customFormat="1" x14ac:dyDescent="0.25">
      <c r="A195" s="350">
        <v>43314</v>
      </c>
      <c r="B195" s="283" t="s">
        <v>876</v>
      </c>
      <c r="C195" s="283" t="s">
        <v>78</v>
      </c>
      <c r="D195" s="351">
        <v>38.077660000000002</v>
      </c>
      <c r="E195" s="351">
        <v>-122.09981999999999</v>
      </c>
      <c r="F195" s="283" t="s">
        <v>5847</v>
      </c>
      <c r="G195" s="283" t="s">
        <v>80</v>
      </c>
      <c r="H195" s="283" t="s">
        <v>81</v>
      </c>
      <c r="I195" s="352">
        <v>0.36249999999999999</v>
      </c>
      <c r="J195" s="368" t="s">
        <v>50</v>
      </c>
      <c r="K195" s="368" t="s">
        <v>50</v>
      </c>
      <c r="L195" s="368" t="s">
        <v>50</v>
      </c>
      <c r="M195" s="368" t="s">
        <v>50</v>
      </c>
      <c r="N195" s="368" t="s">
        <v>50</v>
      </c>
      <c r="O195" s="283" t="s">
        <v>48</v>
      </c>
      <c r="P195" s="283">
        <v>0</v>
      </c>
      <c r="Q195" s="283" t="s">
        <v>50</v>
      </c>
      <c r="R195" s="283" t="s">
        <v>50</v>
      </c>
      <c r="S195" s="283" t="s">
        <v>50</v>
      </c>
      <c r="T195" s="283" t="s">
        <v>50</v>
      </c>
      <c r="U195" s="283" t="s">
        <v>50</v>
      </c>
      <c r="V195" s="283" t="s">
        <v>50</v>
      </c>
      <c r="W195" s="283" t="s">
        <v>50</v>
      </c>
      <c r="X195" s="283" t="s">
        <v>50</v>
      </c>
      <c r="Y195" s="290" t="s">
        <v>3595</v>
      </c>
    </row>
    <row r="196" spans="1:25" x14ac:dyDescent="0.25">
      <c r="A196" s="26">
        <v>43318</v>
      </c>
      <c r="B196" s="27" t="s">
        <v>43</v>
      </c>
      <c r="C196" s="27" t="s">
        <v>845</v>
      </c>
      <c r="D196" s="89">
        <v>38.367910000000002</v>
      </c>
      <c r="E196" s="89">
        <v>-121.63648000000001</v>
      </c>
      <c r="F196" s="27" t="s">
        <v>5848</v>
      </c>
      <c r="G196" s="27" t="s">
        <v>90</v>
      </c>
      <c r="H196" s="27" t="s">
        <v>126</v>
      </c>
      <c r="I196" s="84">
        <v>0.34027777777777773</v>
      </c>
      <c r="J196" s="82">
        <v>181.125</v>
      </c>
      <c r="K196" s="82">
        <v>23.1</v>
      </c>
      <c r="L196" s="82">
        <v>34.274999999999999</v>
      </c>
      <c r="M196" s="82">
        <v>0.43999999999999995</v>
      </c>
      <c r="N196" s="4">
        <v>3.5749999999999997</v>
      </c>
      <c r="O196" s="27" t="s">
        <v>48</v>
      </c>
      <c r="P196" s="27">
        <v>4</v>
      </c>
      <c r="Q196" s="27">
        <v>10</v>
      </c>
      <c r="R196" s="27" t="s">
        <v>49</v>
      </c>
      <c r="S196" s="27" t="s">
        <v>50</v>
      </c>
      <c r="T196" s="27" t="s">
        <v>50</v>
      </c>
      <c r="U196" s="27" t="s">
        <v>50</v>
      </c>
      <c r="V196" s="27" t="s">
        <v>50</v>
      </c>
      <c r="W196" s="27" t="s">
        <v>50</v>
      </c>
      <c r="X196" s="27" t="s">
        <v>50</v>
      </c>
      <c r="Y196" s="35" t="s">
        <v>5849</v>
      </c>
    </row>
    <row r="197" spans="1:25" x14ac:dyDescent="0.25">
      <c r="A197" s="26">
        <v>43318</v>
      </c>
      <c r="B197" s="27" t="s">
        <v>43</v>
      </c>
      <c r="C197" s="27" t="s">
        <v>845</v>
      </c>
      <c r="D197" s="89">
        <v>38.24635</v>
      </c>
      <c r="E197" s="89">
        <v>-121.67316</v>
      </c>
      <c r="F197" s="27" t="s">
        <v>5850</v>
      </c>
      <c r="G197" s="27" t="s">
        <v>90</v>
      </c>
      <c r="H197" s="27" t="s">
        <v>126</v>
      </c>
      <c r="I197" s="84">
        <v>0.42222222222222222</v>
      </c>
      <c r="J197" s="82">
        <v>154.35000000000002</v>
      </c>
      <c r="K197" s="82">
        <v>21.6</v>
      </c>
      <c r="L197" s="82">
        <v>10.012499999999999</v>
      </c>
      <c r="M197" s="82">
        <v>1.1025</v>
      </c>
      <c r="N197" s="4">
        <v>4.75</v>
      </c>
      <c r="O197" s="27" t="s">
        <v>48</v>
      </c>
      <c r="P197" s="27">
        <v>4</v>
      </c>
      <c r="Q197" s="27">
        <v>10</v>
      </c>
      <c r="R197" s="27" t="s">
        <v>64</v>
      </c>
      <c r="S197" s="27" t="s">
        <v>50</v>
      </c>
      <c r="T197" s="27" t="s">
        <v>50</v>
      </c>
      <c r="U197" s="27" t="s">
        <v>50</v>
      </c>
      <c r="V197" s="27" t="s">
        <v>50</v>
      </c>
      <c r="W197" s="27" t="s">
        <v>50</v>
      </c>
      <c r="X197" s="27" t="s">
        <v>50</v>
      </c>
    </row>
    <row r="198" spans="1:25" x14ac:dyDescent="0.25">
      <c r="A198" s="26">
        <v>43318</v>
      </c>
      <c r="B198" s="27" t="s">
        <v>43</v>
      </c>
      <c r="C198" s="27" t="s">
        <v>845</v>
      </c>
      <c r="D198" s="89">
        <v>38.244880000000002</v>
      </c>
      <c r="E198" s="89">
        <v>-121.67825000000001</v>
      </c>
      <c r="F198" s="27" t="s">
        <v>5851</v>
      </c>
      <c r="G198" s="27" t="s">
        <v>90</v>
      </c>
      <c r="H198" s="27" t="s">
        <v>126</v>
      </c>
      <c r="I198" s="84">
        <v>0.47638888888888892</v>
      </c>
      <c r="J198" s="82">
        <v>154.625</v>
      </c>
      <c r="K198" s="82">
        <v>21.575000000000003</v>
      </c>
      <c r="L198" s="82">
        <v>8.0474999999999994</v>
      </c>
      <c r="M198" s="82">
        <v>1.145</v>
      </c>
      <c r="N198" s="4">
        <v>7.0750000000000002</v>
      </c>
      <c r="O198" s="27" t="s">
        <v>48</v>
      </c>
      <c r="P198" s="27">
        <v>4</v>
      </c>
      <c r="Q198" s="27">
        <v>10</v>
      </c>
      <c r="R198" s="27" t="s">
        <v>64</v>
      </c>
      <c r="S198" s="27" t="s">
        <v>50</v>
      </c>
      <c r="T198" s="27" t="s">
        <v>50</v>
      </c>
      <c r="U198" s="27" t="s">
        <v>50</v>
      </c>
      <c r="V198" s="27" t="s">
        <v>50</v>
      </c>
      <c r="W198" s="27" t="s">
        <v>50</v>
      </c>
      <c r="X198" s="27" t="s">
        <v>50</v>
      </c>
    </row>
    <row r="199" spans="1:25" x14ac:dyDescent="0.25">
      <c r="A199" s="26">
        <v>43318</v>
      </c>
      <c r="B199" s="27" t="s">
        <v>43</v>
      </c>
      <c r="C199" s="27" t="s">
        <v>95</v>
      </c>
      <c r="D199" s="89">
        <v>38.041939999999997</v>
      </c>
      <c r="E199" s="89">
        <v>-121.49807</v>
      </c>
      <c r="F199" s="27" t="s">
        <v>5852</v>
      </c>
      <c r="G199" s="27" t="s">
        <v>46</v>
      </c>
      <c r="H199" s="27" t="s">
        <v>115</v>
      </c>
      <c r="I199" s="84">
        <v>0.33402777777777781</v>
      </c>
      <c r="J199" s="82">
        <v>168.125</v>
      </c>
      <c r="K199" s="82">
        <v>24.024999999999999</v>
      </c>
      <c r="L199" s="82">
        <v>8.6950000000000003</v>
      </c>
      <c r="M199" s="82">
        <v>1.105</v>
      </c>
      <c r="N199" s="4">
        <v>9.5500000000000007</v>
      </c>
      <c r="O199" s="27" t="s">
        <v>48</v>
      </c>
      <c r="P199" s="27">
        <v>4</v>
      </c>
      <c r="Q199" s="27">
        <v>10</v>
      </c>
      <c r="R199" s="27" t="s">
        <v>49</v>
      </c>
      <c r="S199" s="27" t="s">
        <v>50</v>
      </c>
      <c r="T199" s="27" t="s">
        <v>50</v>
      </c>
      <c r="U199" s="27" t="s">
        <v>50</v>
      </c>
      <c r="V199" s="27" t="s">
        <v>50</v>
      </c>
      <c r="W199" s="27" t="s">
        <v>50</v>
      </c>
      <c r="X199" s="27" t="s">
        <v>50</v>
      </c>
    </row>
    <row r="200" spans="1:25" x14ac:dyDescent="0.25">
      <c r="A200" s="26">
        <v>43318</v>
      </c>
      <c r="B200" s="27" t="s">
        <v>43</v>
      </c>
      <c r="C200" s="27" t="s">
        <v>95</v>
      </c>
      <c r="D200" s="89">
        <v>38.059649999999998</v>
      </c>
      <c r="E200" s="89">
        <v>-121.54686</v>
      </c>
      <c r="F200" s="27" t="s">
        <v>5853</v>
      </c>
      <c r="G200" s="27" t="s">
        <v>46</v>
      </c>
      <c r="H200" s="27" t="s">
        <v>115</v>
      </c>
      <c r="I200" s="84">
        <v>0.38819444444444445</v>
      </c>
      <c r="J200" s="82">
        <v>169.42500000000001</v>
      </c>
      <c r="K200" s="82">
        <v>23.4</v>
      </c>
      <c r="L200" s="82">
        <v>7.7850000000000001</v>
      </c>
      <c r="M200" s="82">
        <v>1.2375</v>
      </c>
      <c r="N200" s="4">
        <v>7.625</v>
      </c>
      <c r="O200" s="27" t="s">
        <v>48</v>
      </c>
      <c r="P200" s="27">
        <v>4</v>
      </c>
      <c r="Q200" s="27">
        <v>10</v>
      </c>
      <c r="R200" s="27" t="s">
        <v>64</v>
      </c>
      <c r="S200" s="27" t="s">
        <v>50</v>
      </c>
      <c r="T200" s="27" t="s">
        <v>50</v>
      </c>
      <c r="U200" s="27" t="s">
        <v>50</v>
      </c>
      <c r="V200" s="27" t="s">
        <v>50</v>
      </c>
      <c r="W200" s="27" t="s">
        <v>50</v>
      </c>
      <c r="X200" s="27" t="s">
        <v>50</v>
      </c>
      <c r="Y200" s="35" t="s">
        <v>5854</v>
      </c>
    </row>
    <row r="201" spans="1:25" x14ac:dyDescent="0.25">
      <c r="A201" s="26">
        <v>43318</v>
      </c>
      <c r="B201" s="27" t="s">
        <v>43</v>
      </c>
      <c r="C201" s="27" t="s">
        <v>95</v>
      </c>
      <c r="D201" s="89">
        <v>38.088000000000001</v>
      </c>
      <c r="E201" s="89">
        <v>-121.57812</v>
      </c>
      <c r="F201" s="27" t="s">
        <v>5855</v>
      </c>
      <c r="G201" s="27" t="s">
        <v>46</v>
      </c>
      <c r="H201" s="27" t="s">
        <v>115</v>
      </c>
      <c r="I201" s="84">
        <v>0.46249999999999997</v>
      </c>
      <c r="J201" s="82">
        <v>203.42499999999998</v>
      </c>
      <c r="K201" s="82">
        <v>22.774999999999999</v>
      </c>
      <c r="L201" s="82">
        <v>11.969999999999999</v>
      </c>
      <c r="M201" s="82">
        <v>1.1499999999999999</v>
      </c>
      <c r="N201" s="4">
        <v>8.9499999999999993</v>
      </c>
      <c r="O201" s="27" t="s">
        <v>48</v>
      </c>
      <c r="P201" s="27">
        <v>4</v>
      </c>
      <c r="Q201" s="27">
        <v>10</v>
      </c>
      <c r="R201" s="27" t="s">
        <v>64</v>
      </c>
      <c r="S201" s="27" t="s">
        <v>50</v>
      </c>
      <c r="T201" s="27" t="s">
        <v>50</v>
      </c>
      <c r="U201" s="27" t="s">
        <v>50</v>
      </c>
      <c r="V201" s="27" t="s">
        <v>50</v>
      </c>
      <c r="W201" s="27" t="s">
        <v>50</v>
      </c>
      <c r="X201" s="27" t="s">
        <v>50</v>
      </c>
    </row>
    <row r="202" spans="1:25" x14ac:dyDescent="0.25">
      <c r="A202" s="26">
        <v>43318</v>
      </c>
      <c r="B202" s="27" t="s">
        <v>43</v>
      </c>
      <c r="C202" s="27" t="s">
        <v>78</v>
      </c>
      <c r="D202" s="89">
        <v>38.094819999999999</v>
      </c>
      <c r="E202" s="89">
        <v>-122.0723</v>
      </c>
      <c r="F202" s="27" t="s">
        <v>5856</v>
      </c>
      <c r="G202" s="27" t="s">
        <v>80</v>
      </c>
      <c r="H202" s="27" t="s">
        <v>81</v>
      </c>
      <c r="I202" s="84">
        <v>0.3666666666666667</v>
      </c>
      <c r="J202" s="82">
        <v>15679.2</v>
      </c>
      <c r="K202" s="82">
        <v>20.5</v>
      </c>
      <c r="L202" s="82">
        <v>25.580000000000002</v>
      </c>
      <c r="M202" s="82">
        <v>0.57800000000000007</v>
      </c>
      <c r="N202" s="4">
        <v>5.4599999999999991</v>
      </c>
      <c r="O202" s="27" t="s">
        <v>48</v>
      </c>
      <c r="P202" s="27">
        <v>5</v>
      </c>
      <c r="Q202" s="27">
        <v>10</v>
      </c>
      <c r="R202" s="27" t="s">
        <v>64</v>
      </c>
      <c r="S202" s="27" t="s">
        <v>50</v>
      </c>
      <c r="T202" s="27" t="s">
        <v>50</v>
      </c>
      <c r="U202" s="27" t="s">
        <v>50</v>
      </c>
      <c r="V202" s="27" t="s">
        <v>50</v>
      </c>
      <c r="W202" s="27" t="s">
        <v>50</v>
      </c>
      <c r="X202" s="27" t="s">
        <v>50</v>
      </c>
      <c r="Y202" s="35" t="s">
        <v>5857</v>
      </c>
    </row>
    <row r="203" spans="1:25" x14ac:dyDescent="0.25">
      <c r="A203" s="26">
        <v>43318</v>
      </c>
      <c r="B203" s="27" t="s">
        <v>43</v>
      </c>
      <c r="C203" s="27" t="s">
        <v>78</v>
      </c>
      <c r="D203" s="89">
        <v>38.053319999999999</v>
      </c>
      <c r="E203" s="89">
        <v>-122.0932</v>
      </c>
      <c r="F203" s="27" t="s">
        <v>5858</v>
      </c>
      <c r="G203" s="27" t="s">
        <v>80</v>
      </c>
      <c r="H203" s="27" t="s">
        <v>81</v>
      </c>
      <c r="I203" s="84">
        <v>0.43472222222222223</v>
      </c>
      <c r="J203" s="82">
        <v>17886.75</v>
      </c>
      <c r="K203" s="82">
        <v>20.625</v>
      </c>
      <c r="L203" s="82">
        <v>21.125</v>
      </c>
      <c r="M203" s="82">
        <v>0.65</v>
      </c>
      <c r="N203" s="4">
        <v>8.1900000000000013</v>
      </c>
      <c r="O203" s="27" t="s">
        <v>48</v>
      </c>
      <c r="P203" s="27">
        <v>4</v>
      </c>
      <c r="Q203" s="27">
        <v>10</v>
      </c>
      <c r="R203" s="27" t="s">
        <v>64</v>
      </c>
      <c r="S203" s="27" t="s">
        <v>50</v>
      </c>
      <c r="T203" s="27" t="s">
        <v>50</v>
      </c>
      <c r="U203" s="27" t="s">
        <v>50</v>
      </c>
      <c r="V203" s="27" t="s">
        <v>50</v>
      </c>
      <c r="W203" s="27" t="s">
        <v>50</v>
      </c>
      <c r="X203" s="27" t="s">
        <v>50</v>
      </c>
    </row>
    <row r="204" spans="1:25" x14ac:dyDescent="0.25">
      <c r="A204" s="26">
        <v>43318</v>
      </c>
      <c r="B204" s="27" t="s">
        <v>43</v>
      </c>
      <c r="C204" s="27" t="s">
        <v>78</v>
      </c>
      <c r="D204" s="89">
        <v>38.051110000000001</v>
      </c>
      <c r="E204" s="89">
        <v>-121.93756999999999</v>
      </c>
      <c r="F204" s="27" t="s">
        <v>5859</v>
      </c>
      <c r="G204" s="27" t="s">
        <v>27</v>
      </c>
      <c r="H204" s="27" t="s">
        <v>170</v>
      </c>
      <c r="I204" s="84">
        <v>0.4993055555555555</v>
      </c>
      <c r="J204" s="82">
        <v>6422</v>
      </c>
      <c r="K204" s="82">
        <v>21.625</v>
      </c>
      <c r="L204" s="82">
        <v>18.225000000000001</v>
      </c>
      <c r="M204" s="82">
        <v>0.72750000000000004</v>
      </c>
      <c r="N204" s="4">
        <v>14.750000000000002</v>
      </c>
      <c r="O204" s="27" t="s">
        <v>48</v>
      </c>
      <c r="P204" s="27">
        <v>4</v>
      </c>
      <c r="Q204" s="27">
        <v>10</v>
      </c>
      <c r="R204" s="27" t="s">
        <v>64</v>
      </c>
      <c r="S204" s="27" t="s">
        <v>50</v>
      </c>
      <c r="T204" s="27" t="s">
        <v>50</v>
      </c>
      <c r="U204" s="27" t="s">
        <v>50</v>
      </c>
      <c r="V204" s="27" t="s">
        <v>50</v>
      </c>
      <c r="W204" s="27" t="s">
        <v>50</v>
      </c>
      <c r="X204" s="27" t="s">
        <v>50</v>
      </c>
    </row>
    <row r="205" spans="1:25" x14ac:dyDescent="0.25">
      <c r="A205" s="26">
        <v>43319</v>
      </c>
      <c r="B205" s="27" t="s">
        <v>70</v>
      </c>
      <c r="C205" s="27" t="s">
        <v>845</v>
      </c>
      <c r="D205" s="89">
        <v>38.252839999999999</v>
      </c>
      <c r="E205" s="89">
        <v>-121.72535000000001</v>
      </c>
      <c r="F205" s="27" t="s">
        <v>5860</v>
      </c>
      <c r="G205" s="27" t="s">
        <v>90</v>
      </c>
      <c r="H205" s="27" t="s">
        <v>126</v>
      </c>
      <c r="I205" s="84">
        <v>0.3215277777777778</v>
      </c>
      <c r="J205" s="82">
        <v>162.92500000000001</v>
      </c>
      <c r="K205" s="82">
        <v>21.324999999999999</v>
      </c>
      <c r="L205" s="82">
        <v>5.4624999999999995</v>
      </c>
      <c r="M205" s="82">
        <v>1.7224999999999999</v>
      </c>
      <c r="N205" s="4">
        <v>4.2750000000000004</v>
      </c>
      <c r="O205" s="27" t="s">
        <v>48</v>
      </c>
      <c r="P205" s="27">
        <v>4</v>
      </c>
      <c r="Q205" s="27">
        <v>10</v>
      </c>
      <c r="R205" s="27" t="s">
        <v>49</v>
      </c>
      <c r="S205" s="27" t="s">
        <v>50</v>
      </c>
      <c r="T205" s="27" t="s">
        <v>50</v>
      </c>
      <c r="U205" s="27" t="s">
        <v>50</v>
      </c>
      <c r="V205" s="27" t="s">
        <v>50</v>
      </c>
      <c r="W205" s="27" t="s">
        <v>50</v>
      </c>
      <c r="X205" s="27" t="s">
        <v>50</v>
      </c>
    </row>
    <row r="206" spans="1:25" x14ac:dyDescent="0.25">
      <c r="A206" s="26">
        <v>43319</v>
      </c>
      <c r="B206" s="27" t="s">
        <v>70</v>
      </c>
      <c r="C206" s="27" t="s">
        <v>845</v>
      </c>
      <c r="D206" s="89">
        <v>38.240079999999999</v>
      </c>
      <c r="E206" s="89">
        <v>-121.68481</v>
      </c>
      <c r="F206" s="27" t="s">
        <v>5861</v>
      </c>
      <c r="G206" s="27" t="s">
        <v>90</v>
      </c>
      <c r="H206" s="27" t="s">
        <v>126</v>
      </c>
      <c r="I206" s="84">
        <v>0.37291666666666662</v>
      </c>
      <c r="J206" s="82">
        <v>153.54999999999998</v>
      </c>
      <c r="K206" s="82">
        <v>21.150000000000002</v>
      </c>
      <c r="L206" s="82">
        <v>5.2825000000000006</v>
      </c>
      <c r="M206" s="82">
        <v>1.7224999999999999</v>
      </c>
      <c r="N206" s="4">
        <v>7.4250000000000007</v>
      </c>
      <c r="O206" s="27" t="s">
        <v>48</v>
      </c>
      <c r="P206" s="27">
        <v>4</v>
      </c>
      <c r="Q206" s="27">
        <v>10</v>
      </c>
      <c r="R206" s="27" t="s">
        <v>49</v>
      </c>
      <c r="S206" s="27" t="s">
        <v>50</v>
      </c>
      <c r="T206" s="27" t="s">
        <v>50</v>
      </c>
      <c r="U206" s="27" t="s">
        <v>50</v>
      </c>
      <c r="V206" s="27" t="s">
        <v>50</v>
      </c>
      <c r="W206" s="27" t="s">
        <v>50</v>
      </c>
      <c r="X206" s="27" t="s">
        <v>50</v>
      </c>
    </row>
    <row r="207" spans="1:25" x14ac:dyDescent="0.25">
      <c r="A207" s="26">
        <v>43319</v>
      </c>
      <c r="B207" s="27" t="s">
        <v>70</v>
      </c>
      <c r="C207" s="27" t="s">
        <v>845</v>
      </c>
      <c r="D207" s="89">
        <v>38.263420000000004</v>
      </c>
      <c r="E207" s="89">
        <v>-121.69083000000001</v>
      </c>
      <c r="F207" s="27" t="s">
        <v>5862</v>
      </c>
      <c r="G207" s="27" t="s">
        <v>90</v>
      </c>
      <c r="H207" s="27" t="s">
        <v>126</v>
      </c>
      <c r="I207" s="84">
        <v>0.43263888888888885</v>
      </c>
      <c r="J207" s="82">
        <v>156.52500000000001</v>
      </c>
      <c r="K207" s="82">
        <v>21.125</v>
      </c>
      <c r="L207" s="82">
        <v>4.5049999999999999</v>
      </c>
      <c r="M207" s="82">
        <v>1.665</v>
      </c>
      <c r="N207" s="4">
        <v>6.1749999999999998</v>
      </c>
      <c r="O207" s="27" t="s">
        <v>48</v>
      </c>
      <c r="P207" s="27">
        <v>4</v>
      </c>
      <c r="Q207" s="27">
        <v>10</v>
      </c>
      <c r="R207" s="27" t="s">
        <v>64</v>
      </c>
      <c r="S207" s="27" t="s">
        <v>50</v>
      </c>
      <c r="T207" s="27" t="s">
        <v>50</v>
      </c>
      <c r="U207" s="27" t="s">
        <v>50</v>
      </c>
      <c r="V207" s="27" t="s">
        <v>50</v>
      </c>
      <c r="W207" s="27" t="s">
        <v>50</v>
      </c>
      <c r="X207" s="27" t="s">
        <v>50</v>
      </c>
    </row>
    <row r="208" spans="1:25" x14ac:dyDescent="0.25">
      <c r="A208" s="26">
        <v>43319</v>
      </c>
      <c r="B208" s="27" t="s">
        <v>70</v>
      </c>
      <c r="C208" s="27" t="s">
        <v>95</v>
      </c>
      <c r="D208" s="89">
        <v>38.105759999999997</v>
      </c>
      <c r="E208" s="89">
        <v>-121.61239</v>
      </c>
      <c r="F208" s="27" t="s">
        <v>5863</v>
      </c>
      <c r="G208" s="27" t="s">
        <v>46</v>
      </c>
      <c r="H208" s="27" t="s">
        <v>908</v>
      </c>
      <c r="I208" s="84">
        <v>0.32222222222222224</v>
      </c>
      <c r="J208" s="82">
        <v>185.625</v>
      </c>
      <c r="K208" s="82">
        <v>22.375</v>
      </c>
      <c r="L208" s="82">
        <v>8.7925000000000004</v>
      </c>
      <c r="M208" s="82">
        <v>1.5125</v>
      </c>
      <c r="N208" s="4">
        <v>11.475000000000001</v>
      </c>
      <c r="O208" s="27" t="s">
        <v>48</v>
      </c>
      <c r="P208" s="27">
        <v>4</v>
      </c>
      <c r="Q208" s="27">
        <v>10</v>
      </c>
      <c r="R208" s="27" t="s">
        <v>49</v>
      </c>
      <c r="S208" s="27" t="s">
        <v>50</v>
      </c>
      <c r="T208" s="27" t="s">
        <v>50</v>
      </c>
      <c r="U208" s="27" t="s">
        <v>50</v>
      </c>
      <c r="V208" s="27" t="s">
        <v>50</v>
      </c>
      <c r="W208" s="27" t="s">
        <v>50</v>
      </c>
      <c r="X208" s="27" t="s">
        <v>50</v>
      </c>
      <c r="Y208" s="35" t="s">
        <v>5864</v>
      </c>
    </row>
    <row r="209" spans="1:25" x14ac:dyDescent="0.25">
      <c r="A209" s="26">
        <v>43319</v>
      </c>
      <c r="B209" s="27" t="s">
        <v>70</v>
      </c>
      <c r="C209" s="27" t="s">
        <v>95</v>
      </c>
      <c r="D209" s="89">
        <v>38.089440000000003</v>
      </c>
      <c r="E209" s="89">
        <v>-121.67935</v>
      </c>
      <c r="F209" s="27" t="s">
        <v>5865</v>
      </c>
      <c r="G209" s="27" t="s">
        <v>46</v>
      </c>
      <c r="H209" s="27" t="s">
        <v>908</v>
      </c>
      <c r="I209" s="84">
        <v>0.37777777777777777</v>
      </c>
      <c r="J209" s="82">
        <v>290.25</v>
      </c>
      <c r="K209" s="82">
        <v>22.6</v>
      </c>
      <c r="L209" s="82">
        <v>13.2</v>
      </c>
      <c r="M209" s="82">
        <v>1.2125000000000001</v>
      </c>
      <c r="N209" s="4">
        <v>11.475</v>
      </c>
      <c r="O209" s="27" t="s">
        <v>48</v>
      </c>
      <c r="P209" s="27">
        <v>4</v>
      </c>
      <c r="Q209" s="27">
        <v>10</v>
      </c>
      <c r="R209" s="27" t="s">
        <v>49</v>
      </c>
      <c r="S209" s="27" t="s">
        <v>50</v>
      </c>
      <c r="T209" s="27" t="s">
        <v>50</v>
      </c>
      <c r="U209" s="27" t="s">
        <v>50</v>
      </c>
      <c r="V209" s="27" t="s">
        <v>50</v>
      </c>
      <c r="W209" s="27" t="s">
        <v>50</v>
      </c>
      <c r="X209" s="27" t="s">
        <v>50</v>
      </c>
    </row>
    <row r="210" spans="1:25" x14ac:dyDescent="0.25">
      <c r="A210" s="26">
        <v>43319</v>
      </c>
      <c r="B210" s="27" t="s">
        <v>70</v>
      </c>
      <c r="C210" s="27" t="s">
        <v>95</v>
      </c>
      <c r="D210" s="89">
        <v>38.060209999999998</v>
      </c>
      <c r="E210" s="89">
        <v>-121.68586000000001</v>
      </c>
      <c r="F210" s="27" t="s">
        <v>5866</v>
      </c>
      <c r="G210" s="27" t="s">
        <v>46</v>
      </c>
      <c r="H210" s="27" t="s">
        <v>908</v>
      </c>
      <c r="I210" s="84">
        <v>0.43402777777777773</v>
      </c>
      <c r="J210" s="82">
        <v>421.85</v>
      </c>
      <c r="K210" s="82">
        <v>22.4</v>
      </c>
      <c r="L210" s="82">
        <v>12.45</v>
      </c>
      <c r="M210" s="82">
        <v>1.2375</v>
      </c>
      <c r="N210" s="4">
        <v>4.875</v>
      </c>
      <c r="O210" s="27" t="s">
        <v>48</v>
      </c>
      <c r="P210" s="27">
        <v>4</v>
      </c>
      <c r="Q210" s="27">
        <v>10</v>
      </c>
      <c r="R210" s="27" t="s">
        <v>64</v>
      </c>
      <c r="S210" s="27" t="s">
        <v>50</v>
      </c>
      <c r="T210" s="27" t="s">
        <v>50</v>
      </c>
      <c r="U210" s="27" t="s">
        <v>50</v>
      </c>
      <c r="V210" s="27" t="s">
        <v>50</v>
      </c>
      <c r="W210" s="27" t="s">
        <v>50</v>
      </c>
      <c r="X210" s="27" t="s">
        <v>50</v>
      </c>
    </row>
    <row r="211" spans="1:25" x14ac:dyDescent="0.25">
      <c r="A211" s="26">
        <v>43319</v>
      </c>
      <c r="B211" s="27" t="s">
        <v>70</v>
      </c>
      <c r="C211" s="27" t="s">
        <v>78</v>
      </c>
      <c r="D211" s="89">
        <v>38.058109999999999</v>
      </c>
      <c r="E211" s="89">
        <v>-121.84835</v>
      </c>
      <c r="F211" s="27" t="s">
        <v>5867</v>
      </c>
      <c r="G211" s="27" t="s">
        <v>27</v>
      </c>
      <c r="H211" s="27" t="s">
        <v>101</v>
      </c>
      <c r="I211" s="84">
        <v>0.3347222222222222</v>
      </c>
      <c r="J211" s="82">
        <v>1749.75</v>
      </c>
      <c r="K211" s="82">
        <v>21.775000000000002</v>
      </c>
      <c r="L211" s="82">
        <v>18.175000000000001</v>
      </c>
      <c r="M211" s="82">
        <v>0.68499999999999994</v>
      </c>
      <c r="N211" s="4">
        <v>5.0249999999999995</v>
      </c>
      <c r="O211" s="27" t="s">
        <v>48</v>
      </c>
      <c r="P211" s="27">
        <v>4</v>
      </c>
      <c r="Q211" s="27">
        <v>10</v>
      </c>
      <c r="R211" s="27" t="s">
        <v>64</v>
      </c>
      <c r="S211" s="27" t="s">
        <v>50</v>
      </c>
      <c r="T211" s="27" t="s">
        <v>50</v>
      </c>
      <c r="U211" s="27" t="s">
        <v>50</v>
      </c>
      <c r="V211" s="27" t="s">
        <v>50</v>
      </c>
      <c r="W211" s="27" t="s">
        <v>50</v>
      </c>
      <c r="X211" s="27" t="s">
        <v>50</v>
      </c>
    </row>
    <row r="212" spans="1:25" x14ac:dyDescent="0.25">
      <c r="A212" s="26">
        <v>43319</v>
      </c>
      <c r="B212" s="27" t="s">
        <v>70</v>
      </c>
      <c r="C212" s="27" t="s">
        <v>78</v>
      </c>
      <c r="D212" s="89">
        <v>38.042099999999998</v>
      </c>
      <c r="E212" s="89">
        <v>-121.83344</v>
      </c>
      <c r="F212" s="27" t="s">
        <v>5868</v>
      </c>
      <c r="G212" s="27" t="s">
        <v>27</v>
      </c>
      <c r="H212" s="27" t="s">
        <v>101</v>
      </c>
      <c r="I212" s="84">
        <v>0.3979166666666667</v>
      </c>
      <c r="J212" s="82">
        <v>1229.5</v>
      </c>
      <c r="K212" s="82">
        <v>21.824999999999999</v>
      </c>
      <c r="L212" s="82">
        <v>17.7</v>
      </c>
      <c r="M212" s="82">
        <v>0.77</v>
      </c>
      <c r="N212" s="4">
        <v>5.95</v>
      </c>
      <c r="O212" s="27" t="s">
        <v>48</v>
      </c>
      <c r="P212" s="27">
        <v>4</v>
      </c>
      <c r="Q212" s="27">
        <v>10</v>
      </c>
      <c r="R212" s="27" t="s">
        <v>64</v>
      </c>
      <c r="S212" s="27" t="s">
        <v>50</v>
      </c>
      <c r="T212" s="27" t="s">
        <v>50</v>
      </c>
      <c r="U212" s="27" t="s">
        <v>50</v>
      </c>
      <c r="V212" s="27" t="s">
        <v>50</v>
      </c>
      <c r="W212" s="27" t="s">
        <v>50</v>
      </c>
      <c r="X212" s="27" t="s">
        <v>50</v>
      </c>
    </row>
    <row r="213" spans="1:25" x14ac:dyDescent="0.25">
      <c r="A213" s="26">
        <v>43319</v>
      </c>
      <c r="B213" s="27" t="s">
        <v>70</v>
      </c>
      <c r="C213" s="27" t="s">
        <v>78</v>
      </c>
      <c r="D213" s="89">
        <v>38.059399999999997</v>
      </c>
      <c r="E213" s="89">
        <v>-121.95268</v>
      </c>
      <c r="F213" s="27" t="s">
        <v>5869</v>
      </c>
      <c r="G213" s="27" t="s">
        <v>27</v>
      </c>
      <c r="H213" s="27" t="s">
        <v>170</v>
      </c>
      <c r="I213" s="84">
        <v>0.50624999999999998</v>
      </c>
      <c r="J213" s="82">
        <v>9410</v>
      </c>
      <c r="K213" s="82">
        <v>20.95</v>
      </c>
      <c r="L213" s="82">
        <v>33.85</v>
      </c>
      <c r="M213" s="82">
        <v>0.52500000000000002</v>
      </c>
      <c r="N213" s="4">
        <v>11.399999999999999</v>
      </c>
      <c r="O213" s="27" t="s">
        <v>48</v>
      </c>
      <c r="P213" s="27">
        <v>4</v>
      </c>
      <c r="Q213" s="27">
        <v>10</v>
      </c>
      <c r="R213" s="27" t="s">
        <v>64</v>
      </c>
      <c r="S213" s="27" t="s">
        <v>50</v>
      </c>
      <c r="T213" s="27" t="s">
        <v>50</v>
      </c>
      <c r="U213" s="27" t="s">
        <v>50</v>
      </c>
      <c r="V213" s="27" t="s">
        <v>50</v>
      </c>
      <c r="W213" s="27" t="s">
        <v>50</v>
      </c>
      <c r="X213" s="27" t="s">
        <v>50</v>
      </c>
    </row>
    <row r="214" spans="1:25" x14ac:dyDescent="0.25">
      <c r="A214" s="26">
        <v>43320</v>
      </c>
      <c r="B214" s="27" t="s">
        <v>87</v>
      </c>
      <c r="C214" s="27" t="s">
        <v>62</v>
      </c>
      <c r="D214" s="89">
        <v>38.178339999999999</v>
      </c>
      <c r="E214" s="89">
        <v>-122.047</v>
      </c>
      <c r="F214" s="27" t="s">
        <v>5870</v>
      </c>
      <c r="G214" s="27" t="s">
        <v>27</v>
      </c>
      <c r="H214" s="27" t="s">
        <v>62</v>
      </c>
      <c r="I214" s="84">
        <v>0.38263888888888892</v>
      </c>
      <c r="J214" s="82">
        <v>9880.25</v>
      </c>
      <c r="K214" s="82">
        <v>20.65</v>
      </c>
      <c r="L214" s="82">
        <v>45.324999999999996</v>
      </c>
      <c r="M214" s="82">
        <v>0.40250000000000002</v>
      </c>
      <c r="N214" s="4">
        <v>10.525</v>
      </c>
      <c r="O214" s="27" t="s">
        <v>48</v>
      </c>
      <c r="P214" s="27">
        <v>4</v>
      </c>
      <c r="Q214" s="27">
        <v>10</v>
      </c>
      <c r="R214" s="27" t="s">
        <v>64</v>
      </c>
      <c r="S214" s="27" t="s">
        <v>50</v>
      </c>
      <c r="T214" s="27" t="s">
        <v>50</v>
      </c>
      <c r="U214" s="27" t="s">
        <v>50</v>
      </c>
      <c r="V214" s="27" t="s">
        <v>50</v>
      </c>
      <c r="W214" s="27" t="s">
        <v>50</v>
      </c>
      <c r="X214" s="27" t="s">
        <v>50</v>
      </c>
    </row>
    <row r="215" spans="1:25" x14ac:dyDescent="0.25">
      <c r="A215" s="26">
        <v>43320</v>
      </c>
      <c r="B215" s="27" t="s">
        <v>87</v>
      </c>
      <c r="C215" s="27" t="s">
        <v>62</v>
      </c>
      <c r="D215" s="89">
        <v>38.167270000000002</v>
      </c>
      <c r="E215" s="89">
        <v>-122.06717999999999</v>
      </c>
      <c r="F215" s="27" t="s">
        <v>5871</v>
      </c>
      <c r="G215" s="27" t="s">
        <v>27</v>
      </c>
      <c r="H215" s="27" t="s">
        <v>62</v>
      </c>
      <c r="I215" s="84">
        <v>0.45277777777777778</v>
      </c>
      <c r="J215" s="82">
        <v>7904</v>
      </c>
      <c r="K215" s="82">
        <v>21.05</v>
      </c>
      <c r="L215" s="82">
        <v>133.25</v>
      </c>
      <c r="M215" s="82">
        <v>0.21749999999999997</v>
      </c>
      <c r="N215" s="4">
        <v>6.75</v>
      </c>
      <c r="O215" s="27" t="s">
        <v>48</v>
      </c>
      <c r="P215" s="27">
        <v>4</v>
      </c>
      <c r="Q215" s="27">
        <v>10</v>
      </c>
      <c r="R215" s="27" t="s">
        <v>64</v>
      </c>
      <c r="S215" s="27" t="s">
        <v>50</v>
      </c>
      <c r="T215" s="27" t="s">
        <v>50</v>
      </c>
      <c r="U215" s="27" t="s">
        <v>50</v>
      </c>
      <c r="V215" s="27" t="s">
        <v>50</v>
      </c>
      <c r="W215" s="27" t="s">
        <v>50</v>
      </c>
      <c r="X215" s="27" t="s">
        <v>50</v>
      </c>
    </row>
    <row r="216" spans="1:25" x14ac:dyDescent="0.25">
      <c r="A216" s="26">
        <v>43320</v>
      </c>
      <c r="B216" s="27" t="s">
        <v>87</v>
      </c>
      <c r="C216" s="27" t="s">
        <v>62</v>
      </c>
      <c r="D216" s="89">
        <v>38.171210000000002</v>
      </c>
      <c r="E216" s="89">
        <v>-122.03052</v>
      </c>
      <c r="F216" s="27" t="s">
        <v>5872</v>
      </c>
      <c r="G216" s="27" t="s">
        <v>27</v>
      </c>
      <c r="H216" s="27" t="s">
        <v>62</v>
      </c>
      <c r="I216" s="84">
        <v>0.52222222222222225</v>
      </c>
      <c r="J216" s="82">
        <v>7686.25</v>
      </c>
      <c r="K216" s="82">
        <v>21.799999999999997</v>
      </c>
      <c r="L216" s="82">
        <v>58.550000000000004</v>
      </c>
      <c r="M216" s="82">
        <v>0.36000000000000004</v>
      </c>
      <c r="N216" s="4">
        <v>9.7749999999999986</v>
      </c>
      <c r="O216" s="27" t="s">
        <v>48</v>
      </c>
      <c r="P216" s="27">
        <v>4</v>
      </c>
      <c r="Q216" s="27">
        <v>10</v>
      </c>
      <c r="R216" s="27" t="s">
        <v>64</v>
      </c>
      <c r="S216" s="27" t="s">
        <v>50</v>
      </c>
      <c r="T216" s="27" t="s">
        <v>50</v>
      </c>
      <c r="U216" s="27" t="s">
        <v>50</v>
      </c>
      <c r="V216" s="27" t="s">
        <v>50</v>
      </c>
      <c r="W216" s="27" t="s">
        <v>50</v>
      </c>
      <c r="X216" s="27" t="s">
        <v>50</v>
      </c>
      <c r="Y216" s="35" t="s">
        <v>5873</v>
      </c>
    </row>
    <row r="217" spans="1:25" x14ac:dyDescent="0.25">
      <c r="A217" s="26">
        <v>43320</v>
      </c>
      <c r="B217" s="27" t="s">
        <v>87</v>
      </c>
      <c r="C217" s="27" t="s">
        <v>62</v>
      </c>
      <c r="D217" s="89">
        <v>38.120600000000003</v>
      </c>
      <c r="E217" s="89">
        <v>-122.05927</v>
      </c>
      <c r="F217" s="27" t="s">
        <v>5874</v>
      </c>
      <c r="G217" s="27" t="s">
        <v>27</v>
      </c>
      <c r="H217" s="27" t="s">
        <v>62</v>
      </c>
      <c r="I217" s="84">
        <v>0.36319444444444443</v>
      </c>
      <c r="J217" s="82" t="s">
        <v>50</v>
      </c>
      <c r="K217" s="82" t="s">
        <v>50</v>
      </c>
      <c r="L217" s="82" t="s">
        <v>50</v>
      </c>
      <c r="M217" s="82" t="s">
        <v>50</v>
      </c>
      <c r="N217" s="82" t="s">
        <v>50</v>
      </c>
      <c r="O217" s="27" t="s">
        <v>48</v>
      </c>
      <c r="P217" s="27">
        <v>0</v>
      </c>
      <c r="Q217" s="27" t="s">
        <v>50</v>
      </c>
      <c r="R217" s="27" t="s">
        <v>50</v>
      </c>
      <c r="S217" s="27" t="s">
        <v>50</v>
      </c>
      <c r="T217" s="27" t="s">
        <v>50</v>
      </c>
      <c r="U217" s="27" t="s">
        <v>50</v>
      </c>
      <c r="V217" s="27" t="s">
        <v>50</v>
      </c>
      <c r="W217" s="27" t="s">
        <v>50</v>
      </c>
      <c r="X217" s="27" t="s">
        <v>50</v>
      </c>
      <c r="Y217" s="35" t="s">
        <v>4960</v>
      </c>
    </row>
    <row r="218" spans="1:25" x14ac:dyDescent="0.25">
      <c r="A218" s="26">
        <v>43320</v>
      </c>
      <c r="B218" s="27" t="s">
        <v>87</v>
      </c>
      <c r="C218" s="27" t="s">
        <v>106</v>
      </c>
      <c r="D218" s="89">
        <v>38.561329999999998</v>
      </c>
      <c r="E218" s="89">
        <v>-121.54271</v>
      </c>
      <c r="F218" s="27" t="s">
        <v>5875</v>
      </c>
      <c r="G218" s="27" t="s">
        <v>90</v>
      </c>
      <c r="H218" s="27" t="s">
        <v>1787</v>
      </c>
      <c r="I218" s="84">
        <v>0.36944444444444446</v>
      </c>
      <c r="J218" s="82">
        <v>1039.5</v>
      </c>
      <c r="K218" s="82">
        <v>25.450000000000003</v>
      </c>
      <c r="L218" s="82">
        <v>3.8249999999999997</v>
      </c>
      <c r="M218" s="82" t="s">
        <v>5829</v>
      </c>
      <c r="N218" s="4">
        <v>7.3</v>
      </c>
      <c r="O218" s="27" t="s">
        <v>48</v>
      </c>
      <c r="P218" s="27">
        <v>4</v>
      </c>
      <c r="Q218" s="27">
        <v>10</v>
      </c>
      <c r="R218" s="27" t="s">
        <v>49</v>
      </c>
      <c r="S218" s="27" t="s">
        <v>50</v>
      </c>
      <c r="T218" s="27" t="s">
        <v>50</v>
      </c>
      <c r="U218" s="27" t="s">
        <v>50</v>
      </c>
      <c r="V218" s="27" t="s">
        <v>50</v>
      </c>
      <c r="W218" s="27" t="s">
        <v>50</v>
      </c>
      <c r="X218" s="27" t="s">
        <v>50</v>
      </c>
    </row>
    <row r="219" spans="1:25" x14ac:dyDescent="0.25">
      <c r="A219" s="26">
        <v>43320</v>
      </c>
      <c r="B219" s="27" t="s">
        <v>87</v>
      </c>
      <c r="C219" s="27" t="s">
        <v>106</v>
      </c>
      <c r="D219" s="89">
        <v>38.500549999999997</v>
      </c>
      <c r="E219" s="89">
        <v>-121.58487</v>
      </c>
      <c r="F219" s="27" t="s">
        <v>5876</v>
      </c>
      <c r="G219" s="27" t="s">
        <v>90</v>
      </c>
      <c r="H219" s="27" t="s">
        <v>1787</v>
      </c>
      <c r="I219" s="84">
        <v>0.42777777777777781</v>
      </c>
      <c r="J219" s="82">
        <v>904.75</v>
      </c>
      <c r="K219" s="82">
        <v>24.2</v>
      </c>
      <c r="L219" s="82">
        <v>12.324999999999999</v>
      </c>
      <c r="M219" s="82">
        <v>0.71749999999999992</v>
      </c>
      <c r="N219" s="4">
        <v>9.1000000000000014</v>
      </c>
      <c r="O219" s="27" t="s">
        <v>48</v>
      </c>
      <c r="P219" s="27">
        <v>4</v>
      </c>
      <c r="Q219" s="27">
        <v>10</v>
      </c>
      <c r="R219" s="27" t="s">
        <v>49</v>
      </c>
      <c r="S219" s="27" t="s">
        <v>50</v>
      </c>
      <c r="T219" s="27" t="s">
        <v>50</v>
      </c>
      <c r="U219" s="27" t="s">
        <v>50</v>
      </c>
      <c r="V219" s="27" t="s">
        <v>50</v>
      </c>
      <c r="W219" s="27" t="s">
        <v>50</v>
      </c>
      <c r="X219" s="27" t="s">
        <v>50</v>
      </c>
    </row>
    <row r="220" spans="1:25" s="215" customFormat="1" x14ac:dyDescent="0.25">
      <c r="A220" s="495">
        <v>43320</v>
      </c>
      <c r="B220" s="494" t="s">
        <v>87</v>
      </c>
      <c r="C220" s="494" t="s">
        <v>106</v>
      </c>
      <c r="D220" s="496">
        <v>38.385559999999998</v>
      </c>
      <c r="E220" s="496">
        <v>-121.62466999999999</v>
      </c>
      <c r="F220" s="494" t="s">
        <v>5877</v>
      </c>
      <c r="G220" s="494" t="s">
        <v>90</v>
      </c>
      <c r="H220" s="494" t="s">
        <v>362</v>
      </c>
      <c r="I220" s="497">
        <v>0.4861111111111111</v>
      </c>
      <c r="J220" s="498">
        <v>558.33333333333303</v>
      </c>
      <c r="K220" s="498">
        <v>23.133333333333336</v>
      </c>
      <c r="L220" s="498">
        <v>33</v>
      </c>
      <c r="M220" s="498">
        <v>0.40000000000000008</v>
      </c>
      <c r="N220" s="499">
        <v>9.4333333333333336</v>
      </c>
      <c r="O220" s="494" t="s">
        <v>48</v>
      </c>
      <c r="P220" s="494">
        <v>3</v>
      </c>
      <c r="Q220" s="494">
        <v>10</v>
      </c>
      <c r="R220" s="494" t="s">
        <v>64</v>
      </c>
      <c r="S220" s="494" t="s">
        <v>323</v>
      </c>
      <c r="T220" s="494">
        <v>2</v>
      </c>
      <c r="U220" s="494">
        <v>46</v>
      </c>
      <c r="V220" s="494" t="s">
        <v>66</v>
      </c>
      <c r="W220" s="494" t="s">
        <v>50</v>
      </c>
      <c r="X220" s="494" t="s">
        <v>50</v>
      </c>
      <c r="Y220" s="455" t="s">
        <v>5837</v>
      </c>
    </row>
    <row r="221" spans="1:25" x14ac:dyDescent="0.25">
      <c r="A221" s="26">
        <v>43320</v>
      </c>
      <c r="B221" s="27" t="s">
        <v>87</v>
      </c>
      <c r="C221" s="27" t="s">
        <v>88</v>
      </c>
      <c r="D221" s="89">
        <v>38.172260000000001</v>
      </c>
      <c r="E221" s="89">
        <v>-121.67279000000001</v>
      </c>
      <c r="F221" s="27" t="s">
        <v>5878</v>
      </c>
      <c r="G221" s="27" t="s">
        <v>90</v>
      </c>
      <c r="H221" s="27" t="s">
        <v>91</v>
      </c>
      <c r="I221" s="84">
        <v>0.37083333333333335</v>
      </c>
      <c r="J221" s="82">
        <v>144.19999999999999</v>
      </c>
      <c r="K221" s="82">
        <v>21.2</v>
      </c>
      <c r="L221" s="82">
        <v>8.4924999999999997</v>
      </c>
      <c r="M221" s="82">
        <v>1.6800000000000002</v>
      </c>
      <c r="N221" s="4">
        <v>15.125</v>
      </c>
      <c r="O221" s="27" t="s">
        <v>48</v>
      </c>
      <c r="P221" s="27">
        <v>4</v>
      </c>
      <c r="Q221" s="27">
        <v>10</v>
      </c>
      <c r="R221" s="27" t="s">
        <v>49</v>
      </c>
      <c r="S221" s="27" t="s">
        <v>50</v>
      </c>
      <c r="T221" s="27" t="s">
        <v>50</v>
      </c>
      <c r="U221" s="27" t="s">
        <v>50</v>
      </c>
      <c r="V221" s="27" t="s">
        <v>50</v>
      </c>
      <c r="W221" s="27" t="s">
        <v>50</v>
      </c>
      <c r="X221" s="27" t="s">
        <v>50</v>
      </c>
      <c r="Y221" s="35" t="s">
        <v>5879</v>
      </c>
    </row>
    <row r="222" spans="1:25" x14ac:dyDescent="0.25">
      <c r="A222" s="26">
        <v>43320</v>
      </c>
      <c r="B222" s="27" t="s">
        <v>87</v>
      </c>
      <c r="C222" s="27" t="s">
        <v>88</v>
      </c>
      <c r="D222" s="89">
        <v>38.097299999999997</v>
      </c>
      <c r="E222" s="89">
        <v>-121.72624</v>
      </c>
      <c r="F222" s="27" t="s">
        <v>5880</v>
      </c>
      <c r="G222" s="27" t="s">
        <v>90</v>
      </c>
      <c r="H222" s="27" t="s">
        <v>91</v>
      </c>
      <c r="I222" s="84">
        <v>0.4291666666666667</v>
      </c>
      <c r="J222" s="82">
        <v>163.85</v>
      </c>
      <c r="K222" s="82">
        <v>21.524999999999999</v>
      </c>
      <c r="L222" s="82">
        <v>7.9875000000000007</v>
      </c>
      <c r="M222" s="82">
        <v>1.5249999999999999</v>
      </c>
      <c r="N222" s="4">
        <v>6.25</v>
      </c>
      <c r="O222" s="27" t="s">
        <v>48</v>
      </c>
      <c r="P222" s="27">
        <v>4</v>
      </c>
      <c r="Q222" s="27">
        <v>10</v>
      </c>
      <c r="R222" s="27" t="s">
        <v>49</v>
      </c>
      <c r="S222" s="27" t="s">
        <v>50</v>
      </c>
      <c r="T222" s="27" t="s">
        <v>50</v>
      </c>
      <c r="U222" s="27" t="s">
        <v>50</v>
      </c>
      <c r="V222" s="27" t="s">
        <v>50</v>
      </c>
      <c r="W222" s="27" t="s">
        <v>50</v>
      </c>
      <c r="X222" s="27" t="s">
        <v>50</v>
      </c>
    </row>
    <row r="223" spans="1:25" x14ac:dyDescent="0.25">
      <c r="A223" s="26">
        <v>43322</v>
      </c>
      <c r="B223" s="27" t="s">
        <v>125</v>
      </c>
      <c r="C223" s="27" t="s">
        <v>62</v>
      </c>
      <c r="D223" s="89">
        <v>38.171289999999999</v>
      </c>
      <c r="E223" s="89">
        <v>-121.93</v>
      </c>
      <c r="F223" s="27" t="s">
        <v>5881</v>
      </c>
      <c r="G223" s="27" t="s">
        <v>27</v>
      </c>
      <c r="H223" s="27" t="s">
        <v>62</v>
      </c>
      <c r="I223" s="84">
        <v>0.35972222222222222</v>
      </c>
      <c r="J223" s="82">
        <v>5078.5</v>
      </c>
      <c r="K223" s="82">
        <v>21.35</v>
      </c>
      <c r="L223" s="82">
        <v>23.075000000000003</v>
      </c>
      <c r="M223" s="82">
        <v>0.37249999999999994</v>
      </c>
      <c r="N223" s="4">
        <v>7.4</v>
      </c>
      <c r="O223" s="27" t="s">
        <v>48</v>
      </c>
      <c r="P223" s="27">
        <v>4</v>
      </c>
      <c r="Q223" s="27">
        <v>10</v>
      </c>
      <c r="R223" s="27" t="s">
        <v>64</v>
      </c>
      <c r="S223" s="27" t="s">
        <v>50</v>
      </c>
      <c r="T223" s="27" t="s">
        <v>50</v>
      </c>
      <c r="U223" s="27" t="s">
        <v>50</v>
      </c>
      <c r="V223" s="27" t="s">
        <v>50</v>
      </c>
      <c r="W223" s="27" t="s">
        <v>50</v>
      </c>
      <c r="X223" s="27" t="s">
        <v>50</v>
      </c>
      <c r="Y223" s="35" t="s">
        <v>5882</v>
      </c>
    </row>
    <row r="224" spans="1:25" x14ac:dyDescent="0.25">
      <c r="A224" s="26">
        <v>43322</v>
      </c>
      <c r="B224" s="27" t="s">
        <v>125</v>
      </c>
      <c r="C224" s="27" t="s">
        <v>62</v>
      </c>
      <c r="D224" s="89">
        <v>38.178510000000003</v>
      </c>
      <c r="E224" s="89">
        <v>-121.96308999999999</v>
      </c>
      <c r="F224" s="27" t="s">
        <v>5883</v>
      </c>
      <c r="G224" s="27" t="s">
        <v>27</v>
      </c>
      <c r="H224" s="27" t="s">
        <v>62</v>
      </c>
      <c r="I224" s="84">
        <v>0.41944444444444445</v>
      </c>
      <c r="J224" s="82">
        <v>5465.75</v>
      </c>
      <c r="K224" s="82">
        <v>21.574999999999999</v>
      </c>
      <c r="L224" s="82">
        <v>25.75</v>
      </c>
      <c r="M224" s="82">
        <v>0.38249999999999995</v>
      </c>
      <c r="N224" s="4">
        <v>6.75</v>
      </c>
      <c r="O224" s="27" t="s">
        <v>48</v>
      </c>
      <c r="P224" s="27">
        <v>4</v>
      </c>
      <c r="Q224" s="27">
        <v>10</v>
      </c>
      <c r="R224" s="27" t="s">
        <v>49</v>
      </c>
      <c r="S224" s="27" t="s">
        <v>50</v>
      </c>
      <c r="T224" s="27" t="s">
        <v>50</v>
      </c>
      <c r="U224" s="27" t="s">
        <v>50</v>
      </c>
      <c r="V224" s="27" t="s">
        <v>50</v>
      </c>
      <c r="W224" s="27" t="s">
        <v>50</v>
      </c>
      <c r="X224" s="27" t="s">
        <v>50</v>
      </c>
    </row>
    <row r="225" spans="1:25" x14ac:dyDescent="0.25">
      <c r="A225" s="26">
        <v>43322</v>
      </c>
      <c r="B225" s="27" t="s">
        <v>125</v>
      </c>
      <c r="C225" s="27" t="s">
        <v>62</v>
      </c>
      <c r="D225" s="89">
        <v>38.101590000000002</v>
      </c>
      <c r="E225" s="89">
        <v>-121.89234999999999</v>
      </c>
      <c r="F225" s="27" t="s">
        <v>5884</v>
      </c>
      <c r="G225" s="27" t="s">
        <v>27</v>
      </c>
      <c r="H225" s="27" t="s">
        <v>62</v>
      </c>
      <c r="I225" s="84">
        <v>0.48125000000000001</v>
      </c>
      <c r="J225" s="82">
        <v>6078.25</v>
      </c>
      <c r="K225" s="82">
        <v>21.2</v>
      </c>
      <c r="L225" s="82">
        <v>78.825000000000003</v>
      </c>
      <c r="M225" s="82">
        <v>0.29749999999999999</v>
      </c>
      <c r="N225" s="4">
        <v>4.5500000000000007</v>
      </c>
      <c r="O225" s="27" t="s">
        <v>48</v>
      </c>
      <c r="P225" s="27">
        <v>4</v>
      </c>
      <c r="Q225" s="27">
        <v>10</v>
      </c>
      <c r="R225" s="27" t="s">
        <v>49</v>
      </c>
      <c r="S225" s="27" t="s">
        <v>50</v>
      </c>
      <c r="T225" s="27" t="s">
        <v>50</v>
      </c>
      <c r="U225" s="27" t="s">
        <v>50</v>
      </c>
      <c r="V225" s="27" t="s">
        <v>50</v>
      </c>
      <c r="W225" s="27" t="s">
        <v>50</v>
      </c>
      <c r="X225" s="27" t="s">
        <v>50</v>
      </c>
    </row>
    <row r="226" spans="1:25" x14ac:dyDescent="0.25">
      <c r="A226" s="26">
        <v>43322</v>
      </c>
      <c r="B226" s="27" t="s">
        <v>125</v>
      </c>
      <c r="C226" s="27" t="s">
        <v>106</v>
      </c>
      <c r="D226" s="89">
        <v>38.181260000000002</v>
      </c>
      <c r="E226" s="89">
        <v>-121.66579</v>
      </c>
      <c r="F226" s="27" t="s">
        <v>5885</v>
      </c>
      <c r="G226" s="27" t="s">
        <v>90</v>
      </c>
      <c r="H226" s="27" t="s">
        <v>362</v>
      </c>
      <c r="I226" s="84">
        <v>0.31597222222222221</v>
      </c>
      <c r="J226" s="82">
        <v>150.19999999999999</v>
      </c>
      <c r="K226" s="82">
        <v>21.720000000000002</v>
      </c>
      <c r="L226" s="82">
        <v>7.0980000000000008</v>
      </c>
      <c r="M226" s="82">
        <v>1.4420000000000002</v>
      </c>
      <c r="N226" s="4">
        <v>11.24</v>
      </c>
      <c r="O226" s="27" t="s">
        <v>48</v>
      </c>
      <c r="P226" s="27">
        <v>5</v>
      </c>
      <c r="Q226" s="27">
        <v>10</v>
      </c>
      <c r="R226" s="27" t="s">
        <v>49</v>
      </c>
      <c r="S226" s="27" t="s">
        <v>50</v>
      </c>
      <c r="T226" s="27" t="s">
        <v>50</v>
      </c>
      <c r="U226" s="27" t="s">
        <v>50</v>
      </c>
      <c r="V226" s="27" t="s">
        <v>50</v>
      </c>
      <c r="W226" s="27" t="s">
        <v>50</v>
      </c>
      <c r="X226" s="27" t="s">
        <v>50</v>
      </c>
      <c r="Y226" s="35" t="s">
        <v>5886</v>
      </c>
    </row>
    <row r="227" spans="1:25" x14ac:dyDescent="0.25">
      <c r="A227" s="26">
        <v>43322</v>
      </c>
      <c r="B227" s="27" t="s">
        <v>125</v>
      </c>
      <c r="C227" s="27" t="s">
        <v>106</v>
      </c>
      <c r="D227" s="89">
        <v>38.211039999999997</v>
      </c>
      <c r="E227" s="89">
        <v>-121.66529</v>
      </c>
      <c r="F227" s="27" t="s">
        <v>5887</v>
      </c>
      <c r="G227" s="27" t="s">
        <v>90</v>
      </c>
      <c r="H227" s="27" t="s">
        <v>362</v>
      </c>
      <c r="I227" s="84">
        <v>0.39930555555555558</v>
      </c>
      <c r="J227" s="82">
        <v>153.27500000000001</v>
      </c>
      <c r="K227" s="82">
        <v>21.6</v>
      </c>
      <c r="L227" s="82">
        <v>6.1224999999999996</v>
      </c>
      <c r="M227" s="82">
        <v>1.4775</v>
      </c>
      <c r="N227" s="4">
        <v>11.875</v>
      </c>
      <c r="O227" s="27" t="s">
        <v>48</v>
      </c>
      <c r="P227" s="27">
        <v>4</v>
      </c>
      <c r="Q227" s="27">
        <v>10</v>
      </c>
      <c r="R227" s="27" t="s">
        <v>49</v>
      </c>
      <c r="S227" s="27" t="s">
        <v>50</v>
      </c>
      <c r="T227" s="27" t="s">
        <v>50</v>
      </c>
      <c r="U227" s="27" t="s">
        <v>50</v>
      </c>
      <c r="V227" s="27" t="s">
        <v>50</v>
      </c>
      <c r="W227" s="27" t="s">
        <v>50</v>
      </c>
      <c r="X227" s="27" t="s">
        <v>50</v>
      </c>
    </row>
    <row r="228" spans="1:25" x14ac:dyDescent="0.25">
      <c r="A228" s="26">
        <v>43322</v>
      </c>
      <c r="B228" s="27" t="s">
        <v>125</v>
      </c>
      <c r="C228" s="27" t="s">
        <v>88</v>
      </c>
      <c r="D228" s="89">
        <v>38.058599999999998</v>
      </c>
      <c r="E228" s="89">
        <v>-121.80155000000001</v>
      </c>
      <c r="F228" s="27" t="s">
        <v>5888</v>
      </c>
      <c r="G228" s="27" t="s">
        <v>27</v>
      </c>
      <c r="H228" s="27" t="s">
        <v>25</v>
      </c>
      <c r="I228" s="84">
        <v>0.35000000000000003</v>
      </c>
      <c r="J228" s="82">
        <v>1636.5</v>
      </c>
      <c r="K228" s="82">
        <v>21.6</v>
      </c>
      <c r="L228" s="82">
        <v>25.775000000000002</v>
      </c>
      <c r="M228" s="82">
        <v>0.57499999999999996</v>
      </c>
      <c r="N228" s="4">
        <v>8.8249999999999993</v>
      </c>
      <c r="O228" s="27" t="s">
        <v>48</v>
      </c>
      <c r="P228" s="27">
        <v>4</v>
      </c>
      <c r="Q228" s="27">
        <v>10</v>
      </c>
      <c r="R228" s="27" t="s">
        <v>49</v>
      </c>
      <c r="S228" s="27" t="s">
        <v>50</v>
      </c>
      <c r="T228" s="27" t="s">
        <v>50</v>
      </c>
      <c r="U228" s="27" t="s">
        <v>50</v>
      </c>
      <c r="V228" s="27" t="s">
        <v>50</v>
      </c>
      <c r="W228" s="27" t="s">
        <v>50</v>
      </c>
      <c r="X228" s="27" t="s">
        <v>50</v>
      </c>
    </row>
    <row r="229" spans="1:25" s="361" customFormat="1" x14ac:dyDescent="0.25">
      <c r="A229" s="360">
        <v>43322</v>
      </c>
      <c r="B229" s="361" t="s">
        <v>125</v>
      </c>
      <c r="C229" s="361" t="s">
        <v>88</v>
      </c>
      <c r="D229" s="362">
        <v>38.075809999999997</v>
      </c>
      <c r="E229" s="362">
        <v>-121.77007999999999</v>
      </c>
      <c r="F229" s="333" t="s">
        <v>5889</v>
      </c>
      <c r="G229" s="361" t="s">
        <v>27</v>
      </c>
      <c r="H229" s="361" t="s">
        <v>25</v>
      </c>
      <c r="I229" s="363">
        <v>0.40277777777777773</v>
      </c>
      <c r="J229" s="364">
        <v>153.42500000000001</v>
      </c>
      <c r="K229" s="364">
        <v>22</v>
      </c>
      <c r="L229" s="364">
        <v>22.65</v>
      </c>
      <c r="M229" s="364">
        <v>0.65500000000000003</v>
      </c>
      <c r="N229" s="365">
        <v>7.7499999999999991</v>
      </c>
      <c r="O229" s="361" t="s">
        <v>48</v>
      </c>
      <c r="P229" s="361">
        <v>4</v>
      </c>
      <c r="Q229" s="361">
        <v>10</v>
      </c>
      <c r="R229" s="361" t="s">
        <v>49</v>
      </c>
      <c r="S229" s="361" t="s">
        <v>50</v>
      </c>
      <c r="T229" s="361" t="s">
        <v>50</v>
      </c>
      <c r="U229" s="361" t="s">
        <v>50</v>
      </c>
      <c r="V229" s="361" t="s">
        <v>50</v>
      </c>
      <c r="W229" s="361" t="s">
        <v>50</v>
      </c>
      <c r="X229" s="361" t="s">
        <v>50</v>
      </c>
      <c r="Y229" s="366"/>
    </row>
    <row r="230" spans="1:25" x14ac:dyDescent="0.25">
      <c r="A230" s="26">
        <v>43325</v>
      </c>
      <c r="B230" s="27" t="s">
        <v>43</v>
      </c>
      <c r="C230" s="27" t="s">
        <v>106</v>
      </c>
      <c r="D230" s="89">
        <v>38.563319999999997</v>
      </c>
      <c r="E230" s="89">
        <v>-121.5548</v>
      </c>
      <c r="F230" s="27" t="s">
        <v>5890</v>
      </c>
      <c r="G230" s="27" t="s">
        <v>90</v>
      </c>
      <c r="H230" s="27" t="s">
        <v>1787</v>
      </c>
      <c r="I230" s="84">
        <v>0.35416666666666669</v>
      </c>
      <c r="J230" s="82">
        <v>1094.25</v>
      </c>
      <c r="K230" s="82">
        <v>25.450000000000003</v>
      </c>
      <c r="L230" s="82">
        <v>6.0075000000000003</v>
      </c>
      <c r="M230" s="82">
        <v>1.5649999999999999</v>
      </c>
      <c r="N230" s="4">
        <v>10.3</v>
      </c>
      <c r="O230" s="27" t="s">
        <v>48</v>
      </c>
      <c r="P230" s="27">
        <v>4</v>
      </c>
      <c r="Q230" s="27">
        <v>10</v>
      </c>
      <c r="R230" s="27" t="s">
        <v>64</v>
      </c>
      <c r="S230" s="27" t="s">
        <v>50</v>
      </c>
      <c r="T230" s="27" t="s">
        <v>50</v>
      </c>
      <c r="U230" s="27" t="s">
        <v>50</v>
      </c>
      <c r="V230" s="27" t="s">
        <v>50</v>
      </c>
      <c r="W230" s="27" t="s">
        <v>50</v>
      </c>
      <c r="X230" s="27" t="s">
        <v>50</v>
      </c>
      <c r="Y230" s="35" t="s">
        <v>5891</v>
      </c>
    </row>
    <row r="231" spans="1:25" x14ac:dyDescent="0.25">
      <c r="A231" s="26">
        <v>43325</v>
      </c>
      <c r="B231" s="27" t="s">
        <v>43</v>
      </c>
      <c r="C231" s="27" t="s">
        <v>106</v>
      </c>
      <c r="D231" s="89">
        <v>38.561619999999998</v>
      </c>
      <c r="E231" s="89">
        <v>-121.55799</v>
      </c>
      <c r="F231" s="27" t="s">
        <v>5892</v>
      </c>
      <c r="G231" s="27" t="s">
        <v>90</v>
      </c>
      <c r="H231" s="27" t="s">
        <v>1787</v>
      </c>
      <c r="I231" s="84">
        <v>0.40486111111111112</v>
      </c>
      <c r="J231" s="82">
        <v>1092.5</v>
      </c>
      <c r="K231" s="82">
        <v>25.450000000000003</v>
      </c>
      <c r="L231" s="82">
        <v>5.9124999999999996</v>
      </c>
      <c r="M231" s="82">
        <v>1.55</v>
      </c>
      <c r="N231" s="4">
        <v>10.775</v>
      </c>
      <c r="O231" s="27" t="s">
        <v>48</v>
      </c>
      <c r="P231" s="27">
        <v>4</v>
      </c>
      <c r="Q231" s="27">
        <v>10</v>
      </c>
      <c r="R231" s="27" t="s">
        <v>49</v>
      </c>
      <c r="S231" s="27" t="s">
        <v>50</v>
      </c>
      <c r="T231" s="27" t="s">
        <v>50</v>
      </c>
      <c r="U231" s="27" t="s">
        <v>50</v>
      </c>
      <c r="V231" s="27" t="s">
        <v>50</v>
      </c>
      <c r="W231" s="27" t="s">
        <v>50</v>
      </c>
      <c r="X231" s="27" t="s">
        <v>50</v>
      </c>
      <c r="Y231" s="35" t="s">
        <v>5893</v>
      </c>
    </row>
    <row r="232" spans="1:25" x14ac:dyDescent="0.25">
      <c r="A232" s="26">
        <v>43325</v>
      </c>
      <c r="B232" s="27" t="s">
        <v>43</v>
      </c>
      <c r="C232" s="27" t="s">
        <v>106</v>
      </c>
      <c r="D232" s="89">
        <v>38.545520000000003</v>
      </c>
      <c r="E232" s="89">
        <v>-121.58284999999999</v>
      </c>
      <c r="F232" s="27" t="s">
        <v>5894</v>
      </c>
      <c r="G232" s="27" t="s">
        <v>90</v>
      </c>
      <c r="H232" s="27" t="s">
        <v>1787</v>
      </c>
      <c r="I232" s="84">
        <v>0.45694444444444443</v>
      </c>
      <c r="J232" s="82">
        <v>1040</v>
      </c>
      <c r="K232" s="82">
        <v>25.05</v>
      </c>
      <c r="L232" s="82">
        <v>7.6124999999999998</v>
      </c>
      <c r="M232" s="82">
        <v>0.99749999999999994</v>
      </c>
      <c r="N232" s="4">
        <v>10.775</v>
      </c>
      <c r="O232" s="27" t="s">
        <v>48</v>
      </c>
      <c r="P232" s="27">
        <v>4</v>
      </c>
      <c r="Q232" s="27">
        <v>10</v>
      </c>
      <c r="R232" s="27" t="s">
        <v>49</v>
      </c>
      <c r="S232" s="27" t="s">
        <v>50</v>
      </c>
      <c r="T232" s="27" t="s">
        <v>50</v>
      </c>
      <c r="U232" s="27" t="s">
        <v>50</v>
      </c>
      <c r="V232" s="27" t="s">
        <v>50</v>
      </c>
      <c r="W232" s="27" t="s">
        <v>50</v>
      </c>
      <c r="X232" s="27" t="s">
        <v>50</v>
      </c>
    </row>
    <row r="233" spans="1:25" x14ac:dyDescent="0.25">
      <c r="A233" s="26">
        <v>43325</v>
      </c>
      <c r="B233" s="27" t="s">
        <v>43</v>
      </c>
      <c r="C233" s="27" t="s">
        <v>88</v>
      </c>
      <c r="D233" s="89">
        <v>38.06223</v>
      </c>
      <c r="E233" s="89">
        <v>-121.83062</v>
      </c>
      <c r="F233" s="27" t="s">
        <v>5895</v>
      </c>
      <c r="G233" s="27" t="s">
        <v>27</v>
      </c>
      <c r="H233" s="27" t="s">
        <v>25</v>
      </c>
      <c r="I233" s="84">
        <v>0.33055555555555555</v>
      </c>
      <c r="J233" s="82">
        <v>6818.75</v>
      </c>
      <c r="K233" s="82">
        <v>21.475000000000001</v>
      </c>
      <c r="L233" s="82">
        <v>17.95</v>
      </c>
      <c r="M233" s="82">
        <v>0.54499999999999993</v>
      </c>
      <c r="N233" s="4">
        <v>8.75</v>
      </c>
      <c r="O233" s="27" t="s">
        <v>48</v>
      </c>
      <c r="P233" s="27">
        <v>4</v>
      </c>
      <c r="Q233" s="27">
        <v>10</v>
      </c>
      <c r="R233" s="27" t="s">
        <v>49</v>
      </c>
      <c r="S233" s="27" t="s">
        <v>50</v>
      </c>
      <c r="T233" s="27" t="s">
        <v>50</v>
      </c>
      <c r="U233" s="27" t="s">
        <v>50</v>
      </c>
      <c r="V233" s="27" t="s">
        <v>50</v>
      </c>
      <c r="W233" s="27" t="s">
        <v>50</v>
      </c>
      <c r="X233" s="27" t="s">
        <v>50</v>
      </c>
      <c r="Y233" s="35" t="s">
        <v>5896</v>
      </c>
    </row>
    <row r="234" spans="1:25" s="215" customFormat="1" x14ac:dyDescent="0.25">
      <c r="A234" s="495">
        <v>43325</v>
      </c>
      <c r="B234" s="494" t="s">
        <v>43</v>
      </c>
      <c r="C234" s="494" t="s">
        <v>88</v>
      </c>
      <c r="D234" s="496">
        <v>38.067540000000001</v>
      </c>
      <c r="E234" s="496">
        <v>-121.82137</v>
      </c>
      <c r="F234" s="494" t="s">
        <v>5897</v>
      </c>
      <c r="G234" s="494" t="s">
        <v>27</v>
      </c>
      <c r="H234" s="494" t="s">
        <v>25</v>
      </c>
      <c r="I234" s="497">
        <v>0.37777777777777777</v>
      </c>
      <c r="J234" s="498">
        <v>5886.5</v>
      </c>
      <c r="K234" s="498">
        <v>21.7</v>
      </c>
      <c r="L234" s="498">
        <v>56.2</v>
      </c>
      <c r="M234" s="498">
        <v>0.255</v>
      </c>
      <c r="N234" s="499">
        <v>6.0500000000000007</v>
      </c>
      <c r="O234" s="494" t="s">
        <v>48</v>
      </c>
      <c r="P234" s="494">
        <v>2</v>
      </c>
      <c r="Q234" s="494">
        <v>10</v>
      </c>
      <c r="R234" s="494" t="s">
        <v>49</v>
      </c>
      <c r="S234" s="494" t="s">
        <v>323</v>
      </c>
      <c r="T234" s="494">
        <v>1</v>
      </c>
      <c r="U234" s="494">
        <v>61</v>
      </c>
      <c r="V234" s="494" t="s">
        <v>66</v>
      </c>
      <c r="W234" s="494" t="s">
        <v>50</v>
      </c>
      <c r="X234" s="494" t="s">
        <v>50</v>
      </c>
      <c r="Y234" s="455"/>
    </row>
    <row r="235" spans="1:25" x14ac:dyDescent="0.25">
      <c r="A235" s="26">
        <v>43325</v>
      </c>
      <c r="B235" s="27" t="s">
        <v>43</v>
      </c>
      <c r="C235" s="27" t="s">
        <v>88</v>
      </c>
      <c r="D235" s="89">
        <v>38.087769999999999</v>
      </c>
      <c r="E235" s="89">
        <v>-121.74191</v>
      </c>
      <c r="F235" s="27" t="s">
        <v>5898</v>
      </c>
      <c r="G235" s="27" t="s">
        <v>90</v>
      </c>
      <c r="H235" s="27" t="s">
        <v>91</v>
      </c>
      <c r="I235" s="84">
        <v>0.42222222222222222</v>
      </c>
      <c r="J235" s="82">
        <v>192.3</v>
      </c>
      <c r="K235" s="82">
        <v>22.224999999999998</v>
      </c>
      <c r="L235" s="82">
        <v>16.2</v>
      </c>
      <c r="M235" s="82">
        <v>0.82250000000000001</v>
      </c>
      <c r="N235" s="4">
        <v>8.3249999999999993</v>
      </c>
      <c r="O235" s="27" t="s">
        <v>48</v>
      </c>
      <c r="P235" s="27">
        <v>4</v>
      </c>
      <c r="Q235" s="27">
        <v>10</v>
      </c>
      <c r="R235" s="27" t="s">
        <v>49</v>
      </c>
      <c r="S235" s="27" t="s">
        <v>50</v>
      </c>
      <c r="T235" s="27" t="s">
        <v>50</v>
      </c>
      <c r="U235" s="27" t="s">
        <v>50</v>
      </c>
      <c r="V235" s="27" t="s">
        <v>50</v>
      </c>
      <c r="W235" s="27" t="s">
        <v>50</v>
      </c>
      <c r="X235" s="27" t="s">
        <v>50</v>
      </c>
    </row>
    <row r="236" spans="1:25" x14ac:dyDescent="0.25">
      <c r="A236" s="26">
        <v>43325</v>
      </c>
      <c r="B236" s="27" t="s">
        <v>43</v>
      </c>
      <c r="C236" s="27" t="s">
        <v>62</v>
      </c>
      <c r="D236" s="89">
        <v>38.073970000000003</v>
      </c>
      <c r="E236" s="89">
        <v>-121.87976</v>
      </c>
      <c r="F236" s="27" t="s">
        <v>5899</v>
      </c>
      <c r="G236" s="27" t="s">
        <v>27</v>
      </c>
      <c r="H236" s="27" t="s">
        <v>62</v>
      </c>
      <c r="I236" s="84">
        <v>0.33055555555555555</v>
      </c>
      <c r="J236" s="82">
        <v>5133</v>
      </c>
      <c r="K236" s="82">
        <v>21.475000000000001</v>
      </c>
      <c r="L236" s="82">
        <v>10.3825</v>
      </c>
      <c r="M236" s="82">
        <v>0.76750000000000007</v>
      </c>
      <c r="N236" s="4">
        <v>6.15</v>
      </c>
      <c r="O236" s="27" t="s">
        <v>48</v>
      </c>
      <c r="P236" s="27">
        <v>4</v>
      </c>
      <c r="Q236" s="27">
        <v>10</v>
      </c>
      <c r="R236" s="27" t="s">
        <v>49</v>
      </c>
      <c r="S236" s="27" t="s">
        <v>50</v>
      </c>
      <c r="T236" s="27" t="s">
        <v>50</v>
      </c>
      <c r="U236" s="27" t="s">
        <v>50</v>
      </c>
      <c r="V236" s="27" t="s">
        <v>50</v>
      </c>
      <c r="W236" s="27" t="s">
        <v>50</v>
      </c>
      <c r="X236" s="27" t="s">
        <v>50</v>
      </c>
    </row>
    <row r="237" spans="1:25" x14ac:dyDescent="0.25">
      <c r="A237" s="26">
        <v>43325</v>
      </c>
      <c r="B237" s="27" t="s">
        <v>43</v>
      </c>
      <c r="C237" s="27" t="s">
        <v>62</v>
      </c>
      <c r="D237" s="89">
        <v>38.192659999999997</v>
      </c>
      <c r="E237" s="89">
        <v>-122.03797</v>
      </c>
      <c r="F237" s="27" t="s">
        <v>5900</v>
      </c>
      <c r="G237" s="27" t="s">
        <v>27</v>
      </c>
      <c r="H237" s="27" t="s">
        <v>62</v>
      </c>
      <c r="I237" s="84">
        <v>0.43263888888888885</v>
      </c>
      <c r="J237" s="82">
        <v>9031.75</v>
      </c>
      <c r="K237" s="82">
        <v>20.85</v>
      </c>
      <c r="L237" s="82">
        <v>42.849999999999994</v>
      </c>
      <c r="M237" s="82">
        <v>0.29750000000000004</v>
      </c>
      <c r="N237" s="4">
        <v>6.6</v>
      </c>
      <c r="O237" s="27" t="s">
        <v>48</v>
      </c>
      <c r="P237" s="27">
        <v>4</v>
      </c>
      <c r="Q237" s="27">
        <v>10</v>
      </c>
      <c r="R237" s="27" t="s">
        <v>49</v>
      </c>
      <c r="S237" s="27" t="s">
        <v>50</v>
      </c>
      <c r="T237" s="27" t="s">
        <v>50</v>
      </c>
      <c r="U237" s="27" t="s">
        <v>50</v>
      </c>
      <c r="V237" s="27" t="s">
        <v>50</v>
      </c>
      <c r="W237" s="27" t="s">
        <v>50</v>
      </c>
      <c r="X237" s="27" t="s">
        <v>50</v>
      </c>
      <c r="Y237" s="35" t="s">
        <v>5901</v>
      </c>
    </row>
    <row r="238" spans="1:25" s="215" customFormat="1" x14ac:dyDescent="0.25">
      <c r="A238" s="495">
        <v>43325</v>
      </c>
      <c r="B238" s="494" t="s">
        <v>43</v>
      </c>
      <c r="C238" s="494" t="s">
        <v>62</v>
      </c>
      <c r="D238" s="496">
        <v>38.172199999999997</v>
      </c>
      <c r="E238" s="496">
        <v>-122.0646</v>
      </c>
      <c r="F238" s="494" t="s">
        <v>5902</v>
      </c>
      <c r="G238" s="494" t="s">
        <v>27</v>
      </c>
      <c r="H238" s="494" t="s">
        <v>62</v>
      </c>
      <c r="I238" s="497">
        <v>0.49027777777777781</v>
      </c>
      <c r="J238" s="498">
        <v>7922.5</v>
      </c>
      <c r="K238" s="498">
        <v>21.575000000000003</v>
      </c>
      <c r="L238" s="498">
        <v>54.275000000000006</v>
      </c>
      <c r="M238" s="498">
        <v>0.3075</v>
      </c>
      <c r="N238" s="498">
        <v>4.05</v>
      </c>
      <c r="O238" s="494" t="s">
        <v>48</v>
      </c>
      <c r="P238" s="494">
        <v>4</v>
      </c>
      <c r="Q238" s="494">
        <v>10</v>
      </c>
      <c r="R238" s="494" t="s">
        <v>49</v>
      </c>
      <c r="S238" s="494" t="s">
        <v>323</v>
      </c>
      <c r="T238" s="494">
        <v>1</v>
      </c>
      <c r="U238" s="494">
        <v>51</v>
      </c>
      <c r="V238" s="494" t="s">
        <v>50</v>
      </c>
      <c r="W238" s="494" t="s">
        <v>50</v>
      </c>
      <c r="X238" s="494" t="s">
        <v>50</v>
      </c>
      <c r="Y238" s="455" t="s">
        <v>5903</v>
      </c>
    </row>
    <row r="239" spans="1:25" x14ac:dyDescent="0.25">
      <c r="A239" s="26">
        <v>43326</v>
      </c>
      <c r="B239" s="27" t="s">
        <v>849</v>
      </c>
      <c r="C239" s="27" t="s">
        <v>106</v>
      </c>
      <c r="D239" s="89">
        <v>38.190390000000001</v>
      </c>
      <c r="E239" s="89">
        <v>-121.65792999999999</v>
      </c>
      <c r="F239" s="27" t="s">
        <v>5904</v>
      </c>
      <c r="G239" s="27" t="s">
        <v>90</v>
      </c>
      <c r="H239" s="27" t="s">
        <v>362</v>
      </c>
      <c r="I239" s="84">
        <v>0.31805555555555554</v>
      </c>
      <c r="J239" s="82">
        <v>146.44999999999999</v>
      </c>
      <c r="K239" s="82">
        <v>22.024999999999999</v>
      </c>
      <c r="L239" s="82">
        <v>6.02</v>
      </c>
      <c r="M239" s="82">
        <v>1.73</v>
      </c>
      <c r="N239" s="4">
        <v>18.925000000000001</v>
      </c>
      <c r="O239" s="27" t="s">
        <v>48</v>
      </c>
      <c r="P239" s="27">
        <v>4</v>
      </c>
      <c r="Q239" s="27">
        <v>10</v>
      </c>
      <c r="R239" s="27" t="s">
        <v>49</v>
      </c>
      <c r="S239" s="27" t="s">
        <v>50</v>
      </c>
      <c r="T239" s="27" t="s">
        <v>50</v>
      </c>
      <c r="U239" s="27" t="s">
        <v>50</v>
      </c>
      <c r="V239" s="27" t="s">
        <v>50</v>
      </c>
      <c r="W239" s="27" t="s">
        <v>50</v>
      </c>
      <c r="X239" s="27" t="s">
        <v>50</v>
      </c>
    </row>
    <row r="240" spans="1:25" s="215" customFormat="1" x14ac:dyDescent="0.25">
      <c r="A240" s="495">
        <v>43326</v>
      </c>
      <c r="B240" s="494" t="s">
        <v>849</v>
      </c>
      <c r="C240" s="494" t="s">
        <v>106</v>
      </c>
      <c r="D240" s="496">
        <v>38.369729999999997</v>
      </c>
      <c r="E240" s="496">
        <v>-121.6314</v>
      </c>
      <c r="F240" s="494" t="s">
        <v>5905</v>
      </c>
      <c r="G240" s="494" t="s">
        <v>90</v>
      </c>
      <c r="H240" s="494" t="s">
        <v>362</v>
      </c>
      <c r="I240" s="497">
        <v>0.38680555555555557</v>
      </c>
      <c r="J240" s="498">
        <v>338.95</v>
      </c>
      <c r="K240" s="498">
        <v>22.7</v>
      </c>
      <c r="L240" s="498">
        <v>20.8</v>
      </c>
      <c r="M240" s="498">
        <v>0.59499999999999997</v>
      </c>
      <c r="N240" s="499">
        <v>7.35</v>
      </c>
      <c r="O240" s="494" t="s">
        <v>48</v>
      </c>
      <c r="P240" s="494">
        <v>2</v>
      </c>
      <c r="Q240" s="494">
        <v>10</v>
      </c>
      <c r="R240" s="494" t="s">
        <v>49</v>
      </c>
      <c r="S240" s="494" t="s">
        <v>323</v>
      </c>
      <c r="T240" s="494">
        <v>5</v>
      </c>
      <c r="U240" s="494" t="s">
        <v>5906</v>
      </c>
      <c r="V240" s="494" t="s">
        <v>66</v>
      </c>
      <c r="W240" s="494" t="s">
        <v>50</v>
      </c>
      <c r="X240" s="494" t="s">
        <v>50</v>
      </c>
      <c r="Y240" s="455" t="s">
        <v>5907</v>
      </c>
    </row>
    <row r="241" spans="1:25" x14ac:dyDescent="0.25">
      <c r="A241" s="26">
        <v>43326</v>
      </c>
      <c r="B241" s="27" t="s">
        <v>849</v>
      </c>
      <c r="C241" s="27" t="s">
        <v>106</v>
      </c>
      <c r="D241" s="89">
        <v>38.303199999999997</v>
      </c>
      <c r="E241" s="89">
        <v>-121.65488000000001</v>
      </c>
      <c r="F241" s="27" t="s">
        <v>5908</v>
      </c>
      <c r="G241" s="27" t="s">
        <v>90</v>
      </c>
      <c r="H241" s="27" t="s">
        <v>362</v>
      </c>
      <c r="I241" s="84">
        <v>0.44166666666666665</v>
      </c>
      <c r="J241" s="82">
        <v>220.875</v>
      </c>
      <c r="K241" s="82">
        <v>22.575000000000003</v>
      </c>
      <c r="L241" s="82">
        <v>13.850000000000001</v>
      </c>
      <c r="M241" s="82">
        <v>0.83250000000000002</v>
      </c>
      <c r="N241" s="4">
        <v>11.05</v>
      </c>
      <c r="O241" s="27" t="s">
        <v>48</v>
      </c>
      <c r="P241" s="27">
        <v>4</v>
      </c>
      <c r="Q241" s="27">
        <v>10</v>
      </c>
      <c r="R241" s="27" t="s">
        <v>49</v>
      </c>
      <c r="S241" s="27" t="s">
        <v>50</v>
      </c>
      <c r="T241" s="27" t="s">
        <v>50</v>
      </c>
      <c r="U241" s="27" t="s">
        <v>50</v>
      </c>
      <c r="V241" s="27" t="s">
        <v>50</v>
      </c>
      <c r="W241" s="27" t="s">
        <v>50</v>
      </c>
      <c r="X241" s="27" t="s">
        <v>50</v>
      </c>
    </row>
    <row r="242" spans="1:25" x14ac:dyDescent="0.25">
      <c r="A242" s="26">
        <v>43326</v>
      </c>
      <c r="B242" s="27" t="s">
        <v>849</v>
      </c>
      <c r="C242" s="27" t="s">
        <v>88</v>
      </c>
      <c r="D242" s="89">
        <v>38.125700000000002</v>
      </c>
      <c r="E242" s="89">
        <v>-121.69014</v>
      </c>
      <c r="F242" s="27" t="s">
        <v>5909</v>
      </c>
      <c r="G242" s="27" t="s">
        <v>90</v>
      </c>
      <c r="H242" s="27" t="s">
        <v>91</v>
      </c>
      <c r="I242" s="84">
        <v>0.32777777777777778</v>
      </c>
      <c r="J242" s="82">
        <v>316.65000000000003</v>
      </c>
      <c r="K242" s="82">
        <v>22</v>
      </c>
      <c r="L242" s="82">
        <v>8.6150000000000002</v>
      </c>
      <c r="M242" s="82">
        <v>1.3149999999999999</v>
      </c>
      <c r="N242" s="4">
        <v>4.05</v>
      </c>
      <c r="O242" s="27" t="s">
        <v>48</v>
      </c>
      <c r="P242" s="27">
        <v>4</v>
      </c>
      <c r="Q242" s="27">
        <v>10</v>
      </c>
      <c r="R242" s="27" t="s">
        <v>49</v>
      </c>
      <c r="S242" s="27" t="s">
        <v>50</v>
      </c>
      <c r="T242" s="27" t="s">
        <v>50</v>
      </c>
      <c r="U242" s="27" t="s">
        <v>50</v>
      </c>
      <c r="V242" s="27" t="s">
        <v>50</v>
      </c>
      <c r="W242" s="27" t="s">
        <v>50</v>
      </c>
      <c r="X242" s="27" t="s">
        <v>50</v>
      </c>
      <c r="Y242" s="35" t="s">
        <v>5637</v>
      </c>
    </row>
    <row r="243" spans="1:25" x14ac:dyDescent="0.25">
      <c r="A243" s="26">
        <v>43326</v>
      </c>
      <c r="B243" s="27" t="s">
        <v>849</v>
      </c>
      <c r="C243" s="27" t="s">
        <v>88</v>
      </c>
      <c r="D243" s="89">
        <v>38.107610000000001</v>
      </c>
      <c r="E243" s="89">
        <v>-121.71511</v>
      </c>
      <c r="F243" s="27" t="s">
        <v>5910</v>
      </c>
      <c r="G243" s="27" t="s">
        <v>90</v>
      </c>
      <c r="H243" s="27" t="s">
        <v>91</v>
      </c>
      <c r="I243" s="84">
        <v>0.39930555555555558</v>
      </c>
      <c r="J243" s="82">
        <v>183.375</v>
      </c>
      <c r="K243" s="82">
        <v>22.1</v>
      </c>
      <c r="L243" s="82">
        <v>16.649999999999999</v>
      </c>
      <c r="M243" s="82">
        <v>0.95500000000000007</v>
      </c>
      <c r="N243" s="4">
        <v>9.3000000000000007</v>
      </c>
      <c r="O243" s="27" t="s">
        <v>48</v>
      </c>
      <c r="P243" s="27">
        <v>4</v>
      </c>
      <c r="Q243" s="27">
        <v>10</v>
      </c>
      <c r="R243" s="27" t="s">
        <v>49</v>
      </c>
      <c r="S243" s="27" t="s">
        <v>50</v>
      </c>
      <c r="T243" s="27" t="s">
        <v>50</v>
      </c>
      <c r="U243" s="27" t="s">
        <v>50</v>
      </c>
      <c r="V243" s="27" t="s">
        <v>50</v>
      </c>
      <c r="W243" s="27" t="s">
        <v>50</v>
      </c>
      <c r="X243" s="27" t="s">
        <v>50</v>
      </c>
    </row>
    <row r="244" spans="1:25" x14ac:dyDescent="0.25">
      <c r="A244" s="26">
        <v>43326</v>
      </c>
      <c r="B244" s="27" t="s">
        <v>849</v>
      </c>
      <c r="C244" s="27" t="s">
        <v>88</v>
      </c>
      <c r="D244" s="89">
        <v>38.109209999999997</v>
      </c>
      <c r="E244" s="89">
        <v>-121.71469999999999</v>
      </c>
      <c r="F244" s="27" t="s">
        <v>5911</v>
      </c>
      <c r="G244" s="27" t="s">
        <v>90</v>
      </c>
      <c r="H244" s="27" t="s">
        <v>91</v>
      </c>
      <c r="I244" s="84">
        <v>0.45</v>
      </c>
      <c r="J244" s="82">
        <v>176.125</v>
      </c>
      <c r="K244" s="82">
        <v>22.2</v>
      </c>
      <c r="L244" s="82">
        <v>14.575000000000001</v>
      </c>
      <c r="M244" s="82">
        <v>1.0649999999999999</v>
      </c>
      <c r="N244" s="4">
        <v>8.5499999999999989</v>
      </c>
      <c r="O244" s="27" t="s">
        <v>48</v>
      </c>
      <c r="P244" s="27">
        <v>4</v>
      </c>
      <c r="Q244" s="27">
        <v>10</v>
      </c>
      <c r="R244" s="27" t="s">
        <v>49</v>
      </c>
      <c r="S244" s="27" t="s">
        <v>50</v>
      </c>
      <c r="T244" s="27" t="s">
        <v>50</v>
      </c>
      <c r="U244" s="27" t="s">
        <v>50</v>
      </c>
      <c r="V244" s="27" t="s">
        <v>50</v>
      </c>
      <c r="W244" s="27" t="s">
        <v>50</v>
      </c>
      <c r="X244" s="27" t="s">
        <v>50</v>
      </c>
    </row>
    <row r="245" spans="1:25" x14ac:dyDescent="0.25">
      <c r="A245" s="26">
        <v>43326</v>
      </c>
      <c r="B245" s="27" t="s">
        <v>849</v>
      </c>
      <c r="C245" s="27" t="s">
        <v>62</v>
      </c>
      <c r="D245" s="89">
        <v>38.107480000000002</v>
      </c>
      <c r="E245" s="89">
        <v>-121.88939999999999</v>
      </c>
      <c r="F245" s="27" t="s">
        <v>5912</v>
      </c>
      <c r="G245" s="27" t="s">
        <v>27</v>
      </c>
      <c r="H245" s="27" t="s">
        <v>62</v>
      </c>
      <c r="I245" s="84">
        <v>0.35138888888888892</v>
      </c>
      <c r="J245" s="82">
        <v>4899.75</v>
      </c>
      <c r="K245" s="82">
        <v>21.1</v>
      </c>
      <c r="L245" s="82">
        <v>15</v>
      </c>
      <c r="M245" s="82">
        <v>0.66749999999999998</v>
      </c>
      <c r="N245" s="4">
        <v>5.0250000000000004</v>
      </c>
      <c r="O245" s="27" t="s">
        <v>48</v>
      </c>
      <c r="P245" s="27">
        <v>4</v>
      </c>
      <c r="Q245" s="27">
        <v>10</v>
      </c>
      <c r="R245" s="27" t="s">
        <v>49</v>
      </c>
      <c r="S245" s="27" t="s">
        <v>50</v>
      </c>
      <c r="T245" s="27" t="s">
        <v>50</v>
      </c>
      <c r="U245" s="27" t="s">
        <v>50</v>
      </c>
      <c r="V245" s="27" t="s">
        <v>50</v>
      </c>
      <c r="W245" s="27" t="s">
        <v>50</v>
      </c>
      <c r="X245" s="27" t="s">
        <v>50</v>
      </c>
    </row>
    <row r="246" spans="1:25" x14ac:dyDescent="0.25">
      <c r="A246" s="26">
        <v>43326</v>
      </c>
      <c r="B246" s="27" t="s">
        <v>849</v>
      </c>
      <c r="C246" s="27" t="s">
        <v>62</v>
      </c>
      <c r="D246" s="89">
        <v>38.100479999999997</v>
      </c>
      <c r="E246" s="89">
        <v>-122.06094</v>
      </c>
      <c r="F246" s="27" t="s">
        <v>5913</v>
      </c>
      <c r="G246" s="27" t="s">
        <v>27</v>
      </c>
      <c r="H246" s="27" t="s">
        <v>173</v>
      </c>
      <c r="I246" s="84">
        <v>0.45208333333333334</v>
      </c>
      <c r="J246" s="82">
        <v>11276.75</v>
      </c>
      <c r="K246" s="82">
        <v>21.324999999999999</v>
      </c>
      <c r="L246" s="82">
        <v>130.25</v>
      </c>
      <c r="M246" s="82">
        <v>0.2225</v>
      </c>
      <c r="N246" s="4">
        <v>4.1999999999999993</v>
      </c>
      <c r="O246" s="27" t="s">
        <v>48</v>
      </c>
      <c r="P246" s="27">
        <v>4</v>
      </c>
      <c r="Q246" s="27">
        <v>10</v>
      </c>
      <c r="R246" s="27" t="s">
        <v>49</v>
      </c>
      <c r="S246" s="27" t="s">
        <v>50</v>
      </c>
      <c r="T246" s="27" t="s">
        <v>50</v>
      </c>
      <c r="U246" s="27" t="s">
        <v>50</v>
      </c>
      <c r="V246" s="27" t="s">
        <v>50</v>
      </c>
      <c r="W246" s="27" t="s">
        <v>50</v>
      </c>
      <c r="X246" s="27" t="s">
        <v>50</v>
      </c>
    </row>
    <row r="247" spans="1:25" s="215" customFormat="1" x14ac:dyDescent="0.25">
      <c r="A247" s="495">
        <v>43326</v>
      </c>
      <c r="B247" s="494" t="s">
        <v>849</v>
      </c>
      <c r="C247" s="494" t="s">
        <v>62</v>
      </c>
      <c r="D247" s="496">
        <v>38.165399999999998</v>
      </c>
      <c r="E247" s="496">
        <v>-122.04392</v>
      </c>
      <c r="F247" s="494" t="s">
        <v>5914</v>
      </c>
      <c r="G247" s="494" t="s">
        <v>27</v>
      </c>
      <c r="H247" s="494" t="s">
        <v>62</v>
      </c>
      <c r="I247" s="497">
        <v>0.50694444444444442</v>
      </c>
      <c r="J247" s="498">
        <v>5683.5</v>
      </c>
      <c r="K247" s="498">
        <v>21.55</v>
      </c>
      <c r="L247" s="498">
        <v>59.7</v>
      </c>
      <c r="M247" s="498">
        <v>0.32</v>
      </c>
      <c r="N247" s="499">
        <v>5.75</v>
      </c>
      <c r="O247" s="494" t="s">
        <v>48</v>
      </c>
      <c r="P247" s="494">
        <v>4</v>
      </c>
      <c r="Q247" s="494">
        <v>10</v>
      </c>
      <c r="R247" s="494" t="s">
        <v>49</v>
      </c>
      <c r="S247" s="494" t="s">
        <v>323</v>
      </c>
      <c r="T247" s="494">
        <v>1</v>
      </c>
      <c r="U247" s="494">
        <v>46</v>
      </c>
      <c r="V247" s="494" t="s">
        <v>66</v>
      </c>
      <c r="W247" s="494" t="s">
        <v>50</v>
      </c>
      <c r="X247" s="494" t="s">
        <v>50</v>
      </c>
      <c r="Y247" s="455" t="s">
        <v>5604</v>
      </c>
    </row>
    <row r="248" spans="1:25" x14ac:dyDescent="0.25">
      <c r="A248" s="26">
        <v>43327</v>
      </c>
      <c r="B248" s="27" t="s">
        <v>87</v>
      </c>
      <c r="C248" s="27" t="s">
        <v>845</v>
      </c>
      <c r="D248" s="89">
        <v>38.235750000000003</v>
      </c>
      <c r="E248" s="89">
        <v>-121.68145</v>
      </c>
      <c r="F248" s="27" t="s">
        <v>5915</v>
      </c>
      <c r="G248" s="27" t="s">
        <v>90</v>
      </c>
      <c r="H248" s="27" t="s">
        <v>126</v>
      </c>
      <c r="I248" s="84">
        <v>0.31875000000000003</v>
      </c>
      <c r="J248" s="82">
        <v>148.375</v>
      </c>
      <c r="K248" s="82">
        <v>21.7</v>
      </c>
      <c r="L248" s="82">
        <v>8.0075000000000003</v>
      </c>
      <c r="M248" s="82">
        <v>1.4149999999999998</v>
      </c>
      <c r="N248" s="4">
        <v>11.850000000000001</v>
      </c>
      <c r="O248" s="27" t="s">
        <v>48</v>
      </c>
      <c r="P248" s="27">
        <v>4</v>
      </c>
      <c r="Q248" s="27">
        <v>10</v>
      </c>
      <c r="R248" s="27" t="s">
        <v>49</v>
      </c>
      <c r="S248" s="27" t="s">
        <v>50</v>
      </c>
      <c r="T248" s="27" t="s">
        <v>50</v>
      </c>
      <c r="U248" s="27" t="s">
        <v>50</v>
      </c>
      <c r="V248" s="27" t="s">
        <v>50</v>
      </c>
      <c r="W248" s="27" t="s">
        <v>50</v>
      </c>
      <c r="X248" s="27" t="s">
        <v>50</v>
      </c>
      <c r="Y248" s="35" t="s">
        <v>5916</v>
      </c>
    </row>
    <row r="249" spans="1:25" x14ac:dyDescent="0.25">
      <c r="A249" s="26">
        <v>43327</v>
      </c>
      <c r="B249" s="27" t="s">
        <v>87</v>
      </c>
      <c r="C249" s="27" t="s">
        <v>845</v>
      </c>
      <c r="D249" s="89">
        <v>38.238639999999997</v>
      </c>
      <c r="E249" s="89">
        <v>-121.68397</v>
      </c>
      <c r="F249" s="27" t="s">
        <v>5917</v>
      </c>
      <c r="G249" s="27" t="s">
        <v>90</v>
      </c>
      <c r="H249" s="27" t="s">
        <v>126</v>
      </c>
      <c r="I249" s="84">
        <v>0.375</v>
      </c>
      <c r="J249" s="82">
        <v>148.625</v>
      </c>
      <c r="K249" s="82">
        <v>21.625</v>
      </c>
      <c r="L249" s="82">
        <v>8.2100000000000009</v>
      </c>
      <c r="M249" s="82">
        <v>1.6150000000000002</v>
      </c>
      <c r="N249" s="4">
        <v>11.524999999999999</v>
      </c>
      <c r="O249" s="27" t="s">
        <v>48</v>
      </c>
      <c r="P249" s="27">
        <v>4</v>
      </c>
      <c r="Q249" s="27">
        <v>10</v>
      </c>
      <c r="R249" s="27" t="s">
        <v>49</v>
      </c>
      <c r="S249" s="27" t="s">
        <v>50</v>
      </c>
      <c r="T249" s="27" t="s">
        <v>50</v>
      </c>
      <c r="U249" s="27" t="s">
        <v>50</v>
      </c>
      <c r="V249" s="27" t="s">
        <v>50</v>
      </c>
      <c r="W249" s="27" t="s">
        <v>50</v>
      </c>
      <c r="X249" s="27" t="s">
        <v>50</v>
      </c>
    </row>
    <row r="250" spans="1:25" x14ac:dyDescent="0.25">
      <c r="A250" s="26">
        <v>43327</v>
      </c>
      <c r="B250" s="27" t="s">
        <v>87</v>
      </c>
      <c r="C250" s="27" t="s">
        <v>845</v>
      </c>
      <c r="D250" s="89">
        <v>38.276130000000002</v>
      </c>
      <c r="E250" s="89">
        <v>-121.70858</v>
      </c>
      <c r="F250" s="27" t="s">
        <v>5918</v>
      </c>
      <c r="G250" s="27" t="s">
        <v>90</v>
      </c>
      <c r="H250" s="27" t="s">
        <v>126</v>
      </c>
      <c r="I250" s="84">
        <v>0.42569444444444443</v>
      </c>
      <c r="J250" s="82">
        <v>151.19999999999999</v>
      </c>
      <c r="K250" s="82">
        <v>21.160000000000004</v>
      </c>
      <c r="L250" s="82">
        <v>6.4939999999999998</v>
      </c>
      <c r="M250" s="82">
        <v>1.7239999999999998</v>
      </c>
      <c r="N250" s="4">
        <v>4.18</v>
      </c>
      <c r="O250" s="27" t="s">
        <v>48</v>
      </c>
      <c r="P250" s="27">
        <v>5</v>
      </c>
      <c r="Q250" s="27">
        <v>10</v>
      </c>
      <c r="R250" s="27" t="s">
        <v>49</v>
      </c>
      <c r="S250" s="27" t="s">
        <v>50</v>
      </c>
      <c r="T250" s="27" t="s">
        <v>50</v>
      </c>
      <c r="U250" s="27" t="s">
        <v>50</v>
      </c>
      <c r="V250" s="27" t="s">
        <v>50</v>
      </c>
      <c r="W250" s="27" t="s">
        <v>50</v>
      </c>
      <c r="X250" s="27" t="s">
        <v>50</v>
      </c>
      <c r="Y250" s="35" t="s">
        <v>5919</v>
      </c>
    </row>
    <row r="251" spans="1:25" x14ac:dyDescent="0.25">
      <c r="A251" s="26">
        <v>43327</v>
      </c>
      <c r="B251" s="27" t="s">
        <v>87</v>
      </c>
      <c r="C251" s="27" t="s">
        <v>95</v>
      </c>
      <c r="D251" s="89">
        <v>38.071510000000004</v>
      </c>
      <c r="E251" s="89">
        <v>-121.56287</v>
      </c>
      <c r="F251" s="27" t="s">
        <v>5920</v>
      </c>
      <c r="G251" s="27" t="s">
        <v>46</v>
      </c>
      <c r="H251" s="27" t="s">
        <v>5685</v>
      </c>
      <c r="I251" s="84">
        <v>0.3298611111111111</v>
      </c>
      <c r="J251" s="82">
        <v>266.375</v>
      </c>
      <c r="K251" s="82">
        <v>22.8</v>
      </c>
      <c r="L251" s="82">
        <v>7.0575000000000001</v>
      </c>
      <c r="M251" s="82">
        <v>1.1274999999999999</v>
      </c>
      <c r="N251" s="4">
        <v>9.8000000000000007</v>
      </c>
      <c r="O251" s="27" t="s">
        <v>48</v>
      </c>
      <c r="P251" s="27">
        <v>4</v>
      </c>
      <c r="Q251" s="27">
        <v>10</v>
      </c>
      <c r="R251" s="27" t="s">
        <v>64</v>
      </c>
      <c r="S251" s="27" t="s">
        <v>50</v>
      </c>
      <c r="T251" s="27" t="s">
        <v>50</v>
      </c>
      <c r="U251" s="27" t="s">
        <v>50</v>
      </c>
      <c r="V251" s="27" t="s">
        <v>50</v>
      </c>
      <c r="W251" s="27" t="s">
        <v>50</v>
      </c>
      <c r="X251" s="27" t="s">
        <v>50</v>
      </c>
    </row>
    <row r="252" spans="1:25" x14ac:dyDescent="0.25">
      <c r="A252" s="26">
        <v>43327</v>
      </c>
      <c r="B252" s="27" t="s">
        <v>87</v>
      </c>
      <c r="C252" s="27" t="s">
        <v>95</v>
      </c>
      <c r="D252" s="89">
        <v>38.085000000000001</v>
      </c>
      <c r="E252" s="89">
        <v>-121.57250999999999</v>
      </c>
      <c r="F252" s="27" t="s">
        <v>5921</v>
      </c>
      <c r="G252" s="27" t="s">
        <v>46</v>
      </c>
      <c r="H252" s="27" t="s">
        <v>5685</v>
      </c>
      <c r="I252" s="84">
        <v>0.37986111111111115</v>
      </c>
      <c r="J252" s="82">
        <v>345.25</v>
      </c>
      <c r="K252" s="82">
        <v>22.8</v>
      </c>
      <c r="L252" s="82">
        <v>6.2324999999999999</v>
      </c>
      <c r="M252" s="82">
        <v>1.1700000000000002</v>
      </c>
      <c r="N252" s="4">
        <v>8.7250000000000014</v>
      </c>
      <c r="O252" s="27" t="s">
        <v>48</v>
      </c>
      <c r="P252" s="27">
        <v>4</v>
      </c>
      <c r="Q252" s="27">
        <v>10</v>
      </c>
      <c r="R252" s="27" t="s">
        <v>64</v>
      </c>
      <c r="S252" s="27" t="s">
        <v>50</v>
      </c>
      <c r="T252" s="27" t="s">
        <v>50</v>
      </c>
      <c r="U252" s="27" t="s">
        <v>50</v>
      </c>
      <c r="V252" s="27" t="s">
        <v>50</v>
      </c>
      <c r="W252" s="27" t="s">
        <v>50</v>
      </c>
      <c r="X252" s="27" t="s">
        <v>50</v>
      </c>
    </row>
    <row r="253" spans="1:25" x14ac:dyDescent="0.25">
      <c r="A253" s="26">
        <v>43327</v>
      </c>
      <c r="B253" s="27" t="s">
        <v>87</v>
      </c>
      <c r="C253" s="27" t="s">
        <v>95</v>
      </c>
      <c r="D253" s="89">
        <v>38.036540000000002</v>
      </c>
      <c r="E253" s="89">
        <v>-121.70731000000001</v>
      </c>
      <c r="F253" s="27" t="s">
        <v>5922</v>
      </c>
      <c r="G253" s="27" t="s">
        <v>27</v>
      </c>
      <c r="H253" s="27" t="s">
        <v>863</v>
      </c>
      <c r="I253" s="84">
        <v>0.45416666666666666</v>
      </c>
      <c r="J253" s="82">
        <v>1492</v>
      </c>
      <c r="K253" s="82">
        <v>22.524999999999999</v>
      </c>
      <c r="L253" s="82">
        <v>8.7324999999999999</v>
      </c>
      <c r="M253" s="82">
        <v>0.99250000000000005</v>
      </c>
      <c r="N253" s="4">
        <v>8.8000000000000007</v>
      </c>
      <c r="O253" s="27" t="s">
        <v>48</v>
      </c>
      <c r="P253" s="27">
        <v>4</v>
      </c>
      <c r="Q253" s="27">
        <v>10</v>
      </c>
      <c r="R253" s="27" t="s">
        <v>49</v>
      </c>
      <c r="S253" s="27" t="s">
        <v>50</v>
      </c>
      <c r="T253" s="27" t="s">
        <v>50</v>
      </c>
      <c r="U253" s="27" t="s">
        <v>50</v>
      </c>
      <c r="V253" s="27" t="s">
        <v>50</v>
      </c>
      <c r="W253" s="27" t="s">
        <v>50</v>
      </c>
      <c r="X253" s="27" t="s">
        <v>50</v>
      </c>
    </row>
    <row r="254" spans="1:25" s="355" customFormat="1" x14ac:dyDescent="0.25">
      <c r="A254" s="354">
        <v>43327</v>
      </c>
      <c r="B254" s="355" t="s">
        <v>87</v>
      </c>
      <c r="C254" s="355" t="s">
        <v>78</v>
      </c>
      <c r="D254" s="356">
        <v>38.071579999999997</v>
      </c>
      <c r="E254" s="356">
        <v>-121.94941</v>
      </c>
      <c r="F254" s="355" t="s">
        <v>5923</v>
      </c>
      <c r="G254" s="355" t="s">
        <v>27</v>
      </c>
      <c r="H254" s="355" t="s">
        <v>170</v>
      </c>
      <c r="I254" s="357">
        <v>0.3354166666666667</v>
      </c>
      <c r="J254" s="358">
        <v>13574.6</v>
      </c>
      <c r="K254" s="358">
        <v>20.54</v>
      </c>
      <c r="L254" s="358">
        <v>95.64</v>
      </c>
      <c r="M254" s="358">
        <v>0.29799999999999993</v>
      </c>
      <c r="N254" s="359">
        <v>2.86</v>
      </c>
      <c r="O254" s="355" t="s">
        <v>48</v>
      </c>
      <c r="P254" s="355">
        <v>5</v>
      </c>
      <c r="Q254" s="355">
        <v>10</v>
      </c>
      <c r="R254" s="355" t="s">
        <v>49</v>
      </c>
      <c r="S254" s="355" t="s">
        <v>31</v>
      </c>
      <c r="T254" s="355">
        <v>1</v>
      </c>
      <c r="U254" s="355">
        <v>97</v>
      </c>
      <c r="V254" s="355" t="s">
        <v>66</v>
      </c>
      <c r="W254" s="355" t="s">
        <v>50</v>
      </c>
      <c r="X254" s="355" t="s">
        <v>50</v>
      </c>
      <c r="Y254" s="371" t="s">
        <v>5924</v>
      </c>
    </row>
    <row r="255" spans="1:25" x14ac:dyDescent="0.25">
      <c r="A255" s="26">
        <v>43327</v>
      </c>
      <c r="B255" s="27" t="s">
        <v>87</v>
      </c>
      <c r="C255" s="27" t="s">
        <v>78</v>
      </c>
      <c r="D255" s="89">
        <v>38.097079999999998</v>
      </c>
      <c r="E255" s="89">
        <v>-122.03536</v>
      </c>
      <c r="F255" s="27" t="s">
        <v>5925</v>
      </c>
      <c r="G255" s="27" t="s">
        <v>27</v>
      </c>
      <c r="H255" s="27" t="s">
        <v>86</v>
      </c>
      <c r="I255" s="84">
        <v>0.43055555555555558</v>
      </c>
      <c r="J255" s="82">
        <v>16629</v>
      </c>
      <c r="K255" s="82">
        <v>20.3</v>
      </c>
      <c r="L255" s="82">
        <v>149.4</v>
      </c>
      <c r="M255" s="82">
        <v>0.53749999999999998</v>
      </c>
      <c r="N255" s="4">
        <v>4.8000000000000007</v>
      </c>
      <c r="O255" s="27" t="s">
        <v>48</v>
      </c>
      <c r="P255" s="27">
        <v>4</v>
      </c>
      <c r="Q255" s="27">
        <v>10</v>
      </c>
      <c r="R255" s="27" t="s">
        <v>49</v>
      </c>
      <c r="S255" s="27" t="s">
        <v>50</v>
      </c>
      <c r="T255" s="27" t="s">
        <v>50</v>
      </c>
      <c r="U255" s="27" t="s">
        <v>50</v>
      </c>
      <c r="V255" s="27" t="s">
        <v>50</v>
      </c>
      <c r="W255" s="27" t="s">
        <v>50</v>
      </c>
      <c r="X255" s="27" t="s">
        <v>50</v>
      </c>
    </row>
    <row r="256" spans="1:25" x14ac:dyDescent="0.25">
      <c r="A256" s="26">
        <v>43327</v>
      </c>
      <c r="B256" s="27" t="s">
        <v>87</v>
      </c>
      <c r="C256" s="27" t="s">
        <v>78</v>
      </c>
      <c r="D256" s="89">
        <v>38.09075</v>
      </c>
      <c r="E256" s="89">
        <v>-122.06371</v>
      </c>
      <c r="F256" s="27" t="s">
        <v>5926</v>
      </c>
      <c r="G256" s="27" t="s">
        <v>27</v>
      </c>
      <c r="H256" s="27" t="s">
        <v>86</v>
      </c>
      <c r="I256" s="84">
        <v>0.48125000000000001</v>
      </c>
      <c r="J256" s="82">
        <v>17416.75</v>
      </c>
      <c r="K256" s="82">
        <v>20.475000000000001</v>
      </c>
      <c r="L256" s="82">
        <v>89.825000000000003</v>
      </c>
      <c r="M256" s="82">
        <v>0.3175</v>
      </c>
      <c r="N256" s="82">
        <v>4.4750000000000005</v>
      </c>
      <c r="O256" s="27" t="s">
        <v>48</v>
      </c>
      <c r="P256" s="27">
        <v>4</v>
      </c>
      <c r="Q256" s="27">
        <v>10</v>
      </c>
      <c r="R256" s="27" t="s">
        <v>49</v>
      </c>
      <c r="S256" s="27" t="s">
        <v>50</v>
      </c>
      <c r="T256" s="27" t="s">
        <v>50</v>
      </c>
      <c r="U256" s="27" t="s">
        <v>50</v>
      </c>
      <c r="V256" s="27" t="s">
        <v>50</v>
      </c>
      <c r="W256" s="27" t="s">
        <v>50</v>
      </c>
      <c r="X256" s="27" t="s">
        <v>50</v>
      </c>
    </row>
    <row r="257" spans="1:25" x14ac:dyDescent="0.25">
      <c r="A257" s="26">
        <v>43328</v>
      </c>
      <c r="B257" s="27" t="s">
        <v>876</v>
      </c>
      <c r="C257" s="27" t="s">
        <v>78</v>
      </c>
      <c r="D257" s="89">
        <v>38.075969999999998</v>
      </c>
      <c r="E257" s="89">
        <v>-122.06525000000001</v>
      </c>
      <c r="F257" s="27" t="s">
        <v>5927</v>
      </c>
      <c r="G257" s="27" t="s">
        <v>80</v>
      </c>
      <c r="H257" s="27" t="s">
        <v>81</v>
      </c>
      <c r="I257" s="84">
        <v>0.34513888888888888</v>
      </c>
      <c r="J257" s="82">
        <v>18519.5</v>
      </c>
      <c r="K257" s="82">
        <v>20.149999999999999</v>
      </c>
      <c r="L257" s="82">
        <v>19</v>
      </c>
      <c r="M257" s="82">
        <v>0.5</v>
      </c>
      <c r="N257" s="4">
        <v>3.9000000000000004</v>
      </c>
      <c r="O257" s="27" t="s">
        <v>48</v>
      </c>
      <c r="P257" s="27">
        <v>2</v>
      </c>
      <c r="Q257" s="27">
        <v>10</v>
      </c>
      <c r="R257" s="27" t="s">
        <v>64</v>
      </c>
      <c r="S257" s="27" t="s">
        <v>50</v>
      </c>
      <c r="T257" s="27" t="s">
        <v>50</v>
      </c>
      <c r="U257" s="27" t="s">
        <v>50</v>
      </c>
      <c r="V257" s="27" t="s">
        <v>50</v>
      </c>
      <c r="W257" s="27" t="s">
        <v>50</v>
      </c>
      <c r="X257" s="27" t="s">
        <v>50</v>
      </c>
      <c r="Y257" s="35" t="s">
        <v>5928</v>
      </c>
    </row>
    <row r="258" spans="1:25" x14ac:dyDescent="0.25">
      <c r="A258" s="26">
        <v>43328</v>
      </c>
      <c r="B258" s="27" t="s">
        <v>876</v>
      </c>
      <c r="C258" s="27" t="s">
        <v>78</v>
      </c>
      <c r="D258" s="89">
        <v>38.039099999999998</v>
      </c>
      <c r="E258" s="89">
        <v>-122.13973</v>
      </c>
      <c r="F258" s="27" t="s">
        <v>5929</v>
      </c>
      <c r="G258" s="27" t="s">
        <v>80</v>
      </c>
      <c r="H258" s="27" t="s">
        <v>81</v>
      </c>
      <c r="I258" s="84">
        <v>0.38055555555555554</v>
      </c>
      <c r="J258" s="82">
        <v>25236.75</v>
      </c>
      <c r="K258" s="82">
        <v>20.2</v>
      </c>
      <c r="L258" s="82">
        <v>50.5</v>
      </c>
      <c r="M258" s="82">
        <v>0.39500000000000002</v>
      </c>
      <c r="N258" s="4">
        <v>11.175000000000001</v>
      </c>
      <c r="O258" s="27" t="s">
        <v>48</v>
      </c>
      <c r="P258" s="27">
        <v>4</v>
      </c>
      <c r="Q258" s="27">
        <v>10</v>
      </c>
      <c r="R258" s="27" t="s">
        <v>49</v>
      </c>
      <c r="S258" s="27" t="s">
        <v>50</v>
      </c>
      <c r="T258" s="27" t="s">
        <v>50</v>
      </c>
      <c r="U258" s="27" t="s">
        <v>50</v>
      </c>
      <c r="V258" s="27" t="s">
        <v>50</v>
      </c>
      <c r="W258" s="27" t="s">
        <v>50</v>
      </c>
      <c r="X258" s="27" t="s">
        <v>50</v>
      </c>
    </row>
    <row r="259" spans="1:25" x14ac:dyDescent="0.25">
      <c r="A259" s="26">
        <v>43328</v>
      </c>
      <c r="B259" s="27" t="s">
        <v>876</v>
      </c>
      <c r="C259" s="27" t="s">
        <v>845</v>
      </c>
      <c r="D259" s="89">
        <v>38.307769999999998</v>
      </c>
      <c r="E259" s="89">
        <v>-121.65837999999999</v>
      </c>
      <c r="F259" s="27" t="s">
        <v>5930</v>
      </c>
      <c r="G259" s="27" t="s">
        <v>90</v>
      </c>
      <c r="H259" s="27" t="s">
        <v>126</v>
      </c>
      <c r="I259" s="84">
        <v>0.3298611111111111</v>
      </c>
      <c r="J259" s="82">
        <v>159.69999999999999</v>
      </c>
      <c r="K259" s="82">
        <v>20.7</v>
      </c>
      <c r="L259" s="82">
        <v>20.05</v>
      </c>
      <c r="M259" s="82">
        <v>0.59499999999999997</v>
      </c>
      <c r="N259" s="4">
        <v>4.75</v>
      </c>
      <c r="O259" s="27" t="s">
        <v>48</v>
      </c>
      <c r="P259" s="27">
        <v>4</v>
      </c>
      <c r="Q259" s="27">
        <v>10</v>
      </c>
      <c r="R259" s="27" t="s">
        <v>64</v>
      </c>
      <c r="S259" s="27" t="s">
        <v>50</v>
      </c>
      <c r="T259" s="27" t="s">
        <v>50</v>
      </c>
      <c r="U259" s="27" t="s">
        <v>50</v>
      </c>
      <c r="V259" s="27" t="s">
        <v>50</v>
      </c>
      <c r="W259" s="27" t="s">
        <v>50</v>
      </c>
      <c r="X259" s="27" t="s">
        <v>50</v>
      </c>
      <c r="Y259" s="35" t="s">
        <v>5931</v>
      </c>
    </row>
    <row r="260" spans="1:25" x14ac:dyDescent="0.25">
      <c r="A260" s="26">
        <v>43328</v>
      </c>
      <c r="B260" s="27" t="s">
        <v>876</v>
      </c>
      <c r="C260" s="27" t="s">
        <v>845</v>
      </c>
      <c r="D260" s="89">
        <v>38.268279999999997</v>
      </c>
      <c r="E260" s="89">
        <v>-121.69301</v>
      </c>
      <c r="F260" s="27" t="s">
        <v>5932</v>
      </c>
      <c r="G260" s="27" t="s">
        <v>90</v>
      </c>
      <c r="H260" s="27" t="s">
        <v>126</v>
      </c>
      <c r="I260" s="84">
        <v>0.38750000000000001</v>
      </c>
      <c r="J260" s="82">
        <v>151.72499999999999</v>
      </c>
      <c r="K260" s="82">
        <v>21.224999999999998</v>
      </c>
      <c r="L260" s="82">
        <v>10.459999999999999</v>
      </c>
      <c r="M260" s="82">
        <v>1.4874999999999998</v>
      </c>
      <c r="N260" s="4">
        <v>7.35</v>
      </c>
      <c r="O260" s="27" t="s">
        <v>48</v>
      </c>
      <c r="P260" s="27">
        <v>4</v>
      </c>
      <c r="Q260" s="27">
        <v>10</v>
      </c>
      <c r="R260" s="27" t="s">
        <v>64</v>
      </c>
      <c r="S260" s="27" t="s">
        <v>50</v>
      </c>
      <c r="T260" s="27" t="s">
        <v>50</v>
      </c>
      <c r="U260" s="27" t="s">
        <v>50</v>
      </c>
      <c r="V260" s="27" t="s">
        <v>50</v>
      </c>
      <c r="W260" s="27" t="s">
        <v>50</v>
      </c>
      <c r="X260" s="27" t="s">
        <v>50</v>
      </c>
      <c r="Y260" s="35" t="s">
        <v>5933</v>
      </c>
    </row>
    <row r="261" spans="1:25" s="149" customFormat="1" x14ac:dyDescent="0.25">
      <c r="A261" s="178">
        <v>43328</v>
      </c>
      <c r="B261" s="149" t="s">
        <v>876</v>
      </c>
      <c r="C261" s="149" t="s">
        <v>845</v>
      </c>
      <c r="D261" s="150">
        <v>38.286450000000002</v>
      </c>
      <c r="E261" s="150">
        <v>-121.72186000000001</v>
      </c>
      <c r="F261" s="149" t="s">
        <v>5934</v>
      </c>
      <c r="G261" s="149" t="s">
        <v>90</v>
      </c>
      <c r="H261" s="149" t="s">
        <v>126</v>
      </c>
      <c r="I261" s="151">
        <v>0.43472222222222223</v>
      </c>
      <c r="J261" s="197" t="s">
        <v>50</v>
      </c>
      <c r="K261" s="197" t="s">
        <v>50</v>
      </c>
      <c r="L261" s="197" t="s">
        <v>50</v>
      </c>
      <c r="M261" s="197" t="s">
        <v>50</v>
      </c>
      <c r="N261" s="197" t="s">
        <v>50</v>
      </c>
      <c r="O261" s="149" t="s">
        <v>48</v>
      </c>
      <c r="P261" s="149">
        <v>0</v>
      </c>
      <c r="Q261" s="149" t="s">
        <v>50</v>
      </c>
      <c r="R261" s="149" t="s">
        <v>50</v>
      </c>
      <c r="S261" s="149" t="s">
        <v>50</v>
      </c>
      <c r="T261" s="149" t="s">
        <v>50</v>
      </c>
      <c r="U261" s="149" t="s">
        <v>50</v>
      </c>
      <c r="V261" s="149" t="s">
        <v>50</v>
      </c>
      <c r="W261" s="149" t="s">
        <v>50</v>
      </c>
      <c r="X261" s="149" t="s">
        <v>50</v>
      </c>
      <c r="Y261" s="152" t="s">
        <v>5935</v>
      </c>
    </row>
    <row r="262" spans="1:25" x14ac:dyDescent="0.25">
      <c r="A262" s="26">
        <v>43328</v>
      </c>
      <c r="B262" s="27" t="s">
        <v>876</v>
      </c>
      <c r="C262" s="27" t="s">
        <v>95</v>
      </c>
      <c r="D262" s="89">
        <v>38.026310000000002</v>
      </c>
      <c r="E262" s="89">
        <v>-121.77769000000001</v>
      </c>
      <c r="F262" s="27" t="s">
        <v>5936</v>
      </c>
      <c r="G262" s="27" t="s">
        <v>27</v>
      </c>
      <c r="H262" s="27" t="s">
        <v>863</v>
      </c>
      <c r="I262" s="84">
        <v>0.33194444444444443</v>
      </c>
      <c r="J262" s="82">
        <v>2150.6</v>
      </c>
      <c r="K262" s="82">
        <v>21.68</v>
      </c>
      <c r="L262" s="82">
        <v>29.46</v>
      </c>
      <c r="M262" s="82">
        <v>0.69399999999999995</v>
      </c>
      <c r="N262" s="4">
        <v>15.300000000000002</v>
      </c>
      <c r="O262" s="27" t="s">
        <v>48</v>
      </c>
      <c r="P262" s="27">
        <v>5</v>
      </c>
      <c r="Q262" s="27">
        <v>10</v>
      </c>
      <c r="R262" s="27" t="s">
        <v>64</v>
      </c>
      <c r="S262" s="27" t="s">
        <v>50</v>
      </c>
      <c r="T262" s="27" t="s">
        <v>50</v>
      </c>
      <c r="U262" s="27" t="s">
        <v>50</v>
      </c>
      <c r="V262" s="27" t="s">
        <v>50</v>
      </c>
      <c r="W262" s="27" t="s">
        <v>50</v>
      </c>
      <c r="X262" s="27" t="s">
        <v>50</v>
      </c>
      <c r="Y262" s="35" t="s">
        <v>5886</v>
      </c>
    </row>
    <row r="263" spans="1:25" s="361" customFormat="1" x14ac:dyDescent="0.25">
      <c r="A263" s="360">
        <v>43328</v>
      </c>
      <c r="B263" s="361" t="s">
        <v>876</v>
      </c>
      <c r="C263" s="361" t="s">
        <v>95</v>
      </c>
      <c r="D263" s="362">
        <v>38.057859999999998</v>
      </c>
      <c r="E263" s="362">
        <v>-121.68881</v>
      </c>
      <c r="F263" s="361" t="s">
        <v>5937</v>
      </c>
      <c r="G263" s="361" t="s">
        <v>27</v>
      </c>
      <c r="H263" s="361" t="s">
        <v>863</v>
      </c>
      <c r="I263" s="363">
        <v>0.47500000000000003</v>
      </c>
      <c r="J263" s="364">
        <v>1007.75</v>
      </c>
      <c r="K263" s="364">
        <v>22.325000000000003</v>
      </c>
      <c r="L263" s="364">
        <v>20.774999999999999</v>
      </c>
      <c r="M263" s="364">
        <v>0.88749999999999996</v>
      </c>
      <c r="N263" s="365">
        <v>3.95</v>
      </c>
      <c r="O263" s="361" t="s">
        <v>48</v>
      </c>
      <c r="P263" s="361">
        <v>4</v>
      </c>
      <c r="Q263" s="361">
        <v>10</v>
      </c>
      <c r="R263" s="361" t="s">
        <v>49</v>
      </c>
      <c r="S263" s="361" t="s">
        <v>50</v>
      </c>
      <c r="T263" s="361" t="s">
        <v>50</v>
      </c>
      <c r="U263" s="361" t="s">
        <v>50</v>
      </c>
      <c r="V263" s="361" t="s">
        <v>50</v>
      </c>
      <c r="W263" s="361" t="s">
        <v>50</v>
      </c>
      <c r="X263" s="361" t="s">
        <v>50</v>
      </c>
      <c r="Y263" s="366"/>
    </row>
    <row r="264" spans="1:25" x14ac:dyDescent="0.25">
      <c r="A264" s="26">
        <v>43332</v>
      </c>
      <c r="B264" s="27" t="s">
        <v>43</v>
      </c>
      <c r="C264" s="27" t="s">
        <v>95</v>
      </c>
      <c r="D264" s="89">
        <v>38.054960000000001</v>
      </c>
      <c r="E264" s="89">
        <v>-121.52902</v>
      </c>
      <c r="F264" s="27" t="s">
        <v>5938</v>
      </c>
      <c r="G264" s="27" t="s">
        <v>46</v>
      </c>
      <c r="H264" s="27" t="s">
        <v>115</v>
      </c>
      <c r="I264" s="84">
        <v>0.33194444444444443</v>
      </c>
      <c r="J264" s="82">
        <v>213.8</v>
      </c>
      <c r="K264" s="82">
        <v>23.4</v>
      </c>
      <c r="L264" s="82">
        <v>7.2324999999999999</v>
      </c>
      <c r="M264" s="82">
        <v>1.4125000000000001</v>
      </c>
      <c r="N264" s="4">
        <v>11.474999999999998</v>
      </c>
      <c r="O264" s="27" t="s">
        <v>48</v>
      </c>
      <c r="P264" s="27">
        <v>4</v>
      </c>
      <c r="Q264" s="27">
        <v>10</v>
      </c>
      <c r="R264" s="27" t="s">
        <v>49</v>
      </c>
      <c r="S264" s="27" t="s">
        <v>50</v>
      </c>
      <c r="T264" s="27" t="s">
        <v>50</v>
      </c>
      <c r="U264" s="27" t="s">
        <v>50</v>
      </c>
      <c r="V264" s="27" t="s">
        <v>50</v>
      </c>
      <c r="W264" s="27" t="s">
        <v>50</v>
      </c>
      <c r="X264" s="27" t="s">
        <v>50</v>
      </c>
    </row>
    <row r="265" spans="1:25" x14ac:dyDescent="0.25">
      <c r="A265" s="26">
        <v>43332</v>
      </c>
      <c r="B265" s="27" t="s">
        <v>43</v>
      </c>
      <c r="C265" s="27" t="s">
        <v>95</v>
      </c>
      <c r="D265" s="89">
        <v>38.090589999999999</v>
      </c>
      <c r="E265" s="89">
        <v>-121.63397999999999</v>
      </c>
      <c r="F265" s="27" t="s">
        <v>5939</v>
      </c>
      <c r="G265" s="27" t="s">
        <v>46</v>
      </c>
      <c r="H265" s="27" t="s">
        <v>908</v>
      </c>
      <c r="I265" s="84">
        <v>0.40069444444444446</v>
      </c>
      <c r="J265" s="82">
        <v>342.17500000000001</v>
      </c>
      <c r="K265" s="82">
        <v>22.85</v>
      </c>
      <c r="L265" s="82">
        <v>9.4150000000000009</v>
      </c>
      <c r="M265" s="82">
        <v>1.4275000000000002</v>
      </c>
      <c r="N265" s="4">
        <v>13.85</v>
      </c>
      <c r="O265" s="27" t="s">
        <v>48</v>
      </c>
      <c r="P265" s="27">
        <v>4</v>
      </c>
      <c r="Q265" s="27">
        <v>10</v>
      </c>
      <c r="R265" s="27" t="s">
        <v>64</v>
      </c>
      <c r="S265" s="27" t="s">
        <v>50</v>
      </c>
      <c r="T265" s="27" t="s">
        <v>50</v>
      </c>
      <c r="U265" s="27" t="s">
        <v>50</v>
      </c>
      <c r="V265" s="27" t="s">
        <v>50</v>
      </c>
      <c r="W265" s="27" t="s">
        <v>50</v>
      </c>
      <c r="X265" s="27" t="s">
        <v>50</v>
      </c>
    </row>
    <row r="266" spans="1:25" x14ac:dyDescent="0.25">
      <c r="A266" s="26">
        <v>43332</v>
      </c>
      <c r="B266" s="27" t="s">
        <v>43</v>
      </c>
      <c r="C266" s="27" t="s">
        <v>95</v>
      </c>
      <c r="D266" s="89">
        <v>38.093359999999997</v>
      </c>
      <c r="E266" s="89">
        <v>-121.67717</v>
      </c>
      <c r="F266" s="27" t="s">
        <v>5940</v>
      </c>
      <c r="G266" s="27" t="s">
        <v>46</v>
      </c>
      <c r="H266" s="27" t="s">
        <v>908</v>
      </c>
      <c r="I266" s="84">
        <v>0.44375000000000003</v>
      </c>
      <c r="J266" s="82">
        <v>599</v>
      </c>
      <c r="K266" s="82">
        <v>22.874999999999996</v>
      </c>
      <c r="L266" s="82">
        <v>10.63</v>
      </c>
      <c r="M266" s="82">
        <v>1.34</v>
      </c>
      <c r="N266" s="4">
        <v>15.8</v>
      </c>
      <c r="O266" s="27" t="s">
        <v>48</v>
      </c>
      <c r="P266" s="27">
        <v>4</v>
      </c>
      <c r="Q266" s="27">
        <v>10</v>
      </c>
      <c r="R266" s="27" t="s">
        <v>64</v>
      </c>
      <c r="S266" s="27" t="s">
        <v>50</v>
      </c>
      <c r="T266" s="27" t="s">
        <v>50</v>
      </c>
      <c r="U266" s="27" t="s">
        <v>50</v>
      </c>
      <c r="V266" s="27" t="s">
        <v>50</v>
      </c>
      <c r="W266" s="27" t="s">
        <v>50</v>
      </c>
      <c r="X266" s="27" t="s">
        <v>50</v>
      </c>
    </row>
    <row r="267" spans="1:25" x14ac:dyDescent="0.25">
      <c r="A267" s="26">
        <v>43332</v>
      </c>
      <c r="B267" s="27" t="s">
        <v>43</v>
      </c>
      <c r="C267" s="27" t="s">
        <v>106</v>
      </c>
      <c r="D267" s="89">
        <v>38.511310000000002</v>
      </c>
      <c r="E267" s="89">
        <v>-121.58401000000001</v>
      </c>
      <c r="F267" s="27" t="s">
        <v>5941</v>
      </c>
      <c r="G267" s="27" t="s">
        <v>90</v>
      </c>
      <c r="H267" s="27" t="s">
        <v>1787</v>
      </c>
      <c r="I267" s="84">
        <v>0.34236111111111112</v>
      </c>
      <c r="J267" s="82">
        <v>916.5</v>
      </c>
      <c r="K267" s="82">
        <v>23.824999999999999</v>
      </c>
      <c r="L267" s="82">
        <v>24.825000000000003</v>
      </c>
      <c r="M267" s="82">
        <v>0.5</v>
      </c>
      <c r="N267" s="4">
        <v>5.6</v>
      </c>
      <c r="O267" s="27" t="s">
        <v>48</v>
      </c>
      <c r="P267" s="27">
        <v>4</v>
      </c>
      <c r="Q267" s="27">
        <v>10</v>
      </c>
      <c r="R267" s="27" t="s">
        <v>49</v>
      </c>
      <c r="S267" s="27" t="s">
        <v>50</v>
      </c>
      <c r="T267" s="27" t="s">
        <v>50</v>
      </c>
      <c r="U267" s="27" t="s">
        <v>50</v>
      </c>
      <c r="V267" s="27" t="s">
        <v>50</v>
      </c>
      <c r="W267" s="27" t="s">
        <v>50</v>
      </c>
      <c r="X267" s="27" t="s">
        <v>50</v>
      </c>
    </row>
    <row r="268" spans="1:25" s="215" customFormat="1" x14ac:dyDescent="0.25">
      <c r="A268" s="495">
        <v>43332</v>
      </c>
      <c r="B268" s="494" t="s">
        <v>43</v>
      </c>
      <c r="C268" s="494" t="s">
        <v>106</v>
      </c>
      <c r="D268" s="496">
        <v>38.400539999999999</v>
      </c>
      <c r="E268" s="496">
        <v>-121.61766</v>
      </c>
      <c r="F268" s="494" t="s">
        <v>5942</v>
      </c>
      <c r="G268" s="494" t="s">
        <v>90</v>
      </c>
      <c r="H268" s="494" t="s">
        <v>362</v>
      </c>
      <c r="I268" s="497">
        <v>0.40486111111111112</v>
      </c>
      <c r="J268" s="498">
        <v>584</v>
      </c>
      <c r="K268" s="498">
        <v>22.6</v>
      </c>
      <c r="L268" s="498">
        <v>50.15</v>
      </c>
      <c r="M268" s="498">
        <v>0.23499999999999999</v>
      </c>
      <c r="N268" s="499">
        <v>9.3999999999999986</v>
      </c>
      <c r="O268" s="494" t="s">
        <v>48</v>
      </c>
      <c r="P268" s="494">
        <v>2</v>
      </c>
      <c r="Q268" s="494">
        <v>10</v>
      </c>
      <c r="R268" s="494" t="s">
        <v>64</v>
      </c>
      <c r="S268" s="494" t="s">
        <v>323</v>
      </c>
      <c r="T268" s="494">
        <v>1</v>
      </c>
      <c r="U268" s="494">
        <v>45</v>
      </c>
      <c r="V268" s="494" t="s">
        <v>66</v>
      </c>
      <c r="W268" s="494" t="s">
        <v>50</v>
      </c>
      <c r="X268" s="494" t="s">
        <v>50</v>
      </c>
      <c r="Y268" s="455" t="s">
        <v>5943</v>
      </c>
    </row>
    <row r="269" spans="1:25" s="215" customFormat="1" x14ac:dyDescent="0.25">
      <c r="A269" s="495">
        <v>43332</v>
      </c>
      <c r="B269" s="494" t="s">
        <v>43</v>
      </c>
      <c r="C269" s="494" t="s">
        <v>106</v>
      </c>
      <c r="D269" s="496">
        <v>38.34834</v>
      </c>
      <c r="E269" s="496">
        <v>-121.64167999999999</v>
      </c>
      <c r="F269" s="494" t="s">
        <v>5944</v>
      </c>
      <c r="G269" s="494" t="s">
        <v>90</v>
      </c>
      <c r="H269" s="494" t="s">
        <v>362</v>
      </c>
      <c r="I269" s="497">
        <v>0.44722222222222219</v>
      </c>
      <c r="J269" s="498">
        <v>400.75</v>
      </c>
      <c r="K269" s="498">
        <v>22.549999999999997</v>
      </c>
      <c r="L269" s="498">
        <v>33.049999999999997</v>
      </c>
      <c r="M269" s="498">
        <v>0.39</v>
      </c>
      <c r="N269" s="499">
        <v>10.4</v>
      </c>
      <c r="O269" s="494" t="s">
        <v>48</v>
      </c>
      <c r="P269" s="494">
        <v>2</v>
      </c>
      <c r="Q269" s="494">
        <v>10</v>
      </c>
      <c r="R269" s="494" t="s">
        <v>64</v>
      </c>
      <c r="S269" s="494" t="s">
        <v>323</v>
      </c>
      <c r="T269" s="494">
        <v>2</v>
      </c>
      <c r="U269" s="494" t="s">
        <v>5945</v>
      </c>
      <c r="V269" s="494" t="s">
        <v>66</v>
      </c>
      <c r="W269" s="494" t="s">
        <v>50</v>
      </c>
      <c r="X269" s="494" t="s">
        <v>50</v>
      </c>
      <c r="Y269" s="455" t="s">
        <v>5946</v>
      </c>
    </row>
    <row r="270" spans="1:25" x14ac:dyDescent="0.25">
      <c r="A270" s="26">
        <v>43332</v>
      </c>
      <c r="B270" s="27" t="s">
        <v>43</v>
      </c>
      <c r="C270" s="27" t="s">
        <v>106</v>
      </c>
      <c r="D270" s="89">
        <v>38.217059999999996</v>
      </c>
      <c r="E270" s="89">
        <v>-121.66997000000001</v>
      </c>
      <c r="F270" s="27" t="s">
        <v>5947</v>
      </c>
      <c r="G270" s="27" t="s">
        <v>90</v>
      </c>
      <c r="H270" s="27" t="s">
        <v>362</v>
      </c>
      <c r="I270" s="84">
        <v>0.48958333333333331</v>
      </c>
      <c r="J270" s="82">
        <v>157.27500000000001</v>
      </c>
      <c r="K270" s="82">
        <v>22.075000000000003</v>
      </c>
      <c r="L270" s="82">
        <v>8.3975000000000009</v>
      </c>
      <c r="M270" s="82">
        <v>1.7125000000000001</v>
      </c>
      <c r="N270" s="4">
        <v>13.850000000000001</v>
      </c>
      <c r="O270" s="27" t="s">
        <v>48</v>
      </c>
      <c r="P270" s="27">
        <v>4</v>
      </c>
      <c r="Q270" s="27">
        <v>10</v>
      </c>
      <c r="R270" s="27" t="s">
        <v>64</v>
      </c>
      <c r="S270" s="27" t="s">
        <v>50</v>
      </c>
      <c r="T270" s="27" t="s">
        <v>50</v>
      </c>
      <c r="U270" s="27" t="s">
        <v>50</v>
      </c>
      <c r="V270" s="27" t="s">
        <v>50</v>
      </c>
      <c r="W270" s="27" t="s">
        <v>50</v>
      </c>
      <c r="X270" s="27" t="s">
        <v>50</v>
      </c>
    </row>
    <row r="271" spans="1:25" x14ac:dyDescent="0.25">
      <c r="A271" s="26">
        <v>43332</v>
      </c>
      <c r="B271" s="27" t="s">
        <v>43</v>
      </c>
      <c r="C271" s="27" t="s">
        <v>62</v>
      </c>
      <c r="D271" s="89">
        <v>38.175240000000002</v>
      </c>
      <c r="E271" s="89">
        <v>-121.96209</v>
      </c>
      <c r="F271" s="27" t="s">
        <v>5948</v>
      </c>
      <c r="G271" s="27" t="s">
        <v>27</v>
      </c>
      <c r="H271" s="27" t="s">
        <v>62</v>
      </c>
      <c r="I271" s="84">
        <v>0.35069444444444442</v>
      </c>
      <c r="J271" s="82">
        <v>5523</v>
      </c>
      <c r="K271" s="82">
        <v>21.075000000000003</v>
      </c>
      <c r="L271" s="82">
        <v>23.75</v>
      </c>
      <c r="M271" s="82">
        <v>0.60499999999999998</v>
      </c>
      <c r="N271" s="4">
        <v>4.3</v>
      </c>
      <c r="O271" s="27" t="s">
        <v>48</v>
      </c>
      <c r="P271" s="27">
        <v>4</v>
      </c>
      <c r="Q271" s="27">
        <v>10</v>
      </c>
      <c r="R271" s="27" t="s">
        <v>64</v>
      </c>
      <c r="S271" s="27" t="s">
        <v>50</v>
      </c>
      <c r="T271" s="27" t="s">
        <v>50</v>
      </c>
      <c r="U271" s="27" t="s">
        <v>50</v>
      </c>
      <c r="V271" s="27" t="s">
        <v>50</v>
      </c>
      <c r="W271" s="27" t="s">
        <v>50</v>
      </c>
      <c r="X271" s="27" t="s">
        <v>50</v>
      </c>
    </row>
    <row r="272" spans="1:25" s="215" customFormat="1" x14ac:dyDescent="0.25">
      <c r="A272" s="495">
        <v>43332</v>
      </c>
      <c r="B272" s="494" t="s">
        <v>43</v>
      </c>
      <c r="C272" s="494" t="s">
        <v>62</v>
      </c>
      <c r="D272" s="496">
        <v>38.180280000000003</v>
      </c>
      <c r="E272" s="496">
        <v>-121.99966000000001</v>
      </c>
      <c r="F272" s="494" t="s">
        <v>5949</v>
      </c>
      <c r="G272" s="494" t="s">
        <v>27</v>
      </c>
      <c r="H272" s="494" t="s">
        <v>62</v>
      </c>
      <c r="I272" s="497">
        <v>0.40277777777777773</v>
      </c>
      <c r="J272" s="498">
        <v>5584.5</v>
      </c>
      <c r="K272" s="498">
        <v>21.45</v>
      </c>
      <c r="L272" s="498">
        <v>36</v>
      </c>
      <c r="M272" s="498">
        <v>0.44500000000000001</v>
      </c>
      <c r="N272" s="499">
        <v>7.25</v>
      </c>
      <c r="O272" s="494" t="s">
        <v>48</v>
      </c>
      <c r="P272" s="494">
        <v>2</v>
      </c>
      <c r="Q272" s="494">
        <v>10</v>
      </c>
      <c r="R272" s="494" t="s">
        <v>64</v>
      </c>
      <c r="S272" s="494" t="s">
        <v>323</v>
      </c>
      <c r="T272" s="494">
        <v>2</v>
      </c>
      <c r="U272" s="494" t="s">
        <v>5950</v>
      </c>
      <c r="V272" s="494" t="s">
        <v>66</v>
      </c>
      <c r="W272" s="494" t="s">
        <v>50</v>
      </c>
      <c r="X272" s="494" t="s">
        <v>50</v>
      </c>
      <c r="Y272" s="455" t="s">
        <v>5837</v>
      </c>
    </row>
    <row r="273" spans="1:25" x14ac:dyDescent="0.25">
      <c r="A273" s="26">
        <v>43332</v>
      </c>
      <c r="B273" s="27" t="s">
        <v>43</v>
      </c>
      <c r="C273" s="27" t="s">
        <v>62</v>
      </c>
      <c r="D273" s="89">
        <v>38.155549999999998</v>
      </c>
      <c r="E273" s="89">
        <v>-122.05092999999999</v>
      </c>
      <c r="F273" s="27" t="s">
        <v>5951</v>
      </c>
      <c r="G273" s="27" t="s">
        <v>27</v>
      </c>
      <c r="H273" s="27" t="s">
        <v>62</v>
      </c>
      <c r="I273" s="84">
        <v>0.43472222222222223</v>
      </c>
      <c r="J273" s="82">
        <v>10651.75</v>
      </c>
      <c r="K273" s="82">
        <v>20.75</v>
      </c>
      <c r="L273" s="82">
        <v>36.075000000000003</v>
      </c>
      <c r="M273" s="82">
        <v>0.40499999999999997</v>
      </c>
      <c r="N273" s="4">
        <v>10.274999999999999</v>
      </c>
      <c r="O273" s="27" t="s">
        <v>48</v>
      </c>
      <c r="P273" s="27">
        <v>4</v>
      </c>
      <c r="Q273" s="27">
        <v>10</v>
      </c>
      <c r="R273" s="27" t="s">
        <v>64</v>
      </c>
      <c r="S273" s="27" t="s">
        <v>50</v>
      </c>
      <c r="T273" s="27" t="s">
        <v>50</v>
      </c>
      <c r="U273" s="27" t="s">
        <v>50</v>
      </c>
      <c r="V273" s="27" t="s">
        <v>50</v>
      </c>
      <c r="W273" s="27" t="s">
        <v>50</v>
      </c>
      <c r="X273" s="27" t="s">
        <v>50</v>
      </c>
    </row>
    <row r="274" spans="1:25" x14ac:dyDescent="0.25">
      <c r="A274" s="495">
        <v>43333</v>
      </c>
      <c r="B274" s="494" t="s">
        <v>70</v>
      </c>
      <c r="C274" s="494" t="s">
        <v>62</v>
      </c>
      <c r="D274" s="496">
        <v>38.109360000000002</v>
      </c>
      <c r="E274" s="496">
        <v>-122.05694</v>
      </c>
      <c r="F274" s="494" t="s">
        <v>5952</v>
      </c>
      <c r="G274" s="494" t="s">
        <v>27</v>
      </c>
      <c r="H274" s="494" t="s">
        <v>173</v>
      </c>
      <c r="I274" s="497">
        <v>0.33749999999999997</v>
      </c>
      <c r="J274" s="498">
        <v>11784</v>
      </c>
      <c r="K274" s="498">
        <v>20.05</v>
      </c>
      <c r="L274" s="498" t="s">
        <v>50</v>
      </c>
      <c r="M274" s="498">
        <v>0.37</v>
      </c>
      <c r="N274" s="499">
        <v>2.2999999999999998</v>
      </c>
      <c r="O274" s="494" t="s">
        <v>48</v>
      </c>
      <c r="P274" s="494">
        <v>2</v>
      </c>
      <c r="Q274" s="494">
        <v>10</v>
      </c>
      <c r="R274" s="494" t="s">
        <v>64</v>
      </c>
      <c r="S274" s="372" t="s">
        <v>323</v>
      </c>
      <c r="T274" s="494">
        <v>1</v>
      </c>
      <c r="U274" s="494">
        <v>56</v>
      </c>
      <c r="V274" s="494" t="s">
        <v>66</v>
      </c>
      <c r="W274" s="494" t="s">
        <v>50</v>
      </c>
      <c r="X274" s="494" t="s">
        <v>50</v>
      </c>
      <c r="Y274" s="455" t="s">
        <v>5604</v>
      </c>
    </row>
    <row r="275" spans="1:25" x14ac:dyDescent="0.25">
      <c r="A275" s="26">
        <v>43333</v>
      </c>
      <c r="B275" s="27" t="s">
        <v>70</v>
      </c>
      <c r="C275" s="27" t="s">
        <v>62</v>
      </c>
      <c r="D275" s="89">
        <v>38.195180000000001</v>
      </c>
      <c r="E275" s="89">
        <v>-122.04303</v>
      </c>
      <c r="F275" s="27" t="s">
        <v>5953</v>
      </c>
      <c r="G275" s="27" t="s">
        <v>27</v>
      </c>
      <c r="H275" s="27" t="s">
        <v>62</v>
      </c>
      <c r="I275" s="84">
        <v>0.38125000000000003</v>
      </c>
      <c r="J275" s="82">
        <v>8384.75</v>
      </c>
      <c r="K275" s="82">
        <v>20.079999999999998</v>
      </c>
      <c r="L275" s="82" t="s">
        <v>50</v>
      </c>
      <c r="M275" s="82">
        <v>0.43</v>
      </c>
      <c r="N275" s="4">
        <v>6.1</v>
      </c>
      <c r="O275" s="27" t="s">
        <v>48</v>
      </c>
      <c r="P275" s="27">
        <v>4</v>
      </c>
      <c r="Q275" s="27">
        <v>10</v>
      </c>
      <c r="R275" s="27" t="s">
        <v>64</v>
      </c>
      <c r="S275" s="27" t="s">
        <v>50</v>
      </c>
      <c r="T275" s="27" t="s">
        <v>50</v>
      </c>
      <c r="U275" s="27" t="s">
        <v>50</v>
      </c>
      <c r="V275" s="27" t="s">
        <v>50</v>
      </c>
      <c r="W275" s="27" t="s">
        <v>50</v>
      </c>
      <c r="X275" s="27" t="s">
        <v>50</v>
      </c>
      <c r="Y275" s="87" t="s">
        <v>5954</v>
      </c>
    </row>
    <row r="276" spans="1:25" x14ac:dyDescent="0.25">
      <c r="A276" s="26">
        <v>43333</v>
      </c>
      <c r="B276" s="27" t="s">
        <v>70</v>
      </c>
      <c r="C276" s="27" t="s">
        <v>62</v>
      </c>
      <c r="D276" s="89">
        <v>38.694400000000002</v>
      </c>
      <c r="E276" s="89">
        <v>-122.02612999999999</v>
      </c>
      <c r="F276" s="27" t="s">
        <v>5955</v>
      </c>
      <c r="G276" s="27" t="s">
        <v>27</v>
      </c>
      <c r="H276" s="27" t="s">
        <v>62</v>
      </c>
      <c r="I276" s="84">
        <v>0.43888888888888888</v>
      </c>
      <c r="J276" s="82">
        <v>6042.25</v>
      </c>
      <c r="K276" s="82">
        <v>21.13</v>
      </c>
      <c r="L276" s="82" t="s">
        <v>50</v>
      </c>
      <c r="M276" s="82">
        <v>0.44</v>
      </c>
      <c r="N276" s="4">
        <v>7.93</v>
      </c>
      <c r="O276" s="27" t="s">
        <v>48</v>
      </c>
      <c r="P276" s="27">
        <v>4</v>
      </c>
      <c r="Q276" s="27">
        <v>10</v>
      </c>
      <c r="R276" s="27" t="s">
        <v>64</v>
      </c>
      <c r="S276" s="27" t="s">
        <v>50</v>
      </c>
      <c r="T276" s="27" t="s">
        <v>50</v>
      </c>
      <c r="U276" s="27" t="s">
        <v>50</v>
      </c>
      <c r="V276" s="27" t="s">
        <v>50</v>
      </c>
      <c r="W276" s="27" t="s">
        <v>50</v>
      </c>
      <c r="X276" s="27" t="s">
        <v>50</v>
      </c>
      <c r="Y276" s="87" t="s">
        <v>5956</v>
      </c>
    </row>
    <row r="277" spans="1:25" x14ac:dyDescent="0.25">
      <c r="A277" s="26">
        <v>43333</v>
      </c>
      <c r="B277" s="27" t="s">
        <v>70</v>
      </c>
      <c r="C277" s="27" t="s">
        <v>106</v>
      </c>
      <c r="D277" s="89">
        <v>38.184559999999998</v>
      </c>
      <c r="E277" s="89">
        <v>-121.66070999999999</v>
      </c>
      <c r="F277" s="27" t="s">
        <v>5957</v>
      </c>
      <c r="G277" s="27" t="s">
        <v>90</v>
      </c>
      <c r="H277" s="27" t="s">
        <v>362</v>
      </c>
      <c r="I277" s="84">
        <v>0.30416666666666664</v>
      </c>
      <c r="J277" s="82">
        <v>157</v>
      </c>
      <c r="K277" s="82">
        <v>21.63</v>
      </c>
      <c r="L277" s="82">
        <v>5.91</v>
      </c>
      <c r="M277" s="82" t="s">
        <v>5829</v>
      </c>
      <c r="N277" s="4">
        <v>10.8</v>
      </c>
      <c r="O277" s="27" t="s">
        <v>48</v>
      </c>
      <c r="P277" s="27">
        <v>4</v>
      </c>
      <c r="Q277" s="27">
        <v>10</v>
      </c>
      <c r="R277" s="27" t="s">
        <v>49</v>
      </c>
      <c r="S277" s="27" t="s">
        <v>50</v>
      </c>
      <c r="T277" s="27" t="s">
        <v>50</v>
      </c>
      <c r="U277" s="27" t="s">
        <v>50</v>
      </c>
      <c r="V277" s="27" t="s">
        <v>50</v>
      </c>
      <c r="W277" s="27" t="s">
        <v>50</v>
      </c>
      <c r="X277" s="27" t="s">
        <v>50</v>
      </c>
    </row>
    <row r="278" spans="1:25" x14ac:dyDescent="0.25">
      <c r="A278" s="26">
        <v>43333</v>
      </c>
      <c r="B278" s="27" t="s">
        <v>70</v>
      </c>
      <c r="C278" s="27" t="s">
        <v>106</v>
      </c>
      <c r="D278" s="89">
        <v>38.208550000000002</v>
      </c>
      <c r="E278" s="89">
        <v>-121.65812</v>
      </c>
      <c r="F278" s="27" t="s">
        <v>5958</v>
      </c>
      <c r="G278" s="27" t="s">
        <v>90</v>
      </c>
      <c r="H278" s="27" t="s">
        <v>362</v>
      </c>
      <c r="I278" s="84">
        <v>0.3576388888888889</v>
      </c>
      <c r="J278" s="82">
        <v>158.83000000000001</v>
      </c>
      <c r="K278" s="82">
        <v>21.4</v>
      </c>
      <c r="L278" s="82">
        <v>7.02</v>
      </c>
      <c r="M278" s="82">
        <v>1.73</v>
      </c>
      <c r="N278" s="4">
        <v>10.029999999999999</v>
      </c>
      <c r="O278" s="27" t="s">
        <v>48</v>
      </c>
      <c r="P278" s="27">
        <v>4</v>
      </c>
      <c r="Q278" s="27">
        <v>10</v>
      </c>
      <c r="R278" s="27" t="s">
        <v>49</v>
      </c>
      <c r="S278" s="27" t="s">
        <v>50</v>
      </c>
      <c r="T278" s="27" t="s">
        <v>50</v>
      </c>
      <c r="U278" s="27" t="s">
        <v>50</v>
      </c>
      <c r="V278" s="27" t="s">
        <v>50</v>
      </c>
      <c r="W278" s="27" t="s">
        <v>50</v>
      </c>
      <c r="X278" s="27" t="s">
        <v>50</v>
      </c>
    </row>
    <row r="279" spans="1:25" x14ac:dyDescent="0.25">
      <c r="A279" s="26">
        <v>43333</v>
      </c>
      <c r="B279" s="27" t="s">
        <v>70</v>
      </c>
      <c r="C279" s="27" t="s">
        <v>106</v>
      </c>
      <c r="D279" s="89">
        <v>38.439790000000002</v>
      </c>
      <c r="E279" s="89">
        <v>-121.59904</v>
      </c>
      <c r="F279" s="27" t="s">
        <v>5959</v>
      </c>
      <c r="G279" s="27" t="s">
        <v>90</v>
      </c>
      <c r="H279" s="27" t="s">
        <v>362</v>
      </c>
      <c r="I279" s="84">
        <v>0.4375</v>
      </c>
      <c r="J279" s="82">
        <v>708.5</v>
      </c>
      <c r="K279" s="82">
        <v>22.53</v>
      </c>
      <c r="L279" s="82">
        <v>27.25</v>
      </c>
      <c r="M279" s="82">
        <v>0.46</v>
      </c>
      <c r="N279" s="4">
        <v>8.7799999999999994</v>
      </c>
      <c r="O279" s="27" t="s">
        <v>48</v>
      </c>
      <c r="P279" s="27">
        <v>4</v>
      </c>
      <c r="Q279" s="27">
        <v>10</v>
      </c>
      <c r="R279" s="27" t="s">
        <v>64</v>
      </c>
      <c r="S279" s="27" t="s">
        <v>50</v>
      </c>
      <c r="T279" s="27" t="s">
        <v>50</v>
      </c>
      <c r="U279" s="27" t="s">
        <v>50</v>
      </c>
      <c r="V279" s="27" t="s">
        <v>50</v>
      </c>
      <c r="W279" s="27" t="s">
        <v>50</v>
      </c>
      <c r="X279" s="27" t="s">
        <v>50</v>
      </c>
      <c r="Y279" s="87" t="s">
        <v>5960</v>
      </c>
    </row>
    <row r="280" spans="1:25" x14ac:dyDescent="0.25">
      <c r="A280" s="26">
        <v>43333</v>
      </c>
      <c r="B280" s="27" t="s">
        <v>70</v>
      </c>
      <c r="C280" s="27" t="s">
        <v>95</v>
      </c>
      <c r="D280" s="89">
        <v>38.058</v>
      </c>
      <c r="E280" s="89">
        <v>-121.68573000000001</v>
      </c>
      <c r="F280" s="27" t="s">
        <v>5961</v>
      </c>
      <c r="G280" s="27" t="s">
        <v>46</v>
      </c>
      <c r="H280" s="27" t="s">
        <v>5962</v>
      </c>
      <c r="I280" s="84">
        <v>0.31875000000000003</v>
      </c>
      <c r="J280" s="82">
        <v>988.4</v>
      </c>
      <c r="K280" s="82">
        <v>21.74</v>
      </c>
      <c r="L280" s="82">
        <v>13.47</v>
      </c>
      <c r="M280" s="82">
        <v>1.07</v>
      </c>
      <c r="N280" s="4">
        <v>7.22</v>
      </c>
      <c r="O280" s="27" t="s">
        <v>48</v>
      </c>
      <c r="P280" s="27">
        <v>5</v>
      </c>
      <c r="Q280" s="27">
        <v>10</v>
      </c>
      <c r="R280" s="27" t="s">
        <v>49</v>
      </c>
      <c r="S280" s="27" t="s">
        <v>50</v>
      </c>
      <c r="T280" s="27" t="s">
        <v>50</v>
      </c>
      <c r="U280" s="27" t="s">
        <v>50</v>
      </c>
      <c r="V280" s="27" t="s">
        <v>50</v>
      </c>
      <c r="W280" s="27" t="s">
        <v>50</v>
      </c>
      <c r="X280" s="27" t="s">
        <v>50</v>
      </c>
    </row>
    <row r="281" spans="1:25" x14ac:dyDescent="0.25">
      <c r="A281" s="26">
        <v>43333</v>
      </c>
      <c r="B281" s="27" t="s">
        <v>70</v>
      </c>
      <c r="C281" s="27" t="s">
        <v>95</v>
      </c>
      <c r="D281" s="89">
        <v>38.036639999999998</v>
      </c>
      <c r="E281" s="89">
        <v>-121.70568</v>
      </c>
      <c r="F281" s="27" t="s">
        <v>5963</v>
      </c>
      <c r="G281" s="27" t="s">
        <v>46</v>
      </c>
      <c r="H281" s="27" t="s">
        <v>863</v>
      </c>
      <c r="I281" s="84">
        <v>0.38750000000000001</v>
      </c>
      <c r="J281" s="82">
        <v>959</v>
      </c>
      <c r="K281" s="82">
        <v>21.85</v>
      </c>
      <c r="L281" s="82">
        <v>12.48</v>
      </c>
      <c r="M281" s="82">
        <v>1.28</v>
      </c>
      <c r="N281" s="4">
        <v>10.93</v>
      </c>
      <c r="O281" s="27" t="s">
        <v>48</v>
      </c>
      <c r="P281" s="27">
        <v>4</v>
      </c>
      <c r="Q281" s="27">
        <v>10</v>
      </c>
      <c r="R281" s="27" t="s">
        <v>49</v>
      </c>
      <c r="S281" s="27" t="s">
        <v>50</v>
      </c>
      <c r="T281" s="27" t="s">
        <v>50</v>
      </c>
      <c r="U281" s="27" t="s">
        <v>50</v>
      </c>
      <c r="V281" s="27" t="s">
        <v>50</v>
      </c>
      <c r="W281" s="27" t="s">
        <v>50</v>
      </c>
      <c r="X281" s="27" t="s">
        <v>50</v>
      </c>
    </row>
    <row r="282" spans="1:25" x14ac:dyDescent="0.25">
      <c r="A282" s="26">
        <v>43333</v>
      </c>
      <c r="B282" s="27" t="s">
        <v>70</v>
      </c>
      <c r="C282" s="27" t="s">
        <v>95</v>
      </c>
      <c r="D282" s="89">
        <v>38.02957</v>
      </c>
      <c r="E282" s="89">
        <v>-121.76578000000001</v>
      </c>
      <c r="F282" s="27" t="s">
        <v>5964</v>
      </c>
      <c r="G282" s="27" t="s">
        <v>46</v>
      </c>
      <c r="H282" s="27" t="s">
        <v>863</v>
      </c>
      <c r="I282" s="27">
        <v>10.31</v>
      </c>
      <c r="J282" s="82">
        <v>1399</v>
      </c>
      <c r="K282" s="82">
        <v>21.65</v>
      </c>
      <c r="L282" s="82">
        <v>12.05</v>
      </c>
      <c r="M282" s="82">
        <v>1.19</v>
      </c>
      <c r="N282" s="4">
        <v>11.6</v>
      </c>
      <c r="O282" s="27" t="s">
        <v>48</v>
      </c>
      <c r="P282" s="27">
        <v>4</v>
      </c>
      <c r="Q282" s="27">
        <v>10</v>
      </c>
      <c r="R282" s="27" t="s">
        <v>64</v>
      </c>
      <c r="S282" s="27" t="s">
        <v>50</v>
      </c>
      <c r="T282" s="27" t="s">
        <v>50</v>
      </c>
      <c r="U282" s="27" t="s">
        <v>50</v>
      </c>
      <c r="V282" s="27" t="s">
        <v>50</v>
      </c>
      <c r="W282" s="27" t="s">
        <v>50</v>
      </c>
      <c r="X282" s="27" t="s">
        <v>50</v>
      </c>
    </row>
    <row r="283" spans="1:25" x14ac:dyDescent="0.25">
      <c r="A283" s="26">
        <v>43334</v>
      </c>
      <c r="B283" s="27" t="s">
        <v>87</v>
      </c>
      <c r="C283" s="27" t="s">
        <v>845</v>
      </c>
      <c r="D283" s="89">
        <v>38.33258</v>
      </c>
      <c r="E283" s="89">
        <v>-121.65096</v>
      </c>
      <c r="F283" s="27" t="s">
        <v>5965</v>
      </c>
      <c r="G283" s="27" t="s">
        <v>90</v>
      </c>
      <c r="H283" s="27" t="s">
        <v>126</v>
      </c>
      <c r="I283" s="84">
        <v>0.32222222222222224</v>
      </c>
      <c r="J283" s="82">
        <v>181.5</v>
      </c>
      <c r="K283" s="82">
        <v>20.55</v>
      </c>
      <c r="L283" s="82">
        <v>19.975000000000001</v>
      </c>
      <c r="M283" s="82">
        <v>0.65500000000000003</v>
      </c>
      <c r="N283" s="4">
        <v>3.05</v>
      </c>
      <c r="O283" s="27" t="s">
        <v>48</v>
      </c>
      <c r="P283" s="27">
        <v>4</v>
      </c>
      <c r="Q283" s="27">
        <v>10</v>
      </c>
      <c r="R283" s="27" t="s">
        <v>49</v>
      </c>
      <c r="S283" s="27" t="s">
        <v>50</v>
      </c>
      <c r="T283" s="27" t="s">
        <v>50</v>
      </c>
      <c r="U283" s="27" t="s">
        <v>50</v>
      </c>
      <c r="V283" s="27" t="s">
        <v>50</v>
      </c>
      <c r="W283" s="27" t="s">
        <v>50</v>
      </c>
      <c r="X283" s="27" t="s">
        <v>50</v>
      </c>
    </row>
    <row r="284" spans="1:25" s="149" customFormat="1" x14ac:dyDescent="0.25">
      <c r="A284" s="178">
        <v>43334</v>
      </c>
      <c r="B284" s="149" t="s">
        <v>87</v>
      </c>
      <c r="C284" s="149" t="s">
        <v>845</v>
      </c>
      <c r="D284" s="150">
        <v>38.403590000000001</v>
      </c>
      <c r="E284" s="150">
        <v>-121.61991999999999</v>
      </c>
      <c r="F284" s="149" t="s">
        <v>5966</v>
      </c>
      <c r="G284" s="149" t="s">
        <v>90</v>
      </c>
      <c r="H284" s="149" t="s">
        <v>126</v>
      </c>
      <c r="I284" s="151">
        <v>0.375</v>
      </c>
      <c r="J284" s="197" t="s">
        <v>50</v>
      </c>
      <c r="K284" s="197" t="s">
        <v>50</v>
      </c>
      <c r="L284" s="197" t="s">
        <v>50</v>
      </c>
      <c r="M284" s="197" t="s">
        <v>50</v>
      </c>
      <c r="N284" s="197" t="s">
        <v>50</v>
      </c>
      <c r="O284" s="149" t="s">
        <v>48</v>
      </c>
      <c r="P284" s="149">
        <v>0</v>
      </c>
      <c r="Q284" s="149" t="s">
        <v>50</v>
      </c>
      <c r="R284" s="149" t="s">
        <v>50</v>
      </c>
      <c r="S284" s="149" t="s">
        <v>50</v>
      </c>
      <c r="T284" s="149" t="s">
        <v>50</v>
      </c>
      <c r="U284" s="149" t="s">
        <v>50</v>
      </c>
      <c r="V284" s="149" t="s">
        <v>50</v>
      </c>
      <c r="W284" s="149" t="s">
        <v>50</v>
      </c>
      <c r="X284" s="149" t="s">
        <v>50</v>
      </c>
      <c r="Y284" s="152" t="s">
        <v>5967</v>
      </c>
    </row>
    <row r="285" spans="1:25" x14ac:dyDescent="0.25">
      <c r="A285" s="26">
        <v>43334</v>
      </c>
      <c r="B285" s="27" t="s">
        <v>87</v>
      </c>
      <c r="C285" s="27" t="s">
        <v>845</v>
      </c>
      <c r="D285" s="89">
        <v>38.261290000000002</v>
      </c>
      <c r="E285" s="89">
        <v>-121.66961000000001</v>
      </c>
      <c r="F285" s="27" t="s">
        <v>5968</v>
      </c>
      <c r="G285" s="27" t="s">
        <v>90</v>
      </c>
      <c r="H285" s="27" t="s">
        <v>126</v>
      </c>
      <c r="I285" s="84">
        <v>0.37986111111111115</v>
      </c>
      <c r="J285" s="82">
        <v>172.67499999999998</v>
      </c>
      <c r="K285" s="82">
        <v>19.7</v>
      </c>
      <c r="L285" s="82">
        <v>19.95</v>
      </c>
      <c r="M285" s="82">
        <v>0.72</v>
      </c>
      <c r="N285" s="4">
        <v>5.25</v>
      </c>
      <c r="O285" s="27" t="s">
        <v>48</v>
      </c>
      <c r="P285" s="27">
        <v>4</v>
      </c>
      <c r="Q285" s="27">
        <v>10</v>
      </c>
      <c r="R285" s="27" t="s">
        <v>49</v>
      </c>
      <c r="S285" s="27" t="s">
        <v>50</v>
      </c>
      <c r="T285" s="27" t="s">
        <v>50</v>
      </c>
      <c r="U285" s="27" t="s">
        <v>50</v>
      </c>
      <c r="V285" s="27" t="s">
        <v>50</v>
      </c>
      <c r="W285" s="27" t="s">
        <v>50</v>
      </c>
      <c r="X285" s="27" t="s">
        <v>50</v>
      </c>
    </row>
    <row r="286" spans="1:25" x14ac:dyDescent="0.25">
      <c r="A286" s="26">
        <v>43334</v>
      </c>
      <c r="B286" s="27" t="s">
        <v>87</v>
      </c>
      <c r="C286" s="27" t="s">
        <v>845</v>
      </c>
      <c r="D286" s="89">
        <v>38.244860000000003</v>
      </c>
      <c r="E286" s="89">
        <v>-121.67341999999999</v>
      </c>
      <c r="F286" s="27" t="s">
        <v>5969</v>
      </c>
      <c r="G286" s="27" t="s">
        <v>90</v>
      </c>
      <c r="H286" s="27" t="s">
        <v>126</v>
      </c>
      <c r="I286" s="84">
        <v>0.42986111111111108</v>
      </c>
      <c r="J286" s="82">
        <v>166.67500000000001</v>
      </c>
      <c r="K286" s="82">
        <v>20.375</v>
      </c>
      <c r="L286" s="82">
        <v>10.920000000000002</v>
      </c>
      <c r="M286" s="82">
        <v>0.99249999999999994</v>
      </c>
      <c r="N286" s="4">
        <v>5.0250000000000004</v>
      </c>
      <c r="O286" s="27" t="s">
        <v>48</v>
      </c>
      <c r="P286" s="27">
        <v>4</v>
      </c>
      <c r="Q286" s="27">
        <v>10</v>
      </c>
      <c r="R286" s="27" t="s">
        <v>49</v>
      </c>
      <c r="S286" s="27" t="s">
        <v>50</v>
      </c>
      <c r="T286" s="27" t="s">
        <v>50</v>
      </c>
      <c r="U286" s="27" t="s">
        <v>50</v>
      </c>
      <c r="V286" s="27" t="s">
        <v>50</v>
      </c>
      <c r="W286" s="27" t="s">
        <v>50</v>
      </c>
      <c r="X286" s="27" t="s">
        <v>50</v>
      </c>
    </row>
    <row r="287" spans="1:25" s="215" customFormat="1" x14ac:dyDescent="0.25">
      <c r="A287" s="495">
        <v>43334</v>
      </c>
      <c r="B287" s="494" t="s">
        <v>87</v>
      </c>
      <c r="C287" s="494" t="s">
        <v>88</v>
      </c>
      <c r="D287" s="496">
        <v>38.066589999999998</v>
      </c>
      <c r="E287" s="496">
        <v>-121.81896999999999</v>
      </c>
      <c r="F287" s="494" t="s">
        <v>5970</v>
      </c>
      <c r="G287" s="494" t="s">
        <v>27</v>
      </c>
      <c r="H287" s="494" t="s">
        <v>5771</v>
      </c>
      <c r="I287" s="497">
        <v>0.32847222222222222</v>
      </c>
      <c r="J287" s="498">
        <v>2250</v>
      </c>
      <c r="K287" s="498">
        <v>20.7</v>
      </c>
      <c r="L287" s="498">
        <v>52.7</v>
      </c>
      <c r="M287" s="498">
        <v>0.505</v>
      </c>
      <c r="N287" s="499">
        <v>6</v>
      </c>
      <c r="O287" s="494" t="s">
        <v>48</v>
      </c>
      <c r="P287" s="494">
        <v>2</v>
      </c>
      <c r="Q287" s="494">
        <v>10</v>
      </c>
      <c r="R287" s="494" t="s">
        <v>49</v>
      </c>
      <c r="S287" s="494" t="s">
        <v>323</v>
      </c>
      <c r="T287" s="494">
        <v>4</v>
      </c>
      <c r="U287" s="494" t="s">
        <v>5971</v>
      </c>
      <c r="V287" s="494" t="s">
        <v>66</v>
      </c>
      <c r="W287" s="494" t="s">
        <v>50</v>
      </c>
      <c r="X287" s="494" t="s">
        <v>50</v>
      </c>
      <c r="Y287" s="455" t="s">
        <v>5972</v>
      </c>
    </row>
    <row r="288" spans="1:25" s="215" customFormat="1" x14ac:dyDescent="0.25">
      <c r="A288" s="495">
        <v>43334</v>
      </c>
      <c r="B288" s="494" t="s">
        <v>87</v>
      </c>
      <c r="C288" s="494" t="s">
        <v>88</v>
      </c>
      <c r="D288" s="496">
        <v>38.063780000000001</v>
      </c>
      <c r="E288" s="496">
        <v>-121.81708999999999</v>
      </c>
      <c r="F288" s="494" t="s">
        <v>5973</v>
      </c>
      <c r="G288" s="494" t="s">
        <v>27</v>
      </c>
      <c r="H288" s="494" t="s">
        <v>25</v>
      </c>
      <c r="I288" s="497">
        <v>0.36249999999999999</v>
      </c>
      <c r="J288" s="498">
        <v>1150.5</v>
      </c>
      <c r="K288" s="498">
        <v>20.9</v>
      </c>
      <c r="L288" s="498">
        <v>61.9</v>
      </c>
      <c r="M288" s="498">
        <v>0.49</v>
      </c>
      <c r="N288" s="499">
        <v>8.5500000000000007</v>
      </c>
      <c r="O288" s="494" t="s">
        <v>48</v>
      </c>
      <c r="P288" s="494">
        <v>2</v>
      </c>
      <c r="Q288" s="494">
        <v>10</v>
      </c>
      <c r="R288" s="494" t="s">
        <v>49</v>
      </c>
      <c r="S288" s="494" t="s">
        <v>323</v>
      </c>
      <c r="T288" s="494">
        <v>1</v>
      </c>
      <c r="U288" s="494">
        <v>40</v>
      </c>
      <c r="V288" s="494" t="s">
        <v>66</v>
      </c>
      <c r="W288" s="494" t="s">
        <v>50</v>
      </c>
      <c r="X288" s="494" t="s">
        <v>50</v>
      </c>
      <c r="Y288" s="455" t="s">
        <v>868</v>
      </c>
    </row>
    <row r="289" spans="1:25" x14ac:dyDescent="0.25">
      <c r="A289" s="26">
        <v>43334</v>
      </c>
      <c r="B289" s="27" t="s">
        <v>87</v>
      </c>
      <c r="C289" s="27" t="s">
        <v>88</v>
      </c>
      <c r="D289" s="89">
        <v>38.066049999999997</v>
      </c>
      <c r="E289" s="89">
        <v>-121.7773</v>
      </c>
      <c r="F289" s="27" t="s">
        <v>5974</v>
      </c>
      <c r="G289" s="27" t="s">
        <v>27</v>
      </c>
      <c r="H289" s="27" t="s">
        <v>25</v>
      </c>
      <c r="I289" s="84">
        <v>0.3979166666666667</v>
      </c>
      <c r="J289" s="82">
        <v>349.67500000000001</v>
      </c>
      <c r="K289" s="82">
        <v>21.074999999999999</v>
      </c>
      <c r="L289" s="82">
        <v>33.199999999999996</v>
      </c>
      <c r="M289" s="82">
        <v>0.81</v>
      </c>
      <c r="N289" s="4">
        <v>7.9499999999999993</v>
      </c>
      <c r="O289" s="27" t="s">
        <v>48</v>
      </c>
      <c r="P289" s="27">
        <v>4</v>
      </c>
      <c r="Q289" s="27">
        <v>10</v>
      </c>
      <c r="R289" s="27" t="s">
        <v>49</v>
      </c>
      <c r="S289" s="27" t="s">
        <v>50</v>
      </c>
      <c r="T289" s="27" t="s">
        <v>50</v>
      </c>
      <c r="U289" s="27" t="s">
        <v>50</v>
      </c>
      <c r="V289" s="27" t="s">
        <v>50</v>
      </c>
      <c r="W289" s="27" t="s">
        <v>50</v>
      </c>
      <c r="X289" s="27" t="s">
        <v>50</v>
      </c>
    </row>
    <row r="290" spans="1:25" x14ac:dyDescent="0.25">
      <c r="A290" s="26">
        <v>43335</v>
      </c>
      <c r="B290" s="27" t="s">
        <v>105</v>
      </c>
      <c r="C290" s="27" t="s">
        <v>78</v>
      </c>
      <c r="D290" s="89">
        <v>38.045389999999998</v>
      </c>
      <c r="E290" s="89">
        <v>-122.10766</v>
      </c>
      <c r="F290" s="27" t="s">
        <v>5975</v>
      </c>
      <c r="G290" s="27" t="s">
        <v>80</v>
      </c>
      <c r="H290" s="27" t="s">
        <v>81</v>
      </c>
      <c r="I290" s="84">
        <v>0.34652777777777777</v>
      </c>
      <c r="J290" s="82">
        <v>17389</v>
      </c>
      <c r="K290" s="82">
        <v>19.899999999999999</v>
      </c>
      <c r="L290" s="82">
        <v>33.475000000000001</v>
      </c>
      <c r="M290" s="82">
        <v>0.435</v>
      </c>
      <c r="N290" s="4">
        <v>11.549999999999999</v>
      </c>
      <c r="O290" s="27" t="s">
        <v>48</v>
      </c>
      <c r="P290" s="27">
        <v>4</v>
      </c>
      <c r="Q290" s="27">
        <v>10</v>
      </c>
      <c r="R290" s="27" t="s">
        <v>49</v>
      </c>
      <c r="S290" s="27" t="s">
        <v>50</v>
      </c>
      <c r="T290" s="27" t="s">
        <v>50</v>
      </c>
      <c r="U290" s="27" t="s">
        <v>50</v>
      </c>
      <c r="V290" s="27" t="s">
        <v>50</v>
      </c>
      <c r="W290" s="27" t="s">
        <v>50</v>
      </c>
      <c r="X290" s="27" t="s">
        <v>50</v>
      </c>
    </row>
    <row r="291" spans="1:25" s="149" customFormat="1" x14ac:dyDescent="0.25">
      <c r="A291" s="178">
        <v>43335</v>
      </c>
      <c r="B291" s="149" t="s">
        <v>105</v>
      </c>
      <c r="C291" s="149" t="s">
        <v>78</v>
      </c>
      <c r="D291" s="150">
        <v>38.05735</v>
      </c>
      <c r="E291" s="150">
        <v>-122.01138</v>
      </c>
      <c r="F291" s="149" t="s">
        <v>5976</v>
      </c>
      <c r="G291" s="149" t="s">
        <v>27</v>
      </c>
      <c r="H291" s="149" t="s">
        <v>86</v>
      </c>
      <c r="I291" s="151">
        <v>0.39930555555555558</v>
      </c>
      <c r="J291" s="197" t="s">
        <v>50</v>
      </c>
      <c r="K291" s="197" t="s">
        <v>50</v>
      </c>
      <c r="L291" s="197" t="s">
        <v>50</v>
      </c>
      <c r="M291" s="197" t="s">
        <v>50</v>
      </c>
      <c r="N291" s="197" t="s">
        <v>50</v>
      </c>
      <c r="O291" s="149" t="s">
        <v>48</v>
      </c>
      <c r="P291" s="149">
        <v>0</v>
      </c>
      <c r="Q291" s="149" t="s">
        <v>50</v>
      </c>
      <c r="R291" s="149" t="s">
        <v>50</v>
      </c>
      <c r="S291" s="149" t="s">
        <v>50</v>
      </c>
      <c r="T291" s="149" t="s">
        <v>50</v>
      </c>
      <c r="U291" s="149" t="s">
        <v>50</v>
      </c>
      <c r="V291" s="149" t="s">
        <v>50</v>
      </c>
      <c r="W291" s="149" t="s">
        <v>50</v>
      </c>
      <c r="X291" s="149" t="s">
        <v>50</v>
      </c>
      <c r="Y291" s="152" t="s">
        <v>5977</v>
      </c>
    </row>
    <row r="292" spans="1:25" x14ac:dyDescent="0.25">
      <c r="A292" s="26">
        <v>43335</v>
      </c>
      <c r="B292" s="27" t="s">
        <v>105</v>
      </c>
      <c r="C292" s="27" t="s">
        <v>78</v>
      </c>
      <c r="D292" s="89">
        <v>38.072229999999998</v>
      </c>
      <c r="E292" s="89">
        <v>-121.98254</v>
      </c>
      <c r="F292" s="27" t="s">
        <v>5978</v>
      </c>
      <c r="G292" s="27" t="s">
        <v>27</v>
      </c>
      <c r="H292" s="27" t="s">
        <v>86</v>
      </c>
      <c r="I292" s="84">
        <v>0.41041666666666665</v>
      </c>
      <c r="J292" s="82">
        <v>9637.5</v>
      </c>
      <c r="K292" s="82">
        <v>20.224999999999998</v>
      </c>
      <c r="L292" s="82">
        <v>26.024999999999999</v>
      </c>
      <c r="M292" s="82">
        <v>0.60499999999999998</v>
      </c>
      <c r="N292" s="4">
        <v>4.3</v>
      </c>
      <c r="O292" s="27" t="s">
        <v>48</v>
      </c>
      <c r="P292" s="27">
        <v>4</v>
      </c>
      <c r="Q292" s="27">
        <v>10</v>
      </c>
      <c r="R292" s="27" t="s">
        <v>64</v>
      </c>
      <c r="S292" s="27" t="s">
        <v>50</v>
      </c>
      <c r="T292" s="27" t="s">
        <v>50</v>
      </c>
      <c r="U292" s="27" t="s">
        <v>50</v>
      </c>
      <c r="V292" s="27" t="s">
        <v>50</v>
      </c>
      <c r="W292" s="27" t="s">
        <v>50</v>
      </c>
      <c r="X292" s="27" t="s">
        <v>50</v>
      </c>
    </row>
    <row r="293" spans="1:25" x14ac:dyDescent="0.25">
      <c r="A293" s="26">
        <v>43335</v>
      </c>
      <c r="B293" s="27" t="s">
        <v>105</v>
      </c>
      <c r="C293" s="27" t="s">
        <v>78</v>
      </c>
      <c r="D293" s="89">
        <v>38.063290000000002</v>
      </c>
      <c r="E293" s="89">
        <v>-121.96167</v>
      </c>
      <c r="F293" s="27" t="s">
        <v>5979</v>
      </c>
      <c r="G293" s="27" t="s">
        <v>27</v>
      </c>
      <c r="H293" s="27" t="s">
        <v>170</v>
      </c>
      <c r="I293" s="84">
        <v>0.46388888888888885</v>
      </c>
      <c r="J293" s="82">
        <v>7421.5</v>
      </c>
      <c r="K293" s="82">
        <v>20.3</v>
      </c>
      <c r="L293" s="82">
        <v>14.100000000000001</v>
      </c>
      <c r="M293" s="82">
        <v>0.84249999999999992</v>
      </c>
      <c r="N293" s="4">
        <v>6.7750000000000004</v>
      </c>
      <c r="O293" s="27" t="s">
        <v>48</v>
      </c>
      <c r="P293" s="27">
        <v>4</v>
      </c>
      <c r="Q293" s="27">
        <v>10</v>
      </c>
      <c r="R293" s="27" t="s">
        <v>64</v>
      </c>
      <c r="S293" s="27" t="s">
        <v>50</v>
      </c>
      <c r="T293" s="27" t="s">
        <v>50</v>
      </c>
      <c r="U293" s="27" t="s">
        <v>50</v>
      </c>
      <c r="V293" s="27" t="s">
        <v>50</v>
      </c>
      <c r="W293" s="27" t="s">
        <v>50</v>
      </c>
      <c r="X293" s="27" t="s">
        <v>50</v>
      </c>
    </row>
    <row r="294" spans="1:25" x14ac:dyDescent="0.25">
      <c r="A294" s="26">
        <v>43335</v>
      </c>
      <c r="B294" s="27" t="s">
        <v>105</v>
      </c>
      <c r="C294" s="27" t="s">
        <v>88</v>
      </c>
      <c r="D294" s="89">
        <v>38.08981</v>
      </c>
      <c r="E294" s="89">
        <v>-121.7409</v>
      </c>
      <c r="F294" s="27" t="s">
        <v>5980</v>
      </c>
      <c r="G294" s="27" t="s">
        <v>90</v>
      </c>
      <c r="H294" s="27" t="s">
        <v>91</v>
      </c>
      <c r="I294" s="84">
        <v>0.33263888888888887</v>
      </c>
      <c r="J294" s="82">
        <v>259.375</v>
      </c>
      <c r="K294" s="82">
        <v>21.35</v>
      </c>
      <c r="L294" s="82">
        <v>8.442499999999999</v>
      </c>
      <c r="M294" s="82">
        <v>1.1849999999999998</v>
      </c>
      <c r="N294" s="4">
        <v>9.3000000000000007</v>
      </c>
      <c r="O294" s="27" t="s">
        <v>48</v>
      </c>
      <c r="P294" s="27">
        <v>4</v>
      </c>
      <c r="Q294" s="27">
        <v>10</v>
      </c>
      <c r="R294" s="27" t="s">
        <v>49</v>
      </c>
      <c r="S294" s="27" t="s">
        <v>50</v>
      </c>
      <c r="T294" s="27" t="s">
        <v>50</v>
      </c>
      <c r="U294" s="27" t="s">
        <v>50</v>
      </c>
      <c r="V294" s="27" t="s">
        <v>50</v>
      </c>
      <c r="W294" s="27" t="s">
        <v>50</v>
      </c>
      <c r="X294" s="27" t="s">
        <v>50</v>
      </c>
      <c r="Y294" s="35" t="s">
        <v>386</v>
      </c>
    </row>
    <row r="295" spans="1:25" x14ac:dyDescent="0.25">
      <c r="A295" s="26">
        <v>43335</v>
      </c>
      <c r="B295" s="27" t="s">
        <v>105</v>
      </c>
      <c r="C295" s="27" t="s">
        <v>88</v>
      </c>
      <c r="D295" s="89">
        <v>38.109580000000001</v>
      </c>
      <c r="E295" s="89">
        <v>-121.70536</v>
      </c>
      <c r="F295" s="27" t="s">
        <v>5981</v>
      </c>
      <c r="G295" s="27" t="s">
        <v>90</v>
      </c>
      <c r="H295" s="27" t="s">
        <v>91</v>
      </c>
      <c r="I295" s="84">
        <v>0.34930555555555554</v>
      </c>
      <c r="J295" s="82">
        <v>146.29999999999998</v>
      </c>
      <c r="K295" s="82">
        <v>21.175000000000001</v>
      </c>
      <c r="L295" s="82">
        <v>8.2899999999999991</v>
      </c>
      <c r="M295" s="82">
        <v>1.2050000000000001</v>
      </c>
      <c r="N295" s="4">
        <v>4.05</v>
      </c>
      <c r="O295" s="27" t="s">
        <v>48</v>
      </c>
      <c r="P295" s="27">
        <v>4</v>
      </c>
      <c r="Q295" s="27">
        <v>10</v>
      </c>
      <c r="R295" s="27" t="s">
        <v>49</v>
      </c>
      <c r="S295" s="27" t="s">
        <v>50</v>
      </c>
      <c r="T295" s="27" t="s">
        <v>50</v>
      </c>
      <c r="U295" s="27" t="s">
        <v>50</v>
      </c>
      <c r="V295" s="27" t="s">
        <v>50</v>
      </c>
      <c r="W295" s="27" t="s">
        <v>50</v>
      </c>
      <c r="X295" s="27" t="s">
        <v>50</v>
      </c>
    </row>
    <row r="296" spans="1:25" x14ac:dyDescent="0.25">
      <c r="A296" s="26">
        <v>43335</v>
      </c>
      <c r="B296" s="27" t="s">
        <v>105</v>
      </c>
      <c r="C296" s="27" t="s">
        <v>88</v>
      </c>
      <c r="D296" s="89">
        <v>38.167909999999999</v>
      </c>
      <c r="E296" s="89">
        <v>-121.67695999999999</v>
      </c>
      <c r="F296" s="27" t="s">
        <v>5982</v>
      </c>
      <c r="G296" s="27" t="s">
        <v>90</v>
      </c>
      <c r="H296" s="27" t="s">
        <v>91</v>
      </c>
      <c r="I296" s="84">
        <v>0.44027777777777777</v>
      </c>
      <c r="J296" s="82">
        <v>142.30000000000001</v>
      </c>
      <c r="K296" s="82">
        <v>21.15</v>
      </c>
      <c r="L296" s="82">
        <v>6.4024999999999999</v>
      </c>
      <c r="M296" s="82">
        <v>1.3975</v>
      </c>
      <c r="N296" s="4">
        <v>11.875</v>
      </c>
      <c r="O296" s="27" t="s">
        <v>48</v>
      </c>
      <c r="P296" s="27">
        <v>4</v>
      </c>
      <c r="Q296" s="27">
        <v>10</v>
      </c>
      <c r="R296" s="27" t="s">
        <v>49</v>
      </c>
      <c r="S296" s="27" t="s">
        <v>50</v>
      </c>
      <c r="T296" s="27" t="s">
        <v>50</v>
      </c>
      <c r="U296" s="27" t="s">
        <v>50</v>
      </c>
      <c r="V296" s="27" t="s">
        <v>50</v>
      </c>
      <c r="W296" s="27" t="s">
        <v>50</v>
      </c>
      <c r="X296" s="27" t="s">
        <v>50</v>
      </c>
    </row>
    <row r="297" spans="1:25" x14ac:dyDescent="0.25">
      <c r="A297" s="26">
        <v>43335</v>
      </c>
      <c r="B297" s="27" t="s">
        <v>105</v>
      </c>
      <c r="C297" s="27" t="s">
        <v>845</v>
      </c>
      <c r="D297" s="89">
        <v>38.259140000000002</v>
      </c>
      <c r="E297" s="89">
        <v>-121.74223000000001</v>
      </c>
      <c r="F297" s="27" t="s">
        <v>5983</v>
      </c>
      <c r="G297" s="27" t="s">
        <v>90</v>
      </c>
      <c r="H297" s="27" t="s">
        <v>126</v>
      </c>
      <c r="I297" s="84">
        <v>0.32847222222222222</v>
      </c>
      <c r="J297" s="82">
        <v>170.79999999999998</v>
      </c>
      <c r="K297" s="82">
        <v>20.200000000000003</v>
      </c>
      <c r="L297" s="82">
        <v>4.1850000000000005</v>
      </c>
      <c r="M297" s="82" t="s">
        <v>5829</v>
      </c>
      <c r="N297" s="4">
        <v>5.2749999999999995</v>
      </c>
      <c r="O297" s="27" t="s">
        <v>48</v>
      </c>
      <c r="P297" s="27">
        <v>4</v>
      </c>
      <c r="Q297" s="27">
        <v>10</v>
      </c>
      <c r="R297" s="27" t="s">
        <v>49</v>
      </c>
      <c r="S297" s="27" t="s">
        <v>50</v>
      </c>
      <c r="T297" s="27" t="s">
        <v>50</v>
      </c>
      <c r="U297" s="27" t="s">
        <v>50</v>
      </c>
      <c r="V297" s="27" t="s">
        <v>50</v>
      </c>
      <c r="W297" s="27" t="s">
        <v>50</v>
      </c>
      <c r="X297" s="27" t="s">
        <v>50</v>
      </c>
      <c r="Y297" s="35" t="s">
        <v>5984</v>
      </c>
    </row>
    <row r="298" spans="1:25" x14ac:dyDescent="0.25">
      <c r="A298" s="26">
        <v>43335</v>
      </c>
      <c r="B298" s="27" t="s">
        <v>105</v>
      </c>
      <c r="C298" s="27" t="s">
        <v>845</v>
      </c>
      <c r="D298" s="89">
        <v>38.256259999999997</v>
      </c>
      <c r="E298" s="89">
        <v>-121.73089</v>
      </c>
      <c r="F298" s="27" t="s">
        <v>5985</v>
      </c>
      <c r="G298" s="27" t="s">
        <v>90</v>
      </c>
      <c r="H298" s="27" t="s">
        <v>126</v>
      </c>
      <c r="I298" s="84">
        <v>0.3833333333333333</v>
      </c>
      <c r="J298" s="82">
        <v>171.52499999999998</v>
      </c>
      <c r="K298" s="82">
        <v>20.324999999999999</v>
      </c>
      <c r="L298" s="82">
        <v>3.5675000000000003</v>
      </c>
      <c r="M298" s="82" t="s">
        <v>5829</v>
      </c>
      <c r="N298" s="4">
        <v>5.0999999999999996</v>
      </c>
      <c r="O298" s="27" t="s">
        <v>48</v>
      </c>
      <c r="P298" s="27">
        <v>4</v>
      </c>
      <c r="Q298" s="27">
        <v>10</v>
      </c>
      <c r="R298" s="27" t="s">
        <v>49</v>
      </c>
      <c r="S298" s="27" t="s">
        <v>50</v>
      </c>
      <c r="T298" s="27" t="s">
        <v>50</v>
      </c>
      <c r="U298" s="27" t="s">
        <v>50</v>
      </c>
      <c r="V298" s="27" t="s">
        <v>50</v>
      </c>
      <c r="W298" s="27" t="s">
        <v>50</v>
      </c>
      <c r="X298" s="27" t="s">
        <v>50</v>
      </c>
    </row>
    <row r="299" spans="1:25" s="149" customFormat="1" x14ac:dyDescent="0.25">
      <c r="A299" s="178">
        <v>43335</v>
      </c>
      <c r="B299" s="149" t="s">
        <v>105</v>
      </c>
      <c r="C299" s="149" t="s">
        <v>845</v>
      </c>
      <c r="D299" s="150">
        <v>38.260719999999999</v>
      </c>
      <c r="E299" s="150">
        <v>-121.68691</v>
      </c>
      <c r="F299" s="149" t="s">
        <v>5986</v>
      </c>
      <c r="G299" s="149" t="s">
        <v>90</v>
      </c>
      <c r="H299" s="149" t="s">
        <v>126</v>
      </c>
      <c r="I299" s="151">
        <v>0.43472222222222223</v>
      </c>
      <c r="J299" s="197" t="s">
        <v>50</v>
      </c>
      <c r="K299" s="197" t="s">
        <v>50</v>
      </c>
      <c r="L299" s="197" t="s">
        <v>50</v>
      </c>
      <c r="M299" s="197" t="s">
        <v>50</v>
      </c>
      <c r="N299" s="197" t="s">
        <v>50</v>
      </c>
      <c r="O299" s="149" t="s">
        <v>48</v>
      </c>
      <c r="P299" s="149">
        <v>0</v>
      </c>
      <c r="Q299" s="149" t="s">
        <v>50</v>
      </c>
      <c r="R299" s="149" t="s">
        <v>50</v>
      </c>
      <c r="S299" s="149" t="s">
        <v>50</v>
      </c>
      <c r="T299" s="149" t="s">
        <v>50</v>
      </c>
      <c r="U299" s="149" t="s">
        <v>50</v>
      </c>
      <c r="V299" s="149" t="s">
        <v>50</v>
      </c>
      <c r="W299" s="149" t="s">
        <v>50</v>
      </c>
      <c r="X299" s="149" t="s">
        <v>50</v>
      </c>
      <c r="Y299" s="152" t="s">
        <v>4960</v>
      </c>
    </row>
    <row r="300" spans="1:25" x14ac:dyDescent="0.25">
      <c r="A300" s="26">
        <v>43335</v>
      </c>
      <c r="B300" s="27" t="s">
        <v>105</v>
      </c>
      <c r="C300" s="27" t="s">
        <v>845</v>
      </c>
      <c r="D300" s="89">
        <v>38.277610000000003</v>
      </c>
      <c r="E300" s="89">
        <v>-121.71026999999999</v>
      </c>
      <c r="F300" s="27" t="s">
        <v>5987</v>
      </c>
      <c r="G300" s="27" t="s">
        <v>90</v>
      </c>
      <c r="H300" s="27" t="s">
        <v>126</v>
      </c>
      <c r="I300" s="84">
        <v>0.44236111111111115</v>
      </c>
      <c r="J300" s="82">
        <v>170.43333333333334</v>
      </c>
      <c r="K300" s="82">
        <v>19.933333333333334</v>
      </c>
      <c r="L300" s="82">
        <v>3.1766666666666663</v>
      </c>
      <c r="M300" s="82" t="s">
        <v>5829</v>
      </c>
      <c r="N300" s="4">
        <v>4.166666666666667</v>
      </c>
      <c r="O300" s="27" t="s">
        <v>48</v>
      </c>
      <c r="P300" s="27">
        <v>3</v>
      </c>
      <c r="Q300" s="27">
        <v>10</v>
      </c>
      <c r="R300" s="27" t="s">
        <v>49</v>
      </c>
      <c r="S300" s="27" t="s">
        <v>50</v>
      </c>
      <c r="T300" s="27" t="s">
        <v>50</v>
      </c>
      <c r="U300" s="27" t="s">
        <v>50</v>
      </c>
      <c r="V300" s="27" t="s">
        <v>50</v>
      </c>
      <c r="W300" s="27" t="s">
        <v>50</v>
      </c>
      <c r="X300" s="27" t="s">
        <v>50</v>
      </c>
      <c r="Y300" s="35" t="s">
        <v>5988</v>
      </c>
    </row>
    <row r="301" spans="1:25" x14ac:dyDescent="0.25">
      <c r="A301" s="26">
        <v>43336</v>
      </c>
      <c r="B301" s="27" t="s">
        <v>125</v>
      </c>
      <c r="C301" s="27" t="s">
        <v>78</v>
      </c>
      <c r="D301" s="89">
        <v>38.044130000000003</v>
      </c>
      <c r="E301" s="89">
        <v>-121.84017</v>
      </c>
      <c r="F301" s="27" t="s">
        <v>5989</v>
      </c>
      <c r="G301" s="27" t="s">
        <v>27</v>
      </c>
      <c r="H301" s="27" t="s">
        <v>101</v>
      </c>
      <c r="I301" s="84">
        <v>0.29652777777777778</v>
      </c>
      <c r="J301" s="82">
        <v>5141.25</v>
      </c>
      <c r="K301" s="82">
        <v>20.324999999999999</v>
      </c>
      <c r="L301" s="82">
        <v>18.675000000000001</v>
      </c>
      <c r="M301" s="82">
        <v>0.74249999999999994</v>
      </c>
      <c r="N301" s="4">
        <v>3.9249999999999998</v>
      </c>
      <c r="O301" s="27" t="s">
        <v>48</v>
      </c>
      <c r="P301" s="27">
        <v>4</v>
      </c>
      <c r="Q301" s="27">
        <v>10</v>
      </c>
      <c r="R301" s="27" t="s">
        <v>49</v>
      </c>
      <c r="S301" s="27" t="s">
        <v>50</v>
      </c>
      <c r="T301" s="27" t="s">
        <v>50</v>
      </c>
      <c r="U301" s="27" t="s">
        <v>50</v>
      </c>
      <c r="V301" s="27" t="s">
        <v>50</v>
      </c>
      <c r="W301" s="27" t="s">
        <v>50</v>
      </c>
      <c r="X301" s="27" t="s">
        <v>50</v>
      </c>
    </row>
    <row r="302" spans="1:25" x14ac:dyDescent="0.25">
      <c r="A302" s="26">
        <v>43336</v>
      </c>
      <c r="B302" s="27" t="s">
        <v>125</v>
      </c>
      <c r="C302" s="27" t="s">
        <v>78</v>
      </c>
      <c r="D302" s="89">
        <v>38.05453</v>
      </c>
      <c r="E302" s="89">
        <v>-121.83672</v>
      </c>
      <c r="F302" s="27" t="s">
        <v>5990</v>
      </c>
      <c r="G302" s="27" t="s">
        <v>27</v>
      </c>
      <c r="H302" s="27" t="s">
        <v>101</v>
      </c>
      <c r="I302" s="84">
        <v>0.37222222222222223</v>
      </c>
      <c r="J302" s="82">
        <v>4246.25</v>
      </c>
      <c r="K302" s="82">
        <v>20.074999999999999</v>
      </c>
      <c r="L302" s="82">
        <v>18.475000000000001</v>
      </c>
      <c r="M302" s="82">
        <v>0.78749999999999998</v>
      </c>
      <c r="N302" s="4">
        <v>6.8250000000000002</v>
      </c>
      <c r="O302" s="27" t="s">
        <v>48</v>
      </c>
      <c r="P302" s="27">
        <v>4</v>
      </c>
      <c r="Q302" s="27">
        <v>10</v>
      </c>
      <c r="R302" s="27" t="s">
        <v>49</v>
      </c>
      <c r="S302" s="27" t="s">
        <v>50</v>
      </c>
      <c r="T302" s="27" t="s">
        <v>50</v>
      </c>
      <c r="U302" s="27" t="s">
        <v>50</v>
      </c>
      <c r="V302" s="27" t="s">
        <v>50</v>
      </c>
      <c r="W302" s="27" t="s">
        <v>50</v>
      </c>
      <c r="X302" s="27" t="s">
        <v>50</v>
      </c>
    </row>
    <row r="303" spans="1:25" s="149" customFormat="1" x14ac:dyDescent="0.25">
      <c r="A303" s="178">
        <v>43336</v>
      </c>
      <c r="B303" s="149" t="s">
        <v>125</v>
      </c>
      <c r="C303" s="149" t="s">
        <v>78</v>
      </c>
      <c r="D303" s="150">
        <v>38.071240000000003</v>
      </c>
      <c r="E303" s="150">
        <v>-122.10485</v>
      </c>
      <c r="F303" s="149" t="s">
        <v>5991</v>
      </c>
      <c r="G303" s="149" t="s">
        <v>80</v>
      </c>
      <c r="H303" s="149" t="s">
        <v>81</v>
      </c>
      <c r="I303" s="151">
        <v>0.41666666666666669</v>
      </c>
      <c r="J303" s="197" t="s">
        <v>50</v>
      </c>
      <c r="K303" s="197" t="s">
        <v>50</v>
      </c>
      <c r="L303" s="197" t="s">
        <v>50</v>
      </c>
      <c r="M303" s="197" t="s">
        <v>50</v>
      </c>
      <c r="N303" s="197" t="s">
        <v>50</v>
      </c>
      <c r="O303" s="149" t="s">
        <v>48</v>
      </c>
      <c r="P303" s="149">
        <v>0</v>
      </c>
      <c r="Q303" s="149" t="s">
        <v>50</v>
      </c>
      <c r="R303" s="149" t="s">
        <v>50</v>
      </c>
      <c r="S303" s="149" t="s">
        <v>50</v>
      </c>
      <c r="T303" s="149" t="s">
        <v>50</v>
      </c>
      <c r="U303" s="149" t="s">
        <v>50</v>
      </c>
      <c r="V303" s="149" t="s">
        <v>50</v>
      </c>
      <c r="W303" s="149" t="s">
        <v>50</v>
      </c>
      <c r="X303" s="149" t="s">
        <v>50</v>
      </c>
      <c r="Y303" s="152" t="s">
        <v>5992</v>
      </c>
    </row>
    <row r="304" spans="1:25" s="149" customFormat="1" x14ac:dyDescent="0.25">
      <c r="A304" s="178">
        <v>43336</v>
      </c>
      <c r="B304" s="149" t="s">
        <v>125</v>
      </c>
      <c r="C304" s="149" t="s">
        <v>78</v>
      </c>
      <c r="D304" s="150">
        <v>38.055459999999997</v>
      </c>
      <c r="E304" s="150">
        <v>-121.99979999999999</v>
      </c>
      <c r="F304" s="149" t="s">
        <v>5993</v>
      </c>
      <c r="G304" s="149" t="s">
        <v>27</v>
      </c>
      <c r="H304" s="149" t="s">
        <v>86</v>
      </c>
      <c r="I304" s="151">
        <v>0.41736111111111113</v>
      </c>
      <c r="J304" s="197" t="s">
        <v>50</v>
      </c>
      <c r="K304" s="197" t="s">
        <v>50</v>
      </c>
      <c r="L304" s="197" t="s">
        <v>50</v>
      </c>
      <c r="M304" s="197" t="s">
        <v>50</v>
      </c>
      <c r="N304" s="197" t="s">
        <v>50</v>
      </c>
      <c r="O304" s="149" t="s">
        <v>48</v>
      </c>
      <c r="P304" s="149">
        <v>0</v>
      </c>
      <c r="Q304" s="149" t="s">
        <v>50</v>
      </c>
      <c r="R304" s="149" t="s">
        <v>50</v>
      </c>
      <c r="S304" s="149" t="s">
        <v>50</v>
      </c>
      <c r="T304" s="149" t="s">
        <v>50</v>
      </c>
      <c r="U304" s="149" t="s">
        <v>50</v>
      </c>
      <c r="V304" s="149" t="s">
        <v>50</v>
      </c>
      <c r="W304" s="149" t="s">
        <v>50</v>
      </c>
      <c r="X304" s="149" t="s">
        <v>50</v>
      </c>
      <c r="Y304" s="152" t="s">
        <v>5994</v>
      </c>
    </row>
    <row r="305" spans="1:25" s="361" customFormat="1" x14ac:dyDescent="0.25">
      <c r="A305" s="360">
        <v>43336</v>
      </c>
      <c r="B305" s="361" t="s">
        <v>125</v>
      </c>
      <c r="C305" s="361" t="s">
        <v>78</v>
      </c>
      <c r="D305" s="362">
        <v>38.049340000000001</v>
      </c>
      <c r="E305" s="362">
        <v>-121.9064</v>
      </c>
      <c r="F305" s="361" t="s">
        <v>5995</v>
      </c>
      <c r="G305" s="361" t="s">
        <v>27</v>
      </c>
      <c r="H305" s="361" t="s">
        <v>101</v>
      </c>
      <c r="I305" s="363">
        <v>0.42430555555555555</v>
      </c>
      <c r="J305" s="364">
        <v>5032.5</v>
      </c>
      <c r="K305" s="364">
        <v>20.05</v>
      </c>
      <c r="L305" s="364">
        <v>23.674999999999997</v>
      </c>
      <c r="M305" s="364">
        <v>0.66249999999999998</v>
      </c>
      <c r="N305" s="365">
        <v>8.2249999999999996</v>
      </c>
      <c r="O305" s="361" t="s">
        <v>48</v>
      </c>
      <c r="P305" s="361">
        <v>4</v>
      </c>
      <c r="Q305" s="361">
        <v>10</v>
      </c>
      <c r="R305" s="361" t="s">
        <v>49</v>
      </c>
      <c r="S305" s="361" t="s">
        <v>50</v>
      </c>
      <c r="T305" s="361" t="s">
        <v>50</v>
      </c>
      <c r="U305" s="361" t="s">
        <v>50</v>
      </c>
      <c r="V305" s="361" t="s">
        <v>50</v>
      </c>
      <c r="W305" s="361" t="s">
        <v>50</v>
      </c>
      <c r="X305" s="361" t="s">
        <v>50</v>
      </c>
      <c r="Y305" s="366"/>
    </row>
    <row r="306" spans="1:25" x14ac:dyDescent="0.25">
      <c r="A306" s="26">
        <v>43339</v>
      </c>
      <c r="B306" s="27" t="s">
        <v>43</v>
      </c>
      <c r="C306" s="27" t="s">
        <v>88</v>
      </c>
      <c r="D306" s="89">
        <v>38.17342</v>
      </c>
      <c r="E306" s="89">
        <v>-121.67158000000001</v>
      </c>
      <c r="F306" s="27" t="s">
        <v>5996</v>
      </c>
      <c r="G306" s="27" t="s">
        <v>90</v>
      </c>
      <c r="H306" s="27" t="s">
        <v>91</v>
      </c>
      <c r="I306" s="84">
        <v>0.34027777777777773</v>
      </c>
      <c r="J306" s="82">
        <v>153.27499999999998</v>
      </c>
      <c r="K306" s="82">
        <v>20.700000000000003</v>
      </c>
      <c r="L306" s="82">
        <v>5.3249999999999993</v>
      </c>
      <c r="M306" s="82">
        <v>1.6475000000000002</v>
      </c>
      <c r="N306" s="4">
        <v>14.8</v>
      </c>
      <c r="O306" s="27" t="s">
        <v>48</v>
      </c>
      <c r="P306" s="27">
        <v>4</v>
      </c>
      <c r="Q306" s="27">
        <v>10</v>
      </c>
      <c r="R306" s="27" t="s">
        <v>49</v>
      </c>
      <c r="S306" s="27" t="s">
        <v>50</v>
      </c>
      <c r="T306" s="27" t="s">
        <v>50</v>
      </c>
      <c r="U306" s="27" t="s">
        <v>50</v>
      </c>
      <c r="V306" s="27" t="s">
        <v>50</v>
      </c>
      <c r="W306" s="27" t="s">
        <v>50</v>
      </c>
      <c r="X306" s="27" t="s">
        <v>50</v>
      </c>
    </row>
    <row r="307" spans="1:25" x14ac:dyDescent="0.25">
      <c r="A307" s="26">
        <v>43339</v>
      </c>
      <c r="B307" s="27" t="s">
        <v>43</v>
      </c>
      <c r="C307" s="27" t="s">
        <v>88</v>
      </c>
      <c r="D307" s="89">
        <v>38.161709999999999</v>
      </c>
      <c r="E307" s="89">
        <v>-121.678</v>
      </c>
      <c r="F307" s="27" t="s">
        <v>5997</v>
      </c>
      <c r="G307" s="27" t="s">
        <v>90</v>
      </c>
      <c r="H307" s="27" t="s">
        <v>91</v>
      </c>
      <c r="I307" s="84">
        <v>0.38680555555555557</v>
      </c>
      <c r="J307" s="82">
        <v>153.77499999999998</v>
      </c>
      <c r="K307" s="82">
        <v>20.7</v>
      </c>
      <c r="L307" s="82">
        <v>5.9549999999999992</v>
      </c>
      <c r="M307" s="82">
        <v>1.585</v>
      </c>
      <c r="N307" s="4">
        <v>6.0749999999999993</v>
      </c>
      <c r="O307" s="27" t="s">
        <v>48</v>
      </c>
      <c r="P307" s="27">
        <v>4</v>
      </c>
      <c r="Q307" s="27">
        <v>10</v>
      </c>
      <c r="R307" s="27" t="s">
        <v>49</v>
      </c>
      <c r="S307" s="27" t="s">
        <v>50</v>
      </c>
      <c r="T307" s="27" t="s">
        <v>50</v>
      </c>
      <c r="U307" s="27" t="s">
        <v>50</v>
      </c>
      <c r="V307" s="27" t="s">
        <v>50</v>
      </c>
      <c r="W307" s="27" t="s">
        <v>50</v>
      </c>
      <c r="X307" s="27" t="s">
        <v>50</v>
      </c>
    </row>
    <row r="308" spans="1:25" x14ac:dyDescent="0.25">
      <c r="A308" s="26">
        <v>43339</v>
      </c>
      <c r="B308" s="27" t="s">
        <v>43</v>
      </c>
      <c r="C308" s="27" t="s">
        <v>88</v>
      </c>
      <c r="D308" s="89">
        <v>38.102069999999998</v>
      </c>
      <c r="E308" s="89">
        <v>-121.72435</v>
      </c>
      <c r="F308" s="27" t="s">
        <v>5998</v>
      </c>
      <c r="G308" s="27" t="s">
        <v>90</v>
      </c>
      <c r="H308" s="27" t="s">
        <v>91</v>
      </c>
      <c r="I308" s="84">
        <v>0.44444444444444442</v>
      </c>
      <c r="J308" s="82">
        <v>189.625</v>
      </c>
      <c r="K308" s="82">
        <v>20.9</v>
      </c>
      <c r="L308" s="82">
        <v>6.7324999999999999</v>
      </c>
      <c r="M308" s="82">
        <v>1.4524999999999999</v>
      </c>
      <c r="N308" s="4">
        <v>8.8500000000000014</v>
      </c>
      <c r="O308" s="27" t="s">
        <v>48</v>
      </c>
      <c r="P308" s="27">
        <v>4</v>
      </c>
      <c r="Q308" s="27">
        <v>10</v>
      </c>
      <c r="R308" s="27" t="s">
        <v>64</v>
      </c>
      <c r="S308" s="27" t="s">
        <v>50</v>
      </c>
      <c r="T308" s="27" t="s">
        <v>50</v>
      </c>
      <c r="U308" s="27" t="s">
        <v>50</v>
      </c>
      <c r="V308" s="27" t="s">
        <v>50</v>
      </c>
      <c r="W308" s="27" t="s">
        <v>50</v>
      </c>
      <c r="X308" s="27" t="s">
        <v>50</v>
      </c>
    </row>
    <row r="309" spans="1:25" x14ac:dyDescent="0.25">
      <c r="A309" s="26">
        <v>43339</v>
      </c>
      <c r="B309" s="27" t="s">
        <v>43</v>
      </c>
      <c r="C309" s="27" t="s">
        <v>62</v>
      </c>
      <c r="D309" s="89">
        <v>38.146889999999999</v>
      </c>
      <c r="E309" s="89">
        <v>-122.05704</v>
      </c>
      <c r="F309" s="27" t="s">
        <v>5999</v>
      </c>
      <c r="G309" s="27" t="s">
        <v>27</v>
      </c>
      <c r="H309" s="27" t="s">
        <v>62</v>
      </c>
      <c r="I309" s="84">
        <v>0.36388888888888887</v>
      </c>
      <c r="J309" s="82">
        <v>8185.5</v>
      </c>
      <c r="K309" s="82">
        <v>19.75</v>
      </c>
      <c r="L309" s="82">
        <v>58.724999999999994</v>
      </c>
      <c r="M309" s="82">
        <v>0.39</v>
      </c>
      <c r="N309" s="4">
        <v>4.3500000000000005</v>
      </c>
      <c r="O309" s="27" t="s">
        <v>48</v>
      </c>
      <c r="P309" s="27">
        <v>4</v>
      </c>
      <c r="Q309" s="27">
        <v>10</v>
      </c>
      <c r="R309" s="27" t="s">
        <v>49</v>
      </c>
      <c r="S309" s="27" t="s">
        <v>50</v>
      </c>
      <c r="T309" s="27" t="s">
        <v>50</v>
      </c>
      <c r="U309" s="27" t="s">
        <v>50</v>
      </c>
      <c r="V309" s="27" t="s">
        <v>50</v>
      </c>
      <c r="W309" s="27" t="s">
        <v>50</v>
      </c>
      <c r="X309" s="27" t="s">
        <v>50</v>
      </c>
    </row>
    <row r="310" spans="1:25" s="149" customFormat="1" x14ac:dyDescent="0.25">
      <c r="A310" s="178">
        <v>43339</v>
      </c>
      <c r="B310" s="149" t="s">
        <v>43</v>
      </c>
      <c r="C310" s="149" t="s">
        <v>62</v>
      </c>
      <c r="D310" s="150">
        <v>38.109259999999999</v>
      </c>
      <c r="E310" s="150">
        <v>-122.06111</v>
      </c>
      <c r="F310" s="149" t="s">
        <v>6000</v>
      </c>
      <c r="G310" s="149" t="s">
        <v>27</v>
      </c>
      <c r="H310" s="149" t="s">
        <v>173</v>
      </c>
      <c r="I310" s="151">
        <v>0.40972222222222227</v>
      </c>
      <c r="J310" s="197" t="s">
        <v>50</v>
      </c>
      <c r="K310" s="197" t="s">
        <v>50</v>
      </c>
      <c r="L310" s="197" t="s">
        <v>50</v>
      </c>
      <c r="M310" s="197" t="s">
        <v>50</v>
      </c>
      <c r="N310" s="197" t="s">
        <v>50</v>
      </c>
      <c r="O310" s="149" t="s">
        <v>48</v>
      </c>
      <c r="P310" s="149">
        <v>0</v>
      </c>
      <c r="Q310" s="149" t="s">
        <v>50</v>
      </c>
      <c r="R310" s="149" t="s">
        <v>50</v>
      </c>
      <c r="S310" s="149" t="s">
        <v>50</v>
      </c>
      <c r="T310" s="149" t="s">
        <v>50</v>
      </c>
      <c r="U310" s="149" t="s">
        <v>50</v>
      </c>
      <c r="V310" s="149" t="s">
        <v>50</v>
      </c>
      <c r="W310" s="149" t="s">
        <v>50</v>
      </c>
      <c r="X310" s="149" t="s">
        <v>50</v>
      </c>
      <c r="Y310" s="152" t="s">
        <v>4960</v>
      </c>
    </row>
    <row r="311" spans="1:25" x14ac:dyDescent="0.25">
      <c r="A311" s="26">
        <v>43339</v>
      </c>
      <c r="B311" s="27" t="s">
        <v>43</v>
      </c>
      <c r="C311" s="27" t="s">
        <v>62</v>
      </c>
      <c r="D311" s="89">
        <v>38.136569999999999</v>
      </c>
      <c r="E311" s="89">
        <v>-122.06079</v>
      </c>
      <c r="F311" s="27" t="s">
        <v>6001</v>
      </c>
      <c r="G311" s="27" t="s">
        <v>27</v>
      </c>
      <c r="H311" s="27" t="s">
        <v>62</v>
      </c>
      <c r="I311" s="84">
        <v>0.4152777777777778</v>
      </c>
      <c r="J311" s="82">
        <v>8140.25</v>
      </c>
      <c r="K311" s="82">
        <v>19.825000000000003</v>
      </c>
      <c r="L311" s="82">
        <v>45.674999999999997</v>
      </c>
      <c r="M311" s="82">
        <v>0.38999999999999996</v>
      </c>
      <c r="N311" s="4">
        <v>9.7749999999999986</v>
      </c>
      <c r="O311" s="27" t="s">
        <v>48</v>
      </c>
      <c r="P311" s="27">
        <v>4</v>
      </c>
      <c r="Q311" s="27">
        <v>10</v>
      </c>
      <c r="R311" s="27" t="s">
        <v>49</v>
      </c>
      <c r="S311" s="27" t="s">
        <v>50</v>
      </c>
      <c r="T311" s="27" t="s">
        <v>50</v>
      </c>
      <c r="U311" s="27" t="s">
        <v>50</v>
      </c>
      <c r="V311" s="27" t="s">
        <v>50</v>
      </c>
      <c r="W311" s="27" t="s">
        <v>50</v>
      </c>
      <c r="X311" s="27" t="s">
        <v>50</v>
      </c>
    </row>
    <row r="312" spans="1:25" x14ac:dyDescent="0.25">
      <c r="A312" s="26">
        <v>43339</v>
      </c>
      <c r="B312" s="27" t="s">
        <v>43</v>
      </c>
      <c r="C312" s="27" t="s">
        <v>62</v>
      </c>
      <c r="D312" s="89">
        <v>38.179409999999997</v>
      </c>
      <c r="E312" s="89">
        <v>-122.00716</v>
      </c>
      <c r="F312" s="27" t="s">
        <v>6002</v>
      </c>
      <c r="G312" s="27" t="s">
        <v>27</v>
      </c>
      <c r="H312" s="27" t="s">
        <v>62</v>
      </c>
      <c r="I312" s="84">
        <v>0.4694444444444445</v>
      </c>
      <c r="J312" s="82">
        <v>7123.75</v>
      </c>
      <c r="K312" s="82">
        <v>19.75</v>
      </c>
      <c r="L312" s="82">
        <v>33.725000000000001</v>
      </c>
      <c r="M312" s="82">
        <v>0.50249999999999995</v>
      </c>
      <c r="N312" s="4">
        <v>5.4749999999999996</v>
      </c>
      <c r="O312" s="27" t="s">
        <v>48</v>
      </c>
      <c r="P312" s="27">
        <v>4</v>
      </c>
      <c r="Q312" s="27">
        <v>10</v>
      </c>
      <c r="R312" s="27" t="s">
        <v>64</v>
      </c>
      <c r="S312" s="27" t="s">
        <v>50</v>
      </c>
      <c r="T312" s="27" t="s">
        <v>50</v>
      </c>
      <c r="U312" s="27" t="s">
        <v>50</v>
      </c>
      <c r="V312" s="27" t="s">
        <v>50</v>
      </c>
      <c r="W312" s="27" t="s">
        <v>50</v>
      </c>
      <c r="X312" s="27" t="s">
        <v>50</v>
      </c>
    </row>
    <row r="313" spans="1:25" x14ac:dyDescent="0.25">
      <c r="A313" s="26">
        <v>43339</v>
      </c>
      <c r="B313" s="27" t="s">
        <v>43</v>
      </c>
      <c r="C313" s="27" t="s">
        <v>106</v>
      </c>
      <c r="D313" s="89">
        <v>38.560139999999997</v>
      </c>
      <c r="E313" s="89">
        <v>-121.56516000000001</v>
      </c>
      <c r="F313" s="27" t="s">
        <v>6003</v>
      </c>
      <c r="G313" s="27" t="s">
        <v>90</v>
      </c>
      <c r="H313" s="27" t="s">
        <v>1787</v>
      </c>
      <c r="I313" s="84">
        <v>0.3527777777777778</v>
      </c>
      <c r="J313" s="82">
        <v>990.25</v>
      </c>
      <c r="K313" s="82">
        <v>23.424999999999997</v>
      </c>
      <c r="L313" s="82">
        <v>7.625</v>
      </c>
      <c r="M313" s="82">
        <v>0.88250000000000006</v>
      </c>
      <c r="N313" s="4">
        <v>11.425000000000001</v>
      </c>
      <c r="O313" s="27" t="s">
        <v>48</v>
      </c>
      <c r="P313" s="27">
        <v>4</v>
      </c>
      <c r="Q313" s="27">
        <v>10</v>
      </c>
      <c r="R313" s="27" t="s">
        <v>64</v>
      </c>
      <c r="S313" s="27" t="s">
        <v>50</v>
      </c>
      <c r="T313" s="27" t="s">
        <v>50</v>
      </c>
      <c r="U313" s="27" t="s">
        <v>50</v>
      </c>
      <c r="V313" s="27" t="s">
        <v>50</v>
      </c>
      <c r="W313" s="27" t="s">
        <v>50</v>
      </c>
      <c r="X313" s="27" t="s">
        <v>50</v>
      </c>
    </row>
    <row r="314" spans="1:25" x14ac:dyDescent="0.25">
      <c r="A314" s="26">
        <v>43339</v>
      </c>
      <c r="B314" s="27" t="s">
        <v>43</v>
      </c>
      <c r="C314" s="27" t="s">
        <v>106</v>
      </c>
      <c r="D314" s="89">
        <v>38.43853</v>
      </c>
      <c r="E314" s="89">
        <v>-121.59941000000001</v>
      </c>
      <c r="F314" s="27" t="s">
        <v>6004</v>
      </c>
      <c r="G314" s="27" t="s">
        <v>90</v>
      </c>
      <c r="H314" s="27" t="s">
        <v>362</v>
      </c>
      <c r="I314" s="84">
        <v>0.41805555555555557</v>
      </c>
      <c r="J314" s="82">
        <v>625.5</v>
      </c>
      <c r="K314" s="82">
        <v>21.375</v>
      </c>
      <c r="L314" s="82">
        <v>51.075000000000003</v>
      </c>
      <c r="M314" s="82">
        <v>0.19750000000000001</v>
      </c>
      <c r="N314" s="4">
        <v>6.1999999999999993</v>
      </c>
      <c r="O314" s="27" t="s">
        <v>48</v>
      </c>
      <c r="P314" s="27">
        <v>4</v>
      </c>
      <c r="Q314" s="27">
        <v>10</v>
      </c>
      <c r="R314" s="27" t="s">
        <v>49</v>
      </c>
      <c r="S314" s="27" t="s">
        <v>50</v>
      </c>
      <c r="T314" s="27" t="s">
        <v>50</v>
      </c>
      <c r="U314" s="27" t="s">
        <v>50</v>
      </c>
      <c r="V314" s="27" t="s">
        <v>50</v>
      </c>
      <c r="W314" s="27" t="s">
        <v>50</v>
      </c>
      <c r="X314" s="27" t="s">
        <v>50</v>
      </c>
      <c r="Y314" s="35" t="s">
        <v>6005</v>
      </c>
    </row>
    <row r="315" spans="1:25" s="215" customFormat="1" x14ac:dyDescent="0.25">
      <c r="A315" s="495">
        <v>43339</v>
      </c>
      <c r="B315" s="494" t="s">
        <v>43</v>
      </c>
      <c r="C315" s="494" t="s">
        <v>106</v>
      </c>
      <c r="D315" s="496">
        <v>38.32891</v>
      </c>
      <c r="E315" s="496">
        <v>-121.64815</v>
      </c>
      <c r="F315" s="494" t="s">
        <v>6006</v>
      </c>
      <c r="G315" s="494" t="s">
        <v>90</v>
      </c>
      <c r="H315" s="494" t="s">
        <v>362</v>
      </c>
      <c r="I315" s="497">
        <v>0.52430555555555558</v>
      </c>
      <c r="J315" s="498">
        <v>318.47500000000002</v>
      </c>
      <c r="K315" s="498">
        <v>21.45</v>
      </c>
      <c r="L315" s="498">
        <v>29.25</v>
      </c>
      <c r="M315" s="498">
        <v>0.33</v>
      </c>
      <c r="N315" s="499">
        <v>4.7</v>
      </c>
      <c r="O315" s="494" t="s">
        <v>48</v>
      </c>
      <c r="P315" s="494">
        <v>4</v>
      </c>
      <c r="Q315" s="494">
        <v>10</v>
      </c>
      <c r="R315" s="494" t="s">
        <v>49</v>
      </c>
      <c r="S315" s="494" t="s">
        <v>323</v>
      </c>
      <c r="T315" s="501">
        <v>7</v>
      </c>
      <c r="U315" s="501" t="s">
        <v>3529</v>
      </c>
      <c r="V315" s="494" t="s">
        <v>66</v>
      </c>
      <c r="W315" s="494" t="s">
        <v>50</v>
      </c>
      <c r="X315" s="494" t="s">
        <v>50</v>
      </c>
      <c r="Y315" s="500" t="s">
        <v>6007</v>
      </c>
    </row>
    <row r="316" spans="1:25" x14ac:dyDescent="0.25">
      <c r="A316" s="26">
        <v>43340</v>
      </c>
      <c r="B316" s="27" t="s">
        <v>70</v>
      </c>
      <c r="C316" s="27" t="s">
        <v>106</v>
      </c>
      <c r="D316" s="89">
        <v>38.208170000000003</v>
      </c>
      <c r="E316" s="89">
        <v>-121.65742</v>
      </c>
      <c r="F316" s="27" t="s">
        <v>6008</v>
      </c>
      <c r="G316" s="27" t="s">
        <v>90</v>
      </c>
      <c r="H316" s="27" t="s">
        <v>362</v>
      </c>
      <c r="I316" s="84">
        <v>0.32291666666666669</v>
      </c>
      <c r="J316" s="82">
        <v>153.60000000000002</v>
      </c>
      <c r="K316" s="82">
        <v>20.575000000000003</v>
      </c>
      <c r="L316" s="82">
        <v>6.2200000000000006</v>
      </c>
      <c r="M316" s="82">
        <v>1.7249999999999999</v>
      </c>
      <c r="N316" s="4">
        <v>6.55</v>
      </c>
      <c r="O316" s="27" t="s">
        <v>48</v>
      </c>
      <c r="P316" s="27">
        <v>4</v>
      </c>
      <c r="Q316" s="27">
        <v>10</v>
      </c>
      <c r="R316" s="27" t="s">
        <v>49</v>
      </c>
      <c r="S316" s="27" t="s">
        <v>50</v>
      </c>
      <c r="T316" s="27" t="s">
        <v>50</v>
      </c>
      <c r="U316" s="27" t="s">
        <v>50</v>
      </c>
      <c r="V316" s="27" t="s">
        <v>50</v>
      </c>
      <c r="W316" s="27" t="s">
        <v>50</v>
      </c>
      <c r="X316" s="27" t="s">
        <v>50</v>
      </c>
    </row>
    <row r="317" spans="1:25" x14ac:dyDescent="0.25">
      <c r="A317" s="26">
        <v>43340</v>
      </c>
      <c r="B317" s="27" t="s">
        <v>70</v>
      </c>
      <c r="C317" s="27" t="s">
        <v>106</v>
      </c>
      <c r="D317" s="89">
        <v>38.186619999999998</v>
      </c>
      <c r="E317" s="89">
        <v>-121.65964</v>
      </c>
      <c r="F317" s="27" t="s">
        <v>6009</v>
      </c>
      <c r="G317" s="27" t="s">
        <v>90</v>
      </c>
      <c r="H317" s="27" t="s">
        <v>362</v>
      </c>
      <c r="I317" s="84">
        <v>0.37013888888888885</v>
      </c>
      <c r="J317" s="82">
        <v>154.22499999999999</v>
      </c>
      <c r="K317" s="82">
        <v>20.6</v>
      </c>
      <c r="L317" s="82">
        <v>7.9124999999999996</v>
      </c>
      <c r="M317" s="82">
        <v>1.4750000000000001</v>
      </c>
      <c r="N317" s="4">
        <v>19.100000000000001</v>
      </c>
      <c r="O317" s="27" t="s">
        <v>48</v>
      </c>
      <c r="P317" s="27">
        <v>4</v>
      </c>
      <c r="Q317" s="27">
        <v>10</v>
      </c>
      <c r="R317" s="27" t="s">
        <v>49</v>
      </c>
      <c r="S317" s="27" t="s">
        <v>50</v>
      </c>
      <c r="T317" s="27" t="s">
        <v>50</v>
      </c>
      <c r="U317" s="27" t="s">
        <v>50</v>
      </c>
      <c r="V317" s="27" t="s">
        <v>50</v>
      </c>
      <c r="W317" s="27" t="s">
        <v>50</v>
      </c>
      <c r="X317" s="27" t="s">
        <v>50</v>
      </c>
      <c r="Y317" s="35" t="s">
        <v>6010</v>
      </c>
    </row>
    <row r="318" spans="1:25" x14ac:dyDescent="0.25">
      <c r="A318" s="26">
        <v>43340</v>
      </c>
      <c r="B318" s="27" t="s">
        <v>70</v>
      </c>
      <c r="C318" s="27" t="s">
        <v>106</v>
      </c>
      <c r="D318" s="89">
        <v>38.18233</v>
      </c>
      <c r="E318" s="89">
        <v>-121.66434</v>
      </c>
      <c r="F318" s="27" t="s">
        <v>6011</v>
      </c>
      <c r="G318" s="27" t="s">
        <v>90</v>
      </c>
      <c r="H318" s="27" t="s">
        <v>362</v>
      </c>
      <c r="I318" s="84">
        <v>0.41805555555555557</v>
      </c>
      <c r="J318" s="82">
        <v>154.25</v>
      </c>
      <c r="K318" s="82">
        <v>20.5</v>
      </c>
      <c r="L318" s="82">
        <v>5.99</v>
      </c>
      <c r="M318" s="82">
        <v>1.7574999999999998</v>
      </c>
      <c r="N318" s="4">
        <v>18.274999999999999</v>
      </c>
      <c r="O318" s="27" t="s">
        <v>48</v>
      </c>
      <c r="P318" s="27">
        <v>4</v>
      </c>
      <c r="Q318" s="27">
        <v>10</v>
      </c>
      <c r="R318" s="27" t="s">
        <v>49</v>
      </c>
      <c r="S318" s="27" t="s">
        <v>50</v>
      </c>
      <c r="T318" s="27" t="s">
        <v>50</v>
      </c>
      <c r="U318" s="27" t="s">
        <v>50</v>
      </c>
      <c r="V318" s="27" t="s">
        <v>50</v>
      </c>
      <c r="W318" s="27" t="s">
        <v>50</v>
      </c>
      <c r="X318" s="27" t="s">
        <v>50</v>
      </c>
    </row>
    <row r="319" spans="1:25" x14ac:dyDescent="0.25">
      <c r="A319" s="26">
        <v>43340</v>
      </c>
      <c r="B319" s="27" t="s">
        <v>70</v>
      </c>
      <c r="C319" s="27" t="s">
        <v>88</v>
      </c>
      <c r="D319" s="89">
        <v>38.055190000000003</v>
      </c>
      <c r="E319" s="89">
        <v>-121.80652000000001</v>
      </c>
      <c r="F319" s="27" t="s">
        <v>6012</v>
      </c>
      <c r="G319" s="27" t="s">
        <v>27</v>
      </c>
      <c r="H319" s="27" t="s">
        <v>25</v>
      </c>
      <c r="I319" s="84">
        <v>0.32361111111111113</v>
      </c>
      <c r="J319" s="82">
        <v>4809</v>
      </c>
      <c r="K319" s="82">
        <v>19.600000000000001</v>
      </c>
      <c r="L319" s="82">
        <v>13.700000000000001</v>
      </c>
      <c r="M319" s="82">
        <v>0.70749999999999991</v>
      </c>
      <c r="N319" s="4">
        <v>7.9999999999999991</v>
      </c>
      <c r="O319" s="27" t="s">
        <v>48</v>
      </c>
      <c r="P319" s="27">
        <v>4</v>
      </c>
      <c r="Q319" s="27">
        <v>10</v>
      </c>
      <c r="R319" s="27" t="s">
        <v>49</v>
      </c>
      <c r="S319" s="27" t="s">
        <v>50</v>
      </c>
      <c r="T319" s="27" t="s">
        <v>50</v>
      </c>
      <c r="U319" s="27" t="s">
        <v>50</v>
      </c>
      <c r="V319" s="27" t="s">
        <v>50</v>
      </c>
      <c r="W319" s="27" t="s">
        <v>50</v>
      </c>
      <c r="X319" s="27" t="s">
        <v>50</v>
      </c>
    </row>
    <row r="320" spans="1:25" x14ac:dyDescent="0.25">
      <c r="A320" s="26">
        <v>43340</v>
      </c>
      <c r="B320" s="27" t="s">
        <v>70</v>
      </c>
      <c r="C320" s="27" t="s">
        <v>88</v>
      </c>
      <c r="D320" s="89">
        <v>38.060740000000003</v>
      </c>
      <c r="E320" s="89">
        <v>-121.79648</v>
      </c>
      <c r="F320" s="27" t="s">
        <v>6013</v>
      </c>
      <c r="G320" s="27" t="s">
        <v>27</v>
      </c>
      <c r="H320" s="27" t="s">
        <v>25</v>
      </c>
      <c r="I320" s="84">
        <v>0.37083333333333335</v>
      </c>
      <c r="J320" s="82">
        <v>2524.25</v>
      </c>
      <c r="K320" s="82">
        <v>19.924999999999997</v>
      </c>
      <c r="L320" s="82">
        <v>12.125</v>
      </c>
      <c r="M320" s="82">
        <v>0.71250000000000002</v>
      </c>
      <c r="N320" s="4">
        <v>9.8999999999999986</v>
      </c>
      <c r="O320" s="27" t="s">
        <v>48</v>
      </c>
      <c r="P320" s="27">
        <v>4</v>
      </c>
      <c r="Q320" s="27">
        <v>10</v>
      </c>
      <c r="R320" s="27" t="s">
        <v>49</v>
      </c>
      <c r="S320" s="27" t="s">
        <v>50</v>
      </c>
      <c r="T320" s="27" t="s">
        <v>50</v>
      </c>
      <c r="U320" s="27" t="s">
        <v>50</v>
      </c>
      <c r="V320" s="27" t="s">
        <v>50</v>
      </c>
      <c r="W320" s="27" t="s">
        <v>50</v>
      </c>
      <c r="X320" s="27" t="s">
        <v>50</v>
      </c>
    </row>
    <row r="321" spans="1:25" x14ac:dyDescent="0.25">
      <c r="A321" s="26">
        <v>43340</v>
      </c>
      <c r="B321" s="27" t="s">
        <v>70</v>
      </c>
      <c r="C321" s="27" t="s">
        <v>88</v>
      </c>
      <c r="D321" s="89">
        <v>38.092529999999996</v>
      </c>
      <c r="E321" s="89">
        <v>-121.7304</v>
      </c>
      <c r="F321" s="27" t="s">
        <v>6014</v>
      </c>
      <c r="G321" s="27" t="s">
        <v>90</v>
      </c>
      <c r="H321" s="27" t="s">
        <v>91</v>
      </c>
      <c r="I321" s="84">
        <v>0.42986111111111108</v>
      </c>
      <c r="J321" s="82">
        <v>290.70000000000005</v>
      </c>
      <c r="K321" s="82">
        <v>20.55</v>
      </c>
      <c r="L321" s="82">
        <v>7.4249999999999998</v>
      </c>
      <c r="M321" s="82">
        <v>1.1775</v>
      </c>
      <c r="N321" s="4">
        <v>4.875</v>
      </c>
      <c r="O321" s="27" t="s">
        <v>48</v>
      </c>
      <c r="P321" s="27">
        <v>4</v>
      </c>
      <c r="Q321" s="27">
        <v>10</v>
      </c>
      <c r="R321" s="27" t="s">
        <v>49</v>
      </c>
      <c r="S321" s="27" t="s">
        <v>50</v>
      </c>
      <c r="T321" s="27" t="s">
        <v>50</v>
      </c>
      <c r="U321" s="27" t="s">
        <v>50</v>
      </c>
      <c r="V321" s="27" t="s">
        <v>50</v>
      </c>
      <c r="W321" s="27" t="s">
        <v>50</v>
      </c>
      <c r="X321" s="27" t="s">
        <v>50</v>
      </c>
    </row>
    <row r="322" spans="1:25" x14ac:dyDescent="0.25">
      <c r="A322" s="26">
        <v>43340</v>
      </c>
      <c r="B322" s="27" t="s">
        <v>70</v>
      </c>
      <c r="C322" s="27" t="s">
        <v>62</v>
      </c>
      <c r="D322" s="89">
        <v>38.122079999999997</v>
      </c>
      <c r="E322" s="89">
        <v>-121.91401999999999</v>
      </c>
      <c r="F322" s="27" t="s">
        <v>6015</v>
      </c>
      <c r="G322" s="27" t="s">
        <v>27</v>
      </c>
      <c r="H322" s="27" t="s">
        <v>62</v>
      </c>
      <c r="I322" s="84">
        <v>0.33402777777777781</v>
      </c>
      <c r="J322" s="82">
        <v>6217.25</v>
      </c>
      <c r="K322" s="82">
        <v>19.45</v>
      </c>
      <c r="L322" s="82">
        <v>22.05</v>
      </c>
      <c r="M322" s="82">
        <v>0.83000000000000007</v>
      </c>
      <c r="N322" s="4">
        <v>8.65</v>
      </c>
      <c r="O322" s="27" t="s">
        <v>48</v>
      </c>
      <c r="P322" s="27">
        <v>4</v>
      </c>
      <c r="Q322" s="27">
        <v>10</v>
      </c>
      <c r="R322" s="27" t="s">
        <v>49</v>
      </c>
      <c r="S322" s="27" t="s">
        <v>50</v>
      </c>
      <c r="T322" s="27" t="s">
        <v>50</v>
      </c>
      <c r="U322" s="27" t="s">
        <v>50</v>
      </c>
      <c r="V322" s="27" t="s">
        <v>50</v>
      </c>
      <c r="W322" s="27" t="s">
        <v>50</v>
      </c>
      <c r="X322" s="27" t="s">
        <v>50</v>
      </c>
    </row>
    <row r="323" spans="1:25" x14ac:dyDescent="0.25">
      <c r="A323" s="26">
        <v>43340</v>
      </c>
      <c r="B323" s="27" t="s">
        <v>70</v>
      </c>
      <c r="C323" s="27" t="s">
        <v>62</v>
      </c>
      <c r="D323" s="89">
        <v>38.167000000000002</v>
      </c>
      <c r="E323" s="89">
        <v>-121.94096999999999</v>
      </c>
      <c r="F323" s="27" t="s">
        <v>6016</v>
      </c>
      <c r="G323" s="27" t="s">
        <v>27</v>
      </c>
      <c r="H323" s="27" t="s">
        <v>62</v>
      </c>
      <c r="I323" s="84">
        <v>0.38541666666666669</v>
      </c>
      <c r="J323" s="82">
        <v>7476.75</v>
      </c>
      <c r="K323" s="82">
        <v>19.5</v>
      </c>
      <c r="L323" s="82">
        <v>37.024999999999999</v>
      </c>
      <c r="M323" s="82">
        <v>0.55249999999999999</v>
      </c>
      <c r="N323" s="4">
        <v>7.0000000000000009</v>
      </c>
      <c r="O323" s="27" t="s">
        <v>48</v>
      </c>
      <c r="P323" s="27">
        <v>4</v>
      </c>
      <c r="Q323" s="27">
        <v>10</v>
      </c>
      <c r="R323" s="27" t="s">
        <v>49</v>
      </c>
      <c r="S323" s="27" t="s">
        <v>50</v>
      </c>
      <c r="T323" s="27" t="s">
        <v>50</v>
      </c>
      <c r="U323" s="27" t="s">
        <v>50</v>
      </c>
      <c r="V323" s="27" t="s">
        <v>50</v>
      </c>
      <c r="W323" s="27" t="s">
        <v>50</v>
      </c>
      <c r="X323" s="27" t="s">
        <v>50</v>
      </c>
    </row>
    <row r="324" spans="1:25" s="355" customFormat="1" x14ac:dyDescent="0.25">
      <c r="A324" s="354">
        <v>43340</v>
      </c>
      <c r="B324" s="355" t="s">
        <v>70</v>
      </c>
      <c r="C324" s="355" t="s">
        <v>62</v>
      </c>
      <c r="D324" s="356">
        <v>38.184339999999999</v>
      </c>
      <c r="E324" s="356">
        <v>-121.98493999999999</v>
      </c>
      <c r="F324" s="355" t="s">
        <v>6017</v>
      </c>
      <c r="G324" s="355" t="s">
        <v>27</v>
      </c>
      <c r="H324" s="355" t="s">
        <v>62</v>
      </c>
      <c r="I324" s="357">
        <v>0.44166666666666665</v>
      </c>
      <c r="J324" s="358">
        <v>6971.5</v>
      </c>
      <c r="K324" s="358">
        <v>19.575000000000003</v>
      </c>
      <c r="L324" s="358">
        <v>48.225000000000001</v>
      </c>
      <c r="M324" s="358">
        <v>0.56000000000000005</v>
      </c>
      <c r="N324" s="359">
        <v>4.3</v>
      </c>
      <c r="O324" s="355" t="s">
        <v>48</v>
      </c>
      <c r="P324" s="355">
        <v>4</v>
      </c>
      <c r="Q324" s="355">
        <v>10</v>
      </c>
      <c r="R324" s="355" t="s">
        <v>49</v>
      </c>
      <c r="S324" s="355" t="s">
        <v>31</v>
      </c>
      <c r="T324" s="355">
        <v>1</v>
      </c>
      <c r="U324" s="355">
        <v>49</v>
      </c>
      <c r="V324" s="355" t="s">
        <v>66</v>
      </c>
      <c r="W324" s="355" t="s">
        <v>50</v>
      </c>
      <c r="X324" s="355" t="s">
        <v>50</v>
      </c>
      <c r="Y324" s="371"/>
    </row>
    <row r="325" spans="1:25" x14ac:dyDescent="0.25">
      <c r="A325" s="26">
        <v>43341</v>
      </c>
      <c r="B325" s="27" t="s">
        <v>87</v>
      </c>
      <c r="C325" s="27" t="s">
        <v>95</v>
      </c>
      <c r="D325" s="89">
        <v>38.023600000000002</v>
      </c>
      <c r="E325" s="89">
        <v>-121.79915</v>
      </c>
      <c r="F325" s="27" t="s">
        <v>6018</v>
      </c>
      <c r="G325" s="27" t="s">
        <v>27</v>
      </c>
      <c r="H325" s="27" t="s">
        <v>863</v>
      </c>
      <c r="I325" s="84">
        <v>0.31736111111111115</v>
      </c>
      <c r="J325" s="82">
        <v>3396.5</v>
      </c>
      <c r="K325" s="82">
        <v>19.824999999999999</v>
      </c>
      <c r="L325" s="82">
        <v>9.5</v>
      </c>
      <c r="M325" s="82">
        <v>0.92</v>
      </c>
      <c r="N325" s="4">
        <v>11.025</v>
      </c>
      <c r="O325" s="27" t="s">
        <v>48</v>
      </c>
      <c r="P325" s="27">
        <v>4</v>
      </c>
      <c r="Q325" s="27">
        <v>10</v>
      </c>
      <c r="R325" s="27" t="s">
        <v>49</v>
      </c>
      <c r="S325" s="27" t="s">
        <v>50</v>
      </c>
      <c r="T325" s="27" t="s">
        <v>50</v>
      </c>
      <c r="U325" s="27" t="s">
        <v>50</v>
      </c>
      <c r="V325" s="27" t="s">
        <v>50</v>
      </c>
      <c r="W325" s="27" t="s">
        <v>50</v>
      </c>
      <c r="X325" s="27" t="s">
        <v>50</v>
      </c>
    </row>
    <row r="326" spans="1:25" x14ac:dyDescent="0.25">
      <c r="A326" s="26">
        <v>43341</v>
      </c>
      <c r="B326" s="27" t="s">
        <v>87</v>
      </c>
      <c r="C326" s="27" t="s">
        <v>95</v>
      </c>
      <c r="D326" s="89">
        <v>38.016069999999999</v>
      </c>
      <c r="E326" s="89">
        <v>-121.79057</v>
      </c>
      <c r="F326" s="27" t="s">
        <v>6019</v>
      </c>
      <c r="G326" s="27" t="s">
        <v>27</v>
      </c>
      <c r="H326" s="27" t="s">
        <v>863</v>
      </c>
      <c r="I326" s="84">
        <v>0.36388888888888887</v>
      </c>
      <c r="J326" s="82">
        <v>3436.75</v>
      </c>
      <c r="K326" s="82">
        <v>20.175000000000001</v>
      </c>
      <c r="L326" s="82">
        <v>10.574999999999999</v>
      </c>
      <c r="M326" s="82">
        <v>0.89749999999999996</v>
      </c>
      <c r="N326" s="4">
        <v>10.8</v>
      </c>
      <c r="O326" s="27" t="s">
        <v>48</v>
      </c>
      <c r="P326" s="27">
        <v>4</v>
      </c>
      <c r="Q326" s="27">
        <v>10</v>
      </c>
      <c r="R326" s="27" t="s">
        <v>49</v>
      </c>
      <c r="S326" s="27" t="s">
        <v>50</v>
      </c>
      <c r="T326" s="27" t="s">
        <v>50</v>
      </c>
      <c r="U326" s="27" t="s">
        <v>50</v>
      </c>
      <c r="V326" s="27" t="s">
        <v>50</v>
      </c>
      <c r="W326" s="27" t="s">
        <v>50</v>
      </c>
      <c r="X326" s="27" t="s">
        <v>50</v>
      </c>
    </row>
    <row r="327" spans="1:25" x14ac:dyDescent="0.25">
      <c r="A327" s="26">
        <v>43341</v>
      </c>
      <c r="B327" s="27" t="s">
        <v>87</v>
      </c>
      <c r="C327" s="27" t="s">
        <v>95</v>
      </c>
      <c r="D327" s="89">
        <v>38.019840000000002</v>
      </c>
      <c r="E327" s="89">
        <v>-121.74375999999999</v>
      </c>
      <c r="F327" s="27" t="s">
        <v>6020</v>
      </c>
      <c r="G327" s="27" t="s">
        <v>27</v>
      </c>
      <c r="H327" s="27" t="s">
        <v>863</v>
      </c>
      <c r="I327" s="84">
        <v>0.42152777777777778</v>
      </c>
      <c r="J327" s="82">
        <v>1682.25</v>
      </c>
      <c r="K327" s="82">
        <v>20.075000000000003</v>
      </c>
      <c r="L327" s="82">
        <v>5.2225000000000001</v>
      </c>
      <c r="M327" s="82">
        <v>1.5450000000000002</v>
      </c>
      <c r="N327" s="4">
        <v>3.3249999999999997</v>
      </c>
      <c r="O327" s="27" t="s">
        <v>48</v>
      </c>
      <c r="P327" s="27">
        <v>4</v>
      </c>
      <c r="Q327" s="27">
        <v>10</v>
      </c>
      <c r="R327" s="27" t="s">
        <v>49</v>
      </c>
      <c r="S327" s="27" t="s">
        <v>50</v>
      </c>
      <c r="T327" s="27" t="s">
        <v>50</v>
      </c>
      <c r="U327" s="27" t="s">
        <v>50</v>
      </c>
      <c r="V327" s="27" t="s">
        <v>50</v>
      </c>
      <c r="W327" s="27" t="s">
        <v>50</v>
      </c>
      <c r="X327" s="27" t="s">
        <v>50</v>
      </c>
    </row>
    <row r="328" spans="1:25" s="149" customFormat="1" x14ac:dyDescent="0.25">
      <c r="A328" s="178">
        <v>43341</v>
      </c>
      <c r="B328" s="149" t="s">
        <v>87</v>
      </c>
      <c r="C328" s="149" t="s">
        <v>845</v>
      </c>
      <c r="D328" s="150">
        <v>38.261090000000003</v>
      </c>
      <c r="E328" s="150">
        <v>-121.68735</v>
      </c>
      <c r="F328" s="149" t="s">
        <v>6021</v>
      </c>
      <c r="G328" s="149" t="s">
        <v>90</v>
      </c>
      <c r="H328" s="149" t="s">
        <v>126</v>
      </c>
      <c r="I328" s="151">
        <v>0.32777777777777778</v>
      </c>
      <c r="J328" s="197" t="s">
        <v>50</v>
      </c>
      <c r="K328" s="197" t="s">
        <v>50</v>
      </c>
      <c r="L328" s="197" t="s">
        <v>50</v>
      </c>
      <c r="M328" s="197" t="s">
        <v>50</v>
      </c>
      <c r="N328" s="197" t="s">
        <v>50</v>
      </c>
      <c r="O328" s="149" t="s">
        <v>48</v>
      </c>
      <c r="P328" s="149">
        <v>0</v>
      </c>
      <c r="Q328" s="149" t="s">
        <v>50</v>
      </c>
      <c r="R328" s="149" t="s">
        <v>50</v>
      </c>
      <c r="S328" s="149" t="s">
        <v>50</v>
      </c>
      <c r="T328" s="149" t="s">
        <v>50</v>
      </c>
      <c r="U328" s="149" t="s">
        <v>50</v>
      </c>
      <c r="V328" s="149" t="s">
        <v>50</v>
      </c>
      <c r="W328" s="149" t="s">
        <v>50</v>
      </c>
      <c r="X328" s="149" t="s">
        <v>50</v>
      </c>
      <c r="Y328" s="152" t="s">
        <v>4960</v>
      </c>
    </row>
    <row r="329" spans="1:25" s="149" customFormat="1" x14ac:dyDescent="0.25">
      <c r="A329" s="178">
        <v>43341</v>
      </c>
      <c r="B329" s="149" t="s">
        <v>87</v>
      </c>
      <c r="C329" s="149" t="s">
        <v>845</v>
      </c>
      <c r="D329" s="150">
        <v>38.281770000000002</v>
      </c>
      <c r="E329" s="150">
        <v>-121.68006</v>
      </c>
      <c r="F329" s="149" t="s">
        <v>6022</v>
      </c>
      <c r="G329" s="149" t="s">
        <v>90</v>
      </c>
      <c r="H329" s="149" t="s">
        <v>126</v>
      </c>
      <c r="I329" s="151">
        <v>0.32708333333333334</v>
      </c>
      <c r="J329" s="197" t="s">
        <v>50</v>
      </c>
      <c r="K329" s="197" t="s">
        <v>50</v>
      </c>
      <c r="L329" s="197" t="s">
        <v>50</v>
      </c>
      <c r="M329" s="197" t="s">
        <v>50</v>
      </c>
      <c r="N329" s="197" t="s">
        <v>50</v>
      </c>
      <c r="O329" s="149" t="s">
        <v>48</v>
      </c>
      <c r="P329" s="149">
        <v>0</v>
      </c>
      <c r="Q329" s="149" t="s">
        <v>50</v>
      </c>
      <c r="R329" s="149" t="s">
        <v>50</v>
      </c>
      <c r="S329" s="149" t="s">
        <v>50</v>
      </c>
      <c r="T329" s="149" t="s">
        <v>50</v>
      </c>
      <c r="U329" s="149" t="s">
        <v>50</v>
      </c>
      <c r="V329" s="149" t="s">
        <v>50</v>
      </c>
      <c r="W329" s="149" t="s">
        <v>50</v>
      </c>
      <c r="X329" s="149" t="s">
        <v>50</v>
      </c>
      <c r="Y329" s="152" t="s">
        <v>4960</v>
      </c>
    </row>
    <row r="330" spans="1:25" x14ac:dyDescent="0.25">
      <c r="A330" s="26">
        <v>43341</v>
      </c>
      <c r="B330" s="27" t="s">
        <v>87</v>
      </c>
      <c r="C330" s="27" t="s">
        <v>845</v>
      </c>
      <c r="D330" s="89">
        <v>38.296610000000001</v>
      </c>
      <c r="E330" s="89">
        <v>-121.72787</v>
      </c>
      <c r="F330" s="27" t="s">
        <v>6023</v>
      </c>
      <c r="G330" s="27" t="s">
        <v>90</v>
      </c>
      <c r="H330" s="27" t="s">
        <v>126</v>
      </c>
      <c r="I330" s="84">
        <v>0.32847222222222222</v>
      </c>
      <c r="J330" s="82">
        <v>157.94999999999999</v>
      </c>
      <c r="K330" s="82">
        <v>19.399999999999999</v>
      </c>
      <c r="L330" s="82">
        <v>2.0925000000000002</v>
      </c>
      <c r="M330" s="82" t="s">
        <v>5829</v>
      </c>
      <c r="N330" s="4">
        <v>3.0750000000000002</v>
      </c>
      <c r="O330" s="27" t="s">
        <v>48</v>
      </c>
      <c r="P330" s="27">
        <v>4</v>
      </c>
      <c r="Q330" s="27">
        <v>10</v>
      </c>
      <c r="R330" s="27" t="s">
        <v>49</v>
      </c>
      <c r="S330" s="27" t="s">
        <v>50</v>
      </c>
      <c r="T330" s="27" t="s">
        <v>50</v>
      </c>
      <c r="U330" s="27" t="s">
        <v>50</v>
      </c>
      <c r="V330" s="27" t="s">
        <v>50</v>
      </c>
      <c r="W330" s="27" t="s">
        <v>50</v>
      </c>
      <c r="X330" s="27" t="s">
        <v>50</v>
      </c>
      <c r="Y330" s="35" t="s">
        <v>6024</v>
      </c>
    </row>
    <row r="331" spans="1:25" x14ac:dyDescent="0.25">
      <c r="A331" s="26">
        <v>43341</v>
      </c>
      <c r="B331" s="27" t="s">
        <v>87</v>
      </c>
      <c r="C331" s="27" t="s">
        <v>845</v>
      </c>
      <c r="D331" s="89">
        <v>38.300139999999999</v>
      </c>
      <c r="E331" s="89">
        <v>-121.6925</v>
      </c>
      <c r="F331" s="27" t="s">
        <v>6025</v>
      </c>
      <c r="G331" s="27" t="s">
        <v>90</v>
      </c>
      <c r="H331" s="27" t="s">
        <v>126</v>
      </c>
      <c r="I331" s="84">
        <v>0.40208333333333335</v>
      </c>
      <c r="J331" s="82">
        <v>206.3</v>
      </c>
      <c r="K331" s="82">
        <v>20.25</v>
      </c>
      <c r="L331" s="82">
        <v>3.4525000000000001</v>
      </c>
      <c r="M331" s="82">
        <v>1.6074999999999999</v>
      </c>
      <c r="N331" s="4">
        <v>5.6</v>
      </c>
      <c r="O331" s="27" t="s">
        <v>48</v>
      </c>
      <c r="P331" s="27">
        <v>4</v>
      </c>
      <c r="Q331" s="27">
        <v>10</v>
      </c>
      <c r="R331" s="27" t="s">
        <v>49</v>
      </c>
      <c r="S331" s="27" t="s">
        <v>50</v>
      </c>
      <c r="T331" s="27" t="s">
        <v>50</v>
      </c>
      <c r="U331" s="27" t="s">
        <v>50</v>
      </c>
      <c r="V331" s="27" t="s">
        <v>50</v>
      </c>
      <c r="W331" s="27" t="s">
        <v>50</v>
      </c>
      <c r="X331" s="27" t="s">
        <v>50</v>
      </c>
      <c r="Y331" s="35" t="s">
        <v>6026</v>
      </c>
    </row>
    <row r="332" spans="1:25" x14ac:dyDescent="0.25">
      <c r="A332" s="26">
        <v>43341</v>
      </c>
      <c r="B332" s="27" t="s">
        <v>87</v>
      </c>
      <c r="C332" s="27" t="s">
        <v>845</v>
      </c>
      <c r="D332" s="89">
        <v>38.265920000000001</v>
      </c>
      <c r="E332" s="89">
        <v>-121.69177999999999</v>
      </c>
      <c r="F332" s="27" t="s">
        <v>6027</v>
      </c>
      <c r="G332" s="27" t="s">
        <v>90</v>
      </c>
      <c r="H332" s="27" t="s">
        <v>126</v>
      </c>
      <c r="I332" s="84">
        <v>0.45694444444444443</v>
      </c>
      <c r="J332" s="82">
        <v>155.05000000000001</v>
      </c>
      <c r="K332" s="82">
        <v>19.725000000000001</v>
      </c>
      <c r="L332" s="82">
        <v>2.6599999999999997</v>
      </c>
      <c r="M332" s="82" t="s">
        <v>5829</v>
      </c>
      <c r="N332" s="4">
        <v>5.2</v>
      </c>
      <c r="O332" s="27" t="s">
        <v>48</v>
      </c>
      <c r="P332" s="27">
        <v>4</v>
      </c>
      <c r="Q332" s="27">
        <v>10</v>
      </c>
      <c r="R332" s="27" t="s">
        <v>49</v>
      </c>
      <c r="S332" s="27" t="s">
        <v>50</v>
      </c>
      <c r="T332" s="27" t="s">
        <v>50</v>
      </c>
      <c r="U332" s="27" t="s">
        <v>50</v>
      </c>
      <c r="V332" s="27" t="s">
        <v>50</v>
      </c>
      <c r="W332" s="27" t="s">
        <v>50</v>
      </c>
      <c r="X332" s="27" t="s">
        <v>50</v>
      </c>
      <c r="Y332" s="35" t="s">
        <v>6028</v>
      </c>
    </row>
    <row r="333" spans="1:25" x14ac:dyDescent="0.25">
      <c r="A333" s="26">
        <v>43341</v>
      </c>
      <c r="B333" s="27" t="s">
        <v>87</v>
      </c>
      <c r="C333" s="27" t="s">
        <v>78</v>
      </c>
      <c r="D333" s="89">
        <v>38.03969</v>
      </c>
      <c r="E333" s="89">
        <v>-122.13709</v>
      </c>
      <c r="F333" s="27" t="s">
        <v>6029</v>
      </c>
      <c r="G333" s="27" t="s">
        <v>80</v>
      </c>
      <c r="H333" s="27" t="s">
        <v>81</v>
      </c>
      <c r="I333" s="84">
        <v>0.34236111111111112</v>
      </c>
      <c r="J333" s="82">
        <v>24853.75</v>
      </c>
      <c r="K333" s="82">
        <v>18.8</v>
      </c>
      <c r="L333" s="82">
        <v>71.125</v>
      </c>
      <c r="M333" s="82">
        <v>0.42499999999999993</v>
      </c>
      <c r="N333" s="4">
        <v>12.85</v>
      </c>
      <c r="O333" s="27" t="s">
        <v>48</v>
      </c>
      <c r="P333" s="27">
        <v>4</v>
      </c>
      <c r="Q333" s="27">
        <v>10</v>
      </c>
      <c r="R333" s="27" t="s">
        <v>49</v>
      </c>
      <c r="S333" s="27" t="s">
        <v>50</v>
      </c>
      <c r="T333" s="27" t="s">
        <v>50</v>
      </c>
      <c r="U333" s="27" t="s">
        <v>50</v>
      </c>
      <c r="V333" s="27" t="s">
        <v>50</v>
      </c>
      <c r="W333" s="27" t="s">
        <v>50</v>
      </c>
      <c r="X333" s="27" t="s">
        <v>50</v>
      </c>
    </row>
    <row r="334" spans="1:25" x14ac:dyDescent="0.25">
      <c r="A334" s="26">
        <v>43341</v>
      </c>
      <c r="B334" s="27" t="s">
        <v>87</v>
      </c>
      <c r="C334" s="27" t="s">
        <v>78</v>
      </c>
      <c r="D334" s="89">
        <v>38.064880000000002</v>
      </c>
      <c r="E334" s="89">
        <v>-122.03968999999999</v>
      </c>
      <c r="F334" s="27" t="s">
        <v>6030</v>
      </c>
      <c r="G334" s="27" t="s">
        <v>27</v>
      </c>
      <c r="H334" s="27" t="s">
        <v>86</v>
      </c>
      <c r="I334" s="84">
        <v>0.39999999999999997</v>
      </c>
      <c r="J334" s="82">
        <v>16003</v>
      </c>
      <c r="K334" s="82">
        <v>19.324999999999999</v>
      </c>
      <c r="L334" s="82">
        <v>36.700000000000003</v>
      </c>
      <c r="M334" s="82">
        <v>0.55249999999999999</v>
      </c>
      <c r="N334" s="4">
        <v>9.125</v>
      </c>
      <c r="O334" s="27" t="s">
        <v>48</v>
      </c>
      <c r="P334" s="27">
        <v>4</v>
      </c>
      <c r="Q334" s="27">
        <v>10</v>
      </c>
      <c r="R334" s="27" t="s">
        <v>49</v>
      </c>
      <c r="S334" s="27" t="s">
        <v>50</v>
      </c>
      <c r="T334" s="27" t="s">
        <v>50</v>
      </c>
      <c r="U334" s="27" t="s">
        <v>50</v>
      </c>
      <c r="V334" s="27" t="s">
        <v>50</v>
      </c>
      <c r="W334" s="27" t="s">
        <v>50</v>
      </c>
      <c r="X334" s="27" t="s">
        <v>50</v>
      </c>
    </row>
    <row r="335" spans="1:25" x14ac:dyDescent="0.25">
      <c r="A335" s="26">
        <v>43341</v>
      </c>
      <c r="B335" s="27" t="s">
        <v>87</v>
      </c>
      <c r="C335" s="27" t="s">
        <v>78</v>
      </c>
      <c r="D335" s="89">
        <v>38.065600000000003</v>
      </c>
      <c r="E335" s="89">
        <v>-121.97911000000001</v>
      </c>
      <c r="F335" s="27" t="s">
        <v>6031</v>
      </c>
      <c r="G335" s="27" t="s">
        <v>27</v>
      </c>
      <c r="H335" s="27" t="s">
        <v>86</v>
      </c>
      <c r="I335" s="84">
        <v>0.46111111111111108</v>
      </c>
      <c r="J335" s="82">
        <v>11736</v>
      </c>
      <c r="K335" s="82">
        <v>19.625</v>
      </c>
      <c r="L335" s="82">
        <v>35.5</v>
      </c>
      <c r="M335" s="82">
        <v>0.51249999999999996</v>
      </c>
      <c r="N335" s="4">
        <v>4.6750000000000007</v>
      </c>
      <c r="O335" s="27" t="s">
        <v>48</v>
      </c>
      <c r="P335" s="27">
        <v>4</v>
      </c>
      <c r="Q335" s="27">
        <v>10</v>
      </c>
      <c r="R335" s="27" t="s">
        <v>49</v>
      </c>
      <c r="S335" s="27" t="s">
        <v>50</v>
      </c>
      <c r="T335" s="27" t="s">
        <v>50</v>
      </c>
      <c r="U335" s="27" t="s">
        <v>50</v>
      </c>
      <c r="V335" s="27" t="s">
        <v>50</v>
      </c>
      <c r="W335" s="27" t="s">
        <v>50</v>
      </c>
      <c r="X335" s="27" t="s">
        <v>50</v>
      </c>
    </row>
    <row r="336" spans="1:25" x14ac:dyDescent="0.25">
      <c r="A336" s="26">
        <v>43342</v>
      </c>
      <c r="B336" s="27" t="s">
        <v>105</v>
      </c>
      <c r="C336" s="27" t="s">
        <v>845</v>
      </c>
      <c r="D336" s="89">
        <v>38.302430000000001</v>
      </c>
      <c r="E336" s="89">
        <v>-121.65831</v>
      </c>
      <c r="F336" s="27" t="s">
        <v>6032</v>
      </c>
      <c r="G336" s="27" t="s">
        <v>90</v>
      </c>
      <c r="H336" s="27" t="s">
        <v>126</v>
      </c>
      <c r="I336" s="84">
        <v>0.34097222222222223</v>
      </c>
      <c r="J336" s="82">
        <v>160.375</v>
      </c>
      <c r="K336" s="82">
        <v>19.7</v>
      </c>
      <c r="L336" s="82">
        <v>11.254999999999999</v>
      </c>
      <c r="M336" s="82">
        <v>1.2275</v>
      </c>
      <c r="N336" s="4">
        <v>5.1749999999999998</v>
      </c>
      <c r="O336" s="27" t="s">
        <v>48</v>
      </c>
      <c r="P336" s="27">
        <v>4</v>
      </c>
      <c r="Q336" s="27">
        <v>10</v>
      </c>
      <c r="R336" s="27" t="s">
        <v>64</v>
      </c>
      <c r="S336" s="27" t="s">
        <v>50</v>
      </c>
      <c r="T336" s="27" t="s">
        <v>50</v>
      </c>
      <c r="U336" s="27" t="s">
        <v>50</v>
      </c>
      <c r="V336" s="27" t="s">
        <v>50</v>
      </c>
      <c r="W336" s="27" t="s">
        <v>50</v>
      </c>
      <c r="X336" s="27" t="s">
        <v>50</v>
      </c>
    </row>
    <row r="337" spans="1:25" x14ac:dyDescent="0.25">
      <c r="A337" s="26">
        <v>43342</v>
      </c>
      <c r="B337" s="27" t="s">
        <v>105</v>
      </c>
      <c r="C337" s="27" t="s">
        <v>845</v>
      </c>
      <c r="D337" s="89">
        <v>38.251779999999997</v>
      </c>
      <c r="E337" s="89">
        <v>-121.68773</v>
      </c>
      <c r="F337" s="27" t="s">
        <v>6033</v>
      </c>
      <c r="G337" s="27" t="s">
        <v>90</v>
      </c>
      <c r="H337" s="27" t="s">
        <v>126</v>
      </c>
      <c r="I337" s="84">
        <v>0.39374999999999999</v>
      </c>
      <c r="J337" s="82">
        <v>157.30000000000001</v>
      </c>
      <c r="K337" s="82">
        <v>20.100000000000001</v>
      </c>
      <c r="L337" s="82">
        <v>5.7874999999999996</v>
      </c>
      <c r="M337" s="82" t="s">
        <v>5829</v>
      </c>
      <c r="N337" s="4">
        <v>7</v>
      </c>
      <c r="O337" s="27" t="s">
        <v>48</v>
      </c>
      <c r="P337" s="27">
        <v>4</v>
      </c>
      <c r="Q337" s="27">
        <v>10</v>
      </c>
      <c r="R337" s="27" t="s">
        <v>49</v>
      </c>
      <c r="S337" s="27" t="s">
        <v>50</v>
      </c>
      <c r="T337" s="27" t="s">
        <v>50</v>
      </c>
      <c r="U337" s="27" t="s">
        <v>50</v>
      </c>
      <c r="V337" s="27" t="s">
        <v>50</v>
      </c>
      <c r="W337" s="27" t="s">
        <v>50</v>
      </c>
      <c r="X337" s="27" t="s">
        <v>50</v>
      </c>
    </row>
    <row r="338" spans="1:25" x14ac:dyDescent="0.25">
      <c r="A338" s="26">
        <v>43342</v>
      </c>
      <c r="B338" s="27" t="s">
        <v>105</v>
      </c>
      <c r="C338" s="27" t="s">
        <v>845</v>
      </c>
      <c r="D338" s="89">
        <v>38.24644</v>
      </c>
      <c r="E338" s="89">
        <v>-121.69632</v>
      </c>
      <c r="F338" s="27" t="s">
        <v>6034</v>
      </c>
      <c r="G338" s="27" t="s">
        <v>90</v>
      </c>
      <c r="H338" s="27" t="s">
        <v>126</v>
      </c>
      <c r="I338" s="84">
        <v>0.44027777777777777</v>
      </c>
      <c r="J338" s="82">
        <v>160.6</v>
      </c>
      <c r="K338" s="82">
        <v>19.899999999999999</v>
      </c>
      <c r="L338" s="82">
        <v>4.8250000000000002</v>
      </c>
      <c r="M338" s="82" t="s">
        <v>5829</v>
      </c>
      <c r="N338" s="4">
        <v>4.1500000000000004</v>
      </c>
      <c r="O338" s="27" t="s">
        <v>48</v>
      </c>
      <c r="P338" s="27">
        <v>2</v>
      </c>
      <c r="Q338" s="27">
        <v>10</v>
      </c>
      <c r="R338" s="27" t="s">
        <v>49</v>
      </c>
      <c r="S338" s="27" t="s">
        <v>50</v>
      </c>
      <c r="T338" s="27" t="s">
        <v>50</v>
      </c>
      <c r="U338" s="27" t="s">
        <v>50</v>
      </c>
      <c r="V338" s="27" t="s">
        <v>50</v>
      </c>
      <c r="W338" s="27" t="s">
        <v>50</v>
      </c>
      <c r="X338" s="27" t="s">
        <v>50</v>
      </c>
      <c r="Y338" s="35" t="s">
        <v>6035</v>
      </c>
    </row>
    <row r="339" spans="1:25" x14ac:dyDescent="0.25">
      <c r="A339" s="26">
        <v>43342</v>
      </c>
      <c r="B339" s="27" t="s">
        <v>105</v>
      </c>
      <c r="C339" s="27" t="s">
        <v>95</v>
      </c>
      <c r="D339" s="89">
        <v>38.059939999999997</v>
      </c>
      <c r="E339" s="89">
        <v>-121.68643</v>
      </c>
      <c r="F339" s="27" t="s">
        <v>6036</v>
      </c>
      <c r="G339" s="27" t="s">
        <v>46</v>
      </c>
      <c r="H339" s="27" t="s">
        <v>908</v>
      </c>
      <c r="I339" s="84">
        <v>0.39861111111111108</v>
      </c>
      <c r="J339" s="82">
        <v>1328.75</v>
      </c>
      <c r="K339" s="82">
        <v>20.55</v>
      </c>
      <c r="L339" s="82">
        <v>9.7074999999999996</v>
      </c>
      <c r="M339" s="82">
        <v>1.08</v>
      </c>
      <c r="N339" s="4">
        <v>4.125</v>
      </c>
      <c r="O339" s="27" t="s">
        <v>48</v>
      </c>
      <c r="P339" s="27">
        <v>4</v>
      </c>
      <c r="Q339" s="27">
        <v>10</v>
      </c>
      <c r="R339" s="27" t="s">
        <v>49</v>
      </c>
      <c r="S339" s="27" t="s">
        <v>50</v>
      </c>
      <c r="T339" s="27" t="s">
        <v>50</v>
      </c>
      <c r="U339" s="27" t="s">
        <v>50</v>
      </c>
      <c r="V339" s="27" t="s">
        <v>50</v>
      </c>
      <c r="W339" s="27" t="s">
        <v>50</v>
      </c>
      <c r="X339" s="27" t="s">
        <v>50</v>
      </c>
      <c r="Y339" s="35" t="s">
        <v>386</v>
      </c>
    </row>
    <row r="340" spans="1:25" x14ac:dyDescent="0.25">
      <c r="A340" s="26">
        <v>43342</v>
      </c>
      <c r="B340" s="27" t="s">
        <v>105</v>
      </c>
      <c r="C340" s="27" t="s">
        <v>95</v>
      </c>
      <c r="D340" s="89">
        <v>38.042200000000001</v>
      </c>
      <c r="E340" s="89">
        <v>-121.7042</v>
      </c>
      <c r="F340" s="27" t="s">
        <v>6037</v>
      </c>
      <c r="G340" s="27" t="s">
        <v>27</v>
      </c>
      <c r="H340" s="27" t="s">
        <v>863</v>
      </c>
      <c r="I340" s="84">
        <v>0.34027777777777773</v>
      </c>
      <c r="J340" s="82">
        <v>1973.75</v>
      </c>
      <c r="K340" s="82">
        <v>20.325000000000003</v>
      </c>
      <c r="L340" s="82">
        <v>7.6550000000000002</v>
      </c>
      <c r="M340" s="82">
        <v>1.1299999999999999</v>
      </c>
      <c r="N340" s="4">
        <v>6.125</v>
      </c>
      <c r="O340" s="27" t="s">
        <v>48</v>
      </c>
      <c r="P340" s="27">
        <v>4</v>
      </c>
      <c r="Q340" s="27">
        <v>10</v>
      </c>
      <c r="R340" s="27" t="s">
        <v>49</v>
      </c>
      <c r="S340" s="27" t="s">
        <v>50</v>
      </c>
      <c r="T340" s="27" t="s">
        <v>50</v>
      </c>
      <c r="U340" s="27" t="s">
        <v>50</v>
      </c>
      <c r="V340" s="27" t="s">
        <v>50</v>
      </c>
      <c r="W340" s="27" t="s">
        <v>50</v>
      </c>
      <c r="X340" s="27" t="s">
        <v>50</v>
      </c>
      <c r="Y340" s="35" t="s">
        <v>6026</v>
      </c>
    </row>
    <row r="341" spans="1:25" x14ac:dyDescent="0.25">
      <c r="A341" s="26">
        <v>43342</v>
      </c>
      <c r="B341" s="27" t="s">
        <v>105</v>
      </c>
      <c r="C341" s="27" t="s">
        <v>95</v>
      </c>
      <c r="D341" s="89">
        <v>38.057130000000001</v>
      </c>
      <c r="E341" s="89">
        <v>-121.53464</v>
      </c>
      <c r="F341" s="27" t="s">
        <v>6038</v>
      </c>
      <c r="G341" s="27" t="s">
        <v>46</v>
      </c>
      <c r="H341" s="27" t="s">
        <v>115</v>
      </c>
      <c r="I341" s="84">
        <v>0.4604166666666667</v>
      </c>
      <c r="J341" s="82">
        <v>282.95</v>
      </c>
      <c r="K341" s="82">
        <v>21.549999999999997</v>
      </c>
      <c r="L341" s="82">
        <v>6.9575000000000005</v>
      </c>
      <c r="M341" s="82">
        <v>1.3374999999999999</v>
      </c>
      <c r="N341" s="4">
        <v>9</v>
      </c>
      <c r="O341" s="27" t="s">
        <v>48</v>
      </c>
      <c r="P341" s="27">
        <v>4</v>
      </c>
      <c r="Q341" s="27">
        <v>10</v>
      </c>
      <c r="R341" s="27" t="s">
        <v>49</v>
      </c>
      <c r="S341" s="27" t="s">
        <v>50</v>
      </c>
      <c r="T341" s="27" t="s">
        <v>50</v>
      </c>
      <c r="U341" s="27" t="s">
        <v>50</v>
      </c>
      <c r="V341" s="27" t="s">
        <v>50</v>
      </c>
      <c r="W341" s="27" t="s">
        <v>50</v>
      </c>
      <c r="X341" s="27" t="s">
        <v>50</v>
      </c>
    </row>
    <row r="342" spans="1:25" x14ac:dyDescent="0.25">
      <c r="A342" s="26">
        <v>43342</v>
      </c>
      <c r="B342" s="27" t="s">
        <v>105</v>
      </c>
      <c r="C342" s="27" t="s">
        <v>78</v>
      </c>
      <c r="D342" s="89">
        <v>38.054200000000002</v>
      </c>
      <c r="E342" s="89">
        <v>-121.94355</v>
      </c>
      <c r="F342" s="27" t="s">
        <v>6039</v>
      </c>
      <c r="G342" s="27" t="s">
        <v>27</v>
      </c>
      <c r="H342" s="27" t="s">
        <v>170</v>
      </c>
      <c r="I342" s="84">
        <v>0.34652777777777777</v>
      </c>
      <c r="J342" s="82">
        <v>11891.5</v>
      </c>
      <c r="K342" s="82">
        <v>19.600000000000001</v>
      </c>
      <c r="L342" s="82">
        <v>16.8</v>
      </c>
      <c r="M342" s="82">
        <v>0.84749999999999992</v>
      </c>
      <c r="N342" s="4">
        <v>12.299999999999999</v>
      </c>
      <c r="O342" s="27" t="s">
        <v>48</v>
      </c>
      <c r="P342" s="27">
        <v>4</v>
      </c>
      <c r="Q342" s="27">
        <v>10</v>
      </c>
      <c r="R342" s="27" t="s">
        <v>49</v>
      </c>
      <c r="S342" s="27" t="s">
        <v>50</v>
      </c>
      <c r="T342" s="27" t="s">
        <v>50</v>
      </c>
      <c r="U342" s="27" t="s">
        <v>50</v>
      </c>
      <c r="V342" s="27" t="s">
        <v>50</v>
      </c>
      <c r="W342" s="27" t="s">
        <v>50</v>
      </c>
      <c r="X342" s="27" t="s">
        <v>50</v>
      </c>
    </row>
    <row r="343" spans="1:25" x14ac:dyDescent="0.25">
      <c r="A343" s="26">
        <v>43342</v>
      </c>
      <c r="B343" s="27" t="s">
        <v>105</v>
      </c>
      <c r="C343" s="27" t="s">
        <v>78</v>
      </c>
      <c r="D343" s="89">
        <v>38.052289999999999</v>
      </c>
      <c r="E343" s="89">
        <v>-121.89270999999999</v>
      </c>
      <c r="F343" s="27" t="s">
        <v>6040</v>
      </c>
      <c r="G343" s="27" t="s">
        <v>27</v>
      </c>
      <c r="H343" s="27" t="s">
        <v>101</v>
      </c>
      <c r="I343" s="84">
        <v>0.39583333333333331</v>
      </c>
      <c r="J343" s="82">
        <v>9707.25</v>
      </c>
      <c r="K343" s="82">
        <v>19.75</v>
      </c>
      <c r="L343" s="82">
        <v>53.625</v>
      </c>
      <c r="M343" s="82">
        <v>0.46249999999999997</v>
      </c>
      <c r="N343" s="4">
        <v>6.875</v>
      </c>
      <c r="O343" s="27" t="s">
        <v>48</v>
      </c>
      <c r="P343" s="27">
        <v>4</v>
      </c>
      <c r="Q343" s="27">
        <v>10</v>
      </c>
      <c r="R343" s="27" t="s">
        <v>49</v>
      </c>
      <c r="S343" s="27" t="s">
        <v>50</v>
      </c>
      <c r="T343" s="27" t="s">
        <v>50</v>
      </c>
      <c r="U343" s="27" t="s">
        <v>50</v>
      </c>
      <c r="V343" s="27" t="s">
        <v>50</v>
      </c>
      <c r="W343" s="27" t="s">
        <v>50</v>
      </c>
      <c r="X343" s="27" t="s">
        <v>50</v>
      </c>
    </row>
    <row r="344" spans="1:25" s="361" customFormat="1" x14ac:dyDescent="0.25">
      <c r="A344" s="360">
        <v>43342</v>
      </c>
      <c r="B344" s="361" t="s">
        <v>105</v>
      </c>
      <c r="C344" s="361" t="s">
        <v>78</v>
      </c>
      <c r="D344" s="362">
        <v>38.028939999999999</v>
      </c>
      <c r="E344" s="362">
        <v>-121.84896999999999</v>
      </c>
      <c r="F344" s="361" t="s">
        <v>6041</v>
      </c>
      <c r="G344" s="361" t="s">
        <v>27</v>
      </c>
      <c r="H344" s="361" t="s">
        <v>101</v>
      </c>
      <c r="I344" s="363">
        <v>0.44791666666666669</v>
      </c>
      <c r="J344" s="364">
        <v>4170</v>
      </c>
      <c r="K344" s="364">
        <v>20.05</v>
      </c>
      <c r="L344" s="364">
        <v>29.349999999999998</v>
      </c>
      <c r="M344" s="364">
        <v>0.85499999999999998</v>
      </c>
      <c r="N344" s="365">
        <v>14.024999999999999</v>
      </c>
      <c r="O344" s="361" t="s">
        <v>48</v>
      </c>
      <c r="P344" s="361">
        <v>4</v>
      </c>
      <c r="Q344" s="361">
        <v>10</v>
      </c>
      <c r="R344" s="361" t="s">
        <v>49</v>
      </c>
      <c r="S344" s="361" t="s">
        <v>50</v>
      </c>
      <c r="T344" s="361" t="s">
        <v>50</v>
      </c>
      <c r="U344" s="361" t="s">
        <v>50</v>
      </c>
      <c r="V344" s="361" t="s">
        <v>50</v>
      </c>
      <c r="W344" s="361" t="s">
        <v>50</v>
      </c>
      <c r="X344" s="361" t="s">
        <v>50</v>
      </c>
      <c r="Y344" s="366"/>
    </row>
    <row r="345" spans="1:25" x14ac:dyDescent="0.25">
      <c r="A345" s="26">
        <v>43347</v>
      </c>
      <c r="B345" s="27" t="s">
        <v>70</v>
      </c>
      <c r="C345" s="27" t="s">
        <v>88</v>
      </c>
      <c r="D345" s="89">
        <v>38.065570000000001</v>
      </c>
      <c r="E345" s="89">
        <v>-121.78892</v>
      </c>
      <c r="F345" s="27" t="s">
        <v>6042</v>
      </c>
      <c r="G345" s="27" t="s">
        <v>27</v>
      </c>
      <c r="H345" s="27" t="s">
        <v>25</v>
      </c>
      <c r="I345" s="84">
        <v>0.38125000000000003</v>
      </c>
      <c r="J345" s="82">
        <v>516.625</v>
      </c>
      <c r="K345" s="82">
        <v>20.349999999999998</v>
      </c>
      <c r="L345" s="82">
        <v>13.15</v>
      </c>
      <c r="M345" s="82">
        <v>0.78999999999999992</v>
      </c>
      <c r="N345" s="4">
        <v>10.7</v>
      </c>
      <c r="O345" s="27" t="s">
        <v>48</v>
      </c>
      <c r="P345" s="27">
        <v>4</v>
      </c>
      <c r="Q345" s="27">
        <v>10</v>
      </c>
      <c r="R345" s="27" t="s">
        <v>64</v>
      </c>
      <c r="S345" s="27" t="s">
        <v>50</v>
      </c>
      <c r="T345" s="27" t="s">
        <v>50</v>
      </c>
      <c r="U345" s="27" t="s">
        <v>50</v>
      </c>
      <c r="V345" s="27" t="s">
        <v>50</v>
      </c>
      <c r="W345" s="27" t="s">
        <v>50</v>
      </c>
      <c r="X345" s="27" t="s">
        <v>50</v>
      </c>
    </row>
    <row r="346" spans="1:25" x14ac:dyDescent="0.25">
      <c r="A346" s="26">
        <v>43347</v>
      </c>
      <c r="B346" s="27" t="s">
        <v>70</v>
      </c>
      <c r="C346" s="27" t="s">
        <v>88</v>
      </c>
      <c r="D346" s="89">
        <v>38.083199999999998</v>
      </c>
      <c r="E346" s="89">
        <v>-121.75019</v>
      </c>
      <c r="F346" s="27" t="s">
        <v>6043</v>
      </c>
      <c r="G346" s="27" t="s">
        <v>27</v>
      </c>
      <c r="H346" s="27" t="s">
        <v>25</v>
      </c>
      <c r="I346" s="84">
        <v>0.42986111111111108</v>
      </c>
      <c r="J346" s="82">
        <v>276.07499999999999</v>
      </c>
      <c r="K346" s="82">
        <v>20.6</v>
      </c>
      <c r="L346" s="82">
        <v>8.6225000000000005</v>
      </c>
      <c r="M346" s="82">
        <v>1.3574999999999999</v>
      </c>
      <c r="N346" s="4">
        <v>9.375</v>
      </c>
      <c r="O346" s="27" t="s">
        <v>48</v>
      </c>
      <c r="P346" s="27">
        <v>4</v>
      </c>
      <c r="Q346" s="27">
        <v>10</v>
      </c>
      <c r="R346" s="27" t="s">
        <v>64</v>
      </c>
      <c r="S346" s="27" t="s">
        <v>50</v>
      </c>
      <c r="T346" s="27" t="s">
        <v>50</v>
      </c>
      <c r="U346" s="27" t="s">
        <v>50</v>
      </c>
      <c r="V346" s="27" t="s">
        <v>50</v>
      </c>
      <c r="W346" s="27" t="s">
        <v>50</v>
      </c>
      <c r="X346" s="27" t="s">
        <v>50</v>
      </c>
    </row>
    <row r="347" spans="1:25" x14ac:dyDescent="0.25">
      <c r="A347" s="26">
        <v>43347</v>
      </c>
      <c r="B347" s="27" t="s">
        <v>70</v>
      </c>
      <c r="C347" s="27" t="s">
        <v>88</v>
      </c>
      <c r="D347" s="89">
        <v>38.096240000000002</v>
      </c>
      <c r="E347" s="89">
        <v>-121.73051</v>
      </c>
      <c r="F347" s="27" t="s">
        <v>6044</v>
      </c>
      <c r="G347" s="27" t="s">
        <v>90</v>
      </c>
      <c r="H347" s="27" t="s">
        <v>91</v>
      </c>
      <c r="I347" s="84">
        <v>0.4770833333333333</v>
      </c>
      <c r="J347" s="82">
        <v>270.22500000000002</v>
      </c>
      <c r="K347" s="82">
        <v>20.8</v>
      </c>
      <c r="L347" s="82">
        <v>7.1324999999999994</v>
      </c>
      <c r="M347" s="82">
        <v>1.5</v>
      </c>
      <c r="N347" s="4">
        <v>9.375</v>
      </c>
      <c r="O347" s="27" t="s">
        <v>48</v>
      </c>
      <c r="P347" s="27">
        <v>4</v>
      </c>
      <c r="Q347" s="27">
        <v>10</v>
      </c>
      <c r="R347" s="27" t="s">
        <v>64</v>
      </c>
      <c r="S347" s="27" t="s">
        <v>50</v>
      </c>
      <c r="T347" s="27" t="s">
        <v>50</v>
      </c>
      <c r="U347" s="27" t="s">
        <v>50</v>
      </c>
      <c r="V347" s="27" t="s">
        <v>50</v>
      </c>
      <c r="W347" s="27" t="s">
        <v>50</v>
      </c>
      <c r="X347" s="27" t="s">
        <v>50</v>
      </c>
    </row>
    <row r="348" spans="1:25" x14ac:dyDescent="0.25">
      <c r="A348" s="26">
        <v>43347</v>
      </c>
      <c r="B348" s="27" t="s">
        <v>70</v>
      </c>
      <c r="C348" s="27" t="s">
        <v>845</v>
      </c>
      <c r="D348" s="89">
        <v>38.297609999999999</v>
      </c>
      <c r="E348" s="89">
        <v>-121.72942999999999</v>
      </c>
      <c r="F348" s="27" t="s">
        <v>6045</v>
      </c>
      <c r="G348" s="27" t="s">
        <v>90</v>
      </c>
      <c r="H348" s="27" t="s">
        <v>126</v>
      </c>
      <c r="I348" s="84">
        <v>0.34166666666666662</v>
      </c>
      <c r="J348" s="82">
        <v>169.92500000000001</v>
      </c>
      <c r="K348" s="82">
        <v>20.125</v>
      </c>
      <c r="L348" s="82">
        <v>4.7649999999999997</v>
      </c>
      <c r="M348" s="82">
        <v>1.1225000000000001</v>
      </c>
      <c r="N348" s="4">
        <v>2.9749999999999996</v>
      </c>
      <c r="O348" s="27" t="s">
        <v>48</v>
      </c>
      <c r="P348" s="27">
        <v>4</v>
      </c>
      <c r="Q348" s="27">
        <v>10</v>
      </c>
      <c r="R348" s="27" t="s">
        <v>64</v>
      </c>
      <c r="S348" s="27" t="s">
        <v>50</v>
      </c>
      <c r="T348" s="27" t="s">
        <v>50</v>
      </c>
      <c r="U348" s="27" t="s">
        <v>50</v>
      </c>
      <c r="V348" s="27" t="s">
        <v>50</v>
      </c>
      <c r="W348" s="27" t="s">
        <v>50</v>
      </c>
      <c r="X348" s="27" t="s">
        <v>50</v>
      </c>
      <c r="Y348" s="35" t="s">
        <v>6046</v>
      </c>
    </row>
    <row r="349" spans="1:25" x14ac:dyDescent="0.25">
      <c r="A349" s="26">
        <v>43347</v>
      </c>
      <c r="B349" s="27" t="s">
        <v>70</v>
      </c>
      <c r="C349" s="27" t="s">
        <v>845</v>
      </c>
      <c r="D349" s="89">
        <v>38.264220000000002</v>
      </c>
      <c r="E349" s="89">
        <v>-121.69785</v>
      </c>
      <c r="F349" s="27" t="s">
        <v>6047</v>
      </c>
      <c r="G349" s="27" t="s">
        <v>90</v>
      </c>
      <c r="H349" s="27" t="s">
        <v>126</v>
      </c>
      <c r="I349" s="84">
        <v>0.4152777777777778</v>
      </c>
      <c r="J349" s="82">
        <v>163.42500000000001</v>
      </c>
      <c r="K349" s="82">
        <v>20.299999999999997</v>
      </c>
      <c r="L349" s="82">
        <v>4.1124999999999998</v>
      </c>
      <c r="M349" s="82" t="s">
        <v>5829</v>
      </c>
      <c r="N349" s="4">
        <v>3.875</v>
      </c>
      <c r="O349" s="27" t="s">
        <v>48</v>
      </c>
      <c r="P349" s="27">
        <v>4</v>
      </c>
      <c r="Q349" s="27">
        <v>10</v>
      </c>
      <c r="R349" s="27" t="s">
        <v>64</v>
      </c>
      <c r="S349" s="27" t="s">
        <v>50</v>
      </c>
      <c r="T349" s="27" t="s">
        <v>50</v>
      </c>
      <c r="U349" s="27" t="s">
        <v>50</v>
      </c>
      <c r="V349" s="27" t="s">
        <v>50</v>
      </c>
      <c r="W349" s="27" t="s">
        <v>50</v>
      </c>
      <c r="X349" s="27" t="s">
        <v>50</v>
      </c>
    </row>
    <row r="350" spans="1:25" x14ac:dyDescent="0.25">
      <c r="A350" s="26">
        <v>43347</v>
      </c>
      <c r="B350" s="27" t="s">
        <v>70</v>
      </c>
      <c r="C350" s="27" t="s">
        <v>845</v>
      </c>
      <c r="D350" s="89">
        <v>38.25441</v>
      </c>
      <c r="E350" s="89">
        <v>-121.6887</v>
      </c>
      <c r="F350" s="27" t="s">
        <v>6048</v>
      </c>
      <c r="G350" s="27" t="s">
        <v>90</v>
      </c>
      <c r="H350" s="27" t="s">
        <v>126</v>
      </c>
      <c r="I350" s="84">
        <v>0.46249999999999997</v>
      </c>
      <c r="J350" s="82">
        <v>167.55</v>
      </c>
      <c r="K350" s="82">
        <v>20.725000000000001</v>
      </c>
      <c r="L350" s="82">
        <v>7.18</v>
      </c>
      <c r="M350" s="82">
        <v>1.4974999999999998</v>
      </c>
      <c r="N350" s="4">
        <v>7.65</v>
      </c>
      <c r="O350" s="27" t="s">
        <v>48</v>
      </c>
      <c r="P350" s="27">
        <v>4</v>
      </c>
      <c r="Q350" s="27">
        <v>10</v>
      </c>
      <c r="R350" s="27" t="s">
        <v>64</v>
      </c>
      <c r="S350" s="27" t="s">
        <v>50</v>
      </c>
      <c r="T350" s="27" t="s">
        <v>50</v>
      </c>
      <c r="U350" s="27" t="s">
        <v>50</v>
      </c>
      <c r="V350" s="27" t="s">
        <v>50</v>
      </c>
      <c r="W350" s="27" t="s">
        <v>50</v>
      </c>
      <c r="X350" s="27" t="s">
        <v>50</v>
      </c>
    </row>
    <row r="351" spans="1:25" s="149" customFormat="1" x14ac:dyDescent="0.25">
      <c r="A351" s="178">
        <v>43347</v>
      </c>
      <c r="B351" s="149" t="s">
        <v>70</v>
      </c>
      <c r="C351" s="149" t="s">
        <v>845</v>
      </c>
      <c r="D351" s="150">
        <v>38.28087</v>
      </c>
      <c r="E351" s="150">
        <v>-121.67973000000001</v>
      </c>
      <c r="F351" s="149" t="s">
        <v>6049</v>
      </c>
      <c r="G351" s="149" t="s">
        <v>90</v>
      </c>
      <c r="H351" s="149" t="s">
        <v>126</v>
      </c>
      <c r="I351" s="151">
        <v>0.40277777777777773</v>
      </c>
      <c r="J351" s="197" t="s">
        <v>50</v>
      </c>
      <c r="K351" s="197" t="s">
        <v>50</v>
      </c>
      <c r="L351" s="197" t="s">
        <v>50</v>
      </c>
      <c r="M351" s="197" t="s">
        <v>50</v>
      </c>
      <c r="N351" s="197" t="s">
        <v>50</v>
      </c>
      <c r="O351" s="149" t="s">
        <v>48</v>
      </c>
      <c r="P351" s="149">
        <v>0</v>
      </c>
      <c r="Q351" s="149" t="s">
        <v>50</v>
      </c>
      <c r="R351" s="149" t="s">
        <v>50</v>
      </c>
      <c r="S351" s="149" t="s">
        <v>50</v>
      </c>
      <c r="T351" s="149" t="s">
        <v>50</v>
      </c>
      <c r="U351" s="149" t="s">
        <v>50</v>
      </c>
      <c r="V351" s="149" t="s">
        <v>50</v>
      </c>
      <c r="W351" s="149" t="s">
        <v>50</v>
      </c>
      <c r="X351" s="149" t="s">
        <v>50</v>
      </c>
      <c r="Y351" s="152" t="s">
        <v>4960</v>
      </c>
    </row>
    <row r="352" spans="1:25" x14ac:dyDescent="0.25">
      <c r="A352" s="26">
        <v>43347</v>
      </c>
      <c r="B352" s="27" t="s">
        <v>70</v>
      </c>
      <c r="C352" s="27" t="s">
        <v>78</v>
      </c>
      <c r="D352" s="89">
        <v>38.053519999999999</v>
      </c>
      <c r="E352" s="89">
        <v>-121.95334</v>
      </c>
      <c r="F352" s="27" t="s">
        <v>6050</v>
      </c>
      <c r="G352" s="27" t="s">
        <v>27</v>
      </c>
      <c r="H352" s="27" t="s">
        <v>170</v>
      </c>
      <c r="I352" s="84">
        <v>0.35972222222222222</v>
      </c>
      <c r="J352" s="82">
        <v>9344</v>
      </c>
      <c r="K352" s="82">
        <v>19.600000000000001</v>
      </c>
      <c r="L352" s="82">
        <v>11.899999999999999</v>
      </c>
      <c r="M352" s="82">
        <v>0.9524999999999999</v>
      </c>
      <c r="N352" s="4">
        <v>13.325000000000001</v>
      </c>
      <c r="O352" s="27" t="s">
        <v>48</v>
      </c>
      <c r="P352" s="27">
        <v>4</v>
      </c>
      <c r="Q352" s="27">
        <v>10</v>
      </c>
      <c r="R352" s="27" t="s">
        <v>64</v>
      </c>
      <c r="S352" s="27" t="s">
        <v>50</v>
      </c>
      <c r="T352" s="27" t="s">
        <v>50</v>
      </c>
      <c r="U352" s="27" t="s">
        <v>50</v>
      </c>
      <c r="V352" s="27" t="s">
        <v>50</v>
      </c>
      <c r="W352" s="27" t="s">
        <v>50</v>
      </c>
      <c r="X352" s="27" t="s">
        <v>50</v>
      </c>
    </row>
    <row r="353" spans="1:25" x14ac:dyDescent="0.25">
      <c r="A353" s="26">
        <v>43347</v>
      </c>
      <c r="B353" s="27" t="s">
        <v>70</v>
      </c>
      <c r="C353" s="27" t="s">
        <v>78</v>
      </c>
      <c r="D353" s="89">
        <v>38.03548</v>
      </c>
      <c r="E353" s="89">
        <v>-121.87801</v>
      </c>
      <c r="F353" s="27" t="s">
        <v>6051</v>
      </c>
      <c r="G353" s="27" t="s">
        <v>27</v>
      </c>
      <c r="H353" s="27" t="s">
        <v>101</v>
      </c>
      <c r="I353" s="84">
        <v>0.43541666666666662</v>
      </c>
      <c r="J353" s="82">
        <v>6637</v>
      </c>
      <c r="K353" s="82">
        <v>19.899999999999999</v>
      </c>
      <c r="L353" s="82">
        <v>14.549999999999999</v>
      </c>
      <c r="M353" s="82">
        <v>0.89999999999999991</v>
      </c>
      <c r="N353" s="4">
        <v>13.2</v>
      </c>
      <c r="O353" s="27" t="s">
        <v>48</v>
      </c>
      <c r="P353" s="27">
        <v>4</v>
      </c>
      <c r="Q353" s="27">
        <v>10</v>
      </c>
      <c r="R353" s="27" t="s">
        <v>64</v>
      </c>
      <c r="S353" s="27" t="s">
        <v>50</v>
      </c>
      <c r="T353" s="27" t="s">
        <v>50</v>
      </c>
      <c r="U353" s="27" t="s">
        <v>50</v>
      </c>
      <c r="V353" s="27" t="s">
        <v>50</v>
      </c>
      <c r="W353" s="27" t="s">
        <v>50</v>
      </c>
      <c r="X353" s="27" t="s">
        <v>50</v>
      </c>
    </row>
    <row r="354" spans="1:25" x14ac:dyDescent="0.25">
      <c r="A354" s="26">
        <v>43347</v>
      </c>
      <c r="B354" s="27" t="s">
        <v>70</v>
      </c>
      <c r="C354" s="27" t="s">
        <v>78</v>
      </c>
      <c r="D354" s="89">
        <v>38.068959999999997</v>
      </c>
      <c r="E354" s="89">
        <v>-121.86196</v>
      </c>
      <c r="F354" s="27" t="s">
        <v>6052</v>
      </c>
      <c r="G354" s="27" t="s">
        <v>27</v>
      </c>
      <c r="H354" s="27" t="s">
        <v>101</v>
      </c>
      <c r="I354" s="84">
        <v>0.41944444444444445</v>
      </c>
      <c r="J354" s="197" t="s">
        <v>50</v>
      </c>
      <c r="K354" s="197" t="s">
        <v>50</v>
      </c>
      <c r="L354" s="197" t="s">
        <v>50</v>
      </c>
      <c r="M354" s="197" t="s">
        <v>50</v>
      </c>
      <c r="N354" s="197" t="s">
        <v>50</v>
      </c>
      <c r="O354" s="149" t="s">
        <v>48</v>
      </c>
      <c r="P354" s="149">
        <v>0</v>
      </c>
      <c r="Q354" s="149" t="s">
        <v>50</v>
      </c>
      <c r="R354" s="149" t="s">
        <v>50</v>
      </c>
      <c r="S354" s="149" t="s">
        <v>50</v>
      </c>
      <c r="T354" s="149" t="s">
        <v>50</v>
      </c>
      <c r="U354" s="149" t="s">
        <v>50</v>
      </c>
      <c r="V354" s="149" t="s">
        <v>50</v>
      </c>
      <c r="W354" s="149" t="s">
        <v>50</v>
      </c>
      <c r="X354" s="149" t="s">
        <v>50</v>
      </c>
      <c r="Y354" s="152" t="s">
        <v>4960</v>
      </c>
    </row>
    <row r="355" spans="1:25" x14ac:dyDescent="0.25">
      <c r="A355" s="26">
        <v>43348</v>
      </c>
      <c r="B355" s="27" t="s">
        <v>87</v>
      </c>
      <c r="C355" s="27" t="s">
        <v>88</v>
      </c>
      <c r="D355" s="89">
        <v>38.160249999999998</v>
      </c>
      <c r="E355" s="89">
        <v>-121.67923999999999</v>
      </c>
      <c r="F355" s="27" t="s">
        <v>6053</v>
      </c>
      <c r="G355" s="27" t="s">
        <v>90</v>
      </c>
      <c r="H355" s="27" t="s">
        <v>91</v>
      </c>
      <c r="I355" s="84">
        <v>0.32361111111111113</v>
      </c>
      <c r="J355" s="82">
        <v>165.125</v>
      </c>
      <c r="K355" s="82">
        <v>21.274999999999999</v>
      </c>
      <c r="L355" s="82">
        <v>7.2724999999999991</v>
      </c>
      <c r="M355" s="82">
        <v>1.65</v>
      </c>
      <c r="N355" s="4">
        <v>4.8500000000000005</v>
      </c>
      <c r="O355" s="27" t="s">
        <v>48</v>
      </c>
      <c r="P355" s="27">
        <v>4</v>
      </c>
      <c r="Q355" s="27">
        <v>10</v>
      </c>
      <c r="R355" s="27" t="s">
        <v>49</v>
      </c>
      <c r="S355" s="27" t="s">
        <v>50</v>
      </c>
      <c r="T355" s="27" t="s">
        <v>50</v>
      </c>
      <c r="U355" s="27" t="s">
        <v>50</v>
      </c>
      <c r="V355" s="27" t="s">
        <v>50</v>
      </c>
      <c r="W355" s="27" t="s">
        <v>50</v>
      </c>
      <c r="X355" s="27" t="s">
        <v>50</v>
      </c>
    </row>
    <row r="356" spans="1:25" x14ac:dyDescent="0.25">
      <c r="A356" s="26">
        <v>43348</v>
      </c>
      <c r="B356" s="27" t="s">
        <v>87</v>
      </c>
      <c r="C356" s="27" t="s">
        <v>88</v>
      </c>
      <c r="D356" s="89">
        <v>38.133690000000001</v>
      </c>
      <c r="E356" s="89">
        <v>-121.69104</v>
      </c>
      <c r="F356" s="27" t="s">
        <v>6054</v>
      </c>
      <c r="G356" s="27" t="s">
        <v>90</v>
      </c>
      <c r="H356" s="27" t="s">
        <v>91</v>
      </c>
      <c r="I356" s="84">
        <v>0.37222222222222223</v>
      </c>
      <c r="J356" s="82">
        <v>164.82499999999999</v>
      </c>
      <c r="K356" s="82">
        <v>21.25</v>
      </c>
      <c r="L356" s="82">
        <v>6.9799999999999995</v>
      </c>
      <c r="M356" s="82" t="s">
        <v>5829</v>
      </c>
      <c r="N356" s="4">
        <v>5.8500000000000005</v>
      </c>
      <c r="O356" s="27" t="s">
        <v>48</v>
      </c>
      <c r="P356" s="27">
        <v>4</v>
      </c>
      <c r="Q356" s="27">
        <v>10</v>
      </c>
      <c r="R356" s="27" t="s">
        <v>64</v>
      </c>
      <c r="S356" s="27" t="s">
        <v>50</v>
      </c>
      <c r="T356" s="27" t="s">
        <v>50</v>
      </c>
      <c r="U356" s="27" t="s">
        <v>50</v>
      </c>
      <c r="V356" s="27" t="s">
        <v>50</v>
      </c>
      <c r="W356" s="27" t="s">
        <v>50</v>
      </c>
      <c r="X356" s="27" t="s">
        <v>50</v>
      </c>
    </row>
    <row r="357" spans="1:25" x14ac:dyDescent="0.25">
      <c r="A357" s="26">
        <v>43348</v>
      </c>
      <c r="B357" s="27" t="s">
        <v>87</v>
      </c>
      <c r="C357" s="27" t="s">
        <v>88</v>
      </c>
      <c r="D357" s="89">
        <v>38.10868</v>
      </c>
      <c r="E357" s="89">
        <v>-121.70646000000001</v>
      </c>
      <c r="F357" s="27" t="s">
        <v>6055</v>
      </c>
      <c r="G357" s="27" t="s">
        <v>90</v>
      </c>
      <c r="H357" s="27" t="s">
        <v>91</v>
      </c>
      <c r="I357" s="84">
        <v>0.42569444444444443</v>
      </c>
      <c r="J357" s="82">
        <v>405.5</v>
      </c>
      <c r="K357" s="82">
        <v>20.95</v>
      </c>
      <c r="L357" s="82">
        <v>5.83</v>
      </c>
      <c r="M357" s="82">
        <v>1.645</v>
      </c>
      <c r="N357" s="4">
        <v>4.125</v>
      </c>
      <c r="O357" s="27" t="s">
        <v>48</v>
      </c>
      <c r="P357" s="27">
        <v>4</v>
      </c>
      <c r="Q357" s="27">
        <v>10</v>
      </c>
      <c r="R357" s="27" t="s">
        <v>64</v>
      </c>
      <c r="S357" s="27" t="s">
        <v>50</v>
      </c>
      <c r="T357" s="27" t="s">
        <v>50</v>
      </c>
      <c r="U357" s="27" t="s">
        <v>50</v>
      </c>
      <c r="V357" s="27" t="s">
        <v>50</v>
      </c>
      <c r="W357" s="27" t="s">
        <v>50</v>
      </c>
      <c r="X357" s="27" t="s">
        <v>50</v>
      </c>
      <c r="Y357" s="35" t="s">
        <v>5666</v>
      </c>
    </row>
    <row r="358" spans="1:25" x14ac:dyDescent="0.25">
      <c r="A358" s="26">
        <v>43348</v>
      </c>
      <c r="B358" s="27" t="s">
        <v>87</v>
      </c>
      <c r="C358" s="27" t="s">
        <v>845</v>
      </c>
      <c r="D358" s="89">
        <v>38.249780000000001</v>
      </c>
      <c r="E358" s="89">
        <v>-121.67197</v>
      </c>
      <c r="F358" s="27" t="s">
        <v>6056</v>
      </c>
      <c r="G358" s="27" t="s">
        <v>90</v>
      </c>
      <c r="H358" s="27" t="s">
        <v>126</v>
      </c>
      <c r="I358" s="84">
        <v>0.3298611111111111</v>
      </c>
      <c r="J358" s="82">
        <v>186.11999999999998</v>
      </c>
      <c r="K358" s="82">
        <v>20.54</v>
      </c>
      <c r="L358" s="82">
        <v>7.702</v>
      </c>
      <c r="M358" s="82">
        <v>1.0879999999999999</v>
      </c>
      <c r="N358" s="4">
        <v>5.6800000000000006</v>
      </c>
      <c r="O358" s="27" t="s">
        <v>48</v>
      </c>
      <c r="P358" s="27">
        <v>5</v>
      </c>
      <c r="Q358" s="27">
        <v>10</v>
      </c>
      <c r="R358" s="27" t="s">
        <v>64</v>
      </c>
      <c r="S358" s="27" t="s">
        <v>50</v>
      </c>
      <c r="T358" s="27" t="s">
        <v>50</v>
      </c>
      <c r="U358" s="27" t="s">
        <v>50</v>
      </c>
      <c r="V358" s="27" t="s">
        <v>50</v>
      </c>
      <c r="W358" s="27" t="s">
        <v>50</v>
      </c>
      <c r="X358" s="27" t="s">
        <v>50</v>
      </c>
      <c r="Y358" s="35" t="s">
        <v>6057</v>
      </c>
    </row>
    <row r="359" spans="1:25" x14ac:dyDescent="0.25">
      <c r="A359" s="26">
        <v>43348</v>
      </c>
      <c r="B359" s="27" t="s">
        <v>87</v>
      </c>
      <c r="C359" s="27" t="s">
        <v>845</v>
      </c>
      <c r="D359" s="89">
        <v>38.249090000000002</v>
      </c>
      <c r="E359" s="89">
        <v>-121.68513</v>
      </c>
      <c r="F359" s="27" t="s">
        <v>6058</v>
      </c>
      <c r="G359" s="27" t="s">
        <v>90</v>
      </c>
      <c r="H359" s="27" t="s">
        <v>126</v>
      </c>
      <c r="I359" s="84">
        <v>0.41388888888888892</v>
      </c>
      <c r="J359" s="82">
        <v>175</v>
      </c>
      <c r="K359" s="82">
        <v>20.574999999999999</v>
      </c>
      <c r="L359" s="82">
        <v>6.3025000000000002</v>
      </c>
      <c r="M359" s="82">
        <v>1.2424999999999999</v>
      </c>
      <c r="N359" s="4">
        <v>11.074999999999999</v>
      </c>
      <c r="O359" s="27" t="s">
        <v>48</v>
      </c>
      <c r="P359" s="27">
        <v>4</v>
      </c>
      <c r="Q359" s="27">
        <v>10</v>
      </c>
      <c r="R359" s="27" t="s">
        <v>64</v>
      </c>
      <c r="S359" s="27" t="s">
        <v>50</v>
      </c>
      <c r="T359" s="27" t="s">
        <v>50</v>
      </c>
      <c r="U359" s="27" t="s">
        <v>50</v>
      </c>
      <c r="V359" s="27" t="s">
        <v>50</v>
      </c>
      <c r="W359" s="27" t="s">
        <v>50</v>
      </c>
      <c r="X359" s="27" t="s">
        <v>50</v>
      </c>
    </row>
    <row r="360" spans="1:25" x14ac:dyDescent="0.25">
      <c r="A360" s="26">
        <v>43348</v>
      </c>
      <c r="B360" s="27" t="s">
        <v>87</v>
      </c>
      <c r="C360" s="27" t="s">
        <v>845</v>
      </c>
      <c r="D360" s="89">
        <v>38.258000000000003</v>
      </c>
      <c r="E360" s="89">
        <v>-121.69203</v>
      </c>
      <c r="F360" s="27" t="s">
        <v>6059</v>
      </c>
      <c r="G360" s="27" t="s">
        <v>90</v>
      </c>
      <c r="H360" s="27" t="s">
        <v>126</v>
      </c>
      <c r="I360" s="84">
        <v>0.46597222222222223</v>
      </c>
      <c r="J360" s="82">
        <v>171.25</v>
      </c>
      <c r="K360" s="82">
        <v>20.6</v>
      </c>
      <c r="L360" s="82">
        <v>5.4175000000000004</v>
      </c>
      <c r="M360" s="82">
        <v>1.4424999999999999</v>
      </c>
      <c r="N360" s="4">
        <v>9.2750000000000004</v>
      </c>
      <c r="O360" s="27" t="s">
        <v>48</v>
      </c>
      <c r="P360" s="27">
        <v>4</v>
      </c>
      <c r="Q360" s="27">
        <v>10</v>
      </c>
      <c r="R360" s="27" t="s">
        <v>64</v>
      </c>
      <c r="S360" s="27" t="s">
        <v>50</v>
      </c>
      <c r="T360" s="27" t="s">
        <v>50</v>
      </c>
      <c r="U360" s="27" t="s">
        <v>50</v>
      </c>
      <c r="V360" s="27" t="s">
        <v>50</v>
      </c>
      <c r="W360" s="27" t="s">
        <v>50</v>
      </c>
      <c r="X360" s="27" t="s">
        <v>50</v>
      </c>
    </row>
    <row r="361" spans="1:25" x14ac:dyDescent="0.25">
      <c r="A361" s="26">
        <v>43348</v>
      </c>
      <c r="B361" s="27" t="s">
        <v>87</v>
      </c>
      <c r="C361" s="27" t="s">
        <v>78</v>
      </c>
      <c r="D361" s="89">
        <v>38.076459999999997</v>
      </c>
      <c r="E361" s="89">
        <v>-122.09069</v>
      </c>
      <c r="F361" s="27" t="s">
        <v>6060</v>
      </c>
      <c r="G361" s="27" t="s">
        <v>80</v>
      </c>
      <c r="H361" s="27" t="s">
        <v>81</v>
      </c>
      <c r="I361" s="84">
        <v>0.36944444444444446</v>
      </c>
      <c r="J361" s="82">
        <v>19633.25</v>
      </c>
      <c r="K361" s="82">
        <v>19.149999999999999</v>
      </c>
      <c r="L361" s="82">
        <v>30.45</v>
      </c>
      <c r="M361" s="82">
        <v>0.51249999999999996</v>
      </c>
      <c r="N361" s="4">
        <v>10.100000000000001</v>
      </c>
      <c r="O361" s="27" t="s">
        <v>48</v>
      </c>
      <c r="P361" s="27">
        <v>4</v>
      </c>
      <c r="Q361" s="27">
        <v>10</v>
      </c>
      <c r="R361" s="27" t="s">
        <v>64</v>
      </c>
      <c r="S361" s="27" t="s">
        <v>50</v>
      </c>
      <c r="T361" s="27" t="s">
        <v>50</v>
      </c>
      <c r="U361" s="27" t="s">
        <v>50</v>
      </c>
      <c r="V361" s="27" t="s">
        <v>50</v>
      </c>
      <c r="W361" s="27" t="s">
        <v>50</v>
      </c>
      <c r="X361" s="27" t="s">
        <v>50</v>
      </c>
    </row>
    <row r="362" spans="1:25" x14ac:dyDescent="0.25">
      <c r="A362" s="26">
        <v>43348</v>
      </c>
      <c r="B362" s="27" t="s">
        <v>87</v>
      </c>
      <c r="C362" s="27" t="s">
        <v>78</v>
      </c>
      <c r="D362" s="89">
        <v>38.071159999999999</v>
      </c>
      <c r="E362" s="89">
        <v>-121.9945</v>
      </c>
      <c r="F362" s="27" t="s">
        <v>6061</v>
      </c>
      <c r="G362" s="27" t="s">
        <v>27</v>
      </c>
      <c r="H362" s="27" t="s">
        <v>86</v>
      </c>
      <c r="I362" s="84">
        <v>0.43055555555555558</v>
      </c>
      <c r="J362" s="82">
        <v>14268.75</v>
      </c>
      <c r="K362" s="82">
        <v>19.224999999999998</v>
      </c>
      <c r="L362" s="82">
        <v>36.075000000000003</v>
      </c>
      <c r="M362" s="82">
        <v>0.52</v>
      </c>
      <c r="N362" s="4">
        <v>4.25</v>
      </c>
      <c r="O362" s="27" t="s">
        <v>48</v>
      </c>
      <c r="P362" s="27">
        <v>4</v>
      </c>
      <c r="Q362" s="27">
        <v>10</v>
      </c>
      <c r="R362" s="27" t="s">
        <v>64</v>
      </c>
      <c r="S362" s="27" t="s">
        <v>50</v>
      </c>
      <c r="T362" s="27" t="s">
        <v>50</v>
      </c>
      <c r="U362" s="27" t="s">
        <v>50</v>
      </c>
      <c r="V362" s="27" t="s">
        <v>50</v>
      </c>
      <c r="W362" s="27" t="s">
        <v>50</v>
      </c>
      <c r="X362" s="27" t="s">
        <v>50</v>
      </c>
    </row>
    <row r="363" spans="1:25" x14ac:dyDescent="0.25">
      <c r="A363" s="26">
        <v>43348</v>
      </c>
      <c r="B363" s="27" t="s">
        <v>87</v>
      </c>
      <c r="C363" s="27" t="s">
        <v>78</v>
      </c>
      <c r="D363" s="89">
        <v>38.061109999999999</v>
      </c>
      <c r="E363" s="89">
        <v>-121.9794</v>
      </c>
      <c r="F363" s="27" t="s">
        <v>6062</v>
      </c>
      <c r="G363" s="27" t="s">
        <v>27</v>
      </c>
      <c r="H363" s="27" t="s">
        <v>86</v>
      </c>
      <c r="I363" s="84">
        <v>0.47500000000000003</v>
      </c>
      <c r="J363" s="82">
        <v>13072.5</v>
      </c>
      <c r="K363" s="82">
        <v>19.575000000000003</v>
      </c>
      <c r="L363" s="82">
        <v>27.299999999999997</v>
      </c>
      <c r="M363" s="82">
        <v>0.66</v>
      </c>
      <c r="N363" s="4">
        <v>11.475</v>
      </c>
      <c r="O363" s="27" t="s">
        <v>48</v>
      </c>
      <c r="P363" s="27">
        <v>4</v>
      </c>
      <c r="Q363" s="27">
        <v>10</v>
      </c>
      <c r="R363" s="27" t="s">
        <v>64</v>
      </c>
      <c r="S363" s="27" t="s">
        <v>50</v>
      </c>
      <c r="T363" s="27" t="s">
        <v>50</v>
      </c>
      <c r="U363" s="27" t="s">
        <v>50</v>
      </c>
      <c r="V363" s="27" t="s">
        <v>50</v>
      </c>
      <c r="W363" s="27" t="s">
        <v>50</v>
      </c>
      <c r="X363" s="27" t="s">
        <v>50</v>
      </c>
    </row>
    <row r="364" spans="1:25" x14ac:dyDescent="0.25">
      <c r="A364" s="26">
        <v>43349</v>
      </c>
      <c r="B364" s="27" t="s">
        <v>105</v>
      </c>
      <c r="C364" s="27" t="s">
        <v>95</v>
      </c>
      <c r="D364" s="89">
        <v>38.094459999999998</v>
      </c>
      <c r="E364" s="89">
        <v>-121.63221</v>
      </c>
      <c r="F364" s="27" t="s">
        <v>6063</v>
      </c>
      <c r="G364" s="27" t="s">
        <v>46</v>
      </c>
      <c r="H364" s="27" t="s">
        <v>908</v>
      </c>
      <c r="I364" s="84">
        <v>0.31875000000000003</v>
      </c>
      <c r="J364" s="82">
        <v>520</v>
      </c>
      <c r="K364" s="82">
        <v>21.175000000000001</v>
      </c>
      <c r="L364" s="82">
        <v>6.8025000000000002</v>
      </c>
      <c r="M364" s="82">
        <v>1.5249999999999999</v>
      </c>
      <c r="N364" s="4">
        <v>12.85</v>
      </c>
      <c r="O364" s="27" t="s">
        <v>48</v>
      </c>
      <c r="P364" s="27">
        <v>4</v>
      </c>
      <c r="Q364" s="27">
        <v>10</v>
      </c>
      <c r="R364" s="27" t="s">
        <v>49</v>
      </c>
      <c r="S364" s="27" t="s">
        <v>50</v>
      </c>
      <c r="T364" s="27" t="s">
        <v>50</v>
      </c>
      <c r="U364" s="27" t="s">
        <v>50</v>
      </c>
      <c r="V364" s="27" t="s">
        <v>50</v>
      </c>
      <c r="W364" s="27" t="s">
        <v>50</v>
      </c>
      <c r="X364" s="27" t="s">
        <v>50</v>
      </c>
      <c r="Y364" s="35" t="s">
        <v>6064</v>
      </c>
    </row>
    <row r="365" spans="1:25" x14ac:dyDescent="0.25">
      <c r="A365" s="26">
        <v>43349</v>
      </c>
      <c r="B365" s="27" t="s">
        <v>105</v>
      </c>
      <c r="C365" s="27" t="s">
        <v>95</v>
      </c>
      <c r="D365" s="89">
        <v>38.043819999999997</v>
      </c>
      <c r="E365" s="89">
        <v>-121.70788</v>
      </c>
      <c r="F365" s="27" t="s">
        <v>6065</v>
      </c>
      <c r="G365" s="27" t="s">
        <v>27</v>
      </c>
      <c r="H365" s="27" t="s">
        <v>863</v>
      </c>
      <c r="I365" s="84">
        <v>0.37291666666666662</v>
      </c>
      <c r="J365" s="82">
        <v>1111.75</v>
      </c>
      <c r="K365" s="82">
        <v>20.6</v>
      </c>
      <c r="L365" s="82">
        <v>8.3675000000000015</v>
      </c>
      <c r="M365" s="82">
        <v>1.2625</v>
      </c>
      <c r="N365" s="4">
        <v>6.9</v>
      </c>
      <c r="O365" s="27" t="s">
        <v>48</v>
      </c>
      <c r="P365" s="27">
        <v>4</v>
      </c>
      <c r="Q365" s="27">
        <v>10</v>
      </c>
      <c r="R365" s="27" t="s">
        <v>49</v>
      </c>
      <c r="S365" s="27" t="s">
        <v>50</v>
      </c>
      <c r="T365" s="27" t="s">
        <v>50</v>
      </c>
      <c r="U365" s="27" t="s">
        <v>50</v>
      </c>
      <c r="V365" s="27" t="s">
        <v>50</v>
      </c>
      <c r="W365" s="27" t="s">
        <v>50</v>
      </c>
      <c r="X365" s="27" t="s">
        <v>50</v>
      </c>
    </row>
    <row r="366" spans="1:25" x14ac:dyDescent="0.25">
      <c r="A366" s="26">
        <v>43349</v>
      </c>
      <c r="B366" s="27" t="s">
        <v>105</v>
      </c>
      <c r="C366" s="27" t="s">
        <v>95</v>
      </c>
      <c r="D366" s="89">
        <v>38.028480000000002</v>
      </c>
      <c r="E366" s="89">
        <v>-121.72716</v>
      </c>
      <c r="F366" s="27" t="s">
        <v>6066</v>
      </c>
      <c r="G366" s="27" t="s">
        <v>27</v>
      </c>
      <c r="H366" s="27" t="s">
        <v>863</v>
      </c>
      <c r="I366" s="84">
        <v>0.42083333333333334</v>
      </c>
      <c r="J366" s="82">
        <v>1257</v>
      </c>
      <c r="K366" s="82">
        <v>20.324999999999999</v>
      </c>
      <c r="L366" s="82">
        <v>6.7200000000000006</v>
      </c>
      <c r="M366" s="82">
        <v>1.6400000000000001</v>
      </c>
      <c r="N366" s="4">
        <v>4.3499999999999996</v>
      </c>
      <c r="O366" s="27" t="s">
        <v>48</v>
      </c>
      <c r="P366" s="27">
        <v>4</v>
      </c>
      <c r="Q366" s="27">
        <v>10</v>
      </c>
      <c r="R366" s="27" t="s">
        <v>49</v>
      </c>
      <c r="S366" s="27" t="s">
        <v>50</v>
      </c>
      <c r="T366" s="27" t="s">
        <v>50</v>
      </c>
      <c r="U366" s="27" t="s">
        <v>50</v>
      </c>
      <c r="V366" s="27" t="s">
        <v>50</v>
      </c>
      <c r="W366" s="27" t="s">
        <v>50</v>
      </c>
      <c r="X366" s="27" t="s">
        <v>50</v>
      </c>
    </row>
    <row r="367" spans="1:25" x14ac:dyDescent="0.25">
      <c r="A367" s="26">
        <v>43349</v>
      </c>
      <c r="B367" s="27" t="s">
        <v>105</v>
      </c>
      <c r="C367" s="27" t="s">
        <v>106</v>
      </c>
      <c r="D367" s="89">
        <v>38.533360000000002</v>
      </c>
      <c r="E367" s="89">
        <v>-121.58459999999999</v>
      </c>
      <c r="F367" s="27" t="s">
        <v>6067</v>
      </c>
      <c r="G367" s="27" t="s">
        <v>90</v>
      </c>
      <c r="H367" s="27" t="s">
        <v>1787</v>
      </c>
      <c r="I367" s="84">
        <v>0.34027777777777773</v>
      </c>
      <c r="J367" s="82">
        <v>911</v>
      </c>
      <c r="K367" s="82">
        <v>22.5</v>
      </c>
      <c r="L367" s="82">
        <v>13.524999999999999</v>
      </c>
      <c r="M367" s="82">
        <v>0.8</v>
      </c>
      <c r="N367" s="4">
        <v>11.125</v>
      </c>
      <c r="O367" s="27" t="s">
        <v>48</v>
      </c>
      <c r="P367" s="27">
        <v>4</v>
      </c>
      <c r="Q367" s="27">
        <v>10</v>
      </c>
      <c r="R367" s="27" t="s">
        <v>49</v>
      </c>
      <c r="S367" s="27" t="s">
        <v>50</v>
      </c>
      <c r="T367" s="27" t="s">
        <v>50</v>
      </c>
      <c r="U367" s="27" t="s">
        <v>50</v>
      </c>
      <c r="V367" s="27" t="s">
        <v>50</v>
      </c>
      <c r="W367" s="27" t="s">
        <v>50</v>
      </c>
      <c r="X367" s="27" t="s">
        <v>50</v>
      </c>
    </row>
    <row r="368" spans="1:25" x14ac:dyDescent="0.25">
      <c r="A368" s="26">
        <v>43349</v>
      </c>
      <c r="B368" s="27" t="s">
        <v>105</v>
      </c>
      <c r="C368" s="27" t="s">
        <v>106</v>
      </c>
      <c r="D368" s="89">
        <v>38.4343</v>
      </c>
      <c r="E368" s="89">
        <v>-121.60178999999999</v>
      </c>
      <c r="F368" s="27" t="s">
        <v>6068</v>
      </c>
      <c r="G368" s="27" t="s">
        <v>90</v>
      </c>
      <c r="H368" s="27" t="s">
        <v>362</v>
      </c>
      <c r="I368" s="84">
        <v>0.39930555555555558</v>
      </c>
      <c r="J368" s="82">
        <v>636.75</v>
      </c>
      <c r="K368" s="82">
        <v>21.274999999999999</v>
      </c>
      <c r="L368" s="82">
        <v>25.024999999999999</v>
      </c>
      <c r="M368" s="82">
        <v>0.48999999999999994</v>
      </c>
      <c r="N368" s="4">
        <v>9.5750000000000011</v>
      </c>
      <c r="O368" s="27" t="s">
        <v>48</v>
      </c>
      <c r="P368" s="27">
        <v>4</v>
      </c>
      <c r="Q368" s="27">
        <v>10</v>
      </c>
      <c r="R368" s="27" t="s">
        <v>49</v>
      </c>
      <c r="S368" s="27" t="s">
        <v>50</v>
      </c>
      <c r="T368" s="27" t="s">
        <v>50</v>
      </c>
      <c r="U368" s="27" t="s">
        <v>50</v>
      </c>
      <c r="V368" s="27" t="s">
        <v>50</v>
      </c>
      <c r="W368" s="27" t="s">
        <v>50</v>
      </c>
      <c r="X368" s="27" t="s">
        <v>50</v>
      </c>
      <c r="Y368" s="35" t="s">
        <v>6069</v>
      </c>
    </row>
    <row r="369" spans="1:25" x14ac:dyDescent="0.25">
      <c r="A369" s="26">
        <v>43349</v>
      </c>
      <c r="B369" s="27" t="s">
        <v>105</v>
      </c>
      <c r="C369" s="27" t="s">
        <v>106</v>
      </c>
      <c r="D369" s="89">
        <v>38.387169999999998</v>
      </c>
      <c r="E369" s="89">
        <v>-121.62344</v>
      </c>
      <c r="F369" s="27" t="s">
        <v>6070</v>
      </c>
      <c r="G369" s="27" t="s">
        <v>90</v>
      </c>
      <c r="H369" s="27" t="s">
        <v>362</v>
      </c>
      <c r="I369" s="84">
        <v>0.45902777777777781</v>
      </c>
      <c r="J369" s="82">
        <v>489.75</v>
      </c>
      <c r="K369" s="82">
        <v>21</v>
      </c>
      <c r="L369" s="82">
        <v>34.35</v>
      </c>
      <c r="M369" s="82">
        <v>0.41000000000000003</v>
      </c>
      <c r="N369" s="4">
        <v>7.9999999999999991</v>
      </c>
      <c r="O369" s="27" t="s">
        <v>48</v>
      </c>
      <c r="P369" s="27">
        <v>4</v>
      </c>
      <c r="Q369" s="27">
        <v>10</v>
      </c>
      <c r="R369" s="27" t="s">
        <v>49</v>
      </c>
      <c r="S369" s="27" t="s">
        <v>50</v>
      </c>
      <c r="T369" s="27" t="s">
        <v>50</v>
      </c>
      <c r="U369" s="27" t="s">
        <v>50</v>
      </c>
      <c r="V369" s="27" t="s">
        <v>50</v>
      </c>
      <c r="W369" s="27" t="s">
        <v>50</v>
      </c>
      <c r="X369" s="27" t="s">
        <v>50</v>
      </c>
      <c r="Y369" s="35" t="s">
        <v>6071</v>
      </c>
    </row>
    <row r="370" spans="1:25" x14ac:dyDescent="0.25">
      <c r="A370" s="26">
        <v>43349</v>
      </c>
      <c r="B370" s="27" t="s">
        <v>105</v>
      </c>
      <c r="C370" s="27" t="s">
        <v>62</v>
      </c>
      <c r="D370" s="89">
        <v>38.084739999999996</v>
      </c>
      <c r="E370" s="89">
        <v>-121.8828</v>
      </c>
      <c r="F370" s="27" t="s">
        <v>6072</v>
      </c>
      <c r="G370" s="27" t="s">
        <v>27</v>
      </c>
      <c r="H370" s="27" t="s">
        <v>62</v>
      </c>
      <c r="I370" s="84">
        <v>0.33819444444444446</v>
      </c>
      <c r="J370" s="82">
        <v>7579.75</v>
      </c>
      <c r="K370" s="82">
        <v>19.2</v>
      </c>
      <c r="L370" s="82">
        <v>42.825000000000003</v>
      </c>
      <c r="M370" s="82">
        <v>0.45749999999999996</v>
      </c>
      <c r="N370" s="4">
        <v>7.45</v>
      </c>
      <c r="O370" s="27" t="s">
        <v>48</v>
      </c>
      <c r="P370" s="27">
        <v>4</v>
      </c>
      <c r="Q370" s="27">
        <v>10</v>
      </c>
      <c r="R370" s="27" t="s">
        <v>49</v>
      </c>
      <c r="S370" s="27" t="s">
        <v>50</v>
      </c>
      <c r="T370" s="27" t="s">
        <v>50</v>
      </c>
      <c r="U370" s="27" t="s">
        <v>50</v>
      </c>
      <c r="V370" s="27" t="s">
        <v>50</v>
      </c>
      <c r="W370" s="27" t="s">
        <v>50</v>
      </c>
      <c r="X370" s="27" t="s">
        <v>50</v>
      </c>
    </row>
    <row r="371" spans="1:25" s="373" customFormat="1" x14ac:dyDescent="0.25">
      <c r="A371" s="495">
        <v>43349</v>
      </c>
      <c r="B371" s="494" t="s">
        <v>105</v>
      </c>
      <c r="C371" s="494" t="s">
        <v>62</v>
      </c>
      <c r="D371" s="496">
        <v>38.186450000000001</v>
      </c>
      <c r="E371" s="496">
        <v>-122.05500000000001</v>
      </c>
      <c r="F371" s="494" t="s">
        <v>6073</v>
      </c>
      <c r="G371" s="494" t="s">
        <v>27</v>
      </c>
      <c r="H371" s="494" t="s">
        <v>62</v>
      </c>
      <c r="I371" s="497">
        <v>0.4770833333333333</v>
      </c>
      <c r="J371" s="498">
        <v>9379</v>
      </c>
      <c r="K371" s="498">
        <v>19.566666666666666</v>
      </c>
      <c r="L371" s="498">
        <v>99.733333333333334</v>
      </c>
      <c r="M371" s="498">
        <v>0.20666666666666667</v>
      </c>
      <c r="N371" s="499">
        <v>9.7999999999999989</v>
      </c>
      <c r="O371" s="494" t="s">
        <v>48</v>
      </c>
      <c r="P371" s="494">
        <v>3</v>
      </c>
      <c r="Q371" s="494">
        <v>10</v>
      </c>
      <c r="R371" s="494" t="s">
        <v>64</v>
      </c>
      <c r="S371" s="494" t="s">
        <v>323</v>
      </c>
      <c r="T371" s="494">
        <v>1</v>
      </c>
      <c r="U371" s="494">
        <v>54</v>
      </c>
      <c r="V371" s="494" t="s">
        <v>66</v>
      </c>
      <c r="W371" s="494" t="s">
        <v>50</v>
      </c>
      <c r="X371" s="494" t="s">
        <v>50</v>
      </c>
      <c r="Y371" s="455" t="s">
        <v>5604</v>
      </c>
    </row>
    <row r="372" spans="1:25" s="355" customFormat="1" ht="14.25" customHeight="1" x14ac:dyDescent="0.25">
      <c r="A372" s="354">
        <v>43349</v>
      </c>
      <c r="B372" s="355" t="s">
        <v>105</v>
      </c>
      <c r="C372" s="355" t="s">
        <v>62</v>
      </c>
      <c r="D372" s="356">
        <v>38.186450000000001</v>
      </c>
      <c r="E372" s="356">
        <v>-122.05500000000001</v>
      </c>
      <c r="F372" s="355" t="s">
        <v>6073</v>
      </c>
      <c r="G372" s="355" t="s">
        <v>27</v>
      </c>
      <c r="H372" s="355" t="s">
        <v>62</v>
      </c>
      <c r="I372" s="357">
        <v>0.4770833333333333</v>
      </c>
      <c r="J372" s="358"/>
      <c r="K372" s="358"/>
      <c r="L372" s="358"/>
      <c r="M372" s="358"/>
      <c r="N372" s="359"/>
      <c r="S372" s="355" t="s">
        <v>6074</v>
      </c>
      <c r="T372" s="355">
        <v>1</v>
      </c>
      <c r="U372" s="355">
        <v>89</v>
      </c>
      <c r="V372" s="355" t="s">
        <v>66</v>
      </c>
      <c r="W372" s="355" t="s">
        <v>50</v>
      </c>
      <c r="X372" s="355" t="s">
        <v>50</v>
      </c>
      <c r="Y372" s="371"/>
    </row>
    <row r="373" spans="1:25" x14ac:dyDescent="0.25">
      <c r="A373" s="26">
        <v>43349</v>
      </c>
      <c r="B373" s="27" t="s">
        <v>105</v>
      </c>
      <c r="C373" s="27" t="s">
        <v>62</v>
      </c>
      <c r="D373" s="89">
        <v>38.121479999999998</v>
      </c>
      <c r="E373" s="89">
        <v>-122.05765</v>
      </c>
      <c r="F373" s="631" t="s">
        <v>6075</v>
      </c>
      <c r="G373" s="27" t="s">
        <v>27</v>
      </c>
      <c r="H373" s="27" t="s">
        <v>62</v>
      </c>
      <c r="I373" s="84">
        <v>0.52916666666666667</v>
      </c>
      <c r="J373" s="82">
        <v>18014.25</v>
      </c>
      <c r="K373" s="82">
        <v>19.25</v>
      </c>
      <c r="L373" s="82">
        <v>48.35</v>
      </c>
      <c r="M373" s="82">
        <v>0.4325</v>
      </c>
      <c r="N373" s="4">
        <v>3.4249999999999998</v>
      </c>
      <c r="O373" s="27" t="s">
        <v>48</v>
      </c>
      <c r="P373" s="27">
        <v>4</v>
      </c>
      <c r="Q373" s="27">
        <v>10</v>
      </c>
      <c r="R373" s="27" t="s">
        <v>64</v>
      </c>
      <c r="S373" s="27" t="s">
        <v>50</v>
      </c>
      <c r="T373" s="27" t="s">
        <v>50</v>
      </c>
      <c r="U373" s="27" t="s">
        <v>50</v>
      </c>
      <c r="V373" s="27" t="s">
        <v>50</v>
      </c>
      <c r="W373" s="27" t="s">
        <v>50</v>
      </c>
      <c r="X373" s="27" t="s">
        <v>50</v>
      </c>
      <c r="Y373" s="35" t="s">
        <v>6076</v>
      </c>
    </row>
    <row r="374" spans="1:25" x14ac:dyDescent="0.25">
      <c r="A374" s="26">
        <v>43350</v>
      </c>
      <c r="B374" s="27" t="s">
        <v>125</v>
      </c>
      <c r="C374" s="27" t="s">
        <v>95</v>
      </c>
      <c r="D374" s="89">
        <v>38.045439999999999</v>
      </c>
      <c r="E374" s="89">
        <v>-121.49952999999999</v>
      </c>
      <c r="F374" s="27" t="s">
        <v>6077</v>
      </c>
      <c r="G374" s="27" t="s">
        <v>46</v>
      </c>
      <c r="H374" s="27" t="s">
        <v>5685</v>
      </c>
      <c r="I374" s="84">
        <v>0.31944444444444448</v>
      </c>
      <c r="J374" s="82">
        <v>265.57499999999999</v>
      </c>
      <c r="K374" s="82">
        <v>21.9</v>
      </c>
      <c r="L374" s="82">
        <v>5.0399999999999991</v>
      </c>
      <c r="M374" s="82" t="s">
        <v>5829</v>
      </c>
      <c r="N374" s="4">
        <v>9.2999999999999989</v>
      </c>
      <c r="O374" s="27" t="s">
        <v>48</v>
      </c>
      <c r="P374" s="27">
        <v>4</v>
      </c>
      <c r="Q374" s="27">
        <v>10</v>
      </c>
      <c r="R374" s="27" t="s">
        <v>49</v>
      </c>
      <c r="S374" s="27" t="s">
        <v>50</v>
      </c>
      <c r="T374" s="27" t="s">
        <v>50</v>
      </c>
      <c r="U374" s="27" t="s">
        <v>50</v>
      </c>
      <c r="V374" s="27" t="s">
        <v>50</v>
      </c>
      <c r="W374" s="27" t="s">
        <v>50</v>
      </c>
      <c r="X374" s="27" t="s">
        <v>50</v>
      </c>
    </row>
    <row r="375" spans="1:25" x14ac:dyDescent="0.25">
      <c r="A375" s="26">
        <v>43350</v>
      </c>
      <c r="B375" s="27" t="s">
        <v>125</v>
      </c>
      <c r="C375" s="27" t="s">
        <v>95</v>
      </c>
      <c r="D375" s="89">
        <v>38.06456</v>
      </c>
      <c r="E375" s="89">
        <v>-121.53022</v>
      </c>
      <c r="F375" s="27" t="s">
        <v>6078</v>
      </c>
      <c r="G375" s="27" t="s">
        <v>46</v>
      </c>
      <c r="H375" s="27" t="s">
        <v>5685</v>
      </c>
      <c r="I375" s="84">
        <v>0.36874999999999997</v>
      </c>
      <c r="J375" s="82">
        <v>300.32499999999999</v>
      </c>
      <c r="K375" s="82">
        <v>21.75</v>
      </c>
      <c r="L375" s="82">
        <v>5.8849999999999998</v>
      </c>
      <c r="M375" s="82">
        <v>1.6675</v>
      </c>
      <c r="N375" s="4">
        <v>11.725000000000001</v>
      </c>
      <c r="O375" s="27" t="s">
        <v>48</v>
      </c>
      <c r="P375" s="27">
        <v>4</v>
      </c>
      <c r="Q375" s="27">
        <v>10</v>
      </c>
      <c r="R375" s="27" t="s">
        <v>49</v>
      </c>
      <c r="S375" s="27" t="s">
        <v>50</v>
      </c>
      <c r="T375" s="27" t="s">
        <v>50</v>
      </c>
      <c r="U375" s="27" t="s">
        <v>50</v>
      </c>
      <c r="V375" s="27" t="s">
        <v>50</v>
      </c>
      <c r="W375" s="27" t="s">
        <v>50</v>
      </c>
      <c r="X375" s="27" t="s">
        <v>50</v>
      </c>
    </row>
    <row r="376" spans="1:25" x14ac:dyDescent="0.25">
      <c r="A376" s="26">
        <v>43350</v>
      </c>
      <c r="B376" s="27" t="s">
        <v>125</v>
      </c>
      <c r="C376" s="27" t="s">
        <v>95</v>
      </c>
      <c r="D376" s="89">
        <v>38.105899999999998</v>
      </c>
      <c r="E376" s="89">
        <v>-121.60643</v>
      </c>
      <c r="F376" s="27" t="s">
        <v>6079</v>
      </c>
      <c r="G376" s="27" t="s">
        <v>46</v>
      </c>
      <c r="H376" s="27" t="s">
        <v>908</v>
      </c>
      <c r="I376" s="84">
        <v>0.42291666666666666</v>
      </c>
      <c r="J376" s="82">
        <v>267.75</v>
      </c>
      <c r="K376" s="82">
        <v>21.475000000000001</v>
      </c>
      <c r="L376" s="82">
        <v>6.0449999999999999</v>
      </c>
      <c r="M376" s="82">
        <v>1.605</v>
      </c>
      <c r="N376" s="4">
        <v>8.9749999999999996</v>
      </c>
      <c r="O376" s="27" t="s">
        <v>48</v>
      </c>
      <c r="P376" s="27">
        <v>4</v>
      </c>
      <c r="Q376" s="27">
        <v>10</v>
      </c>
      <c r="R376" s="27" t="s">
        <v>49</v>
      </c>
      <c r="S376" s="27" t="s">
        <v>50</v>
      </c>
      <c r="T376" s="27" t="s">
        <v>50</v>
      </c>
      <c r="U376" s="27" t="s">
        <v>50</v>
      </c>
      <c r="V376" s="27" t="s">
        <v>50</v>
      </c>
      <c r="W376" s="27" t="s">
        <v>50</v>
      </c>
      <c r="X376" s="27" t="s">
        <v>50</v>
      </c>
    </row>
    <row r="377" spans="1:25" x14ac:dyDescent="0.25">
      <c r="A377" s="26">
        <v>43350</v>
      </c>
      <c r="B377" s="27" t="s">
        <v>125</v>
      </c>
      <c r="C377" s="27" t="s">
        <v>106</v>
      </c>
      <c r="D377" s="89">
        <v>38.274160000000002</v>
      </c>
      <c r="E377" s="89">
        <v>-121.6621</v>
      </c>
      <c r="F377" s="27" t="s">
        <v>6080</v>
      </c>
      <c r="G377" s="27" t="s">
        <v>90</v>
      </c>
      <c r="H377" s="27" t="s">
        <v>362</v>
      </c>
      <c r="I377" s="84">
        <v>0.31736111111111115</v>
      </c>
      <c r="J377" s="82">
        <v>205.875</v>
      </c>
      <c r="K377" s="82">
        <v>20.9</v>
      </c>
      <c r="L377" s="82">
        <v>8.4699999999999989</v>
      </c>
      <c r="M377" s="82">
        <v>1.1125</v>
      </c>
      <c r="N377" s="4">
        <v>10.625</v>
      </c>
      <c r="O377" s="27" t="s">
        <v>48</v>
      </c>
      <c r="P377" s="27">
        <v>4</v>
      </c>
      <c r="Q377" s="27">
        <v>10</v>
      </c>
      <c r="R377" s="27" t="s">
        <v>49</v>
      </c>
      <c r="S377" s="27" t="s">
        <v>50</v>
      </c>
      <c r="T377" s="27" t="s">
        <v>50</v>
      </c>
      <c r="U377" s="27" t="s">
        <v>50</v>
      </c>
      <c r="V377" s="27" t="s">
        <v>50</v>
      </c>
      <c r="W377" s="27" t="s">
        <v>50</v>
      </c>
      <c r="X377" s="27" t="s">
        <v>50</v>
      </c>
    </row>
    <row r="378" spans="1:25" x14ac:dyDescent="0.25">
      <c r="A378" s="26">
        <v>43350</v>
      </c>
      <c r="B378" s="27" t="s">
        <v>125</v>
      </c>
      <c r="C378" s="27" t="s">
        <v>106</v>
      </c>
      <c r="D378" s="89">
        <v>38.256149999999998</v>
      </c>
      <c r="E378" s="89">
        <v>-121.667</v>
      </c>
      <c r="F378" s="27" t="s">
        <v>6081</v>
      </c>
      <c r="G378" s="27" t="s">
        <v>90</v>
      </c>
      <c r="H378" s="27" t="s">
        <v>362</v>
      </c>
      <c r="I378" s="84">
        <v>0.3666666666666667</v>
      </c>
      <c r="J378" s="82">
        <v>196.45000000000002</v>
      </c>
      <c r="K378" s="82">
        <v>20.875</v>
      </c>
      <c r="L378" s="82">
        <v>8.2274999999999991</v>
      </c>
      <c r="M378" s="82">
        <v>1.1775</v>
      </c>
      <c r="N378" s="4">
        <v>10.074999999999999</v>
      </c>
      <c r="O378" s="27" t="s">
        <v>48</v>
      </c>
      <c r="P378" s="27">
        <v>4</v>
      </c>
      <c r="Q378" s="27">
        <v>10</v>
      </c>
      <c r="R378" s="27" t="s">
        <v>49</v>
      </c>
      <c r="S378" s="27" t="s">
        <v>50</v>
      </c>
      <c r="T378" s="27" t="s">
        <v>50</v>
      </c>
      <c r="U378" s="27" t="s">
        <v>50</v>
      </c>
      <c r="V378" s="27" t="s">
        <v>50</v>
      </c>
      <c r="W378" s="27" t="s">
        <v>50</v>
      </c>
      <c r="X378" s="27" t="s">
        <v>50</v>
      </c>
    </row>
    <row r="379" spans="1:25" x14ac:dyDescent="0.25">
      <c r="A379" s="26">
        <v>43350</v>
      </c>
      <c r="B379" s="27" t="s">
        <v>125</v>
      </c>
      <c r="C379" s="27" t="s">
        <v>106</v>
      </c>
      <c r="D379" s="89">
        <v>38.228540000000002</v>
      </c>
      <c r="E379" s="89">
        <v>-121.67419</v>
      </c>
      <c r="F379" s="27" t="s">
        <v>6082</v>
      </c>
      <c r="G379" s="27" t="s">
        <v>90</v>
      </c>
      <c r="H379" s="27" t="s">
        <v>362</v>
      </c>
      <c r="I379" s="84">
        <v>0.41875000000000001</v>
      </c>
      <c r="J379" s="82">
        <v>176.02500000000001</v>
      </c>
      <c r="K379" s="82">
        <v>20.799999999999997</v>
      </c>
      <c r="L379" s="82">
        <v>7.5625</v>
      </c>
      <c r="M379" s="82">
        <v>1.665</v>
      </c>
      <c r="N379" s="4">
        <v>11.175000000000001</v>
      </c>
      <c r="O379" s="27" t="s">
        <v>48</v>
      </c>
      <c r="P379" s="27">
        <v>4</v>
      </c>
      <c r="Q379" s="27">
        <v>10</v>
      </c>
      <c r="R379" s="27" t="s">
        <v>49</v>
      </c>
      <c r="S379" s="27" t="s">
        <v>50</v>
      </c>
      <c r="T379" s="27" t="s">
        <v>50</v>
      </c>
      <c r="U379" s="27" t="s">
        <v>50</v>
      </c>
      <c r="V379" s="27" t="s">
        <v>50</v>
      </c>
      <c r="W379" s="27" t="s">
        <v>50</v>
      </c>
      <c r="X379" s="27" t="s">
        <v>50</v>
      </c>
    </row>
    <row r="380" spans="1:25" s="374" customFormat="1" x14ac:dyDescent="0.25">
      <c r="A380" s="495">
        <v>43350</v>
      </c>
      <c r="B380" s="494" t="s">
        <v>125</v>
      </c>
      <c r="C380" s="494" t="s">
        <v>62</v>
      </c>
      <c r="D380" s="496">
        <v>38.099350000000001</v>
      </c>
      <c r="E380" s="496">
        <v>-122.06666</v>
      </c>
      <c r="F380" s="494" t="s">
        <v>6083</v>
      </c>
      <c r="G380" s="494" t="s">
        <v>27</v>
      </c>
      <c r="H380" s="494" t="s">
        <v>173</v>
      </c>
      <c r="I380" s="497">
        <v>0.3520833333333333</v>
      </c>
      <c r="J380" s="498">
        <v>12592.5</v>
      </c>
      <c r="K380" s="498">
        <v>19.3</v>
      </c>
      <c r="L380" s="498">
        <v>88.55</v>
      </c>
      <c r="M380" s="498">
        <v>0.22500000000000001</v>
      </c>
      <c r="N380" s="499">
        <v>2.7</v>
      </c>
      <c r="O380" s="494" t="s">
        <v>48</v>
      </c>
      <c r="P380" s="494">
        <v>2</v>
      </c>
      <c r="Q380" s="494">
        <v>10</v>
      </c>
      <c r="R380" s="494" t="s">
        <v>49</v>
      </c>
      <c r="S380" s="494" t="s">
        <v>323</v>
      </c>
      <c r="T380" s="494">
        <v>1</v>
      </c>
      <c r="U380" s="494">
        <v>51</v>
      </c>
      <c r="V380" s="494" t="s">
        <v>66</v>
      </c>
      <c r="W380" s="494" t="s">
        <v>50</v>
      </c>
      <c r="X380" s="494" t="s">
        <v>50</v>
      </c>
      <c r="Y380" s="455" t="s">
        <v>5604</v>
      </c>
    </row>
    <row r="381" spans="1:25" x14ac:dyDescent="0.25">
      <c r="A381" s="26">
        <v>43350</v>
      </c>
      <c r="B381" s="27" t="s">
        <v>125</v>
      </c>
      <c r="C381" s="27" t="s">
        <v>62</v>
      </c>
      <c r="D381" s="89">
        <v>38.160510000000002</v>
      </c>
      <c r="E381" s="89">
        <v>-122.04756</v>
      </c>
      <c r="F381" s="27" t="s">
        <v>6084</v>
      </c>
      <c r="G381" s="27" t="s">
        <v>27</v>
      </c>
      <c r="H381" s="27" t="s">
        <v>62</v>
      </c>
      <c r="I381" s="84">
        <v>0.38819444444444445</v>
      </c>
      <c r="J381" s="82">
        <v>6922</v>
      </c>
      <c r="K381" s="82">
        <v>19.824999999999999</v>
      </c>
      <c r="L381" s="82">
        <v>51.95</v>
      </c>
      <c r="M381" s="82">
        <v>0.32750000000000001</v>
      </c>
      <c r="N381" s="4">
        <v>5.55</v>
      </c>
      <c r="O381" s="27" t="s">
        <v>48</v>
      </c>
      <c r="P381" s="27">
        <v>4</v>
      </c>
      <c r="Q381" s="27">
        <v>10</v>
      </c>
      <c r="R381" s="27" t="s">
        <v>64</v>
      </c>
      <c r="S381" s="27" t="s">
        <v>50</v>
      </c>
      <c r="T381" s="27" t="s">
        <v>50</v>
      </c>
      <c r="U381" s="27" t="s">
        <v>50</v>
      </c>
      <c r="V381" s="27" t="s">
        <v>50</v>
      </c>
      <c r="W381" s="27" t="s">
        <v>50</v>
      </c>
      <c r="X381" s="27" t="s">
        <v>50</v>
      </c>
    </row>
    <row r="382" spans="1:25" x14ac:dyDescent="0.25">
      <c r="A382" s="26">
        <v>43350</v>
      </c>
      <c r="B382" s="27" t="s">
        <v>125</v>
      </c>
      <c r="C382" s="27" t="s">
        <v>62</v>
      </c>
      <c r="D382" s="89">
        <v>38.17709</v>
      </c>
      <c r="E382" s="89">
        <v>-121.91965</v>
      </c>
      <c r="F382" s="27" t="s">
        <v>6085</v>
      </c>
      <c r="G382" s="27" t="s">
        <v>27</v>
      </c>
      <c r="H382" s="27" t="s">
        <v>62</v>
      </c>
      <c r="I382" s="84">
        <v>0.45416666666666666</v>
      </c>
      <c r="J382" s="82">
        <v>6901</v>
      </c>
      <c r="K382" s="82">
        <v>19.524999999999999</v>
      </c>
      <c r="L382" s="82">
        <v>49.599999999999994</v>
      </c>
      <c r="M382" s="82">
        <v>0.38750000000000001</v>
      </c>
      <c r="N382" s="4">
        <v>5.2750000000000004</v>
      </c>
      <c r="O382" s="27" t="s">
        <v>48</v>
      </c>
      <c r="P382" s="27">
        <v>4</v>
      </c>
      <c r="Q382" s="27">
        <v>10</v>
      </c>
      <c r="R382" s="27" t="s">
        <v>64</v>
      </c>
      <c r="S382" s="27" t="s">
        <v>50</v>
      </c>
      <c r="T382" s="27" t="s">
        <v>50</v>
      </c>
      <c r="U382" s="27" t="s">
        <v>50</v>
      </c>
      <c r="V382" s="27" t="s">
        <v>50</v>
      </c>
      <c r="W382" s="27" t="s">
        <v>50</v>
      </c>
      <c r="X382" s="27" t="s">
        <v>50</v>
      </c>
    </row>
    <row r="383" spans="1:25" s="283" customFormat="1" x14ac:dyDescent="0.25">
      <c r="A383" s="350">
        <v>43350</v>
      </c>
      <c r="B383" s="283" t="s">
        <v>125</v>
      </c>
      <c r="C383" s="283" t="s">
        <v>62</v>
      </c>
      <c r="D383" s="351">
        <v>38.108629999999998</v>
      </c>
      <c r="E383" s="351">
        <v>-122.05329999999999</v>
      </c>
      <c r="F383" s="283" t="s">
        <v>6086</v>
      </c>
      <c r="G383" s="283" t="s">
        <v>27</v>
      </c>
      <c r="H383" s="283" t="s">
        <v>173</v>
      </c>
      <c r="I383" s="352">
        <v>0.3756944444444445</v>
      </c>
      <c r="J383" s="368" t="s">
        <v>50</v>
      </c>
      <c r="K383" s="368" t="s">
        <v>50</v>
      </c>
      <c r="L383" s="368" t="s">
        <v>50</v>
      </c>
      <c r="M383" s="368" t="s">
        <v>50</v>
      </c>
      <c r="N383" s="368" t="s">
        <v>50</v>
      </c>
      <c r="O383" s="283" t="s">
        <v>48</v>
      </c>
      <c r="P383" s="283">
        <v>0</v>
      </c>
      <c r="Q383" s="283" t="s">
        <v>50</v>
      </c>
      <c r="R383" s="283" t="s">
        <v>50</v>
      </c>
      <c r="S383" s="283" t="s">
        <v>50</v>
      </c>
      <c r="T383" s="283" t="s">
        <v>50</v>
      </c>
      <c r="U383" s="283" t="s">
        <v>50</v>
      </c>
      <c r="V383" s="283" t="s">
        <v>50</v>
      </c>
      <c r="W383" s="283" t="s">
        <v>50</v>
      </c>
      <c r="X383" s="283" t="s">
        <v>50</v>
      </c>
      <c r="Y383" s="290" t="s">
        <v>4960</v>
      </c>
    </row>
    <row r="384" spans="1:25" x14ac:dyDescent="0.25">
      <c r="A384" s="26">
        <v>43353</v>
      </c>
      <c r="B384" s="27" t="s">
        <v>43</v>
      </c>
      <c r="C384" s="27" t="s">
        <v>62</v>
      </c>
      <c r="D384" s="89">
        <v>38.187139999999999</v>
      </c>
      <c r="E384" s="89">
        <v>-121.97396999999999</v>
      </c>
      <c r="F384" s="27" t="s">
        <v>6087</v>
      </c>
      <c r="G384" s="27" t="s">
        <v>27</v>
      </c>
      <c r="H384" s="27" t="s">
        <v>62</v>
      </c>
      <c r="I384" s="84">
        <v>0.34930555555555554</v>
      </c>
      <c r="J384" s="82">
        <v>7205.5</v>
      </c>
      <c r="K384" s="82">
        <v>20.2</v>
      </c>
      <c r="L384" s="82">
        <v>48.325000000000003</v>
      </c>
      <c r="M384" s="82">
        <v>0.4</v>
      </c>
      <c r="N384" s="4">
        <v>7</v>
      </c>
      <c r="O384" s="27" t="s">
        <v>48</v>
      </c>
      <c r="P384" s="27">
        <v>4</v>
      </c>
      <c r="Q384" s="27">
        <v>10</v>
      </c>
      <c r="R384" s="27" t="s">
        <v>49</v>
      </c>
      <c r="S384" s="27" t="s">
        <v>50</v>
      </c>
      <c r="T384" s="27" t="s">
        <v>50</v>
      </c>
      <c r="U384" s="27" t="s">
        <v>50</v>
      </c>
      <c r="V384" s="27" t="s">
        <v>50</v>
      </c>
      <c r="W384" s="27" t="s">
        <v>50</v>
      </c>
      <c r="X384" s="27" t="s">
        <v>50</v>
      </c>
    </row>
    <row r="385" spans="1:25" x14ac:dyDescent="0.25">
      <c r="A385" s="26">
        <v>43353</v>
      </c>
      <c r="B385" s="27" t="s">
        <v>43</v>
      </c>
      <c r="C385" s="27" t="s">
        <v>62</v>
      </c>
      <c r="D385" s="89">
        <v>38.169800000000002</v>
      </c>
      <c r="E385" s="89">
        <v>-122.02526</v>
      </c>
      <c r="F385" s="27" t="s">
        <v>6088</v>
      </c>
      <c r="G385" s="27" t="s">
        <v>27</v>
      </c>
      <c r="H385" s="27" t="s">
        <v>62</v>
      </c>
      <c r="I385" s="84">
        <v>0.39930555555555558</v>
      </c>
      <c r="J385" s="82">
        <v>8859.25</v>
      </c>
      <c r="K385" s="82">
        <v>20.125</v>
      </c>
      <c r="L385" s="82">
        <v>53.125</v>
      </c>
      <c r="M385" s="82">
        <v>0.30249999999999999</v>
      </c>
      <c r="N385" s="4">
        <v>7.5</v>
      </c>
      <c r="O385" s="27" t="s">
        <v>48</v>
      </c>
      <c r="P385" s="27">
        <v>4</v>
      </c>
      <c r="Q385" s="27">
        <v>10</v>
      </c>
      <c r="R385" s="27" t="s">
        <v>49</v>
      </c>
      <c r="S385" s="27" t="s">
        <v>50</v>
      </c>
      <c r="T385" s="27" t="s">
        <v>50</v>
      </c>
      <c r="U385" s="27" t="s">
        <v>50</v>
      </c>
      <c r="V385" s="27" t="s">
        <v>50</v>
      </c>
      <c r="W385" s="27" t="s">
        <v>50</v>
      </c>
      <c r="X385" s="27" t="s">
        <v>50</v>
      </c>
    </row>
    <row r="386" spans="1:25" x14ac:dyDescent="0.25">
      <c r="A386" s="26">
        <v>43353</v>
      </c>
      <c r="B386" s="27" t="s">
        <v>43</v>
      </c>
      <c r="C386" s="27" t="s">
        <v>62</v>
      </c>
      <c r="D386" s="89">
        <v>38.119959999999999</v>
      </c>
      <c r="E386" s="89">
        <v>-122.05624</v>
      </c>
      <c r="F386" s="27" t="s">
        <v>6089</v>
      </c>
      <c r="G386" s="27" t="s">
        <v>27</v>
      </c>
      <c r="H386" s="27" t="s">
        <v>173</v>
      </c>
      <c r="I386" s="84">
        <v>0.4548611111111111</v>
      </c>
      <c r="J386" s="82">
        <v>12717.5</v>
      </c>
      <c r="K386" s="82">
        <v>20.174999999999997</v>
      </c>
      <c r="L386" s="82">
        <v>58.575000000000003</v>
      </c>
      <c r="M386" s="82">
        <v>0.36</v>
      </c>
      <c r="N386" s="4">
        <v>2.4000000000000004</v>
      </c>
      <c r="O386" s="27" t="s">
        <v>48</v>
      </c>
      <c r="P386" s="27">
        <v>4</v>
      </c>
      <c r="Q386" s="27">
        <v>10</v>
      </c>
      <c r="R386" s="27" t="s">
        <v>64</v>
      </c>
      <c r="S386" s="27" t="s">
        <v>50</v>
      </c>
      <c r="T386" s="27" t="s">
        <v>50</v>
      </c>
      <c r="U386" s="27" t="s">
        <v>50</v>
      </c>
      <c r="V386" s="27" t="s">
        <v>50</v>
      </c>
      <c r="W386" s="27" t="s">
        <v>50</v>
      </c>
      <c r="X386" s="27" t="s">
        <v>50</v>
      </c>
    </row>
    <row r="387" spans="1:25" x14ac:dyDescent="0.25">
      <c r="A387" s="26">
        <v>43353</v>
      </c>
      <c r="B387" s="27" t="s">
        <v>43</v>
      </c>
      <c r="C387" s="27" t="s">
        <v>95</v>
      </c>
      <c r="D387" s="89">
        <v>38.064320000000002</v>
      </c>
      <c r="E387" s="89">
        <v>-121.54154</v>
      </c>
      <c r="F387" s="27" t="s">
        <v>6090</v>
      </c>
      <c r="G387" s="27" t="s">
        <v>46</v>
      </c>
      <c r="H387" s="27" t="s">
        <v>5685</v>
      </c>
      <c r="I387" s="84">
        <v>0.34930555555555554</v>
      </c>
      <c r="J387" s="82">
        <v>348.6</v>
      </c>
      <c r="K387" s="82">
        <v>21.799999999999997</v>
      </c>
      <c r="L387" s="82">
        <v>6.33</v>
      </c>
      <c r="M387" s="82">
        <v>1.45</v>
      </c>
      <c r="N387" s="4">
        <v>9.2750000000000004</v>
      </c>
      <c r="O387" s="27" t="s">
        <v>48</v>
      </c>
      <c r="P387" s="27">
        <v>4</v>
      </c>
      <c r="Q387" s="27">
        <v>10</v>
      </c>
      <c r="R387" s="27" t="s">
        <v>49</v>
      </c>
      <c r="S387" s="27" t="s">
        <v>50</v>
      </c>
      <c r="T387" s="27" t="s">
        <v>50</v>
      </c>
      <c r="U387" s="27" t="s">
        <v>50</v>
      </c>
      <c r="V387" s="27" t="s">
        <v>50</v>
      </c>
      <c r="W387" s="27" t="s">
        <v>50</v>
      </c>
      <c r="X387" s="27" t="s">
        <v>50</v>
      </c>
    </row>
    <row r="388" spans="1:25" x14ac:dyDescent="0.25">
      <c r="A388" s="26">
        <v>43353</v>
      </c>
      <c r="B388" s="27" t="s">
        <v>43</v>
      </c>
      <c r="C388" s="27" t="s">
        <v>95</v>
      </c>
      <c r="D388" s="89">
        <v>38.05359</v>
      </c>
      <c r="E388" s="89">
        <v>-121.51694000000001</v>
      </c>
      <c r="F388" s="27" t="s">
        <v>6091</v>
      </c>
      <c r="G388" s="27" t="s">
        <v>46</v>
      </c>
      <c r="H388" s="27" t="s">
        <v>5685</v>
      </c>
      <c r="I388" s="84">
        <v>0.39166666666666666</v>
      </c>
      <c r="J388" s="82">
        <v>300.47500000000002</v>
      </c>
      <c r="K388" s="82">
        <v>22.25</v>
      </c>
      <c r="L388" s="82">
        <v>8.0549999999999997</v>
      </c>
      <c r="M388" s="82">
        <v>1.3299999999999998</v>
      </c>
      <c r="N388" s="4">
        <v>12.275000000000002</v>
      </c>
      <c r="O388" s="27" t="s">
        <v>48</v>
      </c>
      <c r="P388" s="27">
        <v>4</v>
      </c>
      <c r="Q388" s="27">
        <v>10</v>
      </c>
      <c r="R388" s="27" t="s">
        <v>49</v>
      </c>
      <c r="S388" s="27" t="s">
        <v>50</v>
      </c>
      <c r="T388" s="27" t="s">
        <v>50</v>
      </c>
      <c r="U388" s="27" t="s">
        <v>50</v>
      </c>
      <c r="V388" s="27" t="s">
        <v>50</v>
      </c>
      <c r="W388" s="27" t="s">
        <v>50</v>
      </c>
      <c r="X388" s="27" t="s">
        <v>50</v>
      </c>
    </row>
    <row r="389" spans="1:25" x14ac:dyDescent="0.25">
      <c r="A389" s="26">
        <v>43353</v>
      </c>
      <c r="B389" s="27" t="s">
        <v>43</v>
      </c>
      <c r="C389" s="27" t="s">
        <v>95</v>
      </c>
      <c r="D389" s="89">
        <v>38.040869999999998</v>
      </c>
      <c r="E389" s="89">
        <v>-121.49451999999999</v>
      </c>
      <c r="F389" s="27" t="s">
        <v>6092</v>
      </c>
      <c r="G389" s="27" t="s">
        <v>46</v>
      </c>
      <c r="H389" s="27" t="s">
        <v>5685</v>
      </c>
      <c r="I389" s="84">
        <v>0.45347222222222222</v>
      </c>
      <c r="J389" s="82">
        <v>255.125</v>
      </c>
      <c r="K389" s="82">
        <v>22.65</v>
      </c>
      <c r="L389" s="82">
        <v>6.7</v>
      </c>
      <c r="M389" s="82">
        <v>1.4175</v>
      </c>
      <c r="N389" s="4">
        <v>11.399999999999999</v>
      </c>
      <c r="O389" s="27" t="s">
        <v>48</v>
      </c>
      <c r="P389" s="27">
        <v>4</v>
      </c>
      <c r="Q389" s="27">
        <v>10</v>
      </c>
      <c r="R389" s="27" t="s">
        <v>49</v>
      </c>
      <c r="S389" s="27" t="s">
        <v>50</v>
      </c>
      <c r="T389" s="27" t="s">
        <v>50</v>
      </c>
      <c r="U389" s="27" t="s">
        <v>50</v>
      </c>
      <c r="V389" s="27" t="s">
        <v>50</v>
      </c>
      <c r="W389" s="27" t="s">
        <v>50</v>
      </c>
      <c r="X389" s="27" t="s">
        <v>50</v>
      </c>
    </row>
    <row r="390" spans="1:25" x14ac:dyDescent="0.25">
      <c r="A390" s="26">
        <v>43353</v>
      </c>
      <c r="B390" s="27" t="s">
        <v>43</v>
      </c>
      <c r="C390" s="27" t="s">
        <v>106</v>
      </c>
      <c r="D390" s="89">
        <v>38.217309999999998</v>
      </c>
      <c r="E390" s="89">
        <v>-121.67158000000001</v>
      </c>
      <c r="F390" s="27" t="s">
        <v>6093</v>
      </c>
      <c r="G390" s="27" t="s">
        <v>90</v>
      </c>
      <c r="H390" s="27" t="s">
        <v>362</v>
      </c>
      <c r="I390" s="84">
        <v>0.30902777777777779</v>
      </c>
      <c r="J390" s="82">
        <v>167.57499999999999</v>
      </c>
      <c r="K390" s="82">
        <v>21.1</v>
      </c>
      <c r="L390" s="82">
        <v>5.47</v>
      </c>
      <c r="M390" s="82" t="s">
        <v>5829</v>
      </c>
      <c r="N390" s="4">
        <v>13.95</v>
      </c>
      <c r="O390" s="27" t="s">
        <v>48</v>
      </c>
      <c r="P390" s="27">
        <v>4</v>
      </c>
      <c r="Q390" s="27">
        <v>10</v>
      </c>
      <c r="R390" s="27" t="s">
        <v>49</v>
      </c>
      <c r="S390" s="27" t="s">
        <v>50</v>
      </c>
      <c r="T390" s="27" t="s">
        <v>50</v>
      </c>
      <c r="U390" s="27" t="s">
        <v>50</v>
      </c>
      <c r="V390" s="27" t="s">
        <v>50</v>
      </c>
      <c r="W390" s="27" t="s">
        <v>50</v>
      </c>
      <c r="X390" s="27" t="s">
        <v>50</v>
      </c>
      <c r="Y390" s="35" t="s">
        <v>6094</v>
      </c>
    </row>
    <row r="391" spans="1:25" x14ac:dyDescent="0.25">
      <c r="A391" s="26">
        <v>43353</v>
      </c>
      <c r="B391" s="27" t="s">
        <v>43</v>
      </c>
      <c r="C391" s="27" t="s">
        <v>106</v>
      </c>
      <c r="D391" s="89">
        <v>38.244199999999999</v>
      </c>
      <c r="E391" s="89">
        <v>-121.67140000000001</v>
      </c>
      <c r="F391" s="27" t="s">
        <v>6095</v>
      </c>
      <c r="G391" s="27" t="s">
        <v>90</v>
      </c>
      <c r="H391" s="27" t="s">
        <v>362</v>
      </c>
      <c r="I391" s="84">
        <v>0.36041666666666666</v>
      </c>
      <c r="J391" s="82">
        <v>176.67500000000001</v>
      </c>
      <c r="K391" s="82">
        <v>20.9</v>
      </c>
      <c r="L391" s="82">
        <v>7.1400000000000006</v>
      </c>
      <c r="M391" s="82" t="s">
        <v>5829</v>
      </c>
      <c r="N391" s="4">
        <v>8.5749999999999993</v>
      </c>
      <c r="O391" s="27" t="s">
        <v>48</v>
      </c>
      <c r="P391" s="27">
        <v>4</v>
      </c>
      <c r="Q391" s="27">
        <v>10</v>
      </c>
      <c r="R391" s="27" t="s">
        <v>49</v>
      </c>
      <c r="S391" s="27" t="s">
        <v>50</v>
      </c>
      <c r="T391" s="27" t="s">
        <v>50</v>
      </c>
      <c r="U391" s="27" t="s">
        <v>50</v>
      </c>
      <c r="V391" s="27" t="s">
        <v>50</v>
      </c>
      <c r="W391" s="27" t="s">
        <v>50</v>
      </c>
      <c r="X391" s="27" t="s">
        <v>50</v>
      </c>
    </row>
    <row r="392" spans="1:25" x14ac:dyDescent="0.25">
      <c r="A392" s="26">
        <v>43353</v>
      </c>
      <c r="B392" s="27" t="s">
        <v>43</v>
      </c>
      <c r="C392" s="27" t="s">
        <v>106</v>
      </c>
      <c r="D392" s="89">
        <v>38.274419999999999</v>
      </c>
      <c r="E392" s="89">
        <v>-121.66055</v>
      </c>
      <c r="F392" s="27" t="s">
        <v>6096</v>
      </c>
      <c r="G392" s="27" t="s">
        <v>90</v>
      </c>
      <c r="H392" s="27" t="s">
        <v>362</v>
      </c>
      <c r="I392" s="84">
        <v>0.41250000000000003</v>
      </c>
      <c r="J392" s="82">
        <v>219.625</v>
      </c>
      <c r="K392" s="82">
        <v>21.25</v>
      </c>
      <c r="L392" s="82">
        <v>10.605</v>
      </c>
      <c r="M392" s="82">
        <v>0.995</v>
      </c>
      <c r="N392" s="4">
        <v>10.625</v>
      </c>
      <c r="O392" s="27" t="s">
        <v>48</v>
      </c>
      <c r="P392" s="27">
        <v>4</v>
      </c>
      <c r="Q392" s="27">
        <v>10</v>
      </c>
      <c r="R392" s="27" t="s">
        <v>49</v>
      </c>
      <c r="S392" s="27" t="s">
        <v>50</v>
      </c>
      <c r="T392" s="27" t="s">
        <v>50</v>
      </c>
      <c r="U392" s="27" t="s">
        <v>50</v>
      </c>
      <c r="V392" s="27" t="s">
        <v>50</v>
      </c>
      <c r="W392" s="27" t="s">
        <v>50</v>
      </c>
      <c r="X392" s="27" t="s">
        <v>50</v>
      </c>
    </row>
    <row r="393" spans="1:25" s="375" customFormat="1" x14ac:dyDescent="0.25">
      <c r="A393" s="495">
        <v>43353</v>
      </c>
      <c r="B393" s="494" t="s">
        <v>43</v>
      </c>
      <c r="C393" s="494" t="s">
        <v>106</v>
      </c>
      <c r="D393" s="496">
        <v>38.355600000000003</v>
      </c>
      <c r="E393" s="496">
        <v>-121.63842</v>
      </c>
      <c r="F393" s="494" t="s">
        <v>6097</v>
      </c>
      <c r="G393" s="494" t="s">
        <v>90</v>
      </c>
      <c r="H393" s="494" t="s">
        <v>362</v>
      </c>
      <c r="I393" s="497">
        <v>0.46875</v>
      </c>
      <c r="J393" s="498">
        <v>401</v>
      </c>
      <c r="K393" s="498">
        <v>21.45</v>
      </c>
      <c r="L393" s="498">
        <v>30.85</v>
      </c>
      <c r="M393" s="498">
        <v>0.34499999999999997</v>
      </c>
      <c r="N393" s="499">
        <v>10.199999999999999</v>
      </c>
      <c r="O393" s="494" t="s">
        <v>48</v>
      </c>
      <c r="P393" s="494">
        <v>2</v>
      </c>
      <c r="Q393" s="494">
        <v>10</v>
      </c>
      <c r="R393" s="494" t="s">
        <v>49</v>
      </c>
      <c r="S393" s="494" t="s">
        <v>323</v>
      </c>
      <c r="T393" s="494">
        <v>20</v>
      </c>
      <c r="U393" s="494" t="s">
        <v>6098</v>
      </c>
      <c r="V393" s="494" t="s">
        <v>66</v>
      </c>
      <c r="W393" s="494" t="s">
        <v>50</v>
      </c>
      <c r="X393" s="494" t="s">
        <v>50</v>
      </c>
      <c r="Y393" s="455" t="s">
        <v>6099</v>
      </c>
    </row>
    <row r="394" spans="1:25" x14ac:dyDescent="0.25">
      <c r="A394" s="26">
        <v>43354</v>
      </c>
      <c r="B394" s="27" t="s">
        <v>70</v>
      </c>
      <c r="C394" s="27" t="s">
        <v>95</v>
      </c>
      <c r="D394" s="89">
        <v>38.025570000000002</v>
      </c>
      <c r="E394" s="89">
        <v>-121.72177000000001</v>
      </c>
      <c r="F394" s="27" t="s">
        <v>6100</v>
      </c>
      <c r="G394" s="27" t="s">
        <v>27</v>
      </c>
      <c r="H394" s="27" t="s">
        <v>863</v>
      </c>
      <c r="I394" s="84">
        <v>0.32291666666666669</v>
      </c>
      <c r="J394" s="82">
        <v>1448.75</v>
      </c>
      <c r="K394" s="82">
        <v>20.98</v>
      </c>
      <c r="L394" s="82">
        <v>6.52</v>
      </c>
      <c r="M394" s="82">
        <v>1.59</v>
      </c>
      <c r="N394" s="4">
        <v>4.83</v>
      </c>
      <c r="O394" s="27" t="s">
        <v>48</v>
      </c>
      <c r="P394" s="27">
        <v>4</v>
      </c>
      <c r="Q394" s="27">
        <v>10</v>
      </c>
      <c r="R394" s="27" t="s">
        <v>49</v>
      </c>
      <c r="S394" s="27" t="s">
        <v>50</v>
      </c>
      <c r="T394" s="27" t="s">
        <v>50</v>
      </c>
      <c r="U394" s="27" t="s">
        <v>50</v>
      </c>
      <c r="V394" s="27" t="s">
        <v>50</v>
      </c>
      <c r="W394" s="27" t="s">
        <v>50</v>
      </c>
      <c r="X394" s="27" t="s">
        <v>50</v>
      </c>
    </row>
    <row r="395" spans="1:25" x14ac:dyDescent="0.25">
      <c r="A395" s="26">
        <v>43354</v>
      </c>
      <c r="B395" s="27" t="s">
        <v>70</v>
      </c>
      <c r="C395" s="27" t="s">
        <v>95</v>
      </c>
      <c r="D395" s="89">
        <v>38.074849999999998</v>
      </c>
      <c r="E395" s="89">
        <v>-121.66593</v>
      </c>
      <c r="F395" s="27" t="s">
        <v>6101</v>
      </c>
      <c r="G395" s="27" t="s">
        <v>46</v>
      </c>
      <c r="H395" s="27" t="s">
        <v>908</v>
      </c>
      <c r="I395" s="84">
        <v>0.37847222222222227</v>
      </c>
      <c r="J395" s="82">
        <v>1066.75</v>
      </c>
      <c r="K395" s="82">
        <v>21.13</v>
      </c>
      <c r="L395" s="82">
        <v>6.35</v>
      </c>
      <c r="M395" s="82">
        <v>1.43</v>
      </c>
      <c r="N395" s="4">
        <v>10.3</v>
      </c>
      <c r="O395" s="27" t="s">
        <v>48</v>
      </c>
      <c r="P395" s="27">
        <v>4</v>
      </c>
      <c r="Q395" s="27">
        <v>10</v>
      </c>
      <c r="R395" s="27" t="s">
        <v>49</v>
      </c>
      <c r="S395" s="27" t="s">
        <v>50</v>
      </c>
      <c r="T395" s="27" t="s">
        <v>50</v>
      </c>
      <c r="U395" s="27" t="s">
        <v>50</v>
      </c>
      <c r="V395" s="27" t="s">
        <v>50</v>
      </c>
      <c r="W395" s="27" t="s">
        <v>50</v>
      </c>
      <c r="X395" s="27" t="s">
        <v>50</v>
      </c>
    </row>
    <row r="396" spans="1:25" x14ac:dyDescent="0.25">
      <c r="A396" s="26">
        <v>43354</v>
      </c>
      <c r="B396" s="27" t="s">
        <v>70</v>
      </c>
      <c r="C396" s="27" t="s">
        <v>95</v>
      </c>
      <c r="D396" s="89">
        <v>38.102220000000003</v>
      </c>
      <c r="E396" s="89">
        <v>-121.61098</v>
      </c>
      <c r="F396" s="27" t="s">
        <v>6102</v>
      </c>
      <c r="G396" s="27" t="s">
        <v>46</v>
      </c>
      <c r="H396" s="27" t="s">
        <v>908</v>
      </c>
      <c r="I396" s="84">
        <v>0.44444444444444442</v>
      </c>
      <c r="J396" s="345">
        <v>493.25</v>
      </c>
      <c r="K396" s="345">
        <v>21.625000000000004</v>
      </c>
      <c r="L396" s="345">
        <v>9.2349999999999994</v>
      </c>
      <c r="M396" s="4">
        <v>1.1125</v>
      </c>
      <c r="N396" s="4">
        <v>9.375</v>
      </c>
      <c r="O396" s="27" t="s">
        <v>48</v>
      </c>
      <c r="P396" s="27">
        <v>4</v>
      </c>
      <c r="Q396" s="27">
        <v>10</v>
      </c>
      <c r="R396" s="27" t="s">
        <v>49</v>
      </c>
      <c r="S396" s="27" t="s">
        <v>50</v>
      </c>
      <c r="T396" s="27" t="s">
        <v>50</v>
      </c>
      <c r="U396" s="27" t="s">
        <v>50</v>
      </c>
      <c r="V396" s="27" t="s">
        <v>50</v>
      </c>
      <c r="W396" s="27" t="s">
        <v>50</v>
      </c>
      <c r="X396" s="27" t="s">
        <v>50</v>
      </c>
    </row>
    <row r="397" spans="1:25" s="376" customFormat="1" x14ac:dyDescent="0.25">
      <c r="A397" s="495">
        <v>43354</v>
      </c>
      <c r="B397" s="494" t="s">
        <v>70</v>
      </c>
      <c r="C397" s="494" t="s">
        <v>106</v>
      </c>
      <c r="D397" s="496">
        <v>38.375909999999998</v>
      </c>
      <c r="E397" s="496">
        <v>-121.62827</v>
      </c>
      <c r="F397" s="494" t="s">
        <v>6103</v>
      </c>
      <c r="G397" s="494" t="s">
        <v>90</v>
      </c>
      <c r="H397" s="494" t="s">
        <v>362</v>
      </c>
      <c r="I397" s="497">
        <v>0.33958333333333335</v>
      </c>
      <c r="J397" s="498">
        <v>347.13</v>
      </c>
      <c r="K397" s="498">
        <v>22.1</v>
      </c>
      <c r="L397" s="498">
        <v>21.43</v>
      </c>
      <c r="M397" s="498">
        <v>0.55000000000000004</v>
      </c>
      <c r="N397" s="499">
        <v>5.73</v>
      </c>
      <c r="O397" s="494" t="s">
        <v>48</v>
      </c>
      <c r="P397" s="494">
        <v>3</v>
      </c>
      <c r="Q397" s="494">
        <v>10</v>
      </c>
      <c r="R397" s="494" t="s">
        <v>64</v>
      </c>
      <c r="S397" s="494" t="s">
        <v>323</v>
      </c>
      <c r="T397" s="494">
        <v>4</v>
      </c>
      <c r="U397" s="494" t="s">
        <v>6104</v>
      </c>
      <c r="V397" s="494" t="s">
        <v>66</v>
      </c>
      <c r="W397" s="494" t="s">
        <v>50</v>
      </c>
      <c r="X397" s="494" t="s">
        <v>50</v>
      </c>
      <c r="Y397" s="455" t="s">
        <v>5775</v>
      </c>
    </row>
    <row r="398" spans="1:25" x14ac:dyDescent="0.25">
      <c r="A398" s="26">
        <v>43354</v>
      </c>
      <c r="B398" s="27" t="s">
        <v>70</v>
      </c>
      <c r="C398" s="27" t="s">
        <v>106</v>
      </c>
      <c r="D398" s="89">
        <v>38.454799999999999</v>
      </c>
      <c r="E398" s="89">
        <v>-121.59269</v>
      </c>
      <c r="F398" s="27" t="s">
        <v>6105</v>
      </c>
      <c r="G398" s="27" t="s">
        <v>90</v>
      </c>
      <c r="H398" s="27" t="s">
        <v>362</v>
      </c>
      <c r="I398" s="84">
        <v>0.4069444444444445</v>
      </c>
      <c r="J398" s="82">
        <v>664.75</v>
      </c>
      <c r="K398" s="82">
        <v>21.93</v>
      </c>
      <c r="L398" s="82">
        <v>25.8</v>
      </c>
      <c r="M398" s="82">
        <v>0.48</v>
      </c>
      <c r="N398" s="4">
        <v>9.5299999999999994</v>
      </c>
      <c r="O398" s="27" t="s">
        <v>48</v>
      </c>
      <c r="P398" s="27">
        <v>4</v>
      </c>
      <c r="Q398" s="27">
        <v>10</v>
      </c>
      <c r="R398" s="27" t="s">
        <v>49</v>
      </c>
      <c r="S398" s="27" t="s">
        <v>50</v>
      </c>
      <c r="T398" s="27" t="s">
        <v>50</v>
      </c>
      <c r="U398" s="27" t="s">
        <v>50</v>
      </c>
      <c r="V398" s="27" t="s">
        <v>50</v>
      </c>
      <c r="W398" s="27" t="s">
        <v>50</v>
      </c>
      <c r="X398" s="27" t="s">
        <v>50</v>
      </c>
      <c r="Y398" s="35" t="s">
        <v>6106</v>
      </c>
    </row>
    <row r="399" spans="1:25" x14ac:dyDescent="0.25">
      <c r="A399" s="26">
        <v>43354</v>
      </c>
      <c r="B399" s="27" t="s">
        <v>70</v>
      </c>
      <c r="C399" s="27" t="s">
        <v>106</v>
      </c>
      <c r="D399" s="89">
        <v>38.491070000000001</v>
      </c>
      <c r="E399" s="89">
        <v>-121.58369999999999</v>
      </c>
      <c r="F399" s="27" t="s">
        <v>6107</v>
      </c>
      <c r="G399" s="27" t="s">
        <v>90</v>
      </c>
      <c r="H399" s="27" t="s">
        <v>1787</v>
      </c>
      <c r="I399" s="84">
        <v>0.4604166666666667</v>
      </c>
      <c r="J399" s="82">
        <v>799.75</v>
      </c>
      <c r="K399" s="82">
        <v>22.43</v>
      </c>
      <c r="L399" s="82">
        <v>14.63</v>
      </c>
      <c r="M399" s="82">
        <v>0.61</v>
      </c>
      <c r="N399" s="4">
        <v>8.2799999999999994</v>
      </c>
      <c r="O399" s="27" t="s">
        <v>48</v>
      </c>
      <c r="P399" s="27">
        <v>4</v>
      </c>
      <c r="Q399" s="27">
        <v>10</v>
      </c>
      <c r="R399" s="27" t="s">
        <v>49</v>
      </c>
      <c r="S399" s="27" t="s">
        <v>50</v>
      </c>
      <c r="T399" s="27" t="s">
        <v>50</v>
      </c>
      <c r="U399" s="27" t="s">
        <v>50</v>
      </c>
      <c r="V399" s="27" t="s">
        <v>50</v>
      </c>
      <c r="W399" s="27" t="s">
        <v>50</v>
      </c>
      <c r="X399" s="27" t="s">
        <v>50</v>
      </c>
    </row>
    <row r="400" spans="1:25" x14ac:dyDescent="0.25">
      <c r="A400" s="26">
        <v>43354</v>
      </c>
      <c r="B400" s="27" t="s">
        <v>70</v>
      </c>
      <c r="C400" s="27" t="s">
        <v>62</v>
      </c>
      <c r="D400" s="89">
        <v>38.179250000000003</v>
      </c>
      <c r="E400" s="89">
        <v>-122.05213000000001</v>
      </c>
      <c r="F400" s="27" t="s">
        <v>6108</v>
      </c>
      <c r="G400" s="27" t="s">
        <v>27</v>
      </c>
      <c r="H400" s="27" t="s">
        <v>62</v>
      </c>
      <c r="I400" s="84">
        <v>0.3840277777777778</v>
      </c>
      <c r="J400" s="82">
        <v>8482</v>
      </c>
      <c r="K400" s="82">
        <v>20.100000000000001</v>
      </c>
      <c r="L400" s="82">
        <v>76.349999999999994</v>
      </c>
      <c r="M400" s="82">
        <v>0.27</v>
      </c>
      <c r="N400" s="4">
        <v>4.88</v>
      </c>
      <c r="O400" s="27" t="s">
        <v>48</v>
      </c>
      <c r="P400" s="27">
        <v>4</v>
      </c>
      <c r="Q400" s="27">
        <v>10</v>
      </c>
      <c r="R400" s="27" t="s">
        <v>49</v>
      </c>
      <c r="S400" s="27" t="s">
        <v>50</v>
      </c>
      <c r="T400" s="27" t="s">
        <v>50</v>
      </c>
      <c r="U400" s="27" t="s">
        <v>50</v>
      </c>
      <c r="V400" s="27" t="s">
        <v>50</v>
      </c>
      <c r="W400" s="27" t="s">
        <v>50</v>
      </c>
      <c r="X400" s="27" t="s">
        <v>50</v>
      </c>
    </row>
    <row r="401" spans="1:25" s="378" customFormat="1" x14ac:dyDescent="0.25">
      <c r="A401" s="377">
        <v>43354</v>
      </c>
      <c r="B401" s="378" t="s">
        <v>70</v>
      </c>
      <c r="C401" s="378" t="s">
        <v>62</v>
      </c>
      <c r="D401" s="379">
        <v>38.15784</v>
      </c>
      <c r="E401" s="379">
        <v>-122.06659999999999</v>
      </c>
      <c r="F401" s="378" t="s">
        <v>6109</v>
      </c>
      <c r="G401" s="378" t="s">
        <v>27</v>
      </c>
      <c r="H401" s="378" t="s">
        <v>62</v>
      </c>
      <c r="I401" s="380">
        <v>0.35833333333333334</v>
      </c>
      <c r="J401" s="381" t="s">
        <v>50</v>
      </c>
      <c r="K401" s="381" t="s">
        <v>50</v>
      </c>
      <c r="L401" s="381" t="s">
        <v>50</v>
      </c>
      <c r="M401" s="381" t="s">
        <v>50</v>
      </c>
      <c r="N401" s="381" t="s">
        <v>50</v>
      </c>
      <c r="O401" s="378" t="s">
        <v>48</v>
      </c>
      <c r="P401" s="378">
        <v>0</v>
      </c>
      <c r="Q401" s="378" t="s">
        <v>50</v>
      </c>
      <c r="R401" s="378" t="s">
        <v>50</v>
      </c>
      <c r="S401" s="378" t="s">
        <v>50</v>
      </c>
      <c r="T401" s="378" t="s">
        <v>50</v>
      </c>
      <c r="U401" s="378" t="s">
        <v>50</v>
      </c>
      <c r="V401" s="378" t="s">
        <v>50</v>
      </c>
      <c r="W401" s="378" t="s">
        <v>50</v>
      </c>
      <c r="X401" s="378" t="s">
        <v>50</v>
      </c>
      <c r="Y401" s="382" t="s">
        <v>4960</v>
      </c>
    </row>
    <row r="402" spans="1:25" x14ac:dyDescent="0.25">
      <c r="A402" s="26">
        <v>43354</v>
      </c>
      <c r="B402" s="27" t="s">
        <v>70</v>
      </c>
      <c r="C402" s="27" t="s">
        <v>62</v>
      </c>
      <c r="D402" s="89">
        <v>38.145499999999998</v>
      </c>
      <c r="E402" s="89">
        <v>-122.05834</v>
      </c>
      <c r="F402" s="27" t="s">
        <v>6110</v>
      </c>
      <c r="G402" s="27" t="s">
        <v>27</v>
      </c>
      <c r="H402" s="27" t="s">
        <v>62</v>
      </c>
      <c r="I402" s="84">
        <v>0.43888888888888888</v>
      </c>
      <c r="J402" s="82">
        <v>11374.25</v>
      </c>
      <c r="K402" s="82">
        <v>20.38</v>
      </c>
      <c r="L402" s="82">
        <v>50.53</v>
      </c>
      <c r="M402" s="82">
        <v>0.34</v>
      </c>
      <c r="N402" s="4">
        <v>4.88</v>
      </c>
      <c r="O402" s="27" t="s">
        <v>48</v>
      </c>
      <c r="P402" s="27">
        <v>4</v>
      </c>
      <c r="Q402" s="27">
        <v>10</v>
      </c>
      <c r="R402" s="27" t="s">
        <v>49</v>
      </c>
      <c r="S402" s="27" t="s">
        <v>50</v>
      </c>
      <c r="T402" s="27" t="s">
        <v>50</v>
      </c>
      <c r="U402" s="27" t="s">
        <v>50</v>
      </c>
      <c r="V402" s="27" t="s">
        <v>50</v>
      </c>
      <c r="W402" s="27" t="s">
        <v>50</v>
      </c>
      <c r="X402" s="27" t="s">
        <v>50</v>
      </c>
    </row>
    <row r="403" spans="1:25" s="378" customFormat="1" x14ac:dyDescent="0.25">
      <c r="A403" s="377">
        <v>43354</v>
      </c>
      <c r="B403" s="378" t="s">
        <v>70</v>
      </c>
      <c r="C403" s="378" t="s">
        <v>62</v>
      </c>
      <c r="D403" s="379">
        <v>38.102350000000001</v>
      </c>
      <c r="E403" s="379">
        <v>-122.06532</v>
      </c>
      <c r="F403" s="378" t="s">
        <v>6111</v>
      </c>
      <c r="G403" s="378" t="s">
        <v>27</v>
      </c>
      <c r="H403" s="378" t="s">
        <v>173</v>
      </c>
      <c r="I403" s="380">
        <v>0.48749999999999999</v>
      </c>
      <c r="J403" s="381" t="s">
        <v>50</v>
      </c>
      <c r="K403" s="381" t="s">
        <v>50</v>
      </c>
      <c r="L403" s="381" t="s">
        <v>50</v>
      </c>
      <c r="M403" s="381" t="s">
        <v>50</v>
      </c>
      <c r="N403" s="381" t="s">
        <v>50</v>
      </c>
      <c r="O403" s="378" t="s">
        <v>48</v>
      </c>
      <c r="P403" s="378">
        <v>0</v>
      </c>
      <c r="Q403" s="378" t="s">
        <v>50</v>
      </c>
      <c r="R403" s="378" t="s">
        <v>50</v>
      </c>
      <c r="S403" s="378" t="s">
        <v>50</v>
      </c>
      <c r="T403" s="378" t="s">
        <v>50</v>
      </c>
      <c r="U403" s="378" t="s">
        <v>50</v>
      </c>
      <c r="V403" s="378" t="s">
        <v>50</v>
      </c>
      <c r="W403" s="378" t="s">
        <v>50</v>
      </c>
      <c r="X403" s="378" t="s">
        <v>50</v>
      </c>
      <c r="Y403" s="382" t="s">
        <v>4960</v>
      </c>
    </row>
    <row r="404" spans="1:25" x14ac:dyDescent="0.25">
      <c r="A404" s="26">
        <v>43355</v>
      </c>
      <c r="B404" s="27" t="s">
        <v>87</v>
      </c>
      <c r="C404" s="27" t="s">
        <v>845</v>
      </c>
      <c r="D404" s="89">
        <v>38.281619999999997</v>
      </c>
      <c r="E404" s="89">
        <v>-121.66477999999999</v>
      </c>
      <c r="F404" s="27" t="s">
        <v>6112</v>
      </c>
      <c r="G404" s="27" t="s">
        <v>90</v>
      </c>
      <c r="H404" s="27" t="s">
        <v>126</v>
      </c>
      <c r="I404" s="84">
        <v>0.31944444444444448</v>
      </c>
      <c r="J404" s="82">
        <v>193.9</v>
      </c>
      <c r="K404" s="82">
        <v>20.399999999999999</v>
      </c>
      <c r="L404" s="82">
        <v>6.71</v>
      </c>
      <c r="M404" s="82">
        <v>1.55</v>
      </c>
      <c r="N404" s="4">
        <v>5.17</v>
      </c>
      <c r="O404" s="27" t="s">
        <v>48</v>
      </c>
      <c r="P404" s="27">
        <v>5</v>
      </c>
      <c r="Q404" s="27">
        <v>10</v>
      </c>
      <c r="R404" s="27" t="s">
        <v>64</v>
      </c>
      <c r="S404" s="27" t="s">
        <v>50</v>
      </c>
      <c r="T404" s="27" t="s">
        <v>50</v>
      </c>
      <c r="U404" s="27" t="s">
        <v>50</v>
      </c>
      <c r="V404" s="27" t="s">
        <v>50</v>
      </c>
      <c r="W404" s="27" t="s">
        <v>50</v>
      </c>
      <c r="X404" s="27" t="s">
        <v>50</v>
      </c>
      <c r="Y404" s="35" t="s">
        <v>6113</v>
      </c>
    </row>
    <row r="405" spans="1:25" x14ac:dyDescent="0.25">
      <c r="A405" s="26">
        <v>43355</v>
      </c>
      <c r="B405" s="27" t="s">
        <v>87</v>
      </c>
      <c r="C405" s="27" t="s">
        <v>845</v>
      </c>
      <c r="D405" s="89">
        <v>38.261220000000002</v>
      </c>
      <c r="E405" s="89">
        <v>-121.67009</v>
      </c>
      <c r="F405" s="27" t="s">
        <v>6114</v>
      </c>
      <c r="G405" s="27" t="s">
        <v>90</v>
      </c>
      <c r="H405" s="27" t="s">
        <v>126</v>
      </c>
      <c r="I405" s="84">
        <v>0.37708333333333338</v>
      </c>
      <c r="J405" s="82">
        <v>180.05</v>
      </c>
      <c r="K405" s="82">
        <v>20.43</v>
      </c>
      <c r="L405" s="82">
        <v>6.19</v>
      </c>
      <c r="M405" s="82" t="s">
        <v>5829</v>
      </c>
      <c r="N405" s="4">
        <v>7.03</v>
      </c>
      <c r="O405" s="27" t="s">
        <v>48</v>
      </c>
      <c r="P405" s="27">
        <v>4</v>
      </c>
      <c r="Q405" s="27">
        <v>10</v>
      </c>
      <c r="R405" s="27" t="s">
        <v>49</v>
      </c>
      <c r="S405" s="27" t="s">
        <v>50</v>
      </c>
      <c r="T405" s="27" t="s">
        <v>50</v>
      </c>
      <c r="U405" s="27" t="s">
        <v>50</v>
      </c>
      <c r="V405" s="27" t="s">
        <v>50</v>
      </c>
      <c r="W405" s="27" t="s">
        <v>50</v>
      </c>
      <c r="X405" s="27" t="s">
        <v>50</v>
      </c>
    </row>
    <row r="406" spans="1:25" x14ac:dyDescent="0.25">
      <c r="A406" s="26">
        <v>43355</v>
      </c>
      <c r="B406" s="27" t="s">
        <v>87</v>
      </c>
      <c r="C406" s="27" t="s">
        <v>845</v>
      </c>
      <c r="D406" s="89">
        <v>38.236969999999999</v>
      </c>
      <c r="E406" s="89">
        <v>-121.68383</v>
      </c>
      <c r="F406" s="27" t="s">
        <v>6115</v>
      </c>
      <c r="G406" s="27" t="s">
        <v>90</v>
      </c>
      <c r="H406" s="27" t="s">
        <v>126</v>
      </c>
      <c r="I406" s="84">
        <v>0.42430555555555555</v>
      </c>
      <c r="J406" s="82">
        <v>174</v>
      </c>
      <c r="K406" s="82">
        <v>20.38</v>
      </c>
      <c r="L406" s="82">
        <v>6.39</v>
      </c>
      <c r="M406" s="82">
        <v>1.79</v>
      </c>
      <c r="N406" s="4">
        <v>13.95</v>
      </c>
      <c r="O406" s="27" t="s">
        <v>48</v>
      </c>
      <c r="P406" s="27">
        <v>4</v>
      </c>
      <c r="Q406" s="27">
        <v>10</v>
      </c>
      <c r="R406" s="27" t="s">
        <v>49</v>
      </c>
      <c r="S406" s="27" t="s">
        <v>50</v>
      </c>
      <c r="T406" s="27" t="s">
        <v>50</v>
      </c>
      <c r="U406" s="27" t="s">
        <v>50</v>
      </c>
      <c r="V406" s="27" t="s">
        <v>50</v>
      </c>
      <c r="W406" s="27" t="s">
        <v>50</v>
      </c>
      <c r="X406" s="27" t="s">
        <v>50</v>
      </c>
    </row>
    <row r="407" spans="1:25" s="205" customFormat="1" x14ac:dyDescent="0.25">
      <c r="A407" s="204">
        <v>43355</v>
      </c>
      <c r="B407" s="205" t="s">
        <v>87</v>
      </c>
      <c r="C407" s="205" t="s">
        <v>78</v>
      </c>
      <c r="D407" s="206">
        <v>38.054540000000003</v>
      </c>
      <c r="E407" s="206">
        <v>-122.11412</v>
      </c>
      <c r="F407" s="205" t="s">
        <v>6116</v>
      </c>
      <c r="G407" s="205" t="s">
        <v>80</v>
      </c>
      <c r="H407" s="205" t="s">
        <v>81</v>
      </c>
      <c r="I407" s="207">
        <v>0.35000000000000003</v>
      </c>
      <c r="J407" s="208">
        <v>19616</v>
      </c>
      <c r="K407" s="208">
        <v>18.899999999999999</v>
      </c>
      <c r="L407" s="208">
        <v>29.3</v>
      </c>
      <c r="M407" s="208">
        <v>0.53</v>
      </c>
      <c r="N407" s="209">
        <v>10.78</v>
      </c>
      <c r="O407" s="205" t="s">
        <v>48</v>
      </c>
      <c r="P407" s="205">
        <v>4</v>
      </c>
      <c r="Q407" s="205">
        <v>10</v>
      </c>
      <c r="R407" s="205" t="s">
        <v>49</v>
      </c>
      <c r="S407" s="205" t="s">
        <v>702</v>
      </c>
      <c r="T407" s="205">
        <v>1</v>
      </c>
      <c r="U407" s="205">
        <v>102</v>
      </c>
      <c r="V407" s="205" t="s">
        <v>50</v>
      </c>
      <c r="W407" s="205">
        <v>5</v>
      </c>
      <c r="X407" s="205" t="s">
        <v>50</v>
      </c>
      <c r="Y407" s="210"/>
    </row>
    <row r="408" spans="1:25" x14ac:dyDescent="0.25">
      <c r="A408" s="26">
        <v>43355</v>
      </c>
      <c r="B408" s="27" t="s">
        <v>87</v>
      </c>
      <c r="C408" s="27" t="s">
        <v>78</v>
      </c>
      <c r="D408" s="89">
        <v>38.077249999999999</v>
      </c>
      <c r="E408" s="89">
        <v>-122.09671</v>
      </c>
      <c r="F408" s="27" t="s">
        <v>6117</v>
      </c>
      <c r="G408" s="27" t="s">
        <v>80</v>
      </c>
      <c r="H408" s="27" t="s">
        <v>81</v>
      </c>
      <c r="I408" s="84">
        <v>0.40972222222222227</v>
      </c>
      <c r="J408" s="82">
        <v>16019.5</v>
      </c>
      <c r="K408" s="82">
        <v>19.03</v>
      </c>
      <c r="L408" s="82">
        <v>164</v>
      </c>
      <c r="M408" s="82">
        <v>0.25</v>
      </c>
      <c r="N408" s="4">
        <v>5.6</v>
      </c>
      <c r="O408" s="27" t="s">
        <v>48</v>
      </c>
      <c r="P408" s="27">
        <v>4</v>
      </c>
      <c r="Q408" s="27">
        <v>10</v>
      </c>
      <c r="R408" s="27" t="s">
        <v>49</v>
      </c>
      <c r="S408" s="27" t="s">
        <v>50</v>
      </c>
      <c r="T408" s="27" t="s">
        <v>50</v>
      </c>
      <c r="U408" s="27" t="s">
        <v>50</v>
      </c>
      <c r="V408" s="27" t="s">
        <v>50</v>
      </c>
      <c r="W408" s="27" t="s">
        <v>50</v>
      </c>
      <c r="X408" s="27" t="s">
        <v>50</v>
      </c>
    </row>
    <row r="409" spans="1:25" x14ac:dyDescent="0.25">
      <c r="A409" s="26">
        <v>43355</v>
      </c>
      <c r="B409" s="27" t="s">
        <v>87</v>
      </c>
      <c r="C409" s="27" t="s">
        <v>78</v>
      </c>
      <c r="D409" s="89">
        <v>38.042490000000001</v>
      </c>
      <c r="E409" s="89">
        <v>-121.91395</v>
      </c>
      <c r="F409" s="27" t="s">
        <v>6118</v>
      </c>
      <c r="G409" s="27" t="s">
        <v>27</v>
      </c>
      <c r="H409" s="27" t="s">
        <v>101</v>
      </c>
      <c r="I409" s="84">
        <v>0.48680555555555555</v>
      </c>
      <c r="J409" s="82">
        <v>5717.75</v>
      </c>
      <c r="K409" s="82">
        <v>19.899999999999999</v>
      </c>
      <c r="L409" s="82">
        <v>33.93</v>
      </c>
      <c r="M409" s="82">
        <v>0.75</v>
      </c>
      <c r="N409" s="4">
        <v>13.23</v>
      </c>
      <c r="O409" s="27" t="s">
        <v>48</v>
      </c>
      <c r="P409" s="27">
        <v>4</v>
      </c>
      <c r="Q409" s="27">
        <v>10</v>
      </c>
      <c r="R409" s="27" t="s">
        <v>49</v>
      </c>
      <c r="S409" s="27" t="s">
        <v>50</v>
      </c>
      <c r="T409" s="27" t="s">
        <v>50</v>
      </c>
      <c r="U409" s="27" t="s">
        <v>50</v>
      </c>
      <c r="V409" s="27" t="s">
        <v>50</v>
      </c>
      <c r="W409" s="27" t="s">
        <v>50</v>
      </c>
      <c r="X409" s="27" t="s">
        <v>50</v>
      </c>
    </row>
    <row r="410" spans="1:25" x14ac:dyDescent="0.25">
      <c r="A410" s="26">
        <v>43355</v>
      </c>
      <c r="B410" s="27" t="s">
        <v>87</v>
      </c>
      <c r="C410" s="27" t="s">
        <v>88</v>
      </c>
      <c r="D410" s="89">
        <v>38.131709999999998</v>
      </c>
      <c r="E410" s="89">
        <v>-121.6902</v>
      </c>
      <c r="F410" s="27" t="s">
        <v>6119</v>
      </c>
      <c r="G410" s="27" t="s">
        <v>90</v>
      </c>
      <c r="H410" s="27" t="s">
        <v>91</v>
      </c>
      <c r="I410" s="84">
        <v>0.3347222222222222</v>
      </c>
      <c r="J410" s="82">
        <v>377.83</v>
      </c>
      <c r="K410" s="82">
        <v>20.63</v>
      </c>
      <c r="L410" s="82">
        <v>5.44</v>
      </c>
      <c r="M410" s="82">
        <v>1.52</v>
      </c>
      <c r="N410" s="4">
        <v>4.38</v>
      </c>
      <c r="O410" s="27" t="s">
        <v>48</v>
      </c>
      <c r="P410" s="27">
        <v>4</v>
      </c>
      <c r="Q410" s="27">
        <v>10</v>
      </c>
      <c r="R410" s="27" t="s">
        <v>49</v>
      </c>
      <c r="S410" s="27" t="s">
        <v>50</v>
      </c>
      <c r="T410" s="27" t="s">
        <v>50</v>
      </c>
      <c r="U410" s="27" t="s">
        <v>50</v>
      </c>
      <c r="V410" s="27" t="s">
        <v>50</v>
      </c>
      <c r="W410" s="27" t="s">
        <v>50</v>
      </c>
      <c r="X410" s="27" t="s">
        <v>50</v>
      </c>
    </row>
    <row r="411" spans="1:25" x14ac:dyDescent="0.25">
      <c r="A411" s="26">
        <v>43355</v>
      </c>
      <c r="B411" s="27" t="s">
        <v>87</v>
      </c>
      <c r="C411" s="27" t="s">
        <v>88</v>
      </c>
      <c r="D411" s="89">
        <v>38.158320000000003</v>
      </c>
      <c r="E411" s="89">
        <v>-121.68562</v>
      </c>
      <c r="F411" s="27" t="s">
        <v>6120</v>
      </c>
      <c r="G411" s="27" t="s">
        <v>90</v>
      </c>
      <c r="H411" s="27" t="s">
        <v>91</v>
      </c>
      <c r="I411" s="84">
        <v>0.38819444444444445</v>
      </c>
      <c r="J411" s="82">
        <v>169.73</v>
      </c>
      <c r="K411" s="82">
        <v>20.85</v>
      </c>
      <c r="L411" s="82">
        <v>9.76</v>
      </c>
      <c r="M411" s="82">
        <v>1.54</v>
      </c>
      <c r="N411" s="4">
        <v>9.0500000000000007</v>
      </c>
      <c r="O411" s="27" t="s">
        <v>48</v>
      </c>
      <c r="P411" s="27">
        <v>4</v>
      </c>
      <c r="Q411" s="27">
        <v>10</v>
      </c>
      <c r="R411" s="27" t="s">
        <v>49</v>
      </c>
      <c r="S411" s="27" t="s">
        <v>50</v>
      </c>
      <c r="T411" s="27" t="s">
        <v>50</v>
      </c>
      <c r="U411" s="27" t="s">
        <v>50</v>
      </c>
      <c r="V411" s="27" t="s">
        <v>50</v>
      </c>
      <c r="W411" s="27" t="s">
        <v>50</v>
      </c>
      <c r="X411" s="27" t="s">
        <v>50</v>
      </c>
    </row>
    <row r="412" spans="1:25" x14ac:dyDescent="0.25">
      <c r="A412" s="26">
        <v>43355</v>
      </c>
      <c r="B412" s="27" t="s">
        <v>87</v>
      </c>
      <c r="C412" s="27" t="s">
        <v>88</v>
      </c>
      <c r="D412" s="89">
        <v>38.174399999999999</v>
      </c>
      <c r="E412" s="89">
        <v>-121.66928</v>
      </c>
      <c r="F412" s="27" t="s">
        <v>6121</v>
      </c>
      <c r="G412" s="27" t="s">
        <v>90</v>
      </c>
      <c r="H412" s="27" t="s">
        <v>91</v>
      </c>
      <c r="I412" s="84">
        <v>0.4458333333333333</v>
      </c>
      <c r="J412" s="82">
        <v>164.2</v>
      </c>
      <c r="K412" s="82">
        <v>20.78</v>
      </c>
      <c r="L412" s="82">
        <v>6.51</v>
      </c>
      <c r="M412" s="82">
        <v>1.7</v>
      </c>
      <c r="N412" s="4">
        <v>13.56</v>
      </c>
      <c r="O412" s="27" t="s">
        <v>48</v>
      </c>
      <c r="P412" s="27">
        <v>4</v>
      </c>
      <c r="Q412" s="27">
        <v>10</v>
      </c>
      <c r="R412" s="27" t="s">
        <v>49</v>
      </c>
      <c r="S412" s="27" t="s">
        <v>50</v>
      </c>
      <c r="T412" s="27" t="s">
        <v>50</v>
      </c>
      <c r="U412" s="27" t="s">
        <v>50</v>
      </c>
      <c r="V412" s="27" t="s">
        <v>50</v>
      </c>
      <c r="W412" s="27" t="s">
        <v>50</v>
      </c>
      <c r="X412" s="27" t="s">
        <v>50</v>
      </c>
    </row>
    <row r="413" spans="1:25" x14ac:dyDescent="0.25">
      <c r="A413" s="26">
        <v>43356</v>
      </c>
      <c r="B413" s="27" t="s">
        <v>105</v>
      </c>
      <c r="C413" s="27" t="s">
        <v>845</v>
      </c>
      <c r="D413" s="89">
        <v>38.244500000000002</v>
      </c>
      <c r="E413" s="89">
        <v>-121.69188</v>
      </c>
      <c r="F413" s="27" t="s">
        <v>6122</v>
      </c>
      <c r="G413" s="27" t="s">
        <v>90</v>
      </c>
      <c r="H413" s="27" t="s">
        <v>126</v>
      </c>
      <c r="I413" s="84">
        <v>0.32430555555555557</v>
      </c>
      <c r="J413" s="82">
        <v>176.16</v>
      </c>
      <c r="K413" s="82">
        <v>20.16</v>
      </c>
      <c r="L413" s="82">
        <v>5.35</v>
      </c>
      <c r="M413" s="82" t="s">
        <v>5829</v>
      </c>
      <c r="N413" s="4">
        <v>5.48</v>
      </c>
      <c r="O413" s="27" t="s">
        <v>48</v>
      </c>
      <c r="P413" s="27">
        <v>5</v>
      </c>
      <c r="Q413" s="27">
        <v>10</v>
      </c>
      <c r="R413" s="27" t="s">
        <v>49</v>
      </c>
      <c r="S413" s="27" t="s">
        <v>50</v>
      </c>
      <c r="T413" s="27" t="s">
        <v>50</v>
      </c>
      <c r="U413" s="27" t="s">
        <v>50</v>
      </c>
      <c r="V413" s="27" t="s">
        <v>50</v>
      </c>
      <c r="W413" s="27" t="s">
        <v>50</v>
      </c>
      <c r="X413" s="27" t="s">
        <v>50</v>
      </c>
      <c r="Y413" s="35" t="s">
        <v>6123</v>
      </c>
    </row>
    <row r="414" spans="1:25" x14ac:dyDescent="0.25">
      <c r="A414" s="26">
        <v>43356</v>
      </c>
      <c r="B414" s="27" t="s">
        <v>105</v>
      </c>
      <c r="C414" s="27" t="s">
        <v>845</v>
      </c>
      <c r="D414" s="89">
        <v>38.253369999999997</v>
      </c>
      <c r="E414" s="89">
        <v>-121.68704</v>
      </c>
      <c r="F414" s="27" t="s">
        <v>6124</v>
      </c>
      <c r="G414" s="27" t="s">
        <v>90</v>
      </c>
      <c r="H414" s="27" t="s">
        <v>126</v>
      </c>
      <c r="I414" s="84">
        <v>0.40416666666666662</v>
      </c>
      <c r="J414" s="82">
        <v>176.82500000000002</v>
      </c>
      <c r="K414" s="82">
        <v>20.125</v>
      </c>
      <c r="L414" s="82">
        <v>5.0124999999999993</v>
      </c>
      <c r="M414" s="82" t="s">
        <v>5829</v>
      </c>
      <c r="N414" s="4">
        <v>7.875</v>
      </c>
      <c r="O414" s="27" t="s">
        <v>48</v>
      </c>
      <c r="P414" s="27">
        <v>4</v>
      </c>
      <c r="Q414" s="27">
        <v>10</v>
      </c>
      <c r="R414" s="27" t="s">
        <v>49</v>
      </c>
      <c r="S414" s="27" t="s">
        <v>50</v>
      </c>
      <c r="T414" s="27" t="s">
        <v>50</v>
      </c>
      <c r="U414" s="27" t="s">
        <v>50</v>
      </c>
      <c r="V414" s="27" t="s">
        <v>50</v>
      </c>
      <c r="W414" s="27" t="s">
        <v>50</v>
      </c>
      <c r="X414" s="27" t="s">
        <v>50</v>
      </c>
    </row>
    <row r="415" spans="1:25" x14ac:dyDescent="0.25">
      <c r="A415" s="26">
        <v>43356</v>
      </c>
      <c r="B415" s="27" t="s">
        <v>105</v>
      </c>
      <c r="C415" s="27" t="s">
        <v>845</v>
      </c>
      <c r="D415" s="89">
        <v>38.270809999999997</v>
      </c>
      <c r="E415" s="89">
        <v>-121.70417999999999</v>
      </c>
      <c r="F415" s="27" t="s">
        <v>6125</v>
      </c>
      <c r="G415" s="27" t="s">
        <v>90</v>
      </c>
      <c r="H415" s="27" t="s">
        <v>126</v>
      </c>
      <c r="I415" s="84">
        <v>0.45416666666666666</v>
      </c>
      <c r="J415" s="82">
        <v>186.14999999999998</v>
      </c>
      <c r="K415" s="82">
        <v>19.625</v>
      </c>
      <c r="L415" s="82">
        <v>3.94</v>
      </c>
      <c r="M415" s="82" t="s">
        <v>5829</v>
      </c>
      <c r="N415" s="4">
        <v>4.0999999999999996</v>
      </c>
      <c r="O415" s="27" t="s">
        <v>48</v>
      </c>
      <c r="P415" s="27">
        <v>4</v>
      </c>
      <c r="Q415" s="27">
        <v>10</v>
      </c>
      <c r="R415" s="27" t="s">
        <v>49</v>
      </c>
      <c r="S415" s="27" t="s">
        <v>50</v>
      </c>
      <c r="T415" s="27" t="s">
        <v>50</v>
      </c>
      <c r="U415" s="27" t="s">
        <v>50</v>
      </c>
      <c r="V415" s="27" t="s">
        <v>50</v>
      </c>
      <c r="W415" s="27" t="s">
        <v>50</v>
      </c>
      <c r="X415" s="27" t="s">
        <v>50</v>
      </c>
      <c r="Y415" s="35" t="s">
        <v>6126</v>
      </c>
    </row>
    <row r="416" spans="1:25" x14ac:dyDescent="0.25">
      <c r="A416" s="26">
        <v>43356</v>
      </c>
      <c r="B416" s="27" t="s">
        <v>105</v>
      </c>
      <c r="C416" s="27" t="s">
        <v>78</v>
      </c>
      <c r="D416" s="89">
        <v>38.081609999999998</v>
      </c>
      <c r="E416" s="89">
        <v>-122.04143999999999</v>
      </c>
      <c r="F416" s="27" t="s">
        <v>6127</v>
      </c>
      <c r="G416" s="27" t="s">
        <v>27</v>
      </c>
      <c r="H416" s="27" t="s">
        <v>86</v>
      </c>
      <c r="I416" s="84">
        <v>0.33402777777777781</v>
      </c>
      <c r="J416" s="82">
        <v>16134</v>
      </c>
      <c r="K416" s="82">
        <v>18.574999999999999</v>
      </c>
      <c r="L416" s="82">
        <v>32.025000000000006</v>
      </c>
      <c r="M416" s="82">
        <v>0.51500000000000001</v>
      </c>
      <c r="N416" s="4">
        <v>5.5500000000000007</v>
      </c>
      <c r="O416" s="27" t="s">
        <v>48</v>
      </c>
      <c r="P416" s="27">
        <v>4</v>
      </c>
      <c r="Q416" s="27">
        <v>10</v>
      </c>
      <c r="R416" s="27" t="s">
        <v>64</v>
      </c>
      <c r="S416" s="27" t="s">
        <v>50</v>
      </c>
      <c r="T416" s="27" t="s">
        <v>50</v>
      </c>
      <c r="U416" s="27" t="s">
        <v>50</v>
      </c>
      <c r="V416" s="27" t="s">
        <v>50</v>
      </c>
      <c r="W416" s="27" t="s">
        <v>50</v>
      </c>
      <c r="X416" s="27" t="s">
        <v>50</v>
      </c>
    </row>
    <row r="417" spans="1:25" s="149" customFormat="1" x14ac:dyDescent="0.25">
      <c r="A417" s="178">
        <v>43356</v>
      </c>
      <c r="B417" s="149" t="s">
        <v>105</v>
      </c>
      <c r="C417" s="149" t="s">
        <v>78</v>
      </c>
      <c r="D417" s="150">
        <v>38.094499999999996</v>
      </c>
      <c r="E417" s="150">
        <v>-122.0604</v>
      </c>
      <c r="F417" s="149" t="s">
        <v>6128</v>
      </c>
      <c r="G417" s="149" t="s">
        <v>27</v>
      </c>
      <c r="H417" s="149" t="s">
        <v>86</v>
      </c>
      <c r="I417" s="151">
        <v>0.39027777777777778</v>
      </c>
      <c r="J417" s="197">
        <v>16199</v>
      </c>
      <c r="K417" s="197">
        <v>18.7</v>
      </c>
      <c r="L417" s="197">
        <v>38</v>
      </c>
      <c r="M417" s="197">
        <v>0.52</v>
      </c>
      <c r="N417" s="197">
        <v>6.2</v>
      </c>
      <c r="O417" s="149" t="s">
        <v>48</v>
      </c>
      <c r="P417" s="149">
        <v>1</v>
      </c>
      <c r="Q417" s="149">
        <v>10</v>
      </c>
      <c r="R417" s="149" t="s">
        <v>49</v>
      </c>
      <c r="S417" s="149" t="s">
        <v>50</v>
      </c>
      <c r="T417" s="149" t="s">
        <v>50</v>
      </c>
      <c r="U417" s="149" t="s">
        <v>50</v>
      </c>
      <c r="V417" s="149" t="s">
        <v>50</v>
      </c>
      <c r="W417" s="149" t="s">
        <v>50</v>
      </c>
      <c r="X417" s="149" t="s">
        <v>50</v>
      </c>
      <c r="Y417" s="152" t="s">
        <v>6129</v>
      </c>
    </row>
    <row r="418" spans="1:25" x14ac:dyDescent="0.25">
      <c r="A418" s="26">
        <v>43356</v>
      </c>
      <c r="B418" s="27" t="s">
        <v>105</v>
      </c>
      <c r="C418" s="27" t="s">
        <v>78</v>
      </c>
      <c r="D418" s="89">
        <v>38.097549999999998</v>
      </c>
      <c r="E418" s="89">
        <v>-122.02522</v>
      </c>
      <c r="F418" s="27" t="s">
        <v>6130</v>
      </c>
      <c r="G418" s="27" t="s">
        <v>27</v>
      </c>
      <c r="H418" s="27" t="s">
        <v>86</v>
      </c>
      <c r="I418" s="84">
        <v>0.43263888888888885</v>
      </c>
      <c r="J418" s="82">
        <v>13859.5</v>
      </c>
      <c r="K418" s="82">
        <v>18.75</v>
      </c>
      <c r="L418" s="82">
        <v>30.925000000000001</v>
      </c>
      <c r="M418" s="82">
        <v>0.56000000000000005</v>
      </c>
      <c r="N418" s="4">
        <v>7.125</v>
      </c>
      <c r="O418" s="27" t="s">
        <v>48</v>
      </c>
      <c r="P418" s="27">
        <v>4</v>
      </c>
      <c r="Q418" s="27">
        <v>10</v>
      </c>
      <c r="R418" s="27" t="s">
        <v>49</v>
      </c>
      <c r="S418" s="27" t="s">
        <v>50</v>
      </c>
      <c r="T418" s="27" t="s">
        <v>50</v>
      </c>
      <c r="U418" s="27" t="s">
        <v>50</v>
      </c>
      <c r="V418" s="27" t="s">
        <v>50</v>
      </c>
      <c r="W418" s="27" t="s">
        <v>50</v>
      </c>
      <c r="X418" s="27" t="s">
        <v>50</v>
      </c>
      <c r="Y418" s="35" t="s">
        <v>6131</v>
      </c>
    </row>
    <row r="419" spans="1:25" x14ac:dyDescent="0.25">
      <c r="A419" s="26">
        <v>43356</v>
      </c>
      <c r="B419" s="27" t="s">
        <v>105</v>
      </c>
      <c r="C419" s="27" t="s">
        <v>78</v>
      </c>
      <c r="D419" s="89">
        <v>38.095480000000002</v>
      </c>
      <c r="E419" s="89">
        <v>-122.06286</v>
      </c>
      <c r="F419" s="27" t="s">
        <v>6132</v>
      </c>
      <c r="G419" s="27" t="s">
        <v>27</v>
      </c>
      <c r="H419" s="27" t="s">
        <v>86</v>
      </c>
      <c r="I419" s="84">
        <v>0.47847222222222219</v>
      </c>
      <c r="J419" s="82">
        <v>14193.75</v>
      </c>
      <c r="K419" s="82">
        <v>18.899999999999999</v>
      </c>
      <c r="L419" s="82">
        <v>35.075000000000003</v>
      </c>
      <c r="M419" s="82">
        <v>0.45250000000000001</v>
      </c>
      <c r="N419" s="4">
        <v>8.0749999999999993</v>
      </c>
      <c r="O419" s="27" t="s">
        <v>48</v>
      </c>
      <c r="P419" s="27">
        <v>4</v>
      </c>
      <c r="Q419" s="27">
        <v>10</v>
      </c>
      <c r="R419" s="27" t="s">
        <v>49</v>
      </c>
      <c r="S419" s="27" t="s">
        <v>50</v>
      </c>
      <c r="T419" s="27" t="s">
        <v>50</v>
      </c>
      <c r="U419" s="27" t="s">
        <v>50</v>
      </c>
      <c r="V419" s="27" t="s">
        <v>50</v>
      </c>
      <c r="W419" s="27" t="s">
        <v>50</v>
      </c>
      <c r="X419" s="27" t="s">
        <v>50</v>
      </c>
    </row>
    <row r="420" spans="1:25" x14ac:dyDescent="0.25">
      <c r="A420" s="26">
        <v>43356</v>
      </c>
      <c r="B420" s="27" t="s">
        <v>105</v>
      </c>
      <c r="C420" s="27" t="s">
        <v>88</v>
      </c>
      <c r="D420" s="89">
        <v>38.05894</v>
      </c>
      <c r="E420" s="89">
        <v>-121.81456</v>
      </c>
      <c r="F420" s="27" t="s">
        <v>6133</v>
      </c>
      <c r="G420" s="27" t="s">
        <v>27</v>
      </c>
      <c r="H420" s="27" t="s">
        <v>25</v>
      </c>
      <c r="I420" s="84">
        <v>0.32222222222222224</v>
      </c>
      <c r="J420" s="82">
        <v>4636.25</v>
      </c>
      <c r="K420" s="82">
        <v>19.649999999999999</v>
      </c>
      <c r="L420" s="82">
        <v>14.75</v>
      </c>
      <c r="M420" s="82">
        <v>0.71000000000000008</v>
      </c>
      <c r="N420" s="4">
        <v>10.175000000000001</v>
      </c>
      <c r="O420" s="27" t="s">
        <v>48</v>
      </c>
      <c r="P420" s="27">
        <v>4</v>
      </c>
      <c r="Q420" s="27">
        <v>10</v>
      </c>
      <c r="R420" s="27" t="s">
        <v>64</v>
      </c>
      <c r="S420" s="27" t="s">
        <v>50</v>
      </c>
      <c r="T420" s="27" t="s">
        <v>50</v>
      </c>
      <c r="U420" s="27" t="s">
        <v>50</v>
      </c>
      <c r="V420" s="27" t="s">
        <v>50</v>
      </c>
      <c r="W420" s="27" t="s">
        <v>50</v>
      </c>
      <c r="X420" s="27" t="s">
        <v>50</v>
      </c>
    </row>
    <row r="421" spans="1:25" x14ac:dyDescent="0.25">
      <c r="A421" s="26">
        <v>43356</v>
      </c>
      <c r="B421" s="27" t="s">
        <v>105</v>
      </c>
      <c r="C421" s="27" t="s">
        <v>88</v>
      </c>
      <c r="D421" s="89">
        <v>38.070720000000001</v>
      </c>
      <c r="E421" s="89">
        <v>-121.83839999999999</v>
      </c>
      <c r="F421" s="27" t="s">
        <v>6134</v>
      </c>
      <c r="G421" s="27" t="s">
        <v>27</v>
      </c>
      <c r="H421" s="27" t="s">
        <v>25</v>
      </c>
      <c r="I421" s="84">
        <v>0.3743055555555555</v>
      </c>
      <c r="J421" s="82">
        <v>4761.5</v>
      </c>
      <c r="K421" s="82">
        <v>19.675000000000001</v>
      </c>
      <c r="L421" s="82">
        <v>19.399999999999999</v>
      </c>
      <c r="M421" s="82">
        <v>0.57500000000000007</v>
      </c>
      <c r="N421" s="4">
        <v>7.0249999999999995</v>
      </c>
      <c r="O421" s="27" t="s">
        <v>48</v>
      </c>
      <c r="P421" s="27">
        <v>4</v>
      </c>
      <c r="Q421" s="27">
        <v>10</v>
      </c>
      <c r="R421" s="27" t="s">
        <v>49</v>
      </c>
      <c r="S421" s="27" t="s">
        <v>50</v>
      </c>
      <c r="T421" s="27" t="s">
        <v>50</v>
      </c>
      <c r="U421" s="27" t="s">
        <v>50</v>
      </c>
      <c r="V421" s="27" t="s">
        <v>50</v>
      </c>
      <c r="W421" s="27" t="s">
        <v>50</v>
      </c>
      <c r="X421" s="27" t="s">
        <v>50</v>
      </c>
    </row>
    <row r="422" spans="1:25" s="361" customFormat="1" x14ac:dyDescent="0.25">
      <c r="A422" s="360">
        <v>43356</v>
      </c>
      <c r="B422" s="361" t="s">
        <v>105</v>
      </c>
      <c r="C422" s="361" t="s">
        <v>88</v>
      </c>
      <c r="D422" s="362">
        <v>38.109549999999999</v>
      </c>
      <c r="E422" s="362">
        <v>-121.6827</v>
      </c>
      <c r="F422" s="361" t="s">
        <v>6135</v>
      </c>
      <c r="G422" s="361" t="s">
        <v>90</v>
      </c>
      <c r="H422" s="361" t="s">
        <v>91</v>
      </c>
      <c r="I422" s="363">
        <v>0.44166666666666665</v>
      </c>
      <c r="J422" s="364">
        <v>493.3</v>
      </c>
      <c r="K422" s="364">
        <v>20.55</v>
      </c>
      <c r="L422" s="364">
        <v>9.682500000000001</v>
      </c>
      <c r="M422" s="364">
        <v>3.1924999999999999</v>
      </c>
      <c r="N422" s="365">
        <v>7.2666666666666657</v>
      </c>
      <c r="O422" s="361" t="s">
        <v>48</v>
      </c>
      <c r="P422" s="361">
        <v>4</v>
      </c>
      <c r="Q422" s="361">
        <v>10</v>
      </c>
      <c r="R422" s="361" t="s">
        <v>49</v>
      </c>
      <c r="S422" s="361" t="s">
        <v>50</v>
      </c>
      <c r="T422" s="361" t="s">
        <v>50</v>
      </c>
      <c r="U422" s="361" t="s">
        <v>50</v>
      </c>
      <c r="V422" s="361" t="s">
        <v>50</v>
      </c>
      <c r="W422" s="361" t="s">
        <v>50</v>
      </c>
      <c r="X422" s="361" t="s">
        <v>50</v>
      </c>
      <c r="Y422" s="366"/>
    </row>
    <row r="423" spans="1:25" x14ac:dyDescent="0.25">
      <c r="A423" s="26">
        <v>43360</v>
      </c>
      <c r="B423" s="27" t="s">
        <v>43</v>
      </c>
      <c r="C423" s="27" t="s">
        <v>845</v>
      </c>
      <c r="D423" s="89">
        <v>38.232799999999997</v>
      </c>
      <c r="E423" s="89">
        <v>-121.67637000000001</v>
      </c>
      <c r="F423" s="27" t="s">
        <v>6136</v>
      </c>
      <c r="G423" s="27" t="s">
        <v>90</v>
      </c>
      <c r="H423" s="27" t="s">
        <v>126</v>
      </c>
      <c r="I423" s="84">
        <v>0.31111111111111112</v>
      </c>
      <c r="J423" s="82">
        <v>225.25</v>
      </c>
      <c r="K423" s="82">
        <v>19.25</v>
      </c>
      <c r="L423" s="82">
        <v>3.59</v>
      </c>
      <c r="M423" s="82" t="s">
        <v>5829</v>
      </c>
      <c r="N423" s="4">
        <v>10.95</v>
      </c>
      <c r="O423" s="27" t="s">
        <v>48</v>
      </c>
      <c r="P423" s="27">
        <v>4</v>
      </c>
      <c r="Q423" s="27">
        <v>10</v>
      </c>
      <c r="R423" s="27" t="s">
        <v>49</v>
      </c>
      <c r="S423" s="27" t="s">
        <v>50</v>
      </c>
      <c r="T423" s="27" t="s">
        <v>50</v>
      </c>
      <c r="U423" s="27" t="s">
        <v>50</v>
      </c>
      <c r="V423" s="27" t="s">
        <v>50</v>
      </c>
      <c r="W423" s="27" t="s">
        <v>50</v>
      </c>
      <c r="X423" s="27" t="s">
        <v>50</v>
      </c>
      <c r="Y423" s="35" t="s">
        <v>5882</v>
      </c>
    </row>
    <row r="424" spans="1:25" x14ac:dyDescent="0.25">
      <c r="A424" s="26">
        <v>43360</v>
      </c>
      <c r="B424" s="27" t="s">
        <v>43</v>
      </c>
      <c r="C424" s="27" t="s">
        <v>845</v>
      </c>
      <c r="D424" s="89">
        <v>38.281269999999999</v>
      </c>
      <c r="E424" s="89">
        <v>-121.66461</v>
      </c>
      <c r="F424" s="27" t="s">
        <v>6137</v>
      </c>
      <c r="G424" s="27" t="s">
        <v>90</v>
      </c>
      <c r="H424" s="27" t="s">
        <v>126</v>
      </c>
      <c r="I424" s="84">
        <v>0.37013888888888885</v>
      </c>
      <c r="J424" s="82">
        <v>478.95</v>
      </c>
      <c r="K424" s="82">
        <v>19.274999999999999</v>
      </c>
      <c r="L424" s="82">
        <v>8.0250000000000004</v>
      </c>
      <c r="M424" s="82">
        <v>0.89749999999999996</v>
      </c>
      <c r="N424" s="4">
        <v>5.5750000000000002</v>
      </c>
      <c r="O424" s="27" t="s">
        <v>48</v>
      </c>
      <c r="P424" s="27">
        <v>4</v>
      </c>
      <c r="Q424" s="27">
        <v>10</v>
      </c>
      <c r="R424" s="27" t="s">
        <v>64</v>
      </c>
      <c r="S424" s="27" t="s">
        <v>50</v>
      </c>
      <c r="T424" s="27" t="s">
        <v>50</v>
      </c>
      <c r="U424" s="27" t="s">
        <v>50</v>
      </c>
      <c r="V424" s="27" t="s">
        <v>50</v>
      </c>
      <c r="W424" s="27" t="s">
        <v>50</v>
      </c>
      <c r="X424" s="27" t="s">
        <v>50</v>
      </c>
    </row>
    <row r="425" spans="1:25" x14ac:dyDescent="0.25">
      <c r="A425" s="26">
        <v>43360</v>
      </c>
      <c r="B425" s="27" t="s">
        <v>43</v>
      </c>
      <c r="C425" s="27" t="s">
        <v>845</v>
      </c>
      <c r="D425" s="89">
        <v>38.444580000000002</v>
      </c>
      <c r="E425" s="89">
        <v>-121.60142999999999</v>
      </c>
      <c r="F425" s="27" t="s">
        <v>6138</v>
      </c>
      <c r="G425" s="27" t="s">
        <v>90</v>
      </c>
      <c r="H425" s="27" t="s">
        <v>126</v>
      </c>
      <c r="I425" s="84">
        <v>0.43124999999999997</v>
      </c>
      <c r="J425" s="82">
        <v>646.75</v>
      </c>
      <c r="K425" s="82">
        <v>19.924999999999997</v>
      </c>
      <c r="L425" s="82">
        <v>29.774999999999999</v>
      </c>
      <c r="M425" s="82">
        <v>0.3175</v>
      </c>
      <c r="N425" s="4">
        <v>3.2749999999999999</v>
      </c>
      <c r="O425" s="27" t="s">
        <v>48</v>
      </c>
      <c r="P425" s="27">
        <v>4</v>
      </c>
      <c r="Q425" s="27">
        <v>10</v>
      </c>
      <c r="R425" s="27" t="s">
        <v>64</v>
      </c>
      <c r="S425" s="27" t="s">
        <v>50</v>
      </c>
      <c r="T425" s="27" t="s">
        <v>50</v>
      </c>
      <c r="U425" s="27" t="s">
        <v>50</v>
      </c>
      <c r="V425" s="27" t="s">
        <v>50</v>
      </c>
      <c r="W425" s="27" t="s">
        <v>50</v>
      </c>
      <c r="X425" s="27" t="s">
        <v>50</v>
      </c>
      <c r="Y425" s="35" t="s">
        <v>5352</v>
      </c>
    </row>
    <row r="426" spans="1:25" x14ac:dyDescent="0.25">
      <c r="A426" s="26">
        <v>43360</v>
      </c>
      <c r="B426" s="27" t="s">
        <v>43</v>
      </c>
      <c r="C426" s="27" t="s">
        <v>88</v>
      </c>
      <c r="D426" s="89">
        <v>38.081989999999998</v>
      </c>
      <c r="E426" s="89">
        <v>-121.75394</v>
      </c>
      <c r="F426" s="27" t="s">
        <v>6139</v>
      </c>
      <c r="G426" s="27" t="s">
        <v>27</v>
      </c>
      <c r="H426" s="27" t="s">
        <v>25</v>
      </c>
      <c r="I426" s="84">
        <v>0.33888888888888885</v>
      </c>
      <c r="J426" s="82">
        <v>212.60000000000002</v>
      </c>
      <c r="K426" s="82">
        <v>19.825000000000003</v>
      </c>
      <c r="L426" s="82">
        <v>5.8374999999999995</v>
      </c>
      <c r="M426" s="82" t="s">
        <v>5829</v>
      </c>
      <c r="N426" s="4">
        <v>8.9499999999999993</v>
      </c>
      <c r="O426" s="27" t="s">
        <v>48</v>
      </c>
      <c r="P426" s="27">
        <v>4</v>
      </c>
      <c r="Q426" s="27">
        <v>10</v>
      </c>
      <c r="R426" s="27" t="s">
        <v>64</v>
      </c>
      <c r="S426" s="27" t="s">
        <v>50</v>
      </c>
      <c r="T426" s="27" t="s">
        <v>50</v>
      </c>
      <c r="U426" s="27" t="s">
        <v>50</v>
      </c>
      <c r="V426" s="27" t="s">
        <v>50</v>
      </c>
      <c r="W426" s="27" t="s">
        <v>50</v>
      </c>
      <c r="X426" s="27" t="s">
        <v>50</v>
      </c>
    </row>
    <row r="427" spans="1:25" s="383" customFormat="1" x14ac:dyDescent="0.25">
      <c r="A427" s="495">
        <v>43360</v>
      </c>
      <c r="B427" s="494" t="s">
        <v>43</v>
      </c>
      <c r="C427" s="494" t="s">
        <v>88</v>
      </c>
      <c r="D427" s="496">
        <v>38.06926</v>
      </c>
      <c r="E427" s="496">
        <v>-121.83233</v>
      </c>
      <c r="F427" s="494" t="s">
        <v>6140</v>
      </c>
      <c r="G427" s="494" t="s">
        <v>27</v>
      </c>
      <c r="H427" s="494" t="s">
        <v>25</v>
      </c>
      <c r="I427" s="497">
        <v>0.3979166666666667</v>
      </c>
      <c r="J427" s="498">
        <v>1597</v>
      </c>
      <c r="K427" s="498">
        <v>19.55</v>
      </c>
      <c r="L427" s="498">
        <v>21.55</v>
      </c>
      <c r="M427" s="498">
        <v>0.45</v>
      </c>
      <c r="N427" s="499">
        <v>7.1999999999999993</v>
      </c>
      <c r="O427" s="494" t="s">
        <v>48</v>
      </c>
      <c r="P427" s="494">
        <v>2</v>
      </c>
      <c r="Q427" s="494">
        <v>10</v>
      </c>
      <c r="R427" s="494" t="s">
        <v>64</v>
      </c>
      <c r="S427" s="494" t="s">
        <v>323</v>
      </c>
      <c r="T427" s="494">
        <v>13</v>
      </c>
      <c r="U427" s="494" t="s">
        <v>6141</v>
      </c>
      <c r="V427" s="494" t="s">
        <v>66</v>
      </c>
      <c r="W427" s="494" t="s">
        <v>50</v>
      </c>
      <c r="X427" s="494" t="s">
        <v>50</v>
      </c>
      <c r="Y427" s="455" t="s">
        <v>6142</v>
      </c>
    </row>
    <row r="428" spans="1:25" x14ac:dyDescent="0.25">
      <c r="A428" s="26">
        <v>43360</v>
      </c>
      <c r="B428" s="27" t="s">
        <v>43</v>
      </c>
      <c r="C428" s="27" t="s">
        <v>88</v>
      </c>
      <c r="D428" s="89">
        <v>38.075600000000001</v>
      </c>
      <c r="E428" s="89">
        <v>-121.75988</v>
      </c>
      <c r="F428" s="27" t="s">
        <v>6143</v>
      </c>
      <c r="G428" s="27" t="s">
        <v>27</v>
      </c>
      <c r="H428" s="27" t="s">
        <v>25</v>
      </c>
      <c r="I428" s="84">
        <v>0.45</v>
      </c>
      <c r="J428" s="82">
        <v>447.52499999999998</v>
      </c>
      <c r="K428" s="82">
        <v>19.95</v>
      </c>
      <c r="L428" s="82">
        <v>13.45</v>
      </c>
      <c r="M428" s="82">
        <v>0.82500000000000007</v>
      </c>
      <c r="N428" s="4">
        <v>9.125</v>
      </c>
      <c r="O428" s="27" t="s">
        <v>48</v>
      </c>
      <c r="P428" s="27">
        <v>4</v>
      </c>
      <c r="Q428" s="27">
        <v>10</v>
      </c>
      <c r="R428" s="27" t="s">
        <v>64</v>
      </c>
      <c r="S428" s="27" t="s">
        <v>50</v>
      </c>
      <c r="T428" s="27" t="s">
        <v>50</v>
      </c>
      <c r="U428" s="27" t="s">
        <v>50</v>
      </c>
      <c r="V428" s="27" t="s">
        <v>50</v>
      </c>
      <c r="W428" s="27" t="s">
        <v>50</v>
      </c>
      <c r="X428" s="27" t="s">
        <v>50</v>
      </c>
    </row>
    <row r="429" spans="1:25" x14ac:dyDescent="0.25">
      <c r="A429" s="26">
        <v>43360</v>
      </c>
      <c r="B429" s="27" t="s">
        <v>43</v>
      </c>
      <c r="C429" s="27" t="s">
        <v>78</v>
      </c>
      <c r="D429" s="89">
        <v>38.047960000000003</v>
      </c>
      <c r="E429" s="89">
        <v>-122.09737</v>
      </c>
      <c r="F429" s="27" t="s">
        <v>6144</v>
      </c>
      <c r="G429" s="27" t="s">
        <v>80</v>
      </c>
      <c r="H429" s="27" t="s">
        <v>81</v>
      </c>
      <c r="I429" s="84">
        <v>0.37083333333333335</v>
      </c>
      <c r="J429" s="82">
        <v>17870.25</v>
      </c>
      <c r="K429" s="82">
        <v>18.924999999999997</v>
      </c>
      <c r="L429" s="82">
        <v>11.975000000000001</v>
      </c>
      <c r="M429" s="82">
        <v>0.76249999999999996</v>
      </c>
      <c r="N429" s="4">
        <v>14.824999999999999</v>
      </c>
      <c r="O429" s="27" t="s">
        <v>48</v>
      </c>
      <c r="P429" s="27">
        <v>4</v>
      </c>
      <c r="Q429" s="27">
        <v>10</v>
      </c>
      <c r="R429" s="27" t="s">
        <v>64</v>
      </c>
      <c r="S429" s="27" t="s">
        <v>50</v>
      </c>
      <c r="T429" s="27" t="s">
        <v>50</v>
      </c>
      <c r="U429" s="27" t="s">
        <v>50</v>
      </c>
      <c r="V429" s="27" t="s">
        <v>50</v>
      </c>
      <c r="W429" s="27" t="s">
        <v>50</v>
      </c>
      <c r="X429" s="27" t="s">
        <v>50</v>
      </c>
    </row>
    <row r="430" spans="1:25" x14ac:dyDescent="0.25">
      <c r="A430" s="26">
        <v>43360</v>
      </c>
      <c r="B430" s="27" t="s">
        <v>43</v>
      </c>
      <c r="C430" s="27" t="s">
        <v>78</v>
      </c>
      <c r="D430" s="89">
        <v>38.064639999999997</v>
      </c>
      <c r="E430" s="89">
        <v>-122.05776</v>
      </c>
      <c r="F430" s="27" t="s">
        <v>6145</v>
      </c>
      <c r="G430" s="27" t="s">
        <v>80</v>
      </c>
      <c r="H430" s="27" t="s">
        <v>81</v>
      </c>
      <c r="I430" s="84">
        <v>0.4201388888888889</v>
      </c>
      <c r="J430" s="82">
        <v>16172</v>
      </c>
      <c r="K430" s="82">
        <v>19.05</v>
      </c>
      <c r="L430" s="82">
        <v>20.5</v>
      </c>
      <c r="M430" s="82">
        <v>0.58499999999999996</v>
      </c>
      <c r="N430" s="4">
        <v>8.7249999999999996</v>
      </c>
      <c r="O430" s="27" t="s">
        <v>48</v>
      </c>
      <c r="P430" s="27">
        <v>4</v>
      </c>
      <c r="Q430" s="27">
        <v>10</v>
      </c>
      <c r="R430" s="27" t="s">
        <v>64</v>
      </c>
      <c r="S430" s="27" t="s">
        <v>50</v>
      </c>
      <c r="T430" s="27" t="s">
        <v>50</v>
      </c>
      <c r="U430" s="27" t="s">
        <v>50</v>
      </c>
      <c r="V430" s="27" t="s">
        <v>50</v>
      </c>
      <c r="W430" s="27" t="s">
        <v>50</v>
      </c>
      <c r="X430" s="27" t="s">
        <v>50</v>
      </c>
    </row>
    <row r="431" spans="1:25" x14ac:dyDescent="0.25">
      <c r="A431" s="26">
        <v>43360</v>
      </c>
      <c r="B431" s="27" t="s">
        <v>43</v>
      </c>
      <c r="C431" s="27" t="s">
        <v>78</v>
      </c>
      <c r="D431" s="89">
        <v>38.060890000000001</v>
      </c>
      <c r="E431" s="89">
        <v>-121.99554000000001</v>
      </c>
      <c r="F431" s="27" t="s">
        <v>6146</v>
      </c>
      <c r="G431" s="27" t="s">
        <v>27</v>
      </c>
      <c r="H431" s="27" t="s">
        <v>86</v>
      </c>
      <c r="I431" s="84">
        <v>0.47291666666666665</v>
      </c>
      <c r="J431" s="82">
        <v>11375.75</v>
      </c>
      <c r="K431" s="82">
        <v>19.25</v>
      </c>
      <c r="L431" s="82">
        <v>17.575000000000003</v>
      </c>
      <c r="M431" s="82">
        <v>0.64</v>
      </c>
      <c r="N431" s="4">
        <v>13.5</v>
      </c>
      <c r="O431" s="27" t="s">
        <v>48</v>
      </c>
      <c r="P431" s="27">
        <v>4</v>
      </c>
      <c r="Q431" s="27">
        <v>10</v>
      </c>
      <c r="R431" s="27" t="s">
        <v>64</v>
      </c>
      <c r="S431" s="27" t="s">
        <v>50</v>
      </c>
      <c r="T431" s="27" t="s">
        <v>50</v>
      </c>
      <c r="U431" s="27" t="s">
        <v>50</v>
      </c>
      <c r="V431" s="27" t="s">
        <v>50</v>
      </c>
      <c r="W431" s="27" t="s">
        <v>50</v>
      </c>
      <c r="X431" s="27" t="s">
        <v>50</v>
      </c>
    </row>
    <row r="432" spans="1:25" x14ac:dyDescent="0.25">
      <c r="A432" s="26">
        <v>43360</v>
      </c>
      <c r="B432" s="27" t="s">
        <v>43</v>
      </c>
      <c r="C432" s="27" t="s">
        <v>78</v>
      </c>
      <c r="D432" s="89">
        <v>38.041890000000002</v>
      </c>
      <c r="E432" s="89">
        <v>-121.90101</v>
      </c>
      <c r="F432" s="27" t="s">
        <v>6147</v>
      </c>
      <c r="G432" s="27" t="s">
        <v>27</v>
      </c>
      <c r="H432" s="27" t="s">
        <v>101</v>
      </c>
      <c r="I432" s="84">
        <v>0.52708333333333335</v>
      </c>
      <c r="J432" s="82">
        <v>7558.25</v>
      </c>
      <c r="K432" s="82">
        <v>19.824999999999999</v>
      </c>
      <c r="L432" s="82">
        <v>13.45</v>
      </c>
      <c r="M432" s="82">
        <v>0.75</v>
      </c>
      <c r="N432" s="4">
        <v>9.9750000000000014</v>
      </c>
      <c r="O432" s="27" t="s">
        <v>48</v>
      </c>
      <c r="P432" s="27">
        <v>4</v>
      </c>
      <c r="Q432" s="27">
        <v>10</v>
      </c>
      <c r="R432" s="27" t="s">
        <v>64</v>
      </c>
      <c r="S432" s="27" t="s">
        <v>50</v>
      </c>
      <c r="T432" s="27" t="s">
        <v>50</v>
      </c>
      <c r="U432" s="27" t="s">
        <v>50</v>
      </c>
      <c r="V432" s="27" t="s">
        <v>50</v>
      </c>
      <c r="W432" s="27" t="s">
        <v>50</v>
      </c>
      <c r="X432" s="27" t="s">
        <v>50</v>
      </c>
      <c r="Y432" s="35" t="s">
        <v>6148</v>
      </c>
    </row>
    <row r="433" spans="1:25" x14ac:dyDescent="0.25">
      <c r="A433" s="26">
        <v>43361</v>
      </c>
      <c r="B433" s="27" t="s">
        <v>70</v>
      </c>
      <c r="C433" s="27" t="s">
        <v>78</v>
      </c>
      <c r="D433" s="89">
        <v>38.088430000000002</v>
      </c>
      <c r="E433" s="89">
        <v>-122.07373</v>
      </c>
      <c r="F433" s="27" t="s">
        <v>6149</v>
      </c>
      <c r="G433" s="27" t="s">
        <v>80</v>
      </c>
      <c r="H433" s="27" t="s">
        <v>81</v>
      </c>
      <c r="I433" s="84">
        <v>0.36527777777777781</v>
      </c>
      <c r="J433" s="82">
        <v>14274</v>
      </c>
      <c r="K433" s="82">
        <v>18.625</v>
      </c>
      <c r="L433" s="82">
        <v>14.2</v>
      </c>
      <c r="M433" s="82">
        <v>0.71500000000000008</v>
      </c>
      <c r="N433" s="4">
        <v>9.4</v>
      </c>
      <c r="O433" s="27" t="s">
        <v>48</v>
      </c>
      <c r="P433" s="27">
        <v>4</v>
      </c>
      <c r="Q433" s="27">
        <v>10</v>
      </c>
      <c r="R433" s="27" t="s">
        <v>64</v>
      </c>
      <c r="S433" s="27" t="s">
        <v>50</v>
      </c>
      <c r="T433" s="27" t="s">
        <v>50</v>
      </c>
      <c r="U433" s="27" t="s">
        <v>50</v>
      </c>
      <c r="V433" s="27" t="s">
        <v>50</v>
      </c>
      <c r="W433" s="27" t="s">
        <v>50</v>
      </c>
      <c r="X433" s="27" t="s">
        <v>50</v>
      </c>
    </row>
    <row r="434" spans="1:25" x14ac:dyDescent="0.25">
      <c r="A434" s="26">
        <v>43361</v>
      </c>
      <c r="B434" s="27" t="s">
        <v>70</v>
      </c>
      <c r="C434" s="27" t="s">
        <v>78</v>
      </c>
      <c r="D434" s="89">
        <v>38.101089999999999</v>
      </c>
      <c r="E434" s="89">
        <v>-122.03491</v>
      </c>
      <c r="F434" s="27" t="s">
        <v>6150</v>
      </c>
      <c r="G434" s="27" t="s">
        <v>27</v>
      </c>
      <c r="H434" s="27" t="s">
        <v>86</v>
      </c>
      <c r="I434" s="84">
        <v>0.4152777777777778</v>
      </c>
      <c r="J434" s="82">
        <v>13816.75</v>
      </c>
      <c r="K434" s="82">
        <v>18.675000000000001</v>
      </c>
      <c r="L434" s="82">
        <v>15.225000000000001</v>
      </c>
      <c r="M434" s="82">
        <v>0.98750000000000004</v>
      </c>
      <c r="N434" s="4">
        <v>6.75</v>
      </c>
      <c r="O434" s="27" t="s">
        <v>48</v>
      </c>
      <c r="P434" s="27">
        <v>4</v>
      </c>
      <c r="Q434" s="27">
        <v>10</v>
      </c>
      <c r="R434" s="27" t="s">
        <v>64</v>
      </c>
      <c r="S434" s="27" t="s">
        <v>50</v>
      </c>
      <c r="T434" s="27" t="s">
        <v>50</v>
      </c>
      <c r="U434" s="27" t="s">
        <v>50</v>
      </c>
      <c r="V434" s="27" t="s">
        <v>50</v>
      </c>
      <c r="W434" s="27" t="s">
        <v>50</v>
      </c>
      <c r="X434" s="27" t="s">
        <v>50</v>
      </c>
    </row>
    <row r="435" spans="1:25" x14ac:dyDescent="0.25">
      <c r="A435" s="26">
        <v>43361</v>
      </c>
      <c r="B435" s="27" t="s">
        <v>70</v>
      </c>
      <c r="C435" s="27" t="s">
        <v>78</v>
      </c>
      <c r="D435" s="89">
        <v>38.077530000000003</v>
      </c>
      <c r="E435" s="89">
        <v>-121.97776</v>
      </c>
      <c r="F435" s="27" t="s">
        <v>6151</v>
      </c>
      <c r="G435" s="27" t="s">
        <v>27</v>
      </c>
      <c r="H435" s="27" t="s">
        <v>86</v>
      </c>
      <c r="I435" s="84">
        <v>0.46597222222222223</v>
      </c>
      <c r="J435" s="82">
        <v>10166.75</v>
      </c>
      <c r="K435" s="82">
        <v>18.95</v>
      </c>
      <c r="L435" s="82">
        <v>18.95</v>
      </c>
      <c r="M435" s="82">
        <v>0.6349999999999999</v>
      </c>
      <c r="N435" s="4">
        <v>16.95</v>
      </c>
      <c r="O435" s="27" t="s">
        <v>48</v>
      </c>
      <c r="P435" s="27">
        <v>4</v>
      </c>
      <c r="Q435" s="27">
        <v>10</v>
      </c>
      <c r="R435" s="27" t="s">
        <v>64</v>
      </c>
      <c r="S435" s="27" t="s">
        <v>50</v>
      </c>
      <c r="T435" s="27" t="s">
        <v>50</v>
      </c>
      <c r="U435" s="27" t="s">
        <v>50</v>
      </c>
      <c r="V435" s="27" t="s">
        <v>50</v>
      </c>
      <c r="W435" s="27" t="s">
        <v>50</v>
      </c>
      <c r="X435" s="27" t="s">
        <v>50</v>
      </c>
    </row>
    <row r="436" spans="1:25" x14ac:dyDescent="0.25">
      <c r="A436" s="26">
        <v>43361</v>
      </c>
      <c r="B436" s="27" t="s">
        <v>70</v>
      </c>
      <c r="C436" s="27" t="s">
        <v>88</v>
      </c>
      <c r="D436" s="89">
        <v>38.105069999999998</v>
      </c>
      <c r="E436" s="89">
        <v>-121.70428</v>
      </c>
      <c r="F436" s="27" t="s">
        <v>6152</v>
      </c>
      <c r="G436" s="27" t="s">
        <v>90</v>
      </c>
      <c r="H436" s="27" t="s">
        <v>91</v>
      </c>
      <c r="I436" s="84">
        <v>0.33888888888888885</v>
      </c>
      <c r="J436" s="82">
        <v>820.25</v>
      </c>
      <c r="K436" s="82">
        <v>20.074999999999999</v>
      </c>
      <c r="L436" s="82">
        <v>4.9850000000000003</v>
      </c>
      <c r="M436" s="82" t="s">
        <v>5829</v>
      </c>
      <c r="N436" s="4">
        <v>5.9749999999999996</v>
      </c>
      <c r="O436" s="27" t="s">
        <v>48</v>
      </c>
      <c r="P436" s="27">
        <v>4</v>
      </c>
      <c r="Q436" s="27">
        <v>10</v>
      </c>
      <c r="R436" s="27" t="s">
        <v>64</v>
      </c>
      <c r="S436" s="27" t="s">
        <v>50</v>
      </c>
      <c r="T436" s="27" t="s">
        <v>50</v>
      </c>
      <c r="U436" s="27" t="s">
        <v>50</v>
      </c>
      <c r="V436" s="27" t="s">
        <v>50</v>
      </c>
      <c r="W436" s="27" t="s">
        <v>50</v>
      </c>
      <c r="X436" s="27" t="s">
        <v>50</v>
      </c>
    </row>
    <row r="437" spans="1:25" x14ac:dyDescent="0.25">
      <c r="A437" s="26">
        <v>43361</v>
      </c>
      <c r="B437" s="27" t="s">
        <v>70</v>
      </c>
      <c r="C437" s="27" t="s">
        <v>88</v>
      </c>
      <c r="D437" s="89">
        <v>38.099550000000001</v>
      </c>
      <c r="E437" s="89">
        <v>-121.71986</v>
      </c>
      <c r="F437" s="27" t="s">
        <v>6153</v>
      </c>
      <c r="G437" s="27" t="s">
        <v>90</v>
      </c>
      <c r="H437" s="27" t="s">
        <v>91</v>
      </c>
      <c r="I437" s="84">
        <v>0.39027777777777778</v>
      </c>
      <c r="J437" s="82">
        <v>401.15</v>
      </c>
      <c r="K437" s="82">
        <v>19.725000000000001</v>
      </c>
      <c r="L437" s="82">
        <v>4.5324999999999998</v>
      </c>
      <c r="M437" s="82" t="s">
        <v>5829</v>
      </c>
      <c r="N437" s="4">
        <v>6.5250000000000004</v>
      </c>
      <c r="O437" s="27" t="s">
        <v>48</v>
      </c>
      <c r="P437" s="27">
        <v>4</v>
      </c>
      <c r="Q437" s="27">
        <v>10</v>
      </c>
      <c r="R437" s="27" t="s">
        <v>64</v>
      </c>
      <c r="S437" s="27" t="s">
        <v>50</v>
      </c>
      <c r="T437" s="27" t="s">
        <v>50</v>
      </c>
      <c r="U437" s="27" t="s">
        <v>50</v>
      </c>
      <c r="V437" s="27" t="s">
        <v>50</v>
      </c>
      <c r="W437" s="27" t="s">
        <v>50</v>
      </c>
      <c r="X437" s="27" t="s">
        <v>50</v>
      </c>
    </row>
    <row r="438" spans="1:25" x14ac:dyDescent="0.25">
      <c r="A438" s="26">
        <v>43361</v>
      </c>
      <c r="B438" s="27" t="s">
        <v>70</v>
      </c>
      <c r="C438" s="27" t="s">
        <v>88</v>
      </c>
      <c r="D438" s="89">
        <v>38.132559999999998</v>
      </c>
      <c r="E438" s="89">
        <v>-121.693</v>
      </c>
      <c r="F438" s="27" t="s">
        <v>6154</v>
      </c>
      <c r="G438" s="27" t="s">
        <v>90</v>
      </c>
      <c r="H438" s="27" t="s">
        <v>91</v>
      </c>
      <c r="I438" s="84">
        <v>0.4381944444444445</v>
      </c>
      <c r="J438" s="82">
        <v>157.57499999999999</v>
      </c>
      <c r="K438" s="82">
        <v>19.45</v>
      </c>
      <c r="L438" s="82">
        <v>3.5674999999999999</v>
      </c>
      <c r="M438" s="82" t="s">
        <v>5829</v>
      </c>
      <c r="N438" s="4">
        <v>7.9249999999999989</v>
      </c>
      <c r="O438" s="27" t="s">
        <v>48</v>
      </c>
      <c r="P438" s="27">
        <v>4</v>
      </c>
      <c r="Q438" s="27">
        <v>10</v>
      </c>
      <c r="R438" s="27" t="s">
        <v>64</v>
      </c>
      <c r="S438" s="27" t="s">
        <v>50</v>
      </c>
      <c r="T438" s="27" t="s">
        <v>50</v>
      </c>
      <c r="U438" s="27" t="s">
        <v>50</v>
      </c>
      <c r="V438" s="27" t="s">
        <v>50</v>
      </c>
      <c r="W438" s="27" t="s">
        <v>50</v>
      </c>
      <c r="X438" s="27" t="s">
        <v>50</v>
      </c>
    </row>
    <row r="439" spans="1:25" x14ac:dyDescent="0.25">
      <c r="A439" s="26">
        <v>43361</v>
      </c>
      <c r="B439" s="27" t="s">
        <v>70</v>
      </c>
      <c r="C439" s="27" t="s">
        <v>845</v>
      </c>
      <c r="D439" s="89">
        <v>38.258940000000003</v>
      </c>
      <c r="E439" s="89">
        <v>-121.74732</v>
      </c>
      <c r="F439" s="27" t="s">
        <v>6155</v>
      </c>
      <c r="G439" s="27" t="s">
        <v>90</v>
      </c>
      <c r="H439" s="27" t="s">
        <v>126</v>
      </c>
      <c r="I439" s="84">
        <v>0.34583333333333338</v>
      </c>
      <c r="J439" s="82">
        <v>211.67500000000001</v>
      </c>
      <c r="K439" s="82">
        <v>18.95</v>
      </c>
      <c r="L439" s="82">
        <v>2.7475000000000001</v>
      </c>
      <c r="M439" s="82" t="s">
        <v>5829</v>
      </c>
      <c r="N439" s="4">
        <v>4.3499999999999996</v>
      </c>
      <c r="O439" s="27" t="s">
        <v>48</v>
      </c>
      <c r="P439" s="27">
        <v>4</v>
      </c>
      <c r="Q439" s="27">
        <v>10</v>
      </c>
      <c r="R439" s="27" t="s">
        <v>49</v>
      </c>
      <c r="S439" s="27" t="s">
        <v>50</v>
      </c>
      <c r="T439" s="27" t="s">
        <v>50</v>
      </c>
      <c r="U439" s="27" t="s">
        <v>50</v>
      </c>
      <c r="V439" s="27" t="s">
        <v>50</v>
      </c>
      <c r="W439" s="27" t="s">
        <v>50</v>
      </c>
      <c r="X439" s="27" t="s">
        <v>50</v>
      </c>
    </row>
    <row r="440" spans="1:25" x14ac:dyDescent="0.25">
      <c r="A440" s="26">
        <v>43361</v>
      </c>
      <c r="B440" s="27" t="s">
        <v>70</v>
      </c>
      <c r="C440" s="27" t="s">
        <v>845</v>
      </c>
      <c r="D440" s="89">
        <v>38.270800000000001</v>
      </c>
      <c r="E440" s="89">
        <v>-121.70507000000001</v>
      </c>
      <c r="F440" s="27" t="s">
        <v>6156</v>
      </c>
      <c r="G440" s="27" t="s">
        <v>90</v>
      </c>
      <c r="H440" s="27" t="s">
        <v>126</v>
      </c>
      <c r="I440" s="84">
        <v>0.40277777777777773</v>
      </c>
      <c r="J440" s="82">
        <v>221.47499999999999</v>
      </c>
      <c r="K440" s="82">
        <v>18.975000000000001</v>
      </c>
      <c r="L440" s="82">
        <v>4.6074999999999999</v>
      </c>
      <c r="M440" s="82">
        <v>1.6675</v>
      </c>
      <c r="N440" s="4">
        <v>3.125</v>
      </c>
      <c r="O440" s="27" t="s">
        <v>48</v>
      </c>
      <c r="P440" s="27">
        <v>4</v>
      </c>
      <c r="Q440" s="27">
        <v>10</v>
      </c>
      <c r="R440" s="27" t="s">
        <v>64</v>
      </c>
      <c r="S440" s="27" t="s">
        <v>50</v>
      </c>
      <c r="T440" s="27" t="s">
        <v>50</v>
      </c>
      <c r="U440" s="27" t="s">
        <v>50</v>
      </c>
      <c r="V440" s="27" t="s">
        <v>50</v>
      </c>
      <c r="W440" s="27" t="s">
        <v>50</v>
      </c>
      <c r="X440" s="27" t="s">
        <v>50</v>
      </c>
      <c r="Y440" s="35" t="s">
        <v>6157</v>
      </c>
    </row>
    <row r="441" spans="1:25" x14ac:dyDescent="0.25">
      <c r="A441" s="26">
        <v>43361</v>
      </c>
      <c r="B441" s="27" t="s">
        <v>70</v>
      </c>
      <c r="C441" s="27" t="s">
        <v>845</v>
      </c>
      <c r="D441" s="89">
        <v>38.384140000000002</v>
      </c>
      <c r="E441" s="89">
        <v>-121.62905000000001</v>
      </c>
      <c r="F441" s="27" t="s">
        <v>6158</v>
      </c>
      <c r="G441" s="27" t="s">
        <v>90</v>
      </c>
      <c r="H441" s="27" t="s">
        <v>126</v>
      </c>
      <c r="I441" s="84">
        <v>0.4694444444444445</v>
      </c>
      <c r="J441" s="82">
        <v>650.25</v>
      </c>
      <c r="K441" s="82">
        <v>20.25</v>
      </c>
      <c r="L441" s="82">
        <v>27</v>
      </c>
      <c r="M441" s="82">
        <v>0.32500000000000001</v>
      </c>
      <c r="N441" s="4">
        <v>3.6749999999999998</v>
      </c>
      <c r="O441" s="27" t="s">
        <v>48</v>
      </c>
      <c r="P441" s="27">
        <v>4</v>
      </c>
      <c r="Q441" s="27">
        <v>10</v>
      </c>
      <c r="R441" s="27" t="s">
        <v>64</v>
      </c>
      <c r="S441" s="27" t="s">
        <v>50</v>
      </c>
      <c r="T441" s="27" t="s">
        <v>50</v>
      </c>
      <c r="U441" s="27" t="s">
        <v>50</v>
      </c>
      <c r="V441" s="27" t="s">
        <v>50</v>
      </c>
      <c r="W441" s="27" t="s">
        <v>50</v>
      </c>
      <c r="X441" s="27" t="s">
        <v>50</v>
      </c>
      <c r="Y441" s="35" t="s">
        <v>6159</v>
      </c>
    </row>
    <row r="442" spans="1:25" x14ac:dyDescent="0.25">
      <c r="A442" s="26">
        <v>43362</v>
      </c>
      <c r="B442" s="27" t="s">
        <v>87</v>
      </c>
      <c r="C442" s="27" t="s">
        <v>95</v>
      </c>
      <c r="D442" s="89">
        <v>38.063459999999999</v>
      </c>
      <c r="E442" s="89">
        <v>-121.54093</v>
      </c>
      <c r="F442" s="27" t="s">
        <v>6160</v>
      </c>
      <c r="G442" s="27" t="s">
        <v>46</v>
      </c>
      <c r="H442" s="27" t="s">
        <v>115</v>
      </c>
      <c r="I442" s="84">
        <v>0.3298611111111111</v>
      </c>
      <c r="J442" s="82">
        <v>281.05</v>
      </c>
      <c r="K442" s="82">
        <v>20.650000000000002</v>
      </c>
      <c r="L442" s="82">
        <v>3.9074999999999998</v>
      </c>
      <c r="M442" s="82" t="s">
        <v>5829</v>
      </c>
      <c r="N442" s="4">
        <v>7.55</v>
      </c>
      <c r="O442" s="27" t="s">
        <v>48</v>
      </c>
      <c r="P442" s="27">
        <v>4</v>
      </c>
      <c r="Q442" s="27">
        <v>10</v>
      </c>
      <c r="R442" s="27" t="s">
        <v>49</v>
      </c>
      <c r="S442" s="27" t="s">
        <v>50</v>
      </c>
      <c r="T442" s="27" t="s">
        <v>50</v>
      </c>
      <c r="U442" s="27" t="s">
        <v>50</v>
      </c>
      <c r="V442" s="27" t="s">
        <v>50</v>
      </c>
      <c r="W442" s="27" t="s">
        <v>50</v>
      </c>
      <c r="X442" s="27" t="s">
        <v>50</v>
      </c>
    </row>
    <row r="443" spans="1:25" x14ac:dyDescent="0.25">
      <c r="A443" s="26">
        <v>43362</v>
      </c>
      <c r="B443" s="27" t="s">
        <v>87</v>
      </c>
      <c r="C443" s="27" t="s">
        <v>95</v>
      </c>
      <c r="D443" s="89">
        <v>38.101529999999997</v>
      </c>
      <c r="E443" s="89">
        <v>-121.58914</v>
      </c>
      <c r="F443" s="27" t="s">
        <v>6161</v>
      </c>
      <c r="G443" s="27" t="s">
        <v>46</v>
      </c>
      <c r="H443" s="27" t="s">
        <v>115</v>
      </c>
      <c r="I443" s="84">
        <v>0.38541666666666669</v>
      </c>
      <c r="J443" s="82">
        <v>193.02500000000001</v>
      </c>
      <c r="K443" s="82">
        <v>19.55</v>
      </c>
      <c r="L443" s="82">
        <v>3.9674999999999998</v>
      </c>
      <c r="M443" s="82" t="s">
        <v>5829</v>
      </c>
      <c r="N443" s="4">
        <v>4.0750000000000002</v>
      </c>
      <c r="O443" s="27" t="s">
        <v>48</v>
      </c>
      <c r="P443" s="27">
        <v>4</v>
      </c>
      <c r="Q443" s="27">
        <v>10</v>
      </c>
      <c r="R443" s="27" t="s">
        <v>49</v>
      </c>
      <c r="S443" s="27" t="s">
        <v>50</v>
      </c>
      <c r="T443" s="27" t="s">
        <v>50</v>
      </c>
      <c r="U443" s="27" t="s">
        <v>50</v>
      </c>
      <c r="V443" s="27" t="s">
        <v>50</v>
      </c>
      <c r="W443" s="27" t="s">
        <v>50</v>
      </c>
      <c r="X443" s="27" t="s">
        <v>50</v>
      </c>
    </row>
    <row r="444" spans="1:25" x14ac:dyDescent="0.25">
      <c r="A444" s="26">
        <v>43362</v>
      </c>
      <c r="B444" s="27" t="s">
        <v>87</v>
      </c>
      <c r="C444" s="27" t="s">
        <v>95</v>
      </c>
      <c r="D444" s="89">
        <v>38.10333</v>
      </c>
      <c r="E444" s="89">
        <v>-121.61184</v>
      </c>
      <c r="F444" s="27" t="s">
        <v>6162</v>
      </c>
      <c r="G444" s="27" t="s">
        <v>46</v>
      </c>
      <c r="H444" s="27" t="s">
        <v>908</v>
      </c>
      <c r="I444" s="84">
        <v>0.4381944444444445</v>
      </c>
      <c r="J444" s="82">
        <v>344.125</v>
      </c>
      <c r="K444" s="82">
        <v>20.399999999999999</v>
      </c>
      <c r="L444" s="82">
        <v>4.0449999999999999</v>
      </c>
      <c r="M444" s="82" t="s">
        <v>5829</v>
      </c>
      <c r="N444" s="4">
        <v>11.05</v>
      </c>
      <c r="O444" s="27" t="s">
        <v>48</v>
      </c>
      <c r="P444" s="27">
        <v>4</v>
      </c>
      <c r="Q444" s="27">
        <v>10</v>
      </c>
      <c r="R444" s="27" t="s">
        <v>64</v>
      </c>
      <c r="S444" s="27" t="s">
        <v>50</v>
      </c>
      <c r="T444" s="27" t="s">
        <v>50</v>
      </c>
      <c r="U444" s="27" t="s">
        <v>50</v>
      </c>
      <c r="V444" s="27" t="s">
        <v>50</v>
      </c>
      <c r="W444" s="27" t="s">
        <v>50</v>
      </c>
      <c r="X444" s="27" t="s">
        <v>50</v>
      </c>
    </row>
    <row r="445" spans="1:25" x14ac:dyDescent="0.25">
      <c r="A445" s="26">
        <v>43362</v>
      </c>
      <c r="B445" s="27" t="s">
        <v>87</v>
      </c>
      <c r="C445" s="27" t="s">
        <v>106</v>
      </c>
      <c r="D445" s="89">
        <v>38.540779999999998</v>
      </c>
      <c r="E445" s="89">
        <v>-121.58405999999999</v>
      </c>
      <c r="F445" s="27" t="s">
        <v>6163</v>
      </c>
      <c r="G445" s="27" t="s">
        <v>90</v>
      </c>
      <c r="H445" s="27" t="s">
        <v>1787</v>
      </c>
      <c r="I445" s="84">
        <v>0.35902777777777778</v>
      </c>
      <c r="J445" s="82">
        <v>1005.25</v>
      </c>
      <c r="K445" s="82">
        <v>21.75</v>
      </c>
      <c r="L445" s="82">
        <v>5.835</v>
      </c>
      <c r="M445" s="82">
        <v>1.0625</v>
      </c>
      <c r="N445" s="4">
        <v>10.525</v>
      </c>
      <c r="O445" s="27" t="s">
        <v>48</v>
      </c>
      <c r="P445" s="27">
        <v>4</v>
      </c>
      <c r="Q445" s="27">
        <v>10</v>
      </c>
      <c r="R445" s="27" t="s">
        <v>49</v>
      </c>
      <c r="S445" s="27" t="s">
        <v>50</v>
      </c>
      <c r="T445" s="27" t="s">
        <v>50</v>
      </c>
      <c r="U445" s="27" t="s">
        <v>50</v>
      </c>
      <c r="V445" s="27" t="s">
        <v>50</v>
      </c>
      <c r="W445" s="27" t="s">
        <v>50</v>
      </c>
      <c r="X445" s="27" t="s">
        <v>50</v>
      </c>
    </row>
    <row r="446" spans="1:25" x14ac:dyDescent="0.25">
      <c r="A446" s="26">
        <v>43362</v>
      </c>
      <c r="B446" s="27" t="s">
        <v>87</v>
      </c>
      <c r="C446" s="27" t="s">
        <v>106</v>
      </c>
      <c r="D446" s="89">
        <v>38.408140000000003</v>
      </c>
      <c r="E446" s="89">
        <v>-121.61376</v>
      </c>
      <c r="F446" s="27" t="s">
        <v>6164</v>
      </c>
      <c r="G446" s="27" t="s">
        <v>90</v>
      </c>
      <c r="H446" s="27" t="s">
        <v>362</v>
      </c>
      <c r="I446" s="84">
        <v>0.4201388888888889</v>
      </c>
      <c r="J446" s="82">
        <v>571.25</v>
      </c>
      <c r="K446" s="82">
        <v>20.324999999999996</v>
      </c>
      <c r="L446" s="82">
        <v>17.925000000000001</v>
      </c>
      <c r="M446" s="82">
        <v>0.505</v>
      </c>
      <c r="N446" s="4">
        <v>9.0750000000000011</v>
      </c>
      <c r="O446" s="27" t="s">
        <v>48</v>
      </c>
      <c r="P446" s="27">
        <v>4</v>
      </c>
      <c r="Q446" s="27">
        <v>10</v>
      </c>
      <c r="R446" s="27" t="s">
        <v>64</v>
      </c>
      <c r="S446" s="27" t="s">
        <v>50</v>
      </c>
      <c r="T446" s="27" t="s">
        <v>50</v>
      </c>
      <c r="U446" s="27" t="s">
        <v>50</v>
      </c>
      <c r="V446" s="27" t="s">
        <v>50</v>
      </c>
      <c r="W446" s="27" t="s">
        <v>50</v>
      </c>
      <c r="X446" s="27" t="s">
        <v>50</v>
      </c>
    </row>
    <row r="447" spans="1:25" x14ac:dyDescent="0.25">
      <c r="A447" s="26">
        <v>43362</v>
      </c>
      <c r="B447" s="27" t="s">
        <v>87</v>
      </c>
      <c r="C447" s="27" t="s">
        <v>106</v>
      </c>
      <c r="D447" s="89">
        <v>38.369129999999998</v>
      </c>
      <c r="E447" s="89">
        <v>-121.63176</v>
      </c>
      <c r="F447" s="27" t="s">
        <v>6165</v>
      </c>
      <c r="G447" s="27" t="s">
        <v>90</v>
      </c>
      <c r="H447" s="27" t="s">
        <v>362</v>
      </c>
      <c r="I447" s="84">
        <v>0.47013888888888888</v>
      </c>
      <c r="J447" s="82">
        <v>435.22500000000002</v>
      </c>
      <c r="K447" s="82">
        <v>20.3</v>
      </c>
      <c r="L447" s="82">
        <v>19.274999999999999</v>
      </c>
      <c r="M447" s="82">
        <v>0.49249999999999999</v>
      </c>
      <c r="N447" s="4">
        <v>9.375</v>
      </c>
      <c r="O447" s="27" t="s">
        <v>48</v>
      </c>
      <c r="P447" s="27">
        <v>4</v>
      </c>
      <c r="Q447" s="27">
        <v>10</v>
      </c>
      <c r="R447" s="27" t="s">
        <v>64</v>
      </c>
      <c r="S447" s="27" t="s">
        <v>50</v>
      </c>
      <c r="T447" s="27" t="s">
        <v>50</v>
      </c>
      <c r="U447" s="27" t="s">
        <v>50</v>
      </c>
      <c r="V447" s="27" t="s">
        <v>50</v>
      </c>
      <c r="W447" s="27" t="s">
        <v>50</v>
      </c>
      <c r="X447" s="27" t="s">
        <v>50</v>
      </c>
    </row>
    <row r="448" spans="1:25" x14ac:dyDescent="0.25">
      <c r="A448" s="26">
        <v>43362</v>
      </c>
      <c r="B448" s="27" t="s">
        <v>87</v>
      </c>
      <c r="C448" s="27" t="s">
        <v>62</v>
      </c>
      <c r="D448" s="89">
        <v>38.155279999999998</v>
      </c>
      <c r="E448" s="89">
        <v>-122.05289</v>
      </c>
      <c r="F448" s="27" t="s">
        <v>6166</v>
      </c>
      <c r="G448" s="27" t="s">
        <v>27</v>
      </c>
      <c r="H448" s="27" t="s">
        <v>62</v>
      </c>
      <c r="I448" s="84">
        <v>0.36736111111111108</v>
      </c>
      <c r="J448" s="82">
        <v>11846</v>
      </c>
      <c r="K448" s="82">
        <v>19.074999999999999</v>
      </c>
      <c r="L448" s="82">
        <v>21.6</v>
      </c>
      <c r="M448" s="82">
        <v>0.57750000000000001</v>
      </c>
      <c r="N448" s="4">
        <v>8.4250000000000007</v>
      </c>
      <c r="O448" s="27" t="s">
        <v>48</v>
      </c>
      <c r="P448" s="27">
        <v>4</v>
      </c>
      <c r="Q448" s="27">
        <v>10</v>
      </c>
      <c r="R448" s="27" t="s">
        <v>64</v>
      </c>
      <c r="S448" s="27" t="s">
        <v>50</v>
      </c>
      <c r="T448" s="27" t="s">
        <v>50</v>
      </c>
      <c r="U448" s="27" t="s">
        <v>50</v>
      </c>
      <c r="V448" s="27" t="s">
        <v>50</v>
      </c>
      <c r="W448" s="27" t="s">
        <v>50</v>
      </c>
      <c r="X448" s="27" t="s">
        <v>50</v>
      </c>
    </row>
    <row r="449" spans="1:25" x14ac:dyDescent="0.25">
      <c r="A449" s="26">
        <v>43362</v>
      </c>
      <c r="B449" s="27" t="s">
        <v>87</v>
      </c>
      <c r="C449" s="27" t="s">
        <v>62</v>
      </c>
      <c r="D449" s="89">
        <v>38.190829999999998</v>
      </c>
      <c r="E449" s="89">
        <v>-122.04185</v>
      </c>
      <c r="F449" s="27" t="s">
        <v>6167</v>
      </c>
      <c r="G449" s="27" t="s">
        <v>27</v>
      </c>
      <c r="H449" s="27" t="s">
        <v>62</v>
      </c>
      <c r="I449" s="84">
        <v>0.4201388888888889</v>
      </c>
      <c r="J449" s="82">
        <v>9528.5</v>
      </c>
      <c r="K449" s="82">
        <v>19.175000000000001</v>
      </c>
      <c r="L449" s="82">
        <v>34.975000000000001</v>
      </c>
      <c r="M449" s="82">
        <v>0.36</v>
      </c>
      <c r="N449" s="4">
        <v>6.375</v>
      </c>
      <c r="O449" s="27" t="s">
        <v>48</v>
      </c>
      <c r="P449" s="27">
        <v>4</v>
      </c>
      <c r="Q449" s="27">
        <v>10</v>
      </c>
      <c r="R449" s="27" t="s">
        <v>64</v>
      </c>
      <c r="S449" s="27" t="s">
        <v>50</v>
      </c>
      <c r="T449" s="27" t="s">
        <v>50</v>
      </c>
      <c r="U449" s="27" t="s">
        <v>50</v>
      </c>
      <c r="V449" s="27" t="s">
        <v>50</v>
      </c>
      <c r="W449" s="27" t="s">
        <v>50</v>
      </c>
      <c r="X449" s="27" t="s">
        <v>50</v>
      </c>
    </row>
    <row r="450" spans="1:25" s="355" customFormat="1" x14ac:dyDescent="0.25">
      <c r="A450" s="354">
        <v>43362</v>
      </c>
      <c r="B450" s="355" t="s">
        <v>87</v>
      </c>
      <c r="C450" s="355" t="s">
        <v>62</v>
      </c>
      <c r="D450" s="356">
        <v>38.10295</v>
      </c>
      <c r="E450" s="356">
        <v>-122.06435999999999</v>
      </c>
      <c r="F450" s="355" t="s">
        <v>6168</v>
      </c>
      <c r="G450" s="355" t="s">
        <v>27</v>
      </c>
      <c r="H450" s="355" t="s">
        <v>173</v>
      </c>
      <c r="I450" s="357">
        <v>0.48749999999999999</v>
      </c>
      <c r="J450" s="358">
        <v>16141</v>
      </c>
      <c r="K450" s="358">
        <v>19.100000000000001</v>
      </c>
      <c r="L450" s="358">
        <v>36.324999999999996</v>
      </c>
      <c r="M450" s="358">
        <v>0.34750000000000003</v>
      </c>
      <c r="N450" s="359">
        <v>2.7</v>
      </c>
      <c r="O450" s="355" t="s">
        <v>48</v>
      </c>
      <c r="P450" s="355">
        <v>4</v>
      </c>
      <c r="Q450" s="355">
        <v>10</v>
      </c>
      <c r="R450" s="355" t="s">
        <v>64</v>
      </c>
      <c r="S450" s="355" t="s">
        <v>31</v>
      </c>
      <c r="T450" s="355">
        <v>3</v>
      </c>
      <c r="U450" s="355" t="s">
        <v>3965</v>
      </c>
      <c r="V450" s="355" t="s">
        <v>66</v>
      </c>
      <c r="W450" s="355" t="s">
        <v>50</v>
      </c>
      <c r="X450" s="355" t="s">
        <v>50</v>
      </c>
      <c r="Y450" s="371" t="s">
        <v>6169</v>
      </c>
    </row>
    <row r="451" spans="1:25" x14ac:dyDescent="0.25">
      <c r="A451" s="26">
        <v>43362</v>
      </c>
      <c r="B451" s="27" t="s">
        <v>87</v>
      </c>
      <c r="C451" s="27" t="s">
        <v>62</v>
      </c>
      <c r="D451" s="89">
        <v>38.192279999999997</v>
      </c>
      <c r="E451" s="89">
        <v>-121.92953</v>
      </c>
      <c r="F451" s="27" t="s">
        <v>6170</v>
      </c>
      <c r="G451" s="27" t="s">
        <v>27</v>
      </c>
      <c r="H451" s="27" t="s">
        <v>62</v>
      </c>
      <c r="I451" s="84">
        <v>0.55972222222222223</v>
      </c>
      <c r="J451" s="82">
        <v>7781.5</v>
      </c>
      <c r="K451" s="82">
        <v>20.325000000000003</v>
      </c>
      <c r="L451" s="82">
        <v>17.45</v>
      </c>
      <c r="M451" s="82">
        <v>0.5625</v>
      </c>
      <c r="N451" s="4">
        <v>3.05</v>
      </c>
      <c r="O451" s="27" t="s">
        <v>48</v>
      </c>
      <c r="P451" s="27">
        <v>4</v>
      </c>
      <c r="Q451" s="27">
        <v>10</v>
      </c>
      <c r="R451" s="27" t="s">
        <v>49</v>
      </c>
      <c r="S451" s="27" t="s">
        <v>50</v>
      </c>
      <c r="T451" s="27" t="s">
        <v>50</v>
      </c>
      <c r="U451" s="27" t="s">
        <v>50</v>
      </c>
      <c r="V451" s="27" t="s">
        <v>50</v>
      </c>
      <c r="W451" s="27" t="s">
        <v>50</v>
      </c>
      <c r="X451" s="27" t="s">
        <v>50</v>
      </c>
    </row>
    <row r="452" spans="1:25" s="149" customFormat="1" x14ac:dyDescent="0.25">
      <c r="A452" s="178">
        <v>43362</v>
      </c>
      <c r="B452" s="149" t="s">
        <v>87</v>
      </c>
      <c r="C452" s="149" t="s">
        <v>62</v>
      </c>
      <c r="D452" s="150">
        <v>38.137439999999998</v>
      </c>
      <c r="E452" s="150">
        <v>-122.08271999999999</v>
      </c>
      <c r="F452" s="149" t="s">
        <v>6171</v>
      </c>
      <c r="G452" s="149" t="s">
        <v>27</v>
      </c>
      <c r="H452" s="149" t="s">
        <v>62</v>
      </c>
      <c r="I452" s="151">
        <v>0.4770833333333333</v>
      </c>
      <c r="J452" s="197" t="s">
        <v>50</v>
      </c>
      <c r="K452" s="197" t="s">
        <v>50</v>
      </c>
      <c r="L452" s="197" t="s">
        <v>50</v>
      </c>
      <c r="M452" s="197" t="s">
        <v>50</v>
      </c>
      <c r="N452" s="197" t="s">
        <v>50</v>
      </c>
      <c r="O452" s="149" t="s">
        <v>48</v>
      </c>
      <c r="P452" s="149">
        <v>0</v>
      </c>
      <c r="Q452" s="149" t="s">
        <v>50</v>
      </c>
      <c r="R452" s="149" t="s">
        <v>50</v>
      </c>
      <c r="S452" s="149" t="s">
        <v>50</v>
      </c>
      <c r="T452" s="149" t="s">
        <v>50</v>
      </c>
      <c r="U452" s="149" t="s">
        <v>50</v>
      </c>
      <c r="V452" s="149" t="s">
        <v>50</v>
      </c>
      <c r="W452" s="149" t="s">
        <v>50</v>
      </c>
      <c r="X452" s="149" t="s">
        <v>50</v>
      </c>
      <c r="Y452" s="152" t="s">
        <v>4960</v>
      </c>
    </row>
    <row r="453" spans="1:25" x14ac:dyDescent="0.25">
      <c r="A453" s="26">
        <v>43363</v>
      </c>
      <c r="B453" s="27" t="s">
        <v>105</v>
      </c>
      <c r="C453" s="27" t="s">
        <v>95</v>
      </c>
      <c r="D453" s="89">
        <v>38.033349999999999</v>
      </c>
      <c r="E453" s="89">
        <v>-121.72116</v>
      </c>
      <c r="F453" s="27" t="s">
        <v>6172</v>
      </c>
      <c r="G453" s="27" t="s">
        <v>27</v>
      </c>
      <c r="H453" s="27" t="s">
        <v>863</v>
      </c>
      <c r="I453" s="84">
        <v>0.32500000000000001</v>
      </c>
      <c r="J453" s="82">
        <v>1087</v>
      </c>
      <c r="K453" s="82">
        <v>20.3</v>
      </c>
      <c r="L453" s="82">
        <v>5.7299999999999995</v>
      </c>
      <c r="M453" s="82">
        <v>1.6825000000000001</v>
      </c>
      <c r="N453" s="4">
        <v>12.624999999999998</v>
      </c>
      <c r="O453" s="27" t="s">
        <v>48</v>
      </c>
      <c r="P453" s="27">
        <v>4</v>
      </c>
      <c r="Q453" s="27">
        <v>10</v>
      </c>
      <c r="R453" s="27" t="s">
        <v>49</v>
      </c>
      <c r="S453" s="27" t="s">
        <v>50</v>
      </c>
      <c r="T453" s="27" t="s">
        <v>50</v>
      </c>
      <c r="U453" s="27" t="s">
        <v>50</v>
      </c>
      <c r="V453" s="27" t="s">
        <v>50</v>
      </c>
      <c r="W453" s="27" t="s">
        <v>50</v>
      </c>
      <c r="X453" s="27" t="s">
        <v>50</v>
      </c>
    </row>
    <row r="454" spans="1:25" x14ac:dyDescent="0.25">
      <c r="A454" s="26">
        <v>43363</v>
      </c>
      <c r="B454" s="27" t="s">
        <v>105</v>
      </c>
      <c r="C454" s="27" t="s">
        <v>95</v>
      </c>
      <c r="D454" s="89">
        <v>38.029380000000003</v>
      </c>
      <c r="E454" s="89">
        <v>-121.7328</v>
      </c>
      <c r="F454" s="27" t="s">
        <v>6173</v>
      </c>
      <c r="G454" s="27" t="s">
        <v>27</v>
      </c>
      <c r="H454" s="27" t="s">
        <v>863</v>
      </c>
      <c r="I454" s="84">
        <v>0.36874999999999997</v>
      </c>
      <c r="J454" s="82">
        <v>1035</v>
      </c>
      <c r="K454" s="82">
        <v>20.350000000000001</v>
      </c>
      <c r="L454" s="82">
        <v>5.8999999999999995</v>
      </c>
      <c r="M454" s="82">
        <v>1.7375</v>
      </c>
      <c r="N454" s="4">
        <v>11.125</v>
      </c>
      <c r="O454" s="27" t="s">
        <v>48</v>
      </c>
      <c r="P454" s="27">
        <v>4</v>
      </c>
      <c r="Q454" s="27">
        <v>10</v>
      </c>
      <c r="R454" s="27" t="s">
        <v>49</v>
      </c>
      <c r="S454" s="27" t="s">
        <v>50</v>
      </c>
      <c r="T454" s="27" t="s">
        <v>50</v>
      </c>
      <c r="U454" s="27" t="s">
        <v>50</v>
      </c>
      <c r="V454" s="27" t="s">
        <v>50</v>
      </c>
      <c r="W454" s="27" t="s">
        <v>50</v>
      </c>
      <c r="X454" s="27" t="s">
        <v>50</v>
      </c>
    </row>
    <row r="455" spans="1:25" x14ac:dyDescent="0.25">
      <c r="A455" s="26">
        <v>43363</v>
      </c>
      <c r="B455" s="27" t="s">
        <v>105</v>
      </c>
      <c r="C455" s="27" t="s">
        <v>95</v>
      </c>
      <c r="D455" s="89">
        <v>38.027169999999998</v>
      </c>
      <c r="E455" s="89">
        <v>-121.72978000000001</v>
      </c>
      <c r="F455" s="27" t="s">
        <v>6174</v>
      </c>
      <c r="G455" s="27" t="s">
        <v>27</v>
      </c>
      <c r="H455" s="27" t="s">
        <v>863</v>
      </c>
      <c r="I455" s="84">
        <v>0.4201388888888889</v>
      </c>
      <c r="J455" s="82">
        <v>1071.25</v>
      </c>
      <c r="K455" s="82">
        <v>20.524999999999999</v>
      </c>
      <c r="L455" s="82">
        <v>3.8224999999999998</v>
      </c>
      <c r="M455" s="82">
        <v>1.79</v>
      </c>
      <c r="N455" s="4">
        <v>10.050000000000001</v>
      </c>
      <c r="O455" s="27" t="s">
        <v>48</v>
      </c>
      <c r="P455" s="27">
        <v>4</v>
      </c>
      <c r="Q455" s="27">
        <v>10</v>
      </c>
      <c r="R455" s="27" t="s">
        <v>64</v>
      </c>
      <c r="S455" s="27" t="s">
        <v>50</v>
      </c>
      <c r="T455" s="27" t="s">
        <v>50</v>
      </c>
      <c r="U455" s="27" t="s">
        <v>50</v>
      </c>
      <c r="V455" s="27" t="s">
        <v>50</v>
      </c>
      <c r="W455" s="27" t="s">
        <v>50</v>
      </c>
      <c r="X455" s="27" t="s">
        <v>50</v>
      </c>
      <c r="Y455" s="35" t="s">
        <v>6175</v>
      </c>
    </row>
    <row r="456" spans="1:25" s="384" customFormat="1" x14ac:dyDescent="0.25">
      <c r="A456" s="495">
        <v>43363</v>
      </c>
      <c r="B456" s="494" t="s">
        <v>105</v>
      </c>
      <c r="C456" s="494" t="s">
        <v>106</v>
      </c>
      <c r="D456" s="496">
        <v>38.345030000000001</v>
      </c>
      <c r="E456" s="496">
        <v>-121.6431</v>
      </c>
      <c r="F456" s="494" t="s">
        <v>6176</v>
      </c>
      <c r="G456" s="494" t="s">
        <v>90</v>
      </c>
      <c r="H456" s="494" t="s">
        <v>362</v>
      </c>
      <c r="I456" s="497">
        <v>0.32013888888888892</v>
      </c>
      <c r="J456" s="498">
        <v>405.75</v>
      </c>
      <c r="K456" s="498">
        <v>20.175000000000001</v>
      </c>
      <c r="L456" s="498">
        <v>17.675000000000001</v>
      </c>
      <c r="M456" s="498">
        <v>0.48</v>
      </c>
      <c r="N456" s="499">
        <v>10.074999999999999</v>
      </c>
      <c r="O456" s="494" t="s">
        <v>48</v>
      </c>
      <c r="P456" s="494">
        <v>4</v>
      </c>
      <c r="Q456" s="494">
        <v>10</v>
      </c>
      <c r="R456" s="494" t="s">
        <v>49</v>
      </c>
      <c r="S456" s="494" t="s">
        <v>323</v>
      </c>
      <c r="T456" s="494">
        <v>2</v>
      </c>
      <c r="U456" s="494" t="s">
        <v>6177</v>
      </c>
      <c r="V456" s="494" t="s">
        <v>66</v>
      </c>
      <c r="W456" s="494" t="s">
        <v>50</v>
      </c>
      <c r="X456" s="494" t="s">
        <v>50</v>
      </c>
      <c r="Y456" s="455" t="s">
        <v>6178</v>
      </c>
    </row>
    <row r="457" spans="1:25" x14ac:dyDescent="0.25">
      <c r="A457" s="26">
        <v>43363</v>
      </c>
      <c r="B457" s="27" t="s">
        <v>105</v>
      </c>
      <c r="C457" s="27" t="s">
        <v>106</v>
      </c>
      <c r="D457" s="89">
        <v>38.205559999999998</v>
      </c>
      <c r="E457" s="89">
        <v>-121.65832</v>
      </c>
      <c r="F457" s="27" t="s">
        <v>6179</v>
      </c>
      <c r="G457" s="27" t="s">
        <v>90</v>
      </c>
      <c r="H457" s="27" t="s">
        <v>362</v>
      </c>
      <c r="I457" s="84">
        <v>0.38680555555555557</v>
      </c>
      <c r="J457" s="82">
        <v>209.22499999999999</v>
      </c>
      <c r="K457" s="82">
        <v>19.5</v>
      </c>
      <c r="L457" s="82">
        <v>4.3574999999999999</v>
      </c>
      <c r="M457" s="82">
        <v>1.6775</v>
      </c>
      <c r="N457" s="4">
        <v>11.65</v>
      </c>
      <c r="O457" s="27" t="s">
        <v>48</v>
      </c>
      <c r="P457" s="27">
        <v>4</v>
      </c>
      <c r="Q457" s="27">
        <v>10</v>
      </c>
      <c r="R457" s="27" t="s">
        <v>49</v>
      </c>
      <c r="S457" s="27" t="s">
        <v>50</v>
      </c>
      <c r="T457" s="27" t="s">
        <v>50</v>
      </c>
      <c r="U457" s="27" t="s">
        <v>50</v>
      </c>
      <c r="V457" s="27" t="s">
        <v>50</v>
      </c>
      <c r="W457" s="27" t="s">
        <v>50</v>
      </c>
      <c r="X457" s="27" t="s">
        <v>50</v>
      </c>
    </row>
    <row r="458" spans="1:25" x14ac:dyDescent="0.25">
      <c r="A458" s="26">
        <v>43363</v>
      </c>
      <c r="B458" s="27" t="s">
        <v>105</v>
      </c>
      <c r="C458" s="27" t="s">
        <v>106</v>
      </c>
      <c r="D458" s="89">
        <v>38.192360000000001</v>
      </c>
      <c r="E458" s="89">
        <v>-121.65707</v>
      </c>
      <c r="F458" s="27" t="s">
        <v>6180</v>
      </c>
      <c r="G458" s="27" t="s">
        <v>90</v>
      </c>
      <c r="H458" s="27" t="s">
        <v>362</v>
      </c>
      <c r="I458" s="84">
        <v>0.43541666666666662</v>
      </c>
      <c r="J458" s="82">
        <v>189.9</v>
      </c>
      <c r="K458" s="82">
        <v>19.399999999999999</v>
      </c>
      <c r="L458" s="82">
        <v>3.36</v>
      </c>
      <c r="M458" s="82" t="s">
        <v>5829</v>
      </c>
      <c r="N458" s="4">
        <v>13.850000000000001</v>
      </c>
      <c r="O458" s="27" t="s">
        <v>48</v>
      </c>
      <c r="P458" s="27">
        <v>4</v>
      </c>
      <c r="Q458" s="27">
        <v>10</v>
      </c>
      <c r="R458" s="27" t="s">
        <v>64</v>
      </c>
      <c r="S458" s="27" t="s">
        <v>50</v>
      </c>
      <c r="T458" s="27" t="s">
        <v>50</v>
      </c>
      <c r="U458" s="27" t="s">
        <v>50</v>
      </c>
      <c r="V458" s="27" t="s">
        <v>50</v>
      </c>
      <c r="W458" s="27" t="s">
        <v>50</v>
      </c>
      <c r="X458" s="27" t="s">
        <v>50</v>
      </c>
    </row>
    <row r="459" spans="1:25" x14ac:dyDescent="0.25">
      <c r="A459" s="26">
        <v>43363</v>
      </c>
      <c r="B459" s="27" t="s">
        <v>105</v>
      </c>
      <c r="C459" s="27" t="s">
        <v>62</v>
      </c>
      <c r="D459" s="89">
        <v>38.173929999999999</v>
      </c>
      <c r="E459" s="89">
        <v>-122.01563</v>
      </c>
      <c r="F459" s="27" t="s">
        <v>6181</v>
      </c>
      <c r="G459" s="27" t="s">
        <v>27</v>
      </c>
      <c r="H459" s="27" t="s">
        <v>62</v>
      </c>
      <c r="I459" s="84">
        <v>0.3430555555555555</v>
      </c>
      <c r="J459" s="82">
        <v>9326</v>
      </c>
      <c r="K459" s="82">
        <v>19.475000000000001</v>
      </c>
      <c r="L459" s="82">
        <v>19.350000000000001</v>
      </c>
      <c r="M459" s="82">
        <v>0.64749999999999996</v>
      </c>
      <c r="N459" s="4">
        <v>7.125</v>
      </c>
      <c r="O459" s="27" t="s">
        <v>48</v>
      </c>
      <c r="P459" s="27">
        <v>4</v>
      </c>
      <c r="Q459" s="27">
        <v>10</v>
      </c>
      <c r="R459" s="27" t="s">
        <v>64</v>
      </c>
      <c r="S459" s="27" t="s">
        <v>50</v>
      </c>
      <c r="T459" s="27" t="s">
        <v>50</v>
      </c>
      <c r="U459" s="27" t="s">
        <v>50</v>
      </c>
      <c r="V459" s="27" t="s">
        <v>50</v>
      </c>
      <c r="W459" s="27" t="s">
        <v>50</v>
      </c>
      <c r="X459" s="27" t="s">
        <v>50</v>
      </c>
      <c r="Y459" s="35" t="s">
        <v>6175</v>
      </c>
    </row>
    <row r="460" spans="1:25" s="361" customFormat="1" x14ac:dyDescent="0.25">
      <c r="A460" s="360">
        <v>43363</v>
      </c>
      <c r="B460" s="361" t="s">
        <v>105</v>
      </c>
      <c r="C460" s="361" t="s">
        <v>62</v>
      </c>
      <c r="D460" s="362">
        <v>38.160780000000003</v>
      </c>
      <c r="E460" s="362">
        <v>-121.92912</v>
      </c>
      <c r="F460" s="361" t="s">
        <v>6182</v>
      </c>
      <c r="G460" s="361" t="s">
        <v>27</v>
      </c>
      <c r="H460" s="361" t="s">
        <v>62</v>
      </c>
      <c r="I460" s="363">
        <v>0.40277777777777773</v>
      </c>
      <c r="J460" s="364">
        <v>7379</v>
      </c>
      <c r="K460" s="364">
        <v>19.475000000000001</v>
      </c>
      <c r="L460" s="364">
        <v>25.675000000000001</v>
      </c>
      <c r="M460" s="364">
        <v>0.61</v>
      </c>
      <c r="N460" s="365">
        <v>4.3250000000000002</v>
      </c>
      <c r="O460" s="361" t="s">
        <v>48</v>
      </c>
      <c r="P460" s="361">
        <v>4</v>
      </c>
      <c r="Q460" s="361">
        <v>10</v>
      </c>
      <c r="R460" s="361" t="s">
        <v>64</v>
      </c>
      <c r="S460" s="361" t="s">
        <v>50</v>
      </c>
      <c r="T460" s="361" t="s">
        <v>50</v>
      </c>
      <c r="U460" s="361" t="s">
        <v>50</v>
      </c>
      <c r="V460" s="361" t="s">
        <v>50</v>
      </c>
      <c r="W460" s="361" t="s">
        <v>50</v>
      </c>
      <c r="X460" s="361" t="s">
        <v>50</v>
      </c>
      <c r="Y460" s="366"/>
    </row>
    <row r="461" spans="1:25" x14ac:dyDescent="0.25">
      <c r="A461" s="26">
        <v>43367</v>
      </c>
      <c r="B461" s="27" t="s">
        <v>43</v>
      </c>
      <c r="C461" s="27" t="s">
        <v>78</v>
      </c>
      <c r="D461" s="89">
        <v>38.052849999999999</v>
      </c>
      <c r="E461" s="89">
        <v>-122.09712</v>
      </c>
      <c r="F461" s="27" t="s">
        <v>6183</v>
      </c>
      <c r="G461" s="27" t="s">
        <v>80</v>
      </c>
      <c r="H461" s="27" t="s">
        <v>81</v>
      </c>
      <c r="I461" s="84">
        <v>0.3527777777777778</v>
      </c>
      <c r="J461" s="82">
        <v>13108.25</v>
      </c>
      <c r="K461" s="82">
        <v>19.2</v>
      </c>
      <c r="L461" s="82">
        <v>39.5</v>
      </c>
      <c r="M461" s="82">
        <v>0.54</v>
      </c>
      <c r="N461" s="4">
        <v>7.75</v>
      </c>
      <c r="O461" s="27" t="s">
        <v>48</v>
      </c>
      <c r="P461" s="27">
        <v>4</v>
      </c>
      <c r="Q461" s="27">
        <v>10</v>
      </c>
      <c r="R461" s="27" t="s">
        <v>49</v>
      </c>
      <c r="S461" s="27" t="s">
        <v>50</v>
      </c>
      <c r="T461" s="27" t="s">
        <v>50</v>
      </c>
      <c r="U461" s="27" t="s">
        <v>50</v>
      </c>
      <c r="V461" s="27" t="s">
        <v>50</v>
      </c>
      <c r="W461" s="27" t="s">
        <v>50</v>
      </c>
      <c r="X461" s="27" t="s">
        <v>50</v>
      </c>
    </row>
    <row r="462" spans="1:25" x14ac:dyDescent="0.25">
      <c r="A462" s="26">
        <v>43367</v>
      </c>
      <c r="B462" s="27" t="s">
        <v>43</v>
      </c>
      <c r="C462" s="27" t="s">
        <v>78</v>
      </c>
      <c r="D462" s="89">
        <v>38.063699999999997</v>
      </c>
      <c r="E462" s="89">
        <v>-122.04442</v>
      </c>
      <c r="F462" s="27" t="s">
        <v>6184</v>
      </c>
      <c r="G462" s="27" t="s">
        <v>27</v>
      </c>
      <c r="H462" s="27" t="s">
        <v>86</v>
      </c>
      <c r="I462" s="84">
        <v>0.40763888888888888</v>
      </c>
      <c r="J462" s="82">
        <v>11711.25</v>
      </c>
      <c r="K462" s="82">
        <v>19.425000000000001</v>
      </c>
      <c r="L462" s="82">
        <v>25.95</v>
      </c>
      <c r="M462" s="82">
        <v>0.85</v>
      </c>
      <c r="N462" s="4">
        <v>7.25</v>
      </c>
      <c r="O462" s="27" t="s">
        <v>48</v>
      </c>
      <c r="P462" s="27">
        <v>4</v>
      </c>
      <c r="Q462" s="27">
        <v>10</v>
      </c>
      <c r="R462" s="27" t="s">
        <v>49</v>
      </c>
      <c r="S462" s="27" t="s">
        <v>50</v>
      </c>
      <c r="T462" s="27" t="s">
        <v>50</v>
      </c>
      <c r="U462" s="27" t="s">
        <v>50</v>
      </c>
      <c r="V462" s="27" t="s">
        <v>50</v>
      </c>
      <c r="W462" s="27" t="s">
        <v>50</v>
      </c>
      <c r="X462" s="27" t="s">
        <v>50</v>
      </c>
    </row>
    <row r="463" spans="1:25" x14ac:dyDescent="0.25">
      <c r="A463" s="26">
        <v>43367</v>
      </c>
      <c r="B463" s="27" t="s">
        <v>43</v>
      </c>
      <c r="C463" s="27" t="s">
        <v>78</v>
      </c>
      <c r="D463" s="89">
        <v>38.047159999999998</v>
      </c>
      <c r="E463" s="89">
        <v>-121.92407</v>
      </c>
      <c r="F463" s="27" t="s">
        <v>6185</v>
      </c>
      <c r="G463" s="27" t="s">
        <v>27</v>
      </c>
      <c r="H463" s="27" t="s">
        <v>101</v>
      </c>
      <c r="I463" s="84">
        <v>0.4604166666666667</v>
      </c>
      <c r="J463" s="82">
        <v>4983</v>
      </c>
      <c r="K463" s="82">
        <v>19.850000000000001</v>
      </c>
      <c r="L463" s="82">
        <v>25.475000000000001</v>
      </c>
      <c r="M463" s="82">
        <v>0.81</v>
      </c>
      <c r="N463" s="4">
        <v>14.225</v>
      </c>
      <c r="O463" s="27" t="s">
        <v>48</v>
      </c>
      <c r="P463" s="27">
        <v>4</v>
      </c>
      <c r="Q463" s="27">
        <v>10</v>
      </c>
      <c r="R463" s="27" t="s">
        <v>49</v>
      </c>
      <c r="S463" s="27" t="s">
        <v>50</v>
      </c>
      <c r="T463" s="27" t="s">
        <v>50</v>
      </c>
      <c r="U463" s="27" t="s">
        <v>50</v>
      </c>
      <c r="V463" s="27" t="s">
        <v>50</v>
      </c>
      <c r="W463" s="27" t="s">
        <v>50</v>
      </c>
      <c r="X463" s="27" t="s">
        <v>50</v>
      </c>
      <c r="Y463" s="35" t="s">
        <v>6186</v>
      </c>
    </row>
    <row r="464" spans="1:25" x14ac:dyDescent="0.25">
      <c r="A464" s="26">
        <v>43367</v>
      </c>
      <c r="B464" s="27" t="s">
        <v>43</v>
      </c>
      <c r="C464" s="27" t="s">
        <v>845</v>
      </c>
      <c r="D464" s="89">
        <v>38.323430000000002</v>
      </c>
      <c r="E464" s="89">
        <v>-121.69351</v>
      </c>
      <c r="F464" s="27" t="s">
        <v>6187</v>
      </c>
      <c r="G464" s="27" t="s">
        <v>90</v>
      </c>
      <c r="H464" s="27" t="s">
        <v>126</v>
      </c>
      <c r="I464" s="84">
        <v>0.33055555555555555</v>
      </c>
      <c r="J464" s="82">
        <v>413.72500000000002</v>
      </c>
      <c r="K464" s="82">
        <v>20.175000000000001</v>
      </c>
      <c r="L464" s="82">
        <v>7.3125</v>
      </c>
      <c r="M464" s="82">
        <v>1.29</v>
      </c>
      <c r="N464" s="4">
        <v>3.5750000000000002</v>
      </c>
      <c r="O464" s="27" t="s">
        <v>48</v>
      </c>
      <c r="P464" s="27">
        <v>4</v>
      </c>
      <c r="Q464" s="27">
        <v>10</v>
      </c>
      <c r="R464" s="27" t="s">
        <v>49</v>
      </c>
      <c r="S464" s="27" t="s">
        <v>50</v>
      </c>
      <c r="T464" s="27" t="s">
        <v>50</v>
      </c>
      <c r="U464" s="27" t="s">
        <v>50</v>
      </c>
      <c r="V464" s="27" t="s">
        <v>50</v>
      </c>
      <c r="W464" s="27" t="s">
        <v>50</v>
      </c>
      <c r="X464" s="27" t="s">
        <v>50</v>
      </c>
      <c r="Y464" s="5" t="s">
        <v>6188</v>
      </c>
    </row>
    <row r="465" spans="1:25" x14ac:dyDescent="0.25">
      <c r="A465" s="26">
        <v>43367</v>
      </c>
      <c r="B465" s="27" t="s">
        <v>43</v>
      </c>
      <c r="C465" s="27" t="s">
        <v>845</v>
      </c>
      <c r="D465" s="89">
        <v>38.246429999999997</v>
      </c>
      <c r="E465" s="89">
        <v>-121.70332000000001</v>
      </c>
      <c r="F465" s="27" t="s">
        <v>6189</v>
      </c>
      <c r="G465" s="27" t="s">
        <v>90</v>
      </c>
      <c r="H465" s="27" t="s">
        <v>126</v>
      </c>
      <c r="I465" s="84">
        <v>0.41666666666666669</v>
      </c>
      <c r="J465" s="82">
        <v>199.85</v>
      </c>
      <c r="K465" s="82">
        <v>19.925000000000001</v>
      </c>
      <c r="L465" s="82">
        <v>4.1825000000000001</v>
      </c>
      <c r="M465" s="82" t="s">
        <v>5829</v>
      </c>
      <c r="N465" s="4">
        <v>3.55</v>
      </c>
      <c r="O465" s="27" t="s">
        <v>48</v>
      </c>
      <c r="P465" s="27">
        <v>4</v>
      </c>
      <c r="Q465" s="27">
        <v>10</v>
      </c>
      <c r="R465" s="27" t="s">
        <v>49</v>
      </c>
      <c r="S465" s="27" t="s">
        <v>50</v>
      </c>
      <c r="T465" s="27" t="s">
        <v>50</v>
      </c>
      <c r="U465" s="27" t="s">
        <v>50</v>
      </c>
      <c r="V465" s="27" t="s">
        <v>50</v>
      </c>
      <c r="W465" s="27" t="s">
        <v>50</v>
      </c>
      <c r="X465" s="27" t="s">
        <v>50</v>
      </c>
      <c r="Y465" s="5" t="s">
        <v>6188</v>
      </c>
    </row>
    <row r="466" spans="1:25" x14ac:dyDescent="0.25">
      <c r="A466" s="26">
        <v>43367</v>
      </c>
      <c r="B466" s="27" t="s">
        <v>43</v>
      </c>
      <c r="C466" s="27" t="s">
        <v>845</v>
      </c>
      <c r="D466" s="89">
        <v>38.250010000000003</v>
      </c>
      <c r="E466" s="89">
        <v>-121.71826</v>
      </c>
      <c r="F466" s="27" t="s">
        <v>6190</v>
      </c>
      <c r="G466" s="27" t="s">
        <v>90</v>
      </c>
      <c r="H466" s="27" t="s">
        <v>126</v>
      </c>
      <c r="I466" s="84">
        <v>0.47500000000000003</v>
      </c>
      <c r="J466" s="82">
        <v>209.17500000000001</v>
      </c>
      <c r="K466" s="82">
        <v>20.3</v>
      </c>
      <c r="L466" s="82">
        <v>2.9049999999999998</v>
      </c>
      <c r="M466" s="82" t="s">
        <v>5829</v>
      </c>
      <c r="N466" s="4">
        <v>4.4749999999999996</v>
      </c>
      <c r="O466" s="27" t="s">
        <v>48</v>
      </c>
      <c r="P466" s="27">
        <v>4</v>
      </c>
      <c r="Q466" s="27">
        <v>10</v>
      </c>
      <c r="R466" s="27" t="s">
        <v>49</v>
      </c>
      <c r="S466" s="27" t="s">
        <v>50</v>
      </c>
      <c r="T466" s="27" t="s">
        <v>50</v>
      </c>
      <c r="U466" s="27" t="s">
        <v>50</v>
      </c>
      <c r="V466" s="27" t="s">
        <v>50</v>
      </c>
      <c r="W466" s="27" t="s">
        <v>50</v>
      </c>
      <c r="X466" s="27" t="s">
        <v>50</v>
      </c>
      <c r="Y466" s="5" t="s">
        <v>6188</v>
      </c>
    </row>
    <row r="467" spans="1:25" s="385" customFormat="1" x14ac:dyDescent="0.25">
      <c r="A467" s="495">
        <v>43367</v>
      </c>
      <c r="B467" s="494" t="s">
        <v>43</v>
      </c>
      <c r="C467" s="494" t="s">
        <v>88</v>
      </c>
      <c r="D467" s="496">
        <v>38.070250000000001</v>
      </c>
      <c r="E467" s="496">
        <v>-121.83709</v>
      </c>
      <c r="F467" s="494" t="s">
        <v>6191</v>
      </c>
      <c r="G467" s="494" t="s">
        <v>27</v>
      </c>
      <c r="H467" s="494" t="s">
        <v>25</v>
      </c>
      <c r="I467" s="497">
        <v>0.33333333333333331</v>
      </c>
      <c r="J467" s="498">
        <v>5086.33</v>
      </c>
      <c r="K467" s="498">
        <v>19.565999999999999</v>
      </c>
      <c r="L467" s="498">
        <v>13.866</v>
      </c>
      <c r="M467" s="498">
        <v>0.57330000000000003</v>
      </c>
      <c r="N467" s="499">
        <v>6.5330000000000004</v>
      </c>
      <c r="O467" s="494" t="s">
        <v>48</v>
      </c>
      <c r="P467" s="494">
        <v>3</v>
      </c>
      <c r="Q467" s="494">
        <v>10</v>
      </c>
      <c r="R467" s="494" t="s">
        <v>49</v>
      </c>
      <c r="S467" s="494" t="s">
        <v>323</v>
      </c>
      <c r="T467" s="494">
        <v>4</v>
      </c>
      <c r="U467" s="494" t="s">
        <v>6192</v>
      </c>
      <c r="V467" s="494" t="s">
        <v>66</v>
      </c>
      <c r="W467" s="494" t="s">
        <v>50</v>
      </c>
      <c r="X467" s="494" t="s">
        <v>50</v>
      </c>
      <c r="Y467" s="455" t="s">
        <v>6193</v>
      </c>
    </row>
    <row r="468" spans="1:25" x14ac:dyDescent="0.25">
      <c r="A468" s="26">
        <v>43367</v>
      </c>
      <c r="B468" s="27" t="s">
        <v>43</v>
      </c>
      <c r="C468" s="27" t="s">
        <v>95</v>
      </c>
      <c r="D468" s="89">
        <v>38.097430000000003</v>
      </c>
      <c r="E468" s="89">
        <v>-121.66088000000001</v>
      </c>
      <c r="F468" s="27" t="s">
        <v>6194</v>
      </c>
      <c r="G468" s="27" t="s">
        <v>27</v>
      </c>
      <c r="H468" s="27" t="s">
        <v>908</v>
      </c>
      <c r="I468" s="84">
        <v>0.4201388888888889</v>
      </c>
      <c r="J468" s="82">
        <v>797.75</v>
      </c>
      <c r="K468" s="82">
        <v>20.65</v>
      </c>
      <c r="L468" s="82">
        <v>6.3</v>
      </c>
      <c r="M468" s="82">
        <v>1.645</v>
      </c>
      <c r="N468" s="4">
        <v>11.6</v>
      </c>
      <c r="O468" s="27" t="s">
        <v>48</v>
      </c>
      <c r="P468" s="27">
        <v>4</v>
      </c>
      <c r="Q468" s="27">
        <v>10</v>
      </c>
      <c r="R468" s="27" t="s">
        <v>49</v>
      </c>
      <c r="S468" s="27" t="s">
        <v>50</v>
      </c>
      <c r="T468" s="27" t="s">
        <v>50</v>
      </c>
      <c r="U468" s="27" t="s">
        <v>50</v>
      </c>
      <c r="V468" s="27" t="s">
        <v>50</v>
      </c>
      <c r="W468" s="27" t="s">
        <v>50</v>
      </c>
      <c r="X468" s="27" t="s">
        <v>50</v>
      </c>
    </row>
    <row r="469" spans="1:25" x14ac:dyDescent="0.25">
      <c r="A469" s="26">
        <v>43367</v>
      </c>
      <c r="B469" s="27" t="s">
        <v>43</v>
      </c>
      <c r="C469" s="27" t="s">
        <v>95</v>
      </c>
      <c r="D469" s="89">
        <v>38.101939999999999</v>
      </c>
      <c r="E469" s="89">
        <v>-121.6067</v>
      </c>
      <c r="F469" s="27" t="s">
        <v>6195</v>
      </c>
      <c r="G469" s="27" t="s">
        <v>27</v>
      </c>
      <c r="H469" s="27" t="s">
        <v>908</v>
      </c>
      <c r="I469" s="84">
        <v>0.47500000000000003</v>
      </c>
      <c r="J469" s="82">
        <v>439.22500000000002</v>
      </c>
      <c r="K469" s="82">
        <v>20.475000000000001</v>
      </c>
      <c r="L469" s="82">
        <v>5.0250000000000004</v>
      </c>
      <c r="M469" s="82">
        <v>1.5725</v>
      </c>
      <c r="N469" s="4">
        <v>9.5</v>
      </c>
      <c r="O469" s="27" t="s">
        <v>48</v>
      </c>
      <c r="P469" s="27">
        <v>4</v>
      </c>
      <c r="Q469" s="27">
        <v>10</v>
      </c>
      <c r="R469" s="27" t="s">
        <v>49</v>
      </c>
      <c r="S469" s="27" t="s">
        <v>50</v>
      </c>
      <c r="T469" s="27" t="s">
        <v>50</v>
      </c>
      <c r="U469" s="27" t="s">
        <v>50</v>
      </c>
      <c r="V469" s="27" t="s">
        <v>50</v>
      </c>
      <c r="W469" s="27" t="s">
        <v>50</v>
      </c>
      <c r="X469" s="27" t="s">
        <v>50</v>
      </c>
    </row>
    <row r="470" spans="1:25" x14ac:dyDescent="0.25">
      <c r="A470" s="26">
        <v>43368</v>
      </c>
      <c r="B470" s="27" t="s">
        <v>70</v>
      </c>
      <c r="C470" s="27" t="s">
        <v>845</v>
      </c>
      <c r="D470" s="89">
        <v>38.290970000000002</v>
      </c>
      <c r="E470" s="89">
        <v>-121.73147</v>
      </c>
      <c r="F470" s="27" t="s">
        <v>6196</v>
      </c>
      <c r="G470" s="27" t="s">
        <v>90</v>
      </c>
      <c r="H470" s="27" t="s">
        <v>126</v>
      </c>
      <c r="I470" s="84">
        <v>0.32847222222222222</v>
      </c>
      <c r="J470" s="82">
        <v>220.57499999999999</v>
      </c>
      <c r="K470" s="82">
        <v>19.774999999999999</v>
      </c>
      <c r="L470" s="82">
        <v>5.3975</v>
      </c>
      <c r="M470" s="82" t="s">
        <v>5829</v>
      </c>
      <c r="N470" s="4">
        <v>1.9</v>
      </c>
      <c r="O470" s="27" t="s">
        <v>48</v>
      </c>
      <c r="P470" s="27">
        <v>4</v>
      </c>
      <c r="Q470" s="27">
        <v>10</v>
      </c>
      <c r="R470" s="27" t="s">
        <v>49</v>
      </c>
      <c r="S470" s="27" t="s">
        <v>50</v>
      </c>
      <c r="T470" s="27" t="s">
        <v>50</v>
      </c>
      <c r="U470" s="27" t="s">
        <v>50</v>
      </c>
      <c r="V470" s="27" t="s">
        <v>50</v>
      </c>
      <c r="W470" s="27" t="s">
        <v>50</v>
      </c>
      <c r="X470" s="27" t="s">
        <v>50</v>
      </c>
      <c r="Y470" s="35" t="s">
        <v>4301</v>
      </c>
    </row>
    <row r="471" spans="1:25" x14ac:dyDescent="0.25">
      <c r="A471" s="26">
        <v>43368</v>
      </c>
      <c r="B471" s="27" t="s">
        <v>70</v>
      </c>
      <c r="C471" s="27" t="s">
        <v>845</v>
      </c>
      <c r="D471" s="89">
        <v>38.29119</v>
      </c>
      <c r="E471" s="89">
        <v>-121.66083999999999</v>
      </c>
      <c r="F471" s="27" t="s">
        <v>6197</v>
      </c>
      <c r="G471" s="27" t="s">
        <v>90</v>
      </c>
      <c r="H471" s="27" t="s">
        <v>126</v>
      </c>
      <c r="I471" s="84">
        <v>0.3972222222222222</v>
      </c>
      <c r="J471" s="82">
        <v>285.55</v>
      </c>
      <c r="K471" s="82">
        <v>19.95</v>
      </c>
      <c r="L471" s="82">
        <v>14.5</v>
      </c>
      <c r="M471" s="82">
        <v>1.5625</v>
      </c>
      <c r="N471" s="4">
        <v>6.15</v>
      </c>
      <c r="O471" s="27" t="s">
        <v>48</v>
      </c>
      <c r="P471" s="27">
        <v>4</v>
      </c>
      <c r="Q471" s="27">
        <v>10</v>
      </c>
      <c r="R471" s="27" t="s">
        <v>49</v>
      </c>
      <c r="S471" s="27" t="s">
        <v>50</v>
      </c>
      <c r="T471" s="27" t="s">
        <v>50</v>
      </c>
      <c r="U471" s="27" t="s">
        <v>50</v>
      </c>
      <c r="V471" s="27" t="s">
        <v>50</v>
      </c>
      <c r="W471" s="27" t="s">
        <v>50</v>
      </c>
      <c r="X471" s="27" t="s">
        <v>50</v>
      </c>
    </row>
    <row r="472" spans="1:25" x14ac:dyDescent="0.25">
      <c r="A472" s="26">
        <v>43368</v>
      </c>
      <c r="B472" s="27" t="s">
        <v>70</v>
      </c>
      <c r="C472" s="27" t="s">
        <v>845</v>
      </c>
      <c r="D472" s="89">
        <v>38.239429999999999</v>
      </c>
      <c r="E472" s="89">
        <v>-121.68585</v>
      </c>
      <c r="F472" s="27" t="s">
        <v>6198</v>
      </c>
      <c r="G472" s="27" t="s">
        <v>90</v>
      </c>
      <c r="H472" s="27" t="s">
        <v>126</v>
      </c>
      <c r="I472" s="84">
        <v>0.45</v>
      </c>
      <c r="J472" s="82">
        <v>188.67500000000001</v>
      </c>
      <c r="K472" s="82">
        <v>19.75</v>
      </c>
      <c r="L472" s="82">
        <v>5.5374999999999996</v>
      </c>
      <c r="M472" s="82" t="s">
        <v>5829</v>
      </c>
      <c r="N472" s="4">
        <v>9.5500000000000007</v>
      </c>
      <c r="O472" s="27" t="s">
        <v>48</v>
      </c>
      <c r="P472" s="27">
        <v>4</v>
      </c>
      <c r="Q472" s="27">
        <v>10</v>
      </c>
      <c r="R472" s="27" t="s">
        <v>49</v>
      </c>
      <c r="S472" s="27" t="s">
        <v>50</v>
      </c>
      <c r="T472" s="27" t="s">
        <v>50</v>
      </c>
      <c r="U472" s="27" t="s">
        <v>50</v>
      </c>
      <c r="V472" s="27" t="s">
        <v>50</v>
      </c>
      <c r="W472" s="27" t="s">
        <v>50</v>
      </c>
      <c r="X472" s="27" t="s">
        <v>50</v>
      </c>
    </row>
    <row r="473" spans="1:25" x14ac:dyDescent="0.25">
      <c r="A473" s="26">
        <v>43368</v>
      </c>
      <c r="B473" s="27" t="s">
        <v>70</v>
      </c>
      <c r="C473" s="27" t="s">
        <v>78</v>
      </c>
      <c r="D473" s="89">
        <v>38.084620000000001</v>
      </c>
      <c r="E473" s="89">
        <v>-121.98985999999999</v>
      </c>
      <c r="F473" s="27" t="s">
        <v>6199</v>
      </c>
      <c r="G473" s="27" t="s">
        <v>27</v>
      </c>
      <c r="H473" s="27" t="s">
        <v>86</v>
      </c>
      <c r="I473" s="84">
        <v>0.36736111111111108</v>
      </c>
      <c r="J473" s="82">
        <v>11575.5</v>
      </c>
      <c r="K473" s="82">
        <v>19.05</v>
      </c>
      <c r="L473" s="82">
        <v>44.75</v>
      </c>
      <c r="M473" s="82">
        <v>0.46</v>
      </c>
      <c r="N473" s="4">
        <v>15.100000000000001</v>
      </c>
      <c r="O473" s="27" t="s">
        <v>48</v>
      </c>
      <c r="P473" s="27">
        <v>4</v>
      </c>
      <c r="Q473" s="27">
        <v>10</v>
      </c>
      <c r="R473" s="27" t="s">
        <v>49</v>
      </c>
      <c r="S473" s="27" t="s">
        <v>50</v>
      </c>
      <c r="T473" s="27" t="s">
        <v>50</v>
      </c>
      <c r="U473" s="27" t="s">
        <v>50</v>
      </c>
      <c r="V473" s="27" t="s">
        <v>50</v>
      </c>
      <c r="W473" s="27" t="s">
        <v>50</v>
      </c>
      <c r="X473" s="27" t="s">
        <v>50</v>
      </c>
      <c r="Y473" s="35" t="s">
        <v>6200</v>
      </c>
    </row>
    <row r="474" spans="1:25" x14ac:dyDescent="0.25">
      <c r="A474" s="26">
        <v>43368</v>
      </c>
      <c r="B474" s="27" t="s">
        <v>70</v>
      </c>
      <c r="C474" s="27" t="s">
        <v>78</v>
      </c>
      <c r="D474" s="89">
        <v>38.040640000000003</v>
      </c>
      <c r="E474" s="89">
        <v>-122.11617</v>
      </c>
      <c r="F474" s="27" t="s">
        <v>6201</v>
      </c>
      <c r="G474" s="27" t="s">
        <v>80</v>
      </c>
      <c r="H474" s="27" t="s">
        <v>81</v>
      </c>
      <c r="I474" s="84">
        <v>0.43333333333333335</v>
      </c>
      <c r="J474" s="82">
        <v>17553</v>
      </c>
      <c r="K474" s="82">
        <v>19.25</v>
      </c>
      <c r="L474" s="82">
        <v>20.85</v>
      </c>
      <c r="M474" s="82">
        <v>0.79749999999999988</v>
      </c>
      <c r="N474" s="4">
        <v>11.725000000000001</v>
      </c>
      <c r="O474" s="27" t="s">
        <v>48</v>
      </c>
      <c r="P474" s="27">
        <v>4</v>
      </c>
      <c r="Q474" s="27">
        <v>10</v>
      </c>
      <c r="R474" s="27" t="s">
        <v>49</v>
      </c>
      <c r="S474" s="27" t="s">
        <v>50</v>
      </c>
      <c r="T474" s="27" t="s">
        <v>50</v>
      </c>
      <c r="U474" s="27" t="s">
        <v>50</v>
      </c>
      <c r="V474" s="27" t="s">
        <v>50</v>
      </c>
      <c r="W474" s="27" t="s">
        <v>50</v>
      </c>
      <c r="X474" s="27" t="s">
        <v>50</v>
      </c>
      <c r="Y474" s="35" t="s">
        <v>6188</v>
      </c>
    </row>
    <row r="475" spans="1:25" x14ac:dyDescent="0.25">
      <c r="A475" s="26">
        <v>43368</v>
      </c>
      <c r="B475" s="27" t="s">
        <v>70</v>
      </c>
      <c r="C475" s="27" t="s">
        <v>78</v>
      </c>
      <c r="D475" s="89">
        <v>38.051740000000002</v>
      </c>
      <c r="E475" s="89">
        <v>-122.08737000000001</v>
      </c>
      <c r="F475" s="27" t="s">
        <v>6202</v>
      </c>
      <c r="G475" s="27" t="s">
        <v>80</v>
      </c>
      <c r="H475" s="27" t="s">
        <v>81</v>
      </c>
      <c r="I475" s="84">
        <v>0.48472222222222222</v>
      </c>
      <c r="J475" s="82">
        <v>16367.5</v>
      </c>
      <c r="K475" s="82">
        <v>19.625</v>
      </c>
      <c r="L475" s="82">
        <v>16.074999999999999</v>
      </c>
      <c r="M475" s="82">
        <v>0.8224999999999999</v>
      </c>
      <c r="N475" s="4">
        <v>9.9750000000000014</v>
      </c>
      <c r="O475" s="27" t="s">
        <v>48</v>
      </c>
      <c r="P475" s="27">
        <v>4</v>
      </c>
      <c r="Q475" s="27">
        <v>10</v>
      </c>
      <c r="R475" s="27" t="s">
        <v>64</v>
      </c>
      <c r="S475" s="27" t="s">
        <v>50</v>
      </c>
      <c r="T475" s="27" t="s">
        <v>50</v>
      </c>
      <c r="U475" s="27" t="s">
        <v>50</v>
      </c>
      <c r="V475" s="27" t="s">
        <v>50</v>
      </c>
      <c r="W475" s="27" t="s">
        <v>50</v>
      </c>
      <c r="X475" s="27" t="s">
        <v>50</v>
      </c>
      <c r="Y475" s="35" t="s">
        <v>6188</v>
      </c>
    </row>
    <row r="476" spans="1:25" x14ac:dyDescent="0.25">
      <c r="A476" s="26">
        <v>43368</v>
      </c>
      <c r="B476" s="27" t="s">
        <v>70</v>
      </c>
      <c r="C476" s="27" t="s">
        <v>95</v>
      </c>
      <c r="D476" s="89">
        <v>38.039940000000001</v>
      </c>
      <c r="E476" s="89">
        <v>-121.7127</v>
      </c>
      <c r="F476" s="27" t="s">
        <v>6203</v>
      </c>
      <c r="G476" s="27" t="s">
        <v>27</v>
      </c>
      <c r="H476" s="27" t="s">
        <v>863</v>
      </c>
      <c r="I476" s="84">
        <v>0.31805555555555554</v>
      </c>
      <c r="J476" s="82">
        <v>2048</v>
      </c>
      <c r="K476" s="82">
        <v>20.150000000000002</v>
      </c>
      <c r="L476" s="82">
        <v>7.3650000000000002</v>
      </c>
      <c r="M476" s="82">
        <v>1.0125</v>
      </c>
      <c r="N476" s="4">
        <v>3.7250000000000001</v>
      </c>
      <c r="O476" s="27" t="s">
        <v>48</v>
      </c>
      <c r="P476" s="27">
        <v>4</v>
      </c>
      <c r="Q476" s="27">
        <v>10</v>
      </c>
      <c r="R476" s="27" t="s">
        <v>49</v>
      </c>
      <c r="S476" s="27" t="s">
        <v>50</v>
      </c>
      <c r="T476" s="27" t="s">
        <v>50</v>
      </c>
      <c r="U476" s="27" t="s">
        <v>50</v>
      </c>
      <c r="V476" s="27" t="s">
        <v>50</v>
      </c>
      <c r="W476" s="27" t="s">
        <v>50</v>
      </c>
      <c r="X476" s="27" t="s">
        <v>50</v>
      </c>
    </row>
    <row r="477" spans="1:25" x14ac:dyDescent="0.25">
      <c r="A477" s="26">
        <v>43368</v>
      </c>
      <c r="B477" s="27" t="s">
        <v>70</v>
      </c>
      <c r="C477" s="27" t="s">
        <v>95</v>
      </c>
      <c r="D477" s="89">
        <v>38.028060000000004</v>
      </c>
      <c r="E477" s="89">
        <v>-121.74679</v>
      </c>
      <c r="F477" s="27" t="s">
        <v>6204</v>
      </c>
      <c r="G477" s="27" t="s">
        <v>27</v>
      </c>
      <c r="H477" s="27" t="s">
        <v>863</v>
      </c>
      <c r="I477" s="84">
        <v>0.3666666666666667</v>
      </c>
      <c r="J477" s="82">
        <v>2196.75</v>
      </c>
      <c r="K477" s="82">
        <v>20.075000000000003</v>
      </c>
      <c r="L477" s="82">
        <v>8.8450000000000006</v>
      </c>
      <c r="M477" s="82">
        <v>0.95</v>
      </c>
      <c r="N477" s="4">
        <v>9.6750000000000007</v>
      </c>
      <c r="O477" s="27" t="s">
        <v>48</v>
      </c>
      <c r="P477" s="27">
        <v>4</v>
      </c>
      <c r="Q477" s="27">
        <v>10</v>
      </c>
      <c r="R477" s="27" t="s">
        <v>49</v>
      </c>
      <c r="S477" s="27" t="s">
        <v>50</v>
      </c>
      <c r="T477" s="27" t="s">
        <v>50</v>
      </c>
      <c r="U477" s="27" t="s">
        <v>50</v>
      </c>
      <c r="V477" s="27" t="s">
        <v>50</v>
      </c>
      <c r="W477" s="27" t="s">
        <v>50</v>
      </c>
      <c r="X477" s="27" t="s">
        <v>50</v>
      </c>
    </row>
    <row r="478" spans="1:25" x14ac:dyDescent="0.25">
      <c r="A478" s="26">
        <v>43368</v>
      </c>
      <c r="B478" s="27" t="s">
        <v>70</v>
      </c>
      <c r="C478" s="27" t="s">
        <v>95</v>
      </c>
      <c r="D478" s="89">
        <v>38.046039999999998</v>
      </c>
      <c r="E478" s="89">
        <v>-121.4992</v>
      </c>
      <c r="F478" s="27" t="s">
        <v>6205</v>
      </c>
      <c r="G478" s="27" t="s">
        <v>46</v>
      </c>
      <c r="H478" s="27" t="s">
        <v>115</v>
      </c>
      <c r="I478" s="84">
        <v>0.45555555555555555</v>
      </c>
      <c r="J478" s="82">
        <v>231.25</v>
      </c>
      <c r="K478" s="82">
        <v>20.725000000000001</v>
      </c>
      <c r="L478" s="82">
        <v>3.4899999999999998</v>
      </c>
      <c r="M478" s="82" t="s">
        <v>5829</v>
      </c>
      <c r="N478" s="4">
        <v>6.7499999999999991</v>
      </c>
      <c r="O478" s="27" t="s">
        <v>48</v>
      </c>
      <c r="P478" s="27">
        <v>4</v>
      </c>
      <c r="Q478" s="27">
        <v>10</v>
      </c>
      <c r="R478" s="27" t="s">
        <v>64</v>
      </c>
      <c r="S478" s="27" t="s">
        <v>50</v>
      </c>
      <c r="T478" s="27" t="s">
        <v>50</v>
      </c>
      <c r="U478" s="27" t="s">
        <v>50</v>
      </c>
      <c r="V478" s="27" t="s">
        <v>50</v>
      </c>
      <c r="W478" s="27" t="s">
        <v>50</v>
      </c>
      <c r="X478" s="27" t="s">
        <v>50</v>
      </c>
    </row>
    <row r="479" spans="1:25" x14ac:dyDescent="0.25">
      <c r="A479" s="26">
        <v>43368</v>
      </c>
      <c r="B479" s="27" t="s">
        <v>70</v>
      </c>
      <c r="C479" s="27" t="s">
        <v>95</v>
      </c>
      <c r="D479" s="89">
        <v>38.071420000000003</v>
      </c>
      <c r="E479" s="89">
        <v>-121.56382000000001</v>
      </c>
      <c r="F479" s="27" t="s">
        <v>6206</v>
      </c>
      <c r="G479" s="27" t="s">
        <v>46</v>
      </c>
      <c r="H479" s="27" t="s">
        <v>115</v>
      </c>
      <c r="I479" s="84">
        <v>0.48680555555555555</v>
      </c>
      <c r="J479" s="82">
        <v>353.35</v>
      </c>
      <c r="K479" s="82">
        <v>20.6</v>
      </c>
      <c r="L479" s="82">
        <v>4.4950000000000001</v>
      </c>
      <c r="M479" s="82" t="s">
        <v>5829</v>
      </c>
      <c r="N479" s="4">
        <v>10.5</v>
      </c>
      <c r="O479" s="27" t="s">
        <v>48</v>
      </c>
      <c r="P479" s="27">
        <v>4</v>
      </c>
      <c r="Q479" s="27">
        <v>10</v>
      </c>
      <c r="R479" s="27" t="s">
        <v>49</v>
      </c>
      <c r="S479" s="27" t="s">
        <v>50</v>
      </c>
      <c r="T479" s="27" t="s">
        <v>50</v>
      </c>
      <c r="U479" s="27" t="s">
        <v>50</v>
      </c>
      <c r="V479" s="27" t="s">
        <v>50</v>
      </c>
      <c r="W479" s="27" t="s">
        <v>50</v>
      </c>
      <c r="X479" s="27" t="s">
        <v>50</v>
      </c>
    </row>
    <row r="480" spans="1:25" s="355" customFormat="1" x14ac:dyDescent="0.25">
      <c r="A480" s="354">
        <v>43369</v>
      </c>
      <c r="B480" s="355" t="s">
        <v>87</v>
      </c>
      <c r="C480" s="355" t="s">
        <v>62</v>
      </c>
      <c r="D480" s="356">
        <v>38.11636</v>
      </c>
      <c r="E480" s="356">
        <v>-122.06009</v>
      </c>
      <c r="F480" s="355" t="s">
        <v>6207</v>
      </c>
      <c r="G480" s="355" t="s">
        <v>27</v>
      </c>
      <c r="H480" s="355" t="s">
        <v>62</v>
      </c>
      <c r="I480" s="357">
        <v>0.35416666666666669</v>
      </c>
      <c r="J480" s="358">
        <v>13969.25</v>
      </c>
      <c r="K480" s="358">
        <v>19.575000000000003</v>
      </c>
      <c r="L480" s="358">
        <v>66.174999999999997</v>
      </c>
      <c r="M480" s="358">
        <v>0.3725</v>
      </c>
      <c r="N480" s="359">
        <v>2.1</v>
      </c>
      <c r="O480" s="355" t="s">
        <v>48</v>
      </c>
      <c r="P480" s="355">
        <v>4</v>
      </c>
      <c r="Q480" s="355">
        <v>10</v>
      </c>
      <c r="R480" s="355" t="s">
        <v>49</v>
      </c>
      <c r="S480" s="355" t="s">
        <v>31</v>
      </c>
      <c r="T480" s="355">
        <v>1</v>
      </c>
      <c r="U480" s="355">
        <v>61</v>
      </c>
      <c r="V480" s="355" t="s">
        <v>50</v>
      </c>
      <c r="W480" s="355" t="s">
        <v>50</v>
      </c>
      <c r="X480" s="355" t="s">
        <v>50</v>
      </c>
      <c r="Y480" s="371" t="s">
        <v>6188</v>
      </c>
    </row>
    <row r="481" spans="1:25" x14ac:dyDescent="0.25">
      <c r="A481" s="26">
        <v>43369</v>
      </c>
      <c r="B481" s="27" t="s">
        <v>87</v>
      </c>
      <c r="C481" s="27" t="s">
        <v>62</v>
      </c>
      <c r="D481" s="89">
        <v>38.179259999999999</v>
      </c>
      <c r="E481" s="89">
        <v>-122.05274</v>
      </c>
      <c r="F481" s="27" t="s">
        <v>6208</v>
      </c>
      <c r="G481" s="27" t="s">
        <v>27</v>
      </c>
      <c r="H481" s="27" t="s">
        <v>62</v>
      </c>
      <c r="I481" s="84">
        <v>0.41041666666666665</v>
      </c>
      <c r="J481" s="82">
        <v>9990.25</v>
      </c>
      <c r="K481" s="82">
        <v>19.975000000000001</v>
      </c>
      <c r="L481" s="82">
        <v>38.700000000000003</v>
      </c>
      <c r="M481" s="82">
        <v>0.43000000000000005</v>
      </c>
      <c r="N481" s="4">
        <v>5.85</v>
      </c>
      <c r="O481" s="27" t="s">
        <v>48</v>
      </c>
      <c r="P481" s="27">
        <v>4</v>
      </c>
      <c r="Q481" s="27">
        <v>10</v>
      </c>
      <c r="R481" s="27" t="s">
        <v>49</v>
      </c>
      <c r="S481" s="27" t="s">
        <v>50</v>
      </c>
      <c r="T481" s="27" t="s">
        <v>50</v>
      </c>
      <c r="U481" s="27" t="s">
        <v>50</v>
      </c>
      <c r="V481" s="27" t="s">
        <v>50</v>
      </c>
      <c r="W481" s="27" t="s">
        <v>50</v>
      </c>
      <c r="X481" s="27" t="s">
        <v>50</v>
      </c>
      <c r="Y481" s="35" t="s">
        <v>6188</v>
      </c>
    </row>
    <row r="482" spans="1:25" x14ac:dyDescent="0.25">
      <c r="A482" s="26">
        <v>43369</v>
      </c>
      <c r="B482" s="27" t="s">
        <v>87</v>
      </c>
      <c r="C482" s="27" t="s">
        <v>62</v>
      </c>
      <c r="D482" s="89">
        <v>38.141649999999998</v>
      </c>
      <c r="E482" s="89">
        <v>-122.06202</v>
      </c>
      <c r="F482" s="27" t="s">
        <v>6209</v>
      </c>
      <c r="G482" s="27" t="s">
        <v>27</v>
      </c>
      <c r="H482" s="27" t="s">
        <v>62</v>
      </c>
      <c r="I482" s="84">
        <v>0.46527777777777773</v>
      </c>
      <c r="J482" s="82">
        <v>12839.75</v>
      </c>
      <c r="K482" s="82">
        <v>20.25</v>
      </c>
      <c r="L482" s="82">
        <v>26</v>
      </c>
      <c r="M482" s="82">
        <v>0.52</v>
      </c>
      <c r="N482" s="4">
        <v>10.899999999999999</v>
      </c>
      <c r="O482" s="27" t="s">
        <v>48</v>
      </c>
      <c r="P482" s="27">
        <v>4</v>
      </c>
      <c r="Q482" s="27">
        <v>10</v>
      </c>
      <c r="R482" s="27" t="s">
        <v>64</v>
      </c>
      <c r="S482" s="27" t="s">
        <v>50</v>
      </c>
      <c r="T482" s="27" t="s">
        <v>50</v>
      </c>
      <c r="U482" s="27" t="s">
        <v>50</v>
      </c>
      <c r="V482" s="27" t="s">
        <v>50</v>
      </c>
      <c r="W482" s="27" t="s">
        <v>50</v>
      </c>
      <c r="X482" s="27" t="s">
        <v>50</v>
      </c>
      <c r="Y482" s="35" t="s">
        <v>6188</v>
      </c>
    </row>
    <row r="483" spans="1:25" s="149" customFormat="1" x14ac:dyDescent="0.25">
      <c r="A483" s="178">
        <v>43369</v>
      </c>
      <c r="B483" s="149" t="s">
        <v>87</v>
      </c>
      <c r="C483" s="149" t="s">
        <v>62</v>
      </c>
      <c r="D483" s="150">
        <v>38.102089999999997</v>
      </c>
      <c r="E483" s="150">
        <v>-122.02816</v>
      </c>
      <c r="F483" s="149" t="s">
        <v>6210</v>
      </c>
      <c r="G483" s="149" t="s">
        <v>27</v>
      </c>
      <c r="H483" s="149" t="s">
        <v>173</v>
      </c>
      <c r="I483" s="151">
        <v>0.34097222222222223</v>
      </c>
      <c r="J483" s="197" t="s">
        <v>50</v>
      </c>
      <c r="K483" s="197" t="s">
        <v>50</v>
      </c>
      <c r="L483" s="197" t="s">
        <v>50</v>
      </c>
      <c r="M483" s="197" t="s">
        <v>50</v>
      </c>
      <c r="N483" s="197" t="s">
        <v>50</v>
      </c>
      <c r="O483" s="149" t="s">
        <v>48</v>
      </c>
      <c r="P483" s="149">
        <v>0</v>
      </c>
      <c r="Q483" s="149" t="s">
        <v>50</v>
      </c>
      <c r="R483" s="149" t="s">
        <v>50</v>
      </c>
      <c r="S483" s="149" t="s">
        <v>50</v>
      </c>
      <c r="T483" s="149" t="s">
        <v>50</v>
      </c>
      <c r="U483" s="149" t="s">
        <v>50</v>
      </c>
      <c r="V483" s="149" t="s">
        <v>50</v>
      </c>
      <c r="W483" s="149" t="s">
        <v>50</v>
      </c>
      <c r="X483" s="149" t="s">
        <v>50</v>
      </c>
      <c r="Y483" s="152" t="s">
        <v>4960</v>
      </c>
    </row>
    <row r="484" spans="1:25" x14ac:dyDescent="0.25">
      <c r="A484" s="26">
        <v>43369</v>
      </c>
      <c r="B484" s="27" t="s">
        <v>87</v>
      </c>
      <c r="C484" s="27" t="s">
        <v>88</v>
      </c>
      <c r="D484" s="89">
        <v>38.164819999999999</v>
      </c>
      <c r="E484" s="89">
        <v>-121.6755</v>
      </c>
      <c r="F484" s="27" t="s">
        <v>6211</v>
      </c>
      <c r="G484" s="27" t="s">
        <v>90</v>
      </c>
      <c r="H484" s="27" t="s">
        <v>91</v>
      </c>
      <c r="I484" s="84">
        <v>0.33124999999999999</v>
      </c>
      <c r="J484" s="82">
        <v>526.45000000000005</v>
      </c>
      <c r="K484" s="82">
        <v>19.625</v>
      </c>
      <c r="L484" s="82">
        <v>3.4424999999999999</v>
      </c>
      <c r="M484" s="82" t="s">
        <v>5829</v>
      </c>
      <c r="N484" s="4">
        <v>4.625</v>
      </c>
      <c r="O484" s="27" t="s">
        <v>48</v>
      </c>
      <c r="P484" s="27">
        <v>4</v>
      </c>
      <c r="Q484" s="27">
        <v>10</v>
      </c>
      <c r="R484" s="27" t="s">
        <v>49</v>
      </c>
      <c r="S484" s="27" t="s">
        <v>50</v>
      </c>
      <c r="T484" s="27" t="s">
        <v>50</v>
      </c>
      <c r="U484" s="27" t="s">
        <v>50</v>
      </c>
      <c r="V484" s="27" t="s">
        <v>50</v>
      </c>
      <c r="W484" s="27" t="s">
        <v>50</v>
      </c>
      <c r="X484" s="27" t="s">
        <v>50</v>
      </c>
      <c r="Y484" s="35" t="s">
        <v>6188</v>
      </c>
    </row>
    <row r="485" spans="1:25" x14ac:dyDescent="0.25">
      <c r="A485" s="26">
        <v>43369</v>
      </c>
      <c r="B485" s="27" t="s">
        <v>87</v>
      </c>
      <c r="C485" s="27" t="s">
        <v>88</v>
      </c>
      <c r="D485" s="89">
        <v>38.08755</v>
      </c>
      <c r="E485" s="89">
        <v>-121.74845999999999</v>
      </c>
      <c r="F485" s="27" t="s">
        <v>6212</v>
      </c>
      <c r="G485" s="27" t="s">
        <v>27</v>
      </c>
      <c r="H485" s="27" t="s">
        <v>25</v>
      </c>
      <c r="I485" s="84">
        <v>0.39930555555555558</v>
      </c>
      <c r="J485" s="82">
        <v>207.17500000000001</v>
      </c>
      <c r="K485" s="82">
        <v>19.75</v>
      </c>
      <c r="L485" s="82">
        <v>13.574999999999999</v>
      </c>
      <c r="M485" s="82">
        <v>0.72749999999999992</v>
      </c>
      <c r="N485" s="4">
        <v>8.4750000000000014</v>
      </c>
      <c r="O485" s="27" t="s">
        <v>48</v>
      </c>
      <c r="P485" s="27">
        <v>4</v>
      </c>
      <c r="Q485" s="27">
        <v>10</v>
      </c>
      <c r="R485" s="27" t="s">
        <v>49</v>
      </c>
      <c r="S485" s="27" t="s">
        <v>50</v>
      </c>
      <c r="T485" s="27" t="s">
        <v>50</v>
      </c>
      <c r="U485" s="27" t="s">
        <v>50</v>
      </c>
      <c r="V485" s="27" t="s">
        <v>50</v>
      </c>
      <c r="W485" s="27" t="s">
        <v>50</v>
      </c>
      <c r="X485" s="27" t="s">
        <v>50</v>
      </c>
      <c r="Y485" s="35" t="s">
        <v>6213</v>
      </c>
    </row>
    <row r="486" spans="1:25" x14ac:dyDescent="0.25">
      <c r="A486" s="26">
        <v>43369</v>
      </c>
      <c r="B486" s="27" t="s">
        <v>87</v>
      </c>
      <c r="C486" s="27" t="s">
        <v>88</v>
      </c>
      <c r="D486" s="89">
        <v>38.101649999999999</v>
      </c>
      <c r="E486" s="89">
        <v>-121.72731</v>
      </c>
      <c r="F486" s="27" t="s">
        <v>6214</v>
      </c>
      <c r="G486" s="27" t="s">
        <v>90</v>
      </c>
      <c r="H486" s="27" t="s">
        <v>91</v>
      </c>
      <c r="I486" s="84">
        <v>0.45902777777777781</v>
      </c>
      <c r="J486" s="82">
        <v>166.55</v>
      </c>
      <c r="K486" s="82">
        <v>19.875</v>
      </c>
      <c r="L486" s="82">
        <v>9.067499999999999</v>
      </c>
      <c r="M486" s="82">
        <v>1.2375</v>
      </c>
      <c r="N486" s="4">
        <v>8.125</v>
      </c>
      <c r="O486" s="27" t="s">
        <v>48</v>
      </c>
      <c r="P486" s="27">
        <v>4</v>
      </c>
      <c r="Q486" s="27">
        <v>10</v>
      </c>
      <c r="R486" s="27" t="s">
        <v>49</v>
      </c>
      <c r="S486" s="27" t="s">
        <v>50</v>
      </c>
      <c r="T486" s="27" t="s">
        <v>50</v>
      </c>
      <c r="U486" s="27" t="s">
        <v>50</v>
      </c>
      <c r="V486" s="27" t="s">
        <v>50</v>
      </c>
      <c r="W486" s="27" t="s">
        <v>50</v>
      </c>
      <c r="X486" s="27" t="s">
        <v>50</v>
      </c>
      <c r="Y486" s="35" t="s">
        <v>6188</v>
      </c>
    </row>
    <row r="487" spans="1:25" x14ac:dyDescent="0.25">
      <c r="A487" s="26">
        <v>43369</v>
      </c>
      <c r="B487" s="27" t="s">
        <v>87</v>
      </c>
      <c r="C487" s="27" t="s">
        <v>106</v>
      </c>
      <c r="D487" s="89">
        <v>38.184699999999999</v>
      </c>
      <c r="E487" s="89">
        <v>-121.66046</v>
      </c>
      <c r="F487" s="27" t="s">
        <v>6215</v>
      </c>
      <c r="G487" s="27" t="s">
        <v>90</v>
      </c>
      <c r="H487" s="27" t="s">
        <v>362</v>
      </c>
      <c r="I487" s="84">
        <v>0.31944444444444448</v>
      </c>
      <c r="J487" s="82">
        <v>145.80000000000001</v>
      </c>
      <c r="K487" s="82">
        <v>19.7</v>
      </c>
      <c r="L487" s="82">
        <v>5.6950000000000003</v>
      </c>
      <c r="M487" s="82" t="s">
        <v>5829</v>
      </c>
      <c r="N487" s="4">
        <v>14.3</v>
      </c>
      <c r="O487" s="27" t="s">
        <v>48</v>
      </c>
      <c r="P487" s="27">
        <v>2</v>
      </c>
      <c r="Q487" s="27">
        <v>10</v>
      </c>
      <c r="R487" s="27" t="s">
        <v>49</v>
      </c>
      <c r="S487" s="27" t="s">
        <v>50</v>
      </c>
      <c r="T487" s="27" t="s">
        <v>50</v>
      </c>
      <c r="U487" s="27" t="s">
        <v>50</v>
      </c>
      <c r="V487" s="27" t="s">
        <v>50</v>
      </c>
      <c r="W487" s="27" t="s">
        <v>50</v>
      </c>
      <c r="X487" s="27" t="s">
        <v>50</v>
      </c>
      <c r="Y487" s="35" t="s">
        <v>6216</v>
      </c>
    </row>
    <row r="488" spans="1:25" x14ac:dyDescent="0.25">
      <c r="A488" s="26">
        <v>43369</v>
      </c>
      <c r="B488" s="27" t="s">
        <v>87</v>
      </c>
      <c r="C488" s="27" t="s">
        <v>106</v>
      </c>
      <c r="D488" s="89">
        <v>38.326619999999998</v>
      </c>
      <c r="E488" s="89">
        <v>-121.64879999999999</v>
      </c>
      <c r="F488" s="27" t="s">
        <v>6217</v>
      </c>
      <c r="G488" s="27" t="s">
        <v>90</v>
      </c>
      <c r="H488" s="27" t="s">
        <v>362</v>
      </c>
      <c r="I488" s="84">
        <v>0.37777777777777777</v>
      </c>
      <c r="J488" s="82">
        <v>282.44999999999993</v>
      </c>
      <c r="K488" s="82">
        <v>20.625</v>
      </c>
      <c r="L488" s="82">
        <v>25.85</v>
      </c>
      <c r="M488" s="82">
        <v>0.53749999999999998</v>
      </c>
      <c r="N488" s="4">
        <v>10.5</v>
      </c>
      <c r="O488" s="27" t="s">
        <v>48</v>
      </c>
      <c r="P488" s="27">
        <v>4</v>
      </c>
      <c r="Q488" s="27">
        <v>10</v>
      </c>
      <c r="R488" s="27" t="s">
        <v>49</v>
      </c>
      <c r="S488" s="27" t="s">
        <v>50</v>
      </c>
      <c r="T488" s="27" t="s">
        <v>50</v>
      </c>
      <c r="U488" s="27" t="s">
        <v>50</v>
      </c>
      <c r="V488" s="27" t="s">
        <v>50</v>
      </c>
      <c r="W488" s="27" t="s">
        <v>50</v>
      </c>
      <c r="X488" s="27" t="s">
        <v>50</v>
      </c>
    </row>
    <row r="489" spans="1:25" s="386" customFormat="1" x14ac:dyDescent="0.25">
      <c r="A489" s="495">
        <v>43369</v>
      </c>
      <c r="B489" s="494" t="s">
        <v>87</v>
      </c>
      <c r="C489" s="494" t="s">
        <v>106</v>
      </c>
      <c r="D489" s="496">
        <v>38.36571</v>
      </c>
      <c r="E489" s="496">
        <v>-121.63369</v>
      </c>
      <c r="F489" s="494" t="s">
        <v>6218</v>
      </c>
      <c r="G489" s="494" t="s">
        <v>90</v>
      </c>
      <c r="H489" s="494" t="s">
        <v>362</v>
      </c>
      <c r="I489" s="497">
        <v>0.4284722222222222</v>
      </c>
      <c r="J489" s="498">
        <v>391.85</v>
      </c>
      <c r="K489" s="498">
        <v>20.7</v>
      </c>
      <c r="L489" s="498">
        <v>41.4</v>
      </c>
      <c r="M489" s="498">
        <v>0.31</v>
      </c>
      <c r="N489" s="499">
        <v>9.9499999999999993</v>
      </c>
      <c r="O489" s="494" t="s">
        <v>48</v>
      </c>
      <c r="P489" s="494">
        <v>2</v>
      </c>
      <c r="Q489" s="494">
        <v>10</v>
      </c>
      <c r="R489" s="494" t="s">
        <v>49</v>
      </c>
      <c r="S489" s="494" t="s">
        <v>323</v>
      </c>
      <c r="T489" s="494">
        <v>5</v>
      </c>
      <c r="U489" s="494" t="s">
        <v>6219</v>
      </c>
      <c r="V489" s="494" t="s">
        <v>66</v>
      </c>
      <c r="W489" s="494" t="s">
        <v>50</v>
      </c>
      <c r="X489" s="494" t="s">
        <v>50</v>
      </c>
      <c r="Y489" s="455" t="s">
        <v>6220</v>
      </c>
    </row>
    <row r="490" spans="1:25" x14ac:dyDescent="0.25">
      <c r="A490" s="26">
        <v>43370</v>
      </c>
      <c r="B490" s="27" t="s">
        <v>105</v>
      </c>
      <c r="C490" s="27" t="s">
        <v>62</v>
      </c>
      <c r="D490" s="89">
        <v>38.133049999999997</v>
      </c>
      <c r="E490" s="89">
        <v>-122.05973</v>
      </c>
      <c r="F490" s="27" t="s">
        <v>6221</v>
      </c>
      <c r="G490" s="27" t="s">
        <v>27</v>
      </c>
      <c r="H490" s="27" t="s">
        <v>62</v>
      </c>
      <c r="I490" s="84">
        <v>0.3520833333333333</v>
      </c>
      <c r="J490" s="82">
        <v>14578.5</v>
      </c>
      <c r="K490" s="82">
        <v>19.600000000000001</v>
      </c>
      <c r="L490" s="82">
        <v>32.510000000000005</v>
      </c>
      <c r="M490" s="82">
        <v>0.38</v>
      </c>
      <c r="N490" s="4">
        <v>7.8750000000000009</v>
      </c>
      <c r="O490" s="27" t="s">
        <v>48</v>
      </c>
      <c r="P490" s="27">
        <v>4</v>
      </c>
      <c r="Q490" s="27">
        <v>10</v>
      </c>
      <c r="R490" s="27" t="s">
        <v>49</v>
      </c>
      <c r="S490" s="27" t="s">
        <v>50</v>
      </c>
      <c r="T490" s="27" t="s">
        <v>50</v>
      </c>
      <c r="U490" s="27" t="s">
        <v>50</v>
      </c>
      <c r="V490" s="27" t="s">
        <v>50</v>
      </c>
      <c r="W490" s="27" t="s">
        <v>50</v>
      </c>
      <c r="X490" s="27" t="s">
        <v>50</v>
      </c>
      <c r="Y490" s="35" t="s">
        <v>5478</v>
      </c>
    </row>
    <row r="491" spans="1:25" x14ac:dyDescent="0.25">
      <c r="A491" s="26">
        <v>43370</v>
      </c>
      <c r="B491" s="27" t="s">
        <v>105</v>
      </c>
      <c r="C491" s="27" t="s">
        <v>62</v>
      </c>
      <c r="D491" s="89">
        <v>38.126370000000001</v>
      </c>
      <c r="E491" s="89">
        <v>-122.05859</v>
      </c>
      <c r="F491" s="27" t="s">
        <v>6222</v>
      </c>
      <c r="G491" s="27" t="s">
        <v>27</v>
      </c>
      <c r="H491" s="27" t="s">
        <v>62</v>
      </c>
      <c r="I491" s="84">
        <v>0.39930555555555558</v>
      </c>
      <c r="J491" s="82">
        <v>13975.75</v>
      </c>
      <c r="K491" s="82">
        <v>19.75</v>
      </c>
      <c r="L491" s="82">
        <v>28.275000000000002</v>
      </c>
      <c r="M491" s="82">
        <v>0.45749999999999996</v>
      </c>
      <c r="N491" s="4">
        <v>4.5999999999999996</v>
      </c>
      <c r="O491" s="27" t="s">
        <v>48</v>
      </c>
      <c r="P491" s="27">
        <v>4</v>
      </c>
      <c r="Q491" s="27">
        <v>10</v>
      </c>
      <c r="R491" s="27" t="s">
        <v>49</v>
      </c>
      <c r="S491" s="27" t="s">
        <v>50</v>
      </c>
      <c r="T491" s="27" t="s">
        <v>50</v>
      </c>
      <c r="U491" s="27" t="s">
        <v>50</v>
      </c>
      <c r="V491" s="27" t="s">
        <v>50</v>
      </c>
      <c r="W491" s="27" t="s">
        <v>50</v>
      </c>
      <c r="X491" s="27" t="s">
        <v>50</v>
      </c>
    </row>
    <row r="492" spans="1:25" x14ac:dyDescent="0.25">
      <c r="A492" s="26">
        <v>43370</v>
      </c>
      <c r="B492" s="27" t="s">
        <v>105</v>
      </c>
      <c r="C492" s="27" t="s">
        <v>62</v>
      </c>
      <c r="D492" s="89">
        <v>38.105110000000003</v>
      </c>
      <c r="E492" s="89">
        <v>-122.04742</v>
      </c>
      <c r="F492" s="27" t="s">
        <v>6223</v>
      </c>
      <c r="G492" s="27" t="s">
        <v>27</v>
      </c>
      <c r="H492" s="27" t="s">
        <v>173</v>
      </c>
      <c r="I492" s="84">
        <v>0.4513888888888889</v>
      </c>
      <c r="J492" s="82">
        <v>15580</v>
      </c>
      <c r="K492" s="82">
        <v>19.160000000000004</v>
      </c>
      <c r="L492" s="82">
        <v>29.080000000000002</v>
      </c>
      <c r="M492" s="82">
        <v>0.52200000000000002</v>
      </c>
      <c r="N492" s="4">
        <v>2.7199999999999998</v>
      </c>
      <c r="O492" s="27" t="s">
        <v>48</v>
      </c>
      <c r="P492" s="27">
        <v>5</v>
      </c>
      <c r="Q492" s="27">
        <v>10</v>
      </c>
      <c r="R492" s="27" t="s">
        <v>64</v>
      </c>
      <c r="S492" s="27" t="s">
        <v>50</v>
      </c>
      <c r="T492" s="27" t="s">
        <v>50</v>
      </c>
      <c r="U492" s="27" t="s">
        <v>50</v>
      </c>
      <c r="V492" s="27" t="s">
        <v>50</v>
      </c>
      <c r="W492" s="27" t="s">
        <v>50</v>
      </c>
      <c r="X492" s="27" t="s">
        <v>50</v>
      </c>
      <c r="Y492" s="35" t="s">
        <v>6224</v>
      </c>
    </row>
    <row r="493" spans="1:25" x14ac:dyDescent="0.25">
      <c r="A493" s="26">
        <v>43370</v>
      </c>
      <c r="B493" s="27" t="s">
        <v>105</v>
      </c>
      <c r="C493" s="27" t="s">
        <v>88</v>
      </c>
      <c r="D493" s="89">
        <v>38.077240000000003</v>
      </c>
      <c r="E493" s="89">
        <v>-121.75700999999999</v>
      </c>
      <c r="F493" s="27" t="s">
        <v>6225</v>
      </c>
      <c r="G493" s="27" t="s">
        <v>27</v>
      </c>
      <c r="H493" s="27" t="s">
        <v>25</v>
      </c>
      <c r="I493" s="84">
        <v>0.3298611111111111</v>
      </c>
      <c r="J493" s="82">
        <v>1592</v>
      </c>
      <c r="K493" s="82">
        <v>19.7</v>
      </c>
      <c r="L493" s="82">
        <v>8.9050000000000011</v>
      </c>
      <c r="M493" s="82">
        <v>0.78750000000000009</v>
      </c>
      <c r="N493" s="4">
        <v>9.4500000000000011</v>
      </c>
      <c r="O493" s="27" t="s">
        <v>48</v>
      </c>
      <c r="P493" s="27">
        <v>4</v>
      </c>
      <c r="Q493" s="27">
        <v>10</v>
      </c>
      <c r="R493" s="27" t="s">
        <v>49</v>
      </c>
      <c r="S493" s="27" t="s">
        <v>50</v>
      </c>
      <c r="T493" s="27" t="s">
        <v>50</v>
      </c>
      <c r="U493" s="27" t="s">
        <v>50</v>
      </c>
      <c r="V493" s="27" t="s">
        <v>50</v>
      </c>
      <c r="W493" s="27" t="s">
        <v>50</v>
      </c>
      <c r="X493" s="27" t="s">
        <v>50</v>
      </c>
    </row>
    <row r="494" spans="1:25" x14ac:dyDescent="0.25">
      <c r="A494" s="26">
        <v>43370</v>
      </c>
      <c r="B494" s="27" t="s">
        <v>105</v>
      </c>
      <c r="C494" s="27" t="s">
        <v>88</v>
      </c>
      <c r="D494" s="89">
        <v>38.138950000000001</v>
      </c>
      <c r="E494" s="89">
        <v>-121.69177000000001</v>
      </c>
      <c r="F494" s="27" t="s">
        <v>6226</v>
      </c>
      <c r="G494" s="27" t="s">
        <v>90</v>
      </c>
      <c r="H494" s="27" t="s">
        <v>91</v>
      </c>
      <c r="I494" s="84">
        <v>0.3840277777777778</v>
      </c>
      <c r="J494" s="82">
        <v>228.35</v>
      </c>
      <c r="K494" s="82">
        <v>19.899999999999999</v>
      </c>
      <c r="L494" s="82">
        <v>4.59</v>
      </c>
      <c r="M494" s="82" t="s">
        <v>5829</v>
      </c>
      <c r="N494" s="4">
        <v>8.35</v>
      </c>
      <c r="O494" s="27" t="s">
        <v>48</v>
      </c>
      <c r="P494" s="27">
        <v>4</v>
      </c>
      <c r="Q494" s="27">
        <v>10</v>
      </c>
      <c r="R494" s="27" t="s">
        <v>49</v>
      </c>
      <c r="S494" s="27" t="s">
        <v>50</v>
      </c>
      <c r="T494" s="27" t="s">
        <v>50</v>
      </c>
      <c r="U494" s="27" t="s">
        <v>50</v>
      </c>
      <c r="V494" s="27" t="s">
        <v>50</v>
      </c>
      <c r="W494" s="27" t="s">
        <v>50</v>
      </c>
      <c r="X494" s="27" t="s">
        <v>50</v>
      </c>
    </row>
    <row r="495" spans="1:25" x14ac:dyDescent="0.25">
      <c r="A495" s="26">
        <v>43370</v>
      </c>
      <c r="B495" s="27" t="s">
        <v>105</v>
      </c>
      <c r="C495" s="27" t="s">
        <v>88</v>
      </c>
      <c r="D495" s="89">
        <v>38.090730000000001</v>
      </c>
      <c r="E495" s="89">
        <v>-121.68595000000001</v>
      </c>
      <c r="F495" s="27" t="s">
        <v>6227</v>
      </c>
      <c r="G495" s="27" t="s">
        <v>90</v>
      </c>
      <c r="H495" s="27" t="s">
        <v>91</v>
      </c>
      <c r="I495" s="84">
        <v>0.44444444444444442</v>
      </c>
      <c r="J495" s="82">
        <v>1045</v>
      </c>
      <c r="K495" s="82">
        <v>20.625</v>
      </c>
      <c r="L495" s="82">
        <v>5.4850000000000003</v>
      </c>
      <c r="M495" s="82">
        <v>1.6125</v>
      </c>
      <c r="N495" s="4">
        <v>6.3000000000000007</v>
      </c>
      <c r="O495" s="27" t="s">
        <v>48</v>
      </c>
      <c r="P495" s="27">
        <v>4</v>
      </c>
      <c r="Q495" s="27">
        <v>10</v>
      </c>
      <c r="R495" s="27" t="s">
        <v>49</v>
      </c>
      <c r="S495" s="27" t="s">
        <v>50</v>
      </c>
      <c r="T495" s="27" t="s">
        <v>50</v>
      </c>
      <c r="U495" s="27" t="s">
        <v>50</v>
      </c>
      <c r="V495" s="27" t="s">
        <v>50</v>
      </c>
      <c r="W495" s="27" t="s">
        <v>50</v>
      </c>
      <c r="X495" s="27" t="s">
        <v>50</v>
      </c>
    </row>
    <row r="496" spans="1:25" x14ac:dyDescent="0.25">
      <c r="A496" s="26">
        <v>43370</v>
      </c>
      <c r="B496" s="27" t="s">
        <v>105</v>
      </c>
      <c r="C496" s="27" t="s">
        <v>106</v>
      </c>
      <c r="D496" s="89">
        <v>38.302770000000002</v>
      </c>
      <c r="E496" s="89">
        <v>-121.65436</v>
      </c>
      <c r="F496" s="27" t="s">
        <v>6228</v>
      </c>
      <c r="G496" s="27" t="s">
        <v>90</v>
      </c>
      <c r="H496" s="27" t="s">
        <v>362</v>
      </c>
      <c r="I496" s="84">
        <v>0.32500000000000001</v>
      </c>
      <c r="J496" s="82">
        <v>213.27500000000001</v>
      </c>
      <c r="K496" s="82">
        <v>20.350000000000001</v>
      </c>
      <c r="L496" s="82">
        <v>9.0850000000000009</v>
      </c>
      <c r="M496" s="82">
        <v>1.32</v>
      </c>
      <c r="N496" s="4">
        <v>10.5</v>
      </c>
      <c r="O496" s="27" t="s">
        <v>48</v>
      </c>
      <c r="P496" s="27">
        <v>4</v>
      </c>
      <c r="Q496" s="27">
        <v>10</v>
      </c>
      <c r="R496" s="27" t="s">
        <v>49</v>
      </c>
      <c r="S496" s="27" t="s">
        <v>50</v>
      </c>
      <c r="T496" s="27" t="s">
        <v>50</v>
      </c>
      <c r="U496" s="27" t="s">
        <v>50</v>
      </c>
      <c r="V496" s="27" t="s">
        <v>50</v>
      </c>
      <c r="W496" s="27" t="s">
        <v>50</v>
      </c>
      <c r="X496" s="27" t="s">
        <v>50</v>
      </c>
      <c r="Y496" s="35" t="s">
        <v>6188</v>
      </c>
    </row>
    <row r="497" spans="1:25" s="387" customFormat="1" x14ac:dyDescent="0.25">
      <c r="A497" s="495">
        <v>43370</v>
      </c>
      <c r="B497" s="494" t="s">
        <v>105</v>
      </c>
      <c r="C497" s="494" t="s">
        <v>106</v>
      </c>
      <c r="D497" s="496">
        <v>38.393450000000001</v>
      </c>
      <c r="E497" s="496">
        <v>-121.62084</v>
      </c>
      <c r="F497" s="494" t="s">
        <v>6229</v>
      </c>
      <c r="G497" s="494" t="s">
        <v>90</v>
      </c>
      <c r="H497" s="494" t="s">
        <v>362</v>
      </c>
      <c r="I497" s="497">
        <v>0.37916666666666665</v>
      </c>
      <c r="J497" s="498">
        <v>426.95000000000005</v>
      </c>
      <c r="K497" s="498">
        <v>20.8</v>
      </c>
      <c r="L497" s="498">
        <v>32.700000000000003</v>
      </c>
      <c r="M497" s="498">
        <v>0.39500000000000002</v>
      </c>
      <c r="N497" s="499">
        <v>10.7</v>
      </c>
      <c r="O497" s="494" t="s">
        <v>48</v>
      </c>
      <c r="P497" s="494">
        <v>2</v>
      </c>
      <c r="Q497" s="494">
        <v>10</v>
      </c>
      <c r="R497" s="494" t="s">
        <v>49</v>
      </c>
      <c r="S497" s="494" t="s">
        <v>323</v>
      </c>
      <c r="T497" s="494">
        <v>7</v>
      </c>
      <c r="U497" s="494" t="s">
        <v>6230</v>
      </c>
      <c r="V497" s="494" t="s">
        <v>66</v>
      </c>
      <c r="W497" s="494" t="s">
        <v>50</v>
      </c>
      <c r="X497" s="494" t="s">
        <v>50</v>
      </c>
      <c r="Y497" s="455" t="s">
        <v>6231</v>
      </c>
    </row>
    <row r="498" spans="1:25" x14ac:dyDescent="0.25">
      <c r="A498" s="26">
        <v>43370</v>
      </c>
      <c r="B498" s="27" t="s">
        <v>105</v>
      </c>
      <c r="C498" s="27" t="s">
        <v>106</v>
      </c>
      <c r="D498" s="89">
        <v>38.497810000000001</v>
      </c>
      <c r="E498" s="89">
        <v>-121.58481999999999</v>
      </c>
      <c r="F498" s="27" t="s">
        <v>6232</v>
      </c>
      <c r="G498" s="27" t="s">
        <v>90</v>
      </c>
      <c r="H498" s="27" t="s">
        <v>1787</v>
      </c>
      <c r="I498" s="84">
        <v>0.42777777777777781</v>
      </c>
      <c r="J498" s="82">
        <v>824.5</v>
      </c>
      <c r="K498" s="82">
        <v>21.875</v>
      </c>
      <c r="L498" s="82">
        <v>17.774999999999999</v>
      </c>
      <c r="M498" s="82">
        <v>0.66249999999999998</v>
      </c>
      <c r="N498" s="4">
        <v>10.675000000000001</v>
      </c>
      <c r="O498" s="27" t="s">
        <v>48</v>
      </c>
      <c r="P498" s="27">
        <v>4</v>
      </c>
      <c r="Q498" s="27">
        <v>10</v>
      </c>
      <c r="R498" s="27" t="s">
        <v>49</v>
      </c>
      <c r="S498" s="27" t="s">
        <v>50</v>
      </c>
      <c r="T498" s="27" t="s">
        <v>50</v>
      </c>
      <c r="U498" s="27" t="s">
        <v>50</v>
      </c>
      <c r="V498" s="27" t="s">
        <v>50</v>
      </c>
      <c r="W498" s="27" t="s">
        <v>50</v>
      </c>
      <c r="X498" s="27" t="s">
        <v>50</v>
      </c>
      <c r="Y498" s="35" t="s">
        <v>6188</v>
      </c>
    </row>
    <row r="499" spans="1:25" s="361" customFormat="1" x14ac:dyDescent="0.25">
      <c r="A499" s="360">
        <v>43370</v>
      </c>
      <c r="B499" s="361" t="s">
        <v>105</v>
      </c>
      <c r="C499" s="361" t="s">
        <v>106</v>
      </c>
      <c r="D499" s="362">
        <v>38.555709999999998</v>
      </c>
      <c r="E499" s="362">
        <v>-121.57478</v>
      </c>
      <c r="F499" s="361" t="s">
        <v>6233</v>
      </c>
      <c r="G499" s="361" t="s">
        <v>90</v>
      </c>
      <c r="H499" s="361" t="s">
        <v>1787</v>
      </c>
      <c r="I499" s="363">
        <v>0.48749999999999999</v>
      </c>
      <c r="J499" s="364">
        <v>997.5</v>
      </c>
      <c r="K499" s="364">
        <v>22.5</v>
      </c>
      <c r="L499" s="364">
        <v>3.8225000000000002</v>
      </c>
      <c r="M499" s="364">
        <v>1.7399999999999998</v>
      </c>
      <c r="N499" s="365">
        <v>10.35</v>
      </c>
      <c r="O499" s="361" t="s">
        <v>48</v>
      </c>
      <c r="P499" s="361">
        <v>4</v>
      </c>
      <c r="Q499" s="361">
        <v>10</v>
      </c>
      <c r="R499" s="361" t="s">
        <v>49</v>
      </c>
      <c r="S499" s="361" t="s">
        <v>50</v>
      </c>
      <c r="T499" s="361" t="s">
        <v>50</v>
      </c>
      <c r="U499" s="361" t="s">
        <v>50</v>
      </c>
      <c r="V499" s="361" t="s">
        <v>50</v>
      </c>
      <c r="W499" s="361" t="s">
        <v>50</v>
      </c>
      <c r="X499" s="361" t="s">
        <v>50</v>
      </c>
      <c r="Y499" s="366"/>
    </row>
    <row r="500" spans="1:25" x14ac:dyDescent="0.25">
      <c r="A500" s="26">
        <v>43374</v>
      </c>
      <c r="B500" s="27" t="s">
        <v>43</v>
      </c>
      <c r="C500" s="27" t="s">
        <v>88</v>
      </c>
      <c r="D500" s="89">
        <v>38.057740000000003</v>
      </c>
      <c r="E500" s="89">
        <v>-121.79156</v>
      </c>
      <c r="F500" s="27" t="s">
        <v>6234</v>
      </c>
      <c r="G500" s="27" t="s">
        <v>27</v>
      </c>
      <c r="H500" s="27" t="s">
        <v>25</v>
      </c>
      <c r="I500" s="84">
        <v>0.32708333333333334</v>
      </c>
      <c r="J500" s="82">
        <v>1933.25</v>
      </c>
      <c r="K500" s="82">
        <v>19.475000000000001</v>
      </c>
      <c r="L500" s="82">
        <v>16.125</v>
      </c>
      <c r="M500" s="82">
        <v>0.755</v>
      </c>
      <c r="N500" s="4">
        <v>7.625</v>
      </c>
      <c r="O500" s="27" t="s">
        <v>48</v>
      </c>
      <c r="P500" s="27">
        <v>4</v>
      </c>
      <c r="Q500" s="27">
        <v>10</v>
      </c>
      <c r="R500" s="27" t="s">
        <v>64</v>
      </c>
      <c r="S500" s="27" t="s">
        <v>50</v>
      </c>
      <c r="T500" s="27" t="s">
        <v>50</v>
      </c>
      <c r="U500" s="27" t="s">
        <v>50</v>
      </c>
      <c r="V500" s="27" t="s">
        <v>50</v>
      </c>
      <c r="W500" s="27" t="s">
        <v>50</v>
      </c>
      <c r="X500" s="27" t="s">
        <v>50</v>
      </c>
    </row>
    <row r="501" spans="1:25" x14ac:dyDescent="0.25">
      <c r="A501" s="26">
        <v>43374</v>
      </c>
      <c r="B501" s="27" t="s">
        <v>43</v>
      </c>
      <c r="C501" s="27" t="s">
        <v>88</v>
      </c>
      <c r="D501" s="89">
        <v>38.086640000000003</v>
      </c>
      <c r="E501" s="89">
        <v>-121.74115</v>
      </c>
      <c r="F501" s="27" t="s">
        <v>6235</v>
      </c>
      <c r="G501" s="27" t="s">
        <v>27</v>
      </c>
      <c r="H501" s="27" t="s">
        <v>25</v>
      </c>
      <c r="I501" s="84">
        <v>0.37777777777777777</v>
      </c>
      <c r="J501" s="82">
        <v>415.77499999999998</v>
      </c>
      <c r="K501" s="82">
        <v>19.675000000000001</v>
      </c>
      <c r="L501" s="82">
        <v>11.27</v>
      </c>
      <c r="M501" s="82">
        <v>1.0525</v>
      </c>
      <c r="N501" s="4">
        <v>9.15</v>
      </c>
      <c r="O501" s="27" t="s">
        <v>48</v>
      </c>
      <c r="P501" s="27">
        <v>4</v>
      </c>
      <c r="Q501" s="27">
        <v>10</v>
      </c>
      <c r="R501" s="27" t="s">
        <v>64</v>
      </c>
      <c r="S501" s="27" t="s">
        <v>50</v>
      </c>
      <c r="T501" s="27" t="s">
        <v>50</v>
      </c>
      <c r="U501" s="27" t="s">
        <v>50</v>
      </c>
      <c r="V501" s="27" t="s">
        <v>50</v>
      </c>
      <c r="W501" s="27" t="s">
        <v>50</v>
      </c>
      <c r="X501" s="27" t="s">
        <v>50</v>
      </c>
    </row>
    <row r="502" spans="1:25" x14ac:dyDescent="0.25">
      <c r="A502" s="26">
        <v>43374</v>
      </c>
      <c r="B502" s="27" t="s">
        <v>43</v>
      </c>
      <c r="C502" s="27" t="s">
        <v>88</v>
      </c>
      <c r="D502" s="89">
        <v>38.122990000000001</v>
      </c>
      <c r="E502" s="89">
        <v>-121.69529</v>
      </c>
      <c r="F502" s="27" t="s">
        <v>6236</v>
      </c>
      <c r="G502" s="27" t="s">
        <v>90</v>
      </c>
      <c r="H502" s="27" t="s">
        <v>91</v>
      </c>
      <c r="I502" s="84">
        <v>0.4291666666666667</v>
      </c>
      <c r="J502" s="82">
        <v>299.17500000000001</v>
      </c>
      <c r="K502" s="82">
        <v>19.774999999999999</v>
      </c>
      <c r="L502" s="82">
        <v>4.915</v>
      </c>
      <c r="M502" s="82" t="s">
        <v>5829</v>
      </c>
      <c r="N502" s="4">
        <v>6.75</v>
      </c>
      <c r="O502" s="27" t="s">
        <v>48</v>
      </c>
      <c r="P502" s="27">
        <v>4</v>
      </c>
      <c r="Q502" s="27">
        <v>10</v>
      </c>
      <c r="R502" s="27" t="s">
        <v>64</v>
      </c>
      <c r="S502" s="27" t="s">
        <v>50</v>
      </c>
      <c r="T502" s="27" t="s">
        <v>50</v>
      </c>
      <c r="U502" s="27" t="s">
        <v>50</v>
      </c>
      <c r="V502" s="27" t="s">
        <v>50</v>
      </c>
      <c r="W502" s="27" t="s">
        <v>50</v>
      </c>
      <c r="X502" s="27" t="s">
        <v>50</v>
      </c>
    </row>
    <row r="503" spans="1:25" x14ac:dyDescent="0.25">
      <c r="A503" s="26">
        <v>43374</v>
      </c>
      <c r="B503" s="27" t="s">
        <v>43</v>
      </c>
      <c r="C503" s="27" t="s">
        <v>88</v>
      </c>
      <c r="D503" s="89">
        <v>38.105580000000003</v>
      </c>
      <c r="E503" s="89">
        <v>-121.69956000000001</v>
      </c>
      <c r="F503" s="27" t="s">
        <v>6237</v>
      </c>
      <c r="G503" s="27" t="s">
        <v>90</v>
      </c>
      <c r="H503" s="27" t="s">
        <v>91</v>
      </c>
      <c r="I503" s="84">
        <v>0.47847222222222219</v>
      </c>
      <c r="J503" s="82">
        <v>346.97500000000002</v>
      </c>
      <c r="K503" s="82">
        <v>19.899999999999999</v>
      </c>
      <c r="L503" s="82">
        <v>6.1074999999999999</v>
      </c>
      <c r="M503" s="82">
        <v>1.6425000000000001</v>
      </c>
      <c r="N503" s="4">
        <v>7.3</v>
      </c>
      <c r="O503" s="27" t="s">
        <v>48</v>
      </c>
      <c r="P503" s="27">
        <v>4</v>
      </c>
      <c r="Q503" s="27">
        <v>10</v>
      </c>
      <c r="R503" s="27" t="s">
        <v>64</v>
      </c>
      <c r="S503" s="27" t="s">
        <v>50</v>
      </c>
      <c r="T503" s="27" t="s">
        <v>50</v>
      </c>
      <c r="U503" s="27" t="s">
        <v>50</v>
      </c>
      <c r="V503" s="27" t="s">
        <v>50</v>
      </c>
      <c r="W503" s="27" t="s">
        <v>50</v>
      </c>
      <c r="X503" s="27" t="s">
        <v>50</v>
      </c>
      <c r="Y503" s="35" t="s">
        <v>6238</v>
      </c>
    </row>
    <row r="504" spans="1:25" x14ac:dyDescent="0.25">
      <c r="A504" s="26">
        <v>43374</v>
      </c>
      <c r="B504" s="27" t="s">
        <v>43</v>
      </c>
      <c r="C504" s="27" t="s">
        <v>845</v>
      </c>
      <c r="D504" s="89">
        <v>38.246589999999998</v>
      </c>
      <c r="E504" s="89">
        <v>-121.70892000000001</v>
      </c>
      <c r="F504" s="27" t="s">
        <v>6239</v>
      </c>
      <c r="G504" s="27" t="s">
        <v>90</v>
      </c>
      <c r="H504" s="27" t="s">
        <v>126</v>
      </c>
      <c r="I504" s="84">
        <v>0.31805555555555554</v>
      </c>
      <c r="J504" s="82">
        <v>178.5</v>
      </c>
      <c r="K504" s="82">
        <v>19.46</v>
      </c>
      <c r="L504" s="82">
        <v>4.9240000000000004</v>
      </c>
      <c r="M504" s="82" t="s">
        <v>5829</v>
      </c>
      <c r="N504" s="4">
        <v>4.7</v>
      </c>
      <c r="O504" s="27" t="s">
        <v>48</v>
      </c>
      <c r="P504" s="27">
        <v>5</v>
      </c>
      <c r="Q504" s="27">
        <v>10</v>
      </c>
      <c r="R504" s="27" t="s">
        <v>64</v>
      </c>
      <c r="S504" s="27" t="s">
        <v>50</v>
      </c>
      <c r="T504" s="27" t="s">
        <v>50</v>
      </c>
      <c r="U504" s="27" t="s">
        <v>50</v>
      </c>
      <c r="V504" s="27" t="s">
        <v>50</v>
      </c>
      <c r="W504" s="27" t="s">
        <v>50</v>
      </c>
      <c r="X504" s="27" t="s">
        <v>50</v>
      </c>
      <c r="Y504" s="35" t="s">
        <v>6240</v>
      </c>
    </row>
    <row r="505" spans="1:25" x14ac:dyDescent="0.25">
      <c r="A505" s="26">
        <v>43374</v>
      </c>
      <c r="B505" s="27" t="s">
        <v>43</v>
      </c>
      <c r="C505" s="27" t="s">
        <v>845</v>
      </c>
      <c r="D505" s="89">
        <v>38.260060000000003</v>
      </c>
      <c r="E505" s="89">
        <v>-121.76255999999999</v>
      </c>
      <c r="F505" s="27" t="s">
        <v>6241</v>
      </c>
      <c r="G505" s="27" t="s">
        <v>90</v>
      </c>
      <c r="H505" s="27" t="s">
        <v>126</v>
      </c>
      <c r="I505" s="84">
        <v>0.38958333333333334</v>
      </c>
      <c r="J505" s="82">
        <v>206.17500000000001</v>
      </c>
      <c r="K505" s="82">
        <v>19.675000000000001</v>
      </c>
      <c r="L505" s="82">
        <v>4.8975</v>
      </c>
      <c r="M505" s="82" t="s">
        <v>5829</v>
      </c>
      <c r="N505" s="4">
        <v>4.3</v>
      </c>
      <c r="O505" s="27" t="s">
        <v>48</v>
      </c>
      <c r="P505" s="27">
        <v>4</v>
      </c>
      <c r="Q505" s="27">
        <v>10</v>
      </c>
      <c r="R505" s="27" t="s">
        <v>64</v>
      </c>
      <c r="S505" s="27" t="s">
        <v>50</v>
      </c>
      <c r="T505" s="27" t="s">
        <v>50</v>
      </c>
      <c r="U505" s="27" t="s">
        <v>50</v>
      </c>
      <c r="V505" s="27" t="s">
        <v>50</v>
      </c>
      <c r="W505" s="27" t="s">
        <v>50</v>
      </c>
      <c r="X505" s="27" t="s">
        <v>50</v>
      </c>
      <c r="Y505" s="35" t="s">
        <v>6242</v>
      </c>
    </row>
    <row r="506" spans="1:25" x14ac:dyDescent="0.25">
      <c r="A506" s="26">
        <v>43374</v>
      </c>
      <c r="B506" s="27" t="s">
        <v>43</v>
      </c>
      <c r="C506" s="27" t="s">
        <v>845</v>
      </c>
      <c r="D506" s="89">
        <v>38.260350000000003</v>
      </c>
      <c r="E506" s="89">
        <v>-121.75</v>
      </c>
      <c r="F506" s="27" t="s">
        <v>6243</v>
      </c>
      <c r="G506" s="27" t="s">
        <v>90</v>
      </c>
      <c r="H506" s="27" t="s">
        <v>126</v>
      </c>
      <c r="I506" s="84">
        <v>0.44375000000000003</v>
      </c>
      <c r="J506" s="82">
        <v>204.65</v>
      </c>
      <c r="K506" s="82">
        <v>19.774999999999999</v>
      </c>
      <c r="L506" s="82">
        <v>3.1425000000000001</v>
      </c>
      <c r="M506" s="82" t="s">
        <v>5829</v>
      </c>
      <c r="N506" s="4">
        <v>4.0999999999999996</v>
      </c>
      <c r="O506" s="27" t="s">
        <v>48</v>
      </c>
      <c r="P506" s="27">
        <v>4</v>
      </c>
      <c r="Q506" s="27">
        <v>10</v>
      </c>
      <c r="R506" s="27" t="s">
        <v>49</v>
      </c>
      <c r="S506" s="27" t="s">
        <v>50</v>
      </c>
      <c r="T506" s="27" t="s">
        <v>50</v>
      </c>
      <c r="U506" s="27" t="s">
        <v>50</v>
      </c>
      <c r="V506" s="27" t="s">
        <v>50</v>
      </c>
      <c r="W506" s="27" t="s">
        <v>50</v>
      </c>
      <c r="X506" s="27" t="s">
        <v>50</v>
      </c>
      <c r="Y506" s="35" t="s">
        <v>6244</v>
      </c>
    </row>
    <row r="507" spans="1:25" x14ac:dyDescent="0.25">
      <c r="A507" s="26">
        <v>43374</v>
      </c>
      <c r="B507" s="27" t="s">
        <v>43</v>
      </c>
      <c r="C507" s="27" t="s">
        <v>62</v>
      </c>
      <c r="D507" s="89">
        <v>38.134</v>
      </c>
      <c r="E507" s="89">
        <v>-121.91421</v>
      </c>
      <c r="F507" s="27" t="s">
        <v>6245</v>
      </c>
      <c r="G507" s="27" t="s">
        <v>27</v>
      </c>
      <c r="H507" s="27" t="s">
        <v>62</v>
      </c>
      <c r="I507" s="84">
        <v>0.35833333333333334</v>
      </c>
      <c r="J507" s="82">
        <v>9149.5</v>
      </c>
      <c r="K507" s="82">
        <v>19.600000000000001</v>
      </c>
      <c r="L507" s="82">
        <v>25.574999999999999</v>
      </c>
      <c r="M507" s="82">
        <v>0.72750000000000004</v>
      </c>
      <c r="N507" s="4">
        <v>5.8</v>
      </c>
      <c r="O507" s="27" t="s">
        <v>48</v>
      </c>
      <c r="P507" s="27">
        <v>4</v>
      </c>
      <c r="Q507" s="27">
        <v>10</v>
      </c>
      <c r="R507" s="27" t="s">
        <v>64</v>
      </c>
      <c r="S507" s="27" t="s">
        <v>50</v>
      </c>
      <c r="T507" s="27" t="s">
        <v>50</v>
      </c>
      <c r="U507" s="27" t="s">
        <v>50</v>
      </c>
      <c r="V507" s="27" t="s">
        <v>50</v>
      </c>
      <c r="W507" s="27" t="s">
        <v>50</v>
      </c>
      <c r="X507" s="27" t="s">
        <v>50</v>
      </c>
      <c r="Y507" s="35" t="s">
        <v>6246</v>
      </c>
    </row>
    <row r="508" spans="1:25" x14ac:dyDescent="0.25">
      <c r="A508" s="26">
        <v>43374</v>
      </c>
      <c r="B508" s="27" t="s">
        <v>43</v>
      </c>
      <c r="C508" s="27" t="s">
        <v>62</v>
      </c>
      <c r="D508" s="89">
        <v>38.15925</v>
      </c>
      <c r="E508" s="89">
        <v>-122.0474</v>
      </c>
      <c r="F508" s="27" t="s">
        <v>6247</v>
      </c>
      <c r="G508" s="27" t="s">
        <v>27</v>
      </c>
      <c r="H508" s="27" t="s">
        <v>62</v>
      </c>
      <c r="I508" s="84">
        <v>0.43541666666666662</v>
      </c>
      <c r="J508" s="82">
        <v>15612.5</v>
      </c>
      <c r="K508" s="82">
        <v>19.024999999999999</v>
      </c>
      <c r="L508" s="82">
        <v>18.574999999999999</v>
      </c>
      <c r="M508" s="82">
        <v>0.71250000000000002</v>
      </c>
      <c r="N508" s="4">
        <v>4.1500000000000004</v>
      </c>
      <c r="O508" s="27" t="s">
        <v>48</v>
      </c>
      <c r="P508" s="27">
        <v>4</v>
      </c>
      <c r="Q508" s="27">
        <v>10</v>
      </c>
      <c r="R508" s="27" t="s">
        <v>49</v>
      </c>
      <c r="S508" s="27" t="s">
        <v>50</v>
      </c>
      <c r="T508" s="27" t="s">
        <v>50</v>
      </c>
      <c r="U508" s="27" t="s">
        <v>50</v>
      </c>
      <c r="V508" s="27" t="s">
        <v>50</v>
      </c>
      <c r="W508" s="27" t="s">
        <v>50</v>
      </c>
      <c r="X508" s="27" t="s">
        <v>50</v>
      </c>
      <c r="Y508" s="35" t="s">
        <v>6188</v>
      </c>
    </row>
    <row r="509" spans="1:25" x14ac:dyDescent="0.25">
      <c r="A509" s="26">
        <v>43374</v>
      </c>
      <c r="B509" s="27" t="s">
        <v>43</v>
      </c>
      <c r="C509" s="27" t="s">
        <v>62</v>
      </c>
      <c r="D509" s="89">
        <v>38.151009999999999</v>
      </c>
      <c r="E509" s="89">
        <v>-122.05561</v>
      </c>
      <c r="F509" s="27" t="s">
        <v>6248</v>
      </c>
      <c r="G509" s="27" t="s">
        <v>27</v>
      </c>
      <c r="H509" s="27" t="s">
        <v>62</v>
      </c>
      <c r="I509" s="84">
        <v>0.48472222222222222</v>
      </c>
      <c r="J509" s="82">
        <v>15542</v>
      </c>
      <c r="K509" s="82">
        <v>19.100000000000001</v>
      </c>
      <c r="L509" s="82">
        <v>22.975000000000001</v>
      </c>
      <c r="M509" s="82">
        <v>0.68500000000000005</v>
      </c>
      <c r="N509" s="4">
        <v>9.5500000000000007</v>
      </c>
      <c r="O509" s="27" t="s">
        <v>48</v>
      </c>
      <c r="P509" s="27">
        <v>4</v>
      </c>
      <c r="Q509" s="27">
        <v>10</v>
      </c>
      <c r="R509" s="27" t="s">
        <v>49</v>
      </c>
      <c r="S509" s="27" t="s">
        <v>50</v>
      </c>
      <c r="T509" s="27" t="s">
        <v>50</v>
      </c>
      <c r="U509" s="27" t="s">
        <v>50</v>
      </c>
      <c r="V509" s="27" t="s">
        <v>50</v>
      </c>
      <c r="W509" s="27" t="s">
        <v>50</v>
      </c>
      <c r="X509" s="27" t="s">
        <v>50</v>
      </c>
      <c r="Y509" s="35" t="s">
        <v>6188</v>
      </c>
    </row>
    <row r="510" spans="1:25" x14ac:dyDescent="0.25">
      <c r="A510" s="26">
        <v>43375</v>
      </c>
      <c r="B510" s="27" t="s">
        <v>70</v>
      </c>
      <c r="C510" s="27" t="s">
        <v>845</v>
      </c>
      <c r="D510" s="89">
        <v>38.253459999999997</v>
      </c>
      <c r="E510" s="89">
        <v>-121.68823</v>
      </c>
      <c r="F510" s="27" t="s">
        <v>6249</v>
      </c>
      <c r="G510" s="27" t="s">
        <v>90</v>
      </c>
      <c r="H510" s="27" t="s">
        <v>126</v>
      </c>
      <c r="I510" s="84">
        <v>0.31527777777777777</v>
      </c>
      <c r="J510" s="82">
        <v>173.4</v>
      </c>
      <c r="K510" s="82">
        <v>19.824999999999999</v>
      </c>
      <c r="L510" s="82">
        <v>4.1524999999999999</v>
      </c>
      <c r="M510" s="82" t="s">
        <v>5829</v>
      </c>
      <c r="N510" s="4">
        <v>6.4749999999999996</v>
      </c>
      <c r="O510" s="27" t="s">
        <v>48</v>
      </c>
      <c r="P510" s="27">
        <v>4</v>
      </c>
      <c r="Q510" s="27">
        <v>10</v>
      </c>
      <c r="R510" s="27" t="s">
        <v>64</v>
      </c>
      <c r="S510" s="27" t="s">
        <v>50</v>
      </c>
      <c r="T510" s="27" t="s">
        <v>50</v>
      </c>
      <c r="U510" s="27" t="s">
        <v>50</v>
      </c>
      <c r="V510" s="27" t="s">
        <v>50</v>
      </c>
      <c r="W510" s="27" t="s">
        <v>50</v>
      </c>
      <c r="X510" s="27" t="s">
        <v>50</v>
      </c>
    </row>
    <row r="511" spans="1:25" x14ac:dyDescent="0.25">
      <c r="A511" s="26">
        <v>43375</v>
      </c>
      <c r="B511" s="27" t="s">
        <v>70</v>
      </c>
      <c r="C511" s="27" t="s">
        <v>845</v>
      </c>
      <c r="D511" s="89">
        <v>38.235199999999999</v>
      </c>
      <c r="E511" s="89">
        <v>-121.68080999999999</v>
      </c>
      <c r="F511" s="27" t="s">
        <v>6250</v>
      </c>
      <c r="G511" s="27" t="s">
        <v>90</v>
      </c>
      <c r="H511" s="27" t="s">
        <v>126</v>
      </c>
      <c r="I511" s="84">
        <v>0.3611111111111111</v>
      </c>
      <c r="J511" s="82">
        <v>156.72499999999999</v>
      </c>
      <c r="K511" s="82">
        <v>19.625</v>
      </c>
      <c r="L511" s="82">
        <v>4.3425000000000002</v>
      </c>
      <c r="M511" s="82" t="s">
        <v>5829</v>
      </c>
      <c r="N511" s="4">
        <v>12.2</v>
      </c>
      <c r="O511" s="27" t="s">
        <v>48</v>
      </c>
      <c r="P511" s="27">
        <v>4</v>
      </c>
      <c r="Q511" s="27">
        <v>10</v>
      </c>
      <c r="R511" s="27" t="s">
        <v>64</v>
      </c>
      <c r="S511" s="27" t="s">
        <v>50</v>
      </c>
      <c r="T511" s="27" t="s">
        <v>50</v>
      </c>
      <c r="U511" s="27" t="s">
        <v>50</v>
      </c>
      <c r="V511" s="27" t="s">
        <v>50</v>
      </c>
      <c r="W511" s="27" t="s">
        <v>50</v>
      </c>
      <c r="X511" s="27" t="s">
        <v>50</v>
      </c>
    </row>
    <row r="512" spans="1:25" x14ac:dyDescent="0.25">
      <c r="A512" s="26">
        <v>43375</v>
      </c>
      <c r="B512" s="27" t="s">
        <v>70</v>
      </c>
      <c r="C512" s="27" t="s">
        <v>845</v>
      </c>
      <c r="D512" s="89">
        <v>38.262990000000002</v>
      </c>
      <c r="E512" s="89">
        <v>-121.69725</v>
      </c>
      <c r="F512" s="27" t="s">
        <v>6251</v>
      </c>
      <c r="G512" s="27" t="s">
        <v>90</v>
      </c>
      <c r="H512" s="27" t="s">
        <v>126</v>
      </c>
      <c r="I512" s="84">
        <v>0.41041666666666665</v>
      </c>
      <c r="J512" s="82">
        <v>170.7</v>
      </c>
      <c r="K512" s="82">
        <v>19.774999999999999</v>
      </c>
      <c r="L512" s="82">
        <v>5.3875000000000002</v>
      </c>
      <c r="M512" s="82">
        <v>1.7424999999999999</v>
      </c>
      <c r="N512" s="4">
        <v>3.7250000000000001</v>
      </c>
      <c r="O512" s="27" t="s">
        <v>48</v>
      </c>
      <c r="P512" s="27">
        <v>4</v>
      </c>
      <c r="Q512" s="27">
        <v>10</v>
      </c>
      <c r="R512" s="27" t="s">
        <v>64</v>
      </c>
      <c r="S512" s="27" t="s">
        <v>50</v>
      </c>
      <c r="T512" s="27" t="s">
        <v>50</v>
      </c>
      <c r="U512" s="27" t="s">
        <v>50</v>
      </c>
      <c r="V512" s="27" t="s">
        <v>50</v>
      </c>
      <c r="W512" s="27" t="s">
        <v>50</v>
      </c>
      <c r="X512" s="27" t="s">
        <v>50</v>
      </c>
    </row>
    <row r="513" spans="1:25" x14ac:dyDescent="0.25">
      <c r="A513" s="26">
        <v>43375</v>
      </c>
      <c r="B513" s="27" t="s">
        <v>70</v>
      </c>
      <c r="C513" s="27" t="s">
        <v>845</v>
      </c>
      <c r="D513" s="89">
        <v>38.267620000000001</v>
      </c>
      <c r="E513" s="89">
        <v>-121.69306</v>
      </c>
      <c r="F513" s="27" t="s">
        <v>6252</v>
      </c>
      <c r="G513" s="27" t="s">
        <v>90</v>
      </c>
      <c r="H513" s="27" t="s">
        <v>126</v>
      </c>
      <c r="I513" s="84">
        <v>0.48749999999999999</v>
      </c>
      <c r="J513" s="82">
        <v>163.15</v>
      </c>
      <c r="K513" s="82">
        <v>19.875</v>
      </c>
      <c r="L513" s="82">
        <v>4.7125000000000004</v>
      </c>
      <c r="M513" s="82" t="s">
        <v>5829</v>
      </c>
      <c r="N513" s="4">
        <v>5.2</v>
      </c>
      <c r="O513" s="27" t="s">
        <v>48</v>
      </c>
      <c r="P513" s="27">
        <v>4</v>
      </c>
      <c r="Q513" s="27">
        <v>10</v>
      </c>
      <c r="R513" s="27" t="s">
        <v>49</v>
      </c>
      <c r="S513" s="27" t="s">
        <v>50</v>
      </c>
      <c r="T513" s="27" t="s">
        <v>50</v>
      </c>
      <c r="U513" s="27" t="s">
        <v>50</v>
      </c>
      <c r="V513" s="27" t="s">
        <v>50</v>
      </c>
      <c r="W513" s="27" t="s">
        <v>50</v>
      </c>
      <c r="X513" s="27" t="s">
        <v>50</v>
      </c>
    </row>
    <row r="514" spans="1:25" x14ac:dyDescent="0.25">
      <c r="A514" s="26">
        <v>43375</v>
      </c>
      <c r="B514" s="27" t="s">
        <v>70</v>
      </c>
      <c r="C514" s="27" t="s">
        <v>88</v>
      </c>
      <c r="D514" s="89">
        <v>38.098889999999997</v>
      </c>
      <c r="E514" s="89">
        <v>-121.7081</v>
      </c>
      <c r="F514" s="27" t="s">
        <v>6253</v>
      </c>
      <c r="G514" s="27" t="s">
        <v>90</v>
      </c>
      <c r="H514" s="27" t="s">
        <v>91</v>
      </c>
      <c r="I514" s="84">
        <v>0.37847222222222227</v>
      </c>
      <c r="J514" s="82">
        <v>1063.25</v>
      </c>
      <c r="K514" s="82">
        <v>20</v>
      </c>
      <c r="L514" s="82">
        <v>6.3025000000000002</v>
      </c>
      <c r="M514" s="82">
        <v>1.7324999999999999</v>
      </c>
      <c r="N514" s="4">
        <v>5.7750000000000004</v>
      </c>
      <c r="O514" s="27" t="s">
        <v>48</v>
      </c>
      <c r="P514" s="27">
        <v>4</v>
      </c>
      <c r="Q514" s="27">
        <v>10</v>
      </c>
      <c r="R514" s="27" t="s">
        <v>64</v>
      </c>
      <c r="S514" s="27" t="s">
        <v>50</v>
      </c>
      <c r="T514" s="27" t="s">
        <v>50</v>
      </c>
      <c r="U514" s="27" t="s">
        <v>50</v>
      </c>
      <c r="V514" s="27" t="s">
        <v>50</v>
      </c>
      <c r="W514" s="27" t="s">
        <v>50</v>
      </c>
      <c r="X514" s="27" t="s">
        <v>50</v>
      </c>
      <c r="Y514" s="35" t="s">
        <v>6188</v>
      </c>
    </row>
    <row r="515" spans="1:25" x14ac:dyDescent="0.25">
      <c r="A515" s="26">
        <v>43375</v>
      </c>
      <c r="B515" s="27" t="s">
        <v>70</v>
      </c>
      <c r="C515" s="27" t="s">
        <v>88</v>
      </c>
      <c r="D515" s="89">
        <v>38.121160000000003</v>
      </c>
      <c r="E515" s="89">
        <v>-121.70137</v>
      </c>
      <c r="F515" s="27" t="s">
        <v>6254</v>
      </c>
      <c r="G515" s="27" t="s">
        <v>90</v>
      </c>
      <c r="H515" s="27" t="s">
        <v>91</v>
      </c>
      <c r="I515" s="84">
        <v>0.4284722222222222</v>
      </c>
      <c r="J515" s="82">
        <v>158.375</v>
      </c>
      <c r="K515" s="82">
        <v>19.55</v>
      </c>
      <c r="L515" s="82">
        <v>5.3375000000000004</v>
      </c>
      <c r="M515" s="82">
        <v>1.7625</v>
      </c>
      <c r="N515" s="4">
        <v>9.8000000000000007</v>
      </c>
      <c r="O515" s="27" t="s">
        <v>48</v>
      </c>
      <c r="P515" s="27">
        <v>4</v>
      </c>
      <c r="Q515" s="27">
        <v>10</v>
      </c>
      <c r="R515" s="27" t="s">
        <v>64</v>
      </c>
      <c r="S515" s="27" t="s">
        <v>50</v>
      </c>
      <c r="T515" s="27" t="s">
        <v>50</v>
      </c>
      <c r="U515" s="27" t="s">
        <v>50</v>
      </c>
      <c r="V515" s="27" t="s">
        <v>50</v>
      </c>
      <c r="W515" s="27" t="s">
        <v>50</v>
      </c>
      <c r="X515" s="27" t="s">
        <v>50</v>
      </c>
      <c r="Y515" s="35" t="s">
        <v>6188</v>
      </c>
    </row>
    <row r="516" spans="1:25" x14ac:dyDescent="0.25">
      <c r="A516" s="26">
        <v>43375</v>
      </c>
      <c r="B516" s="27" t="s">
        <v>70</v>
      </c>
      <c r="C516" s="27" t="s">
        <v>88</v>
      </c>
      <c r="D516" s="89">
        <v>38.081710000000001</v>
      </c>
      <c r="E516" s="89">
        <v>-121.73085</v>
      </c>
      <c r="F516" s="27" t="s">
        <v>6255</v>
      </c>
      <c r="G516" s="27" t="s">
        <v>90</v>
      </c>
      <c r="H516" s="27" t="s">
        <v>91</v>
      </c>
      <c r="I516" s="84">
        <v>0.32708333333333334</v>
      </c>
      <c r="J516" s="82">
        <v>459.85</v>
      </c>
      <c r="K516" s="82">
        <v>19.875</v>
      </c>
      <c r="L516" s="82">
        <v>6.7774999999999999</v>
      </c>
      <c r="M516" s="82">
        <v>1.6924999999999999</v>
      </c>
      <c r="N516" s="4">
        <v>6.2</v>
      </c>
      <c r="O516" s="27" t="s">
        <v>48</v>
      </c>
      <c r="P516" s="27">
        <v>4</v>
      </c>
      <c r="Q516" s="27">
        <v>10</v>
      </c>
      <c r="R516" s="27" t="s">
        <v>64</v>
      </c>
      <c r="S516" s="27" t="s">
        <v>50</v>
      </c>
      <c r="T516" s="27" t="s">
        <v>50</v>
      </c>
      <c r="U516" s="27" t="s">
        <v>50</v>
      </c>
      <c r="V516" s="27" t="s">
        <v>50</v>
      </c>
      <c r="W516" s="27" t="s">
        <v>50</v>
      </c>
      <c r="X516" s="27" t="s">
        <v>50</v>
      </c>
      <c r="Y516" s="35" t="s">
        <v>6188</v>
      </c>
    </row>
    <row r="517" spans="1:25" x14ac:dyDescent="0.25">
      <c r="A517" s="26">
        <v>43375</v>
      </c>
      <c r="B517" s="27" t="s">
        <v>70</v>
      </c>
      <c r="C517" s="27" t="s">
        <v>88</v>
      </c>
      <c r="D517" s="89">
        <v>38.058759999999999</v>
      </c>
      <c r="E517" s="89">
        <v>-121.79772</v>
      </c>
      <c r="F517" s="27" t="s">
        <v>6256</v>
      </c>
      <c r="G517" s="27" t="s">
        <v>27</v>
      </c>
      <c r="H517" s="27" t="s">
        <v>25</v>
      </c>
      <c r="I517" s="84">
        <v>0.48472222222222222</v>
      </c>
      <c r="J517" s="82">
        <v>4184.25</v>
      </c>
      <c r="K517" s="82">
        <v>19.725000000000001</v>
      </c>
      <c r="L517" s="82">
        <v>11.72</v>
      </c>
      <c r="M517" s="82">
        <v>0.73499999999999999</v>
      </c>
      <c r="N517" s="4">
        <v>9.375</v>
      </c>
      <c r="O517" s="27" t="s">
        <v>48</v>
      </c>
      <c r="P517" s="27">
        <v>4</v>
      </c>
      <c r="Q517" s="27">
        <v>10</v>
      </c>
      <c r="R517" s="27" t="s">
        <v>64</v>
      </c>
      <c r="S517" s="27" t="s">
        <v>50</v>
      </c>
      <c r="T517" s="27" t="s">
        <v>50</v>
      </c>
      <c r="U517" s="27" t="s">
        <v>50</v>
      </c>
      <c r="V517" s="27" t="s">
        <v>50</v>
      </c>
      <c r="W517" s="27" t="s">
        <v>50</v>
      </c>
      <c r="X517" s="27" t="s">
        <v>50</v>
      </c>
    </row>
    <row r="518" spans="1:25" s="355" customFormat="1" x14ac:dyDescent="0.25">
      <c r="A518" s="354">
        <v>43375</v>
      </c>
      <c r="B518" s="355" t="s">
        <v>70</v>
      </c>
      <c r="C518" s="355" t="s">
        <v>62</v>
      </c>
      <c r="D518" s="356">
        <v>38.110489999999999</v>
      </c>
      <c r="E518" s="356">
        <v>-122.05916000000001</v>
      </c>
      <c r="F518" s="355" t="s">
        <v>6257</v>
      </c>
      <c r="G518" s="355" t="s">
        <v>27</v>
      </c>
      <c r="H518" s="355" t="s">
        <v>173</v>
      </c>
      <c r="I518" s="357">
        <v>0.35000000000000003</v>
      </c>
      <c r="J518" s="358">
        <v>16445.25</v>
      </c>
      <c r="K518" s="358">
        <v>19.175000000000001</v>
      </c>
      <c r="L518" s="358">
        <v>34.825000000000003</v>
      </c>
      <c r="M518" s="358">
        <v>0.63749999999999996</v>
      </c>
      <c r="N518" s="358">
        <v>3</v>
      </c>
      <c r="O518" s="355" t="s">
        <v>48</v>
      </c>
      <c r="P518" s="355">
        <v>4</v>
      </c>
      <c r="Q518" s="355">
        <v>10</v>
      </c>
      <c r="R518" s="355" t="s">
        <v>64</v>
      </c>
      <c r="S518" s="355" t="s">
        <v>31</v>
      </c>
      <c r="T518" s="355">
        <v>3</v>
      </c>
      <c r="U518" s="355" t="s">
        <v>6258</v>
      </c>
      <c r="V518" s="355" t="s">
        <v>66</v>
      </c>
      <c r="W518" s="355" t="s">
        <v>50</v>
      </c>
      <c r="X518" s="355" t="s">
        <v>50</v>
      </c>
      <c r="Y518" s="371"/>
    </row>
    <row r="519" spans="1:25" x14ac:dyDescent="0.25">
      <c r="A519" s="26">
        <v>43375</v>
      </c>
      <c r="B519" s="27" t="s">
        <v>70</v>
      </c>
      <c r="C519" s="27" t="s">
        <v>62</v>
      </c>
      <c r="D519" s="89">
        <v>38.161589999999997</v>
      </c>
      <c r="E519" s="89">
        <v>-122.06077000000001</v>
      </c>
      <c r="F519" s="27" t="s">
        <v>6259</v>
      </c>
      <c r="G519" s="27" t="s">
        <v>27</v>
      </c>
      <c r="H519" s="27" t="s">
        <v>62</v>
      </c>
      <c r="I519" s="84">
        <v>0.41041666666666665</v>
      </c>
      <c r="J519" s="82">
        <v>13973.75</v>
      </c>
      <c r="K519" s="82">
        <v>19.524999999999999</v>
      </c>
      <c r="L519" s="82">
        <v>23.95</v>
      </c>
      <c r="M519" s="82">
        <v>0.58750000000000002</v>
      </c>
      <c r="N519" s="4">
        <v>7.2249999999999996</v>
      </c>
      <c r="O519" s="27" t="s">
        <v>48</v>
      </c>
      <c r="P519" s="27">
        <v>4</v>
      </c>
      <c r="Q519" s="27">
        <v>10</v>
      </c>
      <c r="R519" s="27" t="s">
        <v>49</v>
      </c>
      <c r="S519" s="27" t="s">
        <v>50</v>
      </c>
      <c r="T519" s="27" t="s">
        <v>50</v>
      </c>
      <c r="U519" s="27" t="s">
        <v>50</v>
      </c>
      <c r="V519" s="27" t="s">
        <v>50</v>
      </c>
      <c r="W519" s="27" t="s">
        <v>50</v>
      </c>
      <c r="X519" s="27" t="s">
        <v>50</v>
      </c>
    </row>
    <row r="520" spans="1:25" x14ac:dyDescent="0.25">
      <c r="A520" s="26">
        <v>43375</v>
      </c>
      <c r="B520" s="27" t="s">
        <v>70</v>
      </c>
      <c r="C520" s="27" t="s">
        <v>62</v>
      </c>
      <c r="D520" s="89">
        <v>38.175539999999998</v>
      </c>
      <c r="E520" s="89">
        <v>-121.95139</v>
      </c>
      <c r="F520" s="27" t="s">
        <v>6260</v>
      </c>
      <c r="G520" s="27" t="s">
        <v>27</v>
      </c>
      <c r="H520" s="27" t="s">
        <v>62</v>
      </c>
      <c r="I520" s="84">
        <v>0.48958333333333331</v>
      </c>
      <c r="J520" s="82">
        <v>10000.25</v>
      </c>
      <c r="K520" s="82">
        <v>20.375</v>
      </c>
      <c r="L520" s="82">
        <v>19.875</v>
      </c>
      <c r="M520" s="82">
        <v>0.54749999999999999</v>
      </c>
      <c r="N520" s="4">
        <v>9.875</v>
      </c>
      <c r="O520" s="27" t="s">
        <v>48</v>
      </c>
      <c r="P520" s="27">
        <v>4</v>
      </c>
      <c r="Q520" s="27">
        <v>10</v>
      </c>
      <c r="R520" s="27" t="s">
        <v>49</v>
      </c>
      <c r="S520" s="27" t="s">
        <v>50</v>
      </c>
      <c r="T520" s="27" t="s">
        <v>50</v>
      </c>
      <c r="U520" s="27" t="s">
        <v>50</v>
      </c>
      <c r="V520" s="27" t="s">
        <v>50</v>
      </c>
      <c r="W520" s="27" t="s">
        <v>50</v>
      </c>
      <c r="X520" s="27" t="s">
        <v>50</v>
      </c>
    </row>
    <row r="521" spans="1:25" x14ac:dyDescent="0.25">
      <c r="A521" s="26">
        <v>43376</v>
      </c>
      <c r="B521" s="27" t="s">
        <v>87</v>
      </c>
      <c r="C521" s="27" t="s">
        <v>78</v>
      </c>
      <c r="D521" s="89">
        <v>38.08099</v>
      </c>
      <c r="E521" s="89">
        <v>-122.06643</v>
      </c>
      <c r="F521" s="27" t="s">
        <v>6261</v>
      </c>
      <c r="G521" s="27" t="s">
        <v>80</v>
      </c>
      <c r="H521" s="27" t="s">
        <v>81</v>
      </c>
      <c r="I521" s="84">
        <v>0.3527777777777778</v>
      </c>
      <c r="J521" s="82">
        <v>17612.25</v>
      </c>
      <c r="K521" s="82">
        <v>19.399999999999999</v>
      </c>
      <c r="L521" s="82">
        <v>31.75</v>
      </c>
      <c r="M521" s="82">
        <v>0.63749999999999996</v>
      </c>
      <c r="N521" s="4">
        <v>6.4249999999999998</v>
      </c>
      <c r="O521" s="27" t="s">
        <v>48</v>
      </c>
      <c r="P521" s="27">
        <v>4</v>
      </c>
      <c r="Q521" s="27">
        <v>10</v>
      </c>
      <c r="R521" s="27" t="s">
        <v>64</v>
      </c>
      <c r="S521" s="27" t="s">
        <v>50</v>
      </c>
      <c r="T521" s="27" t="s">
        <v>50</v>
      </c>
      <c r="U521" s="27" t="s">
        <v>50</v>
      </c>
      <c r="V521" s="27" t="s">
        <v>50</v>
      </c>
      <c r="W521" s="27" t="s">
        <v>50</v>
      </c>
      <c r="X521" s="27" t="s">
        <v>50</v>
      </c>
      <c r="Y521" s="35" t="s">
        <v>6188</v>
      </c>
    </row>
    <row r="522" spans="1:25" x14ac:dyDescent="0.25">
      <c r="A522" s="26">
        <v>43376</v>
      </c>
      <c r="B522" s="27" t="s">
        <v>87</v>
      </c>
      <c r="C522" s="27" t="s">
        <v>78</v>
      </c>
      <c r="D522" s="89">
        <v>38.057000000000002</v>
      </c>
      <c r="E522" s="89">
        <v>-121.96732</v>
      </c>
      <c r="F522" s="27" t="s">
        <v>6262</v>
      </c>
      <c r="G522" s="27" t="s">
        <v>27</v>
      </c>
      <c r="H522" s="27" t="s">
        <v>170</v>
      </c>
      <c r="I522" s="84">
        <v>0.41180555555555554</v>
      </c>
      <c r="J522" s="82">
        <v>11686.75</v>
      </c>
      <c r="K522" s="82">
        <v>19.475000000000001</v>
      </c>
      <c r="L522" s="82">
        <v>15.65</v>
      </c>
      <c r="M522" s="82">
        <v>0.94</v>
      </c>
      <c r="N522" s="4">
        <v>13.025</v>
      </c>
      <c r="O522" s="27" t="s">
        <v>48</v>
      </c>
      <c r="P522" s="27">
        <v>4</v>
      </c>
      <c r="Q522" s="27">
        <v>10</v>
      </c>
      <c r="R522" s="27" t="s">
        <v>64</v>
      </c>
      <c r="S522" s="27" t="s">
        <v>50</v>
      </c>
      <c r="T522" s="27" t="s">
        <v>50</v>
      </c>
      <c r="U522" s="27" t="s">
        <v>50</v>
      </c>
      <c r="V522" s="27" t="s">
        <v>50</v>
      </c>
      <c r="W522" s="27" t="s">
        <v>50</v>
      </c>
      <c r="X522" s="27" t="s">
        <v>50</v>
      </c>
      <c r="Y522" s="35" t="s">
        <v>6188</v>
      </c>
    </row>
    <row r="523" spans="1:25" x14ac:dyDescent="0.25">
      <c r="A523" s="26">
        <v>43376</v>
      </c>
      <c r="B523" s="27" t="s">
        <v>87</v>
      </c>
      <c r="C523" s="27" t="s">
        <v>78</v>
      </c>
      <c r="D523" s="89">
        <v>38.052120000000002</v>
      </c>
      <c r="E523" s="89">
        <v>-121.83565</v>
      </c>
      <c r="F523" s="27" t="s">
        <v>6263</v>
      </c>
      <c r="G523" s="27" t="s">
        <v>27</v>
      </c>
      <c r="H523" s="27" t="s">
        <v>101</v>
      </c>
      <c r="I523" s="84">
        <v>0.48402777777777778</v>
      </c>
      <c r="J523" s="82">
        <v>5494.5</v>
      </c>
      <c r="K523" s="82">
        <v>19.95</v>
      </c>
      <c r="L523" s="82">
        <v>15.225</v>
      </c>
      <c r="M523" s="82">
        <v>0.91749999999999998</v>
      </c>
      <c r="N523" s="388" t="s">
        <v>6264</v>
      </c>
      <c r="O523" s="27" t="s">
        <v>48</v>
      </c>
      <c r="P523" s="27">
        <v>4</v>
      </c>
      <c r="Q523" s="27">
        <v>10</v>
      </c>
      <c r="R523" s="27" t="s">
        <v>64</v>
      </c>
      <c r="S523" s="27" t="s">
        <v>50</v>
      </c>
      <c r="T523" s="27" t="s">
        <v>50</v>
      </c>
      <c r="U523" s="27" t="s">
        <v>50</v>
      </c>
      <c r="V523" s="27" t="s">
        <v>50</v>
      </c>
      <c r="W523" s="27" t="s">
        <v>50</v>
      </c>
      <c r="X523" s="27" t="s">
        <v>50</v>
      </c>
      <c r="Y523" s="35" t="s">
        <v>6188</v>
      </c>
    </row>
    <row r="524" spans="1:25" x14ac:dyDescent="0.25">
      <c r="A524" s="26">
        <v>43376</v>
      </c>
      <c r="B524" s="27" t="s">
        <v>87</v>
      </c>
      <c r="C524" s="27" t="s">
        <v>95</v>
      </c>
      <c r="D524" s="89">
        <v>38.078949999999999</v>
      </c>
      <c r="E524" s="89">
        <v>-121.57684999999999</v>
      </c>
      <c r="F524" s="27" t="s">
        <v>4728</v>
      </c>
      <c r="G524" s="27" t="s">
        <v>46</v>
      </c>
      <c r="H524" s="27" t="s">
        <v>115</v>
      </c>
      <c r="I524" s="84">
        <v>0.33124999999999999</v>
      </c>
      <c r="J524" s="82">
        <v>489.25</v>
      </c>
      <c r="K524" s="82">
        <v>20.324999999999999</v>
      </c>
      <c r="L524" s="82">
        <v>3.7850000000000001</v>
      </c>
      <c r="M524" s="82" t="s">
        <v>5829</v>
      </c>
      <c r="N524" s="4">
        <v>4.4249999999999998</v>
      </c>
      <c r="O524" s="27" t="s">
        <v>48</v>
      </c>
      <c r="P524" s="27">
        <v>4</v>
      </c>
      <c r="Q524" s="27">
        <v>10</v>
      </c>
      <c r="R524" s="27" t="s">
        <v>49</v>
      </c>
      <c r="S524" s="27" t="s">
        <v>50</v>
      </c>
      <c r="T524" s="27" t="s">
        <v>50</v>
      </c>
      <c r="U524" s="27" t="s">
        <v>50</v>
      </c>
      <c r="V524" s="27" t="s">
        <v>50</v>
      </c>
      <c r="W524" s="27" t="s">
        <v>50</v>
      </c>
      <c r="X524" s="27" t="s">
        <v>50</v>
      </c>
    </row>
    <row r="525" spans="1:25" x14ac:dyDescent="0.25">
      <c r="A525" s="26">
        <v>43376</v>
      </c>
      <c r="B525" s="27" t="s">
        <v>87</v>
      </c>
      <c r="C525" s="27" t="s">
        <v>95</v>
      </c>
      <c r="D525" s="89">
        <v>38.093969999999999</v>
      </c>
      <c r="E525" s="89">
        <v>-121.57746</v>
      </c>
      <c r="F525" s="27" t="s">
        <v>6265</v>
      </c>
      <c r="G525" s="27" t="s">
        <v>46</v>
      </c>
      <c r="H525" s="27" t="s">
        <v>115</v>
      </c>
      <c r="I525" s="84">
        <v>0.3923611111111111</v>
      </c>
      <c r="J525" s="82">
        <v>322.85000000000002</v>
      </c>
      <c r="K525" s="82">
        <v>20.175000000000001</v>
      </c>
      <c r="L525" s="82">
        <v>4.18</v>
      </c>
      <c r="M525" s="82" t="s">
        <v>5829</v>
      </c>
      <c r="N525" s="4">
        <v>10.775</v>
      </c>
      <c r="O525" s="27" t="s">
        <v>48</v>
      </c>
      <c r="P525" s="27">
        <v>4</v>
      </c>
      <c r="Q525" s="27">
        <v>10</v>
      </c>
      <c r="R525" s="27" t="s">
        <v>64</v>
      </c>
      <c r="S525" s="27" t="s">
        <v>50</v>
      </c>
      <c r="T525" s="27" t="s">
        <v>50</v>
      </c>
      <c r="U525" s="27" t="s">
        <v>50</v>
      </c>
      <c r="V525" s="27" t="s">
        <v>50</v>
      </c>
      <c r="W525" s="27" t="s">
        <v>50</v>
      </c>
      <c r="X525" s="27" t="s">
        <v>50</v>
      </c>
    </row>
    <row r="526" spans="1:25" x14ac:dyDescent="0.25">
      <c r="A526" s="26">
        <v>43376</v>
      </c>
      <c r="B526" s="27" t="s">
        <v>87</v>
      </c>
      <c r="C526" s="27" t="s">
        <v>95</v>
      </c>
      <c r="D526" s="89">
        <v>38.100769999999997</v>
      </c>
      <c r="E526" s="89">
        <v>-121.58935</v>
      </c>
      <c r="F526" s="27" t="s">
        <v>6266</v>
      </c>
      <c r="G526" s="27" t="s">
        <v>46</v>
      </c>
      <c r="H526" s="27" t="s">
        <v>115</v>
      </c>
      <c r="I526" s="84">
        <v>0.44166666666666665</v>
      </c>
      <c r="J526" s="82">
        <v>315.39999999999998</v>
      </c>
      <c r="K526" s="82">
        <v>20.125</v>
      </c>
      <c r="L526" s="82">
        <v>4.3049999999999997</v>
      </c>
      <c r="M526" s="82" t="s">
        <v>5829</v>
      </c>
      <c r="N526" s="4">
        <v>8.2249999999999996</v>
      </c>
      <c r="O526" s="27" t="s">
        <v>48</v>
      </c>
      <c r="P526" s="27">
        <v>4</v>
      </c>
      <c r="Q526" s="27">
        <v>10</v>
      </c>
      <c r="R526" s="27" t="s">
        <v>64</v>
      </c>
      <c r="S526" s="27" t="s">
        <v>50</v>
      </c>
      <c r="T526" s="27" t="s">
        <v>50</v>
      </c>
      <c r="U526" s="27" t="s">
        <v>50</v>
      </c>
      <c r="V526" s="27" t="s">
        <v>50</v>
      </c>
      <c r="W526" s="27" t="s">
        <v>50</v>
      </c>
      <c r="X526" s="27" t="s">
        <v>50</v>
      </c>
    </row>
    <row r="527" spans="1:25" x14ac:dyDescent="0.25">
      <c r="A527" s="26">
        <v>43376</v>
      </c>
      <c r="B527" s="27" t="s">
        <v>87</v>
      </c>
      <c r="C527" s="27" t="s">
        <v>95</v>
      </c>
      <c r="D527" s="89">
        <v>38.097209999999997</v>
      </c>
      <c r="E527" s="89">
        <v>-121.63301</v>
      </c>
      <c r="F527" s="27" t="s">
        <v>6267</v>
      </c>
      <c r="G527" s="27" t="s">
        <v>46</v>
      </c>
      <c r="H527" s="27" t="s">
        <v>908</v>
      </c>
      <c r="I527" s="84">
        <v>0.49861111111111112</v>
      </c>
      <c r="J527" s="82">
        <v>598.66666999999995</v>
      </c>
      <c r="K527" s="82">
        <v>20.433333000000001</v>
      </c>
      <c r="L527" s="82">
        <v>5.29</v>
      </c>
      <c r="M527" s="82">
        <v>1.6333333000000001</v>
      </c>
      <c r="N527" s="4">
        <v>13.466666999999999</v>
      </c>
      <c r="O527" s="27" t="s">
        <v>48</v>
      </c>
      <c r="P527" s="27">
        <v>3</v>
      </c>
      <c r="Q527" s="27">
        <v>10</v>
      </c>
      <c r="R527" s="27" t="s">
        <v>64</v>
      </c>
      <c r="S527" s="27" t="s">
        <v>50</v>
      </c>
      <c r="T527" s="27" t="s">
        <v>50</v>
      </c>
      <c r="U527" s="27" t="s">
        <v>50</v>
      </c>
      <c r="V527" s="27" t="s">
        <v>50</v>
      </c>
      <c r="W527" s="27" t="s">
        <v>50</v>
      </c>
      <c r="X527" s="27" t="s">
        <v>50</v>
      </c>
    </row>
    <row r="528" spans="1:25" x14ac:dyDescent="0.25">
      <c r="A528" s="26">
        <v>43376</v>
      </c>
      <c r="B528" s="27" t="s">
        <v>87</v>
      </c>
      <c r="C528" s="27" t="s">
        <v>106</v>
      </c>
      <c r="D528" s="89">
        <v>38.52366</v>
      </c>
      <c r="E528" s="89">
        <v>-121.5844</v>
      </c>
      <c r="F528" s="27" t="s">
        <v>6268</v>
      </c>
      <c r="G528" s="27" t="s">
        <v>90</v>
      </c>
      <c r="H528" s="27" t="s">
        <v>1787</v>
      </c>
      <c r="I528" s="84">
        <v>0.34930555555555554</v>
      </c>
      <c r="J528" s="82">
        <v>894</v>
      </c>
      <c r="K528" s="82">
        <v>21.574999999999999</v>
      </c>
      <c r="L528" s="82">
        <v>6.3150000000000004</v>
      </c>
      <c r="M528" s="82">
        <v>1.3825000000000001</v>
      </c>
      <c r="N528" s="4">
        <v>10.050000000000001</v>
      </c>
      <c r="O528" s="27" t="s">
        <v>48</v>
      </c>
      <c r="P528" s="27">
        <v>4</v>
      </c>
      <c r="Q528" s="27">
        <v>10</v>
      </c>
      <c r="R528" s="27" t="s">
        <v>49</v>
      </c>
      <c r="S528" s="27" t="s">
        <v>50</v>
      </c>
      <c r="T528" s="27" t="s">
        <v>50</v>
      </c>
      <c r="U528" s="27" t="s">
        <v>50</v>
      </c>
      <c r="V528" s="27" t="s">
        <v>50</v>
      </c>
      <c r="W528" s="27" t="s">
        <v>50</v>
      </c>
      <c r="X528" s="27" t="s">
        <v>50</v>
      </c>
      <c r="Y528" s="35" t="s">
        <v>6188</v>
      </c>
    </row>
    <row r="529" spans="1:25" x14ac:dyDescent="0.25">
      <c r="A529" s="26">
        <v>43376</v>
      </c>
      <c r="B529" s="27" t="s">
        <v>87</v>
      </c>
      <c r="C529" s="27" t="s">
        <v>106</v>
      </c>
      <c r="D529" s="89">
        <v>38.543500000000002</v>
      </c>
      <c r="E529" s="89">
        <v>-121.58434</v>
      </c>
      <c r="F529" s="27" t="s">
        <v>6269</v>
      </c>
      <c r="G529" s="27" t="s">
        <v>90</v>
      </c>
      <c r="H529" s="27" t="s">
        <v>1787</v>
      </c>
      <c r="I529" s="84">
        <v>0.39999999999999997</v>
      </c>
      <c r="J529" s="82">
        <v>917.75</v>
      </c>
      <c r="K529" s="82">
        <v>21.6</v>
      </c>
      <c r="L529" s="82">
        <v>5.4850000000000003</v>
      </c>
      <c r="M529" s="82">
        <v>1.46</v>
      </c>
      <c r="N529" s="4">
        <v>10.199999999999999</v>
      </c>
      <c r="O529" s="27" t="s">
        <v>48</v>
      </c>
      <c r="P529" s="27">
        <v>4</v>
      </c>
      <c r="Q529" s="27">
        <v>10</v>
      </c>
      <c r="R529" s="27" t="s">
        <v>64</v>
      </c>
      <c r="S529" s="27" t="s">
        <v>50</v>
      </c>
      <c r="T529" s="27" t="s">
        <v>50</v>
      </c>
      <c r="U529" s="27" t="s">
        <v>50</v>
      </c>
      <c r="V529" s="27" t="s">
        <v>50</v>
      </c>
      <c r="W529" s="27" t="s">
        <v>50</v>
      </c>
      <c r="X529" s="27" t="s">
        <v>50</v>
      </c>
      <c r="Y529" s="35" t="s">
        <v>6188</v>
      </c>
    </row>
    <row r="530" spans="1:25" x14ac:dyDescent="0.25">
      <c r="A530" s="26">
        <v>43376</v>
      </c>
      <c r="B530" s="27" t="s">
        <v>87</v>
      </c>
      <c r="C530" s="27" t="s">
        <v>106</v>
      </c>
      <c r="D530" s="89">
        <v>38.564149999999998</v>
      </c>
      <c r="E530" s="89">
        <v>-121.55105</v>
      </c>
      <c r="F530" s="27" t="s">
        <v>6270</v>
      </c>
      <c r="G530" s="27" t="s">
        <v>90</v>
      </c>
      <c r="H530" s="27" t="s">
        <v>1787</v>
      </c>
      <c r="I530" s="84">
        <v>0.45208333333333334</v>
      </c>
      <c r="J530" s="82">
        <v>966.25</v>
      </c>
      <c r="K530" s="82">
        <v>22.425000000000001</v>
      </c>
      <c r="L530" s="82">
        <v>2.87</v>
      </c>
      <c r="M530" s="82" t="s">
        <v>5829</v>
      </c>
      <c r="N530" s="4">
        <v>11.4</v>
      </c>
      <c r="O530" s="27" t="s">
        <v>48</v>
      </c>
      <c r="P530" s="27">
        <v>4</v>
      </c>
      <c r="Q530" s="27">
        <v>10</v>
      </c>
      <c r="R530" s="27" t="s">
        <v>49</v>
      </c>
      <c r="S530" s="27" t="s">
        <v>50</v>
      </c>
      <c r="T530" s="27" t="s">
        <v>50</v>
      </c>
      <c r="U530" s="27" t="s">
        <v>50</v>
      </c>
      <c r="V530" s="27" t="s">
        <v>50</v>
      </c>
      <c r="W530" s="27" t="s">
        <v>50</v>
      </c>
      <c r="X530" s="27" t="s">
        <v>50</v>
      </c>
    </row>
    <row r="531" spans="1:25" x14ac:dyDescent="0.25">
      <c r="A531" s="26">
        <v>43376</v>
      </c>
      <c r="B531" s="27" t="s">
        <v>87</v>
      </c>
      <c r="C531" s="27" t="s">
        <v>106</v>
      </c>
      <c r="D531" s="89">
        <v>38.513309999999997</v>
      </c>
      <c r="E531" s="89">
        <v>-121.58513000000001</v>
      </c>
      <c r="F531" s="27" t="s">
        <v>6271</v>
      </c>
      <c r="G531" s="27" t="s">
        <v>90</v>
      </c>
      <c r="H531" s="27" t="s">
        <v>1787</v>
      </c>
      <c r="I531" s="84">
        <v>0.50416666666666665</v>
      </c>
      <c r="J531" s="82">
        <v>816.25</v>
      </c>
      <c r="K531" s="82">
        <v>21.75</v>
      </c>
      <c r="L531" s="82">
        <v>9.8224999999999998</v>
      </c>
      <c r="M531" s="82" t="s">
        <v>5829</v>
      </c>
      <c r="N531" s="4">
        <v>8.3249999999999993</v>
      </c>
      <c r="O531" s="27" t="s">
        <v>48</v>
      </c>
      <c r="P531" s="27">
        <v>4</v>
      </c>
      <c r="Q531" s="27">
        <v>10</v>
      </c>
      <c r="R531" s="27" t="s">
        <v>64</v>
      </c>
      <c r="S531" s="27" t="s">
        <v>50</v>
      </c>
      <c r="T531" s="27" t="s">
        <v>50</v>
      </c>
      <c r="U531" s="27" t="s">
        <v>50</v>
      </c>
      <c r="V531" s="27" t="s">
        <v>50</v>
      </c>
      <c r="W531" s="27" t="s">
        <v>50</v>
      </c>
      <c r="X531" s="27" t="s">
        <v>50</v>
      </c>
    </row>
    <row r="532" spans="1:25" x14ac:dyDescent="0.25">
      <c r="A532" s="26">
        <v>43377</v>
      </c>
      <c r="B532" s="27" t="s">
        <v>105</v>
      </c>
      <c r="C532" s="27" t="s">
        <v>95</v>
      </c>
      <c r="D532" s="89">
        <v>38.027160000000002</v>
      </c>
      <c r="E532" s="89">
        <v>-121.69712</v>
      </c>
      <c r="F532" s="27" t="s">
        <v>6272</v>
      </c>
      <c r="G532" s="27" t="s">
        <v>27</v>
      </c>
      <c r="H532" s="27" t="s">
        <v>863</v>
      </c>
      <c r="I532" s="84">
        <v>0.32430555555555557</v>
      </c>
      <c r="J532" s="82">
        <v>1153.75</v>
      </c>
      <c r="K532" s="82">
        <v>20.6</v>
      </c>
      <c r="L532" s="82">
        <v>3.3050000000000002</v>
      </c>
      <c r="M532" s="82" t="s">
        <v>5829</v>
      </c>
      <c r="N532" s="4">
        <v>5.0250000000000004</v>
      </c>
      <c r="O532" s="27" t="s">
        <v>48</v>
      </c>
      <c r="P532" s="27">
        <v>4</v>
      </c>
      <c r="Q532" s="27">
        <v>10</v>
      </c>
      <c r="R532" s="27" t="s">
        <v>49</v>
      </c>
      <c r="S532" s="27" t="s">
        <v>50</v>
      </c>
      <c r="T532" s="27" t="s">
        <v>50</v>
      </c>
      <c r="U532" s="27" t="s">
        <v>50</v>
      </c>
      <c r="V532" s="27" t="s">
        <v>50</v>
      </c>
      <c r="W532" s="27" t="s">
        <v>50</v>
      </c>
      <c r="X532" s="27" t="s">
        <v>50</v>
      </c>
    </row>
    <row r="533" spans="1:25" x14ac:dyDescent="0.25">
      <c r="A533" s="26">
        <v>43377</v>
      </c>
      <c r="B533" s="27" t="s">
        <v>105</v>
      </c>
      <c r="C533" s="27" t="s">
        <v>95</v>
      </c>
      <c r="D533" s="89">
        <v>38.023829999999997</v>
      </c>
      <c r="E533" s="89">
        <v>-121.74397</v>
      </c>
      <c r="F533" s="27" t="s">
        <v>6273</v>
      </c>
      <c r="G533" s="27" t="s">
        <v>27</v>
      </c>
      <c r="H533" s="27" t="s">
        <v>863</v>
      </c>
      <c r="I533" s="84">
        <v>0.37083333333333335</v>
      </c>
      <c r="J533" s="82">
        <v>1171.75</v>
      </c>
      <c r="K533" s="82">
        <v>20.375</v>
      </c>
      <c r="L533" s="82">
        <v>5.07</v>
      </c>
      <c r="M533" s="82">
        <v>1.7175</v>
      </c>
      <c r="N533" s="4">
        <v>7.55</v>
      </c>
      <c r="O533" s="27" t="s">
        <v>48</v>
      </c>
      <c r="P533" s="27">
        <v>4</v>
      </c>
      <c r="Q533" s="27">
        <v>10</v>
      </c>
      <c r="R533" s="27" t="s">
        <v>64</v>
      </c>
      <c r="S533" s="27" t="s">
        <v>50</v>
      </c>
      <c r="T533" s="27" t="s">
        <v>50</v>
      </c>
      <c r="U533" s="27" t="s">
        <v>50</v>
      </c>
      <c r="V533" s="27" t="s">
        <v>50</v>
      </c>
      <c r="W533" s="27" t="s">
        <v>50</v>
      </c>
      <c r="X533" s="27" t="s">
        <v>50</v>
      </c>
    </row>
    <row r="534" spans="1:25" x14ac:dyDescent="0.25">
      <c r="A534" s="26">
        <v>43377</v>
      </c>
      <c r="B534" s="27" t="s">
        <v>105</v>
      </c>
      <c r="C534" s="27" t="s">
        <v>95</v>
      </c>
      <c r="D534" s="89">
        <v>38.043419999999998</v>
      </c>
      <c r="E534" s="89">
        <v>-121.70166</v>
      </c>
      <c r="F534" s="27" t="s">
        <v>6274</v>
      </c>
      <c r="G534" s="27" t="s">
        <v>27</v>
      </c>
      <c r="H534" s="27" t="s">
        <v>863</v>
      </c>
      <c r="I534" s="84">
        <v>0.42222222222222222</v>
      </c>
      <c r="J534" s="82">
        <v>1032.25</v>
      </c>
      <c r="K534" s="82">
        <v>20.399999999999999</v>
      </c>
      <c r="L534" s="82">
        <v>7.3375000000000004</v>
      </c>
      <c r="M534" s="82">
        <v>1.48</v>
      </c>
      <c r="N534" s="4">
        <v>7.0250000000000004</v>
      </c>
      <c r="O534" s="27" t="s">
        <v>48</v>
      </c>
      <c r="P534" s="27">
        <v>4</v>
      </c>
      <c r="Q534" s="27">
        <v>10</v>
      </c>
      <c r="R534" s="27" t="s">
        <v>64</v>
      </c>
      <c r="S534" s="27" t="s">
        <v>50</v>
      </c>
      <c r="T534" s="27" t="s">
        <v>50</v>
      </c>
      <c r="U534" s="27" t="s">
        <v>50</v>
      </c>
      <c r="V534" s="27" t="s">
        <v>50</v>
      </c>
      <c r="W534" s="27" t="s">
        <v>50</v>
      </c>
      <c r="X534" s="27" t="s">
        <v>50</v>
      </c>
    </row>
    <row r="535" spans="1:25" s="389" customFormat="1" x14ac:dyDescent="0.25">
      <c r="A535" s="495">
        <v>43377</v>
      </c>
      <c r="B535" s="494" t="s">
        <v>105</v>
      </c>
      <c r="C535" s="494" t="s">
        <v>106</v>
      </c>
      <c r="D535" s="496">
        <v>38.389400000000002</v>
      </c>
      <c r="E535" s="496">
        <v>-121.62293</v>
      </c>
      <c r="F535" s="494" t="s">
        <v>6275</v>
      </c>
      <c r="G535" s="494" t="s">
        <v>90</v>
      </c>
      <c r="H535" s="494" t="s">
        <v>362</v>
      </c>
      <c r="I535" s="497">
        <v>0.33194444444444443</v>
      </c>
      <c r="J535" s="498">
        <v>504</v>
      </c>
      <c r="K535" s="498">
        <v>20.6</v>
      </c>
      <c r="L535" s="498">
        <v>20.9</v>
      </c>
      <c r="M535" s="498">
        <v>0.4</v>
      </c>
      <c r="N535" s="499">
        <v>8.9</v>
      </c>
      <c r="O535" s="494" t="s">
        <v>48</v>
      </c>
      <c r="P535" s="494">
        <v>2</v>
      </c>
      <c r="Q535" s="494">
        <v>10</v>
      </c>
      <c r="R535" s="494" t="s">
        <v>49</v>
      </c>
      <c r="S535" s="494" t="s">
        <v>323</v>
      </c>
      <c r="T535" s="494">
        <v>4</v>
      </c>
      <c r="U535" s="494" t="s">
        <v>3486</v>
      </c>
      <c r="V535" s="494" t="s">
        <v>66</v>
      </c>
      <c r="W535" s="494" t="s">
        <v>50</v>
      </c>
      <c r="X535" s="494" t="s">
        <v>50</v>
      </c>
      <c r="Y535" s="397" t="s">
        <v>6276</v>
      </c>
    </row>
    <row r="536" spans="1:25" x14ac:dyDescent="0.25">
      <c r="A536" s="26">
        <v>43377</v>
      </c>
      <c r="B536" s="27" t="s">
        <v>105</v>
      </c>
      <c r="C536" s="27" t="s">
        <v>106</v>
      </c>
      <c r="D536" s="89">
        <v>38.294800000000002</v>
      </c>
      <c r="E536" s="89">
        <v>-121.65658999999999</v>
      </c>
      <c r="F536" s="27" t="s">
        <v>6277</v>
      </c>
      <c r="G536" s="27" t="s">
        <v>90</v>
      </c>
      <c r="H536" s="27" t="s">
        <v>362</v>
      </c>
      <c r="I536" s="84">
        <v>0.3756944444444445</v>
      </c>
      <c r="J536" s="82">
        <v>289.375</v>
      </c>
      <c r="K536" s="82">
        <v>20.6</v>
      </c>
      <c r="L536" s="82">
        <v>186.26499999999999</v>
      </c>
      <c r="M536" s="82">
        <v>1.0249999999999999</v>
      </c>
      <c r="N536" s="4">
        <v>10.324999999999999</v>
      </c>
      <c r="O536" s="27" t="s">
        <v>48</v>
      </c>
      <c r="P536" s="27">
        <v>4</v>
      </c>
      <c r="Q536" s="27">
        <v>10</v>
      </c>
      <c r="R536" s="27" t="s">
        <v>64</v>
      </c>
      <c r="S536" s="27" t="s">
        <v>50</v>
      </c>
      <c r="T536" s="27" t="s">
        <v>50</v>
      </c>
      <c r="U536" s="27" t="s">
        <v>50</v>
      </c>
      <c r="V536" s="27" t="s">
        <v>50</v>
      </c>
      <c r="W536" s="27" t="s">
        <v>50</v>
      </c>
      <c r="X536" s="27" t="s">
        <v>50</v>
      </c>
    </row>
    <row r="537" spans="1:25" x14ac:dyDescent="0.25">
      <c r="A537" s="26">
        <v>43377</v>
      </c>
      <c r="B537" s="27" t="s">
        <v>105</v>
      </c>
      <c r="C537" s="27" t="s">
        <v>106</v>
      </c>
      <c r="D537" s="89">
        <v>38.248910000000002</v>
      </c>
      <c r="E537" s="89">
        <v>-121.66904</v>
      </c>
      <c r="F537" s="27" t="s">
        <v>6278</v>
      </c>
      <c r="G537" s="27" t="s">
        <v>90</v>
      </c>
      <c r="H537" s="27" t="s">
        <v>362</v>
      </c>
      <c r="I537" s="84">
        <v>0.42986111111111108</v>
      </c>
      <c r="J537" s="82">
        <v>190.32499999999999</v>
      </c>
      <c r="K537" s="82">
        <v>20.100000000000001</v>
      </c>
      <c r="L537" s="82">
        <v>4.0149999999999997</v>
      </c>
      <c r="M537" s="82" t="s">
        <v>5829</v>
      </c>
      <c r="N537" s="4">
        <v>6.65</v>
      </c>
      <c r="O537" s="27" t="s">
        <v>48</v>
      </c>
      <c r="P537" s="27">
        <v>4</v>
      </c>
      <c r="Q537" s="27">
        <v>10</v>
      </c>
      <c r="R537" s="27" t="s">
        <v>64</v>
      </c>
      <c r="S537" s="27" t="s">
        <v>50</v>
      </c>
      <c r="T537" s="27" t="s">
        <v>50</v>
      </c>
      <c r="U537" s="27" t="s">
        <v>50</v>
      </c>
      <c r="V537" s="27" t="s">
        <v>50</v>
      </c>
      <c r="W537" s="27" t="s">
        <v>50</v>
      </c>
      <c r="X537" s="27" t="s">
        <v>50</v>
      </c>
    </row>
    <row r="538" spans="1:25" x14ac:dyDescent="0.25">
      <c r="A538" s="26">
        <v>43377</v>
      </c>
      <c r="B538" s="27" t="s">
        <v>105</v>
      </c>
      <c r="C538" s="27" t="s">
        <v>78</v>
      </c>
      <c r="D538" s="89">
        <v>38.035640000000001</v>
      </c>
      <c r="E538" s="89">
        <v>-121.84923000000001</v>
      </c>
      <c r="F538" s="27" t="s">
        <v>6279</v>
      </c>
      <c r="G538" s="27" t="s">
        <v>27</v>
      </c>
      <c r="H538" s="27" t="s">
        <v>101</v>
      </c>
      <c r="I538" s="84">
        <v>0.34652777777777777</v>
      </c>
      <c r="J538" s="82">
        <v>3298</v>
      </c>
      <c r="K538" s="82">
        <v>19.8</v>
      </c>
      <c r="L538" s="82">
        <v>9.73</v>
      </c>
      <c r="M538" s="82">
        <v>1.3774999999999999</v>
      </c>
      <c r="N538" s="4">
        <v>9.4749999999999996</v>
      </c>
      <c r="O538" s="27" t="s">
        <v>48</v>
      </c>
      <c r="P538" s="27">
        <v>4</v>
      </c>
      <c r="Q538" s="27">
        <v>10</v>
      </c>
      <c r="R538" s="27" t="s">
        <v>64</v>
      </c>
      <c r="S538" s="27" t="s">
        <v>50</v>
      </c>
      <c r="T538" s="27" t="s">
        <v>50</v>
      </c>
      <c r="U538" s="27" t="s">
        <v>50</v>
      </c>
      <c r="V538" s="27" t="s">
        <v>50</v>
      </c>
      <c r="W538" s="27" t="s">
        <v>50</v>
      </c>
      <c r="X538" s="27" t="s">
        <v>50</v>
      </c>
      <c r="Y538" s="35" t="s">
        <v>5044</v>
      </c>
    </row>
    <row r="539" spans="1:25" x14ac:dyDescent="0.25">
      <c r="A539" s="26">
        <v>43377</v>
      </c>
      <c r="B539" s="27" t="s">
        <v>105</v>
      </c>
      <c r="C539" s="27" t="s">
        <v>78</v>
      </c>
      <c r="D539" s="89">
        <v>38.046579999999999</v>
      </c>
      <c r="E539" s="89">
        <v>-121.93375</v>
      </c>
      <c r="F539" s="27" t="s">
        <v>6280</v>
      </c>
      <c r="G539" s="27" t="s">
        <v>27</v>
      </c>
      <c r="H539" s="27" t="s">
        <v>170</v>
      </c>
      <c r="I539" s="84">
        <v>0.40416666666666662</v>
      </c>
      <c r="J539" s="82">
        <v>7868</v>
      </c>
      <c r="K539" s="82">
        <v>19.524999999999999</v>
      </c>
      <c r="L539" s="82">
        <v>11.625</v>
      </c>
      <c r="M539" s="82">
        <v>0.995</v>
      </c>
      <c r="N539" s="4">
        <v>18.675000000000001</v>
      </c>
      <c r="O539" s="27" t="s">
        <v>48</v>
      </c>
      <c r="P539" s="27">
        <v>4</v>
      </c>
      <c r="Q539" s="27">
        <v>10</v>
      </c>
      <c r="R539" s="27" t="s">
        <v>64</v>
      </c>
      <c r="S539" s="27" t="s">
        <v>50</v>
      </c>
      <c r="T539" s="27" t="s">
        <v>50</v>
      </c>
      <c r="U539" s="27" t="s">
        <v>50</v>
      </c>
      <c r="V539" s="27" t="s">
        <v>50</v>
      </c>
      <c r="W539" s="27" t="s">
        <v>50</v>
      </c>
      <c r="X539" s="27" t="s">
        <v>50</v>
      </c>
    </row>
    <row r="540" spans="1:25" s="361" customFormat="1" x14ac:dyDescent="0.25">
      <c r="A540" s="360">
        <v>43377</v>
      </c>
      <c r="B540" s="361" t="s">
        <v>105</v>
      </c>
      <c r="C540" s="361" t="s">
        <v>78</v>
      </c>
      <c r="D540" s="362">
        <v>38.051830000000002</v>
      </c>
      <c r="E540" s="362">
        <v>-122.10406</v>
      </c>
      <c r="F540" s="361" t="s">
        <v>6281</v>
      </c>
      <c r="G540" s="361" t="s">
        <v>80</v>
      </c>
      <c r="H540" s="361" t="s">
        <v>81</v>
      </c>
      <c r="I540" s="363">
        <v>0.48472222222222222</v>
      </c>
      <c r="J540" s="364">
        <v>24276.5</v>
      </c>
      <c r="K540" s="364">
        <v>19.225000000000001</v>
      </c>
      <c r="L540" s="364">
        <v>23.074999999999999</v>
      </c>
      <c r="M540" s="364">
        <v>0.66500000000000004</v>
      </c>
      <c r="N540" s="365">
        <v>3.2250000000000001</v>
      </c>
      <c r="O540" s="361" t="s">
        <v>48</v>
      </c>
      <c r="P540" s="361">
        <v>4</v>
      </c>
      <c r="Q540" s="361">
        <v>10</v>
      </c>
      <c r="R540" s="361" t="s">
        <v>64</v>
      </c>
      <c r="S540" s="361" t="s">
        <v>50</v>
      </c>
      <c r="T540" s="361" t="s">
        <v>50</v>
      </c>
      <c r="U540" s="361" t="s">
        <v>50</v>
      </c>
      <c r="V540" s="361" t="s">
        <v>50</v>
      </c>
      <c r="W540" s="361" t="s">
        <v>50</v>
      </c>
      <c r="X540" s="361" t="s">
        <v>50</v>
      </c>
      <c r="Y540" s="366"/>
    </row>
    <row r="541" spans="1:25" s="390" customFormat="1" x14ac:dyDescent="0.25">
      <c r="A541" s="495">
        <v>43382</v>
      </c>
      <c r="B541" s="494" t="s">
        <v>70</v>
      </c>
      <c r="C541" s="494" t="s">
        <v>88</v>
      </c>
      <c r="D541" s="496">
        <v>38.058959999999999</v>
      </c>
      <c r="E541" s="496">
        <v>-121.80859</v>
      </c>
      <c r="F541" s="494" t="s">
        <v>6282</v>
      </c>
      <c r="G541" s="494" t="s">
        <v>27</v>
      </c>
      <c r="H541" s="494" t="s">
        <v>25</v>
      </c>
      <c r="I541" s="497">
        <v>0.3527777777777778</v>
      </c>
      <c r="J541" s="498">
        <v>3903</v>
      </c>
      <c r="K541" s="498">
        <v>18.7</v>
      </c>
      <c r="L541" s="498">
        <v>17.3</v>
      </c>
      <c r="M541" s="498">
        <v>0.94</v>
      </c>
      <c r="N541" s="499">
        <v>8.85</v>
      </c>
      <c r="O541" s="494" t="s">
        <v>48</v>
      </c>
      <c r="P541" s="494">
        <v>2</v>
      </c>
      <c r="Q541" s="494">
        <v>10</v>
      </c>
      <c r="R541" s="494" t="s">
        <v>49</v>
      </c>
      <c r="S541" s="494" t="s">
        <v>323</v>
      </c>
      <c r="T541" s="494">
        <v>4</v>
      </c>
      <c r="U541" s="494" t="s">
        <v>3946</v>
      </c>
      <c r="V541" s="494" t="s">
        <v>66</v>
      </c>
      <c r="W541" s="494" t="s">
        <v>50</v>
      </c>
      <c r="X541" s="494" t="s">
        <v>50</v>
      </c>
      <c r="Y541" s="455" t="s">
        <v>6283</v>
      </c>
    </row>
    <row r="542" spans="1:25" x14ac:dyDescent="0.25">
      <c r="A542" s="26">
        <v>43382</v>
      </c>
      <c r="B542" s="27" t="s">
        <v>70</v>
      </c>
      <c r="C542" s="27" t="s">
        <v>88</v>
      </c>
      <c r="D542" s="89">
        <v>38.076189999999997</v>
      </c>
      <c r="E542" s="89">
        <v>-121.76011</v>
      </c>
      <c r="F542" s="27" t="s">
        <v>6284</v>
      </c>
      <c r="G542" s="27" t="s">
        <v>27</v>
      </c>
      <c r="H542" s="27" t="s">
        <v>25</v>
      </c>
      <c r="I542" s="84">
        <v>0.39305555555555555</v>
      </c>
      <c r="J542" s="82">
        <v>923.25</v>
      </c>
      <c r="K542" s="82">
        <v>18.7</v>
      </c>
      <c r="L542" s="82">
        <v>23.074999999999999</v>
      </c>
      <c r="M542" s="82">
        <v>0.71250000000000002</v>
      </c>
      <c r="N542" s="4">
        <v>8.7249999999999996</v>
      </c>
      <c r="O542" s="27" t="s">
        <v>48</v>
      </c>
      <c r="P542" s="27">
        <v>4</v>
      </c>
      <c r="Q542" s="27">
        <v>10</v>
      </c>
      <c r="R542" s="27" t="s">
        <v>49</v>
      </c>
      <c r="S542" s="27" t="s">
        <v>50</v>
      </c>
      <c r="T542" s="27" t="s">
        <v>50</v>
      </c>
      <c r="U542" s="27" t="s">
        <v>50</v>
      </c>
      <c r="V542" s="27" t="s">
        <v>50</v>
      </c>
      <c r="W542" s="27" t="s">
        <v>50</v>
      </c>
      <c r="X542" s="27" t="s">
        <v>50</v>
      </c>
    </row>
    <row r="543" spans="1:25" x14ac:dyDescent="0.25">
      <c r="A543" s="26">
        <v>43382</v>
      </c>
      <c r="B543" s="27" t="s">
        <v>70</v>
      </c>
      <c r="C543" s="27" t="s">
        <v>88</v>
      </c>
      <c r="D543" s="89">
        <v>38.092709999999997</v>
      </c>
      <c r="E543" s="89">
        <v>-121.70893</v>
      </c>
      <c r="F543" s="27" t="s">
        <v>6285</v>
      </c>
      <c r="G543" s="27" t="s">
        <v>90</v>
      </c>
      <c r="H543" s="27" t="s">
        <v>91</v>
      </c>
      <c r="I543" s="84">
        <v>0.44791666666666669</v>
      </c>
      <c r="J543" s="82">
        <v>757.32500000000005</v>
      </c>
      <c r="K543" s="82">
        <v>18.95</v>
      </c>
      <c r="L543" s="82">
        <v>13.625</v>
      </c>
      <c r="M543" s="82">
        <v>1.1375</v>
      </c>
      <c r="N543" s="4">
        <v>3.45</v>
      </c>
      <c r="O543" s="27" t="s">
        <v>48</v>
      </c>
      <c r="P543" s="27">
        <v>4</v>
      </c>
      <c r="Q543" s="27">
        <v>10</v>
      </c>
      <c r="R543" s="27" t="s">
        <v>49</v>
      </c>
      <c r="S543" s="27" t="s">
        <v>50</v>
      </c>
      <c r="T543" s="27" t="s">
        <v>50</v>
      </c>
      <c r="U543" s="27" t="s">
        <v>50</v>
      </c>
      <c r="V543" s="27" t="s">
        <v>50</v>
      </c>
      <c r="W543" s="27" t="s">
        <v>50</v>
      </c>
      <c r="X543" s="27" t="s">
        <v>50</v>
      </c>
    </row>
    <row r="544" spans="1:25" x14ac:dyDescent="0.25">
      <c r="A544" s="26">
        <v>43382</v>
      </c>
      <c r="B544" s="27" t="s">
        <v>70</v>
      </c>
      <c r="C544" s="27" t="s">
        <v>88</v>
      </c>
      <c r="D544" s="89">
        <v>38.119030000000002</v>
      </c>
      <c r="E544" s="89">
        <v>-121.69429</v>
      </c>
      <c r="F544" s="27" t="s">
        <v>6286</v>
      </c>
      <c r="G544" s="27" t="s">
        <v>90</v>
      </c>
      <c r="H544" s="27" t="s">
        <v>91</v>
      </c>
      <c r="I544" s="84">
        <v>0.49722222222222223</v>
      </c>
      <c r="J544" s="82">
        <v>174.75</v>
      </c>
      <c r="K544" s="82">
        <v>18.925000000000001</v>
      </c>
      <c r="L544" s="82">
        <v>7.1950000000000003</v>
      </c>
      <c r="M544" s="82" t="s">
        <v>5829</v>
      </c>
      <c r="N544" s="4">
        <v>4.5250000000000004</v>
      </c>
      <c r="O544" s="27" t="s">
        <v>48</v>
      </c>
      <c r="P544" s="27">
        <v>4</v>
      </c>
      <c r="Q544" s="27">
        <v>10</v>
      </c>
      <c r="R544" s="27" t="s">
        <v>49</v>
      </c>
      <c r="S544" s="27" t="s">
        <v>50</v>
      </c>
      <c r="T544" s="27" t="s">
        <v>50</v>
      </c>
      <c r="U544" s="27" t="s">
        <v>50</v>
      </c>
      <c r="V544" s="27" t="s">
        <v>50</v>
      </c>
      <c r="W544" s="27" t="s">
        <v>50</v>
      </c>
      <c r="X544" s="27" t="s">
        <v>50</v>
      </c>
    </row>
    <row r="545" spans="1:25" s="392" customFormat="1" x14ac:dyDescent="0.25">
      <c r="A545" s="391">
        <v>43382</v>
      </c>
      <c r="B545" s="392" t="s">
        <v>70</v>
      </c>
      <c r="C545" s="392" t="s">
        <v>78</v>
      </c>
      <c r="D545" s="393">
        <v>38.066699999999997</v>
      </c>
      <c r="E545" s="393">
        <v>-121.95707</v>
      </c>
      <c r="F545" s="392" t="s">
        <v>6287</v>
      </c>
      <c r="G545" s="392" t="s">
        <v>27</v>
      </c>
      <c r="H545" s="392" t="s">
        <v>170</v>
      </c>
      <c r="I545" s="394">
        <v>0.35486111111111113</v>
      </c>
      <c r="J545" s="395" t="s">
        <v>50</v>
      </c>
      <c r="K545" s="395" t="s">
        <v>50</v>
      </c>
      <c r="L545" s="395" t="s">
        <v>50</v>
      </c>
      <c r="M545" s="395" t="s">
        <v>50</v>
      </c>
      <c r="N545" s="395" t="s">
        <v>50</v>
      </c>
      <c r="O545" s="392" t="s">
        <v>48</v>
      </c>
      <c r="P545" s="392">
        <v>0</v>
      </c>
      <c r="Q545" s="392" t="s">
        <v>50</v>
      </c>
      <c r="R545" s="392" t="s">
        <v>50</v>
      </c>
      <c r="S545" s="392" t="s">
        <v>50</v>
      </c>
      <c r="T545" s="392" t="s">
        <v>50</v>
      </c>
      <c r="U545" s="392" t="s">
        <v>50</v>
      </c>
      <c r="V545" s="392" t="s">
        <v>50</v>
      </c>
      <c r="W545" s="392" t="s">
        <v>50</v>
      </c>
      <c r="X545" s="392" t="s">
        <v>50</v>
      </c>
      <c r="Y545" s="396" t="s">
        <v>734</v>
      </c>
    </row>
    <row r="546" spans="1:25" x14ac:dyDescent="0.25">
      <c r="A546" s="26">
        <v>43382</v>
      </c>
      <c r="B546" s="27" t="s">
        <v>70</v>
      </c>
      <c r="C546" s="27" t="s">
        <v>78</v>
      </c>
      <c r="D546" s="89">
        <v>38.03828</v>
      </c>
      <c r="E546" s="89">
        <v>-122.14198</v>
      </c>
      <c r="F546" s="27" t="s">
        <v>6288</v>
      </c>
      <c r="G546" s="27" t="s">
        <v>80</v>
      </c>
      <c r="H546" s="27" t="s">
        <v>81</v>
      </c>
      <c r="I546" s="84">
        <v>0.375</v>
      </c>
      <c r="J546" s="82">
        <v>19853.75</v>
      </c>
      <c r="K546" s="82">
        <v>19.05</v>
      </c>
      <c r="L546" s="82">
        <v>74.849999999999994</v>
      </c>
      <c r="M546" s="82">
        <v>0.24249999999999999</v>
      </c>
      <c r="N546" s="4">
        <v>11.3</v>
      </c>
      <c r="O546" s="27" t="s">
        <v>48</v>
      </c>
      <c r="P546" s="27">
        <v>4</v>
      </c>
      <c r="Q546" s="27">
        <v>10</v>
      </c>
      <c r="R546" s="27" t="s">
        <v>49</v>
      </c>
      <c r="S546" s="27" t="s">
        <v>50</v>
      </c>
      <c r="T546" s="27" t="s">
        <v>50</v>
      </c>
      <c r="U546" s="27" t="s">
        <v>50</v>
      </c>
      <c r="V546" s="27" t="s">
        <v>50</v>
      </c>
      <c r="W546" s="27" t="s">
        <v>50</v>
      </c>
      <c r="X546" s="27" t="s">
        <v>50</v>
      </c>
      <c r="Y546" s="5" t="s">
        <v>6289</v>
      </c>
    </row>
    <row r="547" spans="1:25" x14ac:dyDescent="0.25">
      <c r="A547" s="26">
        <v>43382</v>
      </c>
      <c r="B547" s="27" t="s">
        <v>70</v>
      </c>
      <c r="C547" s="27" t="s">
        <v>78</v>
      </c>
      <c r="D547" s="89">
        <v>38.056840000000001</v>
      </c>
      <c r="E547" s="89">
        <v>-121.99697999999999</v>
      </c>
      <c r="F547" s="27" t="s">
        <v>6290</v>
      </c>
      <c r="G547" s="27" t="s">
        <v>27</v>
      </c>
      <c r="H547" s="27" t="s">
        <v>86</v>
      </c>
      <c r="I547" s="84">
        <v>0.43194444444444446</v>
      </c>
      <c r="J547" s="82">
        <v>10983</v>
      </c>
      <c r="K547" s="82">
        <v>19.024999999999999</v>
      </c>
      <c r="L547" s="82">
        <v>26.125</v>
      </c>
      <c r="M547" s="82">
        <v>0.72499999999999998</v>
      </c>
      <c r="N547" s="4">
        <v>13.275</v>
      </c>
      <c r="O547" s="27" t="s">
        <v>48</v>
      </c>
      <c r="P547" s="27">
        <v>4</v>
      </c>
      <c r="Q547" s="27">
        <v>10</v>
      </c>
      <c r="R547" s="27" t="s">
        <v>49</v>
      </c>
      <c r="S547" s="27" t="s">
        <v>50</v>
      </c>
      <c r="T547" s="27" t="s">
        <v>50</v>
      </c>
      <c r="U547" s="27" t="s">
        <v>50</v>
      </c>
      <c r="V547" s="27" t="s">
        <v>50</v>
      </c>
      <c r="W547" s="27" t="s">
        <v>50</v>
      </c>
      <c r="X547" s="27" t="s">
        <v>50</v>
      </c>
      <c r="Y547" s="5" t="s">
        <v>6188</v>
      </c>
    </row>
    <row r="548" spans="1:25" x14ac:dyDescent="0.25">
      <c r="A548" s="26">
        <v>43382</v>
      </c>
      <c r="B548" s="27" t="s">
        <v>70</v>
      </c>
      <c r="C548" s="27" t="s">
        <v>78</v>
      </c>
      <c r="D548" s="89">
        <v>38.054020000000001</v>
      </c>
      <c r="E548" s="89">
        <v>-121.88047</v>
      </c>
      <c r="F548" s="27" t="s">
        <v>6291</v>
      </c>
      <c r="G548" s="27" t="s">
        <v>27</v>
      </c>
      <c r="H548" s="27" t="s">
        <v>101</v>
      </c>
      <c r="I548" s="84">
        <v>0.48541666666666666</v>
      </c>
      <c r="J548" s="82">
        <v>5219.75</v>
      </c>
      <c r="K548" s="82">
        <v>19</v>
      </c>
      <c r="L548" s="82">
        <v>19.25</v>
      </c>
      <c r="M548" s="82">
        <v>0.66749999999999998</v>
      </c>
      <c r="N548" s="4">
        <v>10.199999999999999</v>
      </c>
      <c r="O548" s="27" t="s">
        <v>48</v>
      </c>
      <c r="P548" s="27">
        <v>4</v>
      </c>
      <c r="Q548" s="27">
        <v>10</v>
      </c>
      <c r="R548" s="27" t="s">
        <v>49</v>
      </c>
      <c r="S548" s="27" t="s">
        <v>50</v>
      </c>
      <c r="T548" s="27" t="s">
        <v>50</v>
      </c>
      <c r="U548" s="27" t="s">
        <v>50</v>
      </c>
      <c r="V548" s="27" t="s">
        <v>50</v>
      </c>
      <c r="W548" s="27" t="s">
        <v>50</v>
      </c>
      <c r="X548" s="27" t="s">
        <v>50</v>
      </c>
      <c r="Y548" s="5" t="s">
        <v>6188</v>
      </c>
    </row>
    <row r="549" spans="1:25" s="390" customFormat="1" x14ac:dyDescent="0.25">
      <c r="A549" s="495">
        <v>43382</v>
      </c>
      <c r="B549" s="494" t="s">
        <v>70</v>
      </c>
      <c r="C549" s="494" t="s">
        <v>106</v>
      </c>
      <c r="D549" s="496">
        <v>38.426839999999999</v>
      </c>
      <c r="E549" s="496">
        <v>-121.60517</v>
      </c>
      <c r="F549" s="494" t="s">
        <v>6292</v>
      </c>
      <c r="G549" s="494" t="s">
        <v>90</v>
      </c>
      <c r="H549" s="494" t="s">
        <v>362</v>
      </c>
      <c r="I549" s="497">
        <v>0.3354166666666667</v>
      </c>
      <c r="J549" s="498">
        <v>544</v>
      </c>
      <c r="K549" s="498">
        <v>19.399999999999999</v>
      </c>
      <c r="L549" s="498">
        <v>67.400000000000006</v>
      </c>
      <c r="M549" s="498">
        <v>0.19</v>
      </c>
      <c r="N549" s="499">
        <v>9.9332999999999991</v>
      </c>
      <c r="O549" s="494" t="s">
        <v>48</v>
      </c>
      <c r="P549" s="494">
        <v>3</v>
      </c>
      <c r="Q549" s="494">
        <v>10</v>
      </c>
      <c r="R549" s="494" t="s">
        <v>49</v>
      </c>
      <c r="S549" s="494" t="s">
        <v>323</v>
      </c>
      <c r="T549" s="494">
        <v>1</v>
      </c>
      <c r="U549" s="494">
        <v>52</v>
      </c>
      <c r="V549" s="494" t="s">
        <v>66</v>
      </c>
      <c r="W549" s="494" t="s">
        <v>50</v>
      </c>
      <c r="X549" s="494" t="s">
        <v>50</v>
      </c>
      <c r="Y549" s="397" t="s">
        <v>6293</v>
      </c>
    </row>
    <row r="550" spans="1:25" x14ac:dyDescent="0.25">
      <c r="A550" s="26">
        <v>43382</v>
      </c>
      <c r="B550" s="27" t="s">
        <v>70</v>
      </c>
      <c r="C550" s="27" t="s">
        <v>106</v>
      </c>
      <c r="D550" s="89">
        <v>38.560760000000002</v>
      </c>
      <c r="E550" s="89">
        <v>-121.5595</v>
      </c>
      <c r="F550" s="27" t="s">
        <v>6294</v>
      </c>
      <c r="G550" s="27" t="s">
        <v>90</v>
      </c>
      <c r="H550" s="27" t="s">
        <v>1787</v>
      </c>
      <c r="I550" s="84">
        <v>0.4777777777777778</v>
      </c>
      <c r="J550" s="82">
        <v>995.25</v>
      </c>
      <c r="K550" s="82">
        <v>21.274999999999999</v>
      </c>
      <c r="L550" s="82">
        <v>7.7175000000000002</v>
      </c>
      <c r="M550" s="82">
        <v>1.2</v>
      </c>
      <c r="N550" s="4">
        <v>8.4749999999999996</v>
      </c>
      <c r="O550" s="27" t="s">
        <v>48</v>
      </c>
      <c r="P550" s="27">
        <v>4</v>
      </c>
      <c r="Q550" s="27">
        <v>10</v>
      </c>
      <c r="R550" s="27" t="s">
        <v>49</v>
      </c>
      <c r="S550" s="27" t="s">
        <v>50</v>
      </c>
      <c r="T550" s="27" t="s">
        <v>50</v>
      </c>
      <c r="U550" s="27" t="s">
        <v>50</v>
      </c>
      <c r="V550" s="27" t="s">
        <v>50</v>
      </c>
      <c r="W550" s="27" t="s">
        <v>50</v>
      </c>
      <c r="X550" s="27" t="s">
        <v>50</v>
      </c>
      <c r="Y550" s="5"/>
    </row>
    <row r="551" spans="1:25" s="390" customFormat="1" x14ac:dyDescent="0.25">
      <c r="A551" s="495">
        <v>43382</v>
      </c>
      <c r="B551" s="494" t="s">
        <v>70</v>
      </c>
      <c r="C551" s="494" t="s">
        <v>106</v>
      </c>
      <c r="D551" s="496">
        <v>38.407690000000002</v>
      </c>
      <c r="E551" s="496">
        <v>-121.61426</v>
      </c>
      <c r="F551" s="494" t="s">
        <v>6295</v>
      </c>
      <c r="G551" s="494" t="s">
        <v>90</v>
      </c>
      <c r="H551" s="494" t="s">
        <v>1787</v>
      </c>
      <c r="I551" s="497">
        <v>0.39999999999999997</v>
      </c>
      <c r="J551" s="498">
        <v>532.66666999999995</v>
      </c>
      <c r="K551" s="498">
        <v>19.399999999999999</v>
      </c>
      <c r="L551" s="498">
        <v>73.400000000000006</v>
      </c>
      <c r="M551" s="498">
        <v>0.18666669999999999</v>
      </c>
      <c r="N551" s="499">
        <v>9.8666666999999997</v>
      </c>
      <c r="O551" s="494" t="s">
        <v>48</v>
      </c>
      <c r="P551" s="494">
        <v>3</v>
      </c>
      <c r="Q551" s="494">
        <v>10</v>
      </c>
      <c r="R551" s="494" t="s">
        <v>49</v>
      </c>
      <c r="S551" s="494" t="s">
        <v>323</v>
      </c>
      <c r="T551" s="494">
        <v>2</v>
      </c>
      <c r="U551" s="494" t="s">
        <v>6296</v>
      </c>
      <c r="V551" s="494" t="s">
        <v>66</v>
      </c>
      <c r="W551" s="494" t="s">
        <v>50</v>
      </c>
      <c r="X551" s="494" t="s">
        <v>50</v>
      </c>
      <c r="Y551" s="397" t="s">
        <v>6297</v>
      </c>
    </row>
    <row r="552" spans="1:25" x14ac:dyDescent="0.25">
      <c r="A552" s="26">
        <v>43383</v>
      </c>
      <c r="B552" s="27" t="s">
        <v>87</v>
      </c>
      <c r="C552" s="27" t="s">
        <v>106</v>
      </c>
      <c r="D552" s="89">
        <v>38.17989</v>
      </c>
      <c r="E552" s="89">
        <v>-121.66472</v>
      </c>
      <c r="F552" s="27" t="s">
        <v>6298</v>
      </c>
      <c r="G552" s="27" t="s">
        <v>90</v>
      </c>
      <c r="H552" s="27" t="s">
        <v>362</v>
      </c>
      <c r="I552" s="84">
        <v>0.30486111111111108</v>
      </c>
      <c r="J552" s="82">
        <v>162.5</v>
      </c>
      <c r="K552" s="82">
        <v>18.675000000000001</v>
      </c>
      <c r="L552" s="82">
        <v>4.8275000000000006</v>
      </c>
      <c r="M552" s="82">
        <v>1.68</v>
      </c>
      <c r="N552" s="4">
        <v>16.375</v>
      </c>
      <c r="O552" s="27" t="s">
        <v>48</v>
      </c>
      <c r="P552" s="27">
        <v>4</v>
      </c>
      <c r="Q552" s="27">
        <v>10</v>
      </c>
      <c r="R552" s="27" t="s">
        <v>49</v>
      </c>
      <c r="S552" s="27" t="s">
        <v>50</v>
      </c>
      <c r="T552" s="27" t="s">
        <v>50</v>
      </c>
      <c r="U552" s="27" t="s">
        <v>50</v>
      </c>
      <c r="V552" s="27" t="s">
        <v>50</v>
      </c>
      <c r="W552" s="27" t="s">
        <v>50</v>
      </c>
      <c r="X552" s="27" t="s">
        <v>50</v>
      </c>
      <c r="Y552" s="5" t="s">
        <v>6188</v>
      </c>
    </row>
    <row r="553" spans="1:25" x14ac:dyDescent="0.25">
      <c r="A553" s="26">
        <v>43383</v>
      </c>
      <c r="B553" s="27" t="s">
        <v>87</v>
      </c>
      <c r="C553" s="27" t="s">
        <v>106</v>
      </c>
      <c r="D553" s="89">
        <v>38.24024</v>
      </c>
      <c r="E553" s="89">
        <v>-121.67242</v>
      </c>
      <c r="F553" s="27" t="s">
        <v>6299</v>
      </c>
      <c r="G553" s="27" t="s">
        <v>90</v>
      </c>
      <c r="H553" s="27" t="s">
        <v>362</v>
      </c>
      <c r="I553" s="84">
        <v>0.35694444444444445</v>
      </c>
      <c r="J553" s="82">
        <v>159.14999999999998</v>
      </c>
      <c r="K553" s="82">
        <v>18.3</v>
      </c>
      <c r="L553" s="82">
        <v>8.2424999999999997</v>
      </c>
      <c r="M553" s="82">
        <v>1.3850000000000002</v>
      </c>
      <c r="N553" s="4">
        <v>10.35</v>
      </c>
      <c r="O553" s="27" t="s">
        <v>48</v>
      </c>
      <c r="P553" s="27">
        <v>4</v>
      </c>
      <c r="Q553" s="27">
        <v>10</v>
      </c>
      <c r="R553" s="27" t="s">
        <v>49</v>
      </c>
      <c r="S553" s="27" t="s">
        <v>50</v>
      </c>
      <c r="T553" s="27" t="s">
        <v>50</v>
      </c>
      <c r="U553" s="27" t="s">
        <v>50</v>
      </c>
      <c r="V553" s="27" t="s">
        <v>50</v>
      </c>
      <c r="W553" s="27" t="s">
        <v>50</v>
      </c>
      <c r="X553" s="27" t="s">
        <v>50</v>
      </c>
      <c r="Y553" s="5" t="s">
        <v>6188</v>
      </c>
    </row>
    <row r="554" spans="1:25" x14ac:dyDescent="0.25">
      <c r="A554" s="26">
        <v>43383</v>
      </c>
      <c r="B554" s="27" t="s">
        <v>87</v>
      </c>
      <c r="C554" s="27" t="s">
        <v>106</v>
      </c>
      <c r="D554" s="89">
        <v>38.330710000000003</v>
      </c>
      <c r="E554" s="89">
        <v>-121.64805</v>
      </c>
      <c r="F554" s="27" t="s">
        <v>6300</v>
      </c>
      <c r="G554" s="27" t="s">
        <v>90</v>
      </c>
      <c r="H554" s="27" t="s">
        <v>362</v>
      </c>
      <c r="I554" s="84">
        <v>0.41319444444444442</v>
      </c>
      <c r="J554" s="82">
        <v>312.625</v>
      </c>
      <c r="K554" s="82">
        <v>19.399999999999999</v>
      </c>
      <c r="L554" s="82">
        <v>45.05</v>
      </c>
      <c r="M554" s="82">
        <v>0.29750000000000004</v>
      </c>
      <c r="N554" s="4">
        <v>10.35</v>
      </c>
      <c r="O554" s="27" t="s">
        <v>48</v>
      </c>
      <c r="P554" s="27">
        <v>4</v>
      </c>
      <c r="Q554" s="27">
        <v>10</v>
      </c>
      <c r="R554" s="27" t="s">
        <v>49</v>
      </c>
      <c r="S554" s="27" t="s">
        <v>50</v>
      </c>
      <c r="T554" s="27" t="s">
        <v>50</v>
      </c>
      <c r="U554" s="27" t="s">
        <v>50</v>
      </c>
      <c r="V554" s="27" t="s">
        <v>50</v>
      </c>
      <c r="W554" s="27" t="s">
        <v>50</v>
      </c>
      <c r="X554" s="27" t="s">
        <v>50</v>
      </c>
      <c r="Y554" s="5" t="s">
        <v>6301</v>
      </c>
    </row>
    <row r="555" spans="1:25" x14ac:dyDescent="0.25">
      <c r="A555" s="26">
        <v>43383</v>
      </c>
      <c r="B555" s="27" t="s">
        <v>87</v>
      </c>
      <c r="C555" s="27" t="s">
        <v>106</v>
      </c>
      <c r="D555" s="89">
        <v>38.181750000000001</v>
      </c>
      <c r="E555" s="89">
        <v>-121.66399</v>
      </c>
      <c r="F555" s="27" t="s">
        <v>6302</v>
      </c>
      <c r="G555" s="27" t="s">
        <v>90</v>
      </c>
      <c r="H555" s="27" t="s">
        <v>362</v>
      </c>
      <c r="I555" s="84">
        <v>0.4826388888888889</v>
      </c>
      <c r="J555" s="82">
        <v>155.29999999999998</v>
      </c>
      <c r="K555" s="82">
        <v>18.399999999999999</v>
      </c>
      <c r="L555" s="82">
        <v>7.5049999999999999</v>
      </c>
      <c r="M555" s="82">
        <v>1.4775</v>
      </c>
      <c r="N555" s="4">
        <v>12.9</v>
      </c>
      <c r="O555" s="27" t="s">
        <v>48</v>
      </c>
      <c r="P555" s="27">
        <v>4</v>
      </c>
      <c r="Q555" s="27">
        <v>10</v>
      </c>
      <c r="R555" s="27" t="s">
        <v>49</v>
      </c>
      <c r="S555" s="27" t="s">
        <v>50</v>
      </c>
      <c r="T555" s="27" t="s">
        <v>50</v>
      </c>
      <c r="U555" s="27" t="s">
        <v>50</v>
      </c>
      <c r="V555" s="27" t="s">
        <v>50</v>
      </c>
      <c r="W555" s="27" t="s">
        <v>50</v>
      </c>
      <c r="X555" s="27" t="s">
        <v>50</v>
      </c>
      <c r="Y555" s="5"/>
    </row>
    <row r="556" spans="1:25" x14ac:dyDescent="0.25">
      <c r="A556" s="26">
        <v>43383</v>
      </c>
      <c r="B556" s="27" t="s">
        <v>87</v>
      </c>
      <c r="C556" s="27" t="s">
        <v>78</v>
      </c>
      <c r="D556" s="89">
        <v>38.071950000000001</v>
      </c>
      <c r="E556" s="89">
        <v>-121.97051999999999</v>
      </c>
      <c r="F556" s="27" t="s">
        <v>6303</v>
      </c>
      <c r="G556" s="27" t="s">
        <v>27</v>
      </c>
      <c r="H556" s="27" t="s">
        <v>86</v>
      </c>
      <c r="I556" s="84">
        <v>0.33263888888888887</v>
      </c>
      <c r="J556" s="82">
        <v>13636.75</v>
      </c>
      <c r="K556" s="82">
        <v>18.399999999999999</v>
      </c>
      <c r="L556" s="82">
        <v>63.15</v>
      </c>
      <c r="M556" s="82">
        <v>0.24249999999999999</v>
      </c>
      <c r="N556" s="4">
        <v>5.0750000000000002</v>
      </c>
      <c r="O556" s="27" t="s">
        <v>48</v>
      </c>
      <c r="P556" s="27">
        <v>4</v>
      </c>
      <c r="Q556" s="27">
        <v>10</v>
      </c>
      <c r="R556" s="27" t="s">
        <v>49</v>
      </c>
      <c r="S556" s="27" t="s">
        <v>50</v>
      </c>
      <c r="T556" s="27" t="s">
        <v>50</v>
      </c>
      <c r="U556" s="27" t="s">
        <v>50</v>
      </c>
      <c r="V556" s="27" t="s">
        <v>50</v>
      </c>
      <c r="W556" s="27" t="s">
        <v>50</v>
      </c>
      <c r="X556" s="27" t="s">
        <v>50</v>
      </c>
      <c r="Y556" s="5"/>
    </row>
    <row r="557" spans="1:25" x14ac:dyDescent="0.25">
      <c r="A557" s="26">
        <v>43383</v>
      </c>
      <c r="B557" s="27" t="s">
        <v>87</v>
      </c>
      <c r="C557" s="27" t="s">
        <v>78</v>
      </c>
      <c r="D557" s="89">
        <v>38.066029999999998</v>
      </c>
      <c r="E557" s="89">
        <v>-122.05065999999999</v>
      </c>
      <c r="F557" s="27" t="s">
        <v>6304</v>
      </c>
      <c r="G557" s="27" t="s">
        <v>27</v>
      </c>
      <c r="H557" s="27" t="s">
        <v>86</v>
      </c>
      <c r="I557" s="84">
        <v>0.39166666666666666</v>
      </c>
      <c r="J557" s="82">
        <v>16651.25</v>
      </c>
      <c r="K557" s="82">
        <v>18.7</v>
      </c>
      <c r="L557" s="82">
        <v>40.425000000000004</v>
      </c>
      <c r="M557" s="82">
        <v>0.4325</v>
      </c>
      <c r="N557" s="4">
        <v>12.025</v>
      </c>
      <c r="O557" s="27" t="s">
        <v>48</v>
      </c>
      <c r="P557" s="27">
        <v>4</v>
      </c>
      <c r="Q557" s="27">
        <v>10</v>
      </c>
      <c r="R557" s="27" t="s">
        <v>49</v>
      </c>
      <c r="S557" s="27" t="s">
        <v>50</v>
      </c>
      <c r="T557" s="27" t="s">
        <v>50</v>
      </c>
      <c r="U557" s="27" t="s">
        <v>50</v>
      </c>
      <c r="V557" s="27" t="s">
        <v>50</v>
      </c>
      <c r="W557" s="27" t="s">
        <v>50</v>
      </c>
      <c r="X557" s="27" t="s">
        <v>50</v>
      </c>
      <c r="Y557" s="5"/>
    </row>
    <row r="558" spans="1:25" x14ac:dyDescent="0.25">
      <c r="A558" s="26">
        <v>43383</v>
      </c>
      <c r="B558" s="27" t="s">
        <v>87</v>
      </c>
      <c r="C558" s="27" t="s">
        <v>78</v>
      </c>
      <c r="D558" s="89">
        <v>38.029719999999998</v>
      </c>
      <c r="E558" s="89">
        <v>-121.83096999999999</v>
      </c>
      <c r="F558" s="27" t="s">
        <v>6305</v>
      </c>
      <c r="G558" s="27" t="s">
        <v>27</v>
      </c>
      <c r="H558" s="27" t="s">
        <v>101</v>
      </c>
      <c r="I558" s="84">
        <v>0.46458333333333335</v>
      </c>
      <c r="J558" s="82">
        <v>3169</v>
      </c>
      <c r="K558" s="82">
        <v>18.8</v>
      </c>
      <c r="L558" s="82">
        <v>21.849999999999998</v>
      </c>
      <c r="M558" s="82">
        <v>0.63500000000000001</v>
      </c>
      <c r="N558" s="4">
        <v>13.775</v>
      </c>
      <c r="O558" s="27" t="s">
        <v>48</v>
      </c>
      <c r="P558" s="27">
        <v>4</v>
      </c>
      <c r="Q558" s="27">
        <v>10</v>
      </c>
      <c r="R558" s="27" t="s">
        <v>49</v>
      </c>
      <c r="S558" s="27" t="s">
        <v>50</v>
      </c>
      <c r="T558" s="27" t="s">
        <v>50</v>
      </c>
      <c r="U558" s="27" t="s">
        <v>50</v>
      </c>
      <c r="V558" s="27" t="s">
        <v>50</v>
      </c>
      <c r="W558" s="27" t="s">
        <v>50</v>
      </c>
      <c r="X558" s="27" t="s">
        <v>50</v>
      </c>
      <c r="Y558" s="5"/>
    </row>
    <row r="559" spans="1:25" x14ac:dyDescent="0.25">
      <c r="A559" s="26">
        <v>43383</v>
      </c>
      <c r="B559" s="27" t="s">
        <v>87</v>
      </c>
      <c r="C559" s="27" t="s">
        <v>88</v>
      </c>
      <c r="D559" s="89">
        <v>38.110309999999998</v>
      </c>
      <c r="E559" s="89">
        <v>-121.71199</v>
      </c>
      <c r="F559" s="27" t="s">
        <v>6306</v>
      </c>
      <c r="G559" s="27" t="s">
        <v>90</v>
      </c>
      <c r="H559" s="27" t="s">
        <v>91</v>
      </c>
      <c r="I559" s="84">
        <v>0.33819444444444446</v>
      </c>
      <c r="J559" s="82">
        <v>694.75</v>
      </c>
      <c r="K559" s="82">
        <v>18.675000000000001</v>
      </c>
      <c r="L559" s="82">
        <v>18.7</v>
      </c>
      <c r="M559" s="82">
        <v>0.92249999999999988</v>
      </c>
      <c r="N559" s="4">
        <v>9.5</v>
      </c>
      <c r="O559" s="27" t="s">
        <v>48</v>
      </c>
      <c r="P559" s="27">
        <v>4</v>
      </c>
      <c r="Q559" s="27">
        <v>10</v>
      </c>
      <c r="R559" s="27" t="s">
        <v>49</v>
      </c>
      <c r="S559" s="27" t="s">
        <v>50</v>
      </c>
      <c r="T559" s="27" t="s">
        <v>50</v>
      </c>
      <c r="U559" s="27" t="s">
        <v>50</v>
      </c>
      <c r="V559" s="27" t="s">
        <v>50</v>
      </c>
      <c r="W559" s="27" t="s">
        <v>50</v>
      </c>
      <c r="X559" s="27" t="s">
        <v>50</v>
      </c>
      <c r="Y559" s="5" t="s">
        <v>6188</v>
      </c>
    </row>
    <row r="560" spans="1:25" x14ac:dyDescent="0.25">
      <c r="A560" s="26">
        <v>43383</v>
      </c>
      <c r="B560" s="27" t="s">
        <v>87</v>
      </c>
      <c r="C560" s="27" t="s">
        <v>88</v>
      </c>
      <c r="D560" s="89">
        <v>38.148099999999999</v>
      </c>
      <c r="E560" s="89">
        <v>-121.68640000000001</v>
      </c>
      <c r="F560" s="27" t="s">
        <v>6307</v>
      </c>
      <c r="G560" s="27" t="s">
        <v>90</v>
      </c>
      <c r="H560" s="27" t="s">
        <v>91</v>
      </c>
      <c r="I560" s="84">
        <v>0.3972222222222222</v>
      </c>
      <c r="J560" s="82">
        <v>1488</v>
      </c>
      <c r="K560" s="82">
        <v>18.8</v>
      </c>
      <c r="L560" s="82">
        <v>7.9275000000000002</v>
      </c>
      <c r="M560" s="82" t="s">
        <v>5829</v>
      </c>
      <c r="N560" s="4">
        <v>5.4749999999999996</v>
      </c>
      <c r="O560" s="27" t="s">
        <v>48</v>
      </c>
      <c r="P560" s="27">
        <v>4</v>
      </c>
      <c r="Q560" s="27">
        <v>10</v>
      </c>
      <c r="R560" s="27" t="s">
        <v>49</v>
      </c>
      <c r="S560" s="27" t="s">
        <v>50</v>
      </c>
      <c r="T560" s="27" t="s">
        <v>50</v>
      </c>
      <c r="U560" s="27" t="s">
        <v>50</v>
      </c>
      <c r="V560" s="27" t="s">
        <v>50</v>
      </c>
      <c r="W560" s="27" t="s">
        <v>50</v>
      </c>
      <c r="X560" s="27" t="s">
        <v>50</v>
      </c>
      <c r="Y560" s="5" t="s">
        <v>6188</v>
      </c>
    </row>
    <row r="561" spans="1:25" x14ac:dyDescent="0.25">
      <c r="A561" s="26">
        <v>43383</v>
      </c>
      <c r="B561" s="27" t="s">
        <v>87</v>
      </c>
      <c r="C561" s="27" t="s">
        <v>88</v>
      </c>
      <c r="D561" s="89">
        <v>38.158560000000001</v>
      </c>
      <c r="E561" s="89">
        <v>-121.67878</v>
      </c>
      <c r="F561" s="27" t="s">
        <v>6308</v>
      </c>
      <c r="G561" s="27" t="s">
        <v>90</v>
      </c>
      <c r="H561" s="27" t="s">
        <v>91</v>
      </c>
      <c r="I561" s="84">
        <v>0.44444444444444442</v>
      </c>
      <c r="J561" s="82">
        <v>132.625</v>
      </c>
      <c r="K561" s="82">
        <v>18.600000000000001</v>
      </c>
      <c r="L561" s="82">
        <v>6.5225</v>
      </c>
      <c r="M561" s="82" t="s">
        <v>5829</v>
      </c>
      <c r="N561" s="4">
        <v>4.0750000000000002</v>
      </c>
      <c r="O561" s="27" t="s">
        <v>48</v>
      </c>
      <c r="P561" s="27">
        <v>4</v>
      </c>
      <c r="Q561" s="27">
        <v>10</v>
      </c>
      <c r="R561" s="27" t="s">
        <v>49</v>
      </c>
      <c r="S561" s="27" t="s">
        <v>50</v>
      </c>
      <c r="T561" s="27" t="s">
        <v>50</v>
      </c>
      <c r="U561" s="27" t="s">
        <v>50</v>
      </c>
      <c r="V561" s="27" t="s">
        <v>50</v>
      </c>
      <c r="W561" s="27" t="s">
        <v>50</v>
      </c>
      <c r="X561" s="27" t="s">
        <v>50</v>
      </c>
      <c r="Y561" s="5" t="s">
        <v>6188</v>
      </c>
    </row>
    <row r="562" spans="1:25" x14ac:dyDescent="0.25">
      <c r="A562" s="26">
        <v>43384</v>
      </c>
      <c r="B562" s="27" t="s">
        <v>105</v>
      </c>
      <c r="C562" s="27" t="s">
        <v>95</v>
      </c>
      <c r="D562" s="89">
        <v>38.094880000000003</v>
      </c>
      <c r="E562" s="89">
        <v>-121.57131</v>
      </c>
      <c r="F562" s="27" t="s">
        <v>6309</v>
      </c>
      <c r="G562" s="27" t="s">
        <v>46</v>
      </c>
      <c r="H562" s="27" t="s">
        <v>5685</v>
      </c>
      <c r="I562" s="84">
        <v>0.32916666666666666</v>
      </c>
      <c r="J562" s="82">
        <v>414.07499999999999</v>
      </c>
      <c r="K562" s="82">
        <v>18.799999999999997</v>
      </c>
      <c r="L562" s="82">
        <v>4.87</v>
      </c>
      <c r="M562" s="82" t="s">
        <v>5829</v>
      </c>
      <c r="N562" s="4">
        <v>7.3250000000000011</v>
      </c>
      <c r="O562" s="27" t="s">
        <v>48</v>
      </c>
      <c r="P562" s="27">
        <v>4</v>
      </c>
      <c r="Q562" s="27">
        <v>10</v>
      </c>
      <c r="R562" s="27" t="s">
        <v>64</v>
      </c>
      <c r="S562" s="27" t="s">
        <v>50</v>
      </c>
      <c r="T562" s="27" t="s">
        <v>50</v>
      </c>
      <c r="U562" s="27" t="s">
        <v>50</v>
      </c>
      <c r="V562" s="27" t="s">
        <v>50</v>
      </c>
      <c r="W562" s="27" t="s">
        <v>50</v>
      </c>
      <c r="X562" s="27" t="s">
        <v>50</v>
      </c>
      <c r="Y562" s="35" t="s">
        <v>6310</v>
      </c>
    </row>
    <row r="563" spans="1:25" x14ac:dyDescent="0.25">
      <c r="A563" s="26">
        <v>43384</v>
      </c>
      <c r="B563" s="27" t="s">
        <v>105</v>
      </c>
      <c r="C563" s="27" t="s">
        <v>95</v>
      </c>
      <c r="D563" s="89">
        <v>38.01885</v>
      </c>
      <c r="E563" s="89">
        <v>-121.81452</v>
      </c>
      <c r="F563" s="27" t="s">
        <v>6311</v>
      </c>
      <c r="G563" s="27" t="s">
        <v>27</v>
      </c>
      <c r="H563" s="27" t="s">
        <v>863</v>
      </c>
      <c r="I563" s="84">
        <v>0.43402777777777773</v>
      </c>
      <c r="J563" s="82">
        <v>4105.75</v>
      </c>
      <c r="K563" s="82">
        <v>18.8</v>
      </c>
      <c r="L563" s="82">
        <v>15.924999999999999</v>
      </c>
      <c r="M563" s="82">
        <v>0.88500000000000001</v>
      </c>
      <c r="N563" s="4">
        <v>15.25</v>
      </c>
      <c r="O563" s="27" t="s">
        <v>48</v>
      </c>
      <c r="P563" s="27">
        <v>4</v>
      </c>
      <c r="Q563" s="27">
        <v>10</v>
      </c>
      <c r="R563" s="27" t="s">
        <v>49</v>
      </c>
      <c r="S563" s="27" t="s">
        <v>50</v>
      </c>
      <c r="T563" s="27" t="s">
        <v>50</v>
      </c>
      <c r="U563" s="27" t="s">
        <v>50</v>
      </c>
      <c r="V563" s="27" t="s">
        <v>50</v>
      </c>
      <c r="W563" s="27" t="s">
        <v>50</v>
      </c>
      <c r="X563" s="27" t="s">
        <v>50</v>
      </c>
    </row>
    <row r="564" spans="1:25" x14ac:dyDescent="0.25">
      <c r="A564" s="26">
        <v>43384</v>
      </c>
      <c r="B564" s="27" t="s">
        <v>105</v>
      </c>
      <c r="C564" s="27" t="s">
        <v>95</v>
      </c>
      <c r="D564" s="89">
        <v>38.022239999999996</v>
      </c>
      <c r="E564" s="89">
        <v>-121.7638</v>
      </c>
      <c r="F564" s="27" t="s">
        <v>6312</v>
      </c>
      <c r="G564" s="27" t="s">
        <v>27</v>
      </c>
      <c r="H564" s="27" t="s">
        <v>863</v>
      </c>
      <c r="I564" s="84">
        <v>0.53055555555555556</v>
      </c>
      <c r="J564" s="82">
        <v>2092</v>
      </c>
      <c r="K564" s="82">
        <v>18.899999999999999</v>
      </c>
      <c r="L564" s="82">
        <v>10.922500000000001</v>
      </c>
      <c r="M564" s="82">
        <v>1.07</v>
      </c>
      <c r="N564" s="4">
        <v>6.9250000000000007</v>
      </c>
      <c r="O564" s="27" t="s">
        <v>48</v>
      </c>
      <c r="P564" s="27">
        <v>4</v>
      </c>
      <c r="Q564" s="27">
        <v>10</v>
      </c>
      <c r="R564" s="27" t="s">
        <v>49</v>
      </c>
      <c r="S564" s="27" t="s">
        <v>50</v>
      </c>
      <c r="T564" s="27" t="s">
        <v>50</v>
      </c>
      <c r="U564" s="27" t="s">
        <v>50</v>
      </c>
      <c r="V564" s="27" t="s">
        <v>50</v>
      </c>
      <c r="W564" s="27" t="s">
        <v>50</v>
      </c>
      <c r="X564" s="27" t="s">
        <v>50</v>
      </c>
    </row>
    <row r="565" spans="1:25" s="149" customFormat="1" x14ac:dyDescent="0.25">
      <c r="A565" s="178">
        <v>43384</v>
      </c>
      <c r="B565" s="149" t="s">
        <v>105</v>
      </c>
      <c r="C565" s="149" t="s">
        <v>95</v>
      </c>
      <c r="D565" s="150">
        <v>38.026980000000002</v>
      </c>
      <c r="E565" s="150">
        <v>-121.74499</v>
      </c>
      <c r="F565" s="149" t="s">
        <v>6313</v>
      </c>
      <c r="G565" s="149" t="s">
        <v>27</v>
      </c>
      <c r="H565" s="149" t="s">
        <v>863</v>
      </c>
      <c r="I565" s="151">
        <v>0.39583333333333331</v>
      </c>
      <c r="J565" s="197" t="s">
        <v>50</v>
      </c>
      <c r="K565" s="197" t="s">
        <v>50</v>
      </c>
      <c r="L565" s="197" t="s">
        <v>50</v>
      </c>
      <c r="M565" s="197" t="s">
        <v>50</v>
      </c>
      <c r="N565" s="197" t="s">
        <v>50</v>
      </c>
      <c r="O565" s="149" t="s">
        <v>48</v>
      </c>
      <c r="P565" s="149">
        <v>0</v>
      </c>
      <c r="Q565" s="149" t="s">
        <v>50</v>
      </c>
      <c r="R565" s="149" t="s">
        <v>50</v>
      </c>
      <c r="S565" s="149" t="s">
        <v>50</v>
      </c>
      <c r="T565" s="149" t="s">
        <v>50</v>
      </c>
      <c r="U565" s="149" t="s">
        <v>50</v>
      </c>
      <c r="V565" s="149" t="s">
        <v>50</v>
      </c>
      <c r="W565" s="149" t="s">
        <v>50</v>
      </c>
      <c r="X565" s="149" t="s">
        <v>50</v>
      </c>
      <c r="Y565" s="152" t="s">
        <v>6314</v>
      </c>
    </row>
    <row r="566" spans="1:25" x14ac:dyDescent="0.25">
      <c r="A566" s="26">
        <v>43384</v>
      </c>
      <c r="B566" s="27" t="s">
        <v>105</v>
      </c>
      <c r="C566" s="27" t="s">
        <v>62</v>
      </c>
      <c r="D566" s="89">
        <v>38.167160000000003</v>
      </c>
      <c r="E566" s="89">
        <v>-121.93876</v>
      </c>
      <c r="F566" s="27" t="s">
        <v>6315</v>
      </c>
      <c r="G566" s="27" t="s">
        <v>27</v>
      </c>
      <c r="H566" s="27" t="s">
        <v>62</v>
      </c>
      <c r="I566" s="84">
        <v>0.35833333333333334</v>
      </c>
      <c r="J566" s="82">
        <v>11667.5</v>
      </c>
      <c r="K566" s="82">
        <v>18.100000000000001</v>
      </c>
      <c r="L566" s="82">
        <v>52.324999999999996</v>
      </c>
      <c r="M566" s="82">
        <v>0.34250000000000003</v>
      </c>
      <c r="N566" s="4">
        <v>10.175000000000001</v>
      </c>
      <c r="O566" s="27" t="s">
        <v>48</v>
      </c>
      <c r="P566" s="27">
        <v>4</v>
      </c>
      <c r="Q566" s="27">
        <v>10</v>
      </c>
      <c r="R566" s="27" t="s">
        <v>49</v>
      </c>
      <c r="S566" s="27" t="s">
        <v>50</v>
      </c>
      <c r="T566" s="27" t="s">
        <v>50</v>
      </c>
      <c r="U566" s="27" t="s">
        <v>50</v>
      </c>
      <c r="V566" s="27" t="s">
        <v>50</v>
      </c>
      <c r="W566" s="27" t="s">
        <v>50</v>
      </c>
      <c r="X566" s="27" t="s">
        <v>50</v>
      </c>
      <c r="Y566" s="35" t="s">
        <v>6316</v>
      </c>
    </row>
    <row r="567" spans="1:25" x14ac:dyDescent="0.25">
      <c r="A567" s="26">
        <v>43384</v>
      </c>
      <c r="B567" s="27" t="s">
        <v>105</v>
      </c>
      <c r="C567" s="27" t="s">
        <v>62</v>
      </c>
      <c r="D567" s="89">
        <v>38.211410000000001</v>
      </c>
      <c r="E567" s="89">
        <v>-122.03458999999999</v>
      </c>
      <c r="F567" s="27" t="s">
        <v>6317</v>
      </c>
      <c r="G567" s="27" t="s">
        <v>27</v>
      </c>
      <c r="H567" s="27" t="s">
        <v>62</v>
      </c>
      <c r="I567" s="84">
        <v>0.44513888888888892</v>
      </c>
      <c r="J567" s="82">
        <v>10097.75</v>
      </c>
      <c r="K567" s="82">
        <v>18.05</v>
      </c>
      <c r="L567" s="82">
        <v>50.075000000000003</v>
      </c>
      <c r="M567" s="82">
        <v>0.28750000000000003</v>
      </c>
      <c r="N567" s="4">
        <v>4.05</v>
      </c>
      <c r="O567" s="27" t="s">
        <v>48</v>
      </c>
      <c r="P567" s="27">
        <v>4</v>
      </c>
      <c r="Q567" s="27">
        <v>10</v>
      </c>
      <c r="R567" s="27" t="s">
        <v>49</v>
      </c>
      <c r="S567" s="27" t="s">
        <v>50</v>
      </c>
      <c r="T567" s="27" t="s">
        <v>50</v>
      </c>
      <c r="U567" s="27" t="s">
        <v>50</v>
      </c>
      <c r="V567" s="27" t="s">
        <v>50</v>
      </c>
      <c r="W567" s="27" t="s">
        <v>50</v>
      </c>
      <c r="X567" s="27" t="s">
        <v>50</v>
      </c>
      <c r="Y567" s="5" t="s">
        <v>6318</v>
      </c>
    </row>
    <row r="568" spans="1:25" x14ac:dyDescent="0.25">
      <c r="A568" s="26">
        <v>43384</v>
      </c>
      <c r="B568" s="27" t="s">
        <v>105</v>
      </c>
      <c r="C568" s="27" t="s">
        <v>62</v>
      </c>
      <c r="D568" s="89">
        <v>38.146590000000003</v>
      </c>
      <c r="E568" s="89">
        <v>-122.05889999999999</v>
      </c>
      <c r="F568" s="27" t="s">
        <v>6319</v>
      </c>
      <c r="G568" s="27" t="s">
        <v>27</v>
      </c>
      <c r="H568" s="27" t="s">
        <v>62</v>
      </c>
      <c r="I568" s="84">
        <v>0.51180555555555551</v>
      </c>
      <c r="J568" s="82">
        <v>15810</v>
      </c>
      <c r="K568" s="82">
        <v>18.625</v>
      </c>
      <c r="L568" s="82">
        <v>42.55</v>
      </c>
      <c r="M568" s="82">
        <v>0.40500000000000003</v>
      </c>
      <c r="N568" s="4">
        <v>9.25</v>
      </c>
      <c r="O568" s="27" t="s">
        <v>48</v>
      </c>
      <c r="P568" s="27">
        <v>4</v>
      </c>
      <c r="Q568" s="27">
        <v>10</v>
      </c>
      <c r="R568" s="27" t="s">
        <v>64</v>
      </c>
      <c r="S568" s="27" t="s">
        <v>50</v>
      </c>
      <c r="T568" s="27" t="s">
        <v>50</v>
      </c>
      <c r="U568" s="27" t="s">
        <v>50</v>
      </c>
      <c r="V568" s="27" t="s">
        <v>50</v>
      </c>
      <c r="W568" s="27" t="s">
        <v>50</v>
      </c>
      <c r="X568" s="27" t="s">
        <v>50</v>
      </c>
      <c r="Y568" s="35" t="s">
        <v>6188</v>
      </c>
    </row>
    <row r="569" spans="1:25" x14ac:dyDescent="0.25">
      <c r="A569" s="26">
        <v>43384</v>
      </c>
      <c r="B569" s="27" t="s">
        <v>105</v>
      </c>
      <c r="C569" s="27" t="s">
        <v>845</v>
      </c>
      <c r="D569" s="89">
        <v>38.324069999999999</v>
      </c>
      <c r="E569" s="89">
        <v>-121.65313</v>
      </c>
      <c r="F569" s="27" t="s">
        <v>6320</v>
      </c>
      <c r="G569" s="27" t="s">
        <v>90</v>
      </c>
      <c r="H569" s="27" t="s">
        <v>126</v>
      </c>
      <c r="I569" s="84">
        <v>0.32847222222222222</v>
      </c>
      <c r="J569" s="82">
        <v>195.10000000000002</v>
      </c>
      <c r="K569" s="82">
        <v>17.675000000000001</v>
      </c>
      <c r="L569" s="82">
        <v>6.8450000000000006</v>
      </c>
      <c r="M569" s="82">
        <v>1.31</v>
      </c>
      <c r="N569" s="4">
        <v>5.9749999999999996</v>
      </c>
      <c r="O569" s="27" t="s">
        <v>48</v>
      </c>
      <c r="P569" s="27">
        <v>4</v>
      </c>
      <c r="Q569" s="27">
        <v>10</v>
      </c>
      <c r="R569" s="27" t="s">
        <v>64</v>
      </c>
      <c r="S569" s="27" t="s">
        <v>50</v>
      </c>
      <c r="T569" s="27" t="s">
        <v>50</v>
      </c>
      <c r="U569" s="27" t="s">
        <v>50</v>
      </c>
      <c r="V569" s="27" t="s">
        <v>50</v>
      </c>
      <c r="W569" s="27" t="s">
        <v>50</v>
      </c>
      <c r="X569" s="27" t="s">
        <v>50</v>
      </c>
      <c r="Y569" s="35" t="s">
        <v>6188</v>
      </c>
    </row>
    <row r="570" spans="1:25" x14ac:dyDescent="0.25">
      <c r="A570" s="26">
        <v>43384</v>
      </c>
      <c r="B570" s="27" t="s">
        <v>105</v>
      </c>
      <c r="C570" s="27" t="s">
        <v>845</v>
      </c>
      <c r="D570" s="89">
        <v>38.252609999999997</v>
      </c>
      <c r="E570" s="89">
        <v>-121.67255</v>
      </c>
      <c r="F570" s="27" t="s">
        <v>6321</v>
      </c>
      <c r="G570" s="27" t="s">
        <v>90</v>
      </c>
      <c r="H570" s="27" t="s">
        <v>126</v>
      </c>
      <c r="I570" s="84">
        <v>0.37986111111111115</v>
      </c>
      <c r="J570" s="82">
        <v>162.94999999999999</v>
      </c>
      <c r="K570" s="82">
        <v>18</v>
      </c>
      <c r="L570" s="82">
        <v>5.0825000000000005</v>
      </c>
      <c r="M570" s="82">
        <v>1.645</v>
      </c>
      <c r="N570" s="4">
        <v>9.65</v>
      </c>
      <c r="O570" s="27" t="s">
        <v>48</v>
      </c>
      <c r="P570" s="27">
        <v>4</v>
      </c>
      <c r="Q570" s="27">
        <v>10</v>
      </c>
      <c r="R570" s="27" t="s">
        <v>49</v>
      </c>
      <c r="S570" s="27" t="s">
        <v>50</v>
      </c>
      <c r="T570" s="27" t="s">
        <v>50</v>
      </c>
      <c r="U570" s="27" t="s">
        <v>50</v>
      </c>
      <c r="V570" s="27" t="s">
        <v>50</v>
      </c>
      <c r="W570" s="27" t="s">
        <v>50</v>
      </c>
      <c r="X570" s="27" t="s">
        <v>50</v>
      </c>
      <c r="Y570" s="35" t="s">
        <v>6322</v>
      </c>
    </row>
    <row r="571" spans="1:25" x14ac:dyDescent="0.25">
      <c r="A571" s="26">
        <v>43384</v>
      </c>
      <c r="B571" s="27" t="s">
        <v>105</v>
      </c>
      <c r="C571" s="27" t="s">
        <v>845</v>
      </c>
      <c r="D571" s="89">
        <v>38.241619999999998</v>
      </c>
      <c r="E571" s="89">
        <v>-121.68649000000001</v>
      </c>
      <c r="F571" s="27" t="s">
        <v>6323</v>
      </c>
      <c r="G571" s="27" t="s">
        <v>90</v>
      </c>
      <c r="H571" s="27" t="s">
        <v>126</v>
      </c>
      <c r="I571" s="84">
        <v>0.43541666666666662</v>
      </c>
      <c r="J571" s="82">
        <v>163</v>
      </c>
      <c r="K571" s="82">
        <v>18.024999999999999</v>
      </c>
      <c r="L571" s="82">
        <v>5.0125000000000002</v>
      </c>
      <c r="M571" s="82">
        <v>1.7324999999999999</v>
      </c>
      <c r="N571" s="4">
        <v>12.225</v>
      </c>
      <c r="O571" s="27" t="s">
        <v>48</v>
      </c>
      <c r="P571" s="27">
        <v>4</v>
      </c>
      <c r="Q571" s="27">
        <v>10</v>
      </c>
      <c r="R571" s="27" t="s">
        <v>49</v>
      </c>
      <c r="S571" s="27" t="s">
        <v>50</v>
      </c>
      <c r="T571" s="27" t="s">
        <v>50</v>
      </c>
      <c r="U571" s="27" t="s">
        <v>50</v>
      </c>
      <c r="V571" s="27" t="s">
        <v>50</v>
      </c>
      <c r="W571" s="27" t="s">
        <v>50</v>
      </c>
      <c r="X571" s="27" t="s">
        <v>50</v>
      </c>
      <c r="Y571" s="35" t="s">
        <v>6188</v>
      </c>
    </row>
    <row r="572" spans="1:25" s="149" customFormat="1" x14ac:dyDescent="0.25">
      <c r="A572" s="178">
        <v>43384</v>
      </c>
      <c r="B572" s="149" t="s">
        <v>105</v>
      </c>
      <c r="C572" s="149" t="s">
        <v>845</v>
      </c>
      <c r="D572" s="150">
        <v>38.27861</v>
      </c>
      <c r="E572" s="150">
        <v>-121.71192000000001</v>
      </c>
      <c r="F572" s="149" t="s">
        <v>6324</v>
      </c>
      <c r="G572" s="149" t="s">
        <v>90</v>
      </c>
      <c r="H572" s="149" t="s">
        <v>126</v>
      </c>
      <c r="I572" s="151">
        <v>0.48402777777777778</v>
      </c>
      <c r="J572" s="197" t="s">
        <v>50</v>
      </c>
      <c r="K572" s="197" t="s">
        <v>50</v>
      </c>
      <c r="L572" s="197" t="s">
        <v>50</v>
      </c>
      <c r="M572" s="197" t="s">
        <v>50</v>
      </c>
      <c r="N572" s="197" t="s">
        <v>50</v>
      </c>
      <c r="O572" s="149" t="s">
        <v>48</v>
      </c>
      <c r="P572" s="149">
        <v>0</v>
      </c>
      <c r="Q572" s="149" t="s">
        <v>50</v>
      </c>
      <c r="R572" s="149" t="s">
        <v>50</v>
      </c>
      <c r="S572" s="149" t="s">
        <v>50</v>
      </c>
      <c r="T572" s="149" t="s">
        <v>50</v>
      </c>
      <c r="U572" s="149" t="s">
        <v>50</v>
      </c>
      <c r="V572" s="149" t="s">
        <v>50</v>
      </c>
      <c r="W572" s="149" t="s">
        <v>50</v>
      </c>
      <c r="X572" s="149" t="s">
        <v>50</v>
      </c>
      <c r="Y572" s="152" t="s">
        <v>6325</v>
      </c>
    </row>
    <row r="573" spans="1:25" x14ac:dyDescent="0.25">
      <c r="A573" s="26">
        <v>43385</v>
      </c>
      <c r="B573" s="27" t="s">
        <v>125</v>
      </c>
      <c r="C573" s="27" t="s">
        <v>95</v>
      </c>
      <c r="D573" s="89">
        <v>38.026409999999998</v>
      </c>
      <c r="E573" s="89">
        <v>-121.73295</v>
      </c>
      <c r="F573" s="27" t="s">
        <v>6326</v>
      </c>
      <c r="G573" s="27" t="s">
        <v>27</v>
      </c>
      <c r="H573" s="27" t="s">
        <v>863</v>
      </c>
      <c r="I573" s="84">
        <v>0.32361111111111113</v>
      </c>
      <c r="J573" s="82">
        <v>2306.75</v>
      </c>
      <c r="K573" s="82">
        <v>18.25</v>
      </c>
      <c r="L573" s="82">
        <v>9.3175000000000008</v>
      </c>
      <c r="M573" s="82">
        <v>1.26</v>
      </c>
      <c r="N573" s="4">
        <v>9.3000000000000007</v>
      </c>
      <c r="O573" s="27" t="s">
        <v>48</v>
      </c>
      <c r="P573" s="27">
        <v>4</v>
      </c>
      <c r="Q573" s="27">
        <v>10</v>
      </c>
      <c r="R573" s="27" t="s">
        <v>64</v>
      </c>
      <c r="S573" s="27" t="s">
        <v>50</v>
      </c>
      <c r="T573" s="27" t="s">
        <v>50</v>
      </c>
      <c r="U573" s="27" t="s">
        <v>50</v>
      </c>
      <c r="V573" s="27" t="s">
        <v>50</v>
      </c>
      <c r="W573" s="27" t="s">
        <v>50</v>
      </c>
      <c r="X573" s="27" t="s">
        <v>50</v>
      </c>
    </row>
    <row r="574" spans="1:25" x14ac:dyDescent="0.25">
      <c r="A574" s="26">
        <v>43385</v>
      </c>
      <c r="B574" s="27" t="s">
        <v>125</v>
      </c>
      <c r="C574" s="27" t="s">
        <v>95</v>
      </c>
      <c r="D574" s="89">
        <v>38.036470000000001</v>
      </c>
      <c r="E574" s="89">
        <v>-121.71625</v>
      </c>
      <c r="F574" s="27" t="s">
        <v>6327</v>
      </c>
      <c r="G574" s="27" t="s">
        <v>27</v>
      </c>
      <c r="H574" s="27" t="s">
        <v>863</v>
      </c>
      <c r="I574" s="84">
        <v>0.37083333333333335</v>
      </c>
      <c r="J574" s="82">
        <v>2522.5</v>
      </c>
      <c r="K574" s="82">
        <v>18.475000000000001</v>
      </c>
      <c r="L574" s="82">
        <v>11.725</v>
      </c>
      <c r="M574" s="82">
        <v>1.1325000000000001</v>
      </c>
      <c r="N574" s="4">
        <v>5.1749999999999998</v>
      </c>
      <c r="O574" s="27" t="s">
        <v>48</v>
      </c>
      <c r="P574" s="27">
        <v>4</v>
      </c>
      <c r="Q574" s="27">
        <v>10</v>
      </c>
      <c r="R574" s="27" t="s">
        <v>49</v>
      </c>
      <c r="S574" s="27" t="s">
        <v>50</v>
      </c>
      <c r="T574" s="27" t="s">
        <v>50</v>
      </c>
      <c r="U574" s="27" t="s">
        <v>50</v>
      </c>
      <c r="V574" s="27" t="s">
        <v>50</v>
      </c>
      <c r="W574" s="27" t="s">
        <v>50</v>
      </c>
      <c r="X574" s="27" t="s">
        <v>50</v>
      </c>
      <c r="Y574" s="35" t="s">
        <v>6328</v>
      </c>
    </row>
    <row r="575" spans="1:25" x14ac:dyDescent="0.25">
      <c r="A575" s="26">
        <v>43385</v>
      </c>
      <c r="B575" s="27" t="s">
        <v>125</v>
      </c>
      <c r="C575" s="27" t="s">
        <v>95</v>
      </c>
      <c r="D575" s="89">
        <v>38.0578</v>
      </c>
      <c r="E575" s="89">
        <v>-121.54487</v>
      </c>
      <c r="F575" s="27" t="s">
        <v>6329</v>
      </c>
      <c r="G575" s="27" t="s">
        <v>46</v>
      </c>
      <c r="H575" s="27" t="s">
        <v>115</v>
      </c>
      <c r="I575" s="84">
        <v>0.4458333333333333</v>
      </c>
      <c r="J575" s="82">
        <v>298.14999999999998</v>
      </c>
      <c r="K575" s="82">
        <v>18.649999999999999</v>
      </c>
      <c r="L575" s="82">
        <v>5.3075000000000001</v>
      </c>
      <c r="M575" s="82" t="s">
        <v>5829</v>
      </c>
      <c r="N575" s="4">
        <v>12.925000000000001</v>
      </c>
      <c r="O575" s="27" t="s">
        <v>48</v>
      </c>
      <c r="P575" s="27">
        <v>4</v>
      </c>
      <c r="Q575" s="27">
        <v>10</v>
      </c>
      <c r="R575" s="27" t="s">
        <v>49</v>
      </c>
      <c r="S575" s="27" t="s">
        <v>50</v>
      </c>
      <c r="T575" s="27" t="s">
        <v>50</v>
      </c>
      <c r="U575" s="27" t="s">
        <v>50</v>
      </c>
      <c r="V575" s="27" t="s">
        <v>50</v>
      </c>
      <c r="W575" s="27" t="s">
        <v>50</v>
      </c>
      <c r="X575" s="27" t="s">
        <v>50</v>
      </c>
      <c r="Y575" s="35" t="s">
        <v>6330</v>
      </c>
    </row>
    <row r="576" spans="1:25" s="392" customFormat="1" x14ac:dyDescent="0.25">
      <c r="A576" s="391">
        <v>43385</v>
      </c>
      <c r="B576" s="392" t="s">
        <v>125</v>
      </c>
      <c r="C576" s="392" t="s">
        <v>845</v>
      </c>
      <c r="D576" s="393">
        <v>38.289630000000002</v>
      </c>
      <c r="E576" s="393">
        <v>-121.66426</v>
      </c>
      <c r="F576" s="392" t="s">
        <v>6331</v>
      </c>
      <c r="G576" s="392" t="s">
        <v>90</v>
      </c>
      <c r="H576" s="392" t="s">
        <v>126</v>
      </c>
      <c r="I576" s="394">
        <v>0.32013888888888892</v>
      </c>
      <c r="J576" s="395" t="s">
        <v>50</v>
      </c>
      <c r="K576" s="395" t="s">
        <v>50</v>
      </c>
      <c r="L576" s="395" t="s">
        <v>50</v>
      </c>
      <c r="M576" s="395" t="s">
        <v>50</v>
      </c>
      <c r="N576" s="395" t="s">
        <v>50</v>
      </c>
      <c r="O576" s="392" t="s">
        <v>48</v>
      </c>
      <c r="P576" s="392">
        <v>0</v>
      </c>
      <c r="Q576" s="392" t="s">
        <v>50</v>
      </c>
      <c r="R576" s="392" t="s">
        <v>50</v>
      </c>
      <c r="S576" s="392" t="s">
        <v>50</v>
      </c>
      <c r="T576" s="392" t="s">
        <v>50</v>
      </c>
      <c r="U576" s="392" t="s">
        <v>50</v>
      </c>
      <c r="V576" s="392" t="s">
        <v>50</v>
      </c>
      <c r="W576" s="392" t="s">
        <v>50</v>
      </c>
      <c r="X576" s="392" t="s">
        <v>50</v>
      </c>
      <c r="Y576" s="396" t="s">
        <v>6332</v>
      </c>
    </row>
    <row r="577" spans="1:25" s="392" customFormat="1" x14ac:dyDescent="0.25">
      <c r="A577" s="391">
        <v>43385</v>
      </c>
      <c r="B577" s="392" t="s">
        <v>125</v>
      </c>
      <c r="C577" s="392" t="s">
        <v>845</v>
      </c>
      <c r="D577" s="393">
        <v>38.276560000000003</v>
      </c>
      <c r="E577" s="393">
        <v>-121.70994</v>
      </c>
      <c r="F577" s="392" t="s">
        <v>6333</v>
      </c>
      <c r="G577" s="392" t="s">
        <v>90</v>
      </c>
      <c r="H577" s="392" t="s">
        <v>126</v>
      </c>
      <c r="I577" s="394">
        <v>0.32708333333333334</v>
      </c>
      <c r="J577" s="395" t="s">
        <v>50</v>
      </c>
      <c r="K577" s="395" t="s">
        <v>50</v>
      </c>
      <c r="L577" s="395" t="s">
        <v>50</v>
      </c>
      <c r="M577" s="395" t="s">
        <v>50</v>
      </c>
      <c r="N577" s="395" t="s">
        <v>50</v>
      </c>
      <c r="O577" s="392" t="s">
        <v>48</v>
      </c>
      <c r="P577" s="392">
        <v>0</v>
      </c>
      <c r="Q577" s="392" t="s">
        <v>50</v>
      </c>
      <c r="R577" s="392" t="s">
        <v>50</v>
      </c>
      <c r="S577" s="392" t="s">
        <v>50</v>
      </c>
      <c r="T577" s="392" t="s">
        <v>50</v>
      </c>
      <c r="U577" s="392" t="s">
        <v>50</v>
      </c>
      <c r="V577" s="392" t="s">
        <v>50</v>
      </c>
      <c r="W577" s="392" t="s">
        <v>50</v>
      </c>
      <c r="X577" s="392" t="s">
        <v>50</v>
      </c>
      <c r="Y577" s="396" t="s">
        <v>6325</v>
      </c>
    </row>
    <row r="578" spans="1:25" x14ac:dyDescent="0.25">
      <c r="A578" s="26">
        <v>43385</v>
      </c>
      <c r="B578" s="27" t="s">
        <v>125</v>
      </c>
      <c r="C578" s="27" t="s">
        <v>845</v>
      </c>
      <c r="D578" s="89">
        <v>38.242199999999997</v>
      </c>
      <c r="E578" s="89">
        <v>-121.68071999999999</v>
      </c>
      <c r="F578" s="27" t="s">
        <v>6334</v>
      </c>
      <c r="G578" s="27" t="s">
        <v>90</v>
      </c>
      <c r="H578" s="27" t="s">
        <v>126</v>
      </c>
      <c r="I578" s="84">
        <v>0.33124999999999999</v>
      </c>
      <c r="J578" s="82">
        <v>153.9</v>
      </c>
      <c r="K578" s="82">
        <v>18.024999999999999</v>
      </c>
      <c r="L578" s="82">
        <v>3.6724999999999999</v>
      </c>
      <c r="M578" s="82" t="s">
        <v>5829</v>
      </c>
      <c r="N578" s="4">
        <v>13.25</v>
      </c>
      <c r="O578" s="27" t="s">
        <v>48</v>
      </c>
      <c r="P578" s="27">
        <v>4</v>
      </c>
      <c r="Q578" s="27">
        <v>10</v>
      </c>
      <c r="R578" s="27" t="s">
        <v>64</v>
      </c>
      <c r="S578" s="27" t="s">
        <v>50</v>
      </c>
      <c r="T578" s="27" t="s">
        <v>50</v>
      </c>
      <c r="U578" s="27" t="s">
        <v>50</v>
      </c>
      <c r="V578" s="27" t="s">
        <v>50</v>
      </c>
      <c r="W578" s="27" t="s">
        <v>50</v>
      </c>
      <c r="X578" s="27" t="s">
        <v>50</v>
      </c>
    </row>
    <row r="579" spans="1:25" x14ac:dyDescent="0.25">
      <c r="A579" s="26">
        <v>43385</v>
      </c>
      <c r="B579" s="27" t="s">
        <v>125</v>
      </c>
      <c r="C579" s="27" t="s">
        <v>845</v>
      </c>
      <c r="D579" s="89">
        <v>38.231569999999998</v>
      </c>
      <c r="E579" s="89">
        <v>-121.67582</v>
      </c>
      <c r="F579" s="27" t="s">
        <v>6335</v>
      </c>
      <c r="G579" s="27" t="s">
        <v>90</v>
      </c>
      <c r="H579" s="27" t="s">
        <v>126</v>
      </c>
      <c r="I579" s="84">
        <v>0.37847222222222227</v>
      </c>
      <c r="J579" s="82">
        <v>155.05000000000001</v>
      </c>
      <c r="K579" s="82">
        <v>18.05</v>
      </c>
      <c r="L579" s="82">
        <v>3.84</v>
      </c>
      <c r="M579" s="82" t="s">
        <v>5829</v>
      </c>
      <c r="N579" s="4">
        <v>13.5</v>
      </c>
      <c r="O579" s="27" t="s">
        <v>48</v>
      </c>
      <c r="P579" s="27">
        <v>4</v>
      </c>
      <c r="Q579" s="27">
        <v>10</v>
      </c>
      <c r="R579" s="27" t="s">
        <v>49</v>
      </c>
      <c r="S579" s="27" t="s">
        <v>50</v>
      </c>
      <c r="T579" s="27" t="s">
        <v>50</v>
      </c>
      <c r="U579" s="27" t="s">
        <v>50</v>
      </c>
      <c r="V579" s="27" t="s">
        <v>50</v>
      </c>
      <c r="W579" s="27" t="s">
        <v>50</v>
      </c>
      <c r="X579" s="27" t="s">
        <v>50</v>
      </c>
    </row>
    <row r="580" spans="1:25" x14ac:dyDescent="0.25">
      <c r="A580" s="26">
        <v>43385</v>
      </c>
      <c r="B580" s="27" t="s">
        <v>125</v>
      </c>
      <c r="C580" s="27" t="s">
        <v>845</v>
      </c>
      <c r="D580" s="89">
        <v>38.272590000000001</v>
      </c>
      <c r="E580" s="89">
        <v>-121.69369</v>
      </c>
      <c r="F580" s="27" t="s">
        <v>6336</v>
      </c>
      <c r="G580" s="27" t="s">
        <v>90</v>
      </c>
      <c r="H580" s="27" t="s">
        <v>126</v>
      </c>
      <c r="I580" s="84">
        <v>0.43124999999999997</v>
      </c>
      <c r="J580" s="82">
        <v>172.375</v>
      </c>
      <c r="K580" s="82">
        <v>17.8</v>
      </c>
      <c r="L580" s="82">
        <v>3.82</v>
      </c>
      <c r="M580" s="82">
        <v>1.6625000000000001</v>
      </c>
      <c r="N580" s="4">
        <v>6.4249999999999998</v>
      </c>
      <c r="O580" s="27" t="s">
        <v>48</v>
      </c>
      <c r="P580" s="27">
        <v>4</v>
      </c>
      <c r="Q580" s="27">
        <v>10</v>
      </c>
      <c r="R580" s="27" t="s">
        <v>49</v>
      </c>
      <c r="S580" s="27" t="s">
        <v>50</v>
      </c>
      <c r="T580" s="27" t="s">
        <v>50</v>
      </c>
      <c r="U580" s="27" t="s">
        <v>50</v>
      </c>
      <c r="V580" s="27" t="s">
        <v>50</v>
      </c>
      <c r="W580" s="27" t="s">
        <v>50</v>
      </c>
      <c r="X580" s="27" t="s">
        <v>50</v>
      </c>
    </row>
    <row r="581" spans="1:25" x14ac:dyDescent="0.25">
      <c r="A581" s="26">
        <v>43385</v>
      </c>
      <c r="B581" s="27" t="s">
        <v>125</v>
      </c>
      <c r="C581" s="27" t="s">
        <v>62</v>
      </c>
      <c r="D581" s="89">
        <v>38.106430000000003</v>
      </c>
      <c r="E581" s="89">
        <v>-122.05034999999999</v>
      </c>
      <c r="F581" s="27" t="s">
        <v>6337</v>
      </c>
      <c r="G581" s="27" t="s">
        <v>27</v>
      </c>
      <c r="H581" s="27" t="s">
        <v>173</v>
      </c>
      <c r="I581" s="84">
        <v>0.3430555555555555</v>
      </c>
      <c r="J581" s="82">
        <v>17286.75</v>
      </c>
      <c r="K581" s="82">
        <v>17.850000000000001</v>
      </c>
      <c r="L581" s="82">
        <v>16</v>
      </c>
      <c r="M581" s="82">
        <v>0.65500000000000003</v>
      </c>
      <c r="N581" s="4">
        <v>2.8</v>
      </c>
      <c r="O581" s="27" t="s">
        <v>48</v>
      </c>
      <c r="P581" s="27">
        <v>4</v>
      </c>
      <c r="Q581" s="27">
        <v>10</v>
      </c>
      <c r="R581" s="27" t="s">
        <v>49</v>
      </c>
      <c r="S581" s="27" t="s">
        <v>50</v>
      </c>
      <c r="T581" s="27" t="s">
        <v>50</v>
      </c>
      <c r="U581" s="27" t="s">
        <v>50</v>
      </c>
      <c r="V581" s="27" t="s">
        <v>50</v>
      </c>
      <c r="W581" s="27" t="s">
        <v>50</v>
      </c>
      <c r="X581" s="27" t="s">
        <v>50</v>
      </c>
      <c r="Y581" s="35" t="s">
        <v>6338</v>
      </c>
    </row>
    <row r="582" spans="1:25" x14ac:dyDescent="0.25">
      <c r="A582" s="26">
        <v>43385</v>
      </c>
      <c r="B582" s="27" t="s">
        <v>125</v>
      </c>
      <c r="C582" s="27" t="s">
        <v>62</v>
      </c>
      <c r="D582" s="89">
        <v>38.134099999999997</v>
      </c>
      <c r="E582" s="89">
        <v>-122.05848</v>
      </c>
      <c r="F582" s="27" t="s">
        <v>6339</v>
      </c>
      <c r="G582" s="27" t="s">
        <v>27</v>
      </c>
      <c r="H582" s="27" t="s">
        <v>62</v>
      </c>
      <c r="I582" s="84">
        <v>0.40416666666666662</v>
      </c>
      <c r="J582" s="82">
        <v>15766.5</v>
      </c>
      <c r="K582" s="82">
        <v>17.975000000000001</v>
      </c>
      <c r="L582" s="82">
        <v>48.45</v>
      </c>
      <c r="M582" s="82">
        <v>0.32250000000000001</v>
      </c>
      <c r="N582" s="4">
        <v>7.65</v>
      </c>
      <c r="O582" s="27" t="s">
        <v>48</v>
      </c>
      <c r="P582" s="27">
        <v>4</v>
      </c>
      <c r="Q582" s="27">
        <v>10</v>
      </c>
      <c r="R582" s="27" t="s">
        <v>49</v>
      </c>
      <c r="S582" s="27" t="s">
        <v>50</v>
      </c>
      <c r="T582" s="27" t="s">
        <v>50</v>
      </c>
      <c r="U582" s="27" t="s">
        <v>50</v>
      </c>
      <c r="V582" s="27" t="s">
        <v>50</v>
      </c>
      <c r="W582" s="27" t="s">
        <v>50</v>
      </c>
      <c r="X582" s="27" t="s">
        <v>50</v>
      </c>
    </row>
    <row r="583" spans="1:25" x14ac:dyDescent="0.25">
      <c r="A583" s="26">
        <v>43385</v>
      </c>
      <c r="B583" s="27" t="s">
        <v>125</v>
      </c>
      <c r="C583" s="27" t="s">
        <v>62</v>
      </c>
      <c r="D583" s="89">
        <v>38.178629999999998</v>
      </c>
      <c r="E583" s="89">
        <v>-122.0078</v>
      </c>
      <c r="F583" s="27" t="s">
        <v>6340</v>
      </c>
      <c r="G583" s="27" t="s">
        <v>27</v>
      </c>
      <c r="H583" s="27" t="s">
        <v>62</v>
      </c>
      <c r="I583" s="84">
        <v>0.46388888888888885</v>
      </c>
      <c r="J583" s="82">
        <v>14001.25</v>
      </c>
      <c r="K583" s="82">
        <v>18.725000000000001</v>
      </c>
      <c r="L583" s="82">
        <v>30.675000000000001</v>
      </c>
      <c r="M583" s="82">
        <v>0.4425</v>
      </c>
      <c r="N583" s="4">
        <v>6.05</v>
      </c>
      <c r="O583" s="27" t="s">
        <v>48</v>
      </c>
      <c r="P583" s="27">
        <v>4</v>
      </c>
      <c r="Q583" s="27">
        <v>10</v>
      </c>
      <c r="R583" s="27" t="s">
        <v>49</v>
      </c>
      <c r="S583" s="27" t="s">
        <v>50</v>
      </c>
      <c r="T583" s="27" t="s">
        <v>50</v>
      </c>
      <c r="U583" s="27" t="s">
        <v>50</v>
      </c>
      <c r="V583" s="27" t="s">
        <v>50</v>
      </c>
      <c r="W583" s="27" t="s">
        <v>50</v>
      </c>
      <c r="X583" s="27" t="s">
        <v>50</v>
      </c>
      <c r="Y583" s="87" t="s">
        <v>6341</v>
      </c>
    </row>
    <row r="584" spans="1:25" s="400" customFormat="1" x14ac:dyDescent="0.25">
      <c r="A584" s="399">
        <v>43388</v>
      </c>
      <c r="B584" s="400" t="s">
        <v>43</v>
      </c>
      <c r="C584" s="400" t="s">
        <v>88</v>
      </c>
      <c r="D584" s="401">
        <v>38.031860000000002</v>
      </c>
      <c r="E584" s="401">
        <v>-121.77285999999999</v>
      </c>
      <c r="F584" s="400" t="s">
        <v>6342</v>
      </c>
      <c r="G584" s="400" t="s">
        <v>27</v>
      </c>
      <c r="H584" s="400" t="s">
        <v>25</v>
      </c>
      <c r="I584" s="402">
        <v>0.38750000000000001</v>
      </c>
      <c r="J584" s="403">
        <v>2228</v>
      </c>
      <c r="K584" s="403">
        <v>16.774999999999999</v>
      </c>
      <c r="L584" s="403">
        <v>25.6</v>
      </c>
      <c r="M584" s="403">
        <v>0.48749999999999999</v>
      </c>
      <c r="N584" s="404">
        <v>8.65</v>
      </c>
      <c r="O584" s="400" t="s">
        <v>48</v>
      </c>
      <c r="P584" s="400">
        <v>4</v>
      </c>
      <c r="Q584" s="400">
        <v>10</v>
      </c>
      <c r="R584" s="400" t="s">
        <v>64</v>
      </c>
      <c r="S584" s="400" t="s">
        <v>50</v>
      </c>
      <c r="T584" s="400" t="s">
        <v>50</v>
      </c>
      <c r="U584" s="400" t="s">
        <v>50</v>
      </c>
      <c r="V584" s="400" t="s">
        <v>50</v>
      </c>
      <c r="W584" s="400" t="s">
        <v>50</v>
      </c>
      <c r="X584" s="400" t="s">
        <v>50</v>
      </c>
      <c r="Y584" s="405"/>
    </row>
    <row r="585" spans="1:25" x14ac:dyDescent="0.25">
      <c r="A585" s="27" t="s">
        <v>6343</v>
      </c>
      <c r="B585" s="27" t="s">
        <v>43</v>
      </c>
      <c r="C585" s="27" t="s">
        <v>88</v>
      </c>
      <c r="D585" s="89">
        <v>38.073349999999998</v>
      </c>
      <c r="E585" s="89">
        <v>-121.76743</v>
      </c>
      <c r="F585" s="27" t="s">
        <v>6344</v>
      </c>
      <c r="G585" s="27" t="s">
        <v>27</v>
      </c>
      <c r="H585" s="27" t="s">
        <v>25</v>
      </c>
      <c r="I585" s="84">
        <v>0.44305555555555554</v>
      </c>
      <c r="J585" s="82">
        <v>2808.5</v>
      </c>
      <c r="K585" s="82">
        <v>17.425000000000001</v>
      </c>
      <c r="L585" s="82">
        <v>19.2</v>
      </c>
      <c r="M585" s="82">
        <v>0.69750000000000001</v>
      </c>
      <c r="N585" s="4">
        <v>9.875</v>
      </c>
      <c r="O585" s="27" t="s">
        <v>48</v>
      </c>
      <c r="P585" s="27">
        <v>4</v>
      </c>
      <c r="Q585" s="27">
        <v>10</v>
      </c>
      <c r="R585" s="27" t="s">
        <v>49</v>
      </c>
      <c r="S585" s="27" t="s">
        <v>50</v>
      </c>
      <c r="T585" s="27" t="s">
        <v>50</v>
      </c>
      <c r="U585" s="27" t="s">
        <v>50</v>
      </c>
      <c r="V585" s="27" t="s">
        <v>50</v>
      </c>
      <c r="W585" s="27" t="s">
        <v>50</v>
      </c>
      <c r="X585" s="27" t="s">
        <v>50</v>
      </c>
    </row>
    <row r="586" spans="1:25" x14ac:dyDescent="0.25">
      <c r="A586" s="26">
        <v>43388</v>
      </c>
      <c r="B586" s="27" t="s">
        <v>43</v>
      </c>
      <c r="C586" s="27" t="s">
        <v>845</v>
      </c>
      <c r="D586" s="89">
        <v>38.324280000000002</v>
      </c>
      <c r="E586" s="89">
        <v>-121.69347999999999</v>
      </c>
      <c r="F586" s="27" t="s">
        <v>6345</v>
      </c>
      <c r="G586" s="27" t="s">
        <v>90</v>
      </c>
      <c r="H586" s="27" t="s">
        <v>126</v>
      </c>
      <c r="I586" s="84">
        <v>0.36805555555555558</v>
      </c>
      <c r="J586" s="82">
        <v>311.64999999999998</v>
      </c>
      <c r="K586" s="82">
        <v>16.824999999999999</v>
      </c>
      <c r="L586" s="82">
        <v>5.2975000000000003</v>
      </c>
      <c r="M586" s="82">
        <v>1.5024999999999999</v>
      </c>
      <c r="N586" s="4">
        <v>3.95</v>
      </c>
      <c r="O586" s="27" t="s">
        <v>48</v>
      </c>
      <c r="P586" s="27">
        <v>4</v>
      </c>
      <c r="Q586" s="27">
        <v>10</v>
      </c>
      <c r="R586" s="27" t="s">
        <v>49</v>
      </c>
      <c r="S586" s="27" t="s">
        <v>50</v>
      </c>
      <c r="T586" s="27" t="s">
        <v>50</v>
      </c>
      <c r="U586" s="27" t="s">
        <v>50</v>
      </c>
      <c r="V586" s="27" t="s">
        <v>50</v>
      </c>
      <c r="W586" s="27" t="s">
        <v>50</v>
      </c>
      <c r="X586" s="27" t="s">
        <v>50</v>
      </c>
      <c r="Y586" s="35" t="s">
        <v>6188</v>
      </c>
    </row>
    <row r="587" spans="1:25" x14ac:dyDescent="0.25">
      <c r="A587" s="26">
        <v>43388</v>
      </c>
      <c r="B587" s="27" t="s">
        <v>43</v>
      </c>
      <c r="C587" s="27" t="s">
        <v>845</v>
      </c>
      <c r="D587" s="89">
        <v>38.29083</v>
      </c>
      <c r="E587" s="89">
        <v>-121.69271999999999</v>
      </c>
      <c r="F587" s="27" t="s">
        <v>6346</v>
      </c>
      <c r="G587" s="27" t="s">
        <v>90</v>
      </c>
      <c r="H587" s="27" t="s">
        <v>126</v>
      </c>
      <c r="I587" s="84">
        <v>0.42222222222222222</v>
      </c>
      <c r="J587" s="82">
        <v>185.77500000000001</v>
      </c>
      <c r="K587" s="82">
        <v>16.324999999999999</v>
      </c>
      <c r="L587" s="82">
        <v>5.44</v>
      </c>
      <c r="M587" s="82">
        <v>1.2925</v>
      </c>
      <c r="N587" s="4">
        <v>6.8250000000000002</v>
      </c>
      <c r="O587" s="27" t="s">
        <v>48</v>
      </c>
      <c r="P587" s="27">
        <v>4</v>
      </c>
      <c r="Q587" s="27">
        <v>10</v>
      </c>
      <c r="R587" s="27" t="s">
        <v>49</v>
      </c>
      <c r="S587" s="27" t="s">
        <v>50</v>
      </c>
      <c r="T587" s="27" t="s">
        <v>50</v>
      </c>
      <c r="U587" s="27" t="s">
        <v>50</v>
      </c>
      <c r="V587" s="27" t="s">
        <v>50</v>
      </c>
      <c r="W587" s="27" t="s">
        <v>50</v>
      </c>
      <c r="X587" s="27" t="s">
        <v>50</v>
      </c>
      <c r="Y587" s="35" t="s">
        <v>6347</v>
      </c>
    </row>
    <row r="588" spans="1:25" x14ac:dyDescent="0.25">
      <c r="A588" s="26">
        <v>43388</v>
      </c>
      <c r="B588" s="27" t="s">
        <v>43</v>
      </c>
      <c r="C588" s="27" t="s">
        <v>845</v>
      </c>
      <c r="D588" s="89">
        <v>38.244010000000003</v>
      </c>
      <c r="E588" s="89">
        <v>-121.67768</v>
      </c>
      <c r="F588" s="27" t="s">
        <v>6348</v>
      </c>
      <c r="G588" s="27" t="s">
        <v>90</v>
      </c>
      <c r="H588" s="27" t="s">
        <v>126</v>
      </c>
      <c r="I588" s="84">
        <v>0.48680555555555555</v>
      </c>
      <c r="J588" s="82">
        <v>134.94999999999999</v>
      </c>
      <c r="K588" s="82">
        <v>17.399999999999999</v>
      </c>
      <c r="L588" s="82">
        <v>5.43</v>
      </c>
      <c r="M588" s="82">
        <v>1.6074999999999999</v>
      </c>
      <c r="N588" s="4">
        <v>9.0250000000000004</v>
      </c>
      <c r="O588" s="27" t="s">
        <v>48</v>
      </c>
      <c r="P588" s="27">
        <v>4</v>
      </c>
      <c r="Q588" s="27">
        <v>10</v>
      </c>
      <c r="R588" s="27" t="s">
        <v>49</v>
      </c>
      <c r="S588" s="27" t="s">
        <v>50</v>
      </c>
      <c r="T588" s="27" t="s">
        <v>50</v>
      </c>
      <c r="U588" s="27" t="s">
        <v>50</v>
      </c>
      <c r="V588" s="27" t="s">
        <v>50</v>
      </c>
      <c r="W588" s="27" t="s">
        <v>50</v>
      </c>
      <c r="X588" s="27" t="s">
        <v>50</v>
      </c>
      <c r="Y588" s="35" t="s">
        <v>6188</v>
      </c>
    </row>
    <row r="589" spans="1:25" x14ac:dyDescent="0.25">
      <c r="A589" s="26">
        <v>43388</v>
      </c>
      <c r="B589" s="27" t="s">
        <v>43</v>
      </c>
      <c r="C589" s="27" t="s">
        <v>62</v>
      </c>
      <c r="D589" s="89">
        <v>38.105919999999998</v>
      </c>
      <c r="E589" s="89">
        <v>-122.04608</v>
      </c>
      <c r="F589" s="27" t="s">
        <v>6349</v>
      </c>
      <c r="G589" s="27" t="s">
        <v>27</v>
      </c>
      <c r="H589" s="27" t="s">
        <v>173</v>
      </c>
      <c r="I589" s="84">
        <v>0.34513888888888888</v>
      </c>
      <c r="J589" s="82">
        <v>18319.25</v>
      </c>
      <c r="K589" s="82">
        <v>17.7</v>
      </c>
      <c r="L589" s="82">
        <v>46.25</v>
      </c>
      <c r="M589" s="82">
        <v>0.4425</v>
      </c>
      <c r="N589" s="4">
        <v>3.0249999999999999</v>
      </c>
      <c r="O589" s="27" t="s">
        <v>48</v>
      </c>
      <c r="P589" s="27">
        <v>4</v>
      </c>
      <c r="Q589" s="27">
        <v>10</v>
      </c>
      <c r="R589" s="27" t="s">
        <v>49</v>
      </c>
      <c r="S589" s="27" t="s">
        <v>50</v>
      </c>
      <c r="T589" s="27" t="s">
        <v>50</v>
      </c>
      <c r="U589" s="27" t="s">
        <v>50</v>
      </c>
      <c r="V589" s="27" t="s">
        <v>50</v>
      </c>
      <c r="W589" s="27" t="s">
        <v>50</v>
      </c>
      <c r="X589" s="27" t="s">
        <v>50</v>
      </c>
      <c r="Y589" s="35" t="s">
        <v>6188</v>
      </c>
    </row>
    <row r="590" spans="1:25" x14ac:dyDescent="0.25">
      <c r="A590" s="26">
        <v>43388</v>
      </c>
      <c r="B590" s="27" t="s">
        <v>43</v>
      </c>
      <c r="C590" s="27" t="s">
        <v>62</v>
      </c>
      <c r="D590" s="89">
        <v>38.106879999999997</v>
      </c>
      <c r="E590" s="89">
        <v>-122.05203</v>
      </c>
      <c r="F590" s="27" t="s">
        <v>6350</v>
      </c>
      <c r="G590" s="27" t="s">
        <v>27</v>
      </c>
      <c r="H590" s="27" t="s">
        <v>173</v>
      </c>
      <c r="I590" s="84">
        <v>0.40625</v>
      </c>
      <c r="J590" s="82">
        <v>18406.5</v>
      </c>
      <c r="K590" s="82">
        <v>17.725000000000001</v>
      </c>
      <c r="L590" s="82">
        <v>37.450000000000003</v>
      </c>
      <c r="M590" s="82">
        <v>0.53500000000000003</v>
      </c>
      <c r="N590" s="4">
        <v>2.9249999999999998</v>
      </c>
      <c r="O590" s="27" t="s">
        <v>48</v>
      </c>
      <c r="P590" s="27">
        <v>4</v>
      </c>
      <c r="Q590" s="27">
        <v>10</v>
      </c>
      <c r="R590" s="27" t="s">
        <v>49</v>
      </c>
      <c r="S590" s="27" t="s">
        <v>50</v>
      </c>
      <c r="T590" s="27" t="s">
        <v>50</v>
      </c>
      <c r="U590" s="27" t="s">
        <v>50</v>
      </c>
      <c r="V590" s="27" t="s">
        <v>50</v>
      </c>
      <c r="W590" s="27" t="s">
        <v>50</v>
      </c>
      <c r="X590" s="27" t="s">
        <v>50</v>
      </c>
      <c r="Y590" s="35" t="s">
        <v>6351</v>
      </c>
    </row>
    <row r="591" spans="1:25" x14ac:dyDescent="0.25">
      <c r="A591" s="26">
        <v>43388</v>
      </c>
      <c r="B591" s="27" t="s">
        <v>43</v>
      </c>
      <c r="C591" s="27" t="s">
        <v>62</v>
      </c>
      <c r="D591" s="89">
        <v>38.18703</v>
      </c>
      <c r="E591" s="89">
        <v>-121.97562000000001</v>
      </c>
      <c r="F591" s="27" t="s">
        <v>6352</v>
      </c>
      <c r="G591" s="27" t="s">
        <v>27</v>
      </c>
      <c r="H591" s="27" t="s">
        <v>62</v>
      </c>
      <c r="I591" s="84">
        <v>0.47083333333333338</v>
      </c>
      <c r="J591" s="82">
        <v>14134.75</v>
      </c>
      <c r="K591" s="82">
        <v>17.5</v>
      </c>
      <c r="L591" s="82">
        <v>31.324999999999999</v>
      </c>
      <c r="M591" s="82">
        <v>0.52</v>
      </c>
      <c r="N591" s="4">
        <v>8.85</v>
      </c>
      <c r="O591" s="27" t="s">
        <v>48</v>
      </c>
      <c r="P591" s="27">
        <v>4</v>
      </c>
      <c r="Q591" s="27">
        <v>10</v>
      </c>
      <c r="R591" s="27" t="s">
        <v>49</v>
      </c>
      <c r="S591" s="27" t="s">
        <v>50</v>
      </c>
      <c r="T591" s="27" t="s">
        <v>50</v>
      </c>
      <c r="U591" s="27" t="s">
        <v>50</v>
      </c>
      <c r="V591" s="27" t="s">
        <v>50</v>
      </c>
      <c r="W591" s="27" t="s">
        <v>50</v>
      </c>
      <c r="X591" s="27" t="s">
        <v>50</v>
      </c>
      <c r="Y591" s="35" t="s">
        <v>6188</v>
      </c>
    </row>
    <row r="592" spans="1:25" x14ac:dyDescent="0.25">
      <c r="A592" s="26">
        <v>43389</v>
      </c>
      <c r="B592" s="27" t="s">
        <v>70</v>
      </c>
      <c r="C592" s="27" t="s">
        <v>88</v>
      </c>
      <c r="D592" s="89">
        <v>38.07094</v>
      </c>
      <c r="E592" s="89">
        <v>-121.7779</v>
      </c>
      <c r="F592" s="27" t="s">
        <v>6353</v>
      </c>
      <c r="G592" s="27" t="s">
        <v>27</v>
      </c>
      <c r="H592" s="27" t="s">
        <v>25</v>
      </c>
      <c r="I592" s="84">
        <v>0.45</v>
      </c>
      <c r="J592" s="82">
        <v>1197.25</v>
      </c>
      <c r="K592" s="82">
        <v>17.125</v>
      </c>
      <c r="L592" s="82">
        <v>12.025</v>
      </c>
      <c r="M592" s="82">
        <v>0.78500000000000003</v>
      </c>
      <c r="N592" s="4">
        <v>10.175000000000001</v>
      </c>
      <c r="O592" s="27" t="s">
        <v>48</v>
      </c>
      <c r="P592" s="27">
        <v>4</v>
      </c>
      <c r="Q592" s="27">
        <v>10</v>
      </c>
      <c r="R592" s="27" t="s">
        <v>64</v>
      </c>
      <c r="S592" s="27" t="s">
        <v>50</v>
      </c>
      <c r="T592" s="27" t="s">
        <v>50</v>
      </c>
      <c r="U592" s="27" t="s">
        <v>50</v>
      </c>
      <c r="V592" s="27" t="s">
        <v>50</v>
      </c>
      <c r="W592" s="27" t="s">
        <v>50</v>
      </c>
      <c r="X592" s="27" t="s">
        <v>50</v>
      </c>
      <c r="Y592" s="35" t="s">
        <v>6354</v>
      </c>
    </row>
    <row r="593" spans="1:25" x14ac:dyDescent="0.25">
      <c r="A593" s="26">
        <v>43389</v>
      </c>
      <c r="B593" s="27" t="s">
        <v>70</v>
      </c>
      <c r="C593" s="27" t="s">
        <v>88</v>
      </c>
      <c r="D593" s="89">
        <v>38.060769999999998</v>
      </c>
      <c r="E593" s="89">
        <v>-121.79418</v>
      </c>
      <c r="F593" s="27" t="s">
        <v>6355</v>
      </c>
      <c r="G593" s="27" t="s">
        <v>27</v>
      </c>
      <c r="H593" s="27" t="s">
        <v>25</v>
      </c>
      <c r="I593" s="84">
        <v>0.38472222222222219</v>
      </c>
      <c r="J593" s="82">
        <v>4536.75</v>
      </c>
      <c r="K593" s="82">
        <v>17.45</v>
      </c>
      <c r="L593" s="82">
        <v>16</v>
      </c>
      <c r="M593" s="82">
        <v>0.82499999999999996</v>
      </c>
      <c r="N593" s="4">
        <v>9.51</v>
      </c>
      <c r="O593" s="27" t="s">
        <v>48</v>
      </c>
      <c r="P593" s="27">
        <v>4</v>
      </c>
      <c r="Q593" s="27">
        <v>10</v>
      </c>
      <c r="R593" s="27" t="s">
        <v>64</v>
      </c>
      <c r="S593" s="27" t="s">
        <v>50</v>
      </c>
      <c r="T593" s="27" t="s">
        <v>50</v>
      </c>
      <c r="U593" s="27" t="s">
        <v>50</v>
      </c>
      <c r="V593" s="27" t="s">
        <v>50</v>
      </c>
      <c r="W593" s="27" t="s">
        <v>50</v>
      </c>
      <c r="X593" s="27" t="s">
        <v>50</v>
      </c>
      <c r="Y593" s="35" t="s">
        <v>6188</v>
      </c>
    </row>
    <row r="594" spans="1:25" x14ac:dyDescent="0.25">
      <c r="A594" s="26">
        <v>43389</v>
      </c>
      <c r="B594" s="27" t="s">
        <v>70</v>
      </c>
      <c r="C594" s="27" t="s">
        <v>88</v>
      </c>
      <c r="D594" s="89">
        <v>38.113570000000003</v>
      </c>
      <c r="E594" s="89">
        <v>-121.68818</v>
      </c>
      <c r="F594" s="27" t="s">
        <v>6356</v>
      </c>
      <c r="G594" s="27" t="s">
        <v>90</v>
      </c>
      <c r="H594" s="27" t="s">
        <v>91</v>
      </c>
      <c r="I594" s="84">
        <v>0.44166666666666665</v>
      </c>
      <c r="J594" s="82">
        <v>721.25</v>
      </c>
      <c r="K594" s="82">
        <v>17.5</v>
      </c>
      <c r="L594" s="82">
        <v>6.9050000000000002</v>
      </c>
      <c r="M594" s="82">
        <v>1.655</v>
      </c>
      <c r="N594" s="4">
        <v>6.7</v>
      </c>
      <c r="O594" s="27" t="s">
        <v>48</v>
      </c>
      <c r="P594" s="27">
        <v>4</v>
      </c>
      <c r="Q594" s="27">
        <v>10</v>
      </c>
      <c r="R594" s="27" t="s">
        <v>64</v>
      </c>
      <c r="S594" s="27" t="s">
        <v>50</v>
      </c>
      <c r="T594" s="27" t="s">
        <v>50</v>
      </c>
      <c r="U594" s="27" t="s">
        <v>50</v>
      </c>
      <c r="V594" s="27" t="s">
        <v>50</v>
      </c>
      <c r="W594" s="27" t="s">
        <v>50</v>
      </c>
      <c r="X594" s="27" t="s">
        <v>50</v>
      </c>
      <c r="Y594" s="35" t="s">
        <v>6188</v>
      </c>
    </row>
    <row r="595" spans="1:25" x14ac:dyDescent="0.25">
      <c r="A595" s="26">
        <v>43389</v>
      </c>
      <c r="B595" s="27" t="s">
        <v>70</v>
      </c>
      <c r="C595" s="27" t="s">
        <v>88</v>
      </c>
      <c r="D595" s="89">
        <v>38.088500000000003</v>
      </c>
      <c r="E595" s="89">
        <v>-121.68617999999999</v>
      </c>
      <c r="F595" s="27" t="s">
        <v>6357</v>
      </c>
      <c r="G595" s="27" t="s">
        <v>90</v>
      </c>
      <c r="H595" s="27" t="s">
        <v>91</v>
      </c>
      <c r="I595" s="84">
        <v>0.50138888888888888</v>
      </c>
      <c r="J595" s="82">
        <v>945.25</v>
      </c>
      <c r="K595" s="82">
        <v>17.600000000000001</v>
      </c>
      <c r="L595" s="82">
        <v>5.7350000000000003</v>
      </c>
      <c r="M595" s="82">
        <v>1.62</v>
      </c>
      <c r="N595" s="4">
        <v>7.4</v>
      </c>
      <c r="O595" s="27" t="s">
        <v>48</v>
      </c>
      <c r="P595" s="27">
        <v>4</v>
      </c>
      <c r="Q595" s="27">
        <v>10</v>
      </c>
      <c r="R595" s="27" t="s">
        <v>64</v>
      </c>
      <c r="S595" s="27" t="s">
        <v>50</v>
      </c>
      <c r="T595" s="27" t="s">
        <v>50</v>
      </c>
      <c r="U595" s="27" t="s">
        <v>50</v>
      </c>
      <c r="V595" s="27" t="s">
        <v>50</v>
      </c>
      <c r="W595" s="27" t="s">
        <v>50</v>
      </c>
      <c r="X595" s="27" t="s">
        <v>50</v>
      </c>
    </row>
    <row r="596" spans="1:25" x14ac:dyDescent="0.25">
      <c r="A596" s="26">
        <v>43389</v>
      </c>
      <c r="B596" s="27" t="s">
        <v>70</v>
      </c>
      <c r="C596" s="27" t="s">
        <v>845</v>
      </c>
      <c r="D596" s="89">
        <v>38.33484</v>
      </c>
      <c r="E596" s="89">
        <v>-121.66737000000001</v>
      </c>
      <c r="F596" s="27" t="s">
        <v>6358</v>
      </c>
      <c r="G596" s="27" t="s">
        <v>90</v>
      </c>
      <c r="H596" s="27" t="s">
        <v>126</v>
      </c>
      <c r="I596" s="84">
        <v>0.3354166666666667</v>
      </c>
      <c r="J596" s="82">
        <v>248.8</v>
      </c>
      <c r="K596" s="82">
        <v>15.824999999999999</v>
      </c>
      <c r="L596" s="82">
        <v>7.6150000000000002</v>
      </c>
      <c r="M596" s="82">
        <v>1.3825000000000001</v>
      </c>
      <c r="N596" s="4">
        <v>5.0999999999999996</v>
      </c>
      <c r="O596" s="27" t="s">
        <v>48</v>
      </c>
      <c r="P596" s="27">
        <v>4</v>
      </c>
      <c r="Q596" s="27">
        <v>10</v>
      </c>
      <c r="R596" s="27" t="s">
        <v>64</v>
      </c>
      <c r="S596" s="27" t="s">
        <v>50</v>
      </c>
      <c r="T596" s="27" t="s">
        <v>50</v>
      </c>
      <c r="U596" s="27" t="s">
        <v>50</v>
      </c>
      <c r="V596" s="27" t="s">
        <v>50</v>
      </c>
      <c r="W596" s="27" t="s">
        <v>50</v>
      </c>
      <c r="X596" s="27" t="s">
        <v>50</v>
      </c>
    </row>
    <row r="597" spans="1:25" x14ac:dyDescent="0.25">
      <c r="A597" s="26">
        <v>43389</v>
      </c>
      <c r="B597" s="27" t="s">
        <v>70</v>
      </c>
      <c r="C597" s="27" t="s">
        <v>845</v>
      </c>
      <c r="D597" s="89">
        <v>38.271889999999999</v>
      </c>
      <c r="E597" s="89">
        <v>-121.66682</v>
      </c>
      <c r="F597" s="27" t="s">
        <v>6359</v>
      </c>
      <c r="G597" s="27" t="s">
        <v>90</v>
      </c>
      <c r="H597" s="27" t="s">
        <v>126</v>
      </c>
      <c r="I597" s="84">
        <v>0.3972222222222222</v>
      </c>
      <c r="J597" s="82">
        <v>151.4</v>
      </c>
      <c r="K597" s="82">
        <v>16.55</v>
      </c>
      <c r="L597" s="82">
        <v>8.0549999999999997</v>
      </c>
      <c r="M597" s="82">
        <v>1.4025000000000001</v>
      </c>
      <c r="N597" s="4">
        <v>5.875</v>
      </c>
      <c r="O597" s="27" t="s">
        <v>48</v>
      </c>
      <c r="P597" s="27">
        <v>4</v>
      </c>
      <c r="Q597" s="27">
        <v>10</v>
      </c>
      <c r="R597" s="27" t="s">
        <v>64</v>
      </c>
      <c r="S597" s="27" t="s">
        <v>50</v>
      </c>
      <c r="T597" s="27" t="s">
        <v>50</v>
      </c>
      <c r="U597" s="27" t="s">
        <v>50</v>
      </c>
      <c r="V597" s="27" t="s">
        <v>50</v>
      </c>
      <c r="W597" s="27" t="s">
        <v>50</v>
      </c>
      <c r="X597" s="27" t="s">
        <v>50</v>
      </c>
    </row>
    <row r="598" spans="1:25" s="454" customFormat="1" x14ac:dyDescent="0.25">
      <c r="A598" s="20">
        <v>43389</v>
      </c>
      <c r="B598" s="631" t="s">
        <v>70</v>
      </c>
      <c r="C598" s="631" t="s">
        <v>845</v>
      </c>
      <c r="D598" s="347">
        <v>38.24409</v>
      </c>
      <c r="E598" s="347">
        <v>-121.68682</v>
      </c>
      <c r="F598" s="631" t="s">
        <v>6360</v>
      </c>
      <c r="G598" s="631" t="s">
        <v>90</v>
      </c>
      <c r="H598" s="631" t="s">
        <v>126</v>
      </c>
      <c r="I598" s="21">
        <v>0.45</v>
      </c>
      <c r="J598" s="4">
        <v>137.125</v>
      </c>
      <c r="K598" s="4">
        <v>17.175000000000001</v>
      </c>
      <c r="L598" s="4">
        <v>7.4249999999999989</v>
      </c>
      <c r="M598" s="4">
        <v>1.7550000000000001</v>
      </c>
      <c r="N598" s="4">
        <v>8.35</v>
      </c>
      <c r="O598" s="631" t="s">
        <v>48</v>
      </c>
      <c r="P598" s="631">
        <v>4</v>
      </c>
      <c r="Q598" s="631">
        <v>10</v>
      </c>
      <c r="R598" s="631" t="s">
        <v>64</v>
      </c>
      <c r="S598" s="631" t="s">
        <v>50</v>
      </c>
      <c r="T598" s="631" t="s">
        <v>50</v>
      </c>
      <c r="U598" s="631" t="s">
        <v>50</v>
      </c>
      <c r="V598" s="631" t="s">
        <v>50</v>
      </c>
      <c r="W598" s="631" t="s">
        <v>50</v>
      </c>
      <c r="X598" s="631" t="s">
        <v>50</v>
      </c>
      <c r="Y598" s="5"/>
    </row>
    <row r="599" spans="1:25" x14ac:dyDescent="0.25">
      <c r="A599" s="26">
        <v>43389</v>
      </c>
      <c r="B599" s="27" t="s">
        <v>70</v>
      </c>
      <c r="C599" s="27" t="s">
        <v>845</v>
      </c>
      <c r="D599" s="89">
        <v>38.259810000000002</v>
      </c>
      <c r="E599" s="89">
        <v>-121.74715</v>
      </c>
      <c r="F599" s="27" t="s">
        <v>6361</v>
      </c>
      <c r="G599" s="27" t="s">
        <v>90</v>
      </c>
      <c r="H599" s="27" t="s">
        <v>126</v>
      </c>
      <c r="I599" s="84">
        <v>0.50208333333333333</v>
      </c>
      <c r="J599" s="82">
        <v>165.22499999999999</v>
      </c>
      <c r="K599" s="82">
        <v>16.875</v>
      </c>
      <c r="L599" s="82">
        <v>4.43</v>
      </c>
      <c r="M599" s="82">
        <v>1.7375</v>
      </c>
      <c r="N599" s="4">
        <v>6.75</v>
      </c>
      <c r="O599" s="27" t="s">
        <v>48</v>
      </c>
      <c r="P599" s="27">
        <v>4</v>
      </c>
      <c r="Q599" s="27">
        <v>10</v>
      </c>
      <c r="R599" s="27" t="s">
        <v>64</v>
      </c>
      <c r="S599" s="27" t="s">
        <v>50</v>
      </c>
      <c r="T599" s="27" t="s">
        <v>50</v>
      </c>
      <c r="U599" s="27" t="s">
        <v>50</v>
      </c>
      <c r="V599" s="27" t="s">
        <v>50</v>
      </c>
      <c r="W599" s="27" t="s">
        <v>50</v>
      </c>
      <c r="X599" s="27" t="s">
        <v>50</v>
      </c>
      <c r="Y599" s="35" t="s">
        <v>6362</v>
      </c>
    </row>
    <row r="600" spans="1:25" x14ac:dyDescent="0.25">
      <c r="A600" s="26">
        <v>43389</v>
      </c>
      <c r="B600" s="27" t="s">
        <v>70</v>
      </c>
      <c r="C600" s="27" t="s">
        <v>62</v>
      </c>
      <c r="D600" s="89">
        <v>38.106699999999996</v>
      </c>
      <c r="E600" s="89">
        <v>-122.04194</v>
      </c>
      <c r="F600" s="27" t="s">
        <v>6363</v>
      </c>
      <c r="G600" s="27" t="s">
        <v>27</v>
      </c>
      <c r="H600" s="27" t="s">
        <v>173</v>
      </c>
      <c r="I600" s="84">
        <v>0.34236111111111112</v>
      </c>
      <c r="J600" s="82">
        <v>17571.75</v>
      </c>
      <c r="K600" s="82">
        <v>17.399999999999999</v>
      </c>
      <c r="L600" s="82">
        <v>34.475000000000001</v>
      </c>
      <c r="M600" s="82">
        <v>0.45500000000000002</v>
      </c>
      <c r="N600" s="4">
        <v>3.1</v>
      </c>
      <c r="O600" s="27" t="s">
        <v>48</v>
      </c>
      <c r="P600" s="27">
        <v>4</v>
      </c>
      <c r="Q600" s="27">
        <v>10</v>
      </c>
      <c r="R600" s="27" t="s">
        <v>64</v>
      </c>
      <c r="S600" s="27" t="s">
        <v>50</v>
      </c>
      <c r="T600" s="27" t="s">
        <v>50</v>
      </c>
      <c r="U600" s="27" t="s">
        <v>50</v>
      </c>
      <c r="V600" s="27" t="s">
        <v>50</v>
      </c>
      <c r="W600" s="27" t="s">
        <v>50</v>
      </c>
      <c r="X600" s="27" t="s">
        <v>50</v>
      </c>
    </row>
    <row r="601" spans="1:25" x14ac:dyDescent="0.25">
      <c r="A601" s="26">
        <v>43389</v>
      </c>
      <c r="B601" s="27" t="s">
        <v>70</v>
      </c>
      <c r="C601" s="27" t="s">
        <v>62</v>
      </c>
      <c r="D601" s="89">
        <v>38.126860000000001</v>
      </c>
      <c r="E601" s="89">
        <v>-122.05710999999999</v>
      </c>
      <c r="F601" s="27" t="s">
        <v>6364</v>
      </c>
      <c r="G601" s="27" t="s">
        <v>27</v>
      </c>
      <c r="H601" s="27" t="s">
        <v>62</v>
      </c>
      <c r="I601" s="84">
        <v>0.39513888888888887</v>
      </c>
      <c r="J601" s="82">
        <v>15355.5</v>
      </c>
      <c r="K601" s="82">
        <v>17.100000000000001</v>
      </c>
      <c r="L601" s="82">
        <v>17.324999999999999</v>
      </c>
      <c r="M601" s="82">
        <v>0.65</v>
      </c>
      <c r="N601" s="4">
        <v>4.2</v>
      </c>
      <c r="O601" s="27" t="s">
        <v>48</v>
      </c>
      <c r="P601" s="27">
        <v>4</v>
      </c>
      <c r="Q601" s="27">
        <v>10</v>
      </c>
      <c r="R601" s="27" t="s">
        <v>64</v>
      </c>
      <c r="S601" s="27" t="s">
        <v>50</v>
      </c>
      <c r="T601" s="27" t="s">
        <v>50</v>
      </c>
      <c r="U601" s="27" t="s">
        <v>50</v>
      </c>
      <c r="V601" s="27" t="s">
        <v>50</v>
      </c>
      <c r="W601" s="27" t="s">
        <v>50</v>
      </c>
      <c r="X601" s="27" t="s">
        <v>50</v>
      </c>
    </row>
    <row r="602" spans="1:25" x14ac:dyDescent="0.25">
      <c r="A602" s="26">
        <v>43389</v>
      </c>
      <c r="B602" s="27" t="s">
        <v>70</v>
      </c>
      <c r="C602" s="27" t="s">
        <v>62</v>
      </c>
      <c r="D602" s="89">
        <v>38.198410000000003</v>
      </c>
      <c r="E602" s="89">
        <v>-122.04321</v>
      </c>
      <c r="F602" s="27" t="s">
        <v>6365</v>
      </c>
      <c r="G602" s="27" t="s">
        <v>27</v>
      </c>
      <c r="H602" s="27" t="s">
        <v>62</v>
      </c>
      <c r="I602" s="84">
        <v>0.4604166666666667</v>
      </c>
      <c r="J602" s="82">
        <v>12192</v>
      </c>
      <c r="K602" s="82">
        <v>17.324999999999999</v>
      </c>
      <c r="L602" s="82">
        <v>21.324999999999999</v>
      </c>
      <c r="M602" s="82">
        <v>0.48249999999999998</v>
      </c>
      <c r="N602" s="4">
        <v>6</v>
      </c>
      <c r="O602" s="27" t="s">
        <v>48</v>
      </c>
      <c r="P602" s="27">
        <v>4</v>
      </c>
      <c r="Q602" s="27">
        <v>10</v>
      </c>
      <c r="R602" s="27" t="s">
        <v>49</v>
      </c>
      <c r="S602" s="27" t="s">
        <v>50</v>
      </c>
      <c r="T602" s="27" t="s">
        <v>50</v>
      </c>
      <c r="U602" s="27" t="s">
        <v>50</v>
      </c>
      <c r="V602" s="27" t="s">
        <v>50</v>
      </c>
      <c r="W602" s="27" t="s">
        <v>50</v>
      </c>
      <c r="X602" s="27" t="s">
        <v>50</v>
      </c>
    </row>
    <row r="603" spans="1:25" x14ac:dyDescent="0.25">
      <c r="A603" s="26">
        <v>43390</v>
      </c>
      <c r="B603" s="27" t="s">
        <v>87</v>
      </c>
      <c r="C603" s="27" t="s">
        <v>95</v>
      </c>
      <c r="D603" s="89">
        <v>38.02317</v>
      </c>
      <c r="E603" s="89">
        <v>-121.79519000000001</v>
      </c>
      <c r="F603" s="27" t="s">
        <v>6366</v>
      </c>
      <c r="G603" s="27" t="s">
        <v>27</v>
      </c>
      <c r="H603" s="27" t="s">
        <v>95</v>
      </c>
      <c r="I603" s="84">
        <v>0.33680555555555558</v>
      </c>
      <c r="J603" s="82">
        <v>2486.5</v>
      </c>
      <c r="K603" s="82">
        <v>17.7</v>
      </c>
      <c r="L603" s="82">
        <v>5.6150000000000002</v>
      </c>
      <c r="M603" s="82">
        <v>1.4524999999999999</v>
      </c>
      <c r="N603" s="4">
        <v>8.9749999999999996</v>
      </c>
      <c r="O603" s="27" t="s">
        <v>48</v>
      </c>
      <c r="P603" s="27">
        <v>4</v>
      </c>
      <c r="Q603" s="27">
        <v>10</v>
      </c>
      <c r="R603" s="27" t="s">
        <v>64</v>
      </c>
      <c r="S603" s="27" t="s">
        <v>50</v>
      </c>
      <c r="T603" s="27" t="s">
        <v>50</v>
      </c>
      <c r="U603" s="27" t="s">
        <v>50</v>
      </c>
      <c r="V603" s="27" t="s">
        <v>50</v>
      </c>
      <c r="W603" s="27" t="s">
        <v>50</v>
      </c>
      <c r="X603" s="27" t="s">
        <v>50</v>
      </c>
      <c r="Y603" s="35" t="s">
        <v>5044</v>
      </c>
    </row>
    <row r="604" spans="1:25" x14ac:dyDescent="0.25">
      <c r="A604" s="26">
        <v>43390</v>
      </c>
      <c r="B604" s="27" t="s">
        <v>87</v>
      </c>
      <c r="C604" s="27" t="s">
        <v>95</v>
      </c>
      <c r="D604" s="89">
        <v>38.035879999999999</v>
      </c>
      <c r="E604" s="89">
        <v>-121.71468</v>
      </c>
      <c r="F604" s="27" t="s">
        <v>6367</v>
      </c>
      <c r="G604" s="27" t="s">
        <v>27</v>
      </c>
      <c r="H604" s="27" t="s">
        <v>95</v>
      </c>
      <c r="I604" s="84">
        <v>0.38958333333333334</v>
      </c>
      <c r="J604" s="82">
        <v>1348.75</v>
      </c>
      <c r="K604" s="82">
        <v>17.7</v>
      </c>
      <c r="L604" s="82">
        <v>4.6349999999999998</v>
      </c>
      <c r="M604" s="82" t="s">
        <v>5829</v>
      </c>
      <c r="N604" s="4">
        <v>8.1999999999999993</v>
      </c>
      <c r="O604" s="27" t="s">
        <v>48</v>
      </c>
      <c r="P604" s="27">
        <v>4</v>
      </c>
      <c r="Q604" s="27">
        <v>10</v>
      </c>
      <c r="R604" s="27" t="s">
        <v>64</v>
      </c>
      <c r="S604" s="27" t="s">
        <v>50</v>
      </c>
      <c r="T604" s="27" t="s">
        <v>50</v>
      </c>
      <c r="U604" s="27" t="s">
        <v>50</v>
      </c>
      <c r="V604" s="27" t="s">
        <v>50</v>
      </c>
      <c r="W604" s="27" t="s">
        <v>50</v>
      </c>
      <c r="X604" s="27" t="s">
        <v>50</v>
      </c>
    </row>
    <row r="605" spans="1:25" x14ac:dyDescent="0.25">
      <c r="A605" s="26">
        <v>43390</v>
      </c>
      <c r="B605" s="27" t="s">
        <v>87</v>
      </c>
      <c r="C605" s="27" t="s">
        <v>95</v>
      </c>
      <c r="D605" s="89">
        <v>38.043199999999999</v>
      </c>
      <c r="E605" s="89">
        <v>-121.6985</v>
      </c>
      <c r="F605" s="27" t="s">
        <v>6368</v>
      </c>
      <c r="G605" s="27" t="s">
        <v>27</v>
      </c>
      <c r="H605" s="27" t="s">
        <v>95</v>
      </c>
      <c r="I605" s="84">
        <v>0.43958333333333338</v>
      </c>
      <c r="J605" s="82">
        <v>1446.75</v>
      </c>
      <c r="K605" s="82">
        <v>17.774999999999999</v>
      </c>
      <c r="L605" s="82">
        <v>5.7824999999999998</v>
      </c>
      <c r="M605" s="82">
        <v>1.4750000000000001</v>
      </c>
      <c r="N605" s="4">
        <v>7.65</v>
      </c>
      <c r="O605" s="27" t="s">
        <v>48</v>
      </c>
      <c r="P605" s="27">
        <v>4</v>
      </c>
      <c r="Q605" s="27">
        <v>10</v>
      </c>
      <c r="R605" s="27" t="s">
        <v>64</v>
      </c>
      <c r="S605" s="27" t="s">
        <v>50</v>
      </c>
      <c r="T605" s="27" t="s">
        <v>50</v>
      </c>
      <c r="U605" s="27" t="s">
        <v>50</v>
      </c>
      <c r="V605" s="27" t="s">
        <v>50</v>
      </c>
      <c r="W605" s="27" t="s">
        <v>50</v>
      </c>
      <c r="X605" s="27" t="s">
        <v>50</v>
      </c>
    </row>
    <row r="606" spans="1:25" x14ac:dyDescent="0.25">
      <c r="A606" s="26">
        <v>43390</v>
      </c>
      <c r="B606" s="27" t="s">
        <v>87</v>
      </c>
      <c r="C606" s="27" t="s">
        <v>106</v>
      </c>
      <c r="D606" s="89">
        <v>38.560789999999997</v>
      </c>
      <c r="E606" s="89">
        <v>-121.55643000000001</v>
      </c>
      <c r="F606" s="27" t="s">
        <v>6369</v>
      </c>
      <c r="G606" s="27" t="s">
        <v>90</v>
      </c>
      <c r="H606" s="27" t="s">
        <v>1787</v>
      </c>
      <c r="I606" s="84">
        <v>0.35972222222222222</v>
      </c>
      <c r="J606" s="82">
        <v>895.25</v>
      </c>
      <c r="K606" s="82">
        <v>19.574999999999999</v>
      </c>
      <c r="L606" s="82">
        <v>4.7474999999999996</v>
      </c>
      <c r="M606" s="82">
        <v>1.6625000000000001</v>
      </c>
      <c r="N606" s="4">
        <v>9.375</v>
      </c>
      <c r="O606" s="27" t="s">
        <v>48</v>
      </c>
      <c r="P606" s="27">
        <v>4</v>
      </c>
      <c r="Q606" s="27">
        <v>10</v>
      </c>
      <c r="R606" s="27" t="s">
        <v>49</v>
      </c>
      <c r="S606" s="27" t="s">
        <v>50</v>
      </c>
      <c r="T606" s="27" t="s">
        <v>50</v>
      </c>
      <c r="U606" s="27" t="s">
        <v>50</v>
      </c>
      <c r="V606" s="27" t="s">
        <v>50</v>
      </c>
      <c r="W606" s="27" t="s">
        <v>50</v>
      </c>
      <c r="X606" s="27" t="s">
        <v>50</v>
      </c>
      <c r="Y606" s="35" t="s">
        <v>6370</v>
      </c>
    </row>
    <row r="607" spans="1:25" x14ac:dyDescent="0.25">
      <c r="A607" s="26">
        <v>43390</v>
      </c>
      <c r="B607" s="27" t="s">
        <v>87</v>
      </c>
      <c r="C607" s="27" t="s">
        <v>106</v>
      </c>
      <c r="D607" s="89">
        <v>38.500909999999998</v>
      </c>
      <c r="E607" s="89">
        <v>-121.58503</v>
      </c>
      <c r="F607" s="27" t="s">
        <v>6371</v>
      </c>
      <c r="G607" s="27" t="s">
        <v>90</v>
      </c>
      <c r="H607" s="27" t="s">
        <v>1787</v>
      </c>
      <c r="I607" s="84">
        <v>0.41875000000000001</v>
      </c>
      <c r="J607" s="82">
        <v>731.5</v>
      </c>
      <c r="K607" s="82">
        <v>18.574999999999999</v>
      </c>
      <c r="L607" s="82">
        <v>17.524999999999999</v>
      </c>
      <c r="M607" s="82">
        <v>0.58499999999999996</v>
      </c>
      <c r="N607" s="4">
        <v>9.0250000000000004</v>
      </c>
      <c r="O607" s="27" t="s">
        <v>48</v>
      </c>
      <c r="P607" s="27">
        <v>4</v>
      </c>
      <c r="Q607" s="27">
        <v>10</v>
      </c>
      <c r="R607" s="27" t="s">
        <v>64</v>
      </c>
      <c r="S607" s="27" t="s">
        <v>50</v>
      </c>
      <c r="T607" s="27" t="s">
        <v>50</v>
      </c>
      <c r="U607" s="27" t="s">
        <v>50</v>
      </c>
      <c r="V607" s="27" t="s">
        <v>50</v>
      </c>
      <c r="W607" s="27" t="s">
        <v>50</v>
      </c>
      <c r="X607" s="27" t="s">
        <v>50</v>
      </c>
      <c r="Y607" s="35" t="s">
        <v>6188</v>
      </c>
    </row>
    <row r="608" spans="1:25" s="398" customFormat="1" x14ac:dyDescent="0.25">
      <c r="A608" s="495">
        <v>43390</v>
      </c>
      <c r="B608" s="494" t="s">
        <v>87</v>
      </c>
      <c r="C608" s="494" t="s">
        <v>106</v>
      </c>
      <c r="D608" s="496">
        <v>38.457839999999997</v>
      </c>
      <c r="E608" s="496">
        <v>-121.59048</v>
      </c>
      <c r="F608" s="494" t="s">
        <v>6372</v>
      </c>
      <c r="G608" s="494" t="s">
        <v>90</v>
      </c>
      <c r="H608" s="494" t="s">
        <v>362</v>
      </c>
      <c r="I608" s="497">
        <v>0.47569444444444442</v>
      </c>
      <c r="J608" s="498">
        <v>549.5</v>
      </c>
      <c r="K608" s="498">
        <v>18.45</v>
      </c>
      <c r="L608" s="498">
        <v>33.25</v>
      </c>
      <c r="M608" s="498">
        <v>0.34</v>
      </c>
      <c r="N608" s="498">
        <v>9.6999999999999993</v>
      </c>
      <c r="O608" s="494" t="s">
        <v>48</v>
      </c>
      <c r="P608" s="494">
        <v>2</v>
      </c>
      <c r="Q608" s="494">
        <v>10</v>
      </c>
      <c r="R608" s="494" t="s">
        <v>64</v>
      </c>
      <c r="S608" s="494" t="s">
        <v>323</v>
      </c>
      <c r="T608" s="494">
        <v>1</v>
      </c>
      <c r="U608" s="494">
        <v>52</v>
      </c>
      <c r="V608" s="494" t="s">
        <v>66</v>
      </c>
      <c r="W608" s="494" t="s">
        <v>50</v>
      </c>
      <c r="X608" s="494" t="s">
        <v>50</v>
      </c>
      <c r="Y608" s="455" t="s">
        <v>6373</v>
      </c>
    </row>
    <row r="609" spans="1:25" s="398" customFormat="1" x14ac:dyDescent="0.25">
      <c r="A609" s="495">
        <v>43390</v>
      </c>
      <c r="B609" s="494" t="s">
        <v>87</v>
      </c>
      <c r="C609" s="494" t="s">
        <v>106</v>
      </c>
      <c r="D609" s="496">
        <v>38.386809999999997</v>
      </c>
      <c r="E609" s="496">
        <v>-121.62414</v>
      </c>
      <c r="F609" s="494" t="s">
        <v>6374</v>
      </c>
      <c r="G609" s="494" t="s">
        <v>90</v>
      </c>
      <c r="H609" s="494" t="s">
        <v>362</v>
      </c>
      <c r="I609" s="497">
        <v>0.51736111111111105</v>
      </c>
      <c r="J609" s="498">
        <v>342.8</v>
      </c>
      <c r="K609" s="498">
        <v>18.3</v>
      </c>
      <c r="L609" s="498">
        <v>45.8</v>
      </c>
      <c r="M609" s="498">
        <v>0.315</v>
      </c>
      <c r="N609" s="498">
        <v>10.4</v>
      </c>
      <c r="O609" s="494" t="s">
        <v>48</v>
      </c>
      <c r="P609" s="494">
        <v>2</v>
      </c>
      <c r="Q609" s="494">
        <v>10</v>
      </c>
      <c r="R609" s="494" t="s">
        <v>64</v>
      </c>
      <c r="S609" s="494" t="s">
        <v>323</v>
      </c>
      <c r="T609" s="494">
        <v>16</v>
      </c>
      <c r="U609" s="494" t="s">
        <v>6375</v>
      </c>
      <c r="V609" s="494" t="s">
        <v>50</v>
      </c>
      <c r="W609" s="494" t="s">
        <v>50</v>
      </c>
      <c r="X609" s="494" t="s">
        <v>50</v>
      </c>
      <c r="Y609" s="477" t="s">
        <v>6376</v>
      </c>
    </row>
    <row r="610" spans="1:25" x14ac:dyDescent="0.25">
      <c r="A610" s="26">
        <v>43390</v>
      </c>
      <c r="B610" s="27" t="s">
        <v>87</v>
      </c>
      <c r="C610" s="27" t="s">
        <v>78</v>
      </c>
      <c r="D610" s="89">
        <v>38.058300000000003</v>
      </c>
      <c r="E610" s="89">
        <v>-122.10623</v>
      </c>
      <c r="F610" s="27" t="s">
        <v>6377</v>
      </c>
      <c r="G610" s="27" t="s">
        <v>80</v>
      </c>
      <c r="H610" s="27" t="s">
        <v>81</v>
      </c>
      <c r="I610" s="84">
        <v>0.40416666666666662</v>
      </c>
      <c r="J610" s="82">
        <v>23454.25</v>
      </c>
      <c r="K610" s="82">
        <v>17.824999999999999</v>
      </c>
      <c r="L610" s="82">
        <v>16.475000000000001</v>
      </c>
      <c r="M610" s="82">
        <v>0.73750000000000004</v>
      </c>
      <c r="N610" s="4">
        <v>11.6</v>
      </c>
      <c r="O610" s="27" t="s">
        <v>48</v>
      </c>
      <c r="P610" s="27">
        <v>4</v>
      </c>
      <c r="Q610" s="27">
        <v>10</v>
      </c>
      <c r="R610" s="27" t="s">
        <v>64</v>
      </c>
      <c r="S610" s="27" t="s">
        <v>50</v>
      </c>
      <c r="T610" s="27" t="s">
        <v>50</v>
      </c>
      <c r="U610" s="27" t="s">
        <v>50</v>
      </c>
      <c r="V610" s="27" t="s">
        <v>50</v>
      </c>
      <c r="W610" s="27" t="s">
        <v>50</v>
      </c>
      <c r="X610" s="27" t="s">
        <v>50</v>
      </c>
      <c r="Y610" s="35" t="s">
        <v>6378</v>
      </c>
    </row>
    <row r="611" spans="1:25" x14ac:dyDescent="0.25">
      <c r="A611" s="26">
        <v>43390</v>
      </c>
      <c r="B611" s="27" t="s">
        <v>87</v>
      </c>
      <c r="C611" s="27" t="s">
        <v>78</v>
      </c>
      <c r="D611" s="89">
        <v>38.09834</v>
      </c>
      <c r="E611" s="89">
        <v>-122.0245</v>
      </c>
      <c r="F611" s="27" t="s">
        <v>6379</v>
      </c>
      <c r="G611" s="27" t="s">
        <v>27</v>
      </c>
      <c r="H611" s="27" t="s">
        <v>86</v>
      </c>
      <c r="I611" s="84">
        <v>0.34791666666666665</v>
      </c>
      <c r="J611" s="82">
        <v>14655.25</v>
      </c>
      <c r="K611" s="82">
        <v>17.024999999999999</v>
      </c>
      <c r="L611" s="82">
        <v>20.5</v>
      </c>
      <c r="M611" s="82">
        <v>0.61250000000000004</v>
      </c>
      <c r="N611" s="4">
        <v>8</v>
      </c>
      <c r="O611" s="27" t="s">
        <v>48</v>
      </c>
      <c r="P611" s="27">
        <v>4</v>
      </c>
      <c r="Q611" s="27">
        <v>10</v>
      </c>
      <c r="R611" s="27" t="s">
        <v>64</v>
      </c>
      <c r="S611" s="27" t="s">
        <v>50</v>
      </c>
      <c r="T611" s="27" t="s">
        <v>50</v>
      </c>
      <c r="U611" s="27" t="s">
        <v>50</v>
      </c>
      <c r="V611" s="27" t="s">
        <v>50</v>
      </c>
      <c r="W611" s="27" t="s">
        <v>50</v>
      </c>
      <c r="X611" s="27" t="s">
        <v>50</v>
      </c>
      <c r="Y611" s="35" t="s">
        <v>6188</v>
      </c>
    </row>
    <row r="612" spans="1:25" x14ac:dyDescent="0.25">
      <c r="A612" s="26">
        <v>43390</v>
      </c>
      <c r="B612" s="27" t="s">
        <v>87</v>
      </c>
      <c r="C612" s="27" t="s">
        <v>78</v>
      </c>
      <c r="D612" s="89">
        <v>38.064610000000002</v>
      </c>
      <c r="E612" s="89">
        <v>-122.06143</v>
      </c>
      <c r="F612" s="27" t="s">
        <v>6380</v>
      </c>
      <c r="G612" s="27" t="s">
        <v>80</v>
      </c>
      <c r="H612" s="27" t="s">
        <v>81</v>
      </c>
      <c r="I612" s="84">
        <v>0.46249999999999997</v>
      </c>
      <c r="J612" s="82">
        <v>20089</v>
      </c>
      <c r="K612" s="82">
        <v>17.925000000000001</v>
      </c>
      <c r="L612" s="82">
        <v>26.2</v>
      </c>
      <c r="M612" s="82">
        <v>0.54249999999999998</v>
      </c>
      <c r="N612" s="4">
        <v>12.475</v>
      </c>
      <c r="O612" s="27" t="s">
        <v>48</v>
      </c>
      <c r="P612" s="27">
        <v>4</v>
      </c>
      <c r="Q612" s="27">
        <v>10</v>
      </c>
      <c r="R612" s="27" t="s">
        <v>64</v>
      </c>
      <c r="S612" s="27" t="s">
        <v>50</v>
      </c>
      <c r="T612" s="27" t="s">
        <v>50</v>
      </c>
      <c r="U612" s="27" t="s">
        <v>50</v>
      </c>
      <c r="V612" s="27" t="s">
        <v>50</v>
      </c>
      <c r="W612" s="27" t="s">
        <v>50</v>
      </c>
      <c r="X612" s="27" t="s">
        <v>50</v>
      </c>
      <c r="Y612" s="35" t="s">
        <v>6381</v>
      </c>
    </row>
    <row r="613" spans="1:25" x14ac:dyDescent="0.25">
      <c r="A613" s="26">
        <v>43391</v>
      </c>
      <c r="B613" s="27" t="s">
        <v>105</v>
      </c>
      <c r="C613" s="27" t="s">
        <v>95</v>
      </c>
      <c r="D613" s="89">
        <v>38.072339999999997</v>
      </c>
      <c r="E613" s="89">
        <v>-121.55989</v>
      </c>
      <c r="F613" s="27" t="s">
        <v>6382</v>
      </c>
      <c r="G613" s="27" t="s">
        <v>46</v>
      </c>
      <c r="H613" s="27" t="s">
        <v>115</v>
      </c>
      <c r="I613" s="84">
        <v>0.33055555555555555</v>
      </c>
      <c r="J613" s="82">
        <v>267.07499999999999</v>
      </c>
      <c r="K613" s="82">
        <v>17.824999999999999</v>
      </c>
      <c r="L613" s="82">
        <v>4.1500000000000004</v>
      </c>
      <c r="M613" s="82" t="s">
        <v>5829</v>
      </c>
      <c r="N613" s="4">
        <v>7.8250000000000002</v>
      </c>
      <c r="O613" s="27" t="s">
        <v>48</v>
      </c>
      <c r="P613" s="27">
        <v>4</v>
      </c>
      <c r="Q613" s="27">
        <v>10</v>
      </c>
      <c r="R613" s="27" t="s">
        <v>49</v>
      </c>
      <c r="S613" s="27" t="s">
        <v>50</v>
      </c>
      <c r="T613" s="27" t="s">
        <v>50</v>
      </c>
      <c r="U613" s="27" t="s">
        <v>50</v>
      </c>
      <c r="V613" s="27" t="s">
        <v>50</v>
      </c>
      <c r="W613" s="27" t="s">
        <v>50</v>
      </c>
      <c r="X613" s="27" t="s">
        <v>50</v>
      </c>
      <c r="Y613" s="35" t="s">
        <v>6383</v>
      </c>
    </row>
    <row r="614" spans="1:25" x14ac:dyDescent="0.25">
      <c r="A614" s="26">
        <v>43391</v>
      </c>
      <c r="B614" s="27" t="s">
        <v>105</v>
      </c>
      <c r="C614" s="27" t="s">
        <v>95</v>
      </c>
      <c r="D614" s="89">
        <v>38.08981</v>
      </c>
      <c r="E614" s="89">
        <v>-121.57823</v>
      </c>
      <c r="F614" s="27" t="s">
        <v>6384</v>
      </c>
      <c r="G614" s="27" t="s">
        <v>46</v>
      </c>
      <c r="H614" s="27" t="s">
        <v>115</v>
      </c>
      <c r="I614" s="84">
        <v>0.3840277777777778</v>
      </c>
      <c r="J614" s="82">
        <v>322.75</v>
      </c>
      <c r="K614" s="82">
        <v>17.8</v>
      </c>
      <c r="L614" s="82">
        <v>4.5999999999999996</v>
      </c>
      <c r="M614" s="82" t="s">
        <v>5829</v>
      </c>
      <c r="N614" s="4">
        <v>9.8000000000000007</v>
      </c>
      <c r="O614" s="27" t="s">
        <v>48</v>
      </c>
      <c r="P614" s="27">
        <v>4</v>
      </c>
      <c r="Q614" s="27">
        <v>10</v>
      </c>
      <c r="R614" s="27" t="s">
        <v>64</v>
      </c>
      <c r="S614" s="27" t="s">
        <v>50</v>
      </c>
      <c r="T614" s="27" t="s">
        <v>50</v>
      </c>
      <c r="U614" s="27" t="s">
        <v>50</v>
      </c>
      <c r="V614" s="27" t="s">
        <v>50</v>
      </c>
      <c r="W614" s="27" t="s">
        <v>50</v>
      </c>
      <c r="X614" s="27" t="s">
        <v>50</v>
      </c>
    </row>
    <row r="615" spans="1:25" x14ac:dyDescent="0.25">
      <c r="A615" s="26">
        <v>43391</v>
      </c>
      <c r="B615" s="27" t="s">
        <v>105</v>
      </c>
      <c r="C615" s="27" t="s">
        <v>95</v>
      </c>
      <c r="D615" s="89">
        <v>38.09028</v>
      </c>
      <c r="E615" s="89">
        <v>-121.67615000000001</v>
      </c>
      <c r="F615" s="27" t="s">
        <v>6385</v>
      </c>
      <c r="G615" s="27" t="s">
        <v>46</v>
      </c>
      <c r="H615" s="27" t="s">
        <v>5962</v>
      </c>
      <c r="I615" s="84">
        <v>0.44166666666666665</v>
      </c>
      <c r="J615" s="82">
        <v>699.75</v>
      </c>
      <c r="K615" s="82">
        <v>18</v>
      </c>
      <c r="L615" s="82">
        <v>7.0650000000000004</v>
      </c>
      <c r="M615" s="82" t="s">
        <v>5829</v>
      </c>
      <c r="N615" s="4">
        <v>9.625</v>
      </c>
      <c r="O615" s="27" t="s">
        <v>48</v>
      </c>
      <c r="P615" s="27">
        <v>4</v>
      </c>
      <c r="Q615" s="27">
        <v>10</v>
      </c>
      <c r="R615" s="27" t="s">
        <v>64</v>
      </c>
      <c r="S615" s="27" t="s">
        <v>50</v>
      </c>
      <c r="T615" s="27" t="s">
        <v>50</v>
      </c>
      <c r="U615" s="27" t="s">
        <v>50</v>
      </c>
      <c r="V615" s="27" t="s">
        <v>50</v>
      </c>
      <c r="W615" s="27" t="s">
        <v>50</v>
      </c>
      <c r="X615" s="27" t="s">
        <v>50</v>
      </c>
    </row>
    <row r="616" spans="1:25" x14ac:dyDescent="0.25">
      <c r="A616" s="26">
        <v>43391</v>
      </c>
      <c r="B616" s="27" t="s">
        <v>105</v>
      </c>
      <c r="C616" s="27" t="s">
        <v>106</v>
      </c>
      <c r="D616" s="89">
        <v>38.250320000000002</v>
      </c>
      <c r="E616" s="89">
        <v>-121.6694</v>
      </c>
      <c r="F616" s="27" t="s">
        <v>6386</v>
      </c>
      <c r="G616" s="27" t="s">
        <v>90</v>
      </c>
      <c r="H616" s="27" t="s">
        <v>362</v>
      </c>
      <c r="I616" s="84">
        <v>0.32013888888888892</v>
      </c>
      <c r="J616" s="82">
        <v>178.07499999999999</v>
      </c>
      <c r="K616" s="82">
        <v>17.425000000000001</v>
      </c>
      <c r="L616" s="82">
        <v>7.82</v>
      </c>
      <c r="M616" s="82">
        <v>1.2224999999999999</v>
      </c>
      <c r="N616" s="4">
        <v>9.5250000000000004</v>
      </c>
      <c r="O616" s="27" t="s">
        <v>48</v>
      </c>
      <c r="P616" s="27">
        <v>4</v>
      </c>
      <c r="Q616" s="27">
        <v>10</v>
      </c>
      <c r="R616" s="27" t="s">
        <v>64</v>
      </c>
      <c r="S616" s="27" t="s">
        <v>50</v>
      </c>
      <c r="T616" s="27" t="s">
        <v>50</v>
      </c>
      <c r="U616" s="27" t="s">
        <v>50</v>
      </c>
      <c r="V616" s="27" t="s">
        <v>50</v>
      </c>
      <c r="W616" s="27" t="s">
        <v>50</v>
      </c>
      <c r="X616" s="27" t="s">
        <v>50</v>
      </c>
      <c r="Y616" s="35" t="s">
        <v>6188</v>
      </c>
    </row>
    <row r="617" spans="1:25" x14ac:dyDescent="0.25">
      <c r="A617" s="26">
        <v>43391</v>
      </c>
      <c r="B617" s="27" t="s">
        <v>105</v>
      </c>
      <c r="C617" s="27" t="s">
        <v>106</v>
      </c>
      <c r="D617" s="89">
        <v>38.272129999999997</v>
      </c>
      <c r="E617" s="89">
        <v>-121.66293</v>
      </c>
      <c r="F617" s="27" t="s">
        <v>6387</v>
      </c>
      <c r="G617" s="27" t="s">
        <v>90</v>
      </c>
      <c r="H617" s="27" t="s">
        <v>362</v>
      </c>
      <c r="I617" s="84">
        <v>0.37291666666666662</v>
      </c>
      <c r="J617" s="82">
        <v>199.82499999999999</v>
      </c>
      <c r="K617" s="82">
        <v>17.574999999999999</v>
      </c>
      <c r="L617" s="82">
        <v>9.6125000000000007</v>
      </c>
      <c r="M617" s="82">
        <v>1.03</v>
      </c>
      <c r="N617" s="4">
        <v>9.5</v>
      </c>
      <c r="O617" s="27" t="s">
        <v>48</v>
      </c>
      <c r="P617" s="27">
        <v>4</v>
      </c>
      <c r="Q617" s="27">
        <v>10</v>
      </c>
      <c r="R617" s="27" t="s">
        <v>64</v>
      </c>
      <c r="S617" s="27" t="s">
        <v>50</v>
      </c>
      <c r="T617" s="27" t="s">
        <v>50</v>
      </c>
      <c r="U617" s="27" t="s">
        <v>50</v>
      </c>
      <c r="V617" s="27" t="s">
        <v>50</v>
      </c>
      <c r="W617" s="27" t="s">
        <v>50</v>
      </c>
      <c r="X617" s="27" t="s">
        <v>50</v>
      </c>
    </row>
    <row r="618" spans="1:25" x14ac:dyDescent="0.25">
      <c r="A618" s="26">
        <v>43391</v>
      </c>
      <c r="B618" s="27" t="s">
        <v>105</v>
      </c>
      <c r="C618" s="27" t="s">
        <v>106</v>
      </c>
      <c r="D618" s="89">
        <v>38.184489999999997</v>
      </c>
      <c r="E618" s="89">
        <v>-121.66047</v>
      </c>
      <c r="F618" s="27" t="s">
        <v>6388</v>
      </c>
      <c r="G618" s="27" t="s">
        <v>90</v>
      </c>
      <c r="H618" s="27" t="s">
        <v>362</v>
      </c>
      <c r="I618" s="84">
        <v>0.47916666666666669</v>
      </c>
      <c r="J618" s="82">
        <v>131.15</v>
      </c>
      <c r="K618" s="82">
        <v>17.2</v>
      </c>
      <c r="L618" s="82">
        <v>4.3174999999999999</v>
      </c>
      <c r="M618" s="82" t="s">
        <v>5829</v>
      </c>
      <c r="N618" s="4">
        <v>13.324999999999999</v>
      </c>
      <c r="O618" s="27" t="s">
        <v>48</v>
      </c>
      <c r="P618" s="27">
        <v>4</v>
      </c>
      <c r="Q618" s="27">
        <v>10</v>
      </c>
      <c r="R618" s="27" t="s">
        <v>64</v>
      </c>
      <c r="S618" s="27" t="s">
        <v>50</v>
      </c>
      <c r="T618" s="27" t="s">
        <v>50</v>
      </c>
      <c r="U618" s="27" t="s">
        <v>50</v>
      </c>
      <c r="V618" s="27" t="s">
        <v>50</v>
      </c>
      <c r="W618" s="27" t="s">
        <v>50</v>
      </c>
      <c r="X618" s="27" t="s">
        <v>50</v>
      </c>
    </row>
    <row r="619" spans="1:25" x14ac:dyDescent="0.25">
      <c r="A619" s="26">
        <v>43391</v>
      </c>
      <c r="B619" s="27" t="s">
        <v>105</v>
      </c>
      <c r="C619" s="27" t="s">
        <v>78</v>
      </c>
      <c r="D619" s="89">
        <v>38.066609999999997</v>
      </c>
      <c r="E619" s="89">
        <v>-122.10689000000001</v>
      </c>
      <c r="F619" s="27" t="s">
        <v>6389</v>
      </c>
      <c r="G619" s="27" t="s">
        <v>80</v>
      </c>
      <c r="H619" s="27" t="s">
        <v>81</v>
      </c>
      <c r="I619" s="84">
        <v>0.3430555555555555</v>
      </c>
      <c r="J619" s="82">
        <v>18672.75</v>
      </c>
      <c r="K619" s="82">
        <v>17.3</v>
      </c>
      <c r="L619" s="82">
        <v>25.375</v>
      </c>
      <c r="M619" s="82">
        <v>0.61499999999999999</v>
      </c>
      <c r="N619" s="4">
        <v>7.1</v>
      </c>
      <c r="O619" s="27" t="s">
        <v>48</v>
      </c>
      <c r="P619" s="27">
        <v>4</v>
      </c>
      <c r="Q619" s="27">
        <v>10</v>
      </c>
      <c r="R619" s="27" t="s">
        <v>64</v>
      </c>
      <c r="S619" s="27" t="s">
        <v>50</v>
      </c>
      <c r="T619" s="27" t="s">
        <v>50</v>
      </c>
      <c r="U619" s="27" t="s">
        <v>50</v>
      </c>
      <c r="V619" s="27" t="s">
        <v>50</v>
      </c>
      <c r="W619" s="27" t="s">
        <v>50</v>
      </c>
      <c r="X619" s="27" t="s">
        <v>50</v>
      </c>
    </row>
    <row r="620" spans="1:25" x14ac:dyDescent="0.25">
      <c r="A620" s="26">
        <v>43391</v>
      </c>
      <c r="B620" s="27" t="s">
        <v>105</v>
      </c>
      <c r="C620" s="27" t="s">
        <v>78</v>
      </c>
      <c r="D620" s="89">
        <v>38.05433</v>
      </c>
      <c r="E620" s="89">
        <v>-122.07849</v>
      </c>
      <c r="F620" s="27" t="s">
        <v>6390</v>
      </c>
      <c r="G620" s="27" t="s">
        <v>80</v>
      </c>
      <c r="H620" s="27" t="s">
        <v>81</v>
      </c>
      <c r="I620" s="84">
        <v>0.40069444444444446</v>
      </c>
      <c r="J620" s="82">
        <v>20631.75</v>
      </c>
      <c r="K620" s="82">
        <v>17.524999999999999</v>
      </c>
      <c r="L620" s="82">
        <v>16.074999999999999</v>
      </c>
      <c r="M620" s="82">
        <v>0.79</v>
      </c>
      <c r="N620" s="4">
        <v>9.5500000000000007</v>
      </c>
      <c r="O620" s="27" t="s">
        <v>48</v>
      </c>
      <c r="P620" s="27">
        <v>4</v>
      </c>
      <c r="Q620" s="27">
        <v>10</v>
      </c>
      <c r="R620" s="27" t="s">
        <v>64</v>
      </c>
      <c r="S620" s="27" t="s">
        <v>50</v>
      </c>
      <c r="T620" s="27" t="s">
        <v>50</v>
      </c>
      <c r="U620" s="27" t="s">
        <v>50</v>
      </c>
      <c r="V620" s="27" t="s">
        <v>50</v>
      </c>
      <c r="W620" s="27" t="s">
        <v>50</v>
      </c>
      <c r="X620" s="27" t="s">
        <v>50</v>
      </c>
      <c r="Y620" s="35" t="s">
        <v>6391</v>
      </c>
    </row>
    <row r="621" spans="1:25" s="361" customFormat="1" x14ac:dyDescent="0.25">
      <c r="A621" s="360">
        <v>43391</v>
      </c>
      <c r="B621" s="361" t="s">
        <v>105</v>
      </c>
      <c r="C621" s="361" t="s">
        <v>78</v>
      </c>
      <c r="D621" s="362">
        <v>38.049149999999997</v>
      </c>
      <c r="E621" s="362">
        <v>-121.92281</v>
      </c>
      <c r="F621" s="361" t="s">
        <v>6392</v>
      </c>
      <c r="G621" s="361" t="s">
        <v>27</v>
      </c>
      <c r="H621" s="361" t="s">
        <v>101</v>
      </c>
      <c r="I621" s="363">
        <v>0.45833333333333331</v>
      </c>
      <c r="J621" s="364">
        <v>10084.25</v>
      </c>
      <c r="K621" s="364">
        <v>17.2</v>
      </c>
      <c r="L621" s="364">
        <v>19.95</v>
      </c>
      <c r="M621" s="364">
        <v>0.69750000000000001</v>
      </c>
      <c r="N621" s="365">
        <v>12.074999999999999</v>
      </c>
      <c r="O621" s="361" t="s">
        <v>48</v>
      </c>
      <c r="P621" s="361">
        <v>4</v>
      </c>
      <c r="Q621" s="361">
        <v>10</v>
      </c>
      <c r="R621" s="361" t="s">
        <v>64</v>
      </c>
      <c r="S621" s="361" t="s">
        <v>50</v>
      </c>
      <c r="T621" s="361" t="s">
        <v>50</v>
      </c>
      <c r="U621" s="361" t="s">
        <v>50</v>
      </c>
      <c r="V621" s="361" t="s">
        <v>50</v>
      </c>
      <c r="W621" s="361" t="s">
        <v>50</v>
      </c>
      <c r="X621" s="361" t="s">
        <v>50</v>
      </c>
      <c r="Y621" s="366" t="s">
        <v>6393</v>
      </c>
    </row>
    <row r="622" spans="1:25" x14ac:dyDescent="0.25">
      <c r="A622" s="26">
        <v>43395</v>
      </c>
      <c r="B622" s="27" t="s">
        <v>43</v>
      </c>
      <c r="C622" s="27" t="s">
        <v>95</v>
      </c>
      <c r="D622" s="89">
        <v>38.045299999999997</v>
      </c>
      <c r="E622" s="89">
        <v>-121.50282</v>
      </c>
      <c r="F622" s="27" t="s">
        <v>6394</v>
      </c>
      <c r="G622" s="27" t="s">
        <v>46</v>
      </c>
      <c r="H622" s="27" t="s">
        <v>115</v>
      </c>
      <c r="I622" s="84">
        <v>0.33194444444444443</v>
      </c>
      <c r="J622" s="82">
        <v>267.64999999999998</v>
      </c>
      <c r="K622" s="82">
        <v>17.7</v>
      </c>
      <c r="L622" s="82">
        <v>2.2749999999999999</v>
      </c>
      <c r="M622" s="82" t="s">
        <v>5829</v>
      </c>
      <c r="N622" s="4">
        <v>7.85</v>
      </c>
      <c r="O622" s="27" t="s">
        <v>48</v>
      </c>
      <c r="P622" s="27">
        <v>4</v>
      </c>
      <c r="Q622" s="27">
        <v>10</v>
      </c>
      <c r="R622" s="27" t="s">
        <v>49</v>
      </c>
      <c r="S622" s="27" t="s">
        <v>50</v>
      </c>
      <c r="T622" s="27" t="s">
        <v>50</v>
      </c>
      <c r="U622" s="27" t="s">
        <v>50</v>
      </c>
      <c r="V622" s="27" t="s">
        <v>50</v>
      </c>
      <c r="W622" s="27" t="s">
        <v>50</v>
      </c>
      <c r="X622" s="27" t="s">
        <v>50</v>
      </c>
    </row>
    <row r="623" spans="1:25" x14ac:dyDescent="0.25">
      <c r="A623" s="26">
        <v>43395</v>
      </c>
      <c r="B623" s="27" t="s">
        <v>43</v>
      </c>
      <c r="C623" s="27" t="s">
        <v>95</v>
      </c>
      <c r="D623" s="89">
        <v>38.055349999999997</v>
      </c>
      <c r="E623" s="89">
        <v>-121.5325</v>
      </c>
      <c r="F623" s="27" t="s">
        <v>6395</v>
      </c>
      <c r="G623" s="27" t="s">
        <v>46</v>
      </c>
      <c r="H623" s="27" t="s">
        <v>115</v>
      </c>
      <c r="I623" s="84">
        <v>0.37847222222222227</v>
      </c>
      <c r="J623" s="82">
        <v>277.25</v>
      </c>
      <c r="K623" s="82">
        <v>17.774999999999999</v>
      </c>
      <c r="L623" s="82">
        <v>2.1524999999999999</v>
      </c>
      <c r="M623" s="82" t="s">
        <v>5829</v>
      </c>
      <c r="N623" s="4">
        <v>11.925000000000001</v>
      </c>
      <c r="O623" s="27" t="s">
        <v>48</v>
      </c>
      <c r="P623" s="27">
        <v>4</v>
      </c>
      <c r="Q623" s="27">
        <v>10</v>
      </c>
      <c r="R623" s="27" t="s">
        <v>49</v>
      </c>
      <c r="S623" s="27" t="s">
        <v>50</v>
      </c>
      <c r="T623" s="27" t="s">
        <v>50</v>
      </c>
      <c r="U623" s="27" t="s">
        <v>50</v>
      </c>
      <c r="V623" s="27" t="s">
        <v>50</v>
      </c>
      <c r="W623" s="27" t="s">
        <v>50</v>
      </c>
      <c r="X623" s="27" t="s">
        <v>50</v>
      </c>
    </row>
    <row r="624" spans="1:25" x14ac:dyDescent="0.25">
      <c r="A624" s="26">
        <v>43395</v>
      </c>
      <c r="B624" s="27" t="s">
        <v>43</v>
      </c>
      <c r="C624" s="27" t="s">
        <v>95</v>
      </c>
      <c r="D624" s="89">
        <v>38.097580000000001</v>
      </c>
      <c r="E624" s="89">
        <v>-121.57556</v>
      </c>
      <c r="F624" s="27" t="s">
        <v>6396</v>
      </c>
      <c r="G624" s="27" t="s">
        <v>46</v>
      </c>
      <c r="H624" s="27" t="s">
        <v>115</v>
      </c>
      <c r="I624" s="84">
        <v>0.4381944444444445</v>
      </c>
      <c r="J624" s="82">
        <v>142.85</v>
      </c>
      <c r="K624" s="82">
        <v>16.600000000000001</v>
      </c>
      <c r="L624" s="82">
        <v>2.0259999999999998</v>
      </c>
      <c r="M624" s="82" t="s">
        <v>5829</v>
      </c>
      <c r="N624" s="4">
        <v>3.68</v>
      </c>
      <c r="O624" s="27" t="s">
        <v>48</v>
      </c>
      <c r="P624" s="27">
        <v>5</v>
      </c>
      <c r="Q624" s="27">
        <v>10</v>
      </c>
      <c r="R624" s="27" t="s">
        <v>49</v>
      </c>
      <c r="S624" s="27" t="s">
        <v>50</v>
      </c>
      <c r="T624" s="27" t="s">
        <v>50</v>
      </c>
      <c r="U624" s="27" t="s">
        <v>50</v>
      </c>
      <c r="V624" s="27" t="s">
        <v>50</v>
      </c>
      <c r="W624" s="27" t="s">
        <v>50</v>
      </c>
      <c r="X624" s="27" t="s">
        <v>50</v>
      </c>
      <c r="Y624" s="35" t="s">
        <v>6397</v>
      </c>
    </row>
    <row r="625" spans="1:25" x14ac:dyDescent="0.25">
      <c r="A625" s="26">
        <v>43395</v>
      </c>
      <c r="B625" s="27" t="s">
        <v>43</v>
      </c>
      <c r="C625" s="27" t="s">
        <v>106</v>
      </c>
      <c r="D625" s="89">
        <v>38.8371</v>
      </c>
      <c r="E625" s="89">
        <v>-121.66107</v>
      </c>
      <c r="F625" s="27" t="s">
        <v>6398</v>
      </c>
      <c r="G625" s="27" t="s">
        <v>90</v>
      </c>
      <c r="H625" s="27" t="s">
        <v>362</v>
      </c>
      <c r="I625" s="84">
        <v>0.32083333333333336</v>
      </c>
      <c r="J625" s="82">
        <v>101.36750000000001</v>
      </c>
      <c r="K625" s="82">
        <v>17.125</v>
      </c>
      <c r="L625" s="82">
        <v>4.915</v>
      </c>
      <c r="M625" s="82" t="s">
        <v>5829</v>
      </c>
      <c r="N625" s="4">
        <v>12.4725</v>
      </c>
      <c r="O625" s="27" t="s">
        <v>48</v>
      </c>
      <c r="P625" s="27">
        <v>4</v>
      </c>
      <c r="Q625" s="27">
        <v>10</v>
      </c>
      <c r="R625" s="27" t="s">
        <v>49</v>
      </c>
      <c r="S625" s="27" t="s">
        <v>50</v>
      </c>
      <c r="T625" s="27" t="s">
        <v>50</v>
      </c>
      <c r="U625" s="27" t="s">
        <v>50</v>
      </c>
      <c r="V625" s="27" t="s">
        <v>50</v>
      </c>
      <c r="W625" s="27" t="s">
        <v>50</v>
      </c>
      <c r="X625" s="27" t="s">
        <v>50</v>
      </c>
      <c r="Y625" s="35" t="s">
        <v>6188</v>
      </c>
    </row>
    <row r="626" spans="1:25" x14ac:dyDescent="0.25">
      <c r="A626" s="26">
        <v>43395</v>
      </c>
      <c r="B626" s="27" t="s">
        <v>43</v>
      </c>
      <c r="C626" s="27" t="s">
        <v>106</v>
      </c>
      <c r="D626" s="89">
        <v>38.261989999999997</v>
      </c>
      <c r="E626" s="89">
        <v>-121.6652</v>
      </c>
      <c r="F626" s="27" t="s">
        <v>6399</v>
      </c>
      <c r="G626" s="27" t="s">
        <v>90</v>
      </c>
      <c r="H626" s="27" t="s">
        <v>362</v>
      </c>
      <c r="I626" s="84">
        <v>0.37777777777777777</v>
      </c>
      <c r="J626" s="82">
        <v>172.97499999999999</v>
      </c>
      <c r="K626" s="82">
        <v>17.45</v>
      </c>
      <c r="L626" s="82">
        <v>10.077500000000001</v>
      </c>
      <c r="M626" s="82">
        <v>1.0449999999999999</v>
      </c>
      <c r="N626" s="4">
        <v>6.3025000000000002</v>
      </c>
      <c r="O626" s="27" t="s">
        <v>48</v>
      </c>
      <c r="P626" s="27">
        <v>4</v>
      </c>
      <c r="Q626" s="27">
        <v>10</v>
      </c>
      <c r="R626" s="27" t="s">
        <v>49</v>
      </c>
      <c r="S626" s="27" t="s">
        <v>50</v>
      </c>
      <c r="T626" s="27" t="s">
        <v>50</v>
      </c>
      <c r="U626" s="27" t="s">
        <v>50</v>
      </c>
      <c r="V626" s="27" t="s">
        <v>50</v>
      </c>
      <c r="W626" s="27" t="s">
        <v>50</v>
      </c>
      <c r="X626" s="27" t="s">
        <v>50</v>
      </c>
      <c r="Y626" s="35" t="s">
        <v>6188</v>
      </c>
    </row>
    <row r="627" spans="1:25" x14ac:dyDescent="0.25">
      <c r="A627" s="26">
        <v>43395</v>
      </c>
      <c r="B627" s="27" t="s">
        <v>43</v>
      </c>
      <c r="C627" s="27" t="s">
        <v>106</v>
      </c>
      <c r="D627" s="89">
        <v>38.361400000000003</v>
      </c>
      <c r="E627" s="89">
        <v>-121.63540999999999</v>
      </c>
      <c r="F627" s="27" t="s">
        <v>6400</v>
      </c>
      <c r="G627" s="27" t="s">
        <v>90</v>
      </c>
      <c r="H627" s="27" t="s">
        <v>362</v>
      </c>
      <c r="I627" s="84">
        <v>0.4368055555555555</v>
      </c>
      <c r="J627" s="82">
        <v>376.625</v>
      </c>
      <c r="K627" s="82">
        <v>17.899999999999999</v>
      </c>
      <c r="L627" s="82">
        <v>50</v>
      </c>
      <c r="M627" s="82">
        <v>0.25750000000000001</v>
      </c>
      <c r="N627" s="4">
        <v>9.6125000000000007</v>
      </c>
      <c r="O627" s="27" t="s">
        <v>48</v>
      </c>
      <c r="P627" s="27">
        <v>4</v>
      </c>
      <c r="Q627" s="27">
        <v>10</v>
      </c>
      <c r="R627" s="27" t="s">
        <v>49</v>
      </c>
      <c r="S627" s="27" t="s">
        <v>50</v>
      </c>
      <c r="T627" s="27" t="s">
        <v>50</v>
      </c>
      <c r="U627" s="27" t="s">
        <v>50</v>
      </c>
      <c r="V627" s="27" t="s">
        <v>50</v>
      </c>
      <c r="W627" s="27" t="s">
        <v>50</v>
      </c>
      <c r="X627" s="27" t="s">
        <v>50</v>
      </c>
      <c r="Y627" s="35" t="s">
        <v>6401</v>
      </c>
    </row>
    <row r="628" spans="1:25" x14ac:dyDescent="0.25">
      <c r="A628" s="26">
        <v>43395</v>
      </c>
      <c r="B628" s="27" t="s">
        <v>43</v>
      </c>
      <c r="C628" s="27" t="s">
        <v>78</v>
      </c>
      <c r="D628" s="89">
        <v>38.062800000000003</v>
      </c>
      <c r="E628" s="89">
        <v>-121.84837</v>
      </c>
      <c r="F628" s="27" t="s">
        <v>6402</v>
      </c>
      <c r="G628" s="27" t="s">
        <v>27</v>
      </c>
      <c r="H628" s="27" t="s">
        <v>101</v>
      </c>
      <c r="I628" s="84">
        <v>0.33888888888888885</v>
      </c>
      <c r="J628" s="82">
        <v>7542.25</v>
      </c>
      <c r="K628" s="82">
        <v>17.100000000000001</v>
      </c>
      <c r="L628" s="82">
        <v>11.725</v>
      </c>
      <c r="M628" s="82">
        <v>0.69</v>
      </c>
      <c r="N628" s="4">
        <v>6.375</v>
      </c>
      <c r="O628" s="27" t="s">
        <v>48</v>
      </c>
      <c r="P628" s="27">
        <v>4</v>
      </c>
      <c r="Q628" s="27">
        <v>10</v>
      </c>
      <c r="R628" s="27" t="s">
        <v>49</v>
      </c>
      <c r="S628" s="27" t="s">
        <v>50</v>
      </c>
      <c r="T628" s="27" t="s">
        <v>50</v>
      </c>
      <c r="U628" s="27" t="s">
        <v>50</v>
      </c>
      <c r="V628" s="27" t="s">
        <v>50</v>
      </c>
      <c r="W628" s="27" t="s">
        <v>50</v>
      </c>
      <c r="X628" s="27" t="s">
        <v>50</v>
      </c>
      <c r="Y628" s="35" t="s">
        <v>6188</v>
      </c>
    </row>
    <row r="629" spans="1:25" x14ac:dyDescent="0.25">
      <c r="A629" s="26">
        <v>43395</v>
      </c>
      <c r="B629" s="27" t="s">
        <v>43</v>
      </c>
      <c r="C629" s="27" t="s">
        <v>78</v>
      </c>
      <c r="D629" s="89">
        <v>38.073869999999999</v>
      </c>
      <c r="E629" s="89">
        <v>-121.95358</v>
      </c>
      <c r="F629" s="27" t="s">
        <v>6403</v>
      </c>
      <c r="G629" s="27" t="s">
        <v>27</v>
      </c>
      <c r="H629" s="27" t="s">
        <v>170</v>
      </c>
      <c r="I629" s="84">
        <v>0.41319444444444442</v>
      </c>
      <c r="J629" s="82">
        <v>13088.25</v>
      </c>
      <c r="K629" s="82">
        <v>16.899999999999999</v>
      </c>
      <c r="L629" s="82">
        <v>33.5</v>
      </c>
      <c r="M629" s="82">
        <v>0.46750000000000003</v>
      </c>
      <c r="N629" s="4">
        <v>2.9750000000000001</v>
      </c>
      <c r="O629" s="27" t="s">
        <v>48</v>
      </c>
      <c r="P629" s="27">
        <v>4</v>
      </c>
      <c r="Q629" s="27">
        <v>10</v>
      </c>
      <c r="R629" s="27" t="s">
        <v>64</v>
      </c>
      <c r="S629" s="27" t="s">
        <v>50</v>
      </c>
      <c r="T629" s="27" t="s">
        <v>50</v>
      </c>
      <c r="U629" s="27" t="s">
        <v>50</v>
      </c>
      <c r="V629" s="27" t="s">
        <v>50</v>
      </c>
      <c r="W629" s="27" t="s">
        <v>50</v>
      </c>
      <c r="X629" s="27" t="s">
        <v>50</v>
      </c>
      <c r="Y629" s="35" t="s">
        <v>6188</v>
      </c>
    </row>
    <row r="630" spans="1:25" x14ac:dyDescent="0.25">
      <c r="A630" s="26">
        <v>43395</v>
      </c>
      <c r="B630" s="27" t="s">
        <v>43</v>
      </c>
      <c r="C630" s="27" t="s">
        <v>78</v>
      </c>
      <c r="D630" s="89">
        <v>38.057180000000002</v>
      </c>
      <c r="E630" s="89">
        <v>-122.06689</v>
      </c>
      <c r="F630" s="27" t="s">
        <v>6404</v>
      </c>
      <c r="G630" s="27" t="s">
        <v>80</v>
      </c>
      <c r="H630" s="27" t="s">
        <v>81</v>
      </c>
      <c r="I630" s="84">
        <v>0.47986111111111113</v>
      </c>
      <c r="J630" s="82">
        <v>22295.75</v>
      </c>
      <c r="K630" s="82">
        <v>17.350000000000001</v>
      </c>
      <c r="L630" s="82">
        <v>27.725000000000001</v>
      </c>
      <c r="M630" s="82">
        <v>0.54749999999999999</v>
      </c>
      <c r="N630" s="4">
        <v>7.9749999999999996</v>
      </c>
      <c r="O630" s="27" t="s">
        <v>48</v>
      </c>
      <c r="P630" s="27">
        <v>4</v>
      </c>
      <c r="Q630" s="27">
        <v>10</v>
      </c>
      <c r="R630" s="27" t="s">
        <v>64</v>
      </c>
      <c r="S630" s="27" t="s">
        <v>50</v>
      </c>
      <c r="T630" s="27" t="s">
        <v>50</v>
      </c>
      <c r="U630" s="27" t="s">
        <v>50</v>
      </c>
      <c r="V630" s="27" t="s">
        <v>50</v>
      </c>
      <c r="W630" s="27" t="s">
        <v>50</v>
      </c>
      <c r="X630" s="27" t="s">
        <v>50</v>
      </c>
      <c r="Y630" s="35" t="s">
        <v>6188</v>
      </c>
    </row>
    <row r="631" spans="1:25" x14ac:dyDescent="0.25">
      <c r="A631" s="26">
        <v>43396</v>
      </c>
      <c r="B631" s="27" t="s">
        <v>70</v>
      </c>
      <c r="C631" s="27" t="s">
        <v>95</v>
      </c>
      <c r="D631" s="89">
        <v>38.102760000000004</v>
      </c>
      <c r="E631" s="89">
        <v>-121.61302999999999</v>
      </c>
      <c r="F631" s="27" t="s">
        <v>6405</v>
      </c>
      <c r="G631" s="27" t="s">
        <v>46</v>
      </c>
      <c r="H631" s="27" t="s">
        <v>908</v>
      </c>
      <c r="I631" s="84">
        <v>0.31527777777777777</v>
      </c>
      <c r="J631" s="82">
        <v>443</v>
      </c>
      <c r="K631" s="82">
        <v>17.575000000000003</v>
      </c>
      <c r="L631" s="82">
        <v>5.7050000000000001</v>
      </c>
      <c r="M631" s="82">
        <v>1.5325</v>
      </c>
      <c r="N631" s="4">
        <v>10.225</v>
      </c>
      <c r="O631" s="27" t="s">
        <v>48</v>
      </c>
      <c r="P631" s="27">
        <v>4</v>
      </c>
      <c r="Q631" s="27">
        <v>10</v>
      </c>
      <c r="R631" s="27" t="s">
        <v>49</v>
      </c>
      <c r="S631" s="27" t="s">
        <v>50</v>
      </c>
      <c r="T631" s="27" t="s">
        <v>50</v>
      </c>
      <c r="U631" s="27" t="s">
        <v>50</v>
      </c>
      <c r="V631" s="27" t="s">
        <v>50</v>
      </c>
      <c r="W631" s="27" t="s">
        <v>50</v>
      </c>
      <c r="X631" s="27" t="s">
        <v>50</v>
      </c>
    </row>
    <row r="632" spans="1:25" x14ac:dyDescent="0.25">
      <c r="A632" s="26">
        <v>43396</v>
      </c>
      <c r="B632" s="27" t="s">
        <v>70</v>
      </c>
      <c r="C632" s="27" t="s">
        <v>95</v>
      </c>
      <c r="D632" s="89">
        <v>38.094050000000003</v>
      </c>
      <c r="E632" s="89">
        <v>-121.6596</v>
      </c>
      <c r="F632" s="27" t="s">
        <v>6406</v>
      </c>
      <c r="G632" s="27" t="s">
        <v>46</v>
      </c>
      <c r="H632" s="27" t="s">
        <v>908</v>
      </c>
      <c r="I632" s="84">
        <v>0.37013888888888885</v>
      </c>
      <c r="J632" s="82">
        <v>643.25</v>
      </c>
      <c r="K632" s="82">
        <v>17.600000000000001</v>
      </c>
      <c r="L632" s="82">
        <v>5.5375000000000005</v>
      </c>
      <c r="M632" s="82">
        <v>1.4550000000000001</v>
      </c>
      <c r="N632" s="4">
        <v>13.85</v>
      </c>
      <c r="O632" s="27" t="s">
        <v>48</v>
      </c>
      <c r="P632" s="27">
        <v>4</v>
      </c>
      <c r="Q632" s="27">
        <v>10</v>
      </c>
      <c r="R632" s="27" t="s">
        <v>49</v>
      </c>
      <c r="S632" s="27" t="s">
        <v>50</v>
      </c>
      <c r="T632" s="27" t="s">
        <v>50</v>
      </c>
      <c r="U632" s="27" t="s">
        <v>50</v>
      </c>
      <c r="V632" s="27" t="s">
        <v>50</v>
      </c>
      <c r="W632" s="27" t="s">
        <v>50</v>
      </c>
      <c r="X632" s="27" t="s">
        <v>50</v>
      </c>
    </row>
    <row r="633" spans="1:25" x14ac:dyDescent="0.25">
      <c r="A633" s="26">
        <v>43396</v>
      </c>
      <c r="B633" s="27" t="s">
        <v>70</v>
      </c>
      <c r="C633" s="27" t="s">
        <v>95</v>
      </c>
      <c r="D633" s="89">
        <v>38.025959999999998</v>
      </c>
      <c r="E633" s="89">
        <v>-121.74136</v>
      </c>
      <c r="F633" s="27" t="s">
        <v>6407</v>
      </c>
      <c r="G633" s="27" t="s">
        <v>27</v>
      </c>
      <c r="H633" s="27" t="s">
        <v>863</v>
      </c>
      <c r="I633" s="84">
        <v>0.43888888888888888</v>
      </c>
      <c r="J633" s="82">
        <v>1657.25</v>
      </c>
      <c r="K633" s="82">
        <v>17.324999999999999</v>
      </c>
      <c r="L633" s="82">
        <v>6.6</v>
      </c>
      <c r="M633" s="82">
        <v>1.3299999999999998</v>
      </c>
      <c r="N633" s="4">
        <v>10.175000000000001</v>
      </c>
      <c r="O633" s="27" t="s">
        <v>48</v>
      </c>
      <c r="P633" s="27">
        <v>4</v>
      </c>
      <c r="Q633" s="27">
        <v>10</v>
      </c>
      <c r="R633" s="27" t="s">
        <v>49</v>
      </c>
      <c r="S633" s="27" t="s">
        <v>50</v>
      </c>
      <c r="T633" s="27" t="s">
        <v>50</v>
      </c>
      <c r="U633" s="27" t="s">
        <v>50</v>
      </c>
      <c r="V633" s="27" t="s">
        <v>50</v>
      </c>
      <c r="W633" s="27" t="s">
        <v>50</v>
      </c>
      <c r="X633" s="27" t="s">
        <v>50</v>
      </c>
    </row>
    <row r="634" spans="1:25" x14ac:dyDescent="0.25">
      <c r="A634" s="26">
        <v>43396</v>
      </c>
      <c r="B634" s="27" t="s">
        <v>70</v>
      </c>
      <c r="C634" s="27" t="s">
        <v>95</v>
      </c>
      <c r="D634" s="89">
        <v>38.080680000000001</v>
      </c>
      <c r="E634" s="89">
        <v>-121.67932999999999</v>
      </c>
      <c r="F634" s="27" t="s">
        <v>6408</v>
      </c>
      <c r="G634" s="27" t="s">
        <v>46</v>
      </c>
      <c r="H634" s="27" t="s">
        <v>908</v>
      </c>
      <c r="I634" s="84">
        <v>0.49652777777777773</v>
      </c>
      <c r="J634" s="82">
        <v>788.25</v>
      </c>
      <c r="K634" s="82">
        <v>17.675000000000001</v>
      </c>
      <c r="L634" s="82">
        <v>4.9800000000000004</v>
      </c>
      <c r="M634" s="82">
        <v>1.625</v>
      </c>
      <c r="N634" s="4">
        <v>12.05</v>
      </c>
      <c r="O634" s="27" t="s">
        <v>48</v>
      </c>
      <c r="P634" s="27">
        <v>4</v>
      </c>
      <c r="Q634" s="27">
        <v>10</v>
      </c>
      <c r="R634" s="27" t="s">
        <v>64</v>
      </c>
      <c r="S634" s="27" t="s">
        <v>50</v>
      </c>
      <c r="T634" s="27" t="s">
        <v>50</v>
      </c>
      <c r="U634" s="27" t="s">
        <v>50</v>
      </c>
      <c r="V634" s="27" t="s">
        <v>50</v>
      </c>
      <c r="W634" s="27" t="s">
        <v>50</v>
      </c>
      <c r="X634" s="27" t="s">
        <v>50</v>
      </c>
    </row>
    <row r="635" spans="1:25" s="149" customFormat="1" x14ac:dyDescent="0.25">
      <c r="A635" s="178">
        <v>43396</v>
      </c>
      <c r="B635" s="149" t="s">
        <v>70</v>
      </c>
      <c r="C635" s="149" t="s">
        <v>95</v>
      </c>
      <c r="D635" s="150">
        <v>38.044899999999998</v>
      </c>
      <c r="E635" s="150">
        <v>-121.70285</v>
      </c>
      <c r="F635" s="149" t="s">
        <v>6409</v>
      </c>
      <c r="G635" s="149" t="s">
        <v>27</v>
      </c>
      <c r="H635" s="149" t="s">
        <v>863</v>
      </c>
      <c r="I635" s="151">
        <v>0.42222222222222222</v>
      </c>
      <c r="J635" s="197" t="s">
        <v>50</v>
      </c>
      <c r="K635" s="197" t="s">
        <v>50</v>
      </c>
      <c r="L635" s="197" t="s">
        <v>50</v>
      </c>
      <c r="M635" s="197" t="s">
        <v>50</v>
      </c>
      <c r="N635" s="197" t="s">
        <v>50</v>
      </c>
      <c r="O635" s="149" t="s">
        <v>48</v>
      </c>
      <c r="P635" s="149">
        <v>0</v>
      </c>
      <c r="Q635" s="149" t="s">
        <v>50</v>
      </c>
      <c r="R635" s="149" t="s">
        <v>50</v>
      </c>
      <c r="S635" s="149" t="s">
        <v>50</v>
      </c>
      <c r="T635" s="149" t="s">
        <v>50</v>
      </c>
      <c r="U635" s="149" t="s">
        <v>50</v>
      </c>
      <c r="V635" s="149" t="s">
        <v>50</v>
      </c>
      <c r="W635" s="149" t="s">
        <v>50</v>
      </c>
      <c r="X635" s="149" t="s">
        <v>50</v>
      </c>
      <c r="Y635" s="152" t="s">
        <v>6410</v>
      </c>
    </row>
    <row r="636" spans="1:25" x14ac:dyDescent="0.25">
      <c r="A636" s="26">
        <v>43396</v>
      </c>
      <c r="B636" s="27" t="s">
        <v>70</v>
      </c>
      <c r="C636" s="27" t="s">
        <v>78</v>
      </c>
      <c r="D636" s="89">
        <v>38.051389999999998</v>
      </c>
      <c r="E636" s="89">
        <v>-121.92988</v>
      </c>
      <c r="F636" s="27" t="s">
        <v>6411</v>
      </c>
      <c r="G636" s="27" t="s">
        <v>27</v>
      </c>
      <c r="H636" s="27" t="s">
        <v>101</v>
      </c>
      <c r="I636" s="84">
        <v>0.33124999999999999</v>
      </c>
      <c r="J636" s="82">
        <v>11748.75</v>
      </c>
      <c r="K636" s="82">
        <v>16.774999999999999</v>
      </c>
      <c r="L636" s="82">
        <v>30.075000000000003</v>
      </c>
      <c r="M636" s="82">
        <v>0.45499999999999996</v>
      </c>
      <c r="N636" s="4">
        <v>7.875</v>
      </c>
      <c r="O636" s="27" t="s">
        <v>48</v>
      </c>
      <c r="P636" s="27">
        <v>4</v>
      </c>
      <c r="Q636" s="27">
        <v>10</v>
      </c>
      <c r="R636" s="27" t="s">
        <v>49</v>
      </c>
      <c r="S636" s="27" t="s">
        <v>50</v>
      </c>
      <c r="T636" s="27" t="s">
        <v>50</v>
      </c>
      <c r="U636" s="27" t="s">
        <v>50</v>
      </c>
      <c r="V636" s="27" t="s">
        <v>50</v>
      </c>
      <c r="W636" s="27" t="s">
        <v>50</v>
      </c>
      <c r="X636" s="27" t="s">
        <v>50</v>
      </c>
    </row>
    <row r="637" spans="1:25" x14ac:dyDescent="0.25">
      <c r="A637" s="26">
        <v>43396</v>
      </c>
      <c r="B637" s="27" t="s">
        <v>70</v>
      </c>
      <c r="C637" s="27" t="s">
        <v>78</v>
      </c>
      <c r="D637" s="89">
        <v>38.079590000000003</v>
      </c>
      <c r="E637" s="89">
        <v>-122.09217</v>
      </c>
      <c r="F637" s="27" t="s">
        <v>6412</v>
      </c>
      <c r="G637" s="27" t="s">
        <v>80</v>
      </c>
      <c r="H637" s="27" t="s">
        <v>81</v>
      </c>
      <c r="I637" s="84">
        <v>0.39930555555555558</v>
      </c>
      <c r="J637" s="82">
        <v>18158.25</v>
      </c>
      <c r="K637" s="82">
        <v>16.350000000000001</v>
      </c>
      <c r="L637" s="82">
        <v>28.8</v>
      </c>
      <c r="M637" s="82">
        <v>0.41749999999999998</v>
      </c>
      <c r="N637" s="4">
        <v>7.7</v>
      </c>
      <c r="O637" s="27" t="s">
        <v>48</v>
      </c>
      <c r="P637" s="27">
        <v>4</v>
      </c>
      <c r="Q637" s="27">
        <v>10</v>
      </c>
      <c r="R637" s="27" t="s">
        <v>64</v>
      </c>
      <c r="S637" s="27" t="s">
        <v>50</v>
      </c>
      <c r="T637" s="27" t="s">
        <v>50</v>
      </c>
      <c r="U637" s="27" t="s">
        <v>50</v>
      </c>
      <c r="V637" s="27" t="s">
        <v>50</v>
      </c>
      <c r="W637" s="27" t="s">
        <v>50</v>
      </c>
      <c r="X637" s="27" t="s">
        <v>50</v>
      </c>
    </row>
    <row r="638" spans="1:25" x14ac:dyDescent="0.25">
      <c r="A638" s="26">
        <v>43396</v>
      </c>
      <c r="B638" s="27" t="s">
        <v>70</v>
      </c>
      <c r="C638" s="27" t="s">
        <v>78</v>
      </c>
      <c r="D638" s="89">
        <v>38.037509999999997</v>
      </c>
      <c r="E638" s="89">
        <v>-121.83672</v>
      </c>
      <c r="F638" s="27" t="s">
        <v>6413</v>
      </c>
      <c r="G638" s="27" t="s">
        <v>27</v>
      </c>
      <c r="H638" s="27" t="s">
        <v>101</v>
      </c>
      <c r="I638" s="84">
        <v>0.47222222222222227</v>
      </c>
      <c r="J638" s="82">
        <v>4239.75</v>
      </c>
      <c r="K638" s="82">
        <v>17.25</v>
      </c>
      <c r="L638" s="82">
        <v>11.0375</v>
      </c>
      <c r="M638" s="82">
        <v>1.0375000000000001</v>
      </c>
      <c r="N638" s="4">
        <v>4.3499999999999996</v>
      </c>
      <c r="O638" s="27" t="s">
        <v>48</v>
      </c>
      <c r="P638" s="27">
        <v>4</v>
      </c>
      <c r="Q638" s="27">
        <v>10</v>
      </c>
      <c r="R638" s="27" t="s">
        <v>64</v>
      </c>
      <c r="S638" s="27" t="s">
        <v>50</v>
      </c>
      <c r="T638" s="27" t="s">
        <v>50</v>
      </c>
      <c r="U638" s="27" t="s">
        <v>50</v>
      </c>
      <c r="V638" s="27" t="s">
        <v>50</v>
      </c>
      <c r="W638" s="27" t="s">
        <v>50</v>
      </c>
      <c r="X638" s="27" t="s">
        <v>50</v>
      </c>
    </row>
    <row r="639" spans="1:25" x14ac:dyDescent="0.25">
      <c r="A639" s="26">
        <v>43396</v>
      </c>
      <c r="B639" s="27" t="s">
        <v>70</v>
      </c>
      <c r="C639" s="27" t="s">
        <v>106</v>
      </c>
      <c r="D639" s="89">
        <v>38.49924</v>
      </c>
      <c r="E639" s="89">
        <v>-121.58394</v>
      </c>
      <c r="F639" s="27" t="s">
        <v>6414</v>
      </c>
      <c r="G639" s="27" t="s">
        <v>90</v>
      </c>
      <c r="H639" s="27" t="s">
        <v>1787</v>
      </c>
      <c r="I639" s="84">
        <v>0.3527777777777778</v>
      </c>
      <c r="J639" s="82">
        <v>742.75</v>
      </c>
      <c r="K639" s="82">
        <v>18.375</v>
      </c>
      <c r="L639" s="82">
        <v>14.475</v>
      </c>
      <c r="M639" s="82">
        <v>0.74500000000000011</v>
      </c>
      <c r="N639" s="4">
        <v>9.120000000000001</v>
      </c>
      <c r="O639" s="27" t="s">
        <v>48</v>
      </c>
      <c r="P639" s="27">
        <v>4</v>
      </c>
      <c r="Q639" s="27">
        <v>10</v>
      </c>
      <c r="R639" s="27" t="s">
        <v>49</v>
      </c>
      <c r="S639" s="27" t="s">
        <v>50</v>
      </c>
      <c r="T639" s="27" t="s">
        <v>50</v>
      </c>
      <c r="U639" s="27" t="s">
        <v>50</v>
      </c>
      <c r="V639" s="27" t="s">
        <v>50</v>
      </c>
      <c r="W639" s="27" t="s">
        <v>50</v>
      </c>
      <c r="X639" s="27" t="s">
        <v>50</v>
      </c>
      <c r="Y639" s="35" t="s">
        <v>6415</v>
      </c>
    </row>
    <row r="640" spans="1:25" x14ac:dyDescent="0.25">
      <c r="A640" s="26">
        <v>43396</v>
      </c>
      <c r="B640" s="27" t="s">
        <v>70</v>
      </c>
      <c r="C640" s="27" t="s">
        <v>106</v>
      </c>
      <c r="D640" s="89">
        <v>38.280059999999999</v>
      </c>
      <c r="E640" s="89">
        <v>-121.66033</v>
      </c>
      <c r="F640" s="27" t="s">
        <v>6416</v>
      </c>
      <c r="G640" s="27" t="s">
        <v>90</v>
      </c>
      <c r="H640" s="27" t="s">
        <v>362</v>
      </c>
      <c r="I640" s="84">
        <v>0.44444444444444442</v>
      </c>
      <c r="J640" s="82">
        <v>203.02499999999998</v>
      </c>
      <c r="K640" s="82">
        <v>17.524999999999999</v>
      </c>
      <c r="L640" s="82">
        <v>15.6</v>
      </c>
      <c r="M640" s="82">
        <v>0.71750000000000003</v>
      </c>
      <c r="N640" s="4">
        <v>10.635</v>
      </c>
      <c r="O640" s="27" t="s">
        <v>48</v>
      </c>
      <c r="P640" s="27">
        <v>4</v>
      </c>
      <c r="Q640" s="27">
        <v>10</v>
      </c>
      <c r="R640" s="27" t="s">
        <v>64</v>
      </c>
      <c r="S640" s="27" t="s">
        <v>50</v>
      </c>
      <c r="T640" s="27" t="s">
        <v>50</v>
      </c>
      <c r="U640" s="27" t="s">
        <v>50</v>
      </c>
      <c r="V640" s="27" t="s">
        <v>50</v>
      </c>
      <c r="W640" s="27" t="s">
        <v>50</v>
      </c>
      <c r="X640" s="27" t="s">
        <v>50</v>
      </c>
      <c r="Y640" s="87" t="s">
        <v>6341</v>
      </c>
    </row>
    <row r="641" spans="1:25" x14ac:dyDescent="0.25">
      <c r="A641" s="26">
        <v>43396</v>
      </c>
      <c r="B641" s="27" t="s">
        <v>70</v>
      </c>
      <c r="C641" s="27" t="s">
        <v>106</v>
      </c>
      <c r="D641" s="89">
        <v>38.241019999999999</v>
      </c>
      <c r="E641" s="89">
        <v>-121.6713</v>
      </c>
      <c r="F641" s="27" t="s">
        <v>6417</v>
      </c>
      <c r="G641" s="27" t="s">
        <v>90</v>
      </c>
      <c r="H641" s="27" t="s">
        <v>362</v>
      </c>
      <c r="I641" s="84">
        <v>0.5180555555555556</v>
      </c>
      <c r="J641" s="82">
        <v>140.625</v>
      </c>
      <c r="K641" s="82">
        <v>16.95</v>
      </c>
      <c r="L641" s="82">
        <v>5.5075000000000003</v>
      </c>
      <c r="M641" s="82" t="s">
        <v>5829</v>
      </c>
      <c r="N641" s="4">
        <v>7.3875000000000002</v>
      </c>
      <c r="O641" s="27" t="s">
        <v>48</v>
      </c>
      <c r="P641" s="27">
        <v>4</v>
      </c>
      <c r="Q641" s="27">
        <v>10</v>
      </c>
      <c r="R641" s="27" t="s">
        <v>64</v>
      </c>
      <c r="S641" s="27" t="s">
        <v>50</v>
      </c>
      <c r="T641" s="27" t="s">
        <v>50</v>
      </c>
      <c r="U641" s="27" t="s">
        <v>50</v>
      </c>
      <c r="V641" s="27" t="s">
        <v>50</v>
      </c>
      <c r="W641" s="27" t="s">
        <v>50</v>
      </c>
      <c r="X641" s="27" t="s">
        <v>50</v>
      </c>
    </row>
    <row r="642" spans="1:25" x14ac:dyDescent="0.25">
      <c r="A642" s="26">
        <v>43398</v>
      </c>
      <c r="B642" s="27" t="s">
        <v>105</v>
      </c>
      <c r="C642" s="27" t="s">
        <v>845</v>
      </c>
      <c r="D642" s="89">
        <v>38.251750000000001</v>
      </c>
      <c r="E642" s="89">
        <v>-121.72289000000001</v>
      </c>
      <c r="F642" s="27" t="s">
        <v>6418</v>
      </c>
      <c r="G642" s="27" t="s">
        <v>90</v>
      </c>
      <c r="H642" s="27" t="s">
        <v>126</v>
      </c>
      <c r="I642" s="84">
        <v>0.33611111111111108</v>
      </c>
      <c r="J642" s="82">
        <v>147.52500000000003</v>
      </c>
      <c r="K642" s="82">
        <v>16.575000000000003</v>
      </c>
      <c r="L642" s="82">
        <v>3.23</v>
      </c>
      <c r="M642" s="82" t="s">
        <v>5829</v>
      </c>
      <c r="N642" s="4">
        <v>5.5499999999999989</v>
      </c>
      <c r="O642" s="27" t="s">
        <v>48</v>
      </c>
      <c r="P642" s="27">
        <v>4</v>
      </c>
      <c r="Q642" s="27">
        <v>10</v>
      </c>
      <c r="R642" s="27" t="s">
        <v>49</v>
      </c>
      <c r="S642" s="27" t="s">
        <v>50</v>
      </c>
      <c r="T642" s="27" t="s">
        <v>50</v>
      </c>
      <c r="U642" s="27" t="s">
        <v>50</v>
      </c>
      <c r="V642" s="27" t="s">
        <v>50</v>
      </c>
      <c r="W642" s="27" t="s">
        <v>50</v>
      </c>
      <c r="X642" s="27" t="s">
        <v>50</v>
      </c>
      <c r="Y642" s="35" t="s">
        <v>5136</v>
      </c>
    </row>
    <row r="643" spans="1:25" x14ac:dyDescent="0.25">
      <c r="A643" s="26">
        <v>43398</v>
      </c>
      <c r="B643" s="27" t="s">
        <v>105</v>
      </c>
      <c r="C643" s="27" t="s">
        <v>845</v>
      </c>
      <c r="D643" s="89">
        <v>38.236260000000001</v>
      </c>
      <c r="E643" s="89">
        <v>-121.68319</v>
      </c>
      <c r="F643" s="27" t="s">
        <v>6419</v>
      </c>
      <c r="G643" s="27" t="s">
        <v>90</v>
      </c>
      <c r="H643" s="27" t="s">
        <v>126</v>
      </c>
      <c r="I643" s="84">
        <v>0.39097222222222222</v>
      </c>
      <c r="J643" s="82">
        <v>135.375</v>
      </c>
      <c r="K643" s="82">
        <v>16.600000000000001</v>
      </c>
      <c r="L643" s="82">
        <v>4.49</v>
      </c>
      <c r="M643" s="82" t="s">
        <v>5829</v>
      </c>
      <c r="N643" s="4">
        <v>13.5</v>
      </c>
      <c r="O643" s="27" t="s">
        <v>48</v>
      </c>
      <c r="P643" s="27">
        <v>4</v>
      </c>
      <c r="Q643" s="27">
        <v>10</v>
      </c>
      <c r="R643" s="27" t="s">
        <v>49</v>
      </c>
      <c r="S643" s="27" t="s">
        <v>50</v>
      </c>
      <c r="T643" s="27" t="s">
        <v>50</v>
      </c>
      <c r="U643" s="27" t="s">
        <v>50</v>
      </c>
      <c r="V643" s="27" t="s">
        <v>50</v>
      </c>
      <c r="W643" s="27" t="s">
        <v>50</v>
      </c>
      <c r="X643" s="27" t="s">
        <v>50</v>
      </c>
    </row>
    <row r="644" spans="1:25" x14ac:dyDescent="0.25">
      <c r="A644" s="26">
        <v>43398</v>
      </c>
      <c r="B644" s="27" t="s">
        <v>105</v>
      </c>
      <c r="C644" s="27" t="s">
        <v>845</v>
      </c>
      <c r="D644" s="89">
        <v>38.31859</v>
      </c>
      <c r="E644" s="89">
        <v>-121.66705</v>
      </c>
      <c r="F644" s="27" t="s">
        <v>6420</v>
      </c>
      <c r="G644" s="27" t="s">
        <v>90</v>
      </c>
      <c r="H644" s="27" t="s">
        <v>126</v>
      </c>
      <c r="I644" s="84">
        <v>0.44722222222222219</v>
      </c>
      <c r="J644" s="82">
        <v>184.9</v>
      </c>
      <c r="K644" s="82">
        <v>16.324999999999999</v>
      </c>
      <c r="L644" s="82">
        <v>5.8049999999999997</v>
      </c>
      <c r="M644" s="82">
        <v>1.6025</v>
      </c>
      <c r="N644" s="4">
        <v>5.875</v>
      </c>
      <c r="O644" s="27" t="s">
        <v>48</v>
      </c>
      <c r="P644" s="27">
        <v>4</v>
      </c>
      <c r="Q644" s="27">
        <v>10</v>
      </c>
      <c r="R644" s="27" t="s">
        <v>49</v>
      </c>
      <c r="S644" s="27" t="s">
        <v>50</v>
      </c>
      <c r="T644" s="27" t="s">
        <v>50</v>
      </c>
      <c r="U644" s="27" t="s">
        <v>50</v>
      </c>
      <c r="V644" s="27" t="s">
        <v>50</v>
      </c>
      <c r="W644" s="27" t="s">
        <v>50</v>
      </c>
      <c r="X644" s="27" t="s">
        <v>50</v>
      </c>
    </row>
    <row r="645" spans="1:25" x14ac:dyDescent="0.25">
      <c r="A645" s="26">
        <v>43398</v>
      </c>
      <c r="B645" s="27" t="s">
        <v>105</v>
      </c>
      <c r="C645" s="27" t="s">
        <v>845</v>
      </c>
      <c r="D645" s="89">
        <v>38.328449999999997</v>
      </c>
      <c r="E645" s="89">
        <v>-121.66719999999999</v>
      </c>
      <c r="F645" s="27" t="s">
        <v>6421</v>
      </c>
      <c r="G645" s="27" t="s">
        <v>90</v>
      </c>
      <c r="H645" s="27" t="s">
        <v>126</v>
      </c>
      <c r="I645" s="84">
        <v>0.50347222222222221</v>
      </c>
      <c r="J645" s="82">
        <v>203.42500000000001</v>
      </c>
      <c r="K645" s="82">
        <v>16.424999999999997</v>
      </c>
      <c r="L645" s="82">
        <v>5.7524999999999995</v>
      </c>
      <c r="M645" s="82">
        <v>1.5949999999999998</v>
      </c>
      <c r="N645" s="4">
        <v>4.875</v>
      </c>
      <c r="O645" s="27" t="s">
        <v>48</v>
      </c>
      <c r="P645" s="27">
        <v>4</v>
      </c>
      <c r="Q645" s="27">
        <v>10</v>
      </c>
      <c r="R645" s="27" t="s">
        <v>49</v>
      </c>
      <c r="S645" s="27" t="s">
        <v>50</v>
      </c>
      <c r="T645" s="27" t="s">
        <v>50</v>
      </c>
      <c r="U645" s="27" t="s">
        <v>50</v>
      </c>
      <c r="V645" s="27" t="s">
        <v>50</v>
      </c>
      <c r="W645" s="27" t="s">
        <v>50</v>
      </c>
      <c r="X645" s="27" t="s">
        <v>50</v>
      </c>
      <c r="Y645" s="35" t="s">
        <v>6188</v>
      </c>
    </row>
    <row r="646" spans="1:25" x14ac:dyDescent="0.25">
      <c r="A646" s="26">
        <v>43398</v>
      </c>
      <c r="B646" s="27" t="s">
        <v>105</v>
      </c>
      <c r="C646" s="27" t="s">
        <v>62</v>
      </c>
      <c r="D646" s="89">
        <v>38.076729999999998</v>
      </c>
      <c r="E646" s="89">
        <v>-121.88356</v>
      </c>
      <c r="F646" s="27" t="s">
        <v>6422</v>
      </c>
      <c r="G646" s="27" t="s">
        <v>27</v>
      </c>
      <c r="H646" s="27" t="s">
        <v>62</v>
      </c>
      <c r="I646" s="84">
        <v>0.34027777777777773</v>
      </c>
      <c r="J646" s="82">
        <v>6025.25</v>
      </c>
      <c r="K646" s="82">
        <v>16.650000000000002</v>
      </c>
      <c r="L646" s="82">
        <v>11.987499999999999</v>
      </c>
      <c r="M646" s="82">
        <v>0.7649999999999999</v>
      </c>
      <c r="N646" s="4">
        <v>8.0250000000000004</v>
      </c>
      <c r="O646" s="27" t="s">
        <v>48</v>
      </c>
      <c r="P646" s="27">
        <v>4</v>
      </c>
      <c r="Q646" s="27">
        <v>10</v>
      </c>
      <c r="R646" s="27" t="s">
        <v>49</v>
      </c>
      <c r="S646" s="27" t="s">
        <v>50</v>
      </c>
      <c r="T646" s="27" t="s">
        <v>50</v>
      </c>
      <c r="U646" s="27" t="s">
        <v>50</v>
      </c>
      <c r="V646" s="27" t="s">
        <v>50</v>
      </c>
      <c r="W646" s="27" t="s">
        <v>50</v>
      </c>
      <c r="X646" s="27" t="s">
        <v>50</v>
      </c>
      <c r="Y646" s="35" t="s">
        <v>6188</v>
      </c>
    </row>
    <row r="647" spans="1:25" s="355" customFormat="1" x14ac:dyDescent="0.25">
      <c r="A647" s="354">
        <v>43398</v>
      </c>
      <c r="B647" s="355" t="s">
        <v>105</v>
      </c>
      <c r="C647" s="355" t="s">
        <v>62</v>
      </c>
      <c r="D647" s="356">
        <v>38.11703</v>
      </c>
      <c r="E647" s="356">
        <v>-122.06052</v>
      </c>
      <c r="F647" s="355" t="s">
        <v>6423</v>
      </c>
      <c r="G647" s="355" t="s">
        <v>27</v>
      </c>
      <c r="H647" s="355" t="s">
        <v>173</v>
      </c>
      <c r="I647" s="357">
        <v>0.4145833333333333</v>
      </c>
      <c r="J647" s="358">
        <v>14932.5</v>
      </c>
      <c r="K647" s="358">
        <v>16.5</v>
      </c>
      <c r="L647" s="358">
        <v>35.674999999999997</v>
      </c>
      <c r="M647" s="358">
        <v>0.43</v>
      </c>
      <c r="N647" s="359">
        <v>2.4499999999999997</v>
      </c>
      <c r="O647" s="355" t="s">
        <v>48</v>
      </c>
      <c r="P647" s="355">
        <v>4</v>
      </c>
      <c r="Q647" s="355">
        <v>10</v>
      </c>
      <c r="R647" s="355" t="s">
        <v>64</v>
      </c>
      <c r="S647" s="355" t="s">
        <v>31</v>
      </c>
      <c r="T647" s="355">
        <v>1</v>
      </c>
      <c r="U647" s="355">
        <v>73</v>
      </c>
      <c r="V647" s="355" t="s">
        <v>66</v>
      </c>
      <c r="W647" s="355" t="s">
        <v>50</v>
      </c>
      <c r="X647" s="355" t="s">
        <v>50</v>
      </c>
      <c r="Y647" s="371" t="s">
        <v>6424</v>
      </c>
    </row>
    <row r="648" spans="1:25" x14ac:dyDescent="0.25">
      <c r="A648" s="26">
        <v>43398</v>
      </c>
      <c r="B648" s="27" t="s">
        <v>105</v>
      </c>
      <c r="C648" s="27" t="s">
        <v>62</v>
      </c>
      <c r="D648" s="89">
        <v>38.176519999999996</v>
      </c>
      <c r="E648" s="89">
        <v>-122.05779</v>
      </c>
      <c r="F648" s="27" t="s">
        <v>6425</v>
      </c>
      <c r="G648" s="27" t="s">
        <v>27</v>
      </c>
      <c r="H648" s="27" t="s">
        <v>62</v>
      </c>
      <c r="I648" s="84">
        <v>0.47847222222222219</v>
      </c>
      <c r="J648" s="82">
        <v>12798.25</v>
      </c>
      <c r="K648" s="82">
        <v>16.774999999999999</v>
      </c>
      <c r="L648" s="82">
        <v>66.2</v>
      </c>
      <c r="M648" s="82">
        <v>0.26</v>
      </c>
      <c r="N648" s="4">
        <v>4.0999999999999996</v>
      </c>
      <c r="O648" s="27" t="s">
        <v>48</v>
      </c>
      <c r="P648" s="27">
        <v>4</v>
      </c>
      <c r="Q648" s="27">
        <v>10</v>
      </c>
      <c r="R648" s="27" t="s">
        <v>64</v>
      </c>
      <c r="S648" s="27" t="s">
        <v>50</v>
      </c>
      <c r="T648" s="27" t="s">
        <v>50</v>
      </c>
      <c r="U648" s="27" t="s">
        <v>50</v>
      </c>
      <c r="V648" s="27" t="s">
        <v>50</v>
      </c>
      <c r="W648" s="27" t="s">
        <v>50</v>
      </c>
      <c r="X648" s="27" t="s">
        <v>50</v>
      </c>
      <c r="Y648" s="35" t="s">
        <v>6188</v>
      </c>
    </row>
    <row r="649" spans="1:25" x14ac:dyDescent="0.25">
      <c r="A649" s="26">
        <v>43398</v>
      </c>
      <c r="B649" s="27" t="s">
        <v>105</v>
      </c>
      <c r="C649" s="27" t="s">
        <v>88</v>
      </c>
      <c r="D649" s="89">
        <v>38.060160000000003</v>
      </c>
      <c r="E649" s="89">
        <v>-121.78738</v>
      </c>
      <c r="F649" s="27" t="s">
        <v>6426</v>
      </c>
      <c r="G649" s="27" t="s">
        <v>27</v>
      </c>
      <c r="H649" s="27" t="s">
        <v>25</v>
      </c>
      <c r="I649" s="84">
        <v>0.31458333333333333</v>
      </c>
      <c r="J649" s="82">
        <v>6101</v>
      </c>
      <c r="K649" s="82">
        <v>16.725000000000001</v>
      </c>
      <c r="L649" s="82">
        <v>7.9474999999999998</v>
      </c>
      <c r="M649" s="82">
        <v>0.98750000000000004</v>
      </c>
      <c r="N649" s="4">
        <v>5</v>
      </c>
      <c r="O649" s="27" t="s">
        <v>48</v>
      </c>
      <c r="P649" s="27">
        <v>4</v>
      </c>
      <c r="Q649" s="27">
        <v>10</v>
      </c>
      <c r="R649" s="27" t="s">
        <v>49</v>
      </c>
      <c r="S649" s="27" t="s">
        <v>50</v>
      </c>
      <c r="T649" s="27" t="s">
        <v>50</v>
      </c>
      <c r="U649" s="27" t="s">
        <v>50</v>
      </c>
      <c r="V649" s="27" t="s">
        <v>50</v>
      </c>
      <c r="W649" s="27" t="s">
        <v>50</v>
      </c>
      <c r="X649" s="27" t="s">
        <v>50</v>
      </c>
      <c r="Y649" s="35" t="s">
        <v>6188</v>
      </c>
    </row>
    <row r="650" spans="1:25" x14ac:dyDescent="0.25">
      <c r="A650" s="26">
        <v>43398</v>
      </c>
      <c r="B650" s="27" t="s">
        <v>105</v>
      </c>
      <c r="C650" s="27" t="s">
        <v>88</v>
      </c>
      <c r="D650" s="89">
        <v>38.083399999999997</v>
      </c>
      <c r="E650" s="89">
        <v>-121.7413</v>
      </c>
      <c r="F650" s="27" t="s">
        <v>6427</v>
      </c>
      <c r="G650" s="27" t="s">
        <v>27</v>
      </c>
      <c r="H650" s="27" t="s">
        <v>25</v>
      </c>
      <c r="I650" s="84">
        <v>0.36527777777777781</v>
      </c>
      <c r="J650" s="82">
        <v>1898.5</v>
      </c>
      <c r="K650" s="82">
        <v>16.924999999999997</v>
      </c>
      <c r="L650" s="82">
        <v>31.774999999999999</v>
      </c>
      <c r="M650" s="82">
        <v>0.47500000000000003</v>
      </c>
      <c r="N650" s="4">
        <v>6.6749999999999998</v>
      </c>
      <c r="O650" s="27" t="s">
        <v>48</v>
      </c>
      <c r="P650" s="27">
        <v>4</v>
      </c>
      <c r="Q650" s="27">
        <v>10</v>
      </c>
      <c r="R650" s="27" t="s">
        <v>49</v>
      </c>
      <c r="S650" s="27" t="s">
        <v>50</v>
      </c>
      <c r="T650" s="27" t="s">
        <v>50</v>
      </c>
      <c r="U650" s="27" t="s">
        <v>50</v>
      </c>
      <c r="V650" s="27" t="s">
        <v>50</v>
      </c>
      <c r="W650" s="27" t="s">
        <v>50</v>
      </c>
      <c r="X650" s="27" t="s">
        <v>50</v>
      </c>
      <c r="Y650" s="35" t="s">
        <v>6428</v>
      </c>
    </row>
    <row r="651" spans="1:25" x14ac:dyDescent="0.25">
      <c r="A651" s="26">
        <v>43398</v>
      </c>
      <c r="B651" s="27" t="s">
        <v>105</v>
      </c>
      <c r="C651" s="27" t="s">
        <v>88</v>
      </c>
      <c r="D651" s="89">
        <v>38.133090000000003</v>
      </c>
      <c r="E651" s="89">
        <v>-121.69199</v>
      </c>
      <c r="F651" s="27" t="s">
        <v>6429</v>
      </c>
      <c r="G651" s="27" t="s">
        <v>90</v>
      </c>
      <c r="H651" s="27" t="s">
        <v>91</v>
      </c>
      <c r="I651" s="84">
        <v>0.41666666666666669</v>
      </c>
      <c r="J651" s="82">
        <v>163.65</v>
      </c>
      <c r="K651" s="82">
        <v>16.899999999999999</v>
      </c>
      <c r="L651" s="82">
        <v>6.7075000000000005</v>
      </c>
      <c r="M651" s="82">
        <v>1.7749999999999999</v>
      </c>
      <c r="N651" s="4">
        <v>4.6499999999999995</v>
      </c>
      <c r="O651" s="27" t="s">
        <v>48</v>
      </c>
      <c r="P651" s="27">
        <v>4</v>
      </c>
      <c r="Q651" s="27">
        <v>10</v>
      </c>
      <c r="R651" s="27" t="s">
        <v>49</v>
      </c>
      <c r="S651" s="27" t="s">
        <v>50</v>
      </c>
      <c r="T651" s="27" t="s">
        <v>50</v>
      </c>
      <c r="U651" s="27" t="s">
        <v>50</v>
      </c>
      <c r="V651" s="27" t="s">
        <v>50</v>
      </c>
      <c r="W651" s="27" t="s">
        <v>50</v>
      </c>
      <c r="X651" s="27" t="s">
        <v>50</v>
      </c>
      <c r="Y651" s="35" t="s">
        <v>6188</v>
      </c>
    </row>
    <row r="652" spans="1:25" x14ac:dyDescent="0.25">
      <c r="A652" s="26">
        <v>43398</v>
      </c>
      <c r="B652" s="27" t="s">
        <v>105</v>
      </c>
      <c r="C652" s="27" t="s">
        <v>88</v>
      </c>
      <c r="D652" s="89">
        <v>38.115049999999997</v>
      </c>
      <c r="E652" s="89">
        <v>-121.68742</v>
      </c>
      <c r="F652" s="27" t="s">
        <v>6430</v>
      </c>
      <c r="G652" s="27" t="s">
        <v>90</v>
      </c>
      <c r="H652" s="27" t="s">
        <v>91</v>
      </c>
      <c r="I652" s="84">
        <v>0.46666666666666662</v>
      </c>
      <c r="J652" s="82">
        <v>1135</v>
      </c>
      <c r="K652" s="82">
        <v>17.399999999999999</v>
      </c>
      <c r="L652" s="82">
        <v>5.75</v>
      </c>
      <c r="M652" s="82">
        <v>1.3474999999999999</v>
      </c>
      <c r="N652" s="4">
        <v>10.15</v>
      </c>
      <c r="O652" s="27" t="s">
        <v>48</v>
      </c>
      <c r="P652" s="27">
        <v>4</v>
      </c>
      <c r="Q652" s="27">
        <v>10</v>
      </c>
      <c r="R652" s="27" t="s">
        <v>49</v>
      </c>
      <c r="S652" s="27" t="s">
        <v>50</v>
      </c>
      <c r="T652" s="27" t="s">
        <v>50</v>
      </c>
      <c r="U652" s="27" t="s">
        <v>50</v>
      </c>
      <c r="V652" s="27" t="s">
        <v>50</v>
      </c>
      <c r="W652" s="27" t="s">
        <v>50</v>
      </c>
      <c r="X652" s="27" t="s">
        <v>50</v>
      </c>
    </row>
    <row r="653" spans="1:25" x14ac:dyDescent="0.25">
      <c r="A653" s="26">
        <v>43399</v>
      </c>
      <c r="B653" s="27" t="s">
        <v>125</v>
      </c>
      <c r="C653" s="27" t="s">
        <v>845</v>
      </c>
      <c r="D653" s="89">
        <v>38.315440000000002</v>
      </c>
      <c r="E653" s="89">
        <v>-121.69286</v>
      </c>
      <c r="F653" s="27" t="s">
        <v>6431</v>
      </c>
      <c r="G653" s="27" t="s">
        <v>90</v>
      </c>
      <c r="H653" s="27" t="s">
        <v>126</v>
      </c>
      <c r="I653" s="84">
        <v>0.41041666666666665</v>
      </c>
      <c r="J653" s="82">
        <v>267.65000000000003</v>
      </c>
      <c r="K653" s="82">
        <v>16.849999999999998</v>
      </c>
      <c r="L653" s="82">
        <v>5.4399999999999995</v>
      </c>
      <c r="M653" s="82">
        <v>1.7874999999999999</v>
      </c>
      <c r="N653" s="4">
        <v>4.7125000000000004</v>
      </c>
      <c r="O653" s="27" t="s">
        <v>48</v>
      </c>
      <c r="P653" s="27">
        <v>4</v>
      </c>
      <c r="Q653" s="27">
        <v>10</v>
      </c>
      <c r="R653" s="27" t="s">
        <v>49</v>
      </c>
      <c r="S653" s="27" t="s">
        <v>50</v>
      </c>
      <c r="T653" s="27" t="s">
        <v>50</v>
      </c>
      <c r="U653" s="27" t="s">
        <v>50</v>
      </c>
      <c r="V653" s="27" t="s">
        <v>50</v>
      </c>
      <c r="W653" s="27" t="s">
        <v>50</v>
      </c>
      <c r="X653" s="27" t="s">
        <v>50</v>
      </c>
      <c r="Y653" s="35" t="s">
        <v>6188</v>
      </c>
    </row>
    <row r="654" spans="1:25" x14ac:dyDescent="0.25">
      <c r="A654" s="26">
        <v>43399</v>
      </c>
      <c r="B654" s="27" t="s">
        <v>125</v>
      </c>
      <c r="C654" s="27" t="s">
        <v>845</v>
      </c>
      <c r="D654" s="89">
        <v>38.277569999999997</v>
      </c>
      <c r="E654" s="89">
        <v>-121.70985</v>
      </c>
      <c r="F654" s="27" t="s">
        <v>6432</v>
      </c>
      <c r="G654" s="27" t="s">
        <v>90</v>
      </c>
      <c r="H654" s="27" t="s">
        <v>126</v>
      </c>
      <c r="I654" s="84">
        <v>0.32222222222222224</v>
      </c>
      <c r="J654" s="82">
        <v>163.9</v>
      </c>
      <c r="K654" s="82">
        <v>16.8</v>
      </c>
      <c r="L654" s="82">
        <v>2.8820000000000001</v>
      </c>
      <c r="M654" s="82" t="s">
        <v>5829</v>
      </c>
      <c r="N654" s="4">
        <v>4.6099999999999994</v>
      </c>
      <c r="O654" s="27" t="s">
        <v>48</v>
      </c>
      <c r="P654" s="27">
        <v>5</v>
      </c>
      <c r="Q654" s="27">
        <v>10</v>
      </c>
      <c r="R654" s="27" t="s">
        <v>49</v>
      </c>
      <c r="S654" s="27" t="s">
        <v>50</v>
      </c>
      <c r="T654" s="27" t="s">
        <v>50</v>
      </c>
      <c r="U654" s="27" t="s">
        <v>50</v>
      </c>
      <c r="V654" s="27" t="s">
        <v>50</v>
      </c>
      <c r="W654" s="27" t="s">
        <v>50</v>
      </c>
      <c r="X654" s="27" t="s">
        <v>50</v>
      </c>
      <c r="Y654" s="35" t="s">
        <v>6433</v>
      </c>
    </row>
    <row r="655" spans="1:25" x14ac:dyDescent="0.25">
      <c r="A655" s="26">
        <v>43399</v>
      </c>
      <c r="B655" s="27" t="s">
        <v>125</v>
      </c>
      <c r="C655" s="27" t="s">
        <v>62</v>
      </c>
      <c r="D655" s="89">
        <v>38.115819999999999</v>
      </c>
      <c r="E655" s="89">
        <v>-121.89055</v>
      </c>
      <c r="F655" s="27" t="s">
        <v>6434</v>
      </c>
      <c r="G655" s="27" t="s">
        <v>27</v>
      </c>
      <c r="H655" s="27" t="s">
        <v>62</v>
      </c>
      <c r="I655" s="84">
        <v>0.38611111111111113</v>
      </c>
      <c r="J655" s="82">
        <v>7247.25</v>
      </c>
      <c r="K655" s="82">
        <v>16.675000000000001</v>
      </c>
      <c r="L655" s="82">
        <v>16.274999999999999</v>
      </c>
      <c r="M655" s="82">
        <v>0.6</v>
      </c>
      <c r="N655" s="4">
        <v>4.6500000000000004</v>
      </c>
      <c r="O655" s="27" t="s">
        <v>48</v>
      </c>
      <c r="P655" s="27">
        <v>4</v>
      </c>
      <c r="Q655" s="27">
        <v>10</v>
      </c>
      <c r="R655" s="27" t="s">
        <v>49</v>
      </c>
      <c r="S655" s="27" t="s">
        <v>50</v>
      </c>
      <c r="T655" s="27" t="s">
        <v>50</v>
      </c>
      <c r="U655" s="27" t="s">
        <v>50</v>
      </c>
      <c r="V655" s="27" t="s">
        <v>50</v>
      </c>
      <c r="W655" s="27" t="s">
        <v>50</v>
      </c>
      <c r="X655" s="27" t="s">
        <v>50</v>
      </c>
    </row>
    <row r="656" spans="1:25" x14ac:dyDescent="0.25">
      <c r="A656" s="26">
        <v>43399</v>
      </c>
      <c r="B656" s="27" t="s">
        <v>125</v>
      </c>
      <c r="C656" s="27" t="s">
        <v>62</v>
      </c>
      <c r="D656" s="89">
        <v>38.18329</v>
      </c>
      <c r="E656" s="89">
        <v>-122.00776</v>
      </c>
      <c r="F656" s="27" t="s">
        <v>6435</v>
      </c>
      <c r="G656" s="27" t="s">
        <v>27</v>
      </c>
      <c r="H656" s="27" t="s">
        <v>62</v>
      </c>
      <c r="I656" s="84">
        <v>0.4548611111111111</v>
      </c>
      <c r="J656" s="82">
        <v>8896.25</v>
      </c>
      <c r="K656" s="82">
        <v>16.774999999999999</v>
      </c>
      <c r="L656" s="82">
        <v>50.45</v>
      </c>
      <c r="M656" s="82">
        <v>0.29250000000000004</v>
      </c>
      <c r="N656" s="4">
        <v>3.05</v>
      </c>
      <c r="O656" s="27" t="s">
        <v>48</v>
      </c>
      <c r="P656" s="27">
        <v>4</v>
      </c>
      <c r="Q656" s="27">
        <v>10</v>
      </c>
      <c r="R656" s="27" t="s">
        <v>49</v>
      </c>
      <c r="S656" s="27" t="s">
        <v>50</v>
      </c>
      <c r="T656" s="27" t="s">
        <v>50</v>
      </c>
      <c r="U656" s="27" t="s">
        <v>50</v>
      </c>
      <c r="V656" s="27" t="s">
        <v>50</v>
      </c>
      <c r="W656" s="27" t="s">
        <v>50</v>
      </c>
      <c r="X656" s="27" t="s">
        <v>50</v>
      </c>
      <c r="Y656" s="35" t="s">
        <v>4688</v>
      </c>
    </row>
    <row r="657" spans="1:25" x14ac:dyDescent="0.25">
      <c r="A657" s="26">
        <v>43399</v>
      </c>
      <c r="B657" s="27" t="s">
        <v>125</v>
      </c>
      <c r="C657" s="27" t="s">
        <v>88</v>
      </c>
      <c r="D657" s="89">
        <v>38.056319999999999</v>
      </c>
      <c r="E657" s="89">
        <v>-121.80677</v>
      </c>
      <c r="F657" s="27" t="s">
        <v>6436</v>
      </c>
      <c r="G657" s="27" t="s">
        <v>27</v>
      </c>
      <c r="H657" s="27" t="s">
        <v>25</v>
      </c>
      <c r="I657" s="84">
        <v>0.31388888888888888</v>
      </c>
      <c r="J657" s="82">
        <v>6672.5</v>
      </c>
      <c r="K657" s="82">
        <v>16.875</v>
      </c>
      <c r="L657" s="82">
        <v>8.3350000000000009</v>
      </c>
      <c r="M657" s="82">
        <v>1</v>
      </c>
      <c r="N657" s="4">
        <v>8.9250000000000007</v>
      </c>
      <c r="O657" s="27" t="s">
        <v>48</v>
      </c>
      <c r="P657" s="27">
        <v>4</v>
      </c>
      <c r="Q657" s="27">
        <v>10</v>
      </c>
      <c r="R657" s="27" t="s">
        <v>49</v>
      </c>
      <c r="S657" s="27" t="s">
        <v>50</v>
      </c>
      <c r="T657" s="27" t="s">
        <v>50</v>
      </c>
      <c r="U657" s="27" t="s">
        <v>50</v>
      </c>
      <c r="V657" s="27" t="s">
        <v>50</v>
      </c>
      <c r="W657" s="27" t="s">
        <v>50</v>
      </c>
      <c r="X657" s="27" t="s">
        <v>50</v>
      </c>
    </row>
    <row r="658" spans="1:25" x14ac:dyDescent="0.25">
      <c r="A658" s="26">
        <v>43399</v>
      </c>
      <c r="B658" s="27" t="s">
        <v>125</v>
      </c>
      <c r="C658" s="27" t="s">
        <v>88</v>
      </c>
      <c r="D658" s="89">
        <v>38.081719999999997</v>
      </c>
      <c r="E658" s="89">
        <v>-121.7324</v>
      </c>
      <c r="F658" s="27" t="s">
        <v>6437</v>
      </c>
      <c r="G658" s="27" t="s">
        <v>90</v>
      </c>
      <c r="H658" s="27" t="s">
        <v>91</v>
      </c>
      <c r="I658" s="84">
        <v>0.3666666666666667</v>
      </c>
      <c r="J658" s="82">
        <v>1475.25</v>
      </c>
      <c r="K658" s="82">
        <v>17.05</v>
      </c>
      <c r="L658" s="82">
        <v>11.625</v>
      </c>
      <c r="M658" s="82">
        <v>0.76</v>
      </c>
      <c r="N658" s="4">
        <v>5.65</v>
      </c>
      <c r="O658" s="27" t="s">
        <v>48</v>
      </c>
      <c r="P658" s="27">
        <v>4</v>
      </c>
      <c r="Q658" s="27">
        <v>10</v>
      </c>
      <c r="R658" s="27" t="s">
        <v>49</v>
      </c>
      <c r="S658" s="27" t="s">
        <v>50</v>
      </c>
      <c r="T658" s="27" t="s">
        <v>50</v>
      </c>
      <c r="U658" s="27" t="s">
        <v>50</v>
      </c>
      <c r="V658" s="27" t="s">
        <v>50</v>
      </c>
      <c r="W658" s="27" t="s">
        <v>50</v>
      </c>
      <c r="X658" s="27" t="s">
        <v>50</v>
      </c>
    </row>
    <row r="659" spans="1:25" x14ac:dyDescent="0.25">
      <c r="A659" s="26">
        <v>43399</v>
      </c>
      <c r="B659" s="27" t="s">
        <v>125</v>
      </c>
      <c r="C659" s="27" t="s">
        <v>88</v>
      </c>
      <c r="D659" s="89">
        <v>38.081910000000001</v>
      </c>
      <c r="E659" s="89">
        <v>-121.72323</v>
      </c>
      <c r="F659" s="27" t="s">
        <v>6438</v>
      </c>
      <c r="G659" s="27" t="s">
        <v>90</v>
      </c>
      <c r="H659" s="27" t="s">
        <v>91</v>
      </c>
      <c r="I659" s="84">
        <v>0.40902777777777777</v>
      </c>
      <c r="J659" s="82">
        <v>727.25</v>
      </c>
      <c r="K659" s="82">
        <v>17.100000000000001</v>
      </c>
      <c r="L659" s="82">
        <v>15.324999999999999</v>
      </c>
      <c r="M659" s="82">
        <v>0.75500000000000012</v>
      </c>
      <c r="N659" s="4">
        <v>5.9249999999999989</v>
      </c>
      <c r="O659" s="27" t="s">
        <v>48</v>
      </c>
      <c r="P659" s="27">
        <v>4</v>
      </c>
      <c r="Q659" s="27">
        <v>10</v>
      </c>
      <c r="R659" s="27" t="s">
        <v>49</v>
      </c>
      <c r="S659" s="27" t="s">
        <v>50</v>
      </c>
      <c r="T659" s="27" t="s">
        <v>50</v>
      </c>
      <c r="U659" s="27" t="s">
        <v>50</v>
      </c>
      <c r="V659" s="27" t="s">
        <v>50</v>
      </c>
      <c r="W659" s="27" t="s">
        <v>50</v>
      </c>
      <c r="X659" s="27" t="s">
        <v>50</v>
      </c>
    </row>
    <row r="660" spans="1:25" s="361" customFormat="1" x14ac:dyDescent="0.25">
      <c r="A660" s="360">
        <v>43399</v>
      </c>
      <c r="B660" s="361" t="s">
        <v>125</v>
      </c>
      <c r="C660" s="361" t="s">
        <v>88</v>
      </c>
      <c r="D660" s="362">
        <v>38.096939999999996</v>
      </c>
      <c r="E660" s="362">
        <v>-121.72495000000001</v>
      </c>
      <c r="F660" s="361" t="s">
        <v>6439</v>
      </c>
      <c r="G660" s="361" t="s">
        <v>90</v>
      </c>
      <c r="H660" s="361" t="s">
        <v>91</v>
      </c>
      <c r="I660" s="363">
        <v>0.45416666666666666</v>
      </c>
      <c r="J660" s="364">
        <v>667.5</v>
      </c>
      <c r="K660" s="364">
        <v>17.2</v>
      </c>
      <c r="L660" s="364">
        <v>10.86</v>
      </c>
      <c r="M660" s="364">
        <v>1.0075000000000001</v>
      </c>
      <c r="N660" s="365">
        <v>5.9249999999999998</v>
      </c>
      <c r="O660" s="361" t="s">
        <v>48</v>
      </c>
      <c r="P660" s="361">
        <v>4</v>
      </c>
      <c r="Q660" s="361">
        <v>10</v>
      </c>
      <c r="R660" s="361" t="s">
        <v>49</v>
      </c>
      <c r="S660" s="361" t="s">
        <v>50</v>
      </c>
      <c r="T660" s="361" t="s">
        <v>50</v>
      </c>
      <c r="U660" s="361" t="s">
        <v>50</v>
      </c>
      <c r="V660" s="361" t="s">
        <v>50</v>
      </c>
      <c r="W660" s="361" t="s">
        <v>50</v>
      </c>
      <c r="X660" s="361" t="s">
        <v>50</v>
      </c>
      <c r="Y660" s="366"/>
    </row>
    <row r="661" spans="1:25" s="406" customFormat="1" x14ac:dyDescent="0.25">
      <c r="A661" s="495">
        <v>43402</v>
      </c>
      <c r="B661" s="494" t="s">
        <v>43</v>
      </c>
      <c r="C661" s="494" t="s">
        <v>88</v>
      </c>
      <c r="D661" s="496">
        <v>38.065600000000003</v>
      </c>
      <c r="E661" s="496">
        <v>-121.81541</v>
      </c>
      <c r="F661" s="494" t="s">
        <v>6440</v>
      </c>
      <c r="G661" s="494" t="s">
        <v>27</v>
      </c>
      <c r="H661" s="494" t="s">
        <v>25</v>
      </c>
      <c r="I661" s="497">
        <v>0.33263888888888887</v>
      </c>
      <c r="J661" s="498">
        <v>6501.333333333333</v>
      </c>
      <c r="K661" s="498">
        <v>17.233333333333334</v>
      </c>
      <c r="L661" s="498">
        <v>17.133333333333333</v>
      </c>
      <c r="M661" s="498">
        <v>0.72333333333333327</v>
      </c>
      <c r="N661" s="499">
        <v>5.666666666666667</v>
      </c>
      <c r="O661" s="494" t="s">
        <v>48</v>
      </c>
      <c r="P661" s="494">
        <v>3</v>
      </c>
      <c r="Q661" s="494">
        <v>10</v>
      </c>
      <c r="R661" s="494" t="s">
        <v>64</v>
      </c>
      <c r="S661" s="494" t="s">
        <v>323</v>
      </c>
      <c r="T661" s="494">
        <v>1</v>
      </c>
      <c r="U661" s="494">
        <v>62</v>
      </c>
      <c r="V661" s="494" t="s">
        <v>66</v>
      </c>
      <c r="W661" s="494" t="s">
        <v>50</v>
      </c>
      <c r="X661" s="494" t="s">
        <v>50</v>
      </c>
      <c r="Y661" s="455" t="s">
        <v>868</v>
      </c>
    </row>
    <row r="662" spans="1:25" x14ac:dyDescent="0.25">
      <c r="A662" s="26">
        <v>43402</v>
      </c>
      <c r="B662" s="27" t="s">
        <v>43</v>
      </c>
      <c r="C662" s="27" t="s">
        <v>88</v>
      </c>
      <c r="D662" s="89">
        <v>38.067540000000001</v>
      </c>
      <c r="E662" s="89">
        <v>-121.77630000000001</v>
      </c>
      <c r="F662" s="27" t="s">
        <v>6441</v>
      </c>
      <c r="G662" s="27" t="s">
        <v>27</v>
      </c>
      <c r="H662" s="27" t="s">
        <v>25</v>
      </c>
      <c r="I662" s="84">
        <v>0.37777777777777777</v>
      </c>
      <c r="J662" s="82">
        <v>5397.25</v>
      </c>
      <c r="K662" s="82">
        <v>17.149999999999999</v>
      </c>
      <c r="L662" s="82">
        <v>12.45</v>
      </c>
      <c r="M662" s="82">
        <v>0.8899999999999999</v>
      </c>
      <c r="N662" s="4">
        <v>9.25</v>
      </c>
      <c r="O662" s="27" t="s">
        <v>48</v>
      </c>
      <c r="P662" s="27">
        <v>4</v>
      </c>
      <c r="Q662" s="27">
        <v>10</v>
      </c>
      <c r="R662" s="27" t="s">
        <v>64</v>
      </c>
      <c r="S662" s="27" t="s">
        <v>50</v>
      </c>
      <c r="T662" s="27" t="s">
        <v>50</v>
      </c>
      <c r="U662" s="27" t="s">
        <v>50</v>
      </c>
      <c r="V662" s="27" t="s">
        <v>50</v>
      </c>
      <c r="W662" s="27" t="s">
        <v>50</v>
      </c>
      <c r="X662" s="27" t="s">
        <v>50</v>
      </c>
    </row>
    <row r="663" spans="1:25" x14ac:dyDescent="0.25">
      <c r="A663" s="26">
        <v>43402</v>
      </c>
      <c r="B663" s="27" t="s">
        <v>43</v>
      </c>
      <c r="C663" s="27" t="s">
        <v>88</v>
      </c>
      <c r="D663" s="89">
        <v>38.120269999999998</v>
      </c>
      <c r="E663" s="89">
        <v>-121.70353</v>
      </c>
      <c r="F663" s="27" t="s">
        <v>6442</v>
      </c>
      <c r="G663" s="27" t="s">
        <v>90</v>
      </c>
      <c r="H663" s="27" t="s">
        <v>91</v>
      </c>
      <c r="I663" s="84">
        <v>0.43194444444444446</v>
      </c>
      <c r="J663" s="82">
        <v>859</v>
      </c>
      <c r="K663" s="82">
        <v>17.3</v>
      </c>
      <c r="L663" s="82">
        <v>8.7149999999999999</v>
      </c>
      <c r="M663" s="82">
        <v>1.04</v>
      </c>
      <c r="N663" s="4">
        <v>8.9749999999999996</v>
      </c>
      <c r="O663" s="27" t="s">
        <v>48</v>
      </c>
      <c r="P663" s="27">
        <v>4</v>
      </c>
      <c r="Q663" s="27">
        <v>10</v>
      </c>
      <c r="R663" s="27" t="s">
        <v>64</v>
      </c>
      <c r="S663" s="27" t="s">
        <v>50</v>
      </c>
      <c r="T663" s="27" t="s">
        <v>50</v>
      </c>
      <c r="U663" s="27" t="s">
        <v>50</v>
      </c>
      <c r="V663" s="27" t="s">
        <v>50</v>
      </c>
      <c r="W663" s="27" t="s">
        <v>50</v>
      </c>
      <c r="X663" s="27" t="s">
        <v>50</v>
      </c>
      <c r="Y663" s="35" t="s">
        <v>6443</v>
      </c>
    </row>
    <row r="664" spans="1:25" x14ac:dyDescent="0.25">
      <c r="A664" s="26">
        <v>43402</v>
      </c>
      <c r="B664" s="27" t="s">
        <v>43</v>
      </c>
      <c r="C664" s="27" t="s">
        <v>845</v>
      </c>
      <c r="D664" s="89">
        <v>38.255189999999999</v>
      </c>
      <c r="E664" s="89">
        <v>-121.68727</v>
      </c>
      <c r="F664" s="27" t="s">
        <v>6444</v>
      </c>
      <c r="G664" s="27" t="s">
        <v>90</v>
      </c>
      <c r="H664" s="27" t="s">
        <v>126</v>
      </c>
      <c r="I664" s="84">
        <v>0.32361111111111113</v>
      </c>
      <c r="J664" s="82">
        <v>141.32499999999999</v>
      </c>
      <c r="K664" s="82">
        <v>17.275000000000002</v>
      </c>
      <c r="L664" s="82">
        <v>4.3525</v>
      </c>
      <c r="M664" s="82" t="s">
        <v>5829</v>
      </c>
      <c r="N664" s="4">
        <v>8.5</v>
      </c>
      <c r="O664" s="27" t="s">
        <v>48</v>
      </c>
      <c r="P664" s="27">
        <v>4</v>
      </c>
      <c r="Q664" s="27">
        <v>10</v>
      </c>
      <c r="R664" s="27" t="s">
        <v>64</v>
      </c>
      <c r="S664" s="27" t="s">
        <v>50</v>
      </c>
      <c r="T664" s="27" t="s">
        <v>50</v>
      </c>
      <c r="U664" s="27" t="s">
        <v>50</v>
      </c>
      <c r="V664" s="27" t="s">
        <v>50</v>
      </c>
      <c r="W664" s="27" t="s">
        <v>50</v>
      </c>
      <c r="X664" s="27" t="s">
        <v>50</v>
      </c>
      <c r="Y664" s="35" t="s">
        <v>6188</v>
      </c>
    </row>
    <row r="665" spans="1:25" x14ac:dyDescent="0.25">
      <c r="A665" s="26">
        <v>43402</v>
      </c>
      <c r="B665" s="27" t="s">
        <v>43</v>
      </c>
      <c r="C665" s="27" t="s">
        <v>845</v>
      </c>
      <c r="D665" s="89">
        <v>38.240119999999997</v>
      </c>
      <c r="E665" s="89">
        <v>-121.68628</v>
      </c>
      <c r="F665" s="27" t="s">
        <v>6445</v>
      </c>
      <c r="G665" s="27" t="s">
        <v>90</v>
      </c>
      <c r="H665" s="27" t="s">
        <v>126</v>
      </c>
      <c r="I665" s="84">
        <v>0.36805555555555558</v>
      </c>
      <c r="J665" s="82">
        <v>135.375</v>
      </c>
      <c r="K665" s="82">
        <v>17.125</v>
      </c>
      <c r="L665" s="82">
        <v>5.7475000000000005</v>
      </c>
      <c r="M665" s="82" t="s">
        <v>5829</v>
      </c>
      <c r="N665" s="4">
        <v>12.324999999999999</v>
      </c>
      <c r="O665" s="27" t="s">
        <v>48</v>
      </c>
      <c r="P665" s="27">
        <v>4</v>
      </c>
      <c r="Q665" s="27">
        <v>10</v>
      </c>
      <c r="R665" s="27" t="s">
        <v>64</v>
      </c>
      <c r="S665" s="27" t="s">
        <v>50</v>
      </c>
      <c r="T665" s="27" t="s">
        <v>50</v>
      </c>
      <c r="U665" s="27" t="s">
        <v>50</v>
      </c>
      <c r="V665" s="27" t="s">
        <v>50</v>
      </c>
      <c r="W665" s="27" t="s">
        <v>50</v>
      </c>
      <c r="X665" s="27" t="s">
        <v>50</v>
      </c>
      <c r="Y665" s="35" t="s">
        <v>6188</v>
      </c>
    </row>
    <row r="666" spans="1:25" x14ac:dyDescent="0.25">
      <c r="A666" s="26">
        <v>43402</v>
      </c>
      <c r="B666" s="27" t="s">
        <v>43</v>
      </c>
      <c r="C666" s="27" t="s">
        <v>845</v>
      </c>
      <c r="D666" s="89">
        <v>38.281559999999999</v>
      </c>
      <c r="E666" s="89">
        <v>-121.66436</v>
      </c>
      <c r="F666" s="27" t="s">
        <v>6446</v>
      </c>
      <c r="G666" s="27" t="s">
        <v>90</v>
      </c>
      <c r="H666" s="27" t="s">
        <v>126</v>
      </c>
      <c r="I666" s="84">
        <v>0.41736111111111113</v>
      </c>
      <c r="J666" s="82">
        <v>145.65</v>
      </c>
      <c r="K666" s="82">
        <v>17.3</v>
      </c>
      <c r="L666" s="82">
        <v>6.1224999999999996</v>
      </c>
      <c r="M666" s="82" t="s">
        <v>5829</v>
      </c>
      <c r="N666" s="4">
        <v>6.5249999999999995</v>
      </c>
      <c r="O666" s="27" t="s">
        <v>48</v>
      </c>
      <c r="P666" s="27">
        <v>4</v>
      </c>
      <c r="Q666" s="27">
        <v>10</v>
      </c>
      <c r="R666" s="27" t="s">
        <v>49</v>
      </c>
      <c r="S666" s="27" t="s">
        <v>50</v>
      </c>
      <c r="T666" s="27" t="s">
        <v>50</v>
      </c>
      <c r="U666" s="27" t="s">
        <v>50</v>
      </c>
      <c r="V666" s="27" t="s">
        <v>50</v>
      </c>
      <c r="W666" s="27" t="s">
        <v>50</v>
      </c>
      <c r="X666" s="27" t="s">
        <v>50</v>
      </c>
      <c r="Y666" s="35" t="s">
        <v>6447</v>
      </c>
    </row>
    <row r="667" spans="1:25" x14ac:dyDescent="0.25">
      <c r="A667" s="26">
        <v>43402</v>
      </c>
      <c r="B667" s="27" t="s">
        <v>43</v>
      </c>
      <c r="C667" s="27" t="s">
        <v>845</v>
      </c>
      <c r="D667" s="89">
        <v>38.258360000000003</v>
      </c>
      <c r="E667" s="89">
        <v>-121.66930000000001</v>
      </c>
      <c r="F667" s="27" t="s">
        <v>6448</v>
      </c>
      <c r="G667" s="27" t="s">
        <v>90</v>
      </c>
      <c r="H667" s="27" t="s">
        <v>126</v>
      </c>
      <c r="I667" s="84">
        <v>0.47013888888888888</v>
      </c>
      <c r="J667" s="82">
        <v>143.875</v>
      </c>
      <c r="K667" s="82">
        <v>17.25</v>
      </c>
      <c r="L667" s="82">
        <v>4.3449999999999998</v>
      </c>
      <c r="M667" s="82" t="s">
        <v>5829</v>
      </c>
      <c r="N667" s="4">
        <v>4.375</v>
      </c>
      <c r="O667" s="27" t="s">
        <v>48</v>
      </c>
      <c r="P667" s="27">
        <v>4</v>
      </c>
      <c r="Q667" s="27">
        <v>10</v>
      </c>
      <c r="R667" s="27" t="s">
        <v>49</v>
      </c>
      <c r="S667" s="27" t="s">
        <v>50</v>
      </c>
      <c r="T667" s="27" t="s">
        <v>50</v>
      </c>
      <c r="U667" s="27" t="s">
        <v>50</v>
      </c>
      <c r="V667" s="27" t="s">
        <v>50</v>
      </c>
      <c r="W667" s="27" t="s">
        <v>50</v>
      </c>
      <c r="X667" s="27" t="s">
        <v>50</v>
      </c>
    </row>
    <row r="668" spans="1:25" x14ac:dyDescent="0.25">
      <c r="A668" s="26">
        <v>43402</v>
      </c>
      <c r="B668" s="27" t="s">
        <v>43</v>
      </c>
      <c r="C668" s="27" t="s">
        <v>62</v>
      </c>
      <c r="D668" s="89">
        <v>38.10821</v>
      </c>
      <c r="E668" s="89">
        <v>-121.88966000000001</v>
      </c>
      <c r="F668" s="27" t="s">
        <v>6449</v>
      </c>
      <c r="G668" s="27" t="s">
        <v>27</v>
      </c>
      <c r="H668" s="27" t="s">
        <v>62</v>
      </c>
      <c r="I668" s="84">
        <v>0.37638888888888888</v>
      </c>
      <c r="J668" s="82">
        <v>9336.5</v>
      </c>
      <c r="K668" s="82">
        <v>16.824999999999999</v>
      </c>
      <c r="L668" s="82">
        <v>14.9175</v>
      </c>
      <c r="M668" s="82">
        <v>0.75249999999999995</v>
      </c>
      <c r="N668" s="4">
        <v>6.2750000000000004</v>
      </c>
      <c r="O668" s="27" t="s">
        <v>48</v>
      </c>
      <c r="P668" s="27">
        <v>4</v>
      </c>
      <c r="Q668" s="27">
        <v>10</v>
      </c>
      <c r="R668" s="27" t="s">
        <v>49</v>
      </c>
      <c r="S668" s="27" t="s">
        <v>50</v>
      </c>
      <c r="T668" s="27" t="s">
        <v>50</v>
      </c>
      <c r="U668" s="27" t="s">
        <v>50</v>
      </c>
      <c r="V668" s="27" t="s">
        <v>50</v>
      </c>
      <c r="W668" s="27" t="s">
        <v>50</v>
      </c>
      <c r="X668" s="27" t="s">
        <v>50</v>
      </c>
      <c r="Y668" s="35" t="s">
        <v>6188</v>
      </c>
    </row>
    <row r="669" spans="1:25" x14ac:dyDescent="0.25">
      <c r="A669" s="26">
        <v>43402</v>
      </c>
      <c r="B669" s="27" t="s">
        <v>43</v>
      </c>
      <c r="C669" s="27" t="s">
        <v>62</v>
      </c>
      <c r="D669" s="89">
        <v>38.185609999999997</v>
      </c>
      <c r="E669" s="89">
        <v>-121.92945</v>
      </c>
      <c r="F669" s="27" t="s">
        <v>6450</v>
      </c>
      <c r="G669" s="27" t="s">
        <v>27</v>
      </c>
      <c r="H669" s="27" t="s">
        <v>62</v>
      </c>
      <c r="I669" s="84">
        <v>0.4381944444444445</v>
      </c>
      <c r="J669" s="82">
        <v>9051</v>
      </c>
      <c r="K669" s="82">
        <v>17.2</v>
      </c>
      <c r="L669" s="82">
        <v>20.8</v>
      </c>
      <c r="M669" s="82">
        <v>0.60250000000000004</v>
      </c>
      <c r="N669" s="4">
        <v>4.0750000000000002</v>
      </c>
      <c r="O669" s="27" t="s">
        <v>48</v>
      </c>
      <c r="P669" s="27">
        <v>4</v>
      </c>
      <c r="Q669" s="27">
        <v>10</v>
      </c>
      <c r="R669" s="27" t="s">
        <v>49</v>
      </c>
      <c r="S669" s="27" t="s">
        <v>50</v>
      </c>
      <c r="T669" s="27" t="s">
        <v>50</v>
      </c>
      <c r="U669" s="27" t="s">
        <v>50</v>
      </c>
      <c r="V669" s="27" t="s">
        <v>50</v>
      </c>
      <c r="W669" s="27" t="s">
        <v>50</v>
      </c>
      <c r="X669" s="27" t="s">
        <v>50</v>
      </c>
      <c r="Y669" s="35" t="s">
        <v>6188</v>
      </c>
    </row>
    <row r="670" spans="1:25" s="355" customFormat="1" x14ac:dyDescent="0.25">
      <c r="A670" s="354">
        <v>43402</v>
      </c>
      <c r="B670" s="355" t="s">
        <v>43</v>
      </c>
      <c r="C670" s="355" t="s">
        <v>62</v>
      </c>
      <c r="D670" s="356">
        <v>38.12218</v>
      </c>
      <c r="E670" s="356">
        <v>-122.05862</v>
      </c>
      <c r="F670" s="355" t="s">
        <v>6451</v>
      </c>
      <c r="G670" s="355" t="s">
        <v>27</v>
      </c>
      <c r="H670" s="355" t="s">
        <v>62</v>
      </c>
      <c r="I670" s="357">
        <v>0.51180555555555551</v>
      </c>
      <c r="J670" s="358">
        <v>12762.5</v>
      </c>
      <c r="K670" s="358">
        <v>17.350000000000001</v>
      </c>
      <c r="L670" s="358">
        <v>22.150000000000002</v>
      </c>
      <c r="M670" s="358">
        <v>0.57000000000000006</v>
      </c>
      <c r="N670" s="359">
        <v>2.9499999999999997</v>
      </c>
      <c r="O670" s="355" t="s">
        <v>48</v>
      </c>
      <c r="P670" s="355">
        <v>4</v>
      </c>
      <c r="Q670" s="355">
        <v>10</v>
      </c>
      <c r="R670" s="355" t="s">
        <v>49</v>
      </c>
      <c r="S670" s="355" t="s">
        <v>31</v>
      </c>
      <c r="T670" s="355">
        <v>1</v>
      </c>
      <c r="U670" s="355">
        <v>54</v>
      </c>
      <c r="V670" s="355" t="s">
        <v>66</v>
      </c>
      <c r="W670" s="355" t="s">
        <v>50</v>
      </c>
      <c r="X670" s="355" t="s">
        <v>50</v>
      </c>
      <c r="Y670" s="371" t="s">
        <v>6188</v>
      </c>
    </row>
    <row r="671" spans="1:25" x14ac:dyDescent="0.25">
      <c r="A671" s="26">
        <v>43403</v>
      </c>
      <c r="B671" s="27" t="s">
        <v>70</v>
      </c>
      <c r="C671" s="27" t="s">
        <v>88</v>
      </c>
      <c r="D671" s="89">
        <v>38.059669999999997</v>
      </c>
      <c r="E671" s="89">
        <v>-121.79073</v>
      </c>
      <c r="F671" s="27" t="s">
        <v>6452</v>
      </c>
      <c r="G671" s="27" t="s">
        <v>27</v>
      </c>
      <c r="H671" s="27" t="s">
        <v>25</v>
      </c>
      <c r="I671" s="84">
        <v>0.32916666666666666</v>
      </c>
      <c r="J671" s="82">
        <v>4401.75</v>
      </c>
      <c r="K671" s="82">
        <v>16.95</v>
      </c>
      <c r="L671" s="82">
        <v>13.15</v>
      </c>
      <c r="M671" s="82">
        <v>0.79250000000000009</v>
      </c>
      <c r="N671" s="4">
        <v>9.3250000000000011</v>
      </c>
      <c r="O671" s="27" t="s">
        <v>48</v>
      </c>
      <c r="P671" s="27">
        <v>4</v>
      </c>
      <c r="Q671" s="27">
        <v>10</v>
      </c>
      <c r="R671" s="27" t="s">
        <v>49</v>
      </c>
      <c r="S671" s="27" t="s">
        <v>50</v>
      </c>
      <c r="T671" s="27" t="s">
        <v>50</v>
      </c>
      <c r="U671" s="27" t="s">
        <v>50</v>
      </c>
      <c r="V671" s="27" t="s">
        <v>50</v>
      </c>
      <c r="W671" s="27" t="s">
        <v>50</v>
      </c>
      <c r="X671" s="27" t="s">
        <v>50</v>
      </c>
      <c r="Y671" s="35" t="s">
        <v>6188</v>
      </c>
    </row>
    <row r="672" spans="1:25" s="407" customFormat="1" x14ac:dyDescent="0.25">
      <c r="A672" s="495">
        <v>43403</v>
      </c>
      <c r="B672" s="494" t="s">
        <v>70</v>
      </c>
      <c r="C672" s="494" t="s">
        <v>88</v>
      </c>
      <c r="D672" s="496">
        <v>38.089680000000001</v>
      </c>
      <c r="E672" s="496">
        <v>-121.74267999999999</v>
      </c>
      <c r="F672" s="494" t="s">
        <v>6453</v>
      </c>
      <c r="G672" s="494" t="s">
        <v>27</v>
      </c>
      <c r="H672" s="494" t="s">
        <v>25</v>
      </c>
      <c r="I672" s="497">
        <v>0.37777777777777777</v>
      </c>
      <c r="J672" s="498">
        <v>2169</v>
      </c>
      <c r="K672" s="498">
        <v>16.924999999999997</v>
      </c>
      <c r="L672" s="498">
        <v>21.7</v>
      </c>
      <c r="M672" s="498">
        <v>0.59</v>
      </c>
      <c r="N672" s="499">
        <v>10.049999999999999</v>
      </c>
      <c r="O672" s="494" t="s">
        <v>48</v>
      </c>
      <c r="P672" s="494">
        <v>4</v>
      </c>
      <c r="Q672" s="494">
        <v>10</v>
      </c>
      <c r="R672" s="494" t="s">
        <v>64</v>
      </c>
      <c r="S672" s="494" t="s">
        <v>323</v>
      </c>
      <c r="T672" s="494">
        <v>1</v>
      </c>
      <c r="U672" s="494">
        <v>61</v>
      </c>
      <c r="V672" s="494" t="s">
        <v>66</v>
      </c>
      <c r="W672" s="494" t="s">
        <v>50</v>
      </c>
      <c r="X672" s="494" t="s">
        <v>50</v>
      </c>
      <c r="Y672" s="455" t="s">
        <v>6454</v>
      </c>
    </row>
    <row r="673" spans="1:25" x14ac:dyDescent="0.25">
      <c r="A673" s="26">
        <v>43403</v>
      </c>
      <c r="B673" s="27" t="s">
        <v>70</v>
      </c>
      <c r="C673" s="27" t="s">
        <v>88</v>
      </c>
      <c r="D673" s="89">
        <v>38.162700000000001</v>
      </c>
      <c r="E673" s="89">
        <v>-121.67915000000001</v>
      </c>
      <c r="F673" s="27" t="s">
        <v>6455</v>
      </c>
      <c r="G673" s="27" t="s">
        <v>90</v>
      </c>
      <c r="H673" s="27" t="s">
        <v>91</v>
      </c>
      <c r="I673" s="84">
        <v>0.4381944444444445</v>
      </c>
      <c r="J673" s="82">
        <v>254.85</v>
      </c>
      <c r="K673" s="82">
        <v>16.924999999999997</v>
      </c>
      <c r="L673" s="82">
        <v>5.9475000000000007</v>
      </c>
      <c r="M673" s="82">
        <v>1.4424999999999999</v>
      </c>
      <c r="N673" s="4">
        <v>8.6000000000000014</v>
      </c>
      <c r="O673" s="27" t="s">
        <v>48</v>
      </c>
      <c r="P673" s="27">
        <v>4</v>
      </c>
      <c r="Q673" s="27">
        <v>10</v>
      </c>
      <c r="R673" s="27" t="s">
        <v>49</v>
      </c>
      <c r="S673" s="27" t="s">
        <v>50</v>
      </c>
      <c r="T673" s="27" t="s">
        <v>50</v>
      </c>
      <c r="U673" s="27" t="s">
        <v>50</v>
      </c>
      <c r="V673" s="27" t="s">
        <v>50</v>
      </c>
      <c r="W673" s="27" t="s">
        <v>50</v>
      </c>
      <c r="X673" s="27" t="s">
        <v>50</v>
      </c>
      <c r="Y673" s="35" t="s">
        <v>6188</v>
      </c>
    </row>
    <row r="674" spans="1:25" x14ac:dyDescent="0.25">
      <c r="A674" s="26">
        <v>43403</v>
      </c>
      <c r="B674" s="27" t="s">
        <v>70</v>
      </c>
      <c r="C674" s="27" t="s">
        <v>845</v>
      </c>
      <c r="D674" s="89">
        <v>38.301029999999997</v>
      </c>
      <c r="E674" s="89">
        <v>-121.7295</v>
      </c>
      <c r="F674" s="27" t="s">
        <v>6456</v>
      </c>
      <c r="G674" s="27" t="s">
        <v>90</v>
      </c>
      <c r="H674" s="27" t="s">
        <v>126</v>
      </c>
      <c r="I674" s="84">
        <v>0.3263888888888889</v>
      </c>
      <c r="J674" s="82">
        <v>308.02499999999998</v>
      </c>
      <c r="K674" s="82">
        <v>16.25</v>
      </c>
      <c r="L674" s="82">
        <v>5.44</v>
      </c>
      <c r="M674" s="82">
        <v>1.1375</v>
      </c>
      <c r="N674" s="4">
        <v>2.625</v>
      </c>
      <c r="O674" s="27" t="s">
        <v>48</v>
      </c>
      <c r="P674" s="27">
        <v>4</v>
      </c>
      <c r="Q674" s="27">
        <v>10</v>
      </c>
      <c r="R674" s="27" t="s">
        <v>64</v>
      </c>
      <c r="S674" s="27" t="s">
        <v>50</v>
      </c>
      <c r="T674" s="27" t="s">
        <v>50</v>
      </c>
      <c r="U674" s="27" t="s">
        <v>50</v>
      </c>
      <c r="V674" s="27" t="s">
        <v>50</v>
      </c>
      <c r="W674" s="27" t="s">
        <v>50</v>
      </c>
      <c r="X674" s="27" t="s">
        <v>50</v>
      </c>
      <c r="Y674" s="35" t="s">
        <v>6457</v>
      </c>
    </row>
    <row r="675" spans="1:25" s="149" customFormat="1" x14ac:dyDescent="0.25">
      <c r="A675" s="178">
        <v>43403</v>
      </c>
      <c r="B675" s="149" t="s">
        <v>70</v>
      </c>
      <c r="C675" s="149" t="s">
        <v>845</v>
      </c>
      <c r="D675" s="150">
        <v>38.274140000000003</v>
      </c>
      <c r="E675" s="150">
        <v>-121.70901000000001</v>
      </c>
      <c r="F675" s="149" t="s">
        <v>6458</v>
      </c>
      <c r="G675" s="149" t="s">
        <v>90</v>
      </c>
      <c r="H675" s="149" t="s">
        <v>126</v>
      </c>
      <c r="I675" s="151">
        <v>0.40972222222222227</v>
      </c>
      <c r="J675" s="197" t="s">
        <v>50</v>
      </c>
      <c r="K675" s="197" t="s">
        <v>50</v>
      </c>
      <c r="L675" s="197" t="s">
        <v>50</v>
      </c>
      <c r="M675" s="197" t="s">
        <v>50</v>
      </c>
      <c r="N675" s="197" t="s">
        <v>50</v>
      </c>
      <c r="O675" s="149" t="s">
        <v>48</v>
      </c>
      <c r="P675" s="149">
        <v>0</v>
      </c>
      <c r="Q675" s="149" t="s">
        <v>50</v>
      </c>
      <c r="R675" s="149" t="s">
        <v>50</v>
      </c>
      <c r="S675" s="149" t="s">
        <v>50</v>
      </c>
      <c r="T675" s="149" t="s">
        <v>50</v>
      </c>
      <c r="U675" s="149" t="s">
        <v>50</v>
      </c>
      <c r="V675" s="149" t="s">
        <v>50</v>
      </c>
      <c r="W675" s="149" t="s">
        <v>50</v>
      </c>
      <c r="X675" s="149" t="s">
        <v>50</v>
      </c>
      <c r="Y675" s="152" t="s">
        <v>6459</v>
      </c>
    </row>
    <row r="676" spans="1:25" x14ac:dyDescent="0.25">
      <c r="A676" s="26">
        <v>43403</v>
      </c>
      <c r="B676" s="27" t="s">
        <v>70</v>
      </c>
      <c r="C676" s="27" t="s">
        <v>845</v>
      </c>
      <c r="D676" s="89">
        <v>38.258389999999999</v>
      </c>
      <c r="E676" s="89">
        <v>-121.69369</v>
      </c>
      <c r="F676" s="27" t="s">
        <v>6460</v>
      </c>
      <c r="G676" s="27" t="s">
        <v>90</v>
      </c>
      <c r="H676" s="27" t="s">
        <v>126</v>
      </c>
      <c r="I676" s="84">
        <v>0.41388888888888892</v>
      </c>
      <c r="J676" s="82">
        <v>142.35</v>
      </c>
      <c r="K676" s="82">
        <v>16.774999999999999</v>
      </c>
      <c r="L676" s="82">
        <v>4.7050000000000001</v>
      </c>
      <c r="M676" s="82">
        <v>1.25</v>
      </c>
      <c r="N676" s="4">
        <v>5.3250000000000002</v>
      </c>
      <c r="O676" s="27" t="s">
        <v>48</v>
      </c>
      <c r="P676" s="27">
        <v>4</v>
      </c>
      <c r="Q676" s="27">
        <v>10</v>
      </c>
      <c r="R676" s="27" t="s">
        <v>64</v>
      </c>
      <c r="S676" s="27" t="s">
        <v>50</v>
      </c>
      <c r="T676" s="27" t="s">
        <v>50</v>
      </c>
      <c r="U676" s="27" t="s">
        <v>50</v>
      </c>
      <c r="V676" s="27" t="s">
        <v>50</v>
      </c>
      <c r="W676" s="27" t="s">
        <v>50</v>
      </c>
      <c r="X676" s="27" t="s">
        <v>50</v>
      </c>
      <c r="Y676" s="35" t="s">
        <v>6461</v>
      </c>
    </row>
    <row r="677" spans="1:25" x14ac:dyDescent="0.25">
      <c r="A677" s="26">
        <v>43403</v>
      </c>
      <c r="B677" s="27" t="s">
        <v>70</v>
      </c>
      <c r="C677" s="27" t="s">
        <v>62</v>
      </c>
      <c r="D677" s="89">
        <v>38.105049999999999</v>
      </c>
      <c r="E677" s="89">
        <v>-122.03316</v>
      </c>
      <c r="F677" s="27" t="s">
        <v>6462</v>
      </c>
      <c r="G677" s="27" t="s">
        <v>27</v>
      </c>
      <c r="H677" s="27" t="s">
        <v>173</v>
      </c>
      <c r="I677" s="84">
        <v>0.34097222222222223</v>
      </c>
      <c r="J677" s="82">
        <v>21150.75</v>
      </c>
      <c r="K677" s="82">
        <v>16.899999999999999</v>
      </c>
      <c r="L677" s="82">
        <v>36.75</v>
      </c>
      <c r="M677" s="82">
        <v>0.495</v>
      </c>
      <c r="N677" s="4">
        <v>2.8</v>
      </c>
      <c r="O677" s="27" t="s">
        <v>48</v>
      </c>
      <c r="P677" s="27">
        <v>4</v>
      </c>
      <c r="Q677" s="27">
        <v>10</v>
      </c>
      <c r="R677" s="27" t="s">
        <v>64</v>
      </c>
      <c r="S677" s="27" t="s">
        <v>50</v>
      </c>
      <c r="T677" s="27" t="s">
        <v>50</v>
      </c>
      <c r="U677" s="27" t="s">
        <v>50</v>
      </c>
      <c r="V677" s="27" t="s">
        <v>50</v>
      </c>
      <c r="W677" s="27" t="s">
        <v>50</v>
      </c>
      <c r="X677" s="27" t="s">
        <v>50</v>
      </c>
    </row>
    <row r="678" spans="1:25" x14ac:dyDescent="0.25">
      <c r="A678" s="26">
        <v>43403</v>
      </c>
      <c r="B678" s="27" t="s">
        <v>70</v>
      </c>
      <c r="C678" s="27" t="s">
        <v>62</v>
      </c>
      <c r="D678" s="89">
        <v>38.117240000000002</v>
      </c>
      <c r="E678" s="89">
        <v>-122.05515</v>
      </c>
      <c r="F678" s="27" t="s">
        <v>6463</v>
      </c>
      <c r="G678" s="27" t="s">
        <v>27</v>
      </c>
      <c r="H678" s="27" t="s">
        <v>173</v>
      </c>
      <c r="I678" s="84">
        <v>0.39583333333333331</v>
      </c>
      <c r="J678" s="82">
        <v>19367.75</v>
      </c>
      <c r="K678" s="82">
        <v>16.724999999999998</v>
      </c>
      <c r="L678" s="82">
        <v>15.675000000000001</v>
      </c>
      <c r="M678" s="82">
        <v>0.74750000000000005</v>
      </c>
      <c r="N678" s="4">
        <v>3.4750000000000001</v>
      </c>
      <c r="O678" s="27" t="s">
        <v>48</v>
      </c>
      <c r="P678" s="27">
        <v>4</v>
      </c>
      <c r="Q678" s="27">
        <v>10</v>
      </c>
      <c r="R678" s="27" t="s">
        <v>49</v>
      </c>
      <c r="S678" s="27" t="s">
        <v>50</v>
      </c>
      <c r="T678" s="27" t="s">
        <v>50</v>
      </c>
      <c r="U678" s="27" t="s">
        <v>50</v>
      </c>
      <c r="V678" s="27" t="s">
        <v>50</v>
      </c>
      <c r="W678" s="27" t="s">
        <v>50</v>
      </c>
      <c r="X678" s="27" t="s">
        <v>50</v>
      </c>
    </row>
    <row r="679" spans="1:25" s="149" customFormat="1" x14ac:dyDescent="0.25">
      <c r="A679" s="178">
        <v>43403</v>
      </c>
      <c r="B679" s="149" t="s">
        <v>70</v>
      </c>
      <c r="C679" s="149" t="s">
        <v>62</v>
      </c>
      <c r="D679" s="150">
        <v>38.15681</v>
      </c>
      <c r="E679" s="150">
        <v>-122.07116000000001</v>
      </c>
      <c r="F679" s="149" t="s">
        <v>6464</v>
      </c>
      <c r="G679" s="149" t="s">
        <v>27</v>
      </c>
      <c r="H679" s="149" t="s">
        <v>62</v>
      </c>
      <c r="I679" s="151">
        <v>0.46180555555555558</v>
      </c>
      <c r="J679" s="197">
        <v>16603</v>
      </c>
      <c r="K679" s="197">
        <v>16.399999999999999</v>
      </c>
      <c r="L679" s="197">
        <v>43.4</v>
      </c>
      <c r="M679" s="197">
        <v>0.47</v>
      </c>
      <c r="N679" s="197">
        <v>3</v>
      </c>
      <c r="O679" s="149" t="s">
        <v>48</v>
      </c>
      <c r="P679" s="149">
        <v>1</v>
      </c>
      <c r="Q679" s="149">
        <v>5</v>
      </c>
      <c r="R679" s="149" t="s">
        <v>49</v>
      </c>
      <c r="S679" s="149" t="s">
        <v>50</v>
      </c>
      <c r="T679" s="149" t="s">
        <v>50</v>
      </c>
      <c r="U679" s="149" t="s">
        <v>50</v>
      </c>
      <c r="V679" s="149" t="s">
        <v>50</v>
      </c>
      <c r="W679" s="149" t="s">
        <v>50</v>
      </c>
      <c r="X679" s="149" t="s">
        <v>50</v>
      </c>
      <c r="Y679" s="152" t="s">
        <v>6465</v>
      </c>
    </row>
    <row r="680" spans="1:25" x14ac:dyDescent="0.25">
      <c r="A680" s="26">
        <v>43403</v>
      </c>
      <c r="B680" s="27" t="s">
        <v>70</v>
      </c>
      <c r="C680" s="27" t="s">
        <v>62</v>
      </c>
      <c r="D680" s="89">
        <v>38.167200000000001</v>
      </c>
      <c r="E680" s="89">
        <v>-121.93810999999999</v>
      </c>
      <c r="F680" s="27" t="s">
        <v>6466</v>
      </c>
      <c r="G680" s="27" t="s">
        <v>27</v>
      </c>
      <c r="H680" s="27" t="s">
        <v>62</v>
      </c>
      <c r="I680" s="84">
        <v>0.49861111111111112</v>
      </c>
      <c r="J680" s="82">
        <v>10574.5</v>
      </c>
      <c r="K680" s="82">
        <v>17.100000000000001</v>
      </c>
      <c r="L680" s="82">
        <v>13.7</v>
      </c>
      <c r="M680" s="82">
        <v>0.77249999999999996</v>
      </c>
      <c r="N680" s="4">
        <v>7.3500000000000005</v>
      </c>
      <c r="O680" s="27" t="s">
        <v>48</v>
      </c>
      <c r="P680" s="27">
        <v>4</v>
      </c>
      <c r="Q680" s="27">
        <v>10</v>
      </c>
      <c r="R680" s="27" t="s">
        <v>49</v>
      </c>
      <c r="S680" s="27" t="s">
        <v>50</v>
      </c>
      <c r="T680" s="27" t="s">
        <v>50</v>
      </c>
      <c r="U680" s="27" t="s">
        <v>50</v>
      </c>
      <c r="V680" s="27" t="s">
        <v>50</v>
      </c>
      <c r="W680" s="27" t="s">
        <v>50</v>
      </c>
      <c r="X680" s="27" t="s">
        <v>50</v>
      </c>
      <c r="Y680" s="35" t="s">
        <v>6467</v>
      </c>
    </row>
    <row r="681" spans="1:25" x14ac:dyDescent="0.25">
      <c r="A681" s="26">
        <v>43404</v>
      </c>
      <c r="B681" s="27" t="s">
        <v>87</v>
      </c>
      <c r="C681" s="27" t="s">
        <v>95</v>
      </c>
      <c r="D681" s="89">
        <v>38.050789999999999</v>
      </c>
      <c r="E681" s="89">
        <v>-121.53537</v>
      </c>
      <c r="F681" s="27" t="s">
        <v>6468</v>
      </c>
      <c r="G681" s="27" t="s">
        <v>46</v>
      </c>
      <c r="H681" s="27" t="s">
        <v>115</v>
      </c>
      <c r="I681" s="84">
        <v>0.33055555555555555</v>
      </c>
      <c r="J681" s="82">
        <v>271.625</v>
      </c>
      <c r="K681" s="82">
        <v>16.899999999999999</v>
      </c>
      <c r="L681" s="82">
        <v>3.9625000000000004</v>
      </c>
      <c r="M681" s="82" t="s">
        <v>5829</v>
      </c>
      <c r="N681" s="4">
        <v>7.5</v>
      </c>
      <c r="O681" s="27" t="s">
        <v>48</v>
      </c>
      <c r="P681" s="27">
        <v>4</v>
      </c>
      <c r="Q681" s="27">
        <v>10</v>
      </c>
      <c r="R681" s="27" t="s">
        <v>64</v>
      </c>
      <c r="S681" s="27" t="s">
        <v>50</v>
      </c>
      <c r="T681" s="27" t="s">
        <v>50</v>
      </c>
      <c r="U681" s="27" t="s">
        <v>50</v>
      </c>
      <c r="V681" s="27" t="s">
        <v>50</v>
      </c>
      <c r="W681" s="27" t="s">
        <v>50</v>
      </c>
      <c r="X681" s="27" t="s">
        <v>50</v>
      </c>
    </row>
    <row r="682" spans="1:25" x14ac:dyDescent="0.25">
      <c r="A682" s="26">
        <v>43404</v>
      </c>
      <c r="B682" s="27" t="s">
        <v>87</v>
      </c>
      <c r="C682" s="27" t="s">
        <v>95</v>
      </c>
      <c r="D682" s="89">
        <v>38.100149999999999</v>
      </c>
      <c r="E682" s="89">
        <v>-121.59424</v>
      </c>
      <c r="F682" s="27" t="s">
        <v>6469</v>
      </c>
      <c r="G682" s="27" t="s">
        <v>46</v>
      </c>
      <c r="H682" s="27" t="s">
        <v>115</v>
      </c>
      <c r="I682" s="84">
        <v>0.38680555555555557</v>
      </c>
      <c r="J682" s="82">
        <v>252.85</v>
      </c>
      <c r="K682" s="82">
        <v>16.775000000000002</v>
      </c>
      <c r="L682" s="82">
        <v>4.6050000000000004</v>
      </c>
      <c r="M682" s="82" t="s">
        <v>5829</v>
      </c>
      <c r="N682" s="4">
        <v>13.2</v>
      </c>
      <c r="O682" s="27" t="s">
        <v>48</v>
      </c>
      <c r="P682" s="27">
        <v>4</v>
      </c>
      <c r="Q682" s="27">
        <v>10</v>
      </c>
      <c r="R682" s="27" t="s">
        <v>64</v>
      </c>
      <c r="S682" s="27" t="s">
        <v>50</v>
      </c>
      <c r="T682" s="27" t="s">
        <v>50</v>
      </c>
      <c r="U682" s="27" t="s">
        <v>50</v>
      </c>
      <c r="V682" s="27" t="s">
        <v>50</v>
      </c>
      <c r="W682" s="27" t="s">
        <v>50</v>
      </c>
      <c r="X682" s="27" t="s">
        <v>50</v>
      </c>
    </row>
    <row r="683" spans="1:25" x14ac:dyDescent="0.25">
      <c r="A683" s="26">
        <v>43404</v>
      </c>
      <c r="B683" s="27" t="s">
        <v>87</v>
      </c>
      <c r="C683" s="27" t="s">
        <v>95</v>
      </c>
      <c r="D683" s="89">
        <v>38.104309999999998</v>
      </c>
      <c r="E683" s="89">
        <v>-121.59966</v>
      </c>
      <c r="F683" s="27" t="s">
        <v>6470</v>
      </c>
      <c r="G683" s="27" t="s">
        <v>46</v>
      </c>
      <c r="H683" s="27" t="s">
        <v>115</v>
      </c>
      <c r="I683" s="84">
        <v>0.4381944444444445</v>
      </c>
      <c r="J683" s="82">
        <v>282.57499999999999</v>
      </c>
      <c r="K683" s="82">
        <v>16.850000000000001</v>
      </c>
      <c r="L683" s="82">
        <v>6.5649999999999995</v>
      </c>
      <c r="M683" s="82">
        <v>1.7524999999999999</v>
      </c>
      <c r="N683" s="4">
        <v>11.8</v>
      </c>
      <c r="O683" s="27" t="s">
        <v>48</v>
      </c>
      <c r="P683" s="27">
        <v>4</v>
      </c>
      <c r="Q683" s="27">
        <v>10</v>
      </c>
      <c r="R683" s="27" t="s">
        <v>64</v>
      </c>
      <c r="S683" s="27" t="s">
        <v>50</v>
      </c>
      <c r="T683" s="27" t="s">
        <v>50</v>
      </c>
      <c r="U683" s="27" t="s">
        <v>50</v>
      </c>
      <c r="V683" s="27" t="s">
        <v>50</v>
      </c>
      <c r="W683" s="27" t="s">
        <v>50</v>
      </c>
      <c r="X683" s="27" t="s">
        <v>50</v>
      </c>
      <c r="Y683" s="35" t="s">
        <v>6175</v>
      </c>
    </row>
    <row r="684" spans="1:25" x14ac:dyDescent="0.25">
      <c r="A684" s="26">
        <v>43404</v>
      </c>
      <c r="B684" s="27" t="s">
        <v>87</v>
      </c>
      <c r="C684" s="27" t="s">
        <v>106</v>
      </c>
      <c r="D684" s="89">
        <v>38.333379999999998</v>
      </c>
      <c r="E684" s="89">
        <v>-121.64718999999999</v>
      </c>
      <c r="F684" s="27" t="s">
        <v>6471</v>
      </c>
      <c r="G684" s="27" t="s">
        <v>90</v>
      </c>
      <c r="H684" s="27" t="s">
        <v>362</v>
      </c>
      <c r="I684" s="84">
        <v>0.31736111111111115</v>
      </c>
      <c r="J684" s="82">
        <v>356.42500000000001</v>
      </c>
      <c r="K684" s="82">
        <v>16.8</v>
      </c>
      <c r="L684" s="82">
        <v>20.174999999999997</v>
      </c>
      <c r="M684" s="82">
        <v>0.43</v>
      </c>
      <c r="N684" s="4">
        <v>9.4499999999999993</v>
      </c>
      <c r="O684" s="27" t="s">
        <v>48</v>
      </c>
      <c r="P684" s="27">
        <v>4</v>
      </c>
      <c r="Q684" s="27">
        <v>10</v>
      </c>
      <c r="R684" s="27" t="s">
        <v>64</v>
      </c>
      <c r="S684" s="27" t="s">
        <v>50</v>
      </c>
      <c r="T684" s="27" t="s">
        <v>50</v>
      </c>
      <c r="U684" s="27" t="s">
        <v>50</v>
      </c>
      <c r="V684" s="27" t="s">
        <v>50</v>
      </c>
      <c r="W684" s="27" t="s">
        <v>50</v>
      </c>
      <c r="X684" s="27" t="s">
        <v>50</v>
      </c>
      <c r="Y684" s="5" t="s">
        <v>6472</v>
      </c>
    </row>
    <row r="685" spans="1:25" x14ac:dyDescent="0.25">
      <c r="A685" s="26">
        <v>43404</v>
      </c>
      <c r="B685" s="27" t="s">
        <v>87</v>
      </c>
      <c r="C685" s="27" t="s">
        <v>106</v>
      </c>
      <c r="D685" s="89">
        <v>38.368549999999999</v>
      </c>
      <c r="E685" s="89">
        <v>-121.63173</v>
      </c>
      <c r="F685" s="27" t="s">
        <v>6473</v>
      </c>
      <c r="G685" s="27" t="s">
        <v>90</v>
      </c>
      <c r="H685" s="27" t="s">
        <v>362</v>
      </c>
      <c r="I685" s="84">
        <v>0.375</v>
      </c>
      <c r="J685" s="82">
        <v>391.45</v>
      </c>
      <c r="K685" s="82">
        <v>16.8</v>
      </c>
      <c r="L685" s="82">
        <v>32</v>
      </c>
      <c r="M685" s="82">
        <v>0.33750000000000002</v>
      </c>
      <c r="N685" s="4">
        <v>9.3000000000000007</v>
      </c>
      <c r="O685" s="27" t="s">
        <v>48</v>
      </c>
      <c r="P685" s="27">
        <v>4</v>
      </c>
      <c r="Q685" s="27">
        <v>10</v>
      </c>
      <c r="R685" s="27" t="s">
        <v>64</v>
      </c>
      <c r="S685" s="27" t="s">
        <v>50</v>
      </c>
      <c r="T685" s="27" t="s">
        <v>50</v>
      </c>
      <c r="U685" s="27" t="s">
        <v>50</v>
      </c>
      <c r="V685" s="27" t="s">
        <v>50</v>
      </c>
      <c r="W685" s="27" t="s">
        <v>50</v>
      </c>
      <c r="X685" s="27" t="s">
        <v>50</v>
      </c>
      <c r="Y685" s="5" t="s">
        <v>6474</v>
      </c>
    </row>
    <row r="686" spans="1:25" s="408" customFormat="1" x14ac:dyDescent="0.25">
      <c r="A686" s="495">
        <v>43404</v>
      </c>
      <c r="B686" s="494" t="s">
        <v>87</v>
      </c>
      <c r="C686" s="494" t="s">
        <v>106</v>
      </c>
      <c r="D686" s="496">
        <v>38.470289999999999</v>
      </c>
      <c r="E686" s="496">
        <v>-121.58522000000001</v>
      </c>
      <c r="F686" s="494" t="s">
        <v>6475</v>
      </c>
      <c r="G686" s="494" t="s">
        <v>90</v>
      </c>
      <c r="H686" s="494" t="s">
        <v>362</v>
      </c>
      <c r="I686" s="497">
        <v>0.43333333333333335</v>
      </c>
      <c r="J686" s="498">
        <v>671.5</v>
      </c>
      <c r="K686" s="498">
        <v>17.100000000000001</v>
      </c>
      <c r="L686" s="498">
        <v>32.450000000000003</v>
      </c>
      <c r="M686" s="498">
        <v>0.39</v>
      </c>
      <c r="N686" s="499">
        <v>10.649999999999999</v>
      </c>
      <c r="O686" s="494" t="s">
        <v>48</v>
      </c>
      <c r="P686" s="494">
        <v>2</v>
      </c>
      <c r="Q686" s="494">
        <v>10</v>
      </c>
      <c r="R686" s="494" t="s">
        <v>64</v>
      </c>
      <c r="S686" s="494" t="s">
        <v>323</v>
      </c>
      <c r="T686" s="494">
        <v>1</v>
      </c>
      <c r="U686" s="494">
        <v>56</v>
      </c>
      <c r="V686" s="494" t="s">
        <v>66</v>
      </c>
      <c r="W686" s="494" t="s">
        <v>50</v>
      </c>
      <c r="X686" s="494" t="s">
        <v>50</v>
      </c>
      <c r="Y686" s="455" t="s">
        <v>6476</v>
      </c>
    </row>
    <row r="687" spans="1:25" s="408" customFormat="1" x14ac:dyDescent="0.25">
      <c r="A687" s="495">
        <v>43404</v>
      </c>
      <c r="B687" s="494" t="s">
        <v>87</v>
      </c>
      <c r="C687" s="494" t="s">
        <v>106</v>
      </c>
      <c r="D687" s="496">
        <v>38.48657</v>
      </c>
      <c r="E687" s="496">
        <v>-121.58493</v>
      </c>
      <c r="F687" s="494" t="s">
        <v>6477</v>
      </c>
      <c r="G687" s="494" t="s">
        <v>90</v>
      </c>
      <c r="H687" s="494" t="s">
        <v>1787</v>
      </c>
      <c r="I687" s="497">
        <v>0.46388888888888885</v>
      </c>
      <c r="J687" s="498">
        <v>732</v>
      </c>
      <c r="K687" s="498">
        <v>17.274999999999999</v>
      </c>
      <c r="L687" s="498">
        <v>21.074999999999999</v>
      </c>
      <c r="M687" s="498">
        <v>0.53249999999999997</v>
      </c>
      <c r="N687" s="499">
        <v>10.199999999999999</v>
      </c>
      <c r="O687" s="494" t="s">
        <v>48</v>
      </c>
      <c r="P687" s="494">
        <v>4</v>
      </c>
      <c r="Q687" s="494">
        <v>10</v>
      </c>
      <c r="R687" s="494" t="s">
        <v>64</v>
      </c>
      <c r="S687" s="494" t="s">
        <v>323</v>
      </c>
      <c r="T687" s="494">
        <v>1</v>
      </c>
      <c r="U687" s="494">
        <v>54</v>
      </c>
      <c r="V687" s="494" t="s">
        <v>66</v>
      </c>
      <c r="W687" s="494" t="s">
        <v>50</v>
      </c>
      <c r="X687" s="494" t="s">
        <v>50</v>
      </c>
      <c r="Y687" s="455" t="s">
        <v>868</v>
      </c>
    </row>
    <row r="688" spans="1:25" x14ac:dyDescent="0.25">
      <c r="A688" s="26">
        <v>43404</v>
      </c>
      <c r="B688" s="27" t="s">
        <v>87</v>
      </c>
      <c r="C688" s="27" t="s">
        <v>78</v>
      </c>
      <c r="D688" s="89">
        <v>38.073070000000001</v>
      </c>
      <c r="E688" s="89">
        <v>-121.95977999999999</v>
      </c>
      <c r="F688" s="27" t="s">
        <v>6478</v>
      </c>
      <c r="G688" s="27" t="s">
        <v>27</v>
      </c>
      <c r="H688" s="27" t="s">
        <v>170</v>
      </c>
      <c r="I688" s="84">
        <v>0.35486111111111113</v>
      </c>
      <c r="J688" s="82">
        <v>13148.5</v>
      </c>
      <c r="K688" s="82">
        <v>16.8</v>
      </c>
      <c r="L688" s="82">
        <v>23.2</v>
      </c>
      <c r="M688" s="82">
        <v>0.73499999999999999</v>
      </c>
      <c r="N688" s="4">
        <v>3.4249999999999998</v>
      </c>
      <c r="O688" s="27" t="s">
        <v>48</v>
      </c>
      <c r="P688" s="27">
        <v>4</v>
      </c>
      <c r="Q688" s="27">
        <v>10</v>
      </c>
      <c r="R688" s="27" t="s">
        <v>64</v>
      </c>
      <c r="S688" s="27" t="s">
        <v>50</v>
      </c>
      <c r="T688" s="27" t="s">
        <v>50</v>
      </c>
      <c r="U688" s="27" t="s">
        <v>50</v>
      </c>
      <c r="V688" s="27" t="s">
        <v>50</v>
      </c>
      <c r="W688" s="27" t="s">
        <v>50</v>
      </c>
      <c r="X688" s="27" t="s">
        <v>50</v>
      </c>
      <c r="Y688" s="35" t="s">
        <v>6188</v>
      </c>
    </row>
    <row r="689" spans="1:25" x14ac:dyDescent="0.25">
      <c r="A689" s="26">
        <v>43404</v>
      </c>
      <c r="B689" s="27" t="s">
        <v>87</v>
      </c>
      <c r="C689" s="27" t="s">
        <v>78</v>
      </c>
      <c r="D689" s="89">
        <v>38.047980000000003</v>
      </c>
      <c r="E689" s="89">
        <v>-121.89345</v>
      </c>
      <c r="F689" s="27" t="s">
        <v>6479</v>
      </c>
      <c r="G689" s="27" t="s">
        <v>27</v>
      </c>
      <c r="H689" s="27" t="s">
        <v>101</v>
      </c>
      <c r="I689" s="84">
        <v>0.49652777777777773</v>
      </c>
      <c r="J689" s="82">
        <v>11512</v>
      </c>
      <c r="K689" s="82">
        <v>17.224999999999998</v>
      </c>
      <c r="L689" s="82">
        <v>11.307499999999999</v>
      </c>
      <c r="M689" s="82">
        <v>1.0550000000000002</v>
      </c>
      <c r="N689" s="4">
        <v>12.65</v>
      </c>
      <c r="O689" s="27" t="s">
        <v>48</v>
      </c>
      <c r="P689" s="27">
        <v>4</v>
      </c>
      <c r="Q689" s="27">
        <v>10</v>
      </c>
      <c r="R689" s="27" t="s">
        <v>49</v>
      </c>
      <c r="S689" s="27" t="s">
        <v>50</v>
      </c>
      <c r="T689" s="27" t="s">
        <v>50</v>
      </c>
      <c r="U689" s="27" t="s">
        <v>50</v>
      </c>
      <c r="V689" s="27" t="s">
        <v>50</v>
      </c>
      <c r="W689" s="27" t="s">
        <v>50</v>
      </c>
      <c r="X689" s="27" t="s">
        <v>50</v>
      </c>
      <c r="Y689" s="35" t="s">
        <v>6188</v>
      </c>
    </row>
    <row r="690" spans="1:25" s="149" customFormat="1" x14ac:dyDescent="0.25">
      <c r="A690" s="178">
        <v>43404</v>
      </c>
      <c r="B690" s="149" t="s">
        <v>87</v>
      </c>
      <c r="C690" s="149" t="s">
        <v>78</v>
      </c>
      <c r="D690" s="150">
        <v>38.038429999999998</v>
      </c>
      <c r="E690" s="150">
        <v>-121.84404000000001</v>
      </c>
      <c r="F690" s="149" t="s">
        <v>6480</v>
      </c>
      <c r="G690" s="149" t="s">
        <v>27</v>
      </c>
      <c r="H690" s="149" t="s">
        <v>101</v>
      </c>
      <c r="I690" s="151">
        <v>0.47222222222222227</v>
      </c>
      <c r="J690" s="197" t="s">
        <v>50</v>
      </c>
      <c r="K690" s="381" t="s">
        <v>50</v>
      </c>
      <c r="L690" s="197" t="s">
        <v>50</v>
      </c>
      <c r="M690" s="197" t="s">
        <v>50</v>
      </c>
      <c r="N690" s="197" t="s">
        <v>50</v>
      </c>
      <c r="O690" s="149" t="s">
        <v>48</v>
      </c>
      <c r="P690" s="149">
        <v>0</v>
      </c>
      <c r="Q690" s="149" t="s">
        <v>50</v>
      </c>
      <c r="R690" s="149" t="s">
        <v>50</v>
      </c>
      <c r="S690" s="149" t="s">
        <v>50</v>
      </c>
      <c r="T690" s="149" t="s">
        <v>50</v>
      </c>
      <c r="U690" s="149" t="s">
        <v>50</v>
      </c>
      <c r="V690" s="149" t="s">
        <v>50</v>
      </c>
      <c r="W690" s="149" t="s">
        <v>50</v>
      </c>
      <c r="X690" s="149" t="s">
        <v>50</v>
      </c>
      <c r="Y690" s="152" t="s">
        <v>6481</v>
      </c>
    </row>
    <row r="691" spans="1:25" x14ac:dyDescent="0.25">
      <c r="A691" s="26">
        <v>43404</v>
      </c>
      <c r="B691" s="27" t="s">
        <v>87</v>
      </c>
      <c r="C691" s="27" t="s">
        <v>78</v>
      </c>
      <c r="D691" s="89">
        <v>38.091140000000003</v>
      </c>
      <c r="E691" s="89">
        <v>-122.07546000000001</v>
      </c>
      <c r="F691" s="27" t="s">
        <v>6482</v>
      </c>
      <c r="G691" s="27" t="s">
        <v>80</v>
      </c>
      <c r="H691" s="27" t="s">
        <v>81</v>
      </c>
      <c r="I691" s="84">
        <v>0.40277777777777773</v>
      </c>
      <c r="J691" s="82">
        <v>19461.75</v>
      </c>
      <c r="K691" s="82">
        <v>16.975000000000001</v>
      </c>
      <c r="L691" s="82">
        <v>32.799999999999997</v>
      </c>
      <c r="M691" s="82">
        <v>0.54999999999999993</v>
      </c>
      <c r="N691" s="4">
        <v>10.125</v>
      </c>
      <c r="O691" s="27" t="s">
        <v>48</v>
      </c>
      <c r="P691" s="27">
        <v>4</v>
      </c>
      <c r="Q691" s="27">
        <v>10</v>
      </c>
      <c r="R691" s="27" t="s">
        <v>64</v>
      </c>
      <c r="S691" s="27" t="s">
        <v>50</v>
      </c>
      <c r="T691" s="27" t="s">
        <v>50</v>
      </c>
      <c r="U691" s="27" t="s">
        <v>50</v>
      </c>
      <c r="V691" s="27" t="s">
        <v>50</v>
      </c>
      <c r="W691" s="27" t="s">
        <v>50</v>
      </c>
      <c r="X691" s="27" t="s">
        <v>50</v>
      </c>
      <c r="Y691" s="35" t="s">
        <v>6188</v>
      </c>
    </row>
    <row r="692" spans="1:25" x14ac:dyDescent="0.25">
      <c r="A692" s="26">
        <v>43405</v>
      </c>
      <c r="B692" s="27" t="s">
        <v>4617</v>
      </c>
      <c r="C692" s="27" t="s">
        <v>95</v>
      </c>
      <c r="D692" s="89">
        <v>38.030880000000003</v>
      </c>
      <c r="E692" s="89">
        <v>-121.72981</v>
      </c>
      <c r="F692" s="27" t="s">
        <v>6483</v>
      </c>
      <c r="G692" s="27" t="s">
        <v>27</v>
      </c>
      <c r="H692" s="27" t="s">
        <v>863</v>
      </c>
      <c r="I692" s="84">
        <v>0.32222222222222224</v>
      </c>
      <c r="J692" s="82">
        <v>984</v>
      </c>
      <c r="K692" s="82">
        <v>16.925000000000001</v>
      </c>
      <c r="L692" s="82">
        <v>5.17</v>
      </c>
      <c r="M692" s="82">
        <v>1.7875000000000001</v>
      </c>
      <c r="N692" s="4">
        <v>11.275</v>
      </c>
      <c r="O692" s="27" t="s">
        <v>48</v>
      </c>
      <c r="P692" s="27">
        <v>4</v>
      </c>
      <c r="Q692" s="27">
        <v>10</v>
      </c>
      <c r="R692" s="27" t="s">
        <v>64</v>
      </c>
      <c r="S692" s="27" t="s">
        <v>50</v>
      </c>
      <c r="T692" s="27" t="s">
        <v>50</v>
      </c>
      <c r="U692" s="27" t="s">
        <v>50</v>
      </c>
      <c r="V692" s="27" t="s">
        <v>50</v>
      </c>
      <c r="W692" s="27" t="s">
        <v>50</v>
      </c>
      <c r="X692" s="27" t="s">
        <v>50</v>
      </c>
    </row>
    <row r="693" spans="1:25" x14ac:dyDescent="0.25">
      <c r="A693" s="26">
        <v>43405</v>
      </c>
      <c r="B693" s="27" t="s">
        <v>4617</v>
      </c>
      <c r="C693" s="27" t="s">
        <v>95</v>
      </c>
      <c r="D693" s="89">
        <v>38.07011</v>
      </c>
      <c r="E693" s="89">
        <v>-121.67603</v>
      </c>
      <c r="F693" s="27" t="s">
        <v>6484</v>
      </c>
      <c r="G693" s="27" t="s">
        <v>46</v>
      </c>
      <c r="H693" s="27" t="s">
        <v>908</v>
      </c>
      <c r="I693" s="84">
        <v>0.375</v>
      </c>
      <c r="J693" s="82">
        <v>672.5</v>
      </c>
      <c r="K693" s="82">
        <v>16.975000000000001</v>
      </c>
      <c r="L693" s="82">
        <v>5.8724999999999996</v>
      </c>
      <c r="M693" s="82">
        <v>1.7625</v>
      </c>
      <c r="N693" s="4">
        <v>13.164999999999999</v>
      </c>
      <c r="O693" s="27" t="s">
        <v>48</v>
      </c>
      <c r="P693" s="27">
        <v>4</v>
      </c>
      <c r="Q693" s="27">
        <v>10</v>
      </c>
      <c r="R693" s="27" t="s">
        <v>64</v>
      </c>
      <c r="S693" s="27" t="s">
        <v>50</v>
      </c>
      <c r="T693" s="27" t="s">
        <v>50</v>
      </c>
      <c r="U693" s="27" t="s">
        <v>50</v>
      </c>
      <c r="V693" s="27" t="s">
        <v>50</v>
      </c>
      <c r="W693" s="27" t="s">
        <v>50</v>
      </c>
      <c r="X693" s="27" t="s">
        <v>50</v>
      </c>
    </row>
    <row r="694" spans="1:25" x14ac:dyDescent="0.25">
      <c r="A694" s="26">
        <v>43405</v>
      </c>
      <c r="B694" s="27" t="s">
        <v>4617</v>
      </c>
      <c r="C694" s="27" t="s">
        <v>95</v>
      </c>
      <c r="D694" s="89">
        <v>38.048250000000003</v>
      </c>
      <c r="E694" s="89">
        <v>-121.69774</v>
      </c>
      <c r="F694" s="27" t="s">
        <v>6485</v>
      </c>
      <c r="G694" s="27" t="s">
        <v>27</v>
      </c>
      <c r="H694" s="27" t="s">
        <v>863</v>
      </c>
      <c r="I694" s="84">
        <v>0.42777777777777781</v>
      </c>
      <c r="J694" s="82">
        <v>1131</v>
      </c>
      <c r="K694" s="82">
        <v>17.024999999999999</v>
      </c>
      <c r="L694" s="82">
        <v>8.7424999999999997</v>
      </c>
      <c r="M694" s="82">
        <v>1.3125</v>
      </c>
      <c r="N694" s="4">
        <v>12.25</v>
      </c>
      <c r="O694" s="27" t="s">
        <v>48</v>
      </c>
      <c r="P694" s="27">
        <v>4</v>
      </c>
      <c r="Q694" s="27">
        <v>10</v>
      </c>
      <c r="R694" s="27" t="s">
        <v>64</v>
      </c>
      <c r="S694" s="27" t="s">
        <v>50</v>
      </c>
      <c r="T694" s="27" t="s">
        <v>50</v>
      </c>
      <c r="U694" s="27" t="s">
        <v>50</v>
      </c>
      <c r="V694" s="27" t="s">
        <v>50</v>
      </c>
      <c r="W694" s="27" t="s">
        <v>50</v>
      </c>
      <c r="X694" s="27" t="s">
        <v>50</v>
      </c>
    </row>
    <row r="695" spans="1:25" s="409" customFormat="1" x14ac:dyDescent="0.25">
      <c r="A695" s="495">
        <v>43405</v>
      </c>
      <c r="B695" s="494" t="s">
        <v>4617</v>
      </c>
      <c r="C695" s="494" t="s">
        <v>106</v>
      </c>
      <c r="D695" s="496">
        <v>38.414020000000001</v>
      </c>
      <c r="E695" s="496">
        <v>-121.61145999999999</v>
      </c>
      <c r="F695" s="494" t="s">
        <v>6486</v>
      </c>
      <c r="G695" s="494" t="s">
        <v>90</v>
      </c>
      <c r="H695" s="494" t="s">
        <v>362</v>
      </c>
      <c r="I695" s="497">
        <v>0.32708333333333334</v>
      </c>
      <c r="J695" s="498">
        <v>587</v>
      </c>
      <c r="K695" s="498">
        <v>16.899999999999999</v>
      </c>
      <c r="L695" s="498">
        <v>21.1</v>
      </c>
      <c r="M695" s="498">
        <v>0.34499999999999997</v>
      </c>
      <c r="N695" s="499">
        <v>8.35</v>
      </c>
      <c r="O695" s="494" t="s">
        <v>48</v>
      </c>
      <c r="P695" s="494">
        <v>2</v>
      </c>
      <c r="Q695" s="494">
        <v>10</v>
      </c>
      <c r="R695" s="494" t="s">
        <v>49</v>
      </c>
      <c r="S695" s="494" t="s">
        <v>323</v>
      </c>
      <c r="T695" s="494">
        <v>4</v>
      </c>
      <c r="U695" s="494" t="s">
        <v>6487</v>
      </c>
      <c r="V695" s="494" t="s">
        <v>66</v>
      </c>
      <c r="W695" s="494" t="s">
        <v>50</v>
      </c>
      <c r="X695" s="494" t="s">
        <v>50</v>
      </c>
      <c r="Y695" s="477" t="s">
        <v>6488</v>
      </c>
    </row>
    <row r="696" spans="1:25" x14ac:dyDescent="0.25">
      <c r="A696" s="26">
        <v>43405</v>
      </c>
      <c r="B696" s="27" t="s">
        <v>4617</v>
      </c>
      <c r="C696" s="27" t="s">
        <v>106</v>
      </c>
      <c r="D696" s="89">
        <v>38.298029999999997</v>
      </c>
      <c r="E696" s="89">
        <v>-121.65626</v>
      </c>
      <c r="F696" s="27" t="s">
        <v>6489</v>
      </c>
      <c r="G696" s="27" t="s">
        <v>90</v>
      </c>
      <c r="H696" s="27" t="s">
        <v>362</v>
      </c>
      <c r="I696" s="84">
        <v>0.37708333333333338</v>
      </c>
      <c r="J696" s="82">
        <v>263.39999999999998</v>
      </c>
      <c r="K696" s="82">
        <v>16.8</v>
      </c>
      <c r="L696" s="82">
        <v>13.55</v>
      </c>
      <c r="M696" s="82">
        <v>0.79500000000000004</v>
      </c>
      <c r="N696" s="4">
        <v>10.875</v>
      </c>
      <c r="O696" s="27" t="s">
        <v>48</v>
      </c>
      <c r="P696" s="27">
        <v>4</v>
      </c>
      <c r="Q696" s="27">
        <v>10</v>
      </c>
      <c r="R696" s="27" t="s">
        <v>64</v>
      </c>
      <c r="S696" s="27" t="s">
        <v>50</v>
      </c>
      <c r="T696" s="27" t="s">
        <v>50</v>
      </c>
      <c r="U696" s="27" t="s">
        <v>50</v>
      </c>
      <c r="V696" s="27" t="s">
        <v>50</v>
      </c>
      <c r="W696" s="27" t="s">
        <v>50</v>
      </c>
      <c r="X696" s="27" t="s">
        <v>50</v>
      </c>
    </row>
    <row r="697" spans="1:25" x14ac:dyDescent="0.25">
      <c r="A697" s="26">
        <v>43405</v>
      </c>
      <c r="B697" s="27" t="s">
        <v>4617</v>
      </c>
      <c r="C697" s="27" t="s">
        <v>106</v>
      </c>
      <c r="D697" s="89">
        <v>38.220579999999998</v>
      </c>
      <c r="E697" s="89">
        <v>-121.67303</v>
      </c>
      <c r="F697" s="27" t="s">
        <v>6490</v>
      </c>
      <c r="G697" s="27" t="s">
        <v>90</v>
      </c>
      <c r="H697" s="27" t="s">
        <v>362</v>
      </c>
      <c r="I697" s="84">
        <v>0.44444444444444442</v>
      </c>
      <c r="J697" s="82">
        <v>159.55000000000001</v>
      </c>
      <c r="K697" s="82">
        <v>16.399999999999999</v>
      </c>
      <c r="L697" s="82">
        <v>5.7350000000000003</v>
      </c>
      <c r="M697" s="82">
        <v>1.6325000000000001</v>
      </c>
      <c r="N697" s="4">
        <v>14.025</v>
      </c>
      <c r="O697" s="27" t="s">
        <v>48</v>
      </c>
      <c r="P697" s="27">
        <v>4</v>
      </c>
      <c r="Q697" s="27">
        <v>10</v>
      </c>
      <c r="R697" s="27" t="s">
        <v>64</v>
      </c>
      <c r="S697" s="27" t="s">
        <v>50</v>
      </c>
      <c r="T697" s="27" t="s">
        <v>50</v>
      </c>
      <c r="U697" s="27" t="s">
        <v>50</v>
      </c>
      <c r="V697" s="27" t="s">
        <v>50</v>
      </c>
      <c r="W697" s="27" t="s">
        <v>50</v>
      </c>
      <c r="X697" s="27" t="s">
        <v>50</v>
      </c>
    </row>
    <row r="698" spans="1:25" x14ac:dyDescent="0.25">
      <c r="A698" s="26">
        <v>43405</v>
      </c>
      <c r="B698" s="27" t="s">
        <v>4617</v>
      </c>
      <c r="C698" s="27" t="s">
        <v>78</v>
      </c>
      <c r="D698" s="89">
        <v>38.053519999999999</v>
      </c>
      <c r="E698" s="89">
        <v>-122.09603</v>
      </c>
      <c r="F698" s="27" t="s">
        <v>6491</v>
      </c>
      <c r="G698" s="27" t="s">
        <v>80</v>
      </c>
      <c r="H698" s="27" t="s">
        <v>81</v>
      </c>
      <c r="I698" s="84">
        <v>0.35000000000000003</v>
      </c>
      <c r="J698" s="82">
        <v>20800.25</v>
      </c>
      <c r="K698" s="82">
        <v>17</v>
      </c>
      <c r="L698" s="82">
        <v>31.175000000000001</v>
      </c>
      <c r="M698" s="82">
        <v>0.58250000000000002</v>
      </c>
      <c r="N698" s="4">
        <v>7.9749999999999996</v>
      </c>
      <c r="O698" s="27" t="s">
        <v>48</v>
      </c>
      <c r="P698" s="27">
        <v>4</v>
      </c>
      <c r="Q698" s="27">
        <v>10</v>
      </c>
      <c r="R698" s="27" t="s">
        <v>64</v>
      </c>
      <c r="S698" s="27" t="s">
        <v>50</v>
      </c>
      <c r="T698" s="27" t="s">
        <v>50</v>
      </c>
      <c r="U698" s="27" t="s">
        <v>50</v>
      </c>
      <c r="V698" s="27" t="s">
        <v>50</v>
      </c>
      <c r="W698" s="27" t="s">
        <v>50</v>
      </c>
      <c r="X698" s="27" t="s">
        <v>50</v>
      </c>
    </row>
    <row r="699" spans="1:25" x14ac:dyDescent="0.25">
      <c r="A699" s="26">
        <v>43405</v>
      </c>
      <c r="B699" s="27" t="s">
        <v>4617</v>
      </c>
      <c r="C699" s="27" t="s">
        <v>78</v>
      </c>
      <c r="D699" s="89">
        <v>38.065049999999999</v>
      </c>
      <c r="E699" s="89">
        <v>-122.11127999999999</v>
      </c>
      <c r="F699" s="27" t="s">
        <v>6492</v>
      </c>
      <c r="G699" s="27" t="s">
        <v>80</v>
      </c>
      <c r="H699" s="27" t="s">
        <v>81</v>
      </c>
      <c r="I699" s="84">
        <v>0.39861111111111108</v>
      </c>
      <c r="J699" s="82">
        <v>22020.25</v>
      </c>
      <c r="K699" s="82">
        <v>17.024999999999999</v>
      </c>
      <c r="L699" s="82">
        <v>27.625</v>
      </c>
      <c r="M699" s="82">
        <v>0.59</v>
      </c>
      <c r="N699" s="4">
        <v>7.1</v>
      </c>
      <c r="O699" s="27" t="s">
        <v>48</v>
      </c>
      <c r="P699" s="27">
        <v>4</v>
      </c>
      <c r="Q699" s="27">
        <v>10</v>
      </c>
      <c r="R699" s="27" t="s">
        <v>64</v>
      </c>
      <c r="S699" s="27" t="s">
        <v>50</v>
      </c>
      <c r="T699" s="27" t="s">
        <v>50</v>
      </c>
      <c r="U699" s="27" t="s">
        <v>50</v>
      </c>
      <c r="V699" s="27" t="s">
        <v>50</v>
      </c>
      <c r="W699" s="27" t="s">
        <v>50</v>
      </c>
      <c r="X699" s="27" t="s">
        <v>50</v>
      </c>
    </row>
    <row r="700" spans="1:25" s="361" customFormat="1" x14ac:dyDescent="0.25">
      <c r="A700" s="360">
        <v>43405</v>
      </c>
      <c r="B700" s="361" t="s">
        <v>4617</v>
      </c>
      <c r="C700" s="361" t="s">
        <v>78</v>
      </c>
      <c r="D700" s="362">
        <v>38.05762</v>
      </c>
      <c r="E700" s="362">
        <v>-121.94943000000001</v>
      </c>
      <c r="F700" s="361" t="s">
        <v>6493</v>
      </c>
      <c r="G700" s="361" t="s">
        <v>27</v>
      </c>
      <c r="H700" s="361" t="s">
        <v>170</v>
      </c>
      <c r="I700" s="363">
        <v>0.45624999999999999</v>
      </c>
      <c r="J700" s="364">
        <v>13745.5</v>
      </c>
      <c r="K700" s="364">
        <v>17</v>
      </c>
      <c r="L700" s="364">
        <v>14.475</v>
      </c>
      <c r="M700" s="364">
        <v>0.88749999999999996</v>
      </c>
      <c r="N700" s="365">
        <v>13.85</v>
      </c>
      <c r="O700" s="361" t="s">
        <v>48</v>
      </c>
      <c r="P700" s="361">
        <v>4</v>
      </c>
      <c r="Q700" s="361">
        <v>10</v>
      </c>
      <c r="R700" s="361" t="s">
        <v>64</v>
      </c>
      <c r="S700" s="361" t="s">
        <v>50</v>
      </c>
      <c r="T700" s="361" t="s">
        <v>50</v>
      </c>
      <c r="U700" s="361" t="s">
        <v>50</v>
      </c>
      <c r="V700" s="361" t="s">
        <v>50</v>
      </c>
      <c r="W700" s="361" t="s">
        <v>50</v>
      </c>
      <c r="X700" s="361" t="s">
        <v>50</v>
      </c>
      <c r="Y700" s="366"/>
    </row>
    <row r="701" spans="1:25" x14ac:dyDescent="0.25">
      <c r="A701" s="26">
        <v>43409</v>
      </c>
      <c r="B701" s="27" t="s">
        <v>43</v>
      </c>
      <c r="C701" s="27" t="s">
        <v>845</v>
      </c>
      <c r="D701" s="89">
        <v>38.265009999999997</v>
      </c>
      <c r="E701" s="89">
        <v>-121.69729</v>
      </c>
      <c r="F701" s="27" t="s">
        <v>6494</v>
      </c>
      <c r="G701" s="27" t="s">
        <v>90</v>
      </c>
      <c r="H701" s="27" t="s">
        <v>126</v>
      </c>
      <c r="I701" s="84">
        <v>0.34166666666666662</v>
      </c>
      <c r="J701" s="82">
        <v>169.833</v>
      </c>
      <c r="K701" s="82">
        <v>16.466999999999999</v>
      </c>
      <c r="L701" s="82">
        <v>2.657</v>
      </c>
      <c r="M701" s="82" t="s">
        <v>5829</v>
      </c>
      <c r="N701" s="4">
        <v>2.7</v>
      </c>
      <c r="O701" s="27" t="s">
        <v>48</v>
      </c>
      <c r="P701" s="27">
        <v>3</v>
      </c>
      <c r="Q701" s="27">
        <v>10</v>
      </c>
      <c r="R701" s="27" t="s">
        <v>49</v>
      </c>
      <c r="S701" s="27" t="s">
        <v>50</v>
      </c>
      <c r="T701" s="27" t="s">
        <v>50</v>
      </c>
      <c r="U701" s="27" t="s">
        <v>50</v>
      </c>
      <c r="V701" s="27" t="s">
        <v>50</v>
      </c>
      <c r="W701" s="27" t="s">
        <v>50</v>
      </c>
      <c r="X701" s="27" t="s">
        <v>50</v>
      </c>
      <c r="Y701" s="35" t="s">
        <v>6495</v>
      </c>
    </row>
    <row r="702" spans="1:25" x14ac:dyDescent="0.25">
      <c r="A702" s="26">
        <v>43409</v>
      </c>
      <c r="B702" s="27" t="s">
        <v>43</v>
      </c>
      <c r="C702" s="27" t="s">
        <v>845</v>
      </c>
      <c r="D702" s="89">
        <v>38.275939999999999</v>
      </c>
      <c r="E702" s="89">
        <v>-121.6947</v>
      </c>
      <c r="F702" s="27" t="s">
        <v>6496</v>
      </c>
      <c r="G702" s="27" t="s">
        <v>90</v>
      </c>
      <c r="H702" s="27" t="s">
        <v>126</v>
      </c>
      <c r="I702" s="84">
        <v>0.41388888888888892</v>
      </c>
      <c r="J702" s="82">
        <v>157.82499999999999</v>
      </c>
      <c r="K702" s="82">
        <v>16.45</v>
      </c>
      <c r="L702" s="82">
        <v>3.0325000000000002</v>
      </c>
      <c r="M702" s="82" t="s">
        <v>5829</v>
      </c>
      <c r="N702" s="4">
        <v>5.5750000000000002</v>
      </c>
      <c r="O702" s="27" t="s">
        <v>48</v>
      </c>
      <c r="P702" s="27">
        <v>4</v>
      </c>
      <c r="Q702" s="27">
        <v>10</v>
      </c>
      <c r="R702" s="27" t="s">
        <v>49</v>
      </c>
      <c r="S702" s="27" t="s">
        <v>50</v>
      </c>
      <c r="T702" s="27" t="s">
        <v>50</v>
      </c>
      <c r="U702" s="27" t="s">
        <v>50</v>
      </c>
      <c r="V702" s="27" t="s">
        <v>50</v>
      </c>
      <c r="W702" s="27" t="s">
        <v>50</v>
      </c>
      <c r="X702" s="27" t="s">
        <v>50</v>
      </c>
      <c r="Y702" s="35" t="s">
        <v>6497</v>
      </c>
    </row>
    <row r="703" spans="1:25" x14ac:dyDescent="0.25">
      <c r="A703" s="26">
        <v>43409</v>
      </c>
      <c r="B703" s="27" t="s">
        <v>43</v>
      </c>
      <c r="C703" s="27" t="s">
        <v>845</v>
      </c>
      <c r="D703" s="89">
        <v>38.297969999999999</v>
      </c>
      <c r="E703" s="89">
        <v>-121.65937</v>
      </c>
      <c r="F703" s="27" t="s">
        <v>6498</v>
      </c>
      <c r="G703" s="27" t="s">
        <v>90</v>
      </c>
      <c r="H703" s="27" t="s">
        <v>126</v>
      </c>
      <c r="I703" s="84">
        <v>0.47569444444444442</v>
      </c>
      <c r="J703" s="82">
        <v>159.9</v>
      </c>
      <c r="K703" s="82">
        <v>16.649999999999999</v>
      </c>
      <c r="L703" s="82">
        <v>7.0774999999999997</v>
      </c>
      <c r="M703" s="82">
        <v>1.5024999999999999</v>
      </c>
      <c r="N703" s="4">
        <v>5.05</v>
      </c>
      <c r="O703" s="27" t="s">
        <v>48</v>
      </c>
      <c r="P703" s="27">
        <v>4</v>
      </c>
      <c r="Q703" s="27">
        <v>10</v>
      </c>
      <c r="R703" s="27" t="s">
        <v>64</v>
      </c>
      <c r="S703" s="27" t="s">
        <v>50</v>
      </c>
      <c r="T703" s="27" t="s">
        <v>50</v>
      </c>
      <c r="U703" s="27" t="s">
        <v>50</v>
      </c>
      <c r="V703" s="27" t="s">
        <v>50</v>
      </c>
      <c r="W703" s="27" t="s">
        <v>50</v>
      </c>
      <c r="X703" s="27" t="s">
        <v>50</v>
      </c>
      <c r="Y703" s="35" t="s">
        <v>6499</v>
      </c>
    </row>
    <row r="704" spans="1:25" s="378" customFormat="1" x14ac:dyDescent="0.25">
      <c r="A704" s="377">
        <v>43409</v>
      </c>
      <c r="B704" s="378" t="s">
        <v>43</v>
      </c>
      <c r="C704" s="378" t="s">
        <v>845</v>
      </c>
      <c r="D704" s="379">
        <v>38.272590000000001</v>
      </c>
      <c r="E704" s="379">
        <v>-121.70801</v>
      </c>
      <c r="F704" s="378" t="s">
        <v>6500</v>
      </c>
      <c r="G704" s="378" t="s">
        <v>90</v>
      </c>
      <c r="H704" s="378" t="s">
        <v>126</v>
      </c>
      <c r="I704" s="380">
        <v>0.3972222222222222</v>
      </c>
      <c r="J704" s="381" t="s">
        <v>50</v>
      </c>
      <c r="K704" s="381" t="s">
        <v>50</v>
      </c>
      <c r="L704" s="381" t="s">
        <v>50</v>
      </c>
      <c r="M704" s="381" t="s">
        <v>50</v>
      </c>
      <c r="N704" s="381" t="s">
        <v>50</v>
      </c>
      <c r="O704" s="378" t="s">
        <v>48</v>
      </c>
      <c r="P704" s="378">
        <v>0</v>
      </c>
      <c r="Q704" s="378" t="s">
        <v>50</v>
      </c>
      <c r="R704" s="378" t="s">
        <v>50</v>
      </c>
      <c r="S704" s="378" t="s">
        <v>50</v>
      </c>
      <c r="T704" s="378" t="s">
        <v>50</v>
      </c>
      <c r="U704" s="378" t="s">
        <v>50</v>
      </c>
      <c r="V704" s="378" t="s">
        <v>50</v>
      </c>
      <c r="W704" s="378" t="s">
        <v>50</v>
      </c>
      <c r="X704" s="378" t="s">
        <v>50</v>
      </c>
      <c r="Y704" s="382" t="s">
        <v>6459</v>
      </c>
    </row>
    <row r="705" spans="1:25" s="378" customFormat="1" x14ac:dyDescent="0.25">
      <c r="A705" s="377">
        <v>43409</v>
      </c>
      <c r="B705" s="378" t="s">
        <v>43</v>
      </c>
      <c r="C705" s="378" t="s">
        <v>845</v>
      </c>
      <c r="D705" s="379">
        <v>38.28098</v>
      </c>
      <c r="E705" s="379">
        <v>-121.71268000000001</v>
      </c>
      <c r="F705" s="378" t="s">
        <v>6501</v>
      </c>
      <c r="G705" s="378" t="s">
        <v>90</v>
      </c>
      <c r="H705" s="378" t="s">
        <v>126</v>
      </c>
      <c r="I705" s="380">
        <v>0.40277777777777773</v>
      </c>
      <c r="J705" s="381" t="s">
        <v>50</v>
      </c>
      <c r="K705" s="381" t="s">
        <v>50</v>
      </c>
      <c r="L705" s="381" t="s">
        <v>50</v>
      </c>
      <c r="M705" s="381" t="s">
        <v>50</v>
      </c>
      <c r="N705" s="381" t="s">
        <v>50</v>
      </c>
      <c r="O705" s="378" t="s">
        <v>48</v>
      </c>
      <c r="P705" s="378">
        <v>0</v>
      </c>
      <c r="Q705" s="378" t="s">
        <v>50</v>
      </c>
      <c r="R705" s="378" t="s">
        <v>50</v>
      </c>
      <c r="S705" s="378" t="s">
        <v>50</v>
      </c>
      <c r="T705" s="378" t="s">
        <v>50</v>
      </c>
      <c r="U705" s="378" t="s">
        <v>50</v>
      </c>
      <c r="V705" s="378" t="s">
        <v>50</v>
      </c>
      <c r="W705" s="378" t="s">
        <v>50</v>
      </c>
      <c r="X705" s="378" t="s">
        <v>50</v>
      </c>
      <c r="Y705" s="382" t="s">
        <v>6459</v>
      </c>
    </row>
    <row r="706" spans="1:25" s="378" customFormat="1" x14ac:dyDescent="0.25">
      <c r="A706" s="377">
        <v>43409</v>
      </c>
      <c r="B706" s="378" t="s">
        <v>43</v>
      </c>
      <c r="C706" s="378" t="s">
        <v>845</v>
      </c>
      <c r="D706" s="379">
        <v>38.286540000000002</v>
      </c>
      <c r="E706" s="379">
        <v>-121.71724</v>
      </c>
      <c r="F706" s="378" t="s">
        <v>6502</v>
      </c>
      <c r="G706" s="378" t="s">
        <v>90</v>
      </c>
      <c r="H706" s="378" t="s">
        <v>126</v>
      </c>
      <c r="I706" s="380">
        <v>0.40347222222222223</v>
      </c>
      <c r="J706" s="381" t="s">
        <v>50</v>
      </c>
      <c r="K706" s="381" t="s">
        <v>50</v>
      </c>
      <c r="L706" s="381" t="s">
        <v>50</v>
      </c>
      <c r="M706" s="381" t="s">
        <v>50</v>
      </c>
      <c r="N706" s="381" t="s">
        <v>50</v>
      </c>
      <c r="O706" s="378" t="s">
        <v>48</v>
      </c>
      <c r="P706" s="378">
        <v>0</v>
      </c>
      <c r="Q706" s="378" t="s">
        <v>50</v>
      </c>
      <c r="R706" s="378" t="s">
        <v>50</v>
      </c>
      <c r="S706" s="378" t="s">
        <v>50</v>
      </c>
      <c r="T706" s="378" t="s">
        <v>50</v>
      </c>
      <c r="U706" s="378" t="s">
        <v>50</v>
      </c>
      <c r="V706" s="378" t="s">
        <v>50</v>
      </c>
      <c r="W706" s="378" t="s">
        <v>50</v>
      </c>
      <c r="X706" s="378" t="s">
        <v>50</v>
      </c>
      <c r="Y706" s="382" t="s">
        <v>6459</v>
      </c>
    </row>
    <row r="707" spans="1:25" x14ac:dyDescent="0.25">
      <c r="A707" s="26">
        <v>43409</v>
      </c>
      <c r="B707" s="27" t="s">
        <v>43</v>
      </c>
      <c r="C707" s="27" t="s">
        <v>88</v>
      </c>
      <c r="D707" s="89">
        <v>38.108890000000002</v>
      </c>
      <c r="E707" s="89">
        <v>-121.70199</v>
      </c>
      <c r="F707" s="27" t="s">
        <v>6503</v>
      </c>
      <c r="G707" s="27" t="s">
        <v>90</v>
      </c>
      <c r="H707" s="27" t="s">
        <v>91</v>
      </c>
      <c r="I707" s="84">
        <v>0.35972222222222222</v>
      </c>
      <c r="J707" s="82">
        <v>249.2</v>
      </c>
      <c r="K707" s="82">
        <v>16.574999999999999</v>
      </c>
      <c r="L707" s="82">
        <v>6.2324999999999999</v>
      </c>
      <c r="M707" s="82">
        <v>1.55</v>
      </c>
      <c r="N707" s="4">
        <v>5.65</v>
      </c>
      <c r="O707" s="27" t="s">
        <v>48</v>
      </c>
      <c r="P707" s="27">
        <v>4</v>
      </c>
      <c r="Q707" s="27">
        <v>10</v>
      </c>
      <c r="R707" s="27" t="s">
        <v>49</v>
      </c>
      <c r="S707" s="27" t="s">
        <v>50</v>
      </c>
      <c r="T707" s="27" t="s">
        <v>50</v>
      </c>
      <c r="U707" s="27" t="s">
        <v>50</v>
      </c>
      <c r="V707" s="27" t="s">
        <v>50</v>
      </c>
      <c r="W707" s="27" t="s">
        <v>50</v>
      </c>
      <c r="X707" s="27" t="s">
        <v>50</v>
      </c>
      <c r="Y707" s="35" t="s">
        <v>6504</v>
      </c>
    </row>
    <row r="708" spans="1:25" x14ac:dyDescent="0.25">
      <c r="A708" s="26">
        <v>43409</v>
      </c>
      <c r="B708" s="27" t="s">
        <v>43</v>
      </c>
      <c r="C708" s="27" t="s">
        <v>88</v>
      </c>
      <c r="D708" s="89">
        <v>38.075699999999998</v>
      </c>
      <c r="E708" s="89">
        <v>-121.77088999999999</v>
      </c>
      <c r="F708" s="27" t="s">
        <v>6505</v>
      </c>
      <c r="G708" s="27" t="s">
        <v>27</v>
      </c>
      <c r="H708" s="27" t="s">
        <v>25</v>
      </c>
      <c r="I708" s="84">
        <v>0.42222222222222222</v>
      </c>
      <c r="J708" s="82">
        <v>1762.5</v>
      </c>
      <c r="K708" s="82">
        <v>17</v>
      </c>
      <c r="L708" s="82">
        <v>15.55</v>
      </c>
      <c r="M708" s="82">
        <v>0.63749999999999996</v>
      </c>
      <c r="N708" s="4">
        <v>9.0500000000000007</v>
      </c>
      <c r="O708" s="27" t="s">
        <v>48</v>
      </c>
      <c r="P708" s="27">
        <v>4</v>
      </c>
      <c r="Q708" s="27">
        <v>10</v>
      </c>
      <c r="R708" s="27" t="s">
        <v>64</v>
      </c>
      <c r="S708" s="27" t="s">
        <v>50</v>
      </c>
      <c r="T708" s="27" t="s">
        <v>50</v>
      </c>
      <c r="U708" s="27" t="s">
        <v>50</v>
      </c>
      <c r="V708" s="27" t="s">
        <v>50</v>
      </c>
      <c r="W708" s="27" t="s">
        <v>50</v>
      </c>
      <c r="X708" s="27" t="s">
        <v>50</v>
      </c>
    </row>
    <row r="709" spans="1:25" x14ac:dyDescent="0.25">
      <c r="A709" s="26">
        <v>43409</v>
      </c>
      <c r="B709" s="27" t="s">
        <v>43</v>
      </c>
      <c r="C709" s="27" t="s">
        <v>88</v>
      </c>
      <c r="D709" s="89">
        <v>38.065359999999998</v>
      </c>
      <c r="E709" s="89">
        <v>-121.78467999999999</v>
      </c>
      <c r="F709" s="27" t="s">
        <v>6506</v>
      </c>
      <c r="G709" s="27" t="s">
        <v>27</v>
      </c>
      <c r="H709" s="27" t="s">
        <v>25</v>
      </c>
      <c r="I709" s="84">
        <v>0.4680555555555555</v>
      </c>
      <c r="J709" s="82">
        <v>4809.75</v>
      </c>
      <c r="K709" s="82">
        <v>17.125</v>
      </c>
      <c r="L709" s="82">
        <v>15.175000000000001</v>
      </c>
      <c r="M709" s="82">
        <v>0.64500000000000002</v>
      </c>
      <c r="N709" s="4">
        <v>10.074999999999999</v>
      </c>
      <c r="O709" s="27" t="s">
        <v>48</v>
      </c>
      <c r="P709" s="27">
        <v>4</v>
      </c>
      <c r="Q709" s="27">
        <v>10</v>
      </c>
      <c r="R709" s="27" t="s">
        <v>64</v>
      </c>
      <c r="S709" s="27" t="s">
        <v>50</v>
      </c>
      <c r="T709" s="27" t="s">
        <v>50</v>
      </c>
      <c r="U709" s="27" t="s">
        <v>50</v>
      </c>
      <c r="V709" s="27" t="s">
        <v>50</v>
      </c>
      <c r="W709" s="27" t="s">
        <v>50</v>
      </c>
      <c r="X709" s="27" t="s">
        <v>50</v>
      </c>
    </row>
    <row r="710" spans="1:25" x14ac:dyDescent="0.25">
      <c r="A710" s="26">
        <v>43409</v>
      </c>
      <c r="B710" s="27" t="s">
        <v>43</v>
      </c>
      <c r="C710" s="27" t="s">
        <v>78</v>
      </c>
      <c r="D710" s="89">
        <v>38.062959999999997</v>
      </c>
      <c r="E710" s="89">
        <v>-122.02258999999999</v>
      </c>
      <c r="F710" s="27" t="s">
        <v>6507</v>
      </c>
      <c r="G710" s="27" t="s">
        <v>27</v>
      </c>
      <c r="H710" s="27" t="s">
        <v>86</v>
      </c>
      <c r="I710" s="84">
        <v>0.36805555555555558</v>
      </c>
      <c r="J710" s="82">
        <v>14871.5</v>
      </c>
      <c r="K710" s="82">
        <v>17.100000000000001</v>
      </c>
      <c r="L710" s="82">
        <v>11.5</v>
      </c>
      <c r="M710" s="82">
        <v>1.0925</v>
      </c>
      <c r="N710" s="4">
        <v>8.8249999999999993</v>
      </c>
      <c r="O710" s="27" t="s">
        <v>48</v>
      </c>
      <c r="P710" s="27">
        <v>4</v>
      </c>
      <c r="Q710" s="27">
        <v>10</v>
      </c>
      <c r="R710" s="27" t="s">
        <v>64</v>
      </c>
      <c r="S710" s="27" t="s">
        <v>50</v>
      </c>
      <c r="T710" s="27" t="s">
        <v>50</v>
      </c>
      <c r="U710" s="27" t="s">
        <v>50</v>
      </c>
      <c r="V710" s="27" t="s">
        <v>50</v>
      </c>
      <c r="W710" s="27" t="s">
        <v>50</v>
      </c>
      <c r="X710" s="27" t="s">
        <v>50</v>
      </c>
      <c r="Y710" s="35" t="s">
        <v>6188</v>
      </c>
    </row>
    <row r="711" spans="1:25" x14ac:dyDescent="0.25">
      <c r="A711" s="26">
        <v>43409</v>
      </c>
      <c r="B711" s="27" t="s">
        <v>43</v>
      </c>
      <c r="C711" s="27" t="s">
        <v>78</v>
      </c>
      <c r="D711" s="89">
        <v>38.055</v>
      </c>
      <c r="E711" s="89">
        <v>-122.08557999999999</v>
      </c>
      <c r="F711" s="27" t="s">
        <v>6508</v>
      </c>
      <c r="G711" s="27" t="s">
        <v>80</v>
      </c>
      <c r="H711" s="27" t="s">
        <v>81</v>
      </c>
      <c r="I711" s="84">
        <v>0.43263888888888885</v>
      </c>
      <c r="J711" s="82">
        <v>22958</v>
      </c>
      <c r="K711" s="82">
        <v>17.399999999999999</v>
      </c>
      <c r="L711" s="82">
        <v>38.35</v>
      </c>
      <c r="M711" s="82">
        <v>0.72</v>
      </c>
      <c r="N711" s="4">
        <v>8.25</v>
      </c>
      <c r="O711" s="27" t="s">
        <v>48</v>
      </c>
      <c r="P711" s="27">
        <v>4</v>
      </c>
      <c r="Q711" s="27">
        <v>10</v>
      </c>
      <c r="R711" s="27" t="s">
        <v>64</v>
      </c>
      <c r="S711" s="27" t="s">
        <v>50</v>
      </c>
      <c r="T711" s="27" t="s">
        <v>50</v>
      </c>
      <c r="U711" s="27" t="s">
        <v>50</v>
      </c>
      <c r="V711" s="27" t="s">
        <v>50</v>
      </c>
      <c r="W711" s="27" t="s">
        <v>50</v>
      </c>
      <c r="X711" s="27" t="s">
        <v>50</v>
      </c>
      <c r="Y711" s="35" t="s">
        <v>6188</v>
      </c>
    </row>
    <row r="712" spans="1:25" x14ac:dyDescent="0.25">
      <c r="A712" s="26">
        <v>43409</v>
      </c>
      <c r="B712" s="27" t="s">
        <v>43</v>
      </c>
      <c r="C712" s="27" t="s">
        <v>78</v>
      </c>
      <c r="D712" s="89">
        <v>38.099110000000003</v>
      </c>
      <c r="E712" s="89">
        <v>-122.05184</v>
      </c>
      <c r="F712" s="27" t="s">
        <v>6509</v>
      </c>
      <c r="G712" s="27" t="s">
        <v>27</v>
      </c>
      <c r="H712" s="27" t="s">
        <v>86</v>
      </c>
      <c r="I712" s="84">
        <v>0.49444444444444446</v>
      </c>
      <c r="J712" s="82">
        <v>20667.25</v>
      </c>
      <c r="K712" s="82">
        <v>17.350000000000001</v>
      </c>
      <c r="L712" s="82">
        <v>31.15</v>
      </c>
      <c r="M712" s="82">
        <v>0.73</v>
      </c>
      <c r="N712" s="4">
        <v>7.2750000000000004</v>
      </c>
      <c r="O712" s="27" t="s">
        <v>48</v>
      </c>
      <c r="P712" s="27">
        <v>4</v>
      </c>
      <c r="Q712" s="27">
        <v>10</v>
      </c>
      <c r="R712" s="27" t="s">
        <v>64</v>
      </c>
      <c r="S712" s="27" t="s">
        <v>50</v>
      </c>
      <c r="T712" s="27" t="s">
        <v>50</v>
      </c>
      <c r="U712" s="27" t="s">
        <v>50</v>
      </c>
      <c r="V712" s="27" t="s">
        <v>50</v>
      </c>
      <c r="W712" s="27" t="s">
        <v>50</v>
      </c>
      <c r="X712" s="27" t="s">
        <v>50</v>
      </c>
      <c r="Y712" s="35" t="s">
        <v>6188</v>
      </c>
    </row>
    <row r="713" spans="1:25" x14ac:dyDescent="0.25">
      <c r="A713" s="26">
        <v>43410</v>
      </c>
      <c r="B713" s="27" t="s">
        <v>70</v>
      </c>
      <c r="C713" s="27" t="s">
        <v>88</v>
      </c>
      <c r="D713" s="89">
        <v>38.06635</v>
      </c>
      <c r="E713" s="89">
        <v>-121.82195</v>
      </c>
      <c r="F713" s="27" t="s">
        <v>6510</v>
      </c>
      <c r="G713" s="27" t="s">
        <v>27</v>
      </c>
      <c r="H713" s="27" t="s">
        <v>25</v>
      </c>
      <c r="I713" s="84">
        <v>0.32500000000000001</v>
      </c>
      <c r="J713" s="82">
        <v>5530.5</v>
      </c>
      <c r="K713" s="82">
        <v>16.95</v>
      </c>
      <c r="L713" s="82">
        <v>12.6175</v>
      </c>
      <c r="M713" s="82">
        <v>0.73250000000000004</v>
      </c>
      <c r="N713" s="4">
        <v>6.7249999999999996</v>
      </c>
      <c r="O713" s="27" t="s">
        <v>48</v>
      </c>
      <c r="P713" s="27">
        <v>4</v>
      </c>
      <c r="Q713" s="27">
        <v>10</v>
      </c>
      <c r="R713" s="27" t="s">
        <v>49</v>
      </c>
      <c r="S713" s="27" t="s">
        <v>50</v>
      </c>
      <c r="T713" s="27" t="s">
        <v>50</v>
      </c>
      <c r="U713" s="27" t="s">
        <v>50</v>
      </c>
      <c r="V713" s="27" t="s">
        <v>50</v>
      </c>
      <c r="W713" s="27" t="s">
        <v>50</v>
      </c>
      <c r="X713" s="27" t="s">
        <v>50</v>
      </c>
      <c r="Y713" s="35" t="s">
        <v>6188</v>
      </c>
    </row>
    <row r="714" spans="1:25" x14ac:dyDescent="0.25">
      <c r="A714" s="26">
        <v>43410</v>
      </c>
      <c r="B714" s="27" t="s">
        <v>70</v>
      </c>
      <c r="C714" s="27" t="s">
        <v>88</v>
      </c>
      <c r="D714" s="89">
        <v>38.08135</v>
      </c>
      <c r="E714" s="89">
        <v>-121.75364</v>
      </c>
      <c r="F714" s="27" t="s">
        <v>6511</v>
      </c>
      <c r="G714" s="27" t="s">
        <v>27</v>
      </c>
      <c r="H714" s="27" t="s">
        <v>25</v>
      </c>
      <c r="I714" s="84">
        <v>0.37361111111111112</v>
      </c>
      <c r="J714" s="82">
        <v>902.25</v>
      </c>
      <c r="K714" s="82">
        <v>16.7</v>
      </c>
      <c r="L714" s="82">
        <v>15.899999999999999</v>
      </c>
      <c r="M714" s="82">
        <v>0.76750000000000007</v>
      </c>
      <c r="N714" s="4">
        <v>8.6999999999999993</v>
      </c>
      <c r="O714" s="27" t="s">
        <v>48</v>
      </c>
      <c r="P714" s="27">
        <v>4</v>
      </c>
      <c r="Q714" s="27">
        <v>10</v>
      </c>
      <c r="R714" s="27" t="s">
        <v>49</v>
      </c>
      <c r="S714" s="27" t="s">
        <v>50</v>
      </c>
      <c r="T714" s="27" t="s">
        <v>50</v>
      </c>
      <c r="U714" s="27" t="s">
        <v>50</v>
      </c>
      <c r="V714" s="27" t="s">
        <v>50</v>
      </c>
      <c r="W714" s="27" t="s">
        <v>50</v>
      </c>
      <c r="X714" s="27" t="s">
        <v>50</v>
      </c>
      <c r="Y714" s="35" t="s">
        <v>6188</v>
      </c>
    </row>
    <row r="715" spans="1:25" x14ac:dyDescent="0.25">
      <c r="A715" s="26">
        <v>43410</v>
      </c>
      <c r="B715" s="27" t="s">
        <v>70</v>
      </c>
      <c r="C715" s="27" t="s">
        <v>88</v>
      </c>
      <c r="D715" s="89">
        <v>38.163969999999999</v>
      </c>
      <c r="E715" s="89">
        <v>-121.67686</v>
      </c>
      <c r="F715" s="27" t="s">
        <v>6512</v>
      </c>
      <c r="G715" s="27" t="s">
        <v>90</v>
      </c>
      <c r="H715" s="27" t="s">
        <v>91</v>
      </c>
      <c r="I715" s="84">
        <v>0.42708333333333331</v>
      </c>
      <c r="J715" s="82">
        <v>136.29999999999998</v>
      </c>
      <c r="K715" s="82">
        <v>16.100000000000001</v>
      </c>
      <c r="L715" s="82">
        <v>5.1174999999999997</v>
      </c>
      <c r="M715" s="82" t="s">
        <v>5829</v>
      </c>
      <c r="N715" s="4">
        <v>7.15</v>
      </c>
      <c r="O715" s="27" t="s">
        <v>48</v>
      </c>
      <c r="P715" s="27">
        <v>4</v>
      </c>
      <c r="Q715" s="27">
        <v>10</v>
      </c>
      <c r="R715" s="27" t="s">
        <v>64</v>
      </c>
      <c r="S715" s="27" t="s">
        <v>50</v>
      </c>
      <c r="T715" s="27" t="s">
        <v>50</v>
      </c>
      <c r="U715" s="27" t="s">
        <v>50</v>
      </c>
      <c r="V715" s="27" t="s">
        <v>50</v>
      </c>
      <c r="W715" s="27" t="s">
        <v>50</v>
      </c>
      <c r="X715" s="27" t="s">
        <v>50</v>
      </c>
      <c r="Y715" s="35" t="s">
        <v>6188</v>
      </c>
    </row>
    <row r="716" spans="1:25" x14ac:dyDescent="0.25">
      <c r="A716" s="26">
        <v>43410</v>
      </c>
      <c r="B716" s="27" t="s">
        <v>70</v>
      </c>
      <c r="C716" s="27" t="s">
        <v>88</v>
      </c>
      <c r="D716" s="89">
        <v>38.139859999999999</v>
      </c>
      <c r="E716" s="89">
        <v>-121.68720999999999</v>
      </c>
      <c r="F716" s="27" t="s">
        <v>6513</v>
      </c>
      <c r="G716" s="27" t="s">
        <v>90</v>
      </c>
      <c r="H716" s="27" t="s">
        <v>91</v>
      </c>
      <c r="I716" s="84">
        <v>0.47291666666666665</v>
      </c>
      <c r="J716" s="82">
        <v>162.02500000000001</v>
      </c>
      <c r="K716" s="82">
        <v>16.575000000000003</v>
      </c>
      <c r="L716" s="82">
        <v>4.1124999999999998</v>
      </c>
      <c r="M716" s="82" t="s">
        <v>5829</v>
      </c>
      <c r="N716" s="4">
        <v>5.125</v>
      </c>
      <c r="O716" s="27" t="s">
        <v>48</v>
      </c>
      <c r="P716" s="27">
        <v>4</v>
      </c>
      <c r="Q716" s="27">
        <v>10</v>
      </c>
      <c r="R716" s="27" t="s">
        <v>64</v>
      </c>
      <c r="S716" s="27" t="s">
        <v>50</v>
      </c>
      <c r="T716" s="27" t="s">
        <v>50</v>
      </c>
      <c r="U716" s="27" t="s">
        <v>50</v>
      </c>
      <c r="V716" s="27" t="s">
        <v>50</v>
      </c>
      <c r="W716" s="27" t="s">
        <v>50</v>
      </c>
      <c r="X716" s="27" t="s">
        <v>50</v>
      </c>
    </row>
    <row r="717" spans="1:25" x14ac:dyDescent="0.25">
      <c r="A717" s="26">
        <v>43410</v>
      </c>
      <c r="B717" s="27" t="s">
        <v>70</v>
      </c>
      <c r="C717" s="27" t="s">
        <v>845</v>
      </c>
      <c r="D717" s="89">
        <v>38.258240000000001</v>
      </c>
      <c r="E717" s="89">
        <v>-121.67119</v>
      </c>
      <c r="F717" s="27" t="s">
        <v>6514</v>
      </c>
      <c r="G717" s="27" t="s">
        <v>90</v>
      </c>
      <c r="H717" s="27" t="s">
        <v>126</v>
      </c>
      <c r="I717" s="84">
        <v>0.32083333333333336</v>
      </c>
      <c r="J717" s="82">
        <v>178.70000000000002</v>
      </c>
      <c r="K717" s="82">
        <v>16.100000000000001</v>
      </c>
      <c r="L717" s="82">
        <v>4.62</v>
      </c>
      <c r="M717" s="82">
        <v>1.75</v>
      </c>
      <c r="N717" s="4">
        <v>9.375</v>
      </c>
      <c r="O717" s="27" t="s">
        <v>48</v>
      </c>
      <c r="P717" s="27">
        <v>4</v>
      </c>
      <c r="Q717" s="27">
        <v>10</v>
      </c>
      <c r="R717" s="27" t="s">
        <v>49</v>
      </c>
      <c r="S717" s="27" t="s">
        <v>50</v>
      </c>
      <c r="T717" s="27" t="s">
        <v>50</v>
      </c>
      <c r="U717" s="27" t="s">
        <v>50</v>
      </c>
      <c r="V717" s="27" t="s">
        <v>50</v>
      </c>
      <c r="W717" s="27" t="s">
        <v>50</v>
      </c>
      <c r="X717" s="27" t="s">
        <v>50</v>
      </c>
      <c r="Y717" s="35" t="s">
        <v>6515</v>
      </c>
    </row>
    <row r="718" spans="1:25" x14ac:dyDescent="0.25">
      <c r="A718" s="26">
        <v>43410</v>
      </c>
      <c r="B718" s="27" t="s">
        <v>70</v>
      </c>
      <c r="C718" s="27" t="s">
        <v>845</v>
      </c>
      <c r="D718" s="89">
        <v>38.284329999999997</v>
      </c>
      <c r="E718" s="89">
        <v>-121.69266</v>
      </c>
      <c r="F718" s="27" t="s">
        <v>6516</v>
      </c>
      <c r="G718" s="27" t="s">
        <v>90</v>
      </c>
      <c r="H718" s="27" t="s">
        <v>126</v>
      </c>
      <c r="I718" s="84">
        <v>0.37777777777777777</v>
      </c>
      <c r="J718" s="82">
        <v>220.70000000000002</v>
      </c>
      <c r="K718" s="82">
        <v>16.075000000000003</v>
      </c>
      <c r="L718" s="82">
        <v>2.4924999999999997</v>
      </c>
      <c r="M718" s="82" t="s">
        <v>5829</v>
      </c>
      <c r="N718" s="4">
        <v>6.75</v>
      </c>
      <c r="O718" s="27" t="s">
        <v>48</v>
      </c>
      <c r="P718" s="27">
        <v>4</v>
      </c>
      <c r="Q718" s="27">
        <v>10</v>
      </c>
      <c r="R718" s="27" t="s">
        <v>49</v>
      </c>
      <c r="S718" s="27" t="s">
        <v>50</v>
      </c>
      <c r="T718" s="27" t="s">
        <v>50</v>
      </c>
      <c r="U718" s="27" t="s">
        <v>50</v>
      </c>
      <c r="V718" s="27" t="s">
        <v>50</v>
      </c>
      <c r="W718" s="27" t="s">
        <v>50</v>
      </c>
      <c r="X718" s="27" t="s">
        <v>50</v>
      </c>
      <c r="Y718" s="35" t="s">
        <v>1016</v>
      </c>
    </row>
    <row r="719" spans="1:25" x14ac:dyDescent="0.25">
      <c r="A719" s="26">
        <v>43410</v>
      </c>
      <c r="B719" s="27" t="s">
        <v>70</v>
      </c>
      <c r="C719" s="27" t="s">
        <v>845</v>
      </c>
      <c r="D719" s="89">
        <v>38.236350000000002</v>
      </c>
      <c r="E719" s="89">
        <v>-121.68352</v>
      </c>
      <c r="F719" s="27" t="s">
        <v>6517</v>
      </c>
      <c r="G719" s="27" t="s">
        <v>90</v>
      </c>
      <c r="H719" s="27" t="s">
        <v>126</v>
      </c>
      <c r="I719" s="84">
        <v>0.48819444444444443</v>
      </c>
      <c r="J719" s="82">
        <v>169.3</v>
      </c>
      <c r="K719" s="82">
        <v>16.2</v>
      </c>
      <c r="L719" s="82">
        <v>3.3099999999999996</v>
      </c>
      <c r="M719" s="82" t="s">
        <v>5829</v>
      </c>
      <c r="N719" s="4">
        <v>15.725</v>
      </c>
      <c r="O719" s="27" t="s">
        <v>48</v>
      </c>
      <c r="P719" s="27">
        <v>4</v>
      </c>
      <c r="Q719" s="27">
        <v>10</v>
      </c>
      <c r="R719" s="27" t="s">
        <v>64</v>
      </c>
      <c r="S719" s="27" t="s">
        <v>50</v>
      </c>
      <c r="T719" s="27" t="s">
        <v>50</v>
      </c>
      <c r="U719" s="27" t="s">
        <v>50</v>
      </c>
      <c r="V719" s="27" t="s">
        <v>50</v>
      </c>
      <c r="W719" s="27" t="s">
        <v>50</v>
      </c>
      <c r="X719" s="27" t="s">
        <v>50</v>
      </c>
    </row>
    <row r="720" spans="1:25" x14ac:dyDescent="0.25">
      <c r="A720" s="26">
        <v>43410</v>
      </c>
      <c r="B720" s="27" t="s">
        <v>70</v>
      </c>
      <c r="C720" s="27" t="s">
        <v>845</v>
      </c>
      <c r="D720" s="89">
        <v>38.250709999999998</v>
      </c>
      <c r="E720" s="89">
        <v>-121.71889</v>
      </c>
      <c r="F720" s="27" t="s">
        <v>6518</v>
      </c>
      <c r="G720" s="27" t="s">
        <v>90</v>
      </c>
      <c r="H720" s="27" t="s">
        <v>126</v>
      </c>
      <c r="I720" s="84">
        <v>0.44097222222222227</v>
      </c>
      <c r="J720" s="82">
        <v>176.79999999999998</v>
      </c>
      <c r="K720" s="82">
        <v>16.150000000000002</v>
      </c>
      <c r="L720" s="82">
        <v>2.1749999999999998</v>
      </c>
      <c r="M720" s="82" t="s">
        <v>5829</v>
      </c>
      <c r="N720" s="4">
        <v>4.55</v>
      </c>
      <c r="O720" s="27" t="s">
        <v>48</v>
      </c>
      <c r="P720" s="27">
        <v>4</v>
      </c>
      <c r="Q720" s="27">
        <v>10</v>
      </c>
      <c r="R720" s="27" t="s">
        <v>64</v>
      </c>
      <c r="S720" s="27" t="s">
        <v>50</v>
      </c>
      <c r="T720" s="27" t="s">
        <v>50</v>
      </c>
      <c r="U720" s="27" t="s">
        <v>50</v>
      </c>
      <c r="V720" s="27" t="s">
        <v>50</v>
      </c>
      <c r="W720" s="27" t="s">
        <v>50</v>
      </c>
      <c r="X720" s="27" t="s">
        <v>50</v>
      </c>
    </row>
    <row r="721" spans="1:25" s="149" customFormat="1" x14ac:dyDescent="0.25">
      <c r="A721" s="178">
        <v>43410</v>
      </c>
      <c r="B721" s="149" t="s">
        <v>70</v>
      </c>
      <c r="C721" s="149" t="s">
        <v>845</v>
      </c>
      <c r="D721" s="150">
        <v>38.268239999999999</v>
      </c>
      <c r="E721" s="150">
        <v>-121.69976</v>
      </c>
      <c r="F721" s="149" t="s">
        <v>6519</v>
      </c>
      <c r="G721" s="149" t="s">
        <v>90</v>
      </c>
      <c r="H721" s="149" t="s">
        <v>126</v>
      </c>
      <c r="I721" s="151">
        <v>0.4291666666666667</v>
      </c>
      <c r="J721" s="197" t="s">
        <v>50</v>
      </c>
      <c r="K721" s="197" t="s">
        <v>50</v>
      </c>
      <c r="L721" s="197" t="s">
        <v>50</v>
      </c>
      <c r="M721" s="197" t="s">
        <v>50</v>
      </c>
      <c r="N721" s="197" t="s">
        <v>50</v>
      </c>
      <c r="O721" s="149" t="s">
        <v>48</v>
      </c>
      <c r="P721" s="149">
        <v>0</v>
      </c>
      <c r="Q721" s="149" t="s">
        <v>50</v>
      </c>
      <c r="R721" s="149" t="s">
        <v>50</v>
      </c>
      <c r="S721" s="149" t="s">
        <v>50</v>
      </c>
      <c r="T721" s="149" t="s">
        <v>50</v>
      </c>
      <c r="U721" s="149" t="s">
        <v>50</v>
      </c>
      <c r="V721" s="149" t="s">
        <v>50</v>
      </c>
      <c r="W721" s="149" t="s">
        <v>50</v>
      </c>
      <c r="X721" s="149" t="s">
        <v>50</v>
      </c>
      <c r="Y721" s="152" t="s">
        <v>3623</v>
      </c>
    </row>
    <row r="722" spans="1:25" x14ac:dyDescent="0.25">
      <c r="A722" s="26">
        <v>43410</v>
      </c>
      <c r="B722" s="27" t="s">
        <v>70</v>
      </c>
      <c r="C722" s="27" t="s">
        <v>78</v>
      </c>
      <c r="D722" s="89">
        <v>38.052370000000003</v>
      </c>
      <c r="E722" s="89">
        <v>-122.11928</v>
      </c>
      <c r="F722" s="27" t="s">
        <v>6520</v>
      </c>
      <c r="G722" s="27" t="s">
        <v>80</v>
      </c>
      <c r="H722" s="27" t="s">
        <v>81</v>
      </c>
      <c r="I722" s="84">
        <v>0.34722222222222227</v>
      </c>
      <c r="J722" s="82">
        <v>18922.5</v>
      </c>
      <c r="K722" s="82">
        <v>16.799999999999997</v>
      </c>
      <c r="L722" s="82">
        <v>24.625</v>
      </c>
      <c r="M722" s="82">
        <v>0.73249999999999993</v>
      </c>
      <c r="N722" s="4">
        <v>8.1750000000000007</v>
      </c>
      <c r="O722" s="27" t="s">
        <v>48</v>
      </c>
      <c r="P722" s="27">
        <v>4</v>
      </c>
      <c r="Q722" s="27">
        <v>10</v>
      </c>
      <c r="R722" s="27" t="s">
        <v>64</v>
      </c>
      <c r="S722" s="27" t="s">
        <v>50</v>
      </c>
      <c r="T722" s="27" t="s">
        <v>50</v>
      </c>
      <c r="U722" s="27" t="s">
        <v>50</v>
      </c>
      <c r="V722" s="27" t="s">
        <v>50</v>
      </c>
      <c r="W722" s="27" t="s">
        <v>50</v>
      </c>
      <c r="X722" s="27" t="s">
        <v>50</v>
      </c>
    </row>
    <row r="723" spans="1:25" x14ac:dyDescent="0.25">
      <c r="A723" s="26">
        <v>43410</v>
      </c>
      <c r="B723" s="27" t="s">
        <v>70</v>
      </c>
      <c r="C723" s="27" t="s">
        <v>78</v>
      </c>
      <c r="D723" s="89">
        <v>38.06174</v>
      </c>
      <c r="E723" s="89">
        <v>-122.05920999999999</v>
      </c>
      <c r="F723" s="27" t="s">
        <v>6521</v>
      </c>
      <c r="G723" s="27" t="s">
        <v>80</v>
      </c>
      <c r="H723" s="27" t="s">
        <v>81</v>
      </c>
      <c r="I723" s="84">
        <v>0.40069444444444446</v>
      </c>
      <c r="J723" s="82">
        <v>18392</v>
      </c>
      <c r="K723" s="82">
        <v>17.475000000000001</v>
      </c>
      <c r="L723" s="82">
        <v>17.310000000000002</v>
      </c>
      <c r="M723" s="82">
        <v>0.88749999999999996</v>
      </c>
      <c r="N723" s="4">
        <v>5.1749999999999998</v>
      </c>
      <c r="O723" s="27" t="s">
        <v>48</v>
      </c>
      <c r="P723" s="27">
        <v>4</v>
      </c>
      <c r="Q723" s="27">
        <v>10</v>
      </c>
      <c r="R723" s="27" t="s">
        <v>64</v>
      </c>
      <c r="S723" s="27" t="s">
        <v>50</v>
      </c>
      <c r="T723" s="27" t="s">
        <v>50</v>
      </c>
      <c r="U723" s="27" t="s">
        <v>50</v>
      </c>
      <c r="V723" s="27" t="s">
        <v>50</v>
      </c>
      <c r="W723" s="27" t="s">
        <v>50</v>
      </c>
      <c r="X723" s="27" t="s">
        <v>50</v>
      </c>
    </row>
    <row r="724" spans="1:25" x14ac:dyDescent="0.25">
      <c r="A724" s="26">
        <v>43410</v>
      </c>
      <c r="B724" s="27" t="s">
        <v>70</v>
      </c>
      <c r="C724" s="27" t="s">
        <v>78</v>
      </c>
      <c r="D724" s="89">
        <v>38.062420000000003</v>
      </c>
      <c r="E724" s="89">
        <v>-121.86695</v>
      </c>
      <c r="F724" s="27" t="s">
        <v>6522</v>
      </c>
      <c r="G724" s="27" t="s">
        <v>27</v>
      </c>
      <c r="H724" s="27" t="s">
        <v>101</v>
      </c>
      <c r="I724" s="84">
        <v>0.46388888888888885</v>
      </c>
      <c r="J724" s="82">
        <v>7746.25</v>
      </c>
      <c r="K724" s="82">
        <v>17.125</v>
      </c>
      <c r="L724" s="82">
        <v>11</v>
      </c>
      <c r="M724" s="82">
        <v>1.2675000000000001</v>
      </c>
      <c r="N724" s="4">
        <v>18.274999999999999</v>
      </c>
      <c r="O724" s="27" t="s">
        <v>48</v>
      </c>
      <c r="P724" s="27">
        <v>4</v>
      </c>
      <c r="Q724" s="27">
        <v>10</v>
      </c>
      <c r="R724" s="27" t="s">
        <v>64</v>
      </c>
      <c r="S724" s="27" t="s">
        <v>50</v>
      </c>
      <c r="T724" s="27" t="s">
        <v>50</v>
      </c>
      <c r="U724" s="27" t="s">
        <v>50</v>
      </c>
      <c r="V724" s="27" t="s">
        <v>50</v>
      </c>
      <c r="W724" s="27" t="s">
        <v>50</v>
      </c>
      <c r="X724" s="27" t="s">
        <v>50</v>
      </c>
      <c r="Y724" s="35" t="s">
        <v>6523</v>
      </c>
    </row>
    <row r="725" spans="1:25" x14ac:dyDescent="0.25">
      <c r="A725" s="26">
        <v>43411</v>
      </c>
      <c r="B725" s="27" t="s">
        <v>87</v>
      </c>
      <c r="C725" s="27" t="s">
        <v>62</v>
      </c>
      <c r="D725" s="89">
        <v>38.134250000000002</v>
      </c>
      <c r="E725" s="89">
        <v>-121.9143</v>
      </c>
      <c r="F725" s="27" t="s">
        <v>6524</v>
      </c>
      <c r="G725" s="27" t="s">
        <v>27</v>
      </c>
      <c r="H725" s="27" t="s">
        <v>62</v>
      </c>
      <c r="I725" s="84">
        <v>0.34027777777777773</v>
      </c>
      <c r="J725" s="82">
        <v>8300.5</v>
      </c>
      <c r="K725" s="82">
        <v>16.649999999999999</v>
      </c>
      <c r="L725" s="82">
        <v>27.302500000000002</v>
      </c>
      <c r="M725" s="82">
        <v>0.56499999999999995</v>
      </c>
      <c r="N725" s="4">
        <v>6.2</v>
      </c>
      <c r="O725" s="27" t="s">
        <v>48</v>
      </c>
      <c r="P725" s="27">
        <v>4</v>
      </c>
      <c r="Q725" s="27">
        <v>10</v>
      </c>
      <c r="R725" s="27" t="s">
        <v>49</v>
      </c>
      <c r="S725" s="27" t="s">
        <v>50</v>
      </c>
      <c r="T725" s="27" t="s">
        <v>50</v>
      </c>
      <c r="U725" s="27" t="s">
        <v>50</v>
      </c>
      <c r="V725" s="27" t="s">
        <v>50</v>
      </c>
      <c r="W725" s="27" t="s">
        <v>50</v>
      </c>
      <c r="X725" s="27" t="s">
        <v>50</v>
      </c>
      <c r="Y725" s="35" t="s">
        <v>6188</v>
      </c>
    </row>
    <row r="726" spans="1:25" s="410" customFormat="1" x14ac:dyDescent="0.25">
      <c r="A726" s="495">
        <v>43411</v>
      </c>
      <c r="B726" s="494" t="s">
        <v>87</v>
      </c>
      <c r="C726" s="494" t="s">
        <v>62</v>
      </c>
      <c r="D726" s="496">
        <v>38.17606</v>
      </c>
      <c r="E726" s="496">
        <v>-122.01224999999999</v>
      </c>
      <c r="F726" s="494" t="s">
        <v>6525</v>
      </c>
      <c r="G726" s="494" t="s">
        <v>27</v>
      </c>
      <c r="H726" s="494" t="s">
        <v>62</v>
      </c>
      <c r="I726" s="497">
        <v>0.40138888888888885</v>
      </c>
      <c r="J726" s="498">
        <v>8424.25</v>
      </c>
      <c r="K726" s="498">
        <v>16.875</v>
      </c>
      <c r="L726" s="498">
        <v>37.302499999999995</v>
      </c>
      <c r="M726" s="498">
        <v>0.42000000000000004</v>
      </c>
      <c r="N726" s="499">
        <v>5.4499999999999993</v>
      </c>
      <c r="O726" s="494" t="s">
        <v>48</v>
      </c>
      <c r="P726" s="494">
        <v>4</v>
      </c>
      <c r="Q726" s="494">
        <v>10</v>
      </c>
      <c r="R726" s="494" t="s">
        <v>64</v>
      </c>
      <c r="S726" s="494" t="s">
        <v>323</v>
      </c>
      <c r="T726" s="494">
        <v>1</v>
      </c>
      <c r="U726" s="494">
        <v>61</v>
      </c>
      <c r="V726" s="494" t="s">
        <v>66</v>
      </c>
      <c r="W726" s="494" t="s">
        <v>50</v>
      </c>
      <c r="X726" s="494" t="s">
        <v>50</v>
      </c>
      <c r="Y726" s="455" t="s">
        <v>6476</v>
      </c>
    </row>
    <row r="727" spans="1:25" s="205" customFormat="1" x14ac:dyDescent="0.25">
      <c r="A727" s="204">
        <v>43411</v>
      </c>
      <c r="B727" s="205" t="s">
        <v>87</v>
      </c>
      <c r="C727" s="205" t="s">
        <v>62</v>
      </c>
      <c r="D727" s="206">
        <v>38.10284</v>
      </c>
      <c r="E727" s="206">
        <v>-122.06511</v>
      </c>
      <c r="F727" s="205" t="s">
        <v>6526</v>
      </c>
      <c r="G727" s="205" t="s">
        <v>27</v>
      </c>
      <c r="H727" s="205" t="s">
        <v>173</v>
      </c>
      <c r="I727" s="207">
        <v>0.47222222222222227</v>
      </c>
      <c r="J727" s="208">
        <v>18844.75</v>
      </c>
      <c r="K727" s="208">
        <v>16.975000000000001</v>
      </c>
      <c r="L727" s="208">
        <v>83.15</v>
      </c>
      <c r="M727" s="208">
        <v>0.26</v>
      </c>
      <c r="N727" s="209">
        <v>3.05</v>
      </c>
      <c r="O727" s="205" t="s">
        <v>48</v>
      </c>
      <c r="P727" s="205">
        <v>4</v>
      </c>
      <c r="Q727" s="205">
        <v>10</v>
      </c>
      <c r="R727" s="205" t="s">
        <v>64</v>
      </c>
      <c r="S727" s="205" t="s">
        <v>31</v>
      </c>
      <c r="T727" s="205">
        <v>14</v>
      </c>
      <c r="U727" s="205" t="s">
        <v>6527</v>
      </c>
      <c r="V727" s="205" t="s">
        <v>66</v>
      </c>
      <c r="W727" s="205" t="s">
        <v>50</v>
      </c>
      <c r="X727" s="205" t="s">
        <v>50</v>
      </c>
      <c r="Y727" s="210" t="s">
        <v>6188</v>
      </c>
    </row>
    <row r="728" spans="1:25" s="149" customFormat="1" x14ac:dyDescent="0.25">
      <c r="A728" s="178">
        <v>43411</v>
      </c>
      <c r="B728" s="149" t="s">
        <v>87</v>
      </c>
      <c r="C728" s="149" t="s">
        <v>62</v>
      </c>
      <c r="D728" s="150">
        <v>38.139249999999997</v>
      </c>
      <c r="E728" s="150">
        <v>-122.07325</v>
      </c>
      <c r="F728" s="149" t="s">
        <v>6528</v>
      </c>
      <c r="G728" s="149" t="s">
        <v>27</v>
      </c>
      <c r="H728" s="149" t="s">
        <v>62</v>
      </c>
      <c r="I728" s="151">
        <v>0.4597222222222222</v>
      </c>
      <c r="J728" s="197" t="s">
        <v>50</v>
      </c>
      <c r="K728" s="197" t="s">
        <v>50</v>
      </c>
      <c r="L728" s="197" t="s">
        <v>50</v>
      </c>
      <c r="M728" s="197" t="s">
        <v>50</v>
      </c>
      <c r="N728" s="197" t="s">
        <v>50</v>
      </c>
      <c r="O728" s="149" t="s">
        <v>48</v>
      </c>
      <c r="P728" s="149">
        <v>0</v>
      </c>
      <c r="Q728" s="149" t="s">
        <v>50</v>
      </c>
      <c r="R728" s="149" t="s">
        <v>50</v>
      </c>
      <c r="S728" s="149" t="s">
        <v>50</v>
      </c>
      <c r="T728" s="149" t="s">
        <v>50</v>
      </c>
      <c r="U728" s="149" t="s">
        <v>50</v>
      </c>
      <c r="V728" s="149" t="s">
        <v>50</v>
      </c>
      <c r="W728" s="149" t="s">
        <v>50</v>
      </c>
      <c r="X728" s="149" t="s">
        <v>50</v>
      </c>
      <c r="Y728" s="152" t="s">
        <v>72</v>
      </c>
    </row>
    <row r="729" spans="1:25" s="410" customFormat="1" x14ac:dyDescent="0.25">
      <c r="A729" s="495">
        <v>43411</v>
      </c>
      <c r="B729" s="494" t="s">
        <v>87</v>
      </c>
      <c r="C729" s="494" t="s">
        <v>106</v>
      </c>
      <c r="D729" s="496">
        <v>38.44</v>
      </c>
      <c r="E729" s="496">
        <v>-121.59948</v>
      </c>
      <c r="F729" s="494" t="s">
        <v>6529</v>
      </c>
      <c r="G729" s="494" t="s">
        <v>90</v>
      </c>
      <c r="H729" s="494" t="s">
        <v>362</v>
      </c>
      <c r="I729" s="497">
        <v>0.34375</v>
      </c>
      <c r="J729" s="498">
        <v>506.5</v>
      </c>
      <c r="K729" s="498">
        <v>16.45</v>
      </c>
      <c r="L729" s="498">
        <v>29.049999999999997</v>
      </c>
      <c r="M729" s="498">
        <v>0.36499999999999999</v>
      </c>
      <c r="N729" s="499">
        <v>9.6750000000000007</v>
      </c>
      <c r="O729" s="494" t="s">
        <v>48</v>
      </c>
      <c r="P729" s="494">
        <v>2</v>
      </c>
      <c r="Q729" s="494">
        <v>10</v>
      </c>
      <c r="R729" s="494" t="s">
        <v>64</v>
      </c>
      <c r="S729" s="494" t="s">
        <v>323</v>
      </c>
      <c r="T729" s="494">
        <v>2</v>
      </c>
      <c r="U729" s="494" t="s">
        <v>6530</v>
      </c>
      <c r="V729" s="494" t="s">
        <v>66</v>
      </c>
      <c r="W729" s="494" t="s">
        <v>50</v>
      </c>
      <c r="X729" s="494" t="s">
        <v>50</v>
      </c>
      <c r="Y729" s="455" t="s">
        <v>6531</v>
      </c>
    </row>
    <row r="730" spans="1:25" x14ac:dyDescent="0.25">
      <c r="A730" s="26">
        <v>43411</v>
      </c>
      <c r="B730" s="27" t="s">
        <v>87</v>
      </c>
      <c r="C730" s="27" t="s">
        <v>106</v>
      </c>
      <c r="D730" s="89">
        <v>38.497039999999998</v>
      </c>
      <c r="E730" s="89">
        <v>-121.58472999999999</v>
      </c>
      <c r="F730" s="27" t="s">
        <v>6532</v>
      </c>
      <c r="G730" s="27" t="s">
        <v>90</v>
      </c>
      <c r="H730" s="27" t="s">
        <v>1787</v>
      </c>
      <c r="I730" s="84">
        <v>0.39583333333333331</v>
      </c>
      <c r="J730" s="82">
        <v>717.25</v>
      </c>
      <c r="K730" s="82">
        <v>16.924999999999997</v>
      </c>
      <c r="L730" s="82">
        <v>15.675000000000001</v>
      </c>
      <c r="M730" s="82">
        <v>0.72</v>
      </c>
      <c r="N730" s="4">
        <v>10.3</v>
      </c>
      <c r="O730" s="27" t="s">
        <v>48</v>
      </c>
      <c r="P730" s="27">
        <v>4</v>
      </c>
      <c r="Q730" s="27">
        <v>10</v>
      </c>
      <c r="R730" s="27" t="s">
        <v>49</v>
      </c>
      <c r="S730" s="27" t="s">
        <v>50</v>
      </c>
      <c r="T730" s="27" t="s">
        <v>50</v>
      </c>
      <c r="U730" s="27" t="s">
        <v>50</v>
      </c>
      <c r="V730" s="27" t="s">
        <v>50</v>
      </c>
      <c r="W730" s="27" t="s">
        <v>50</v>
      </c>
      <c r="X730" s="27" t="s">
        <v>50</v>
      </c>
      <c r="Y730" s="35" t="s">
        <v>6188</v>
      </c>
    </row>
    <row r="731" spans="1:25" x14ac:dyDescent="0.25">
      <c r="A731" s="26">
        <v>43411</v>
      </c>
      <c r="B731" s="27" t="s">
        <v>87</v>
      </c>
      <c r="C731" s="27" t="s">
        <v>106</v>
      </c>
      <c r="D731" s="89">
        <v>38.561239999999998</v>
      </c>
      <c r="E731" s="89">
        <v>-121.55868</v>
      </c>
      <c r="F731" s="27" t="s">
        <v>6533</v>
      </c>
      <c r="G731" s="27" t="s">
        <v>90</v>
      </c>
      <c r="H731" s="27" t="s">
        <v>1787</v>
      </c>
      <c r="I731" s="84">
        <v>0.4597222222222222</v>
      </c>
      <c r="J731" s="82">
        <v>853</v>
      </c>
      <c r="K731" s="82">
        <v>17.725000000000001</v>
      </c>
      <c r="L731" s="82">
        <v>5.85</v>
      </c>
      <c r="M731" s="82" t="s">
        <v>5829</v>
      </c>
      <c r="N731" s="4">
        <v>11</v>
      </c>
      <c r="O731" s="27" t="s">
        <v>48</v>
      </c>
      <c r="P731" s="27">
        <v>4</v>
      </c>
      <c r="Q731" s="27">
        <v>10</v>
      </c>
      <c r="R731" s="27" t="s">
        <v>49</v>
      </c>
      <c r="S731" s="27" t="s">
        <v>50</v>
      </c>
      <c r="T731" s="27" t="s">
        <v>50</v>
      </c>
      <c r="U731" s="27" t="s">
        <v>50</v>
      </c>
      <c r="V731" s="27" t="s">
        <v>50</v>
      </c>
      <c r="W731" s="27" t="s">
        <v>50</v>
      </c>
      <c r="X731" s="27" t="s">
        <v>50</v>
      </c>
      <c r="Y731" s="35" t="s">
        <v>6188</v>
      </c>
    </row>
    <row r="732" spans="1:25" x14ac:dyDescent="0.25">
      <c r="A732" s="26">
        <v>43411</v>
      </c>
      <c r="B732" s="27" t="s">
        <v>87</v>
      </c>
      <c r="C732" s="27" t="s">
        <v>106</v>
      </c>
      <c r="D732" s="89">
        <v>38.56174</v>
      </c>
      <c r="E732" s="89">
        <v>-121.54877</v>
      </c>
      <c r="F732" s="27" t="s">
        <v>6534</v>
      </c>
      <c r="G732" s="27" t="s">
        <v>90</v>
      </c>
      <c r="H732" s="27" t="s">
        <v>1787</v>
      </c>
      <c r="I732" s="84">
        <v>0.50972222222222219</v>
      </c>
      <c r="J732" s="82">
        <v>860.5</v>
      </c>
      <c r="K732" s="82">
        <v>17.95</v>
      </c>
      <c r="L732" s="82">
        <v>3.4649999999999999</v>
      </c>
      <c r="M732" s="82" t="s">
        <v>5829</v>
      </c>
      <c r="N732" s="4">
        <v>11.024999999999999</v>
      </c>
      <c r="O732" s="27" t="s">
        <v>48</v>
      </c>
      <c r="P732" s="27">
        <v>4</v>
      </c>
      <c r="Q732" s="27">
        <v>10</v>
      </c>
      <c r="R732" s="27" t="s">
        <v>49</v>
      </c>
      <c r="S732" s="27" t="s">
        <v>50</v>
      </c>
      <c r="T732" s="27" t="s">
        <v>50</v>
      </c>
      <c r="U732" s="27" t="s">
        <v>50</v>
      </c>
      <c r="V732" s="27" t="s">
        <v>50</v>
      </c>
      <c r="W732" s="27" t="s">
        <v>50</v>
      </c>
      <c r="X732" s="27" t="s">
        <v>50</v>
      </c>
    </row>
    <row r="733" spans="1:25" x14ac:dyDescent="0.25">
      <c r="A733" s="26">
        <v>43411</v>
      </c>
      <c r="B733" s="27" t="s">
        <v>87</v>
      </c>
      <c r="C733" s="27" t="s">
        <v>95</v>
      </c>
      <c r="D733" s="89">
        <v>38.021230000000003</v>
      </c>
      <c r="E733" s="89">
        <v>-121.80766</v>
      </c>
      <c r="F733" s="27" t="s">
        <v>6535</v>
      </c>
      <c r="G733" s="27" t="s">
        <v>27</v>
      </c>
      <c r="H733" s="27" t="s">
        <v>863</v>
      </c>
      <c r="I733" s="84">
        <v>0.32430555555555557</v>
      </c>
      <c r="J733" s="82">
        <v>4587.5</v>
      </c>
      <c r="K733" s="82">
        <v>17.024999999999999</v>
      </c>
      <c r="L733" s="82">
        <v>7.5324999999999998</v>
      </c>
      <c r="M733" s="82">
        <v>1.2775000000000001</v>
      </c>
      <c r="N733" s="4">
        <v>11.374999999999998</v>
      </c>
      <c r="O733" s="27" t="s">
        <v>48</v>
      </c>
      <c r="P733" s="27">
        <v>4</v>
      </c>
      <c r="Q733" s="27">
        <v>10</v>
      </c>
      <c r="R733" s="27" t="s">
        <v>49</v>
      </c>
      <c r="S733" s="27" t="s">
        <v>50</v>
      </c>
      <c r="T733" s="27" t="s">
        <v>50</v>
      </c>
      <c r="U733" s="27" t="s">
        <v>50</v>
      </c>
      <c r="V733" s="27" t="s">
        <v>50</v>
      </c>
      <c r="W733" s="27" t="s">
        <v>50</v>
      </c>
      <c r="X733" s="27" t="s">
        <v>50</v>
      </c>
    </row>
    <row r="734" spans="1:25" x14ac:dyDescent="0.25">
      <c r="A734" s="26">
        <v>43411</v>
      </c>
      <c r="B734" s="27" t="s">
        <v>87</v>
      </c>
      <c r="C734" s="27" t="s">
        <v>95</v>
      </c>
      <c r="D734" s="89">
        <v>38.02637</v>
      </c>
      <c r="E734" s="89">
        <v>-121.72566999999999</v>
      </c>
      <c r="F734" s="27" t="s">
        <v>6536</v>
      </c>
      <c r="G734" s="27" t="s">
        <v>27</v>
      </c>
      <c r="H734" s="27" t="s">
        <v>863</v>
      </c>
      <c r="I734" s="84">
        <v>0.4152777777777778</v>
      </c>
      <c r="J734" s="82">
        <v>1378.75</v>
      </c>
      <c r="K734" s="82">
        <v>16.774999999999999</v>
      </c>
      <c r="L734" s="82">
        <v>8.0224999999999991</v>
      </c>
      <c r="M734" s="82">
        <v>1.6875</v>
      </c>
      <c r="N734" s="4">
        <v>4.0500000000000007</v>
      </c>
      <c r="O734" s="27" t="s">
        <v>48</v>
      </c>
      <c r="P734" s="27">
        <v>4</v>
      </c>
      <c r="Q734" s="27">
        <v>10</v>
      </c>
      <c r="R734" s="27" t="s">
        <v>49</v>
      </c>
      <c r="S734" s="27" t="s">
        <v>50</v>
      </c>
      <c r="T734" s="27" t="s">
        <v>50</v>
      </c>
      <c r="U734" s="27" t="s">
        <v>50</v>
      </c>
      <c r="V734" s="27" t="s">
        <v>50</v>
      </c>
      <c r="W734" s="27" t="s">
        <v>50</v>
      </c>
      <c r="X734" s="27" t="s">
        <v>50</v>
      </c>
    </row>
    <row r="735" spans="1:25" x14ac:dyDescent="0.25">
      <c r="A735" s="26">
        <v>43411</v>
      </c>
      <c r="B735" s="27" t="s">
        <v>87</v>
      </c>
      <c r="C735" s="27" t="s">
        <v>95</v>
      </c>
      <c r="D735" s="89">
        <v>38.036000000000001</v>
      </c>
      <c r="E735" s="89">
        <v>-121.70665</v>
      </c>
      <c r="F735" s="27" t="s">
        <v>6537</v>
      </c>
      <c r="G735" s="27" t="s">
        <v>27</v>
      </c>
      <c r="H735" s="27" t="s">
        <v>863</v>
      </c>
      <c r="I735" s="84">
        <v>0.46875</v>
      </c>
      <c r="J735" s="82">
        <v>1160.25</v>
      </c>
      <c r="K735" s="82">
        <v>16.975000000000001</v>
      </c>
      <c r="L735" s="82">
        <v>5.71</v>
      </c>
      <c r="M735" s="82">
        <v>1.645</v>
      </c>
      <c r="N735" s="4">
        <v>12.025</v>
      </c>
      <c r="O735" s="27" t="s">
        <v>48</v>
      </c>
      <c r="P735" s="27">
        <v>4</v>
      </c>
      <c r="Q735" s="27">
        <v>10</v>
      </c>
      <c r="R735" s="27" t="s">
        <v>64</v>
      </c>
      <c r="S735" s="27" t="s">
        <v>50</v>
      </c>
      <c r="T735" s="27" t="s">
        <v>50</v>
      </c>
      <c r="U735" s="27" t="s">
        <v>50</v>
      </c>
      <c r="V735" s="27" t="s">
        <v>50</v>
      </c>
      <c r="W735" s="27" t="s">
        <v>50</v>
      </c>
      <c r="X735" s="27" t="s">
        <v>50</v>
      </c>
    </row>
    <row r="736" spans="1:25" x14ac:dyDescent="0.25">
      <c r="A736" s="26">
        <v>43412</v>
      </c>
      <c r="B736" s="27" t="s">
        <v>105</v>
      </c>
      <c r="C736" s="27" t="s">
        <v>106</v>
      </c>
      <c r="D736" s="89">
        <v>38.218530000000001</v>
      </c>
      <c r="E736" s="89">
        <v>-121.67189999999999</v>
      </c>
      <c r="F736" s="27" t="s">
        <v>6538</v>
      </c>
      <c r="G736" s="27" t="s">
        <v>90</v>
      </c>
      <c r="H736" s="27" t="s">
        <v>362</v>
      </c>
      <c r="I736" s="84">
        <v>0.31805555555555554</v>
      </c>
      <c r="J736" s="82">
        <v>167.02500000000001</v>
      </c>
      <c r="K736" s="82">
        <v>15.324999999999999</v>
      </c>
      <c r="L736" s="82">
        <v>4.0250000000000004</v>
      </c>
      <c r="M736" s="82">
        <v>1.63</v>
      </c>
      <c r="N736" s="4">
        <v>13.4</v>
      </c>
      <c r="O736" s="27" t="s">
        <v>48</v>
      </c>
      <c r="P736" s="27">
        <v>4</v>
      </c>
      <c r="Q736" s="27">
        <v>10</v>
      </c>
      <c r="R736" s="27" t="s">
        <v>49</v>
      </c>
      <c r="S736" s="27" t="s">
        <v>50</v>
      </c>
      <c r="T736" s="27" t="s">
        <v>50</v>
      </c>
      <c r="U736" s="27" t="s">
        <v>50</v>
      </c>
      <c r="V736" s="27" t="s">
        <v>50</v>
      </c>
      <c r="W736" s="27" t="s">
        <v>50</v>
      </c>
      <c r="X736" s="27" t="s">
        <v>50</v>
      </c>
      <c r="Y736" s="35" t="s">
        <v>6539</v>
      </c>
    </row>
    <row r="737" spans="1:25" x14ac:dyDescent="0.25">
      <c r="A737" s="26">
        <v>43412</v>
      </c>
      <c r="B737" s="27" t="s">
        <v>105</v>
      </c>
      <c r="C737" s="27" t="s">
        <v>106</v>
      </c>
      <c r="D737" s="89">
        <v>38.336509999999997</v>
      </c>
      <c r="E737" s="89">
        <v>-121.64646</v>
      </c>
      <c r="F737" s="27" t="s">
        <v>6540</v>
      </c>
      <c r="G737" s="27" t="s">
        <v>90</v>
      </c>
      <c r="H737" s="27" t="s">
        <v>362</v>
      </c>
      <c r="I737" s="84">
        <v>0.38263888888888892</v>
      </c>
      <c r="J737" s="82">
        <v>342.07499999999999</v>
      </c>
      <c r="K737" s="82">
        <v>15.924999999999999</v>
      </c>
      <c r="L737" s="82">
        <v>15.15</v>
      </c>
      <c r="M737" s="82">
        <v>0.57000000000000006</v>
      </c>
      <c r="N737" s="4">
        <v>8.5</v>
      </c>
      <c r="O737" s="27" t="s">
        <v>48</v>
      </c>
      <c r="P737" s="27">
        <v>4</v>
      </c>
      <c r="Q737" s="27">
        <v>10</v>
      </c>
      <c r="R737" s="27" t="s">
        <v>49</v>
      </c>
      <c r="S737" s="27" t="s">
        <v>50</v>
      </c>
      <c r="T737" s="27" t="s">
        <v>50</v>
      </c>
      <c r="U737" s="27" t="s">
        <v>50</v>
      </c>
      <c r="V737" s="27" t="s">
        <v>50</v>
      </c>
      <c r="W737" s="27" t="s">
        <v>50</v>
      </c>
      <c r="X737" s="27" t="s">
        <v>50</v>
      </c>
    </row>
    <row r="738" spans="1:25" s="149" customFormat="1" x14ac:dyDescent="0.25">
      <c r="A738" s="178">
        <v>43412</v>
      </c>
      <c r="B738" s="149" t="s">
        <v>105</v>
      </c>
      <c r="C738" s="149" t="s">
        <v>95</v>
      </c>
      <c r="D738" s="150">
        <v>38.042079999999999</v>
      </c>
      <c r="E738" s="150">
        <v>-121.52798</v>
      </c>
      <c r="F738" s="149" t="s">
        <v>6541</v>
      </c>
      <c r="G738" s="149" t="s">
        <v>46</v>
      </c>
      <c r="H738" s="149" t="s">
        <v>115</v>
      </c>
      <c r="I738" s="151">
        <v>0.33749999999999997</v>
      </c>
      <c r="J738" s="197">
        <v>273.60000000000002</v>
      </c>
      <c r="K738" s="197">
        <v>16.100000000000001</v>
      </c>
      <c r="L738" s="197">
        <v>2.3199999999999998</v>
      </c>
      <c r="M738" s="197">
        <v>1.8</v>
      </c>
      <c r="N738" s="197">
        <v>9.8000000000000007</v>
      </c>
      <c r="O738" s="149" t="s">
        <v>48</v>
      </c>
      <c r="P738" s="149">
        <v>1</v>
      </c>
      <c r="Q738" s="149">
        <v>7</v>
      </c>
      <c r="R738" s="149" t="s">
        <v>49</v>
      </c>
      <c r="S738" s="149" t="s">
        <v>50</v>
      </c>
      <c r="T738" s="149" t="s">
        <v>50</v>
      </c>
      <c r="U738" s="149" t="s">
        <v>50</v>
      </c>
      <c r="V738" s="149" t="s">
        <v>50</v>
      </c>
      <c r="W738" s="149" t="s">
        <v>50</v>
      </c>
      <c r="X738" s="149" t="s">
        <v>50</v>
      </c>
      <c r="Y738" s="152" t="s">
        <v>6542</v>
      </c>
    </row>
    <row r="739" spans="1:25" x14ac:dyDescent="0.25">
      <c r="A739" s="26">
        <v>43412</v>
      </c>
      <c r="B739" s="27" t="s">
        <v>105</v>
      </c>
      <c r="C739" s="27" t="s">
        <v>95</v>
      </c>
      <c r="D739" s="89">
        <v>38.087389999999999</v>
      </c>
      <c r="E739" s="89">
        <v>-121.57711</v>
      </c>
      <c r="F739" s="27" t="s">
        <v>6543</v>
      </c>
      <c r="G739" s="27" t="s">
        <v>46</v>
      </c>
      <c r="H739" s="27" t="s">
        <v>115</v>
      </c>
      <c r="I739" s="84">
        <v>0.38194444444444442</v>
      </c>
      <c r="J739" s="82">
        <v>304.79999999999995</v>
      </c>
      <c r="K739" s="82">
        <v>15.975</v>
      </c>
      <c r="L739" s="82">
        <v>4.7125000000000004</v>
      </c>
      <c r="M739" s="82" t="s">
        <v>5829</v>
      </c>
      <c r="N739" s="4">
        <v>4.1750000000000007</v>
      </c>
      <c r="O739" s="27" t="s">
        <v>48</v>
      </c>
      <c r="P739" s="27">
        <v>4</v>
      </c>
      <c r="Q739" s="27">
        <v>10</v>
      </c>
      <c r="R739" s="27" t="s">
        <v>49</v>
      </c>
      <c r="S739" s="27" t="s">
        <v>50</v>
      </c>
      <c r="T739" s="27" t="s">
        <v>50</v>
      </c>
      <c r="U739" s="27" t="s">
        <v>50</v>
      </c>
      <c r="V739" s="27" t="s">
        <v>50</v>
      </c>
      <c r="W739" s="27" t="s">
        <v>50</v>
      </c>
      <c r="X739" s="27" t="s">
        <v>50</v>
      </c>
    </row>
    <row r="740" spans="1:25" x14ac:dyDescent="0.25">
      <c r="A740" s="26">
        <v>43412</v>
      </c>
      <c r="B740" s="27" t="s">
        <v>105</v>
      </c>
      <c r="C740" s="27" t="s">
        <v>95</v>
      </c>
      <c r="D740" s="89">
        <v>38.042900000000003</v>
      </c>
      <c r="E740" s="89">
        <v>-121.71237000000001</v>
      </c>
      <c r="F740" s="27" t="s">
        <v>6544</v>
      </c>
      <c r="G740" s="27" t="s">
        <v>27</v>
      </c>
      <c r="H740" s="27" t="s">
        <v>863</v>
      </c>
      <c r="I740" s="84">
        <v>0.45347222222222222</v>
      </c>
      <c r="J740" s="82">
        <v>1387.25</v>
      </c>
      <c r="K740" s="82">
        <v>16.2</v>
      </c>
      <c r="L740" s="82">
        <v>8.2774999999999999</v>
      </c>
      <c r="M740" s="82">
        <v>1.3975000000000002</v>
      </c>
      <c r="N740" s="4">
        <v>6.4749999999999996</v>
      </c>
      <c r="O740" s="27" t="s">
        <v>48</v>
      </c>
      <c r="P740" s="27">
        <v>4</v>
      </c>
      <c r="Q740" s="27">
        <v>10</v>
      </c>
      <c r="R740" s="27" t="s">
        <v>49</v>
      </c>
      <c r="S740" s="27" t="s">
        <v>50</v>
      </c>
      <c r="T740" s="27" t="s">
        <v>50</v>
      </c>
      <c r="U740" s="27" t="s">
        <v>50</v>
      </c>
      <c r="V740" s="27" t="s">
        <v>50</v>
      </c>
      <c r="W740" s="27" t="s">
        <v>50</v>
      </c>
      <c r="X740" s="27" t="s">
        <v>50</v>
      </c>
      <c r="Y740" s="35" t="s">
        <v>6545</v>
      </c>
    </row>
    <row r="741" spans="1:25" x14ac:dyDescent="0.25">
      <c r="A741" s="26">
        <v>43412</v>
      </c>
      <c r="B741" s="27" t="s">
        <v>105</v>
      </c>
      <c r="C741" s="27" t="s">
        <v>62</v>
      </c>
      <c r="D741" s="89">
        <v>38.171790000000001</v>
      </c>
      <c r="E741" s="89">
        <v>-122.01716</v>
      </c>
      <c r="F741" s="27" t="s">
        <v>6546</v>
      </c>
      <c r="G741" s="27" t="s">
        <v>27</v>
      </c>
      <c r="H741" s="27" t="s">
        <v>62</v>
      </c>
      <c r="I741" s="84">
        <v>0.36249999999999999</v>
      </c>
      <c r="J741" s="82">
        <v>8422.5</v>
      </c>
      <c r="K741" s="82">
        <v>16.350000000000001</v>
      </c>
      <c r="L741" s="82">
        <v>36.274999999999999</v>
      </c>
      <c r="M741" s="82">
        <v>0.35749999999999993</v>
      </c>
      <c r="N741" s="4">
        <v>5.8</v>
      </c>
      <c r="O741" s="27" t="s">
        <v>48</v>
      </c>
      <c r="P741" s="27">
        <v>4</v>
      </c>
      <c r="Q741" s="27">
        <v>10</v>
      </c>
      <c r="R741" s="27" t="s">
        <v>49</v>
      </c>
      <c r="S741" s="27" t="s">
        <v>50</v>
      </c>
      <c r="T741" s="27" t="s">
        <v>50</v>
      </c>
      <c r="U741" s="27" t="s">
        <v>50</v>
      </c>
      <c r="V741" s="27" t="s">
        <v>50</v>
      </c>
      <c r="W741" s="27" t="s">
        <v>50</v>
      </c>
      <c r="X741" s="27" t="s">
        <v>50</v>
      </c>
    </row>
    <row r="742" spans="1:25" s="411" customFormat="1" x14ac:dyDescent="0.25">
      <c r="A742" s="495">
        <v>43412</v>
      </c>
      <c r="B742" s="494" t="s">
        <v>105</v>
      </c>
      <c r="C742" s="494" t="s">
        <v>62</v>
      </c>
      <c r="D742" s="496">
        <v>38.193849999999998</v>
      </c>
      <c r="E742" s="496">
        <v>-122.0406</v>
      </c>
      <c r="F742" s="494" t="s">
        <v>6547</v>
      </c>
      <c r="G742" s="494" t="s">
        <v>27</v>
      </c>
      <c r="H742" s="494" t="s">
        <v>62</v>
      </c>
      <c r="I742" s="497">
        <v>0.44236111111111115</v>
      </c>
      <c r="J742" s="498">
        <v>10761.5</v>
      </c>
      <c r="K742" s="498">
        <v>16.3</v>
      </c>
      <c r="L742" s="498">
        <v>46.85</v>
      </c>
      <c r="M742" s="498">
        <v>0.315</v>
      </c>
      <c r="N742" s="499">
        <v>4.4000000000000004</v>
      </c>
      <c r="O742" s="494" t="s">
        <v>48</v>
      </c>
      <c r="P742" s="494">
        <v>2</v>
      </c>
      <c r="Q742" s="494">
        <v>10</v>
      </c>
      <c r="R742" s="494" t="s">
        <v>64</v>
      </c>
      <c r="S742" s="494" t="s">
        <v>323</v>
      </c>
      <c r="T742" s="494">
        <v>1</v>
      </c>
      <c r="U742" s="494">
        <v>61</v>
      </c>
      <c r="V742" s="494" t="s">
        <v>66</v>
      </c>
      <c r="W742" s="494" t="s">
        <v>50</v>
      </c>
      <c r="X742" s="494" t="s">
        <v>50</v>
      </c>
      <c r="Y742" s="455" t="s">
        <v>6548</v>
      </c>
    </row>
    <row r="743" spans="1:25" s="413" customFormat="1" x14ac:dyDescent="0.25">
      <c r="A743" s="412">
        <v>43412</v>
      </c>
      <c r="B743" s="413" t="s">
        <v>105</v>
      </c>
      <c r="C743" s="413" t="s">
        <v>62</v>
      </c>
      <c r="D743" s="414">
        <v>38.105600000000003</v>
      </c>
      <c r="E743" s="414">
        <v>-122.06064000000001</v>
      </c>
      <c r="F743" s="413" t="s">
        <v>6549</v>
      </c>
      <c r="G743" s="413" t="s">
        <v>27</v>
      </c>
      <c r="H743" s="413" t="s">
        <v>173</v>
      </c>
      <c r="I743" s="415">
        <v>0.49513888888888885</v>
      </c>
      <c r="J743" s="416">
        <v>14422</v>
      </c>
      <c r="K743" s="416">
        <v>16.7</v>
      </c>
      <c r="L743" s="416">
        <v>39.950000000000003</v>
      </c>
      <c r="M743" s="416">
        <v>0.40500000000000003</v>
      </c>
      <c r="N743" s="417">
        <v>3.45</v>
      </c>
      <c r="O743" s="413" t="s">
        <v>48</v>
      </c>
      <c r="P743" s="413">
        <v>2</v>
      </c>
      <c r="Q743" s="413">
        <v>10</v>
      </c>
      <c r="R743" s="413" t="s">
        <v>49</v>
      </c>
      <c r="S743" s="413" t="s">
        <v>31</v>
      </c>
      <c r="T743" s="413">
        <v>2</v>
      </c>
      <c r="U743" s="413" t="s">
        <v>6550</v>
      </c>
      <c r="V743" s="413" t="s">
        <v>66</v>
      </c>
      <c r="W743" s="413" t="s">
        <v>50</v>
      </c>
      <c r="X743" s="413" t="s">
        <v>50</v>
      </c>
      <c r="Y743" s="418" t="s">
        <v>6551</v>
      </c>
    </row>
    <row r="744" spans="1:25" x14ac:dyDescent="0.25">
      <c r="A744" s="26">
        <v>43417</v>
      </c>
      <c r="B744" s="27" t="s">
        <v>70</v>
      </c>
      <c r="C744" s="27" t="s">
        <v>95</v>
      </c>
      <c r="D744" s="89">
        <v>38.042580000000001</v>
      </c>
      <c r="E744" s="89">
        <v>-121.49426</v>
      </c>
      <c r="F744" s="27" t="s">
        <v>6552</v>
      </c>
      <c r="G744" s="27" t="s">
        <v>46</v>
      </c>
      <c r="H744" s="27" t="s">
        <v>115</v>
      </c>
      <c r="I744" s="84">
        <v>0.35625000000000001</v>
      </c>
      <c r="J744" s="82">
        <v>239</v>
      </c>
      <c r="K744" s="82">
        <v>14.025</v>
      </c>
      <c r="L744" s="82">
        <v>2.7625000000000002</v>
      </c>
      <c r="M744" s="82" t="s">
        <v>5829</v>
      </c>
      <c r="N744" s="4">
        <v>9.4749999999999996</v>
      </c>
      <c r="O744" s="27" t="s">
        <v>48</v>
      </c>
      <c r="P744" s="27">
        <v>4</v>
      </c>
      <c r="Q744" s="27">
        <v>10</v>
      </c>
      <c r="R744" s="27" t="s">
        <v>64</v>
      </c>
      <c r="S744" s="27" t="s">
        <v>50</v>
      </c>
      <c r="T744" s="27" t="s">
        <v>50</v>
      </c>
      <c r="U744" s="27" t="s">
        <v>50</v>
      </c>
      <c r="V744" s="27" t="s">
        <v>50</v>
      </c>
      <c r="W744" s="27" t="s">
        <v>50</v>
      </c>
      <c r="X744" s="27" t="s">
        <v>50</v>
      </c>
    </row>
    <row r="745" spans="1:25" x14ac:dyDescent="0.25">
      <c r="A745" s="26">
        <v>43417</v>
      </c>
      <c r="B745" s="27" t="s">
        <v>70</v>
      </c>
      <c r="C745" s="27" t="s">
        <v>95</v>
      </c>
      <c r="D745" s="89">
        <v>38.042360000000002</v>
      </c>
      <c r="E745" s="89">
        <v>-121.52818000000001</v>
      </c>
      <c r="F745" s="27" t="s">
        <v>6553</v>
      </c>
      <c r="G745" s="27" t="s">
        <v>46</v>
      </c>
      <c r="H745" s="27" t="s">
        <v>115</v>
      </c>
      <c r="I745" s="84">
        <v>0.40902777777777777</v>
      </c>
      <c r="J745" s="82">
        <v>284.8</v>
      </c>
      <c r="K745" s="82">
        <v>14.174999999999999</v>
      </c>
      <c r="L745" s="82">
        <v>2.76</v>
      </c>
      <c r="M745" s="82" t="s">
        <v>5829</v>
      </c>
      <c r="N745" s="4">
        <v>12.9</v>
      </c>
      <c r="O745" s="27" t="s">
        <v>48</v>
      </c>
      <c r="P745" s="27">
        <v>4</v>
      </c>
      <c r="Q745" s="27">
        <v>10</v>
      </c>
      <c r="R745" s="27" t="s">
        <v>64</v>
      </c>
      <c r="S745" s="27" t="s">
        <v>50</v>
      </c>
      <c r="T745" s="27" t="s">
        <v>50</v>
      </c>
      <c r="U745" s="27" t="s">
        <v>50</v>
      </c>
      <c r="V745" s="27" t="s">
        <v>50</v>
      </c>
      <c r="W745" s="27" t="s">
        <v>50</v>
      </c>
      <c r="X745" s="27" t="s">
        <v>50</v>
      </c>
    </row>
    <row r="746" spans="1:25" x14ac:dyDescent="0.25">
      <c r="A746" s="26">
        <v>43417</v>
      </c>
      <c r="B746" s="27" t="s">
        <v>70</v>
      </c>
      <c r="C746" s="27" t="s">
        <v>95</v>
      </c>
      <c r="D746" s="89">
        <v>38.086390000000002</v>
      </c>
      <c r="E746" s="89">
        <v>-121.67721</v>
      </c>
      <c r="F746" s="27" t="s">
        <v>6554</v>
      </c>
      <c r="G746" s="27" t="s">
        <v>46</v>
      </c>
      <c r="H746" s="27" t="s">
        <v>908</v>
      </c>
      <c r="I746" s="84">
        <v>0.47152777777777777</v>
      </c>
      <c r="J746" s="82">
        <v>914.25</v>
      </c>
      <c r="K746" s="82">
        <v>14.55</v>
      </c>
      <c r="L746" s="82">
        <v>3.83</v>
      </c>
      <c r="M746" s="82" t="s">
        <v>5829</v>
      </c>
      <c r="N746" s="4">
        <v>9</v>
      </c>
      <c r="O746" s="27" t="s">
        <v>48</v>
      </c>
      <c r="P746" s="27">
        <v>4</v>
      </c>
      <c r="Q746" s="27">
        <v>10</v>
      </c>
      <c r="R746" s="27" t="s">
        <v>49</v>
      </c>
      <c r="S746" s="27" t="s">
        <v>50</v>
      </c>
      <c r="T746" s="27" t="s">
        <v>50</v>
      </c>
      <c r="U746" s="27" t="s">
        <v>50</v>
      </c>
      <c r="V746" s="27" t="s">
        <v>50</v>
      </c>
      <c r="W746" s="27" t="s">
        <v>50</v>
      </c>
      <c r="X746" s="27" t="s">
        <v>50</v>
      </c>
      <c r="Y746" s="35" t="s">
        <v>6555</v>
      </c>
    </row>
    <row r="747" spans="1:25" x14ac:dyDescent="0.25">
      <c r="A747" s="26">
        <v>43418</v>
      </c>
      <c r="B747" s="27" t="s">
        <v>87</v>
      </c>
      <c r="C747" s="27" t="s">
        <v>95</v>
      </c>
      <c r="D747" s="89">
        <v>38.059629999999999</v>
      </c>
      <c r="E747" s="89">
        <v>-121.68236</v>
      </c>
      <c r="F747" s="27" t="s">
        <v>6556</v>
      </c>
      <c r="G747" s="27" t="s">
        <v>46</v>
      </c>
      <c r="H747" s="27" t="s">
        <v>908</v>
      </c>
      <c r="I747" s="84">
        <v>0.31388888888888888</v>
      </c>
      <c r="J747" s="82">
        <v>1068.25</v>
      </c>
      <c r="K747" s="82">
        <v>14.174999999999999</v>
      </c>
      <c r="L747" s="82">
        <v>4.7200000000000006</v>
      </c>
      <c r="M747" s="82" t="s">
        <v>5829</v>
      </c>
      <c r="N747" s="4">
        <v>7.5749999999999993</v>
      </c>
      <c r="O747" s="27" t="s">
        <v>48</v>
      </c>
      <c r="P747" s="27">
        <v>4</v>
      </c>
      <c r="Q747" s="27">
        <v>10</v>
      </c>
      <c r="R747" s="27" t="s">
        <v>64</v>
      </c>
      <c r="S747" s="27" t="s">
        <v>50</v>
      </c>
      <c r="T747" s="27" t="s">
        <v>50</v>
      </c>
      <c r="U747" s="27" t="s">
        <v>50</v>
      </c>
      <c r="V747" s="27" t="s">
        <v>50</v>
      </c>
      <c r="W747" s="27" t="s">
        <v>50</v>
      </c>
      <c r="X747" s="27" t="s">
        <v>50</v>
      </c>
    </row>
    <row r="748" spans="1:25" x14ac:dyDescent="0.25">
      <c r="A748" s="26">
        <v>43418</v>
      </c>
      <c r="B748" s="27" t="s">
        <v>87</v>
      </c>
      <c r="C748" s="27" t="s">
        <v>95</v>
      </c>
      <c r="D748" s="89">
        <v>38.020110000000003</v>
      </c>
      <c r="E748" s="89">
        <v>-121.81349</v>
      </c>
      <c r="F748" s="27" t="s">
        <v>6557</v>
      </c>
      <c r="G748" s="27" t="s">
        <v>27</v>
      </c>
      <c r="H748" s="27" t="s">
        <v>863</v>
      </c>
      <c r="I748" s="84">
        <v>0.37152777777777773</v>
      </c>
      <c r="J748" s="82">
        <v>5783</v>
      </c>
      <c r="K748" s="82">
        <v>14.3</v>
      </c>
      <c r="L748" s="82">
        <v>9.0399999999999991</v>
      </c>
      <c r="M748" s="82">
        <v>1.2</v>
      </c>
      <c r="N748" s="4">
        <v>15.2</v>
      </c>
      <c r="O748" s="27" t="s">
        <v>48</v>
      </c>
      <c r="P748" s="27">
        <v>4</v>
      </c>
      <c r="Q748" s="27">
        <v>10</v>
      </c>
      <c r="R748" s="27" t="s">
        <v>64</v>
      </c>
      <c r="S748" s="27" t="s">
        <v>50</v>
      </c>
      <c r="T748" s="27" t="s">
        <v>50</v>
      </c>
      <c r="U748" s="27" t="s">
        <v>50</v>
      </c>
      <c r="V748" s="27" t="s">
        <v>50</v>
      </c>
      <c r="W748" s="27" t="s">
        <v>50</v>
      </c>
      <c r="X748" s="27" t="s">
        <v>50</v>
      </c>
    </row>
    <row r="749" spans="1:25" x14ac:dyDescent="0.25">
      <c r="A749" s="26">
        <v>43418</v>
      </c>
      <c r="B749" s="27" t="s">
        <v>87</v>
      </c>
      <c r="C749" s="27" t="s">
        <v>95</v>
      </c>
      <c r="D749" s="89">
        <v>38.022939999999998</v>
      </c>
      <c r="E749" s="89">
        <v>-121.79379</v>
      </c>
      <c r="F749" s="27" t="s">
        <v>6558</v>
      </c>
      <c r="G749" s="27" t="s">
        <v>27</v>
      </c>
      <c r="H749" s="27" t="s">
        <v>863</v>
      </c>
      <c r="I749" s="84">
        <v>0.42222222222222222</v>
      </c>
      <c r="J749" s="82">
        <v>5717.2</v>
      </c>
      <c r="K749" s="82">
        <v>14.4</v>
      </c>
      <c r="L749" s="82">
        <v>6.3059999999999992</v>
      </c>
      <c r="M749" s="82">
        <v>1.212</v>
      </c>
      <c r="N749" s="4">
        <v>11.42</v>
      </c>
      <c r="O749" s="27" t="s">
        <v>48</v>
      </c>
      <c r="P749" s="27">
        <v>5</v>
      </c>
      <c r="Q749" s="27">
        <v>10</v>
      </c>
      <c r="R749" s="27" t="s">
        <v>64</v>
      </c>
      <c r="S749" s="27" t="s">
        <v>50</v>
      </c>
      <c r="T749" s="27" t="s">
        <v>50</v>
      </c>
      <c r="U749" s="27" t="s">
        <v>50</v>
      </c>
      <c r="V749" s="27" t="s">
        <v>50</v>
      </c>
      <c r="W749" s="27" t="s">
        <v>50</v>
      </c>
      <c r="X749" s="27" t="s">
        <v>50</v>
      </c>
      <c r="Y749" s="35" t="s">
        <v>6559</v>
      </c>
    </row>
    <row r="750" spans="1:25" x14ac:dyDescent="0.25">
      <c r="A750" s="26">
        <v>43418</v>
      </c>
      <c r="B750" s="27" t="s">
        <v>87</v>
      </c>
      <c r="C750" s="27" t="s">
        <v>106</v>
      </c>
      <c r="D750" s="89">
        <v>38.180239999999998</v>
      </c>
      <c r="E750" s="89">
        <v>-121.66346</v>
      </c>
      <c r="F750" s="27" t="s">
        <v>6560</v>
      </c>
      <c r="G750" s="27" t="s">
        <v>90</v>
      </c>
      <c r="H750" s="27" t="s">
        <v>362</v>
      </c>
      <c r="I750" s="84">
        <v>0.31805555555555554</v>
      </c>
      <c r="J750" s="82">
        <v>169.23333333333332</v>
      </c>
      <c r="K750" s="82">
        <v>12.774999999999999</v>
      </c>
      <c r="L750" s="82">
        <v>3.1924999999999999</v>
      </c>
      <c r="M750" s="82" t="s">
        <v>5829</v>
      </c>
      <c r="N750" s="4">
        <v>7.375</v>
      </c>
      <c r="O750" s="27" t="s">
        <v>48</v>
      </c>
      <c r="P750" s="27">
        <v>4</v>
      </c>
      <c r="Q750" s="27">
        <v>10</v>
      </c>
      <c r="R750" s="27" t="s">
        <v>64</v>
      </c>
      <c r="S750" s="27" t="s">
        <v>50</v>
      </c>
      <c r="T750" s="27" t="s">
        <v>50</v>
      </c>
      <c r="U750" s="27" t="s">
        <v>50</v>
      </c>
      <c r="V750" s="27" t="s">
        <v>50</v>
      </c>
      <c r="W750" s="27" t="s">
        <v>50</v>
      </c>
      <c r="X750" s="27" t="s">
        <v>50</v>
      </c>
      <c r="Y750" s="35" t="s">
        <v>6188</v>
      </c>
    </row>
    <row r="751" spans="1:25" x14ac:dyDescent="0.25">
      <c r="A751" s="26">
        <v>43418</v>
      </c>
      <c r="B751" s="27" t="s">
        <v>87</v>
      </c>
      <c r="C751" s="27" t="s">
        <v>106</v>
      </c>
      <c r="D751" s="89">
        <v>38.238669999999999</v>
      </c>
      <c r="E751" s="89">
        <v>-121.67219</v>
      </c>
      <c r="F751" s="27" t="s">
        <v>6561</v>
      </c>
      <c r="G751" s="27" t="s">
        <v>90</v>
      </c>
      <c r="H751" s="27" t="s">
        <v>362</v>
      </c>
      <c r="I751" s="84">
        <v>0.37083333333333335</v>
      </c>
      <c r="J751" s="82">
        <v>171.45000000000002</v>
      </c>
      <c r="K751" s="82">
        <v>12.649999999999999</v>
      </c>
      <c r="L751" s="82">
        <v>3.7875000000000001</v>
      </c>
      <c r="M751" s="82" t="s">
        <v>5829</v>
      </c>
      <c r="N751" s="4">
        <v>7.4749999999999996</v>
      </c>
      <c r="O751" s="27" t="s">
        <v>48</v>
      </c>
      <c r="P751" s="27">
        <v>4</v>
      </c>
      <c r="Q751" s="27">
        <v>10</v>
      </c>
      <c r="R751" s="27" t="s">
        <v>64</v>
      </c>
      <c r="S751" s="27" t="s">
        <v>50</v>
      </c>
      <c r="T751" s="27" t="s">
        <v>50</v>
      </c>
      <c r="U751" s="27" t="s">
        <v>50</v>
      </c>
      <c r="V751" s="27" t="s">
        <v>50</v>
      </c>
      <c r="W751" s="27" t="s">
        <v>50</v>
      </c>
      <c r="X751" s="27" t="s">
        <v>50</v>
      </c>
      <c r="Y751" s="35" t="s">
        <v>6562</v>
      </c>
    </row>
    <row r="752" spans="1:25" x14ac:dyDescent="0.25">
      <c r="A752" s="26">
        <v>43418</v>
      </c>
      <c r="B752" s="27" t="s">
        <v>87</v>
      </c>
      <c r="C752" s="27" t="s">
        <v>106</v>
      </c>
      <c r="D752" s="89">
        <v>38.355510000000002</v>
      </c>
      <c r="E752" s="89">
        <v>-121.63858</v>
      </c>
      <c r="F752" s="27" t="s">
        <v>6563</v>
      </c>
      <c r="G752" s="27" t="s">
        <v>90</v>
      </c>
      <c r="H752" s="27" t="s">
        <v>362</v>
      </c>
      <c r="I752" s="84">
        <v>0.43124999999999997</v>
      </c>
      <c r="J752" s="82">
        <v>317.07499999999999</v>
      </c>
      <c r="K752" s="82">
        <v>13.9</v>
      </c>
      <c r="L752" s="82">
        <v>14.450000000000001</v>
      </c>
      <c r="M752" s="82">
        <v>0.81</v>
      </c>
      <c r="N752" s="4">
        <v>10.7</v>
      </c>
      <c r="O752" s="27" t="s">
        <v>48</v>
      </c>
      <c r="P752" s="27">
        <v>4</v>
      </c>
      <c r="Q752" s="27">
        <v>10</v>
      </c>
      <c r="R752" s="27" t="s">
        <v>49</v>
      </c>
      <c r="S752" s="27" t="s">
        <v>50</v>
      </c>
      <c r="T752" s="27" t="s">
        <v>50</v>
      </c>
      <c r="U752" s="27" t="s">
        <v>50</v>
      </c>
      <c r="V752" s="27" t="s">
        <v>50</v>
      </c>
      <c r="W752" s="27" t="s">
        <v>50</v>
      </c>
      <c r="X752" s="27" t="s">
        <v>50</v>
      </c>
      <c r="Y752" s="35" t="s">
        <v>6188</v>
      </c>
    </row>
    <row r="753" spans="1:25" x14ac:dyDescent="0.25">
      <c r="A753" s="26">
        <v>43418</v>
      </c>
      <c r="B753" s="27" t="s">
        <v>87</v>
      </c>
      <c r="C753" s="27" t="s">
        <v>78</v>
      </c>
      <c r="D753" s="89">
        <v>38.078650000000003</v>
      </c>
      <c r="E753" s="89">
        <v>-122.08647999999999</v>
      </c>
      <c r="F753" s="27" t="s">
        <v>6564</v>
      </c>
      <c r="G753" s="27" t="s">
        <v>80</v>
      </c>
      <c r="H753" s="27" t="s">
        <v>81</v>
      </c>
      <c r="I753" s="84">
        <v>0.35625000000000001</v>
      </c>
      <c r="J753" s="82">
        <v>20986.75</v>
      </c>
      <c r="K753" s="82">
        <v>14.25</v>
      </c>
      <c r="L753" s="82">
        <v>11.137499999999999</v>
      </c>
      <c r="M753" s="82">
        <v>0.90999999999999992</v>
      </c>
      <c r="N753" s="4">
        <v>11</v>
      </c>
      <c r="O753" s="27" t="s">
        <v>48</v>
      </c>
      <c r="P753" s="27">
        <v>4</v>
      </c>
      <c r="Q753" s="27">
        <v>10</v>
      </c>
      <c r="R753" s="27" t="s">
        <v>64</v>
      </c>
      <c r="S753" s="27" t="s">
        <v>50</v>
      </c>
      <c r="T753" s="27" t="s">
        <v>50</v>
      </c>
      <c r="U753" s="27" t="s">
        <v>50</v>
      </c>
      <c r="V753" s="27" t="s">
        <v>50</v>
      </c>
      <c r="W753" s="27" t="s">
        <v>50</v>
      </c>
      <c r="X753" s="27" t="s">
        <v>50</v>
      </c>
      <c r="Y753" s="35" t="s">
        <v>6213</v>
      </c>
    </row>
    <row r="754" spans="1:25" x14ac:dyDescent="0.25">
      <c r="A754" s="26">
        <v>43418</v>
      </c>
      <c r="B754" s="27" t="s">
        <v>87</v>
      </c>
      <c r="C754" s="27" t="s">
        <v>78</v>
      </c>
      <c r="D754" s="89">
        <v>38.09666</v>
      </c>
      <c r="E754" s="89">
        <v>-122.03231</v>
      </c>
      <c r="F754" s="27" t="s">
        <v>6565</v>
      </c>
      <c r="G754" s="27" t="s">
        <v>27</v>
      </c>
      <c r="H754" s="27" t="s">
        <v>86</v>
      </c>
      <c r="I754" s="84">
        <v>0.44791666666666669</v>
      </c>
      <c r="J754" s="82">
        <v>18340.75</v>
      </c>
      <c r="K754" s="82">
        <v>14.35</v>
      </c>
      <c r="L754" s="82">
        <v>10.925000000000001</v>
      </c>
      <c r="M754" s="82">
        <v>0.94</v>
      </c>
      <c r="N754" s="4">
        <v>6.1750000000000007</v>
      </c>
      <c r="O754" s="27" t="s">
        <v>48</v>
      </c>
      <c r="P754" s="27">
        <v>4</v>
      </c>
      <c r="Q754" s="27">
        <v>10</v>
      </c>
      <c r="R754" s="27" t="s">
        <v>64</v>
      </c>
      <c r="S754" s="27" t="s">
        <v>50</v>
      </c>
      <c r="T754" s="27" t="s">
        <v>50</v>
      </c>
      <c r="U754" s="27" t="s">
        <v>50</v>
      </c>
      <c r="V754" s="27" t="s">
        <v>50</v>
      </c>
      <c r="W754" s="27" t="s">
        <v>50</v>
      </c>
      <c r="X754" s="27" t="s">
        <v>50</v>
      </c>
      <c r="Y754" s="35" t="s">
        <v>6188</v>
      </c>
    </row>
    <row r="755" spans="1:25" x14ac:dyDescent="0.25">
      <c r="A755" s="26">
        <v>43418</v>
      </c>
      <c r="B755" s="27" t="s">
        <v>87</v>
      </c>
      <c r="C755" s="27" t="s">
        <v>78</v>
      </c>
      <c r="D755" s="89">
        <v>38.082900000000002</v>
      </c>
      <c r="E755" s="89">
        <v>-121.99718</v>
      </c>
      <c r="F755" s="27" t="s">
        <v>6566</v>
      </c>
      <c r="G755" s="27" t="s">
        <v>27</v>
      </c>
      <c r="H755" s="27" t="s">
        <v>86</v>
      </c>
      <c r="I755" s="84">
        <v>0.4770833333333333</v>
      </c>
      <c r="J755" s="82">
        <v>15863</v>
      </c>
      <c r="K755" s="82">
        <v>14.200000000000001</v>
      </c>
      <c r="L755" s="82">
        <v>12.15</v>
      </c>
      <c r="M755" s="82">
        <v>0.9474999999999999</v>
      </c>
      <c r="N755" s="4">
        <v>16.875</v>
      </c>
      <c r="O755" s="27" t="s">
        <v>48</v>
      </c>
      <c r="P755" s="27">
        <v>4</v>
      </c>
      <c r="Q755" s="27">
        <v>10</v>
      </c>
      <c r="R755" s="27" t="s">
        <v>49</v>
      </c>
      <c r="S755" s="27" t="s">
        <v>50</v>
      </c>
      <c r="T755" s="27" t="s">
        <v>50</v>
      </c>
      <c r="U755" s="27" t="s">
        <v>50</v>
      </c>
      <c r="V755" s="27" t="s">
        <v>50</v>
      </c>
      <c r="W755" s="27" t="s">
        <v>50</v>
      </c>
      <c r="X755" s="27" t="s">
        <v>50</v>
      </c>
      <c r="Y755" s="35" t="s">
        <v>6567</v>
      </c>
    </row>
    <row r="756" spans="1:25" x14ac:dyDescent="0.25">
      <c r="A756" s="26">
        <v>43419</v>
      </c>
      <c r="B756" s="27" t="s">
        <v>105</v>
      </c>
      <c r="C756" s="27" t="s">
        <v>88</v>
      </c>
      <c r="D756" s="89">
        <v>38.176229999999997</v>
      </c>
      <c r="E756" s="89">
        <v>-121.66793</v>
      </c>
      <c r="F756" s="27" t="s">
        <v>6568</v>
      </c>
      <c r="G756" s="27" t="s">
        <v>27</v>
      </c>
      <c r="H756" s="27" t="s">
        <v>91</v>
      </c>
      <c r="I756" s="84">
        <v>0.33749999999999997</v>
      </c>
      <c r="J756" s="82">
        <v>131.17500000000001</v>
      </c>
      <c r="K756" s="82">
        <v>12.4</v>
      </c>
      <c r="L756" s="82">
        <v>3.7425000000000002</v>
      </c>
      <c r="M756" s="82" t="s">
        <v>5829</v>
      </c>
      <c r="N756" s="4">
        <v>14.725000000000001</v>
      </c>
      <c r="O756" s="27" t="s">
        <v>48</v>
      </c>
      <c r="P756" s="27">
        <v>4</v>
      </c>
      <c r="Q756" s="27">
        <v>10</v>
      </c>
      <c r="R756" s="27" t="s">
        <v>64</v>
      </c>
      <c r="S756" s="27" t="s">
        <v>50</v>
      </c>
      <c r="T756" s="27" t="s">
        <v>50</v>
      </c>
      <c r="U756" s="27" t="s">
        <v>50</v>
      </c>
      <c r="V756" s="27" t="s">
        <v>50</v>
      </c>
      <c r="W756" s="27" t="s">
        <v>50</v>
      </c>
      <c r="X756" s="27" t="s">
        <v>50</v>
      </c>
      <c r="Y756" s="35" t="s">
        <v>6569</v>
      </c>
    </row>
    <row r="757" spans="1:25" x14ac:dyDescent="0.25">
      <c r="A757" s="26">
        <v>43419</v>
      </c>
      <c r="B757" s="27" t="s">
        <v>105</v>
      </c>
      <c r="C757" s="27" t="s">
        <v>88</v>
      </c>
      <c r="D757" s="89">
        <v>38.083939999999998</v>
      </c>
      <c r="E757" s="89">
        <v>-121.71199</v>
      </c>
      <c r="F757" s="27" t="s">
        <v>6570</v>
      </c>
      <c r="G757" s="27" t="s">
        <v>27</v>
      </c>
      <c r="H757" s="27" t="s">
        <v>91</v>
      </c>
      <c r="I757" s="84">
        <v>0.39305555555555555</v>
      </c>
      <c r="J757" s="82">
        <v>2012.94</v>
      </c>
      <c r="K757" s="82">
        <v>13.780000000000001</v>
      </c>
      <c r="L757" s="82">
        <v>12.440000000000001</v>
      </c>
      <c r="M757" s="82">
        <v>0.98199999999999998</v>
      </c>
      <c r="N757" s="4">
        <v>6.5200000000000005</v>
      </c>
      <c r="O757" s="27" t="s">
        <v>48</v>
      </c>
      <c r="P757" s="27">
        <v>5</v>
      </c>
      <c r="Q757" s="27">
        <v>10</v>
      </c>
      <c r="R757" s="27" t="s">
        <v>64</v>
      </c>
      <c r="S757" s="27" t="s">
        <v>50</v>
      </c>
      <c r="T757" s="27" t="s">
        <v>50</v>
      </c>
      <c r="U757" s="27" t="s">
        <v>50</v>
      </c>
      <c r="V757" s="27" t="s">
        <v>50</v>
      </c>
      <c r="W757" s="27" t="s">
        <v>50</v>
      </c>
      <c r="X757" s="27" t="s">
        <v>50</v>
      </c>
      <c r="Y757" s="35" t="s">
        <v>6571</v>
      </c>
    </row>
    <row r="758" spans="1:25" x14ac:dyDescent="0.25">
      <c r="A758" s="26">
        <v>43419</v>
      </c>
      <c r="B758" s="27" t="s">
        <v>105</v>
      </c>
      <c r="C758" s="27" t="s">
        <v>88</v>
      </c>
      <c r="D758" s="89">
        <v>38.107889999999998</v>
      </c>
      <c r="E758" s="89">
        <v>-121.71514000000001</v>
      </c>
      <c r="F758" s="27" t="s">
        <v>6572</v>
      </c>
      <c r="G758" s="27" t="s">
        <v>27</v>
      </c>
      <c r="H758" s="27" t="s">
        <v>91</v>
      </c>
      <c r="I758" s="84">
        <v>0.45416666666666666</v>
      </c>
      <c r="J758" s="82">
        <v>2779.75</v>
      </c>
      <c r="K758" s="82">
        <v>13.875</v>
      </c>
      <c r="L758" s="82">
        <v>12.8</v>
      </c>
      <c r="M758" s="82">
        <v>1.0125</v>
      </c>
      <c r="N758" s="4">
        <v>9.3500000000000014</v>
      </c>
      <c r="O758" s="27" t="s">
        <v>48</v>
      </c>
      <c r="P758" s="27">
        <v>4</v>
      </c>
      <c r="Q758" s="27">
        <v>10</v>
      </c>
      <c r="R758" s="27" t="s">
        <v>64</v>
      </c>
      <c r="S758" s="27" t="s">
        <v>50</v>
      </c>
      <c r="T758" s="27" t="s">
        <v>50</v>
      </c>
      <c r="U758" s="27" t="s">
        <v>50</v>
      </c>
      <c r="V758" s="27" t="s">
        <v>50</v>
      </c>
      <c r="W758" s="27" t="s">
        <v>50</v>
      </c>
      <c r="X758" s="27" t="s">
        <v>50</v>
      </c>
      <c r="Y758" s="35" t="s">
        <v>6188</v>
      </c>
    </row>
    <row r="759" spans="1:25" s="205" customFormat="1" x14ac:dyDescent="0.25">
      <c r="A759" s="204">
        <v>43419</v>
      </c>
      <c r="B759" s="205" t="s">
        <v>105</v>
      </c>
      <c r="C759" s="205" t="s">
        <v>62</v>
      </c>
      <c r="D759" s="206">
        <v>38.106470000000002</v>
      </c>
      <c r="E759" s="206">
        <v>-122.0424</v>
      </c>
      <c r="F759" s="205" t="s">
        <v>6573</v>
      </c>
      <c r="G759" s="205" t="s">
        <v>27</v>
      </c>
      <c r="H759" s="205" t="s">
        <v>173</v>
      </c>
      <c r="I759" s="207">
        <v>0.3430555555555555</v>
      </c>
      <c r="J759" s="208">
        <v>18723.5</v>
      </c>
      <c r="K759" s="208">
        <v>14.074999999999999</v>
      </c>
      <c r="L759" s="208">
        <v>20.25</v>
      </c>
      <c r="M759" s="208">
        <v>0.70750000000000002</v>
      </c>
      <c r="N759" s="209">
        <v>2.9250000000000003</v>
      </c>
      <c r="O759" s="205" t="s">
        <v>48</v>
      </c>
      <c r="P759" s="205">
        <v>4</v>
      </c>
      <c r="Q759" s="205">
        <v>10</v>
      </c>
      <c r="R759" s="205" t="s">
        <v>64</v>
      </c>
      <c r="S759" s="205" t="s">
        <v>31</v>
      </c>
      <c r="T759" s="205">
        <v>1</v>
      </c>
      <c r="U759" s="205">
        <v>56</v>
      </c>
      <c r="V759" s="205" t="s">
        <v>66</v>
      </c>
      <c r="W759" s="205" t="s">
        <v>50</v>
      </c>
      <c r="X759" s="205" t="s">
        <v>50</v>
      </c>
      <c r="Y759" s="210" t="s">
        <v>6574</v>
      </c>
    </row>
    <row r="760" spans="1:25" x14ac:dyDescent="0.25">
      <c r="A760" s="26">
        <v>43419</v>
      </c>
      <c r="B760" s="27" t="s">
        <v>105</v>
      </c>
      <c r="C760" s="27" t="s">
        <v>62</v>
      </c>
      <c r="D760" s="89">
        <v>38.125869999999999</v>
      </c>
      <c r="E760" s="89">
        <v>-122.05709</v>
      </c>
      <c r="F760" s="27" t="s">
        <v>6575</v>
      </c>
      <c r="G760" s="27" t="s">
        <v>27</v>
      </c>
      <c r="H760" s="27" t="s">
        <v>62</v>
      </c>
      <c r="I760" s="84">
        <v>0.4055555555555555</v>
      </c>
      <c r="J760" s="82">
        <v>15091</v>
      </c>
      <c r="K760" s="82">
        <v>13.375</v>
      </c>
      <c r="L760" s="82">
        <v>10.555000000000001</v>
      </c>
      <c r="M760" s="82">
        <v>1.2949999999999999</v>
      </c>
      <c r="N760" s="4">
        <v>3.9750000000000001</v>
      </c>
      <c r="O760" s="27" t="s">
        <v>48</v>
      </c>
      <c r="P760" s="27">
        <v>4</v>
      </c>
      <c r="Q760" s="27">
        <v>10</v>
      </c>
      <c r="R760" s="27" t="s">
        <v>64</v>
      </c>
      <c r="S760" s="27" t="s">
        <v>50</v>
      </c>
      <c r="T760" s="27" t="s">
        <v>50</v>
      </c>
      <c r="U760" s="27" t="s">
        <v>50</v>
      </c>
      <c r="V760" s="27" t="s">
        <v>50</v>
      </c>
      <c r="W760" s="27" t="s">
        <v>50</v>
      </c>
      <c r="X760" s="27" t="s">
        <v>50</v>
      </c>
      <c r="Y760" s="35" t="s">
        <v>6188</v>
      </c>
    </row>
    <row r="761" spans="1:25" s="97" customFormat="1" x14ac:dyDescent="0.25">
      <c r="A761" s="194">
        <v>43419</v>
      </c>
      <c r="B761" s="97" t="s">
        <v>105</v>
      </c>
      <c r="C761" s="97" t="s">
        <v>62</v>
      </c>
      <c r="D761" s="98">
        <v>38.157890000000002</v>
      </c>
      <c r="E761" s="98">
        <v>-122.05004</v>
      </c>
      <c r="F761" s="97" t="s">
        <v>6576</v>
      </c>
      <c r="G761" s="97" t="s">
        <v>27</v>
      </c>
      <c r="H761" s="97" t="s">
        <v>62</v>
      </c>
      <c r="I761" s="99">
        <v>0.46597222222222223</v>
      </c>
      <c r="J761" s="100">
        <v>11769</v>
      </c>
      <c r="K761" s="100">
        <v>12.875</v>
      </c>
      <c r="L761" s="100">
        <v>11.175000000000001</v>
      </c>
      <c r="M761" s="100">
        <v>1.0475000000000001</v>
      </c>
      <c r="N761" s="101">
        <v>6.3750000000000009</v>
      </c>
      <c r="O761" s="97" t="s">
        <v>48</v>
      </c>
      <c r="P761" s="97">
        <v>4</v>
      </c>
      <c r="Q761" s="97">
        <v>10</v>
      </c>
      <c r="R761" s="97" t="s">
        <v>49</v>
      </c>
      <c r="S761" s="97" t="s">
        <v>50</v>
      </c>
      <c r="T761" s="97" t="s">
        <v>50</v>
      </c>
      <c r="U761" s="97" t="s">
        <v>50</v>
      </c>
      <c r="V761" s="97" t="s">
        <v>50</v>
      </c>
      <c r="W761" s="97" t="s">
        <v>50</v>
      </c>
      <c r="X761" s="97" t="s">
        <v>50</v>
      </c>
      <c r="Y761" s="102" t="s">
        <v>6577</v>
      </c>
    </row>
    <row r="762" spans="1:25" s="283" customFormat="1" x14ac:dyDescent="0.25">
      <c r="A762" s="350">
        <v>43420</v>
      </c>
      <c r="B762" s="283" t="s">
        <v>125</v>
      </c>
      <c r="C762" s="368" t="s">
        <v>50</v>
      </c>
      <c r="D762" s="368" t="s">
        <v>50</v>
      </c>
      <c r="E762" s="368" t="s">
        <v>50</v>
      </c>
      <c r="F762" s="368" t="s">
        <v>50</v>
      </c>
      <c r="G762" s="368" t="s">
        <v>50</v>
      </c>
      <c r="H762" s="368" t="s">
        <v>50</v>
      </c>
      <c r="I762" s="368" t="s">
        <v>50</v>
      </c>
      <c r="J762" s="368" t="s">
        <v>50</v>
      </c>
      <c r="K762" s="368" t="s">
        <v>50</v>
      </c>
      <c r="L762" s="368" t="s">
        <v>50</v>
      </c>
      <c r="M762" s="368" t="s">
        <v>50</v>
      </c>
      <c r="N762" s="368" t="s">
        <v>50</v>
      </c>
      <c r="O762" s="368" t="s">
        <v>48</v>
      </c>
      <c r="P762" s="368" t="s">
        <v>50</v>
      </c>
      <c r="Q762" s="368" t="s">
        <v>50</v>
      </c>
      <c r="R762" s="368" t="s">
        <v>50</v>
      </c>
      <c r="S762" s="368" t="s">
        <v>50</v>
      </c>
      <c r="T762" s="368" t="s">
        <v>50</v>
      </c>
      <c r="U762" s="368" t="s">
        <v>50</v>
      </c>
      <c r="V762" s="368" t="s">
        <v>50</v>
      </c>
      <c r="W762" s="368" t="s">
        <v>50</v>
      </c>
      <c r="X762" s="283" t="s">
        <v>50</v>
      </c>
      <c r="Y762" s="290" t="s">
        <v>6578</v>
      </c>
    </row>
    <row r="763" spans="1:25" x14ac:dyDescent="0.25">
      <c r="A763" s="26">
        <v>43423</v>
      </c>
      <c r="B763" s="27" t="s">
        <v>43</v>
      </c>
      <c r="C763" s="27" t="s">
        <v>88</v>
      </c>
      <c r="D763" s="89">
        <v>38.06194</v>
      </c>
      <c r="E763" s="89">
        <v>-121.79098</v>
      </c>
      <c r="F763" s="27" t="s">
        <v>6579</v>
      </c>
      <c r="G763" s="27" t="s">
        <v>27</v>
      </c>
      <c r="H763" s="27" t="s">
        <v>25</v>
      </c>
      <c r="I763" s="84">
        <v>0.33819444444444446</v>
      </c>
      <c r="J763" s="82">
        <v>2828.5</v>
      </c>
      <c r="K763" s="82">
        <v>12.925000000000001</v>
      </c>
      <c r="L763" s="82">
        <v>8.0299999999999994</v>
      </c>
      <c r="M763" s="82">
        <v>1.1599999999999999</v>
      </c>
      <c r="N763" s="4">
        <v>9.375</v>
      </c>
      <c r="O763" s="27" t="s">
        <v>48</v>
      </c>
      <c r="P763" s="27">
        <v>4</v>
      </c>
      <c r="Q763" s="27">
        <v>10</v>
      </c>
      <c r="R763" s="27" t="s">
        <v>49</v>
      </c>
      <c r="S763" s="27" t="s">
        <v>50</v>
      </c>
      <c r="T763" s="27" t="s">
        <v>50</v>
      </c>
      <c r="U763" s="27" t="s">
        <v>50</v>
      </c>
      <c r="V763" s="27" t="s">
        <v>50</v>
      </c>
      <c r="W763" s="27" t="s">
        <v>50</v>
      </c>
      <c r="X763" s="27" t="s">
        <v>50</v>
      </c>
      <c r="Y763" s="35" t="s">
        <v>6580</v>
      </c>
    </row>
    <row r="764" spans="1:25" x14ac:dyDescent="0.25">
      <c r="A764" s="26">
        <v>43423</v>
      </c>
      <c r="B764" s="27" t="s">
        <v>43</v>
      </c>
      <c r="C764" s="27" t="s">
        <v>88</v>
      </c>
      <c r="D764" s="89">
        <v>38.101399999999998</v>
      </c>
      <c r="E764" s="89">
        <v>-121.7086</v>
      </c>
      <c r="F764" s="27" t="s">
        <v>6581</v>
      </c>
      <c r="G764" s="27" t="s">
        <v>90</v>
      </c>
      <c r="H764" s="27" t="s">
        <v>91</v>
      </c>
      <c r="I764" s="84">
        <v>0.39305555555555555</v>
      </c>
      <c r="J764" s="82">
        <v>1821.25</v>
      </c>
      <c r="K764" s="82">
        <v>12.824999999999999</v>
      </c>
      <c r="L764" s="82">
        <v>6.7649999999999997</v>
      </c>
      <c r="M764" s="82">
        <v>1.6075000000000002</v>
      </c>
      <c r="N764" s="4">
        <v>3.875</v>
      </c>
      <c r="O764" s="27" t="s">
        <v>48</v>
      </c>
      <c r="P764" s="27">
        <v>4</v>
      </c>
      <c r="Q764" s="27">
        <v>10</v>
      </c>
      <c r="R764" s="27" t="s">
        <v>64</v>
      </c>
      <c r="S764" s="27" t="s">
        <v>50</v>
      </c>
      <c r="T764" s="27" t="s">
        <v>50</v>
      </c>
      <c r="U764" s="27" t="s">
        <v>50</v>
      </c>
      <c r="V764" s="27" t="s">
        <v>50</v>
      </c>
      <c r="W764" s="27" t="s">
        <v>50</v>
      </c>
      <c r="X764" s="27" t="s">
        <v>50</v>
      </c>
    </row>
    <row r="765" spans="1:25" x14ac:dyDescent="0.25">
      <c r="A765" s="26">
        <v>43423</v>
      </c>
      <c r="B765" s="27" t="s">
        <v>43</v>
      </c>
      <c r="C765" s="27" t="s">
        <v>88</v>
      </c>
      <c r="D765" s="89">
        <v>38.146079999999998</v>
      </c>
      <c r="E765" s="89">
        <v>-121.69016999999999</v>
      </c>
      <c r="F765" s="27" t="s">
        <v>6582</v>
      </c>
      <c r="G765" s="27" t="s">
        <v>90</v>
      </c>
      <c r="H765" s="27" t="s">
        <v>91</v>
      </c>
      <c r="I765" s="84">
        <v>0.44236111111111115</v>
      </c>
      <c r="J765" s="82">
        <v>170.05</v>
      </c>
      <c r="K765" s="82">
        <v>11.625</v>
      </c>
      <c r="L765" s="82">
        <v>6.1074999999999999</v>
      </c>
      <c r="M765" s="82">
        <v>1.5825</v>
      </c>
      <c r="N765" s="4">
        <v>12.350000000000001</v>
      </c>
      <c r="O765" s="27" t="s">
        <v>48</v>
      </c>
      <c r="P765" s="27">
        <v>4</v>
      </c>
      <c r="Q765" s="27">
        <v>10</v>
      </c>
      <c r="R765" s="27" t="s">
        <v>64</v>
      </c>
      <c r="S765" s="27" t="s">
        <v>50</v>
      </c>
      <c r="T765" s="27" t="s">
        <v>50</v>
      </c>
      <c r="U765" s="27" t="s">
        <v>50</v>
      </c>
      <c r="V765" s="27" t="s">
        <v>50</v>
      </c>
      <c r="W765" s="27" t="s">
        <v>50</v>
      </c>
      <c r="X765" s="27" t="s">
        <v>50</v>
      </c>
    </row>
    <row r="766" spans="1:25" x14ac:dyDescent="0.25">
      <c r="A766" s="26">
        <v>43423</v>
      </c>
      <c r="B766" s="27" t="s">
        <v>43</v>
      </c>
      <c r="C766" s="27" t="s">
        <v>845</v>
      </c>
      <c r="D766" s="89">
        <v>38.325670000000002</v>
      </c>
      <c r="E766" s="89">
        <v>-121.65259</v>
      </c>
      <c r="F766" s="27" t="s">
        <v>6583</v>
      </c>
      <c r="G766" s="27" t="s">
        <v>90</v>
      </c>
      <c r="H766" s="27" t="s">
        <v>126</v>
      </c>
      <c r="I766" s="84">
        <v>0.32500000000000001</v>
      </c>
      <c r="J766" s="82">
        <v>210.125</v>
      </c>
      <c r="K766" s="82">
        <v>9.6750000000000007</v>
      </c>
      <c r="L766" s="82">
        <v>5.4474999999999998</v>
      </c>
      <c r="M766" s="82" t="s">
        <v>5829</v>
      </c>
      <c r="N766" s="4">
        <v>2.85</v>
      </c>
      <c r="O766" s="27" t="s">
        <v>48</v>
      </c>
      <c r="P766" s="27">
        <v>4</v>
      </c>
      <c r="Q766" s="27">
        <v>10</v>
      </c>
      <c r="R766" s="27" t="s">
        <v>49</v>
      </c>
      <c r="S766" s="27" t="s">
        <v>50</v>
      </c>
      <c r="T766" s="27" t="s">
        <v>50</v>
      </c>
      <c r="U766" s="27" t="s">
        <v>50</v>
      </c>
      <c r="V766" s="27" t="s">
        <v>50</v>
      </c>
      <c r="W766" s="27" t="s">
        <v>50</v>
      </c>
      <c r="X766" s="27" t="s">
        <v>50</v>
      </c>
      <c r="Y766" s="35" t="s">
        <v>6584</v>
      </c>
    </row>
    <row r="767" spans="1:25" x14ac:dyDescent="0.25">
      <c r="A767" s="26">
        <v>43423</v>
      </c>
      <c r="B767" s="27" t="s">
        <v>43</v>
      </c>
      <c r="C767" s="27" t="s">
        <v>845</v>
      </c>
      <c r="D767" s="89">
        <v>38.261069999999997</v>
      </c>
      <c r="E767" s="89">
        <v>-121.6964</v>
      </c>
      <c r="F767" s="27" t="s">
        <v>6585</v>
      </c>
      <c r="G767" s="27" t="s">
        <v>90</v>
      </c>
      <c r="H767" s="27" t="s">
        <v>126</v>
      </c>
      <c r="I767" s="84">
        <v>0.38611111111111113</v>
      </c>
      <c r="J767" s="82">
        <v>189.62</v>
      </c>
      <c r="K767" s="82">
        <v>11</v>
      </c>
      <c r="L767" s="82">
        <v>3.7280000000000002</v>
      </c>
      <c r="M767" s="82" t="s">
        <v>5829</v>
      </c>
      <c r="N767" s="4">
        <v>3.4</v>
      </c>
      <c r="O767" s="27" t="s">
        <v>48</v>
      </c>
      <c r="P767" s="27">
        <v>4</v>
      </c>
      <c r="Q767" s="27">
        <v>10</v>
      </c>
      <c r="R767" s="27" t="s">
        <v>64</v>
      </c>
      <c r="S767" s="27" t="s">
        <v>50</v>
      </c>
      <c r="T767" s="27" t="s">
        <v>50</v>
      </c>
      <c r="U767" s="27" t="s">
        <v>50</v>
      </c>
      <c r="V767" s="27" t="s">
        <v>50</v>
      </c>
      <c r="W767" s="27" t="s">
        <v>50</v>
      </c>
      <c r="X767" s="27" t="s">
        <v>50</v>
      </c>
      <c r="Y767" s="35" t="s">
        <v>6586</v>
      </c>
    </row>
    <row r="768" spans="1:25" x14ac:dyDescent="0.25">
      <c r="A768" s="26">
        <v>43423</v>
      </c>
      <c r="B768" s="27" t="s">
        <v>43</v>
      </c>
      <c r="C768" s="27" t="s">
        <v>845</v>
      </c>
      <c r="D768" s="89">
        <v>38.252960000000002</v>
      </c>
      <c r="E768" s="89">
        <v>-121.68759</v>
      </c>
      <c r="F768" s="27" t="s">
        <v>6587</v>
      </c>
      <c r="G768" s="27" t="s">
        <v>90</v>
      </c>
      <c r="H768" s="27" t="s">
        <v>126</v>
      </c>
      <c r="I768" s="84">
        <v>0.4597222222222222</v>
      </c>
      <c r="J768" s="82">
        <v>176.39999999999998</v>
      </c>
      <c r="K768" s="82">
        <v>11.2</v>
      </c>
      <c r="L768" s="82">
        <v>5.7974999999999994</v>
      </c>
      <c r="M768" s="82" t="s">
        <v>5829</v>
      </c>
      <c r="N768" s="4">
        <v>6.3999999999999995</v>
      </c>
      <c r="O768" s="27" t="s">
        <v>48</v>
      </c>
      <c r="P768" s="27">
        <v>4</v>
      </c>
      <c r="Q768" s="27">
        <v>10</v>
      </c>
      <c r="R768" s="27" t="s">
        <v>64</v>
      </c>
      <c r="S768" s="27" t="s">
        <v>50</v>
      </c>
      <c r="T768" s="27" t="s">
        <v>50</v>
      </c>
      <c r="U768" s="27" t="s">
        <v>50</v>
      </c>
      <c r="V768" s="27" t="s">
        <v>50</v>
      </c>
      <c r="W768" s="27" t="s">
        <v>50</v>
      </c>
      <c r="X768" s="27" t="s">
        <v>50</v>
      </c>
      <c r="Y768" s="35" t="s">
        <v>6188</v>
      </c>
    </row>
    <row r="769" spans="1:25" s="149" customFormat="1" x14ac:dyDescent="0.25">
      <c r="A769" s="178">
        <v>43423</v>
      </c>
      <c r="B769" s="149" t="s">
        <v>43</v>
      </c>
      <c r="C769" s="149" t="s">
        <v>845</v>
      </c>
      <c r="D769" s="150">
        <v>38.281039999999997</v>
      </c>
      <c r="E769" s="150">
        <v>-121.68163</v>
      </c>
      <c r="F769" s="149" t="s">
        <v>6588</v>
      </c>
      <c r="G769" s="149" t="s">
        <v>90</v>
      </c>
      <c r="H769" s="149" t="s">
        <v>126</v>
      </c>
      <c r="I769" s="151">
        <v>0.37152777777777773</v>
      </c>
      <c r="J769" s="197" t="s">
        <v>50</v>
      </c>
      <c r="K769" s="197" t="s">
        <v>50</v>
      </c>
      <c r="L769" s="197" t="s">
        <v>50</v>
      </c>
      <c r="M769" s="197" t="s">
        <v>50</v>
      </c>
      <c r="N769" s="197" t="s">
        <v>50</v>
      </c>
      <c r="O769" s="149" t="s">
        <v>48</v>
      </c>
      <c r="P769" s="149">
        <v>0</v>
      </c>
      <c r="Q769" s="149" t="s">
        <v>50</v>
      </c>
      <c r="R769" s="149" t="s">
        <v>50</v>
      </c>
      <c r="S769" s="149" t="s">
        <v>50</v>
      </c>
      <c r="T769" s="149" t="s">
        <v>50</v>
      </c>
      <c r="U769" s="149" t="s">
        <v>50</v>
      </c>
      <c r="V769" s="149" t="s">
        <v>50</v>
      </c>
      <c r="W769" s="149" t="s">
        <v>50</v>
      </c>
      <c r="X769" s="149" t="s">
        <v>50</v>
      </c>
      <c r="Y769" s="152" t="s">
        <v>6589</v>
      </c>
    </row>
    <row r="770" spans="1:25" x14ac:dyDescent="0.25">
      <c r="A770" s="26">
        <v>43423</v>
      </c>
      <c r="B770" s="27" t="s">
        <v>43</v>
      </c>
      <c r="C770" s="27" t="s">
        <v>62</v>
      </c>
      <c r="D770" s="89">
        <v>38.108449999999998</v>
      </c>
      <c r="E770" s="89">
        <v>-122.03957</v>
      </c>
      <c r="F770" s="27" t="s">
        <v>6590</v>
      </c>
      <c r="G770" s="27" t="s">
        <v>27</v>
      </c>
      <c r="H770" s="27" t="s">
        <v>173</v>
      </c>
      <c r="I770" s="84">
        <v>0.35486111111111113</v>
      </c>
      <c r="J770" s="82">
        <v>17816</v>
      </c>
      <c r="K770" s="82">
        <v>13</v>
      </c>
      <c r="L770" s="82">
        <v>6.9450000000000003</v>
      </c>
      <c r="M770" s="82">
        <v>1.2275</v>
      </c>
      <c r="N770" s="4">
        <v>2.6500000000000004</v>
      </c>
      <c r="O770" s="27" t="s">
        <v>48</v>
      </c>
      <c r="P770" s="27">
        <v>4</v>
      </c>
      <c r="Q770" s="27">
        <v>10</v>
      </c>
      <c r="R770" s="27" t="s">
        <v>64</v>
      </c>
      <c r="S770" s="27" t="s">
        <v>50</v>
      </c>
      <c r="T770" s="27" t="s">
        <v>50</v>
      </c>
      <c r="U770" s="27" t="s">
        <v>50</v>
      </c>
      <c r="V770" s="27" t="s">
        <v>50</v>
      </c>
      <c r="W770" s="27" t="s">
        <v>50</v>
      </c>
      <c r="X770" s="27" t="s">
        <v>50</v>
      </c>
      <c r="Y770" s="35" t="s">
        <v>6188</v>
      </c>
    </row>
    <row r="771" spans="1:25" x14ac:dyDescent="0.25">
      <c r="A771" s="26">
        <v>43423</v>
      </c>
      <c r="B771" s="27" t="s">
        <v>43</v>
      </c>
      <c r="C771" s="27" t="s">
        <v>62</v>
      </c>
      <c r="D771" s="89">
        <v>38.106079999999999</v>
      </c>
      <c r="E771" s="89">
        <v>-122.04774999999999</v>
      </c>
      <c r="F771" s="27" t="s">
        <v>6591</v>
      </c>
      <c r="G771" s="27" t="s">
        <v>27</v>
      </c>
      <c r="H771" s="27" t="s">
        <v>173</v>
      </c>
      <c r="I771" s="84">
        <v>0.40625</v>
      </c>
      <c r="J771" s="82">
        <v>18620.25</v>
      </c>
      <c r="K771" s="82">
        <v>13.025</v>
      </c>
      <c r="L771" s="82">
        <v>11.7075</v>
      </c>
      <c r="M771" s="82">
        <v>1.0674999999999999</v>
      </c>
      <c r="N771" s="4">
        <v>3.3250000000000002</v>
      </c>
      <c r="O771" s="27" t="s">
        <v>48</v>
      </c>
      <c r="P771" s="27">
        <v>4</v>
      </c>
      <c r="Q771" s="27">
        <v>10</v>
      </c>
      <c r="R771" s="27" t="s">
        <v>64</v>
      </c>
      <c r="S771" s="27" t="s">
        <v>50</v>
      </c>
      <c r="T771" s="27" t="s">
        <v>50</v>
      </c>
      <c r="U771" s="27" t="s">
        <v>50</v>
      </c>
      <c r="V771" s="27" t="s">
        <v>50</v>
      </c>
      <c r="W771" s="27" t="s">
        <v>50</v>
      </c>
      <c r="X771" s="27" t="s">
        <v>50</v>
      </c>
      <c r="Y771" s="35" t="s">
        <v>6188</v>
      </c>
    </row>
    <row r="772" spans="1:25" x14ac:dyDescent="0.25">
      <c r="A772" s="26">
        <v>43423</v>
      </c>
      <c r="B772" s="27" t="s">
        <v>43</v>
      </c>
      <c r="C772" s="27" t="s">
        <v>62</v>
      </c>
      <c r="D772" s="89">
        <v>38.178510000000003</v>
      </c>
      <c r="E772" s="89">
        <v>-122.00546</v>
      </c>
      <c r="F772" s="27" t="s">
        <v>6592</v>
      </c>
      <c r="G772" s="27" t="s">
        <v>27</v>
      </c>
      <c r="H772" s="27" t="s">
        <v>62</v>
      </c>
      <c r="I772" s="84">
        <v>0.46597222222222223</v>
      </c>
      <c r="J772" s="82">
        <v>9929</v>
      </c>
      <c r="K772" s="82">
        <v>12.425000000000001</v>
      </c>
      <c r="L772" s="82">
        <v>14.775</v>
      </c>
      <c r="M772" s="82">
        <v>0.7</v>
      </c>
      <c r="N772" s="4">
        <v>6.55</v>
      </c>
      <c r="O772" s="27" t="s">
        <v>48</v>
      </c>
      <c r="P772" s="27">
        <v>4</v>
      </c>
      <c r="Q772" s="27">
        <v>10</v>
      </c>
      <c r="R772" s="27" t="s">
        <v>64</v>
      </c>
      <c r="S772" s="27" t="s">
        <v>50</v>
      </c>
      <c r="T772" s="27" t="s">
        <v>50</v>
      </c>
      <c r="U772" s="27" t="s">
        <v>50</v>
      </c>
      <c r="V772" s="27" t="s">
        <v>50</v>
      </c>
      <c r="W772" s="27" t="s">
        <v>50</v>
      </c>
      <c r="X772" s="27" t="s">
        <v>50</v>
      </c>
      <c r="Y772" s="35" t="s">
        <v>6593</v>
      </c>
    </row>
    <row r="773" spans="1:25" x14ac:dyDescent="0.25">
      <c r="A773" s="26">
        <v>43424</v>
      </c>
      <c r="B773" s="27" t="s">
        <v>70</v>
      </c>
      <c r="C773" s="27" t="s">
        <v>88</v>
      </c>
      <c r="D773" s="89">
        <v>38.16001</v>
      </c>
      <c r="E773" s="89">
        <v>-121.68158</v>
      </c>
      <c r="F773" s="27" t="s">
        <v>6594</v>
      </c>
      <c r="G773" s="27" t="s">
        <v>90</v>
      </c>
      <c r="H773" s="27" t="s">
        <v>91</v>
      </c>
      <c r="I773" s="84">
        <v>0.33194444444444443</v>
      </c>
      <c r="J773" s="82">
        <v>125.125</v>
      </c>
      <c r="K773" s="82">
        <v>10.700000000000001</v>
      </c>
      <c r="L773" s="82">
        <v>2.96</v>
      </c>
      <c r="M773" s="82" t="s">
        <v>5829</v>
      </c>
      <c r="N773" s="4">
        <v>6.9249999999999989</v>
      </c>
      <c r="O773" s="27" t="s">
        <v>48</v>
      </c>
      <c r="P773" s="27">
        <v>4</v>
      </c>
      <c r="Q773" s="27">
        <v>10</v>
      </c>
      <c r="R773" s="27" t="s">
        <v>49</v>
      </c>
      <c r="S773" s="27" t="s">
        <v>50</v>
      </c>
      <c r="T773" s="27" t="s">
        <v>50</v>
      </c>
      <c r="U773" s="27" t="s">
        <v>50</v>
      </c>
      <c r="V773" s="27" t="s">
        <v>50</v>
      </c>
      <c r="W773" s="27" t="s">
        <v>50</v>
      </c>
      <c r="X773" s="27" t="s">
        <v>50</v>
      </c>
      <c r="Y773" s="5" t="s">
        <v>6595</v>
      </c>
    </row>
    <row r="774" spans="1:25" x14ac:dyDescent="0.25">
      <c r="A774" s="26">
        <v>43424</v>
      </c>
      <c r="B774" s="27" t="s">
        <v>70</v>
      </c>
      <c r="C774" s="27" t="s">
        <v>88</v>
      </c>
      <c r="D774" s="89">
        <v>38.084609999999998</v>
      </c>
      <c r="E774" s="89">
        <v>-121.71262</v>
      </c>
      <c r="F774" s="27" t="s">
        <v>6596</v>
      </c>
      <c r="G774" s="27" t="s">
        <v>90</v>
      </c>
      <c r="H774" s="27" t="s">
        <v>91</v>
      </c>
      <c r="I774" s="84">
        <v>0.38680555555555557</v>
      </c>
      <c r="J774" s="82">
        <v>2529.5</v>
      </c>
      <c r="K774" s="82">
        <v>12.625</v>
      </c>
      <c r="L774" s="82">
        <v>10.530000000000001</v>
      </c>
      <c r="M774" s="82">
        <v>1.3925000000000001</v>
      </c>
      <c r="N774" s="4">
        <v>5.7750000000000004</v>
      </c>
      <c r="O774" s="27" t="s">
        <v>48</v>
      </c>
      <c r="P774" s="27">
        <v>4</v>
      </c>
      <c r="Q774" s="27">
        <v>10</v>
      </c>
      <c r="R774" s="27" t="s">
        <v>64</v>
      </c>
      <c r="S774" s="27" t="s">
        <v>50</v>
      </c>
      <c r="T774" s="27" t="s">
        <v>50</v>
      </c>
      <c r="U774" s="27" t="s">
        <v>50</v>
      </c>
      <c r="V774" s="27" t="s">
        <v>50</v>
      </c>
      <c r="W774" s="27" t="s">
        <v>50</v>
      </c>
      <c r="X774" s="27" t="s">
        <v>50</v>
      </c>
      <c r="Y774" s="35" t="s">
        <v>6188</v>
      </c>
    </row>
    <row r="775" spans="1:25" x14ac:dyDescent="0.25">
      <c r="A775" s="26">
        <v>43424</v>
      </c>
      <c r="B775" s="27" t="s">
        <v>70</v>
      </c>
      <c r="C775" s="27" t="s">
        <v>88</v>
      </c>
      <c r="D775" s="89">
        <v>38.09299</v>
      </c>
      <c r="E775" s="89">
        <v>-121.73442</v>
      </c>
      <c r="F775" s="27" t="s">
        <v>6597</v>
      </c>
      <c r="G775" s="27" t="s">
        <v>90</v>
      </c>
      <c r="H775" s="27" t="s">
        <v>91</v>
      </c>
      <c r="I775" s="84">
        <v>0.43958333333333338</v>
      </c>
      <c r="J775" s="82">
        <v>2565.25</v>
      </c>
      <c r="K775" s="82">
        <v>12.7</v>
      </c>
      <c r="L775" s="82">
        <v>10.157500000000001</v>
      </c>
      <c r="M775" s="82">
        <v>1.0275000000000001</v>
      </c>
      <c r="N775" s="4">
        <v>8.4499999999999993</v>
      </c>
      <c r="O775" s="27" t="s">
        <v>48</v>
      </c>
      <c r="P775" s="27">
        <v>4</v>
      </c>
      <c r="Q775" s="27">
        <v>10</v>
      </c>
      <c r="R775" s="27" t="s">
        <v>64</v>
      </c>
      <c r="S775" s="27" t="s">
        <v>50</v>
      </c>
      <c r="T775" s="27" t="s">
        <v>50</v>
      </c>
      <c r="U775" s="27" t="s">
        <v>50</v>
      </c>
      <c r="V775" s="27" t="s">
        <v>50</v>
      </c>
      <c r="W775" s="27" t="s">
        <v>50</v>
      </c>
      <c r="X775" s="27" t="s">
        <v>50</v>
      </c>
      <c r="Y775" s="35" t="s">
        <v>6598</v>
      </c>
    </row>
    <row r="776" spans="1:25" x14ac:dyDescent="0.25">
      <c r="A776" s="26">
        <v>43424</v>
      </c>
      <c r="B776" s="27" t="s">
        <v>70</v>
      </c>
      <c r="C776" s="27" t="s">
        <v>845</v>
      </c>
      <c r="D776" s="89">
        <v>38.307740000000003</v>
      </c>
      <c r="E776" s="89">
        <v>-121.65701</v>
      </c>
      <c r="F776" s="27" t="s">
        <v>6599</v>
      </c>
      <c r="G776" s="27" t="s">
        <v>90</v>
      </c>
      <c r="H776" s="27" t="s">
        <v>126</v>
      </c>
      <c r="I776" s="84">
        <v>0.32569444444444445</v>
      </c>
      <c r="J776" s="82">
        <v>138.07499999999999</v>
      </c>
      <c r="K776" s="82">
        <v>10.15</v>
      </c>
      <c r="L776" s="82">
        <v>4.7149999999999999</v>
      </c>
      <c r="M776" s="82" t="s">
        <v>5829</v>
      </c>
      <c r="N776" s="4">
        <v>3.7249999999999996</v>
      </c>
      <c r="O776" s="27" t="s">
        <v>48</v>
      </c>
      <c r="P776" s="27">
        <v>4</v>
      </c>
      <c r="Q776" s="27">
        <v>10</v>
      </c>
      <c r="R776" s="27" t="s">
        <v>49</v>
      </c>
      <c r="S776" s="27" t="s">
        <v>50</v>
      </c>
      <c r="T776" s="27" t="s">
        <v>50</v>
      </c>
      <c r="U776" s="27" t="s">
        <v>50</v>
      </c>
      <c r="V776" s="27" t="s">
        <v>50</v>
      </c>
      <c r="W776" s="27" t="s">
        <v>50</v>
      </c>
      <c r="X776" s="27" t="s">
        <v>50</v>
      </c>
    </row>
    <row r="777" spans="1:25" x14ac:dyDescent="0.25">
      <c r="A777" s="26">
        <v>43424</v>
      </c>
      <c r="B777" s="27" t="s">
        <v>70</v>
      </c>
      <c r="C777" s="27" t="s">
        <v>845</v>
      </c>
      <c r="D777" s="89">
        <v>38.234729999999999</v>
      </c>
      <c r="E777" s="89">
        <v>-121.68044</v>
      </c>
      <c r="F777" s="27" t="s">
        <v>6600</v>
      </c>
      <c r="G777" s="27" t="s">
        <v>90</v>
      </c>
      <c r="H777" s="27" t="s">
        <v>126</v>
      </c>
      <c r="I777" s="84">
        <v>0.38125000000000003</v>
      </c>
      <c r="J777" s="82">
        <v>131.75</v>
      </c>
      <c r="K777" s="82">
        <v>10.924999999999999</v>
      </c>
      <c r="L777" s="82">
        <v>4.1375000000000002</v>
      </c>
      <c r="M777" s="82" t="s">
        <v>5829</v>
      </c>
      <c r="N777" s="4">
        <v>14.15</v>
      </c>
      <c r="O777" s="27" t="s">
        <v>48</v>
      </c>
      <c r="P777" s="27">
        <v>4</v>
      </c>
      <c r="Q777" s="27">
        <v>10</v>
      </c>
      <c r="R777" s="27" t="s">
        <v>49</v>
      </c>
      <c r="S777" s="27" t="s">
        <v>50</v>
      </c>
      <c r="T777" s="27" t="s">
        <v>50</v>
      </c>
      <c r="U777" s="27" t="s">
        <v>50</v>
      </c>
      <c r="V777" s="27" t="s">
        <v>50</v>
      </c>
      <c r="W777" s="27" t="s">
        <v>50</v>
      </c>
      <c r="X777" s="27" t="s">
        <v>50</v>
      </c>
      <c r="Y777" s="35" t="s">
        <v>6601</v>
      </c>
    </row>
    <row r="778" spans="1:25" x14ac:dyDescent="0.25">
      <c r="A778" s="26">
        <v>43424</v>
      </c>
      <c r="B778" s="27" t="s">
        <v>70</v>
      </c>
      <c r="C778" s="27" t="s">
        <v>845</v>
      </c>
      <c r="D778" s="89">
        <v>38.321710000000003</v>
      </c>
      <c r="E778" s="89">
        <v>-121.69141</v>
      </c>
      <c r="F778" s="27" t="s">
        <v>6602</v>
      </c>
      <c r="G778" s="27" t="s">
        <v>90</v>
      </c>
      <c r="H778" s="27" t="s">
        <v>126</v>
      </c>
      <c r="I778" s="84">
        <v>0.44236111111111115</v>
      </c>
      <c r="J778" s="82">
        <v>209.5</v>
      </c>
      <c r="K778" s="82">
        <v>10.175000000000001</v>
      </c>
      <c r="L778" s="82">
        <v>5.9799999999999995</v>
      </c>
      <c r="M778" s="82">
        <v>1.5825</v>
      </c>
      <c r="N778" s="4">
        <v>4.5250000000000004</v>
      </c>
      <c r="O778" s="27" t="s">
        <v>48</v>
      </c>
      <c r="P778" s="27">
        <v>4</v>
      </c>
      <c r="Q778" s="27">
        <v>10</v>
      </c>
      <c r="R778" s="27" t="s">
        <v>64</v>
      </c>
      <c r="S778" s="27" t="s">
        <v>50</v>
      </c>
      <c r="T778" s="27" t="s">
        <v>50</v>
      </c>
      <c r="U778" s="27" t="s">
        <v>50</v>
      </c>
      <c r="V778" s="27" t="s">
        <v>50</v>
      </c>
      <c r="W778" s="27" t="s">
        <v>50</v>
      </c>
      <c r="X778" s="27" t="s">
        <v>50</v>
      </c>
    </row>
    <row r="779" spans="1:25" s="149" customFormat="1" x14ac:dyDescent="0.25">
      <c r="A779" s="178">
        <v>43424</v>
      </c>
      <c r="B779" s="149" t="s">
        <v>70</v>
      </c>
      <c r="C779" s="149" t="s">
        <v>845</v>
      </c>
      <c r="D779" s="150">
        <v>38.273710000000001</v>
      </c>
      <c r="E779" s="150">
        <v>-121.70725</v>
      </c>
      <c r="F779" s="149" t="s">
        <v>6603</v>
      </c>
      <c r="G779" s="149" t="s">
        <v>90</v>
      </c>
      <c r="H779" s="149" t="s">
        <v>126</v>
      </c>
      <c r="I779" s="151">
        <v>0.4368055555555555</v>
      </c>
      <c r="J779" s="197" t="s">
        <v>50</v>
      </c>
      <c r="K779" s="197" t="s">
        <v>50</v>
      </c>
      <c r="L779" s="197" t="s">
        <v>50</v>
      </c>
      <c r="M779" s="197" t="s">
        <v>50</v>
      </c>
      <c r="N779" s="197" t="s">
        <v>50</v>
      </c>
      <c r="O779" s="149" t="s">
        <v>48</v>
      </c>
      <c r="P779" s="149">
        <v>0</v>
      </c>
      <c r="Q779" s="149" t="s">
        <v>50</v>
      </c>
      <c r="R779" s="149" t="s">
        <v>50</v>
      </c>
      <c r="S779" s="149" t="s">
        <v>50</v>
      </c>
      <c r="T779" s="149" t="s">
        <v>50</v>
      </c>
      <c r="U779" s="149" t="s">
        <v>50</v>
      </c>
      <c r="V779" s="149" t="s">
        <v>50</v>
      </c>
      <c r="W779" s="149" t="s">
        <v>50</v>
      </c>
      <c r="X779" s="149" t="s">
        <v>50</v>
      </c>
      <c r="Y779" s="152" t="s">
        <v>4124</v>
      </c>
    </row>
    <row r="780" spans="1:25" s="149" customFormat="1" x14ac:dyDescent="0.25">
      <c r="A780" s="178">
        <v>43424</v>
      </c>
      <c r="B780" s="149" t="s">
        <v>70</v>
      </c>
      <c r="C780" s="149" t="s">
        <v>845</v>
      </c>
      <c r="D780" s="150">
        <v>38.298729999999999</v>
      </c>
      <c r="E780" s="150">
        <v>-121.72920000000001</v>
      </c>
      <c r="F780" s="149" t="s">
        <v>6604</v>
      </c>
      <c r="G780" s="149" t="s">
        <v>90</v>
      </c>
      <c r="H780" s="149" t="s">
        <v>126</v>
      </c>
      <c r="I780" s="151">
        <v>0.4375</v>
      </c>
      <c r="J780" s="197" t="s">
        <v>50</v>
      </c>
      <c r="K780" s="197" t="s">
        <v>50</v>
      </c>
      <c r="L780" s="197" t="s">
        <v>50</v>
      </c>
      <c r="M780" s="197" t="s">
        <v>50</v>
      </c>
      <c r="N780" s="197" t="s">
        <v>50</v>
      </c>
      <c r="O780" s="149" t="s">
        <v>48</v>
      </c>
      <c r="P780" s="149">
        <v>0</v>
      </c>
      <c r="Q780" s="149" t="s">
        <v>50</v>
      </c>
      <c r="R780" s="149" t="s">
        <v>50</v>
      </c>
      <c r="S780" s="149" t="s">
        <v>50</v>
      </c>
      <c r="T780" s="149" t="s">
        <v>50</v>
      </c>
      <c r="U780" s="149" t="s">
        <v>50</v>
      </c>
      <c r="V780" s="149" t="s">
        <v>50</v>
      </c>
      <c r="W780" s="149" t="s">
        <v>50</v>
      </c>
      <c r="X780" s="149" t="s">
        <v>50</v>
      </c>
      <c r="Y780" s="152" t="s">
        <v>4124</v>
      </c>
    </row>
    <row r="781" spans="1:25" x14ac:dyDescent="0.25">
      <c r="A781" s="26">
        <v>43425</v>
      </c>
      <c r="B781" s="631" t="s">
        <v>87</v>
      </c>
      <c r="C781" s="27" t="s">
        <v>95</v>
      </c>
      <c r="D781" s="89">
        <v>38.034210000000002</v>
      </c>
      <c r="E781" s="89">
        <v>-121.71629</v>
      </c>
      <c r="F781" s="27" t="s">
        <v>6605</v>
      </c>
      <c r="G781" s="27" t="s">
        <v>27</v>
      </c>
      <c r="H781" s="27" t="s">
        <v>863</v>
      </c>
      <c r="I781" s="84">
        <v>0.29444444444444445</v>
      </c>
      <c r="J781" s="82">
        <v>2707.25</v>
      </c>
      <c r="K781" s="82">
        <v>13.1</v>
      </c>
      <c r="L781" s="82">
        <v>4.76</v>
      </c>
      <c r="M781" s="82" t="s">
        <v>5829</v>
      </c>
      <c r="N781" s="4">
        <v>12.1</v>
      </c>
      <c r="O781" s="27" t="s">
        <v>48</v>
      </c>
      <c r="P781" s="27">
        <v>4</v>
      </c>
      <c r="Q781" s="27">
        <v>10</v>
      </c>
      <c r="R781" s="27" t="s">
        <v>49</v>
      </c>
      <c r="S781" s="27" t="s">
        <v>50</v>
      </c>
      <c r="T781" s="27" t="s">
        <v>50</v>
      </c>
      <c r="U781" s="27" t="s">
        <v>50</v>
      </c>
      <c r="V781" s="27" t="s">
        <v>50</v>
      </c>
      <c r="W781" s="27" t="s">
        <v>50</v>
      </c>
      <c r="X781" s="27" t="s">
        <v>50</v>
      </c>
    </row>
    <row r="782" spans="1:25" x14ac:dyDescent="0.25">
      <c r="A782" s="26">
        <v>43425</v>
      </c>
      <c r="B782" s="631" t="s">
        <v>87</v>
      </c>
      <c r="C782" s="27" t="s">
        <v>95</v>
      </c>
      <c r="D782" s="89">
        <v>38.045789999999997</v>
      </c>
      <c r="E782" s="89">
        <v>-121.69574</v>
      </c>
      <c r="F782" s="27" t="s">
        <v>6606</v>
      </c>
      <c r="G782" s="27" t="s">
        <v>27</v>
      </c>
      <c r="H782" s="27" t="s">
        <v>863</v>
      </c>
      <c r="I782" s="84">
        <v>0.33749999999999997</v>
      </c>
      <c r="J782" s="82">
        <v>1467.75</v>
      </c>
      <c r="K782" s="82">
        <v>12.9</v>
      </c>
      <c r="L782" s="82">
        <v>4.5525000000000002</v>
      </c>
      <c r="M782" s="82" t="s">
        <v>5829</v>
      </c>
      <c r="N782" s="4">
        <v>11.600000000000001</v>
      </c>
      <c r="O782" s="27" t="s">
        <v>48</v>
      </c>
      <c r="P782" s="27">
        <v>4</v>
      </c>
      <c r="Q782" s="27">
        <v>10</v>
      </c>
      <c r="R782" s="27" t="s">
        <v>49</v>
      </c>
      <c r="S782" s="27" t="s">
        <v>50</v>
      </c>
      <c r="T782" s="27" t="s">
        <v>50</v>
      </c>
      <c r="U782" s="27" t="s">
        <v>50</v>
      </c>
      <c r="V782" s="27" t="s">
        <v>50</v>
      </c>
      <c r="W782" s="27" t="s">
        <v>50</v>
      </c>
      <c r="X782" s="27" t="s">
        <v>50</v>
      </c>
    </row>
    <row r="783" spans="1:25" x14ac:dyDescent="0.25">
      <c r="A783" s="26">
        <v>43425</v>
      </c>
      <c r="B783" s="631" t="s">
        <v>87</v>
      </c>
      <c r="C783" s="27" t="s">
        <v>78</v>
      </c>
      <c r="D783" s="89">
        <v>38.062559999999998</v>
      </c>
      <c r="E783" s="89">
        <v>-121.85227</v>
      </c>
      <c r="F783" s="27" t="s">
        <v>6607</v>
      </c>
      <c r="G783" s="27" t="s">
        <v>27</v>
      </c>
      <c r="H783" s="27" t="s">
        <v>101</v>
      </c>
      <c r="I783" s="84">
        <v>0.36458333333333331</v>
      </c>
      <c r="J783" s="82">
        <v>8126.25</v>
      </c>
      <c r="K783" s="82">
        <v>13.2</v>
      </c>
      <c r="L783" s="82">
        <v>6.4899999999999993</v>
      </c>
      <c r="M783" s="82">
        <v>1.5674999999999999</v>
      </c>
      <c r="N783" s="4">
        <v>7.6749999999999998</v>
      </c>
      <c r="O783" s="27" t="s">
        <v>48</v>
      </c>
      <c r="P783" s="27">
        <v>4</v>
      </c>
      <c r="Q783" s="27">
        <v>10</v>
      </c>
      <c r="R783" s="27" t="s">
        <v>64</v>
      </c>
      <c r="S783" s="27" t="s">
        <v>50</v>
      </c>
      <c r="T783" s="27" t="s">
        <v>50</v>
      </c>
      <c r="U783" s="27" t="s">
        <v>50</v>
      </c>
      <c r="V783" s="27" t="s">
        <v>50</v>
      </c>
      <c r="W783" s="27" t="s">
        <v>50</v>
      </c>
      <c r="X783" s="27" t="s">
        <v>50</v>
      </c>
      <c r="Y783" s="35" t="s">
        <v>6188</v>
      </c>
    </row>
    <row r="784" spans="1:25" x14ac:dyDescent="0.25">
      <c r="A784" s="26">
        <v>43425</v>
      </c>
      <c r="B784" s="631" t="s">
        <v>87</v>
      </c>
      <c r="C784" s="27" t="s">
        <v>78</v>
      </c>
      <c r="D784" s="89">
        <v>38.051409999999997</v>
      </c>
      <c r="E784" s="89">
        <v>-121.9542</v>
      </c>
      <c r="F784" s="27" t="s">
        <v>6608</v>
      </c>
      <c r="G784" s="27" t="s">
        <v>27</v>
      </c>
      <c r="H784" s="27" t="s">
        <v>170</v>
      </c>
      <c r="I784" s="84">
        <v>0.43958333333333338</v>
      </c>
      <c r="J784" s="82">
        <v>12915.25</v>
      </c>
      <c r="K784" s="82">
        <v>13.224999999999998</v>
      </c>
      <c r="L784" s="82">
        <v>5.82</v>
      </c>
      <c r="M784" s="82">
        <v>1.73</v>
      </c>
      <c r="N784" s="4">
        <v>13.950000000000001</v>
      </c>
      <c r="O784" s="27" t="s">
        <v>48</v>
      </c>
      <c r="P784" s="27">
        <v>4</v>
      </c>
      <c r="Q784" s="27">
        <v>10</v>
      </c>
      <c r="R784" s="27" t="s">
        <v>64</v>
      </c>
      <c r="S784" s="27" t="s">
        <v>50</v>
      </c>
      <c r="T784" s="27" t="s">
        <v>50</v>
      </c>
      <c r="U784" s="27" t="s">
        <v>50</v>
      </c>
      <c r="V784" s="27" t="s">
        <v>50</v>
      </c>
      <c r="W784" s="27" t="s">
        <v>50</v>
      </c>
      <c r="X784" s="27" t="s">
        <v>50</v>
      </c>
      <c r="Y784" s="35" t="s">
        <v>6188</v>
      </c>
    </row>
    <row r="785" spans="1:25" x14ac:dyDescent="0.25">
      <c r="A785" s="26">
        <v>43425</v>
      </c>
      <c r="B785" s="631" t="s">
        <v>87</v>
      </c>
      <c r="C785" s="27" t="s">
        <v>78</v>
      </c>
      <c r="D785" s="89">
        <v>38.071309999999997</v>
      </c>
      <c r="E785" s="89">
        <v>-122.01143</v>
      </c>
      <c r="F785" s="27" t="s">
        <v>6609</v>
      </c>
      <c r="G785" s="27" t="s">
        <v>27</v>
      </c>
      <c r="H785" s="27" t="s">
        <v>86</v>
      </c>
      <c r="I785" s="84">
        <v>0.49722222222222223</v>
      </c>
      <c r="J785" s="82">
        <v>18505.5</v>
      </c>
      <c r="K785" s="82">
        <v>12.875</v>
      </c>
      <c r="L785" s="82">
        <v>8.692499999999999</v>
      </c>
      <c r="M785" s="82">
        <v>0.98</v>
      </c>
      <c r="N785" s="4">
        <v>7.4249999999999998</v>
      </c>
      <c r="O785" s="27" t="s">
        <v>48</v>
      </c>
      <c r="P785" s="27">
        <v>4</v>
      </c>
      <c r="Q785" s="27">
        <v>10</v>
      </c>
      <c r="R785" s="27" t="s">
        <v>64</v>
      </c>
      <c r="S785" s="27" t="s">
        <v>50</v>
      </c>
      <c r="T785" s="27" t="s">
        <v>50</v>
      </c>
      <c r="U785" s="27" t="s">
        <v>50</v>
      </c>
      <c r="V785" s="27" t="s">
        <v>50</v>
      </c>
      <c r="W785" s="27" t="s">
        <v>50</v>
      </c>
      <c r="X785" s="27" t="s">
        <v>50</v>
      </c>
      <c r="Y785" s="35" t="s">
        <v>6188</v>
      </c>
    </row>
    <row r="786" spans="1:25" x14ac:dyDescent="0.25">
      <c r="A786" s="26">
        <v>43425</v>
      </c>
      <c r="B786" s="631" t="s">
        <v>87</v>
      </c>
      <c r="C786" s="27" t="s">
        <v>106</v>
      </c>
      <c r="D786" s="89">
        <v>38.561199999999999</v>
      </c>
      <c r="E786" s="89">
        <v>-121.55516</v>
      </c>
      <c r="F786" s="27" t="s">
        <v>6610</v>
      </c>
      <c r="G786" s="27" t="s">
        <v>90</v>
      </c>
      <c r="H786" s="27" t="s">
        <v>1787</v>
      </c>
      <c r="I786" s="84">
        <v>0.34166666666666662</v>
      </c>
      <c r="J786" s="82">
        <v>597.25</v>
      </c>
      <c r="K786" s="82">
        <v>14.025</v>
      </c>
      <c r="L786" s="82">
        <v>4.3250000000000002</v>
      </c>
      <c r="M786" s="82" t="s">
        <v>5829</v>
      </c>
      <c r="N786" s="4">
        <v>10.15</v>
      </c>
      <c r="O786" s="27" t="s">
        <v>48</v>
      </c>
      <c r="P786" s="27">
        <v>4</v>
      </c>
      <c r="Q786" s="27">
        <v>10</v>
      </c>
      <c r="R786" s="27" t="s">
        <v>49</v>
      </c>
      <c r="S786" s="27" t="s">
        <v>50</v>
      </c>
      <c r="T786" s="27" t="s">
        <v>50</v>
      </c>
      <c r="U786" s="27" t="s">
        <v>50</v>
      </c>
      <c r="V786" s="27" t="s">
        <v>50</v>
      </c>
      <c r="W786" s="27" t="s">
        <v>50</v>
      </c>
      <c r="X786" s="27" t="s">
        <v>50</v>
      </c>
      <c r="Y786" s="35" t="s">
        <v>6188</v>
      </c>
    </row>
    <row r="787" spans="1:25" s="419" customFormat="1" x14ac:dyDescent="0.25">
      <c r="A787" s="495">
        <v>43425</v>
      </c>
      <c r="B787" s="421" t="s">
        <v>87</v>
      </c>
      <c r="C787" s="494" t="s">
        <v>106</v>
      </c>
      <c r="D787" s="496">
        <v>38.453090000000003</v>
      </c>
      <c r="E787" s="496">
        <v>-121.59313</v>
      </c>
      <c r="F787" s="494" t="s">
        <v>6611</v>
      </c>
      <c r="G787" s="494" t="s">
        <v>90</v>
      </c>
      <c r="H787" s="494" t="s">
        <v>362</v>
      </c>
      <c r="I787" s="497">
        <v>0.40347222222222223</v>
      </c>
      <c r="J787" s="498">
        <v>490</v>
      </c>
      <c r="K787" s="498">
        <v>12.6</v>
      </c>
      <c r="L787" s="498">
        <v>40.06666666666667</v>
      </c>
      <c r="M787" s="498">
        <v>0.32333333333333331</v>
      </c>
      <c r="N787" s="499">
        <v>10.433333333333334</v>
      </c>
      <c r="O787" s="494" t="s">
        <v>48</v>
      </c>
      <c r="P787" s="494">
        <v>3</v>
      </c>
      <c r="Q787" s="494">
        <v>10</v>
      </c>
      <c r="R787" s="494" t="s">
        <v>64</v>
      </c>
      <c r="S787" s="494" t="s">
        <v>323</v>
      </c>
      <c r="T787" s="494">
        <v>1</v>
      </c>
      <c r="U787" s="494">
        <v>55</v>
      </c>
      <c r="V787" s="494" t="s">
        <v>66</v>
      </c>
      <c r="W787" s="494" t="s">
        <v>50</v>
      </c>
      <c r="X787" s="494" t="s">
        <v>50</v>
      </c>
      <c r="Y787" s="397" t="s">
        <v>6612</v>
      </c>
    </row>
    <row r="788" spans="1:25" x14ac:dyDescent="0.25">
      <c r="A788" s="26">
        <v>43425</v>
      </c>
      <c r="B788" s="631" t="s">
        <v>87</v>
      </c>
      <c r="C788" s="27" t="s">
        <v>106</v>
      </c>
      <c r="D788" s="89">
        <v>38.238639999999997</v>
      </c>
      <c r="E788" s="89">
        <v>-121.67233</v>
      </c>
      <c r="F788" s="27" t="s">
        <v>6613</v>
      </c>
      <c r="G788" s="27" t="s">
        <v>90</v>
      </c>
      <c r="H788" s="27" t="s">
        <v>362</v>
      </c>
      <c r="I788" s="84">
        <v>0.48194444444444445</v>
      </c>
      <c r="J788" s="82">
        <v>126.95</v>
      </c>
      <c r="K788" s="82">
        <v>10.9</v>
      </c>
      <c r="L788" s="82">
        <v>5.4824999999999999</v>
      </c>
      <c r="M788" s="82" t="s">
        <v>5829</v>
      </c>
      <c r="N788" s="4">
        <v>11.15</v>
      </c>
      <c r="O788" s="27" t="s">
        <v>48</v>
      </c>
      <c r="P788" s="27">
        <v>4</v>
      </c>
      <c r="Q788" s="27">
        <v>10</v>
      </c>
      <c r="R788" s="27" t="s">
        <v>64</v>
      </c>
      <c r="S788" s="27" t="s">
        <v>50</v>
      </c>
      <c r="T788" s="27" t="s">
        <v>50</v>
      </c>
      <c r="U788" s="27" t="s">
        <v>50</v>
      </c>
      <c r="V788" s="27" t="s">
        <v>50</v>
      </c>
      <c r="W788" s="27" t="s">
        <v>50</v>
      </c>
      <c r="X788" s="27" t="s">
        <v>50</v>
      </c>
      <c r="Y788" s="35" t="s">
        <v>6188</v>
      </c>
    </row>
    <row r="789" spans="1:25" x14ac:dyDescent="0.25">
      <c r="A789" s="26">
        <v>43426</v>
      </c>
      <c r="B789" s="27" t="s">
        <v>125</v>
      </c>
      <c r="C789" s="27" t="s">
        <v>95</v>
      </c>
      <c r="D789" s="89">
        <v>38.040109999999999</v>
      </c>
      <c r="E789" s="89">
        <v>-121.50443</v>
      </c>
      <c r="F789" s="27" t="s">
        <v>6614</v>
      </c>
      <c r="G789" s="27" t="s">
        <v>27</v>
      </c>
      <c r="H789" s="27" t="s">
        <v>115</v>
      </c>
      <c r="I789" s="84">
        <v>0.33888888888888885</v>
      </c>
      <c r="J789" s="82">
        <v>249.77500000000001</v>
      </c>
      <c r="K789" s="82">
        <v>12.5</v>
      </c>
      <c r="L789" s="82">
        <v>3.085</v>
      </c>
      <c r="M789" s="82" t="s">
        <v>5829</v>
      </c>
      <c r="N789" s="4">
        <v>9.2750000000000004</v>
      </c>
      <c r="O789" s="27" t="s">
        <v>48</v>
      </c>
      <c r="P789" s="27">
        <v>4</v>
      </c>
      <c r="Q789" s="27">
        <v>10</v>
      </c>
      <c r="R789" s="27" t="s">
        <v>49</v>
      </c>
      <c r="S789" s="27" t="s">
        <v>50</v>
      </c>
      <c r="T789" s="27" t="s">
        <v>50</v>
      </c>
      <c r="U789" s="27" t="s">
        <v>50</v>
      </c>
      <c r="V789" s="27" t="s">
        <v>50</v>
      </c>
      <c r="W789" s="27" t="s">
        <v>50</v>
      </c>
      <c r="X789" s="27" t="s">
        <v>50</v>
      </c>
    </row>
    <row r="790" spans="1:25" x14ac:dyDescent="0.25">
      <c r="A790" s="26">
        <v>43426</v>
      </c>
      <c r="B790" s="27" t="s">
        <v>125</v>
      </c>
      <c r="C790" s="27" t="s">
        <v>95</v>
      </c>
      <c r="D790" s="89">
        <v>38.091099999999997</v>
      </c>
      <c r="E790" s="89">
        <v>-121.63418</v>
      </c>
      <c r="F790" s="27" t="s">
        <v>6615</v>
      </c>
      <c r="G790" s="27" t="s">
        <v>27</v>
      </c>
      <c r="H790" s="27" t="s">
        <v>908</v>
      </c>
      <c r="I790" s="84">
        <v>0.41111111111111115</v>
      </c>
      <c r="J790" s="82">
        <v>377.47499999999997</v>
      </c>
      <c r="K790" s="82">
        <v>12.424999999999999</v>
      </c>
      <c r="L790" s="82">
        <v>5.5374999999999996</v>
      </c>
      <c r="M790" s="82" t="s">
        <v>5829</v>
      </c>
      <c r="N790" s="4">
        <v>14.875</v>
      </c>
      <c r="O790" s="27" t="s">
        <v>48</v>
      </c>
      <c r="P790" s="27">
        <v>4</v>
      </c>
      <c r="Q790" s="27">
        <v>10</v>
      </c>
      <c r="R790" s="27" t="s">
        <v>49</v>
      </c>
      <c r="S790" s="27" t="s">
        <v>50</v>
      </c>
      <c r="T790" s="27" t="s">
        <v>50</v>
      </c>
      <c r="U790" s="27" t="s">
        <v>50</v>
      </c>
      <c r="V790" s="27" t="s">
        <v>50</v>
      </c>
      <c r="W790" s="27" t="s">
        <v>50</v>
      </c>
      <c r="X790" s="27" t="s">
        <v>50</v>
      </c>
    </row>
    <row r="791" spans="1:25" x14ac:dyDescent="0.25">
      <c r="A791" s="26">
        <v>43426</v>
      </c>
      <c r="B791" s="27" t="s">
        <v>125</v>
      </c>
      <c r="C791" s="27" t="s">
        <v>95</v>
      </c>
      <c r="D791" s="89">
        <v>38.089750000000002</v>
      </c>
      <c r="E791" s="89">
        <v>-121.64978000000001</v>
      </c>
      <c r="F791" s="27" t="s">
        <v>6616</v>
      </c>
      <c r="G791" s="27" t="s">
        <v>27</v>
      </c>
      <c r="H791" s="27" t="s">
        <v>908</v>
      </c>
      <c r="I791" s="84">
        <v>0.45763888888888887</v>
      </c>
      <c r="J791" s="82">
        <v>444.05</v>
      </c>
      <c r="K791" s="82">
        <v>12.600000000000001</v>
      </c>
      <c r="L791" s="82">
        <v>4.6775000000000002</v>
      </c>
      <c r="M791" s="82" t="s">
        <v>5829</v>
      </c>
      <c r="N791" s="4">
        <v>6.875</v>
      </c>
      <c r="O791" s="27" t="s">
        <v>48</v>
      </c>
      <c r="P791" s="27">
        <v>4</v>
      </c>
      <c r="Q791" s="27">
        <v>10</v>
      </c>
      <c r="R791" s="27" t="s">
        <v>64</v>
      </c>
      <c r="S791" s="27" t="s">
        <v>50</v>
      </c>
      <c r="T791" s="27" t="s">
        <v>50</v>
      </c>
      <c r="U791" s="27" t="s">
        <v>50</v>
      </c>
      <c r="V791" s="27" t="s">
        <v>50</v>
      </c>
      <c r="W791" s="27" t="s">
        <v>50</v>
      </c>
      <c r="X791" s="27" t="s">
        <v>50</v>
      </c>
      <c r="Y791" s="35" t="s">
        <v>6580</v>
      </c>
    </row>
    <row r="792" spans="1:25" x14ac:dyDescent="0.25">
      <c r="A792" s="26">
        <v>43426</v>
      </c>
      <c r="B792" s="27" t="s">
        <v>125</v>
      </c>
      <c r="C792" s="27" t="s">
        <v>95</v>
      </c>
      <c r="D792" s="89">
        <v>38.021369999999997</v>
      </c>
      <c r="E792" s="89">
        <v>-121.81439</v>
      </c>
      <c r="F792" s="27" t="s">
        <v>6617</v>
      </c>
      <c r="G792" s="27" t="s">
        <v>27</v>
      </c>
      <c r="H792" s="27" t="s">
        <v>863</v>
      </c>
      <c r="I792" s="84">
        <v>0.52569444444444446</v>
      </c>
      <c r="J792" s="82">
        <v>7295.25</v>
      </c>
      <c r="K792" s="82">
        <v>13.3</v>
      </c>
      <c r="L792" s="82">
        <v>7.77</v>
      </c>
      <c r="M792" s="82">
        <v>1.71</v>
      </c>
      <c r="N792" s="4">
        <v>12.125</v>
      </c>
      <c r="O792" s="27" t="s">
        <v>48</v>
      </c>
      <c r="P792" s="27">
        <v>4</v>
      </c>
      <c r="Q792" s="27">
        <v>10</v>
      </c>
      <c r="R792" s="27" t="s">
        <v>64</v>
      </c>
      <c r="S792" s="27" t="s">
        <v>50</v>
      </c>
      <c r="T792" s="27" t="s">
        <v>50</v>
      </c>
      <c r="U792" s="27" t="s">
        <v>50</v>
      </c>
      <c r="V792" s="27" t="s">
        <v>50</v>
      </c>
      <c r="W792" s="27" t="s">
        <v>50</v>
      </c>
      <c r="X792" s="27" t="s">
        <v>50</v>
      </c>
    </row>
    <row r="793" spans="1:25" x14ac:dyDescent="0.25">
      <c r="A793" s="26">
        <v>43426</v>
      </c>
      <c r="B793" s="27" t="s">
        <v>125</v>
      </c>
      <c r="C793" s="27" t="s">
        <v>106</v>
      </c>
      <c r="D793" s="89">
        <v>38.558390000000003</v>
      </c>
      <c r="E793" s="89">
        <v>-121.571</v>
      </c>
      <c r="F793" s="27" t="s">
        <v>6618</v>
      </c>
      <c r="G793" s="27" t="s">
        <v>90</v>
      </c>
      <c r="H793" s="27" t="s">
        <v>1787</v>
      </c>
      <c r="I793" s="84">
        <v>0.35416666666666669</v>
      </c>
      <c r="J793" s="82">
        <v>773.75</v>
      </c>
      <c r="K793" s="82">
        <v>13.75</v>
      </c>
      <c r="L793" s="82">
        <v>4.1749999999999998</v>
      </c>
      <c r="M793" s="82" t="s">
        <v>5829</v>
      </c>
      <c r="N793" s="4">
        <v>11.525000000000002</v>
      </c>
      <c r="O793" s="27" t="s">
        <v>48</v>
      </c>
      <c r="P793" s="27">
        <v>4</v>
      </c>
      <c r="Q793" s="27">
        <v>10</v>
      </c>
      <c r="R793" s="27" t="s">
        <v>64</v>
      </c>
      <c r="S793" s="27" t="s">
        <v>50</v>
      </c>
      <c r="T793" s="27" t="s">
        <v>50</v>
      </c>
      <c r="U793" s="27" t="s">
        <v>50</v>
      </c>
      <c r="V793" s="27" t="s">
        <v>50</v>
      </c>
      <c r="W793" s="27" t="s">
        <v>50</v>
      </c>
      <c r="X793" s="27" t="s">
        <v>50</v>
      </c>
      <c r="Y793" s="35" t="s">
        <v>124</v>
      </c>
    </row>
    <row r="794" spans="1:25" x14ac:dyDescent="0.25">
      <c r="A794" s="26">
        <v>43426</v>
      </c>
      <c r="B794" s="27" t="s">
        <v>125</v>
      </c>
      <c r="C794" s="27" t="s">
        <v>106</v>
      </c>
      <c r="D794" s="89">
        <v>38.401290000000003</v>
      </c>
      <c r="E794" s="89">
        <v>-121.61753</v>
      </c>
      <c r="F794" s="27" t="s">
        <v>6619</v>
      </c>
      <c r="G794" s="27" t="s">
        <v>90</v>
      </c>
      <c r="H794" s="27" t="s">
        <v>362</v>
      </c>
      <c r="I794" s="84">
        <v>0.42777777777777781</v>
      </c>
      <c r="J794" s="82">
        <v>367.625</v>
      </c>
      <c r="K794" s="82">
        <v>12.575000000000001</v>
      </c>
      <c r="L794" s="82">
        <v>52.9</v>
      </c>
      <c r="M794" s="82">
        <v>0.27</v>
      </c>
      <c r="N794" s="4">
        <v>6.85</v>
      </c>
      <c r="O794" s="27" t="s">
        <v>48</v>
      </c>
      <c r="P794" s="27">
        <v>4</v>
      </c>
      <c r="Q794" s="27">
        <v>10</v>
      </c>
      <c r="R794" s="27" t="s">
        <v>64</v>
      </c>
      <c r="S794" s="27" t="s">
        <v>50</v>
      </c>
      <c r="T794" s="27" t="s">
        <v>50</v>
      </c>
      <c r="U794" s="27" t="s">
        <v>50</v>
      </c>
      <c r="V794" s="27" t="s">
        <v>50</v>
      </c>
      <c r="W794" s="27" t="s">
        <v>50</v>
      </c>
      <c r="X794" s="27" t="s">
        <v>50</v>
      </c>
      <c r="Y794" s="35" t="s">
        <v>6620</v>
      </c>
    </row>
    <row r="795" spans="1:25" x14ac:dyDescent="0.25">
      <c r="A795" s="26">
        <v>43426</v>
      </c>
      <c r="B795" s="27" t="s">
        <v>125</v>
      </c>
      <c r="C795" s="27" t="s">
        <v>106</v>
      </c>
      <c r="D795" s="89">
        <v>38.200360000000003</v>
      </c>
      <c r="E795" s="89">
        <v>-121.65779999999999</v>
      </c>
      <c r="F795" s="27" t="s">
        <v>6621</v>
      </c>
      <c r="G795" s="27" t="s">
        <v>90</v>
      </c>
      <c r="H795" s="27" t="s">
        <v>362</v>
      </c>
      <c r="I795" s="84">
        <v>0.52986111111111112</v>
      </c>
      <c r="J795" s="82">
        <v>129.375</v>
      </c>
      <c r="K795" s="82">
        <v>11.225000000000001</v>
      </c>
      <c r="L795" s="82">
        <v>8.3825000000000003</v>
      </c>
      <c r="M795" s="82" t="s">
        <v>5829</v>
      </c>
      <c r="N795" s="4">
        <v>10.125</v>
      </c>
      <c r="O795" s="27" t="s">
        <v>48</v>
      </c>
      <c r="P795" s="27">
        <v>4</v>
      </c>
      <c r="Q795" s="27">
        <v>10</v>
      </c>
      <c r="R795" s="27" t="s">
        <v>64</v>
      </c>
      <c r="S795" s="27" t="s">
        <v>50</v>
      </c>
      <c r="T795" s="27" t="s">
        <v>50</v>
      </c>
      <c r="U795" s="27" t="s">
        <v>50</v>
      </c>
      <c r="V795" s="27" t="s">
        <v>50</v>
      </c>
      <c r="W795" s="27" t="s">
        <v>50</v>
      </c>
      <c r="X795" s="27" t="s">
        <v>50</v>
      </c>
      <c r="Y795" s="35" t="s">
        <v>124</v>
      </c>
    </row>
    <row r="796" spans="1:25" x14ac:dyDescent="0.25">
      <c r="A796" s="26">
        <v>43426</v>
      </c>
      <c r="B796" s="27" t="s">
        <v>125</v>
      </c>
      <c r="C796" s="27" t="s">
        <v>62</v>
      </c>
      <c r="D796" s="89">
        <v>38.141010000000001</v>
      </c>
      <c r="E796" s="89">
        <v>-122.06146</v>
      </c>
      <c r="F796" s="27" t="s">
        <v>6622</v>
      </c>
      <c r="G796" s="27" t="s">
        <v>27</v>
      </c>
      <c r="H796" s="27" t="s">
        <v>62</v>
      </c>
      <c r="I796" s="84">
        <v>0.3520833333333333</v>
      </c>
      <c r="J796" s="82">
        <v>10448.5</v>
      </c>
      <c r="K796" s="82">
        <v>12.649999999999999</v>
      </c>
      <c r="L796" s="82">
        <v>24.15</v>
      </c>
      <c r="M796" s="82">
        <v>0.52500000000000002</v>
      </c>
      <c r="N796" s="4">
        <v>12.675000000000001</v>
      </c>
      <c r="O796" s="27" t="s">
        <v>48</v>
      </c>
      <c r="P796" s="27">
        <v>4</v>
      </c>
      <c r="Q796" s="27">
        <v>10</v>
      </c>
      <c r="R796" s="27" t="s">
        <v>64</v>
      </c>
      <c r="S796" s="27" t="s">
        <v>50</v>
      </c>
      <c r="T796" s="27" t="s">
        <v>50</v>
      </c>
      <c r="U796" s="27" t="s">
        <v>50</v>
      </c>
      <c r="V796" s="27" t="s">
        <v>50</v>
      </c>
      <c r="W796" s="27" t="s">
        <v>50</v>
      </c>
      <c r="X796" s="27" t="s">
        <v>50</v>
      </c>
    </row>
    <row r="797" spans="1:25" x14ac:dyDescent="0.25">
      <c r="A797" s="26">
        <v>43426</v>
      </c>
      <c r="B797" s="27" t="s">
        <v>125</v>
      </c>
      <c r="C797" s="27" t="s">
        <v>78</v>
      </c>
      <c r="D797" s="89">
        <v>38.050280000000001</v>
      </c>
      <c r="E797" s="89">
        <v>-121.93707999999999</v>
      </c>
      <c r="F797" s="27" t="s">
        <v>6623</v>
      </c>
      <c r="G797" s="27" t="s">
        <v>27</v>
      </c>
      <c r="H797" s="27" t="s">
        <v>170</v>
      </c>
      <c r="I797" s="84">
        <v>0.42083333333333334</v>
      </c>
      <c r="J797" s="82">
        <v>10702</v>
      </c>
      <c r="K797" s="82">
        <v>13.325000000000001</v>
      </c>
      <c r="L797" s="82">
        <v>5.4625000000000004</v>
      </c>
      <c r="M797" s="82">
        <v>1.3375000000000001</v>
      </c>
      <c r="N797" s="4">
        <v>16.524999999999999</v>
      </c>
      <c r="O797" s="27" t="s">
        <v>48</v>
      </c>
      <c r="P797" s="27">
        <v>4</v>
      </c>
      <c r="Q797" s="27">
        <v>10</v>
      </c>
      <c r="R797" s="27" t="s">
        <v>64</v>
      </c>
      <c r="S797" s="27" t="s">
        <v>50</v>
      </c>
      <c r="T797" s="27" t="s">
        <v>50</v>
      </c>
      <c r="U797" s="27" t="s">
        <v>50</v>
      </c>
      <c r="V797" s="27" t="s">
        <v>50</v>
      </c>
      <c r="W797" s="27" t="s">
        <v>50</v>
      </c>
      <c r="X797" s="27" t="s">
        <v>50</v>
      </c>
      <c r="Y797" s="35" t="s">
        <v>6624</v>
      </c>
    </row>
    <row r="798" spans="1:25" x14ac:dyDescent="0.25">
      <c r="A798" s="26">
        <v>43426</v>
      </c>
      <c r="B798" s="27" t="s">
        <v>125</v>
      </c>
      <c r="C798" s="27" t="s">
        <v>78</v>
      </c>
      <c r="D798" s="89">
        <v>38.051929999999999</v>
      </c>
      <c r="E798" s="89">
        <v>-121.84681</v>
      </c>
      <c r="F798" s="27" t="s">
        <v>6625</v>
      </c>
      <c r="G798" s="27" t="s">
        <v>27</v>
      </c>
      <c r="H798" s="27" t="s">
        <v>101</v>
      </c>
      <c r="I798" s="84">
        <v>0.4770833333333333</v>
      </c>
      <c r="J798" s="82">
        <v>8465.75</v>
      </c>
      <c r="K798" s="82">
        <v>13.325000000000001</v>
      </c>
      <c r="L798" s="82">
        <v>6.04</v>
      </c>
      <c r="M798" s="82">
        <v>1.4500000000000002</v>
      </c>
      <c r="N798" s="4">
        <v>7.5250000000000004</v>
      </c>
      <c r="O798" s="27" t="s">
        <v>48</v>
      </c>
      <c r="P798" s="27">
        <v>4</v>
      </c>
      <c r="Q798" s="27">
        <v>10</v>
      </c>
      <c r="R798" s="27" t="s">
        <v>64</v>
      </c>
      <c r="S798" s="27" t="s">
        <v>50</v>
      </c>
      <c r="T798" s="27" t="s">
        <v>50</v>
      </c>
      <c r="U798" s="27" t="s">
        <v>50</v>
      </c>
      <c r="V798" s="27" t="s">
        <v>50</v>
      </c>
      <c r="W798" s="27" t="s">
        <v>50</v>
      </c>
      <c r="X798" s="27" t="s">
        <v>50</v>
      </c>
    </row>
    <row r="799" spans="1:25" s="283" customFormat="1" x14ac:dyDescent="0.25">
      <c r="A799" s="350">
        <v>43426</v>
      </c>
      <c r="B799" s="283" t="s">
        <v>125</v>
      </c>
      <c r="C799" s="283" t="s">
        <v>78</v>
      </c>
      <c r="D799" s="351">
        <v>38.083480000000002</v>
      </c>
      <c r="E799" s="351">
        <v>-122.09265000000001</v>
      </c>
      <c r="F799" s="283" t="s">
        <v>6626</v>
      </c>
      <c r="G799" s="283" t="s">
        <v>80</v>
      </c>
      <c r="H799" s="283" t="s">
        <v>81</v>
      </c>
      <c r="I799" s="352">
        <v>0.40625</v>
      </c>
      <c r="J799" s="368" t="s">
        <v>50</v>
      </c>
      <c r="K799" s="368" t="s">
        <v>50</v>
      </c>
      <c r="L799" s="368" t="s">
        <v>50</v>
      </c>
      <c r="M799" s="368" t="s">
        <v>50</v>
      </c>
      <c r="N799" s="368" t="s">
        <v>50</v>
      </c>
      <c r="O799" s="283" t="s">
        <v>48</v>
      </c>
      <c r="P799" s="283">
        <v>0</v>
      </c>
      <c r="Q799" s="283" t="s">
        <v>50</v>
      </c>
      <c r="R799" s="283" t="s">
        <v>50</v>
      </c>
      <c r="S799" s="283" t="s">
        <v>50</v>
      </c>
      <c r="T799" s="283" t="s">
        <v>50</v>
      </c>
      <c r="U799" s="283" t="s">
        <v>50</v>
      </c>
      <c r="V799" s="283" t="s">
        <v>50</v>
      </c>
      <c r="W799" s="283" t="s">
        <v>50</v>
      </c>
      <c r="X799" s="283" t="s">
        <v>50</v>
      </c>
      <c r="Y799" s="290" t="s">
        <v>3595</v>
      </c>
    </row>
    <row r="800" spans="1:25" x14ac:dyDescent="0.25">
      <c r="A800" s="26">
        <v>43430</v>
      </c>
      <c r="B800" s="27" t="s">
        <v>43</v>
      </c>
      <c r="C800" s="27" t="s">
        <v>95</v>
      </c>
      <c r="D800" s="89">
        <v>38.085749999999997</v>
      </c>
      <c r="E800" s="89">
        <v>-121.56507999999999</v>
      </c>
      <c r="F800" s="27" t="s">
        <v>6627</v>
      </c>
      <c r="G800" s="27" t="s">
        <v>27</v>
      </c>
      <c r="H800" s="27" t="s">
        <v>115</v>
      </c>
      <c r="I800" s="84">
        <v>0.33819444444444446</v>
      </c>
      <c r="J800" s="82">
        <v>246.92500000000001</v>
      </c>
      <c r="K800" s="82">
        <v>12.225000000000001</v>
      </c>
      <c r="L800" s="82">
        <v>10.115</v>
      </c>
      <c r="M800" s="82" t="s">
        <v>5829</v>
      </c>
      <c r="N800" s="4">
        <v>8.25</v>
      </c>
      <c r="O800" s="27" t="s">
        <v>48</v>
      </c>
      <c r="P800" s="27">
        <v>4</v>
      </c>
      <c r="Q800" s="27">
        <v>10</v>
      </c>
      <c r="R800" s="27" t="s">
        <v>64</v>
      </c>
      <c r="S800" s="27" t="s">
        <v>50</v>
      </c>
      <c r="T800" s="27" t="s">
        <v>50</v>
      </c>
      <c r="U800" s="27" t="s">
        <v>50</v>
      </c>
      <c r="V800" s="27" t="s">
        <v>50</v>
      </c>
      <c r="W800" s="27" t="s">
        <v>50</v>
      </c>
      <c r="X800" s="27" t="s">
        <v>50</v>
      </c>
      <c r="Y800" s="35" t="s">
        <v>4899</v>
      </c>
    </row>
    <row r="801" spans="1:25" x14ac:dyDescent="0.25">
      <c r="A801" s="26">
        <v>43430</v>
      </c>
      <c r="B801" s="27" t="s">
        <v>43</v>
      </c>
      <c r="C801" s="27" t="s">
        <v>95</v>
      </c>
      <c r="D801" s="89">
        <v>38.086129999999997</v>
      </c>
      <c r="E801" s="89">
        <v>-121.57465999999999</v>
      </c>
      <c r="F801" s="27" t="s">
        <v>6628</v>
      </c>
      <c r="G801" s="27" t="s">
        <v>27</v>
      </c>
      <c r="H801" s="27" t="s">
        <v>115</v>
      </c>
      <c r="I801" s="84">
        <v>0.39861111111111108</v>
      </c>
      <c r="J801" s="82">
        <v>275.05</v>
      </c>
      <c r="K801" s="82">
        <v>12.3</v>
      </c>
      <c r="L801" s="82">
        <v>4.2225000000000001</v>
      </c>
      <c r="M801" s="82" t="s">
        <v>5829</v>
      </c>
      <c r="N801" s="4">
        <v>11.899999999999999</v>
      </c>
      <c r="O801" s="27" t="s">
        <v>48</v>
      </c>
      <c r="P801" s="27">
        <v>4</v>
      </c>
      <c r="Q801" s="27">
        <v>10</v>
      </c>
      <c r="R801" s="27" t="s">
        <v>49</v>
      </c>
      <c r="S801" s="27" t="s">
        <v>50</v>
      </c>
      <c r="T801" s="27" t="s">
        <v>50</v>
      </c>
      <c r="U801" s="27" t="s">
        <v>50</v>
      </c>
      <c r="V801" s="27" t="s">
        <v>50</v>
      </c>
      <c r="W801" s="27" t="s">
        <v>50</v>
      </c>
      <c r="X801" s="27" t="s">
        <v>50</v>
      </c>
    </row>
    <row r="802" spans="1:25" x14ac:dyDescent="0.25">
      <c r="A802" s="26">
        <v>43430</v>
      </c>
      <c r="B802" s="27" t="s">
        <v>43</v>
      </c>
      <c r="C802" s="27" t="s">
        <v>95</v>
      </c>
      <c r="D802" s="89">
        <v>38.101979999999998</v>
      </c>
      <c r="E802" s="89">
        <v>-121.60745</v>
      </c>
      <c r="F802" s="27" t="s">
        <v>6629</v>
      </c>
      <c r="G802" s="27" t="s">
        <v>27</v>
      </c>
      <c r="H802" s="27" t="s">
        <v>908</v>
      </c>
      <c r="I802" s="84">
        <v>0.46458333333333335</v>
      </c>
      <c r="J802" s="82">
        <v>318.375</v>
      </c>
      <c r="K802" s="82">
        <v>12.425000000000001</v>
      </c>
      <c r="L802" s="82">
        <v>4.29</v>
      </c>
      <c r="M802" s="82" t="s">
        <v>5829</v>
      </c>
      <c r="N802" s="4">
        <v>11.35</v>
      </c>
      <c r="O802" s="27" t="s">
        <v>48</v>
      </c>
      <c r="P802" s="27">
        <v>4</v>
      </c>
      <c r="Q802" s="27">
        <v>10</v>
      </c>
      <c r="R802" s="27" t="s">
        <v>49</v>
      </c>
      <c r="S802" s="27" t="s">
        <v>50</v>
      </c>
      <c r="T802" s="27" t="s">
        <v>50</v>
      </c>
      <c r="U802" s="27" t="s">
        <v>50</v>
      </c>
      <c r="V802" s="27" t="s">
        <v>50</v>
      </c>
      <c r="W802" s="27" t="s">
        <v>50</v>
      </c>
      <c r="X802" s="27" t="s">
        <v>50</v>
      </c>
      <c r="Y802" s="35" t="s">
        <v>6630</v>
      </c>
    </row>
    <row r="803" spans="1:25" s="149" customFormat="1" x14ac:dyDescent="0.25">
      <c r="A803" s="178">
        <v>43430</v>
      </c>
      <c r="B803" s="149" t="s">
        <v>43</v>
      </c>
      <c r="C803" s="149" t="s">
        <v>95</v>
      </c>
      <c r="D803" s="150">
        <v>38.091470000000001</v>
      </c>
      <c r="E803" s="150">
        <v>-121.62376999999999</v>
      </c>
      <c r="F803" s="149" t="s">
        <v>6631</v>
      </c>
      <c r="G803" s="149" t="s">
        <v>27</v>
      </c>
      <c r="H803" s="149" t="s">
        <v>908</v>
      </c>
      <c r="I803" s="151">
        <v>0.51527777777777783</v>
      </c>
      <c r="J803" s="197">
        <v>355.1</v>
      </c>
      <c r="K803" s="197">
        <v>12.55</v>
      </c>
      <c r="L803" s="197">
        <v>9.8949999999999996</v>
      </c>
      <c r="M803" s="197" t="s">
        <v>5829</v>
      </c>
      <c r="N803" s="197">
        <v>8.5</v>
      </c>
      <c r="O803" s="149" t="s">
        <v>48</v>
      </c>
      <c r="P803" s="149">
        <v>2</v>
      </c>
      <c r="Q803" s="149">
        <v>10</v>
      </c>
      <c r="R803" s="149" t="s">
        <v>49</v>
      </c>
      <c r="S803" s="149" t="s">
        <v>50</v>
      </c>
      <c r="T803" s="149" t="s">
        <v>50</v>
      </c>
      <c r="U803" s="149" t="s">
        <v>50</v>
      </c>
      <c r="V803" s="149" t="s">
        <v>50</v>
      </c>
      <c r="W803" s="149" t="s">
        <v>50</v>
      </c>
      <c r="X803" s="149" t="s">
        <v>50</v>
      </c>
      <c r="Y803" s="152" t="s">
        <v>6632</v>
      </c>
    </row>
    <row r="804" spans="1:25" x14ac:dyDescent="0.25">
      <c r="A804" s="26">
        <v>43430</v>
      </c>
      <c r="B804" s="27" t="s">
        <v>43</v>
      </c>
      <c r="C804" s="27" t="s">
        <v>62</v>
      </c>
      <c r="D804" s="89">
        <v>38.118229999999997</v>
      </c>
      <c r="E804" s="89">
        <v>-122.06231</v>
      </c>
      <c r="F804" s="27" t="s">
        <v>6633</v>
      </c>
      <c r="G804" s="27" t="s">
        <v>27</v>
      </c>
      <c r="H804" s="27" t="s">
        <v>62</v>
      </c>
      <c r="I804" s="84">
        <v>0.36874999999999997</v>
      </c>
      <c r="J804" s="82">
        <v>18354.75</v>
      </c>
      <c r="K804" s="82">
        <v>13.2</v>
      </c>
      <c r="L804" s="82">
        <v>36.700000000000003</v>
      </c>
      <c r="M804" s="82">
        <v>0.41249999999999998</v>
      </c>
      <c r="N804" s="4">
        <v>4.2</v>
      </c>
      <c r="O804" s="27" t="s">
        <v>48</v>
      </c>
      <c r="P804" s="27">
        <v>4</v>
      </c>
      <c r="Q804" s="27">
        <v>10</v>
      </c>
      <c r="R804" s="27" t="s">
        <v>49</v>
      </c>
      <c r="S804" s="27" t="s">
        <v>50</v>
      </c>
      <c r="T804" s="27" t="s">
        <v>50</v>
      </c>
      <c r="U804" s="27" t="s">
        <v>50</v>
      </c>
      <c r="V804" s="27" t="s">
        <v>50</v>
      </c>
      <c r="W804" s="27" t="s">
        <v>50</v>
      </c>
      <c r="X804" s="27" t="s">
        <v>50</v>
      </c>
      <c r="Y804" s="35" t="s">
        <v>6188</v>
      </c>
    </row>
    <row r="805" spans="1:25" s="420" customFormat="1" x14ac:dyDescent="0.25">
      <c r="A805" s="495">
        <v>43430</v>
      </c>
      <c r="B805" s="494" t="s">
        <v>43</v>
      </c>
      <c r="C805" s="494" t="s">
        <v>62</v>
      </c>
      <c r="D805" s="496">
        <v>38.208660000000002</v>
      </c>
      <c r="E805" s="496">
        <v>-122.03382000000001</v>
      </c>
      <c r="F805" s="494" t="s">
        <v>6634</v>
      </c>
      <c r="G805" s="494" t="s">
        <v>27</v>
      </c>
      <c r="H805" s="494" t="s">
        <v>62</v>
      </c>
      <c r="I805" s="497">
        <v>0.43402777777777773</v>
      </c>
      <c r="J805" s="498">
        <v>10139.333333333334</v>
      </c>
      <c r="K805" s="498">
        <v>12.5</v>
      </c>
      <c r="L805" s="498">
        <v>49.79999999999999</v>
      </c>
      <c r="M805" s="498">
        <v>0.28333333333333333</v>
      </c>
      <c r="N805" s="499">
        <v>5.2333333333333334</v>
      </c>
      <c r="O805" s="494" t="s">
        <v>48</v>
      </c>
      <c r="P805" s="494">
        <v>3</v>
      </c>
      <c r="Q805" s="494">
        <v>10</v>
      </c>
      <c r="R805" s="494" t="s">
        <v>49</v>
      </c>
      <c r="S805" s="494" t="s">
        <v>323</v>
      </c>
      <c r="T805" s="494">
        <v>1</v>
      </c>
      <c r="U805" s="494">
        <v>60</v>
      </c>
      <c r="V805" s="494" t="s">
        <v>66</v>
      </c>
      <c r="W805" s="494" t="s">
        <v>50</v>
      </c>
      <c r="X805" s="494" t="s">
        <v>50</v>
      </c>
      <c r="Y805" s="455" t="s">
        <v>6476</v>
      </c>
    </row>
    <row r="806" spans="1:25" x14ac:dyDescent="0.25">
      <c r="A806" s="26">
        <v>43430</v>
      </c>
      <c r="B806" s="27" t="s">
        <v>43</v>
      </c>
      <c r="C806" s="27" t="s">
        <v>62</v>
      </c>
      <c r="D806" s="89">
        <v>38.136299999999999</v>
      </c>
      <c r="E806" s="89">
        <v>-121.91219</v>
      </c>
      <c r="F806" s="27" t="s">
        <v>6635</v>
      </c>
      <c r="G806" s="27" t="s">
        <v>27</v>
      </c>
      <c r="H806" s="27" t="s">
        <v>62</v>
      </c>
      <c r="I806" s="84">
        <v>0.50763888888888886</v>
      </c>
      <c r="J806" s="82">
        <v>11131.25</v>
      </c>
      <c r="K806" s="82">
        <v>13.574999999999999</v>
      </c>
      <c r="L806" s="82">
        <v>10.202499999999999</v>
      </c>
      <c r="M806" s="82">
        <v>0.96</v>
      </c>
      <c r="N806" s="4">
        <v>4.8250000000000002</v>
      </c>
      <c r="O806" s="27" t="s">
        <v>48</v>
      </c>
      <c r="P806" s="27">
        <v>4</v>
      </c>
      <c r="Q806" s="27">
        <v>10</v>
      </c>
      <c r="R806" s="27" t="s">
        <v>64</v>
      </c>
      <c r="S806" s="27" t="s">
        <v>50</v>
      </c>
      <c r="T806" s="27" t="s">
        <v>50</v>
      </c>
      <c r="U806" s="27" t="s">
        <v>50</v>
      </c>
      <c r="V806" s="27" t="s">
        <v>50</v>
      </c>
      <c r="W806" s="27" t="s">
        <v>50</v>
      </c>
      <c r="X806" s="27" t="s">
        <v>50</v>
      </c>
      <c r="Y806" s="35" t="s">
        <v>6188</v>
      </c>
    </row>
    <row r="807" spans="1:25" s="153" customFormat="1" x14ac:dyDescent="0.25">
      <c r="A807" s="195">
        <v>43430</v>
      </c>
      <c r="B807" s="153" t="s">
        <v>43</v>
      </c>
      <c r="C807" s="153" t="s">
        <v>62</v>
      </c>
      <c r="D807" s="154">
        <v>38.08305</v>
      </c>
      <c r="E807" s="154">
        <v>-122.04637</v>
      </c>
      <c r="F807" s="153" t="s">
        <v>6636</v>
      </c>
      <c r="G807" s="153" t="s">
        <v>27</v>
      </c>
      <c r="H807" s="153" t="s">
        <v>62</v>
      </c>
      <c r="I807" s="155">
        <v>0.34375</v>
      </c>
      <c r="J807" s="156" t="s">
        <v>50</v>
      </c>
      <c r="K807" s="156" t="s">
        <v>50</v>
      </c>
      <c r="L807" s="156" t="s">
        <v>50</v>
      </c>
      <c r="M807" s="156" t="s">
        <v>50</v>
      </c>
      <c r="N807" s="156" t="s">
        <v>50</v>
      </c>
      <c r="O807" s="153" t="s">
        <v>48</v>
      </c>
      <c r="P807" s="153">
        <v>0</v>
      </c>
      <c r="Q807" s="153" t="s">
        <v>50</v>
      </c>
      <c r="R807" s="153" t="s">
        <v>50</v>
      </c>
      <c r="S807" s="153" t="s">
        <v>50</v>
      </c>
      <c r="T807" s="153" t="s">
        <v>50</v>
      </c>
      <c r="U807" s="153" t="s">
        <v>50</v>
      </c>
      <c r="V807" s="153" t="s">
        <v>50</v>
      </c>
      <c r="W807" s="153" t="s">
        <v>50</v>
      </c>
      <c r="X807" s="153" t="s">
        <v>50</v>
      </c>
      <c r="Y807" s="159" t="s">
        <v>3595</v>
      </c>
    </row>
    <row r="808" spans="1:25" x14ac:dyDescent="0.25">
      <c r="A808" s="26">
        <v>43430</v>
      </c>
      <c r="B808" s="27" t="s">
        <v>43</v>
      </c>
      <c r="C808" s="27" t="s">
        <v>845</v>
      </c>
      <c r="D808" s="89">
        <v>38.258839999999999</v>
      </c>
      <c r="E808" s="89">
        <v>-121.6934</v>
      </c>
      <c r="F808" s="27" t="s">
        <v>6637</v>
      </c>
      <c r="G808" s="27" t="s">
        <v>90</v>
      </c>
      <c r="H808" s="27" t="s">
        <v>126</v>
      </c>
      <c r="I808" s="84">
        <v>0.31875000000000003</v>
      </c>
      <c r="J808" s="82">
        <v>137.52499999999998</v>
      </c>
      <c r="K808" s="82">
        <v>11.649999999999999</v>
      </c>
      <c r="L808" s="82">
        <v>5.0274999999999999</v>
      </c>
      <c r="M808" s="82" t="s">
        <v>5829</v>
      </c>
      <c r="N808" s="4">
        <v>6.7250000000000005</v>
      </c>
      <c r="O808" s="27" t="s">
        <v>48</v>
      </c>
      <c r="P808" s="27">
        <v>4</v>
      </c>
      <c r="Q808" s="27">
        <v>10</v>
      </c>
      <c r="R808" s="27" t="s">
        <v>64</v>
      </c>
      <c r="S808" s="27" t="s">
        <v>50</v>
      </c>
      <c r="T808" s="27" t="s">
        <v>50</v>
      </c>
      <c r="U808" s="27" t="s">
        <v>50</v>
      </c>
      <c r="V808" s="27" t="s">
        <v>50</v>
      </c>
      <c r="W808" s="27" t="s">
        <v>50</v>
      </c>
      <c r="X808" s="27" t="s">
        <v>50</v>
      </c>
      <c r="Y808" s="35" t="s">
        <v>6188</v>
      </c>
    </row>
    <row r="809" spans="1:25" x14ac:dyDescent="0.25">
      <c r="A809" s="26">
        <v>43430</v>
      </c>
      <c r="B809" s="27" t="s">
        <v>43</v>
      </c>
      <c r="C809" s="27" t="s">
        <v>845</v>
      </c>
      <c r="D809" s="89">
        <v>38.237630000000003</v>
      </c>
      <c r="E809" s="89">
        <v>-121.68312</v>
      </c>
      <c r="F809" s="27" t="s">
        <v>6638</v>
      </c>
      <c r="G809" s="27" t="s">
        <v>90</v>
      </c>
      <c r="H809" s="27" t="s">
        <v>126</v>
      </c>
      <c r="I809" s="84">
        <v>0.37708333333333338</v>
      </c>
      <c r="J809" s="82">
        <v>135.02500000000001</v>
      </c>
      <c r="K809" s="82">
        <v>11.574999999999999</v>
      </c>
      <c r="L809" s="82">
        <v>5.0500000000000007</v>
      </c>
      <c r="M809" s="82" t="s">
        <v>5829</v>
      </c>
      <c r="N809" s="4">
        <v>13</v>
      </c>
      <c r="O809" s="27" t="s">
        <v>48</v>
      </c>
      <c r="P809" s="27">
        <v>4</v>
      </c>
      <c r="Q809" s="27">
        <v>10</v>
      </c>
      <c r="R809" s="27" t="s">
        <v>49</v>
      </c>
      <c r="S809" s="27" t="s">
        <v>50</v>
      </c>
      <c r="T809" s="27" t="s">
        <v>50</v>
      </c>
      <c r="U809" s="27" t="s">
        <v>50</v>
      </c>
      <c r="V809" s="27" t="s">
        <v>50</v>
      </c>
      <c r="W809" s="27" t="s">
        <v>50</v>
      </c>
      <c r="X809" s="27" t="s">
        <v>50</v>
      </c>
      <c r="Y809" s="35" t="s">
        <v>6188</v>
      </c>
    </row>
    <row r="810" spans="1:25" x14ac:dyDescent="0.25">
      <c r="A810" s="26">
        <v>43430</v>
      </c>
      <c r="B810" s="27" t="s">
        <v>43</v>
      </c>
      <c r="C810" s="27" t="s">
        <v>845</v>
      </c>
      <c r="D810" s="89">
        <v>38.286540000000002</v>
      </c>
      <c r="E810" s="89">
        <v>-121.66309</v>
      </c>
      <c r="F810" s="27" t="s">
        <v>6639</v>
      </c>
      <c r="G810" s="27" t="s">
        <v>90</v>
      </c>
      <c r="H810" s="27" t="s">
        <v>126</v>
      </c>
      <c r="I810" s="84">
        <v>0.43402777777777773</v>
      </c>
      <c r="J810" s="82">
        <v>474.52500000000003</v>
      </c>
      <c r="K810" s="82">
        <v>12.224999999999998</v>
      </c>
      <c r="L810" s="82">
        <v>5.19</v>
      </c>
      <c r="M810" s="82" t="s">
        <v>5829</v>
      </c>
      <c r="N810" s="4">
        <v>7.375</v>
      </c>
      <c r="O810" s="27" t="s">
        <v>48</v>
      </c>
      <c r="P810" s="27">
        <v>4</v>
      </c>
      <c r="Q810" s="27">
        <v>10</v>
      </c>
      <c r="R810" s="27" t="s">
        <v>49</v>
      </c>
      <c r="S810" s="27" t="s">
        <v>50</v>
      </c>
      <c r="T810" s="27" t="s">
        <v>50</v>
      </c>
      <c r="U810" s="27" t="s">
        <v>50</v>
      </c>
      <c r="V810" s="27" t="s">
        <v>50</v>
      </c>
      <c r="W810" s="27" t="s">
        <v>50</v>
      </c>
      <c r="X810" s="27" t="s">
        <v>50</v>
      </c>
      <c r="Y810" s="35" t="s">
        <v>6188</v>
      </c>
    </row>
    <row r="811" spans="1:25" x14ac:dyDescent="0.25">
      <c r="A811" s="26">
        <v>43431</v>
      </c>
      <c r="B811" s="27" t="s">
        <v>70</v>
      </c>
      <c r="C811" s="27" t="s">
        <v>95</v>
      </c>
      <c r="D811" s="89">
        <v>38.025320000000001</v>
      </c>
      <c r="E811" s="89">
        <v>-121.79322999999999</v>
      </c>
      <c r="F811" s="27" t="s">
        <v>6640</v>
      </c>
      <c r="G811" s="27" t="s">
        <v>27</v>
      </c>
      <c r="H811" s="27" t="s">
        <v>863</v>
      </c>
      <c r="I811" s="84">
        <v>0.32430555555555557</v>
      </c>
      <c r="J811" s="82">
        <v>4562.5</v>
      </c>
      <c r="K811" s="82">
        <v>13.1</v>
      </c>
      <c r="L811" s="82">
        <v>6.2200000000000006</v>
      </c>
      <c r="M811" s="82">
        <v>1.605</v>
      </c>
      <c r="N811" s="4">
        <v>9.25</v>
      </c>
      <c r="O811" s="27" t="s">
        <v>48</v>
      </c>
      <c r="P811" s="27">
        <v>4</v>
      </c>
      <c r="Q811" s="27">
        <v>10</v>
      </c>
      <c r="R811" s="27" t="s">
        <v>64</v>
      </c>
      <c r="S811" s="27" t="s">
        <v>50</v>
      </c>
      <c r="T811" s="27" t="s">
        <v>50</v>
      </c>
      <c r="U811" s="27" t="s">
        <v>50</v>
      </c>
      <c r="V811" s="27" t="s">
        <v>50</v>
      </c>
      <c r="W811" s="27" t="s">
        <v>50</v>
      </c>
      <c r="X811" s="27" t="s">
        <v>50</v>
      </c>
    </row>
    <row r="812" spans="1:25" x14ac:dyDescent="0.25">
      <c r="A812" s="26">
        <v>43431</v>
      </c>
      <c r="B812" s="27" t="s">
        <v>70</v>
      </c>
      <c r="C812" s="27" t="s">
        <v>95</v>
      </c>
      <c r="D812" s="89">
        <v>38.02805</v>
      </c>
      <c r="E812" s="89">
        <v>-121.75843999999999</v>
      </c>
      <c r="F812" s="27" t="s">
        <v>6641</v>
      </c>
      <c r="G812" s="27" t="s">
        <v>27</v>
      </c>
      <c r="H812" s="27" t="s">
        <v>863</v>
      </c>
      <c r="I812" s="84">
        <v>0.38055555555555554</v>
      </c>
      <c r="J812" s="82">
        <v>3698</v>
      </c>
      <c r="K812" s="82">
        <v>12.925000000000001</v>
      </c>
      <c r="L812" s="82">
        <v>7.4950000000000001</v>
      </c>
      <c r="M812" s="82">
        <v>1.4550000000000001</v>
      </c>
      <c r="N812" s="4">
        <v>13.35</v>
      </c>
      <c r="O812" s="27" t="s">
        <v>48</v>
      </c>
      <c r="P812" s="27">
        <v>4</v>
      </c>
      <c r="Q812" s="27">
        <v>10</v>
      </c>
      <c r="R812" s="27" t="s">
        <v>49</v>
      </c>
      <c r="S812" s="27" t="s">
        <v>50</v>
      </c>
      <c r="T812" s="27" t="s">
        <v>50</v>
      </c>
      <c r="U812" s="27" t="s">
        <v>50</v>
      </c>
      <c r="V812" s="27" t="s">
        <v>50</v>
      </c>
      <c r="W812" s="27" t="s">
        <v>50</v>
      </c>
      <c r="X812" s="27" t="s">
        <v>50</v>
      </c>
    </row>
    <row r="813" spans="1:25" x14ac:dyDescent="0.25">
      <c r="A813" s="26">
        <v>43431</v>
      </c>
      <c r="B813" s="27" t="s">
        <v>70</v>
      </c>
      <c r="C813" s="27" t="s">
        <v>95</v>
      </c>
      <c r="D813" s="89">
        <v>38.0456</v>
      </c>
      <c r="E813" s="89">
        <v>-121.70053</v>
      </c>
      <c r="F813" s="27" t="s">
        <v>6642</v>
      </c>
      <c r="G813" s="27" t="s">
        <v>27</v>
      </c>
      <c r="H813" s="27" t="s">
        <v>863</v>
      </c>
      <c r="I813" s="84">
        <v>0.4458333333333333</v>
      </c>
      <c r="J813" s="82">
        <v>1834.75</v>
      </c>
      <c r="K813" s="82">
        <v>12.9</v>
      </c>
      <c r="L813" s="82">
        <v>5.8350000000000009</v>
      </c>
      <c r="M813" s="82" t="s">
        <v>5829</v>
      </c>
      <c r="N813" s="4">
        <v>10.75</v>
      </c>
      <c r="O813" s="27" t="s">
        <v>48</v>
      </c>
      <c r="P813" s="27">
        <v>4</v>
      </c>
      <c r="Q813" s="27">
        <v>10</v>
      </c>
      <c r="R813" s="27" t="s">
        <v>49</v>
      </c>
      <c r="S813" s="27" t="s">
        <v>50</v>
      </c>
      <c r="T813" s="27" t="s">
        <v>50</v>
      </c>
      <c r="U813" s="27" t="s">
        <v>50</v>
      </c>
      <c r="V813" s="27" t="s">
        <v>50</v>
      </c>
      <c r="W813" s="27" t="s">
        <v>50</v>
      </c>
      <c r="X813" s="27" t="s">
        <v>50</v>
      </c>
    </row>
    <row r="814" spans="1:25" s="355" customFormat="1" x14ac:dyDescent="0.25">
      <c r="A814" s="354">
        <v>43431</v>
      </c>
      <c r="B814" s="355" t="s">
        <v>70</v>
      </c>
      <c r="C814" s="355" t="s">
        <v>62</v>
      </c>
      <c r="D814" s="356">
        <v>38.10033</v>
      </c>
      <c r="E814" s="356">
        <v>-122.06504</v>
      </c>
      <c r="F814" s="355" t="s">
        <v>6643</v>
      </c>
      <c r="G814" s="355" t="s">
        <v>27</v>
      </c>
      <c r="H814" s="355" t="s">
        <v>173</v>
      </c>
      <c r="I814" s="357">
        <v>0.34375</v>
      </c>
      <c r="J814" s="358">
        <v>20876.75</v>
      </c>
      <c r="K814" s="358">
        <v>13.45</v>
      </c>
      <c r="L814" s="358">
        <v>22.5</v>
      </c>
      <c r="M814" s="358">
        <v>0.61250000000000004</v>
      </c>
      <c r="N814" s="359">
        <v>4.4250000000000007</v>
      </c>
      <c r="O814" s="355" t="s">
        <v>48</v>
      </c>
      <c r="P814" s="355">
        <v>4</v>
      </c>
      <c r="Q814" s="355">
        <v>10</v>
      </c>
      <c r="R814" s="355" t="s">
        <v>49</v>
      </c>
      <c r="S814" s="355" t="s">
        <v>31</v>
      </c>
      <c r="T814" s="355">
        <v>3</v>
      </c>
      <c r="U814" s="355" t="s">
        <v>6644</v>
      </c>
      <c r="V814" s="355" t="s">
        <v>66</v>
      </c>
      <c r="W814" s="355" t="s">
        <v>50</v>
      </c>
      <c r="X814" s="355" t="s">
        <v>50</v>
      </c>
      <c r="Y814" s="371"/>
    </row>
    <row r="815" spans="1:25" x14ac:dyDescent="0.25">
      <c r="A815" s="26">
        <v>43431</v>
      </c>
      <c r="B815" s="27" t="s">
        <v>70</v>
      </c>
      <c r="C815" s="27" t="s">
        <v>62</v>
      </c>
      <c r="D815" s="89">
        <v>38.158470000000001</v>
      </c>
      <c r="E815" s="89">
        <v>-122.05691</v>
      </c>
      <c r="F815" s="27" t="s">
        <v>6645</v>
      </c>
      <c r="G815" s="27" t="s">
        <v>27</v>
      </c>
      <c r="H815" s="27" t="s">
        <v>62</v>
      </c>
      <c r="I815" s="84">
        <v>0.39444444444444443</v>
      </c>
      <c r="J815" s="82">
        <v>13856.5</v>
      </c>
      <c r="K815" s="82">
        <v>13.274999999999999</v>
      </c>
      <c r="L815" s="82">
        <v>31.725000000000001</v>
      </c>
      <c r="M815" s="82">
        <v>0.47</v>
      </c>
      <c r="N815" s="4">
        <v>8.0250000000000004</v>
      </c>
      <c r="O815" s="27" t="s">
        <v>48</v>
      </c>
      <c r="P815" s="27">
        <v>4</v>
      </c>
      <c r="Q815" s="27">
        <v>10</v>
      </c>
      <c r="R815" s="27" t="s">
        <v>49</v>
      </c>
      <c r="S815" s="27" t="s">
        <v>50</v>
      </c>
      <c r="T815" s="27" t="s">
        <v>50</v>
      </c>
      <c r="U815" s="27" t="s">
        <v>50</v>
      </c>
      <c r="V815" s="27" t="s">
        <v>50</v>
      </c>
      <c r="W815" s="27" t="s">
        <v>50</v>
      </c>
      <c r="X815" s="27" t="s">
        <v>50</v>
      </c>
      <c r="Y815" s="35" t="s">
        <v>2873</v>
      </c>
    </row>
    <row r="816" spans="1:25" x14ac:dyDescent="0.25">
      <c r="A816" s="26">
        <v>43431</v>
      </c>
      <c r="B816" s="27" t="s">
        <v>70</v>
      </c>
      <c r="C816" s="27" t="s">
        <v>62</v>
      </c>
      <c r="D816" s="89">
        <v>38.182720000000003</v>
      </c>
      <c r="E816" s="89">
        <v>-121.99075000000001</v>
      </c>
      <c r="F816" s="27" t="s">
        <v>6646</v>
      </c>
      <c r="G816" s="27" t="s">
        <v>27</v>
      </c>
      <c r="H816" s="27" t="s">
        <v>62</v>
      </c>
      <c r="I816" s="84">
        <v>0.44722222222222219</v>
      </c>
      <c r="J816" s="82">
        <v>11964.5</v>
      </c>
      <c r="K816" s="82">
        <v>13.4</v>
      </c>
      <c r="L816" s="82">
        <v>27.45</v>
      </c>
      <c r="M816" s="82">
        <v>0.73499999999999999</v>
      </c>
      <c r="N816" s="4">
        <v>11.224999999999998</v>
      </c>
      <c r="O816" s="27" t="s">
        <v>48</v>
      </c>
      <c r="P816" s="27">
        <v>4</v>
      </c>
      <c r="Q816" s="27">
        <v>10</v>
      </c>
      <c r="R816" s="27" t="s">
        <v>49</v>
      </c>
      <c r="S816" s="27" t="s">
        <v>50</v>
      </c>
      <c r="T816" s="27" t="s">
        <v>50</v>
      </c>
      <c r="U816" s="27" t="s">
        <v>50</v>
      </c>
      <c r="V816" s="27" t="s">
        <v>50</v>
      </c>
      <c r="W816" s="27" t="s">
        <v>50</v>
      </c>
      <c r="X816" s="27" t="s">
        <v>50</v>
      </c>
    </row>
    <row r="817" spans="1:25" x14ac:dyDescent="0.25">
      <c r="A817" s="26">
        <v>43431</v>
      </c>
      <c r="B817" s="27" t="s">
        <v>70</v>
      </c>
      <c r="C817" s="27" t="s">
        <v>845</v>
      </c>
      <c r="D817" s="89">
        <v>38.256720000000001</v>
      </c>
      <c r="E817" s="89">
        <v>-121.72942999999999</v>
      </c>
      <c r="F817" s="27" t="s">
        <v>6647</v>
      </c>
      <c r="G817" s="27" t="s">
        <v>90</v>
      </c>
      <c r="H817" s="27" t="s">
        <v>126</v>
      </c>
      <c r="I817" s="84">
        <v>0.32500000000000001</v>
      </c>
      <c r="J817" s="82">
        <v>144.25</v>
      </c>
      <c r="K817" s="82">
        <v>12</v>
      </c>
      <c r="L817" s="82">
        <v>3.2949999999999999</v>
      </c>
      <c r="M817" s="82" t="s">
        <v>5829</v>
      </c>
      <c r="N817" s="4">
        <v>6.4</v>
      </c>
      <c r="O817" s="27" t="s">
        <v>48</v>
      </c>
      <c r="P817" s="27">
        <v>4</v>
      </c>
      <c r="Q817" s="27">
        <v>10</v>
      </c>
      <c r="R817" s="27" t="s">
        <v>64</v>
      </c>
      <c r="S817" s="27" t="s">
        <v>50</v>
      </c>
      <c r="T817" s="27" t="s">
        <v>50</v>
      </c>
      <c r="U817" s="27" t="s">
        <v>50</v>
      </c>
      <c r="V817" s="27" t="s">
        <v>50</v>
      </c>
      <c r="W817" s="27" t="s">
        <v>50</v>
      </c>
      <c r="X817" s="27" t="s">
        <v>50</v>
      </c>
    </row>
    <row r="818" spans="1:25" x14ac:dyDescent="0.25">
      <c r="A818" s="26">
        <v>43431</v>
      </c>
      <c r="B818" s="27" t="s">
        <v>70</v>
      </c>
      <c r="C818" s="27" t="s">
        <v>845</v>
      </c>
      <c r="D818" s="89">
        <v>38.233519999999999</v>
      </c>
      <c r="E818" s="89">
        <v>-121.67837</v>
      </c>
      <c r="F818" s="27" t="s">
        <v>6648</v>
      </c>
      <c r="G818" s="27" t="s">
        <v>90</v>
      </c>
      <c r="H818" s="27" t="s">
        <v>126</v>
      </c>
      <c r="I818" s="84">
        <v>0.3743055555555555</v>
      </c>
      <c r="J818" s="82">
        <v>137.375</v>
      </c>
      <c r="K818" s="82">
        <v>13.924999999999999</v>
      </c>
      <c r="L818" s="82">
        <v>4.5599999999999996</v>
      </c>
      <c r="M818" s="82" t="s">
        <v>5829</v>
      </c>
      <c r="N818" s="4">
        <v>12.000000000000002</v>
      </c>
      <c r="O818" s="27" t="s">
        <v>48</v>
      </c>
      <c r="P818" s="27">
        <v>4</v>
      </c>
      <c r="Q818" s="27">
        <v>10</v>
      </c>
      <c r="R818" s="27" t="s">
        <v>64</v>
      </c>
      <c r="S818" s="27" t="s">
        <v>50</v>
      </c>
      <c r="T818" s="27" t="s">
        <v>50</v>
      </c>
      <c r="U818" s="27" t="s">
        <v>50</v>
      </c>
      <c r="V818" s="27" t="s">
        <v>50</v>
      </c>
      <c r="W818" s="27" t="s">
        <v>50</v>
      </c>
      <c r="X818" s="27" t="s">
        <v>50</v>
      </c>
    </row>
    <row r="819" spans="1:25" x14ac:dyDescent="0.25">
      <c r="A819" s="26">
        <v>43431</v>
      </c>
      <c r="B819" s="27" t="s">
        <v>70</v>
      </c>
      <c r="C819" s="27" t="s">
        <v>845</v>
      </c>
      <c r="D819" s="89">
        <v>38.310929999999999</v>
      </c>
      <c r="E819" s="89">
        <v>-121.66706000000001</v>
      </c>
      <c r="F819" s="27" t="s">
        <v>6649</v>
      </c>
      <c r="G819" s="27" t="s">
        <v>90</v>
      </c>
      <c r="H819" s="27" t="s">
        <v>126</v>
      </c>
      <c r="I819" s="84">
        <v>0.4291666666666667</v>
      </c>
      <c r="J819" s="82">
        <v>153.75</v>
      </c>
      <c r="K819" s="82">
        <v>12.675000000000001</v>
      </c>
      <c r="L819" s="82">
        <v>5.0350000000000001</v>
      </c>
      <c r="M819" s="82" t="s">
        <v>5829</v>
      </c>
      <c r="N819" s="4">
        <v>6.65</v>
      </c>
      <c r="O819" s="27" t="s">
        <v>48</v>
      </c>
      <c r="P819" s="27">
        <v>4</v>
      </c>
      <c r="Q819" s="27">
        <v>10</v>
      </c>
      <c r="R819" s="27" t="s">
        <v>49</v>
      </c>
      <c r="S819" s="27" t="s">
        <v>50</v>
      </c>
      <c r="T819" s="27" t="s">
        <v>50</v>
      </c>
      <c r="U819" s="27" t="s">
        <v>50</v>
      </c>
      <c r="V819" s="27" t="s">
        <v>50</v>
      </c>
      <c r="W819" s="27" t="s">
        <v>50</v>
      </c>
      <c r="X819" s="27" t="s">
        <v>50</v>
      </c>
    </row>
    <row r="820" spans="1:25" x14ac:dyDescent="0.25">
      <c r="A820" s="26">
        <v>43432</v>
      </c>
      <c r="B820" s="27" t="s">
        <v>87</v>
      </c>
      <c r="C820" s="27" t="s">
        <v>88</v>
      </c>
      <c r="D820" s="89">
        <v>38.06532</v>
      </c>
      <c r="E820" s="89">
        <v>-121.78735</v>
      </c>
      <c r="F820" s="27" t="s">
        <v>6650</v>
      </c>
      <c r="G820" s="27" t="s">
        <v>27</v>
      </c>
      <c r="H820" s="27" t="s">
        <v>25</v>
      </c>
      <c r="I820" s="84">
        <v>0.34027777777777773</v>
      </c>
      <c r="J820" s="82">
        <v>7368.5</v>
      </c>
      <c r="K820" s="82">
        <v>13.075000000000001</v>
      </c>
      <c r="L820" s="82">
        <v>11.575000000000001</v>
      </c>
      <c r="M820" s="82">
        <v>1.2349999999999999</v>
      </c>
      <c r="N820" s="4">
        <v>11.125</v>
      </c>
      <c r="O820" s="27" t="s">
        <v>48</v>
      </c>
      <c r="P820" s="27">
        <v>4</v>
      </c>
      <c r="Q820" s="27">
        <v>10</v>
      </c>
      <c r="R820" s="27" t="s">
        <v>64</v>
      </c>
      <c r="S820" s="27" t="s">
        <v>50</v>
      </c>
      <c r="T820" s="27" t="s">
        <v>50</v>
      </c>
      <c r="U820" s="27" t="s">
        <v>50</v>
      </c>
      <c r="V820" s="27" t="s">
        <v>50</v>
      </c>
      <c r="W820" s="27" t="s">
        <v>50</v>
      </c>
      <c r="X820" s="27" t="s">
        <v>50</v>
      </c>
      <c r="Y820" s="35" t="s">
        <v>6188</v>
      </c>
    </row>
    <row r="821" spans="1:25" x14ac:dyDescent="0.25">
      <c r="A821" s="26">
        <v>43432</v>
      </c>
      <c r="B821" s="27" t="s">
        <v>87</v>
      </c>
      <c r="C821" s="27" t="s">
        <v>88</v>
      </c>
      <c r="D821" s="89">
        <v>38.074959999999997</v>
      </c>
      <c r="E821" s="89">
        <v>-121.76129</v>
      </c>
      <c r="F821" s="27" t="s">
        <v>6651</v>
      </c>
      <c r="G821" s="27" t="s">
        <v>27</v>
      </c>
      <c r="H821" s="27" t="s">
        <v>25</v>
      </c>
      <c r="I821" s="84">
        <v>0.39097222222222222</v>
      </c>
      <c r="J821" s="82">
        <v>6294.25</v>
      </c>
      <c r="K821" s="82">
        <v>13.025</v>
      </c>
      <c r="L821" s="82">
        <v>9.7074999999999996</v>
      </c>
      <c r="M821" s="82">
        <v>1.4025000000000001</v>
      </c>
      <c r="N821" s="4">
        <v>9.4499999999999993</v>
      </c>
      <c r="O821" s="27" t="s">
        <v>48</v>
      </c>
      <c r="P821" s="27">
        <v>4</v>
      </c>
      <c r="Q821" s="27">
        <v>10</v>
      </c>
      <c r="R821" s="27" t="s">
        <v>49</v>
      </c>
      <c r="S821" s="27" t="s">
        <v>50</v>
      </c>
      <c r="T821" s="27" t="s">
        <v>50</v>
      </c>
      <c r="U821" s="27" t="s">
        <v>50</v>
      </c>
      <c r="V821" s="27" t="s">
        <v>50</v>
      </c>
      <c r="W821" s="27" t="s">
        <v>50</v>
      </c>
      <c r="X821" s="27" t="s">
        <v>50</v>
      </c>
      <c r="Y821" s="35" t="s">
        <v>6188</v>
      </c>
    </row>
    <row r="822" spans="1:25" x14ac:dyDescent="0.25">
      <c r="A822" s="26">
        <v>43432</v>
      </c>
      <c r="B822" s="27" t="s">
        <v>87</v>
      </c>
      <c r="C822" s="27" t="s">
        <v>88</v>
      </c>
      <c r="D822" s="89">
        <v>38.150089999999999</v>
      </c>
      <c r="E822" s="89">
        <v>-121.68728</v>
      </c>
      <c r="F822" s="27" t="s">
        <v>6652</v>
      </c>
      <c r="G822" s="27" t="s">
        <v>90</v>
      </c>
      <c r="H822" s="27" t="s">
        <v>91</v>
      </c>
      <c r="I822" s="84">
        <v>0.46736111111111112</v>
      </c>
      <c r="J822" s="82">
        <v>467.7</v>
      </c>
      <c r="K822" s="82">
        <v>12</v>
      </c>
      <c r="L822" s="82">
        <v>6.6825000000000001</v>
      </c>
      <c r="M822" s="82" t="s">
        <v>5829</v>
      </c>
      <c r="N822" s="4">
        <v>5.625</v>
      </c>
      <c r="O822" s="27" t="s">
        <v>48</v>
      </c>
      <c r="P822" s="27">
        <v>4</v>
      </c>
      <c r="Q822" s="27">
        <v>10</v>
      </c>
      <c r="R822" s="27" t="s">
        <v>49</v>
      </c>
      <c r="S822" s="27" t="s">
        <v>50</v>
      </c>
      <c r="T822" s="27" t="s">
        <v>50</v>
      </c>
      <c r="U822" s="27" t="s">
        <v>50</v>
      </c>
      <c r="V822" s="27" t="s">
        <v>50</v>
      </c>
      <c r="W822" s="27" t="s">
        <v>50</v>
      </c>
      <c r="X822" s="27" t="s">
        <v>50</v>
      </c>
      <c r="Y822" s="35" t="s">
        <v>6188</v>
      </c>
    </row>
    <row r="823" spans="1:25" x14ac:dyDescent="0.25">
      <c r="A823" s="26">
        <v>43432</v>
      </c>
      <c r="B823" s="27" t="s">
        <v>87</v>
      </c>
      <c r="C823" s="27" t="s">
        <v>78</v>
      </c>
      <c r="D823" s="89">
        <v>38.082599999999999</v>
      </c>
      <c r="E823" s="89">
        <v>-122.04629</v>
      </c>
      <c r="F823" s="27" t="s">
        <v>6653</v>
      </c>
      <c r="G823" s="27" t="s">
        <v>27</v>
      </c>
      <c r="H823" s="27" t="s">
        <v>86</v>
      </c>
      <c r="I823" s="84">
        <v>0.3347222222222222</v>
      </c>
      <c r="J823" s="82">
        <v>16645.25</v>
      </c>
      <c r="K823" s="82">
        <v>13.6</v>
      </c>
      <c r="L823" s="82">
        <v>13.2075</v>
      </c>
      <c r="M823" s="82">
        <v>0.79</v>
      </c>
      <c r="N823" s="4">
        <v>5.875</v>
      </c>
      <c r="O823" s="27" t="s">
        <v>48</v>
      </c>
      <c r="P823" s="27">
        <v>4</v>
      </c>
      <c r="Q823" s="27">
        <v>10</v>
      </c>
      <c r="R823" s="27" t="s">
        <v>49</v>
      </c>
      <c r="S823" s="27" t="s">
        <v>50</v>
      </c>
      <c r="T823" s="27" t="s">
        <v>50</v>
      </c>
      <c r="U823" s="27" t="s">
        <v>50</v>
      </c>
      <c r="V823" s="27" t="s">
        <v>50</v>
      </c>
      <c r="W823" s="27" t="s">
        <v>50</v>
      </c>
      <c r="X823" s="27" t="s">
        <v>50</v>
      </c>
      <c r="Y823" s="35" t="s">
        <v>6188</v>
      </c>
    </row>
    <row r="824" spans="1:25" x14ac:dyDescent="0.25">
      <c r="A824" s="26">
        <v>43432</v>
      </c>
      <c r="B824" s="27" t="s">
        <v>87</v>
      </c>
      <c r="C824" s="27" t="s">
        <v>78</v>
      </c>
      <c r="D824" s="89">
        <v>38.052379999999999</v>
      </c>
      <c r="E824" s="89">
        <v>-121.96464</v>
      </c>
      <c r="F824" s="27" t="s">
        <v>6654</v>
      </c>
      <c r="G824" s="27" t="s">
        <v>27</v>
      </c>
      <c r="H824" s="27" t="s">
        <v>170</v>
      </c>
      <c r="I824" s="84">
        <v>0.39583333333333331</v>
      </c>
      <c r="J824" s="82">
        <v>14478.25</v>
      </c>
      <c r="K824" s="82">
        <v>13.6</v>
      </c>
      <c r="L824" s="82">
        <v>9.4675000000000011</v>
      </c>
      <c r="M824" s="82">
        <v>1.0775000000000001</v>
      </c>
      <c r="N824" s="4">
        <v>6.5249999999999995</v>
      </c>
      <c r="O824" s="27" t="s">
        <v>48</v>
      </c>
      <c r="P824" s="27">
        <v>4</v>
      </c>
      <c r="Q824" s="27">
        <v>10</v>
      </c>
      <c r="R824" s="27" t="s">
        <v>49</v>
      </c>
      <c r="S824" s="27" t="s">
        <v>50</v>
      </c>
      <c r="T824" s="27" t="s">
        <v>50</v>
      </c>
      <c r="U824" s="27" t="s">
        <v>50</v>
      </c>
      <c r="V824" s="27" t="s">
        <v>50</v>
      </c>
      <c r="W824" s="27" t="s">
        <v>50</v>
      </c>
      <c r="X824" s="27" t="s">
        <v>50</v>
      </c>
      <c r="Y824" s="35" t="s">
        <v>6188</v>
      </c>
    </row>
    <row r="825" spans="1:25" x14ac:dyDescent="0.25">
      <c r="A825" s="26">
        <v>43432</v>
      </c>
      <c r="B825" s="27" t="s">
        <v>87</v>
      </c>
      <c r="C825" s="27" t="s">
        <v>78</v>
      </c>
      <c r="D825" s="89">
        <v>38.059350000000002</v>
      </c>
      <c r="E825" s="89">
        <v>-121.86823</v>
      </c>
      <c r="F825" s="27" t="s">
        <v>6655</v>
      </c>
      <c r="G825" s="27" t="s">
        <v>27</v>
      </c>
      <c r="H825" s="27" t="s">
        <v>101</v>
      </c>
      <c r="I825" s="84">
        <v>0.4770833333333333</v>
      </c>
      <c r="J825" s="82">
        <v>9116.25</v>
      </c>
      <c r="K825" s="82">
        <v>13.525</v>
      </c>
      <c r="L825" s="82">
        <v>6.6099999999999994</v>
      </c>
      <c r="M825" s="82">
        <v>1.3125</v>
      </c>
      <c r="N825" s="4">
        <v>14.574999999999999</v>
      </c>
      <c r="O825" s="27" t="s">
        <v>48</v>
      </c>
      <c r="P825" s="27">
        <v>4</v>
      </c>
      <c r="Q825" s="27">
        <v>10</v>
      </c>
      <c r="R825" s="27" t="s">
        <v>49</v>
      </c>
      <c r="S825" s="27" t="s">
        <v>50</v>
      </c>
      <c r="T825" s="27" t="s">
        <v>50</v>
      </c>
      <c r="U825" s="27" t="s">
        <v>50</v>
      </c>
      <c r="V825" s="27" t="s">
        <v>50</v>
      </c>
      <c r="W825" s="27" t="s">
        <v>50</v>
      </c>
      <c r="X825" s="27" t="s">
        <v>50</v>
      </c>
      <c r="Y825" s="35" t="s">
        <v>6188</v>
      </c>
    </row>
    <row r="826" spans="1:25" x14ac:dyDescent="0.25">
      <c r="A826" s="26">
        <v>43432</v>
      </c>
      <c r="B826" s="27" t="s">
        <v>87</v>
      </c>
      <c r="C826" s="27" t="s">
        <v>106</v>
      </c>
      <c r="D826" s="89">
        <v>38.561399999999999</v>
      </c>
      <c r="E826" s="89">
        <v>-121.54582000000001</v>
      </c>
      <c r="F826" s="27" t="s">
        <v>6656</v>
      </c>
      <c r="G826" s="27" t="s">
        <v>90</v>
      </c>
      <c r="H826" s="27" t="s">
        <v>1787</v>
      </c>
      <c r="I826" s="84">
        <v>0.35833333333333334</v>
      </c>
      <c r="J826" s="82">
        <v>820.25</v>
      </c>
      <c r="K826" s="82">
        <v>14</v>
      </c>
      <c r="L826" s="82">
        <v>3.6450000000000005</v>
      </c>
      <c r="M826" s="82">
        <v>1.7874999999999999</v>
      </c>
      <c r="N826" s="4">
        <v>11.475</v>
      </c>
      <c r="O826" s="27" t="s">
        <v>48</v>
      </c>
      <c r="P826" s="27">
        <v>4</v>
      </c>
      <c r="Q826" s="27">
        <v>10</v>
      </c>
      <c r="R826" s="27" t="s">
        <v>49</v>
      </c>
      <c r="S826" s="27" t="s">
        <v>50</v>
      </c>
      <c r="T826" s="27" t="s">
        <v>50</v>
      </c>
      <c r="U826" s="27" t="s">
        <v>50</v>
      </c>
      <c r="V826" s="27" t="s">
        <v>50</v>
      </c>
      <c r="W826" s="27" t="s">
        <v>50</v>
      </c>
      <c r="X826" s="27" t="s">
        <v>50</v>
      </c>
    </row>
    <row r="827" spans="1:25" x14ac:dyDescent="0.25">
      <c r="A827" s="26">
        <v>43432</v>
      </c>
      <c r="B827" s="27" t="s">
        <v>87</v>
      </c>
      <c r="C827" s="27" t="s">
        <v>106</v>
      </c>
      <c r="D827" s="89">
        <v>38.54495</v>
      </c>
      <c r="E827" s="89">
        <v>-121.58360999999999</v>
      </c>
      <c r="F827" s="27" t="s">
        <v>6657</v>
      </c>
      <c r="G827" s="27" t="s">
        <v>90</v>
      </c>
      <c r="H827" s="27" t="s">
        <v>1787</v>
      </c>
      <c r="I827" s="84">
        <v>0.41180555555555554</v>
      </c>
      <c r="J827" s="82">
        <v>740.25</v>
      </c>
      <c r="K827" s="82">
        <v>13.525</v>
      </c>
      <c r="L827" s="82">
        <v>9.2575000000000003</v>
      </c>
      <c r="M827" s="82">
        <v>0.87000000000000011</v>
      </c>
      <c r="N827" s="4">
        <v>11.899999999999999</v>
      </c>
      <c r="O827" s="27" t="s">
        <v>48</v>
      </c>
      <c r="P827" s="27">
        <v>4</v>
      </c>
      <c r="Q827" s="27">
        <v>10</v>
      </c>
      <c r="R827" s="27" t="s">
        <v>49</v>
      </c>
      <c r="S827" s="27" t="s">
        <v>50</v>
      </c>
      <c r="T827" s="27" t="s">
        <v>50</v>
      </c>
      <c r="U827" s="27" t="s">
        <v>50</v>
      </c>
      <c r="V827" s="27" t="s">
        <v>50</v>
      </c>
      <c r="W827" s="27" t="s">
        <v>50</v>
      </c>
      <c r="X827" s="27" t="s">
        <v>50</v>
      </c>
    </row>
    <row r="828" spans="1:25" x14ac:dyDescent="0.25">
      <c r="A828" s="26">
        <v>43432</v>
      </c>
      <c r="B828" s="27" t="s">
        <v>87</v>
      </c>
      <c r="C828" s="27" t="s">
        <v>106</v>
      </c>
      <c r="D828" s="89">
        <v>38.18544</v>
      </c>
      <c r="E828" s="89">
        <v>-121.66224</v>
      </c>
      <c r="F828" s="27" t="s">
        <v>6658</v>
      </c>
      <c r="G828" s="27" t="s">
        <v>90</v>
      </c>
      <c r="H828" s="27" t="s">
        <v>362</v>
      </c>
      <c r="I828" s="84">
        <v>0.49444444444444446</v>
      </c>
      <c r="J828" s="82">
        <v>142.19999999999999</v>
      </c>
      <c r="K828" s="82">
        <v>12.05</v>
      </c>
      <c r="L828" s="82">
        <v>4.7850000000000001</v>
      </c>
      <c r="M828" s="82" t="s">
        <v>5829</v>
      </c>
      <c r="N828" s="4">
        <v>12.174999999999999</v>
      </c>
      <c r="O828" s="27" t="s">
        <v>48</v>
      </c>
      <c r="P828" s="27">
        <v>4</v>
      </c>
      <c r="Q828" s="27">
        <v>10</v>
      </c>
      <c r="R828" s="27" t="s">
        <v>49</v>
      </c>
      <c r="S828" s="27" t="s">
        <v>50</v>
      </c>
      <c r="T828" s="27" t="s">
        <v>50</v>
      </c>
      <c r="U828" s="27" t="s">
        <v>50</v>
      </c>
      <c r="V828" s="27" t="s">
        <v>50</v>
      </c>
      <c r="W828" s="27" t="s">
        <v>50</v>
      </c>
      <c r="X828" s="27" t="s">
        <v>50</v>
      </c>
    </row>
    <row r="829" spans="1:25" x14ac:dyDescent="0.25">
      <c r="A829" s="26">
        <v>43433</v>
      </c>
      <c r="B829" s="27" t="s">
        <v>105</v>
      </c>
      <c r="C829" s="27" t="s">
        <v>106</v>
      </c>
      <c r="D829" s="89">
        <v>38.561</v>
      </c>
      <c r="E829" s="89">
        <v>-121.55445</v>
      </c>
      <c r="F829" s="27" t="s">
        <v>6659</v>
      </c>
      <c r="G829" s="27" t="s">
        <v>90</v>
      </c>
      <c r="H829" s="27" t="s">
        <v>1787</v>
      </c>
      <c r="I829" s="84">
        <v>0.35069444444444442</v>
      </c>
      <c r="J829" s="82">
        <v>803.5</v>
      </c>
      <c r="K829" s="82">
        <v>13.8</v>
      </c>
      <c r="L829" s="82">
        <v>3.7800000000000002</v>
      </c>
      <c r="M829" s="82">
        <v>1.7874999999999999</v>
      </c>
      <c r="N829" s="4">
        <v>11.774999999999999</v>
      </c>
      <c r="O829" s="27" t="s">
        <v>48</v>
      </c>
      <c r="P829" s="27">
        <v>4</v>
      </c>
      <c r="Q829" s="27">
        <v>10</v>
      </c>
      <c r="R829" s="27" t="s">
        <v>64</v>
      </c>
      <c r="S829" s="27" t="s">
        <v>50</v>
      </c>
      <c r="T829" s="27" t="s">
        <v>50</v>
      </c>
      <c r="U829" s="27" t="s">
        <v>50</v>
      </c>
      <c r="V829" s="27" t="s">
        <v>50</v>
      </c>
      <c r="W829" s="27" t="s">
        <v>50</v>
      </c>
      <c r="X829" s="27" t="s">
        <v>50</v>
      </c>
      <c r="Y829" s="35" t="s">
        <v>6188</v>
      </c>
    </row>
    <row r="830" spans="1:25" x14ac:dyDescent="0.25">
      <c r="A830" s="26">
        <v>43433</v>
      </c>
      <c r="B830" s="27" t="s">
        <v>105</v>
      </c>
      <c r="C830" s="27" t="s">
        <v>106</v>
      </c>
      <c r="D830" s="89">
        <v>38.536029999999997</v>
      </c>
      <c r="E830" s="89">
        <v>-121.58475</v>
      </c>
      <c r="F830" s="27" t="s">
        <v>6660</v>
      </c>
      <c r="G830" s="27" t="s">
        <v>90</v>
      </c>
      <c r="H830" s="27" t="s">
        <v>1787</v>
      </c>
      <c r="I830" s="84">
        <v>0.40416666666666662</v>
      </c>
      <c r="J830" s="82">
        <v>699.75</v>
      </c>
      <c r="K830" s="82">
        <v>13.3</v>
      </c>
      <c r="L830" s="82">
        <v>12.850000000000001</v>
      </c>
      <c r="M830" s="82">
        <v>0.78249999999999997</v>
      </c>
      <c r="N830" s="4">
        <v>11.975000000000001</v>
      </c>
      <c r="O830" s="27" t="s">
        <v>48</v>
      </c>
      <c r="P830" s="27">
        <v>4</v>
      </c>
      <c r="Q830" s="27">
        <v>10</v>
      </c>
      <c r="R830" s="27" t="s">
        <v>64</v>
      </c>
      <c r="S830" s="27" t="s">
        <v>50</v>
      </c>
      <c r="T830" s="27" t="s">
        <v>50</v>
      </c>
      <c r="U830" s="27" t="s">
        <v>50</v>
      </c>
      <c r="V830" s="27" t="s">
        <v>50</v>
      </c>
      <c r="W830" s="27" t="s">
        <v>50</v>
      </c>
      <c r="X830" s="27" t="s">
        <v>50</v>
      </c>
      <c r="Y830" s="35" t="s">
        <v>6188</v>
      </c>
    </row>
    <row r="831" spans="1:25" x14ac:dyDescent="0.25">
      <c r="A831" s="26">
        <v>43433</v>
      </c>
      <c r="B831" s="27" t="s">
        <v>105</v>
      </c>
      <c r="C831" s="27" t="s">
        <v>106</v>
      </c>
      <c r="D831" s="89">
        <v>38.287579999999998</v>
      </c>
      <c r="E831" s="89">
        <v>-121.65846000000001</v>
      </c>
      <c r="F831" s="27" t="s">
        <v>6661</v>
      </c>
      <c r="G831" s="27" t="s">
        <v>90</v>
      </c>
      <c r="H831" s="27" t="s">
        <v>362</v>
      </c>
      <c r="I831" s="84">
        <v>0.48194444444444445</v>
      </c>
      <c r="J831" s="82">
        <v>147.07499999999999</v>
      </c>
      <c r="K831" s="82">
        <v>12.4</v>
      </c>
      <c r="L831" s="82">
        <v>6.9249999999999989</v>
      </c>
      <c r="M831" s="82">
        <v>1.5225</v>
      </c>
      <c r="N831" s="4">
        <v>11.075000000000001</v>
      </c>
      <c r="O831" s="27" t="s">
        <v>48</v>
      </c>
      <c r="P831" s="27">
        <v>4</v>
      </c>
      <c r="Q831" s="27">
        <v>10</v>
      </c>
      <c r="R831" s="27" t="s">
        <v>49</v>
      </c>
      <c r="S831" s="27" t="s">
        <v>50</v>
      </c>
      <c r="T831" s="27" t="s">
        <v>50</v>
      </c>
      <c r="U831" s="27" t="s">
        <v>50</v>
      </c>
      <c r="V831" s="27" t="s">
        <v>50</v>
      </c>
      <c r="W831" s="27" t="s">
        <v>50</v>
      </c>
      <c r="X831" s="27" t="s">
        <v>50</v>
      </c>
      <c r="Y831" s="35" t="s">
        <v>6662</v>
      </c>
    </row>
    <row r="832" spans="1:25" x14ac:dyDescent="0.25">
      <c r="A832" s="26">
        <v>43433</v>
      </c>
      <c r="B832" s="27" t="s">
        <v>105</v>
      </c>
      <c r="C832" s="27" t="s">
        <v>88</v>
      </c>
      <c r="D832" s="89">
        <v>38.0974</v>
      </c>
      <c r="E832" s="89">
        <v>-121.72517000000001</v>
      </c>
      <c r="F832" s="27" t="s">
        <v>6663</v>
      </c>
      <c r="G832" s="27" t="s">
        <v>90</v>
      </c>
      <c r="H832" s="27" t="s">
        <v>91</v>
      </c>
      <c r="I832" s="84">
        <v>0.32916666666666666</v>
      </c>
      <c r="J832" s="82">
        <v>1687.5</v>
      </c>
      <c r="K832" s="82">
        <v>12.425000000000001</v>
      </c>
      <c r="L832" s="82">
        <v>18.625</v>
      </c>
      <c r="M832" s="82">
        <v>0.82499999999999996</v>
      </c>
      <c r="N832" s="4">
        <v>7.5500000000000007</v>
      </c>
      <c r="O832" s="27" t="s">
        <v>48</v>
      </c>
      <c r="P832" s="27">
        <v>4</v>
      </c>
      <c r="Q832" s="27">
        <v>10</v>
      </c>
      <c r="R832" s="27" t="s">
        <v>64</v>
      </c>
      <c r="S832" s="27" t="s">
        <v>50</v>
      </c>
      <c r="T832" s="27" t="s">
        <v>50</v>
      </c>
      <c r="U832" s="27" t="s">
        <v>50</v>
      </c>
      <c r="V832" s="27" t="s">
        <v>50</v>
      </c>
      <c r="W832" s="27" t="s">
        <v>50</v>
      </c>
      <c r="X832" s="27" t="s">
        <v>50</v>
      </c>
    </row>
    <row r="833" spans="1:25" s="423" customFormat="1" x14ac:dyDescent="0.25">
      <c r="A833" s="495">
        <v>43433</v>
      </c>
      <c r="B833" s="494" t="s">
        <v>105</v>
      </c>
      <c r="C833" s="494" t="s">
        <v>88</v>
      </c>
      <c r="D833" s="496">
        <v>38.062570000000001</v>
      </c>
      <c r="E833" s="496">
        <v>-121.80629999999999</v>
      </c>
      <c r="F833" s="494" t="s">
        <v>6664</v>
      </c>
      <c r="G833" s="494" t="s">
        <v>27</v>
      </c>
      <c r="H833" s="494" t="s">
        <v>25</v>
      </c>
      <c r="I833" s="497">
        <v>0.38819444444444445</v>
      </c>
      <c r="J833" s="498">
        <v>6393.5</v>
      </c>
      <c r="K833" s="498">
        <v>13.2</v>
      </c>
      <c r="L833" s="498">
        <v>15.5</v>
      </c>
      <c r="M833" s="498">
        <v>0.88</v>
      </c>
      <c r="N833" s="499">
        <v>4.75</v>
      </c>
      <c r="O833" s="494" t="s">
        <v>48</v>
      </c>
      <c r="P833" s="494">
        <v>2</v>
      </c>
      <c r="Q833" s="494">
        <v>10</v>
      </c>
      <c r="R833" s="494" t="s">
        <v>64</v>
      </c>
      <c r="S833" s="494" t="s">
        <v>323</v>
      </c>
      <c r="T833" s="494">
        <v>2</v>
      </c>
      <c r="U833" s="494" t="s">
        <v>6665</v>
      </c>
      <c r="V833" s="494" t="s">
        <v>66</v>
      </c>
      <c r="W833" s="494" t="s">
        <v>50</v>
      </c>
      <c r="X833" s="494" t="s">
        <v>50</v>
      </c>
      <c r="Y833" s="455" t="s">
        <v>6666</v>
      </c>
    </row>
    <row r="834" spans="1:25" x14ac:dyDescent="0.25">
      <c r="A834" s="26">
        <v>43434</v>
      </c>
      <c r="B834" s="27" t="s">
        <v>125</v>
      </c>
      <c r="C834" s="27" t="s">
        <v>78</v>
      </c>
      <c r="D834" s="89">
        <v>38.065719999999999</v>
      </c>
      <c r="E834" s="89">
        <v>-122.10259000000001</v>
      </c>
      <c r="F834" s="27" t="s">
        <v>6667</v>
      </c>
      <c r="G834" s="27" t="s">
        <v>80</v>
      </c>
      <c r="H834" s="27" t="s">
        <v>81</v>
      </c>
      <c r="I834" s="84">
        <v>0.35833333333333334</v>
      </c>
      <c r="J834" s="82">
        <v>19836.5</v>
      </c>
      <c r="K834" s="82">
        <v>13.5</v>
      </c>
      <c r="L834" s="82">
        <v>20.774999999999999</v>
      </c>
      <c r="M834" s="82">
        <v>0.61</v>
      </c>
      <c r="N834" s="4">
        <v>11.100000000000001</v>
      </c>
      <c r="O834" s="27" t="s">
        <v>48</v>
      </c>
      <c r="P834" s="27">
        <v>4</v>
      </c>
      <c r="Q834" s="27">
        <v>10</v>
      </c>
      <c r="R834" s="27" t="s">
        <v>64</v>
      </c>
      <c r="S834" s="27" t="s">
        <v>50</v>
      </c>
      <c r="T834" s="27" t="s">
        <v>50</v>
      </c>
      <c r="U834" s="27" t="s">
        <v>50</v>
      </c>
      <c r="V834" s="27" t="s">
        <v>50</v>
      </c>
      <c r="W834" s="27" t="s">
        <v>50</v>
      </c>
      <c r="X834" s="27" t="s">
        <v>50</v>
      </c>
      <c r="Y834" s="35" t="s">
        <v>124</v>
      </c>
    </row>
    <row r="835" spans="1:25" x14ac:dyDescent="0.25">
      <c r="A835" s="26">
        <v>43434</v>
      </c>
      <c r="B835" s="27" t="s">
        <v>125</v>
      </c>
      <c r="C835" s="27" t="s">
        <v>78</v>
      </c>
      <c r="D835" s="89">
        <v>38.061729999999997</v>
      </c>
      <c r="E835" s="89">
        <v>-121.98363999999999</v>
      </c>
      <c r="F835" s="27" t="s">
        <v>6668</v>
      </c>
      <c r="G835" s="27" t="s">
        <v>27</v>
      </c>
      <c r="H835" s="27" t="s">
        <v>86</v>
      </c>
      <c r="I835" s="84">
        <v>0.41875000000000001</v>
      </c>
      <c r="J835" s="82">
        <v>14155</v>
      </c>
      <c r="K835" s="82">
        <v>13.249999999999998</v>
      </c>
      <c r="L835" s="82">
        <v>21.349999999999998</v>
      </c>
      <c r="M835" s="82">
        <v>0.60499999999999998</v>
      </c>
      <c r="N835" s="4">
        <v>13.9</v>
      </c>
      <c r="O835" s="27" t="s">
        <v>48</v>
      </c>
      <c r="P835" s="27">
        <v>4</v>
      </c>
      <c r="Q835" s="27">
        <v>10</v>
      </c>
      <c r="R835" s="27" t="s">
        <v>64</v>
      </c>
      <c r="S835" s="27" t="s">
        <v>50</v>
      </c>
      <c r="T835" s="27" t="s">
        <v>50</v>
      </c>
      <c r="U835" s="27" t="s">
        <v>50</v>
      </c>
      <c r="V835" s="27" t="s">
        <v>50</v>
      </c>
      <c r="W835" s="27" t="s">
        <v>50</v>
      </c>
      <c r="X835" s="27" t="s">
        <v>50</v>
      </c>
    </row>
  </sheetData>
  <conditionalFormatting sqref="S1:S2 S9:S10 S26 S46 S71 S88 S102:S104 S109:S112 S116:S158 S187:S188 S196:S216 S218:S229 S234 S240 S247 S254 S257:S260 S264:S287 S371:S372 S380 S384:S408 S427 S410:S415 S442:S482 S489 S497 S502:S504 S506:S521 S523:S551 S573:S634 S647 S661:S720 S726:S727 S729 S736:S742 S751:S752 S754:S755 S759 S773:S780 S787 S805 S814 S833 S836:S1048576 S289:S344">
    <cfRule type="cellIs" dxfId="1560" priority="1176" operator="equal">
      <formula>"DSM"</formula>
    </cfRule>
  </conditionalFormatting>
  <conditionalFormatting sqref="A3:A10">
    <cfRule type="expression" dxfId="1559" priority="261">
      <formula>$T3="DSM"</formula>
    </cfRule>
    <cfRule type="expression" dxfId="1558" priority="262">
      <formula>SEARCH("RBT",#REF!)&gt;0</formula>
    </cfRule>
    <cfRule type="expression" dxfId="1557" priority="263">
      <formula>SEARCH("GST",#REF!)&gt;0</formula>
    </cfRule>
    <cfRule type="expression" dxfId="1556" priority="264">
      <formula>SEARCH("CHN",$T3)&gt;0</formula>
    </cfRule>
    <cfRule type="expression" dxfId="1555" priority="265">
      <formula>$T3="LFS"</formula>
    </cfRule>
  </conditionalFormatting>
  <conditionalFormatting sqref="S3:V8">
    <cfRule type="expression" dxfId="1554" priority="256">
      <formula>$S3="DSM"</formula>
    </cfRule>
    <cfRule type="expression" dxfId="1553" priority="257">
      <formula>SEARCH("GST",$S3)</formula>
    </cfRule>
    <cfRule type="expression" dxfId="1552" priority="258">
      <formula>SEARCH("RBT",$S3)</formula>
    </cfRule>
    <cfRule type="expression" dxfId="1551" priority="259">
      <formula>SEARCH("LFS",$S3)</formula>
    </cfRule>
    <cfRule type="expression" dxfId="1550" priority="260">
      <formula>SEARCH("CHN",$S3)</formula>
    </cfRule>
  </conditionalFormatting>
  <conditionalFormatting sqref="S3:S8">
    <cfRule type="cellIs" dxfId="1549" priority="255" operator="equal">
      <formula>"DSM"</formula>
    </cfRule>
  </conditionalFormatting>
  <conditionalFormatting sqref="S3:S8">
    <cfRule type="expression" dxfId="1548" priority="251">
      <formula>SEARCH("RBT",$S3)</formula>
    </cfRule>
    <cfRule type="expression" dxfId="1547" priority="252">
      <formula>SEARCH("GST",$S3)</formula>
    </cfRule>
    <cfRule type="expression" dxfId="1546" priority="253">
      <formula>SEARCH("CHN",$S3)</formula>
    </cfRule>
    <cfRule type="expression" dxfId="1545" priority="254">
      <formula>SEARCH("LFS",$S3)</formula>
    </cfRule>
  </conditionalFormatting>
  <conditionalFormatting sqref="X3:X7">
    <cfRule type="expression" dxfId="1544" priority="246">
      <formula>$S3="DSM"</formula>
    </cfRule>
    <cfRule type="expression" dxfId="1543" priority="247">
      <formula>SEARCH("GST",$S3)</formula>
    </cfRule>
    <cfRule type="expression" dxfId="1542" priority="248">
      <formula>SEARCH("RBT",$S3)</formula>
    </cfRule>
    <cfRule type="expression" dxfId="1541" priority="249">
      <formula>SEARCH("LFS",$S3)</formula>
    </cfRule>
    <cfRule type="expression" dxfId="1540" priority="250">
      <formula>SEARCH("CHN",$S3)</formula>
    </cfRule>
  </conditionalFormatting>
  <conditionalFormatting sqref="W3:W8">
    <cfRule type="expression" dxfId="1539" priority="241">
      <formula>$S3="DSM"</formula>
    </cfRule>
    <cfRule type="expression" dxfId="1538" priority="242">
      <formula>SEARCH("GST",$S3)</formula>
    </cfRule>
    <cfRule type="expression" dxfId="1537" priority="243">
      <formula>SEARCH("RBT",$S3)</formula>
    </cfRule>
    <cfRule type="expression" dxfId="1536" priority="244">
      <formula>SEARCH("LFS",$S3)</formula>
    </cfRule>
    <cfRule type="expression" dxfId="1535" priority="245">
      <formula>SEARCH("CHN",$S3)</formula>
    </cfRule>
  </conditionalFormatting>
  <conditionalFormatting sqref="Y9:Y10">
    <cfRule type="expression" dxfId="1534" priority="236">
      <formula>$S9="DSM"</formula>
    </cfRule>
    <cfRule type="expression" dxfId="1533" priority="237">
      <formula>SEARCH("GST",$S9)</formula>
    </cfRule>
    <cfRule type="expression" dxfId="1532" priority="238">
      <formula>SEARCH("RBT",$S9)</formula>
    </cfRule>
    <cfRule type="expression" dxfId="1531" priority="239">
      <formula>SEARCH("LFS",$S9)</formula>
    </cfRule>
    <cfRule type="expression" dxfId="1530" priority="240">
      <formula>SEARCH("CHN",$S9)</formula>
    </cfRule>
  </conditionalFormatting>
  <conditionalFormatting sqref="S11:V12">
    <cfRule type="expression" dxfId="1529" priority="231">
      <formula>$S11="DSM"</formula>
    </cfRule>
    <cfRule type="expression" dxfId="1528" priority="232">
      <formula>SEARCH("GST",$S11)</formula>
    </cfRule>
    <cfRule type="expression" dxfId="1527" priority="233">
      <formula>SEARCH("RBT",$S11)</formula>
    </cfRule>
    <cfRule type="expression" dxfId="1526" priority="234">
      <formula>SEARCH("LFS",$S11)</formula>
    </cfRule>
    <cfRule type="expression" dxfId="1525" priority="235">
      <formula>SEARCH("CHN",$S11)</formula>
    </cfRule>
  </conditionalFormatting>
  <conditionalFormatting sqref="S11:S12">
    <cfRule type="cellIs" dxfId="1524" priority="230" operator="equal">
      <formula>"DSM"</formula>
    </cfRule>
  </conditionalFormatting>
  <conditionalFormatting sqref="S11:S12">
    <cfRule type="expression" dxfId="1523" priority="226">
      <formula>SEARCH("RBT",$S11)</formula>
    </cfRule>
    <cfRule type="expression" dxfId="1522" priority="227">
      <formula>SEARCH("GST",$S11)</formula>
    </cfRule>
    <cfRule type="expression" dxfId="1521" priority="228">
      <formula>SEARCH("CHN",$S11)</formula>
    </cfRule>
    <cfRule type="expression" dxfId="1520" priority="229">
      <formula>SEARCH("LFS",$S11)</formula>
    </cfRule>
  </conditionalFormatting>
  <conditionalFormatting sqref="W11:W12">
    <cfRule type="expression" dxfId="1519" priority="221">
      <formula>$S11="DSM"</formula>
    </cfRule>
    <cfRule type="expression" dxfId="1518" priority="222">
      <formula>SEARCH("GST",$S11)</formula>
    </cfRule>
    <cfRule type="expression" dxfId="1517" priority="223">
      <formula>SEARCH("RBT",$S11)</formula>
    </cfRule>
    <cfRule type="expression" dxfId="1516" priority="224">
      <formula>SEARCH("LFS",$S11)</formula>
    </cfRule>
    <cfRule type="expression" dxfId="1515" priority="225">
      <formula>SEARCH("CHN",$S11)</formula>
    </cfRule>
  </conditionalFormatting>
  <conditionalFormatting sqref="S27:X33">
    <cfRule type="expression" dxfId="1514" priority="206">
      <formula>$T27="DSM"</formula>
    </cfRule>
    <cfRule type="expression" dxfId="1513" priority="207">
      <formula>SEARCH("RBT",$T1048574)&gt;0</formula>
    </cfRule>
    <cfRule type="expression" dxfId="1512" priority="208">
      <formula>SEARCH("GST",$T1048574)&gt;0</formula>
    </cfRule>
    <cfRule type="expression" dxfId="1511" priority="209">
      <formula>SEARCH("CHN",$T27)&gt;0</formula>
    </cfRule>
    <cfRule type="expression" dxfId="1510" priority="210">
      <formula>$T27="LFS"</formula>
    </cfRule>
  </conditionalFormatting>
  <conditionalFormatting sqref="J34:X35">
    <cfRule type="expression" dxfId="1509" priority="196">
      <formula>$T34="DSM"</formula>
    </cfRule>
    <cfRule type="expression" dxfId="1508" priority="197">
      <formula>SEARCH("RBT",$T5)&gt;0</formula>
    </cfRule>
    <cfRule type="expression" dxfId="1507" priority="198">
      <formula>SEARCH("GST",$T5)&gt;0</formula>
    </cfRule>
    <cfRule type="expression" dxfId="1506" priority="199">
      <formula>SEARCH("CHN",$T34)&gt;0</formula>
    </cfRule>
    <cfRule type="expression" dxfId="1505" priority="200">
      <formula>$T34="LFS"</formula>
    </cfRule>
  </conditionalFormatting>
  <conditionalFormatting sqref="S36:X37">
    <cfRule type="expression" dxfId="1504" priority="191">
      <formula>$T36="DSM"</formula>
    </cfRule>
    <cfRule type="expression" dxfId="1503" priority="192">
      <formula>SEARCH("RBT",$T7)&gt;0</formula>
    </cfRule>
    <cfRule type="expression" dxfId="1502" priority="193">
      <formula>SEARCH("GST",$T7)&gt;0</formula>
    </cfRule>
    <cfRule type="expression" dxfId="1501" priority="194">
      <formula>SEARCH("CHN",$T36)&gt;0</formula>
    </cfRule>
    <cfRule type="expression" dxfId="1500" priority="195">
      <formula>$T36="LFS"</formula>
    </cfRule>
  </conditionalFormatting>
  <conditionalFormatting sqref="J38:X41">
    <cfRule type="expression" dxfId="1499" priority="186">
      <formula>$T38="DSM"</formula>
    </cfRule>
    <cfRule type="expression" dxfId="1498" priority="187">
      <formula>SEARCH("RBT",$T9)&gt;0</formula>
    </cfRule>
    <cfRule type="expression" dxfId="1497" priority="188">
      <formula>SEARCH("GST",$T9)&gt;0</formula>
    </cfRule>
    <cfRule type="expression" dxfId="1496" priority="189">
      <formula>SEARCH("CHN",$T38)&gt;0</formula>
    </cfRule>
    <cfRule type="expression" dxfId="1495" priority="190">
      <formula>$T38="LFS"</formula>
    </cfRule>
  </conditionalFormatting>
  <conditionalFormatting sqref="S42:X44">
    <cfRule type="expression" dxfId="1494" priority="181">
      <formula>$T42="DSM"</formula>
    </cfRule>
    <cfRule type="expression" dxfId="1493" priority="182">
      <formula>SEARCH("RBT",$T13)&gt;0</formula>
    </cfRule>
    <cfRule type="expression" dxfId="1492" priority="183">
      <formula>SEARCH("GST",$T13)&gt;0</formula>
    </cfRule>
    <cfRule type="expression" dxfId="1491" priority="184">
      <formula>SEARCH("CHN",$T42)&gt;0</formula>
    </cfRule>
    <cfRule type="expression" dxfId="1490" priority="185">
      <formula>$T42="LFS"</formula>
    </cfRule>
  </conditionalFormatting>
  <conditionalFormatting sqref="J45:X45">
    <cfRule type="expression" dxfId="1489" priority="176">
      <formula>$T45="DSM"</formula>
    </cfRule>
    <cfRule type="expression" dxfId="1488" priority="177">
      <formula>SEARCH("RBT",$T16)&gt;0</formula>
    </cfRule>
    <cfRule type="expression" dxfId="1487" priority="178">
      <formula>SEARCH("GST",$T16)&gt;0</formula>
    </cfRule>
    <cfRule type="expression" dxfId="1486" priority="179">
      <formula>SEARCH("CHN",$T45)&gt;0</formula>
    </cfRule>
    <cfRule type="expression" dxfId="1485" priority="180">
      <formula>$T45="LFS"</formula>
    </cfRule>
  </conditionalFormatting>
  <conditionalFormatting sqref="S47:X49">
    <cfRule type="expression" dxfId="1484" priority="171">
      <formula>$T47="DSM"</formula>
    </cfRule>
    <cfRule type="expression" dxfId="1483" priority="172">
      <formula>SEARCH("RBT",$T18)&gt;0</formula>
    </cfRule>
    <cfRule type="expression" dxfId="1482" priority="173">
      <formula>SEARCH("GST",$T18)&gt;0</formula>
    </cfRule>
    <cfRule type="expression" dxfId="1481" priority="174">
      <formula>SEARCH("CHN",$T47)&gt;0</formula>
    </cfRule>
    <cfRule type="expression" dxfId="1480" priority="175">
      <formula>$T47="LFS"</formula>
    </cfRule>
  </conditionalFormatting>
  <conditionalFormatting sqref="J50:X50">
    <cfRule type="expression" dxfId="1479" priority="166">
      <formula>$T50="DSM"</formula>
    </cfRule>
    <cfRule type="expression" dxfId="1478" priority="167">
      <formula>SEARCH("RBT",$T21)&gt;0</formula>
    </cfRule>
    <cfRule type="expression" dxfId="1477" priority="168">
      <formula>SEARCH("GST",$T21)&gt;0</formula>
    </cfRule>
    <cfRule type="expression" dxfId="1476" priority="169">
      <formula>SEARCH("CHN",$T50)&gt;0</formula>
    </cfRule>
    <cfRule type="expression" dxfId="1475" priority="170">
      <formula>$T50="LFS"</formula>
    </cfRule>
  </conditionalFormatting>
  <conditionalFormatting sqref="S51:X52">
    <cfRule type="expression" dxfId="1474" priority="161">
      <formula>$T51="DSM"</formula>
    </cfRule>
    <cfRule type="expression" dxfId="1473" priority="162">
      <formula>SEARCH("RBT",$T22)&gt;0</formula>
    </cfRule>
    <cfRule type="expression" dxfId="1472" priority="163">
      <formula>SEARCH("GST",$T22)&gt;0</formula>
    </cfRule>
    <cfRule type="expression" dxfId="1471" priority="164">
      <formula>SEARCH("CHN",$T51)&gt;0</formula>
    </cfRule>
    <cfRule type="expression" dxfId="1470" priority="165">
      <formula>$T51="LFS"</formula>
    </cfRule>
  </conditionalFormatting>
  <conditionalFormatting sqref="J53:X55">
    <cfRule type="expression" dxfId="1469" priority="156">
      <formula>$T53="DSM"</formula>
    </cfRule>
    <cfRule type="expression" dxfId="1468" priority="157">
      <formula>SEARCH("RBT",$T24)&gt;0</formula>
    </cfRule>
    <cfRule type="expression" dxfId="1467" priority="158">
      <formula>SEARCH("GST",$T24)&gt;0</formula>
    </cfRule>
    <cfRule type="expression" dxfId="1466" priority="159">
      <formula>SEARCH("CHN",$T53)&gt;0</formula>
    </cfRule>
    <cfRule type="expression" dxfId="1465" priority="160">
      <formula>$T53="LFS"</formula>
    </cfRule>
  </conditionalFormatting>
  <conditionalFormatting sqref="S56:X62">
    <cfRule type="expression" dxfId="1464" priority="151">
      <formula>$T56="DSM"</formula>
    </cfRule>
    <cfRule type="expression" dxfId="1463" priority="152">
      <formula>SEARCH("RBT",$T27)&gt;0</formula>
    </cfRule>
    <cfRule type="expression" dxfId="1462" priority="153">
      <formula>SEARCH("GST",$T27)&gt;0</formula>
    </cfRule>
    <cfRule type="expression" dxfId="1461" priority="154">
      <formula>SEARCH("CHN",$T56)&gt;0</formula>
    </cfRule>
    <cfRule type="expression" dxfId="1460" priority="155">
      <formula>$T56="LFS"</formula>
    </cfRule>
  </conditionalFormatting>
  <conditionalFormatting sqref="J63:X65">
    <cfRule type="expression" dxfId="1459" priority="146">
      <formula>$T63="DSM"</formula>
    </cfRule>
    <cfRule type="expression" dxfId="1458" priority="147">
      <formula>SEARCH("RBT",$T34)&gt;0</formula>
    </cfRule>
    <cfRule type="expression" dxfId="1457" priority="148">
      <formula>SEARCH("GST",$T34)&gt;0</formula>
    </cfRule>
    <cfRule type="expression" dxfId="1456" priority="149">
      <formula>SEARCH("CHN",$T63)&gt;0</formula>
    </cfRule>
    <cfRule type="expression" dxfId="1455" priority="150">
      <formula>$T63="LFS"</formula>
    </cfRule>
  </conditionalFormatting>
  <conditionalFormatting sqref="S66:X70">
    <cfRule type="expression" dxfId="1454" priority="141">
      <formula>$T66="DSM"</formula>
    </cfRule>
    <cfRule type="expression" dxfId="1453" priority="142">
      <formula>SEARCH("RBT",$T37)&gt;0</formula>
    </cfRule>
    <cfRule type="expression" dxfId="1452" priority="143">
      <formula>SEARCH("GST",$T37)&gt;0</formula>
    </cfRule>
    <cfRule type="expression" dxfId="1451" priority="144">
      <formula>SEARCH("CHN",$T66)&gt;0</formula>
    </cfRule>
    <cfRule type="expression" dxfId="1450" priority="145">
      <formula>$T66="LFS"</formula>
    </cfRule>
  </conditionalFormatting>
  <conditionalFormatting sqref="S72:X74">
    <cfRule type="expression" dxfId="1449" priority="136">
      <formula>$T72="DSM"</formula>
    </cfRule>
    <cfRule type="expression" dxfId="1448" priority="137">
      <formula>SEARCH("RBT",$T43)&gt;0</formula>
    </cfRule>
    <cfRule type="expression" dxfId="1447" priority="138">
      <formula>SEARCH("GST",$T43)&gt;0</formula>
    </cfRule>
    <cfRule type="expression" dxfId="1446" priority="139">
      <formula>SEARCH("CHN",$T72)&gt;0</formula>
    </cfRule>
    <cfRule type="expression" dxfId="1445" priority="140">
      <formula>$T72="LFS"</formula>
    </cfRule>
  </conditionalFormatting>
  <conditionalFormatting sqref="J75:X76">
    <cfRule type="expression" dxfId="1444" priority="131">
      <formula>$T75="DSM"</formula>
    </cfRule>
    <cfRule type="expression" dxfId="1443" priority="132">
      <formula>SEARCH("RBT",$T46)&gt;0</formula>
    </cfRule>
    <cfRule type="expression" dxfId="1442" priority="133">
      <formula>SEARCH("GST",$T46)&gt;0</formula>
    </cfRule>
    <cfRule type="expression" dxfId="1441" priority="134">
      <formula>SEARCH("CHN",$T75)&gt;0</formula>
    </cfRule>
    <cfRule type="expression" dxfId="1440" priority="135">
      <formula>$T75="LFS"</formula>
    </cfRule>
  </conditionalFormatting>
  <conditionalFormatting sqref="J77:X87">
    <cfRule type="expression" dxfId="1439" priority="126">
      <formula>$T77="DSM"</formula>
    </cfRule>
    <cfRule type="expression" dxfId="1438" priority="127">
      <formula>SEARCH("RBT",$T48)&gt;0</formula>
    </cfRule>
    <cfRule type="expression" dxfId="1437" priority="128">
      <formula>SEARCH("GST",$T48)&gt;0</formula>
    </cfRule>
    <cfRule type="expression" dxfId="1436" priority="129">
      <formula>SEARCH("CHN",$T77)&gt;0</formula>
    </cfRule>
    <cfRule type="expression" dxfId="1435" priority="130">
      <formula>$T77="LFS"</formula>
    </cfRule>
  </conditionalFormatting>
  <conditionalFormatting sqref="C77:H87">
    <cfRule type="expression" dxfId="1434" priority="121">
      <formula>$T77="DSM"</formula>
    </cfRule>
    <cfRule type="expression" dxfId="1433" priority="122">
      <formula>SEARCH("RBT",$T48)&gt;0</formula>
    </cfRule>
    <cfRule type="expression" dxfId="1432" priority="123">
      <formula>SEARCH("GST",$T48)&gt;0</formula>
    </cfRule>
    <cfRule type="expression" dxfId="1431" priority="124">
      <formula>SEARCH("CHN",$T77)&gt;0</formula>
    </cfRule>
    <cfRule type="expression" dxfId="1430" priority="125">
      <formula>$T77="LFS"</formula>
    </cfRule>
  </conditionalFormatting>
  <conditionalFormatting sqref="S89:X89">
    <cfRule type="expression" dxfId="1429" priority="116">
      <formula>$T89="DSM"</formula>
    </cfRule>
    <cfRule type="expression" dxfId="1428" priority="117">
      <formula>SEARCH("RBT",$T60)&gt;0</formula>
    </cfRule>
    <cfRule type="expression" dxfId="1427" priority="118">
      <formula>SEARCH("GST",$T60)&gt;0</formula>
    </cfRule>
    <cfRule type="expression" dxfId="1426" priority="119">
      <formula>SEARCH("CHN",$T89)&gt;0</formula>
    </cfRule>
    <cfRule type="expression" dxfId="1425" priority="120">
      <formula>$T89="LFS"</formula>
    </cfRule>
  </conditionalFormatting>
  <conditionalFormatting sqref="J90:X90">
    <cfRule type="expression" dxfId="1424" priority="111">
      <formula>$T90="DSM"</formula>
    </cfRule>
    <cfRule type="expression" dxfId="1423" priority="112">
      <formula>SEARCH("RBT",$T61)&gt;0</formula>
    </cfRule>
    <cfRule type="expression" dxfId="1422" priority="113">
      <formula>SEARCH("GST",$T61)&gt;0</formula>
    </cfRule>
    <cfRule type="expression" dxfId="1421" priority="114">
      <formula>SEARCH("CHN",$T90)&gt;0</formula>
    </cfRule>
    <cfRule type="expression" dxfId="1420" priority="115">
      <formula>$T90="LFS"</formula>
    </cfRule>
  </conditionalFormatting>
  <conditionalFormatting sqref="S91:X92">
    <cfRule type="expression" dxfId="1419" priority="106">
      <formula>$T91="DSM"</formula>
    </cfRule>
    <cfRule type="expression" dxfId="1418" priority="107">
      <formula>SEARCH("RBT",$T62)&gt;0</formula>
    </cfRule>
    <cfRule type="expression" dxfId="1417" priority="108">
      <formula>SEARCH("GST",$T62)&gt;0</formula>
    </cfRule>
    <cfRule type="expression" dxfId="1416" priority="109">
      <formula>SEARCH("CHN",$T91)&gt;0</formula>
    </cfRule>
    <cfRule type="expression" dxfId="1415" priority="110">
      <formula>$T91="LFS"</formula>
    </cfRule>
  </conditionalFormatting>
  <conditionalFormatting sqref="J93:X93">
    <cfRule type="expression" dxfId="1414" priority="101">
      <formula>$T93="DSM"</formula>
    </cfRule>
    <cfRule type="expression" dxfId="1413" priority="102">
      <formula>SEARCH("RBT",$T64)&gt;0</formula>
    </cfRule>
    <cfRule type="expression" dxfId="1412" priority="103">
      <formula>SEARCH("GST",$T64)&gt;0</formula>
    </cfRule>
    <cfRule type="expression" dxfId="1411" priority="104">
      <formula>SEARCH("CHN",$T93)&gt;0</formula>
    </cfRule>
    <cfRule type="expression" dxfId="1410" priority="105">
      <formula>$T93="LFS"</formula>
    </cfRule>
  </conditionalFormatting>
  <conditionalFormatting sqref="S94:X101">
    <cfRule type="expression" dxfId="1409" priority="96">
      <formula>$T94="DSM"</formula>
    </cfRule>
    <cfRule type="expression" dxfId="1408" priority="97">
      <formula>SEARCH("RBT",$T65)&gt;0</formula>
    </cfRule>
    <cfRule type="expression" dxfId="1407" priority="98">
      <formula>SEARCH("GST",$T65)&gt;0</formula>
    </cfRule>
    <cfRule type="expression" dxfId="1406" priority="99">
      <formula>SEARCH("CHN",$T94)&gt;0</formula>
    </cfRule>
    <cfRule type="expression" dxfId="1405" priority="100">
      <formula>$T94="LFS"</formula>
    </cfRule>
  </conditionalFormatting>
  <conditionalFormatting sqref="S105:X108">
    <cfRule type="expression" dxfId="1404" priority="91">
      <formula>$T105="DSM"</formula>
    </cfRule>
    <cfRule type="expression" dxfId="1403" priority="92">
      <formula>SEARCH("RBT",$T76)&gt;0</formula>
    </cfRule>
    <cfRule type="expression" dxfId="1402" priority="93">
      <formula>SEARCH("GST",$T76)&gt;0</formula>
    </cfRule>
    <cfRule type="expression" dxfId="1401" priority="94">
      <formula>SEARCH("CHN",$T105)&gt;0</formula>
    </cfRule>
    <cfRule type="expression" dxfId="1400" priority="95">
      <formula>$T105="LFS"</formula>
    </cfRule>
  </conditionalFormatting>
  <conditionalFormatting sqref="J113:X113">
    <cfRule type="expression" dxfId="1399" priority="84">
      <formula>$T113="DSM"</formula>
    </cfRule>
    <cfRule type="expression" dxfId="1398" priority="85">
      <formula>SEARCH("RBT",$T84)&gt;0</formula>
    </cfRule>
    <cfRule type="expression" dxfId="1397" priority="86">
      <formula>SEARCH("GST",$T84)&gt;0</formula>
    </cfRule>
    <cfRule type="expression" dxfId="1396" priority="87">
      <formula>SEARCH("CHN",$T113)&gt;0</formula>
    </cfRule>
    <cfRule type="expression" dxfId="1395" priority="88">
      <formula>$T113="LFS"</formula>
    </cfRule>
  </conditionalFormatting>
  <conditionalFormatting sqref="J114:X115">
    <cfRule type="expression" dxfId="1394" priority="79">
      <formula>$T114="DSM"</formula>
    </cfRule>
    <cfRule type="expression" dxfId="1393" priority="80">
      <formula>SEARCH("RBT",$T85)&gt;0</formula>
    </cfRule>
    <cfRule type="expression" dxfId="1392" priority="81">
      <formula>SEARCH("GST",$T85)&gt;0</formula>
    </cfRule>
    <cfRule type="expression" dxfId="1391" priority="82">
      <formula>SEARCH("CHN",$T114)&gt;0</formula>
    </cfRule>
    <cfRule type="expression" dxfId="1390" priority="83">
      <formula>$T114="LFS"</formula>
    </cfRule>
  </conditionalFormatting>
  <conditionalFormatting sqref="S159:S160">
    <cfRule type="cellIs" dxfId="1389" priority="78" operator="equal">
      <formula>"DSM"</formula>
    </cfRule>
  </conditionalFormatting>
  <conditionalFormatting sqref="S161:S163">
    <cfRule type="cellIs" dxfId="1388" priority="77" operator="equal">
      <formula>"DSM"</formula>
    </cfRule>
  </conditionalFormatting>
  <conditionalFormatting sqref="S164:S167">
    <cfRule type="cellIs" dxfId="1387" priority="76" operator="equal">
      <formula>"DSM"</formula>
    </cfRule>
  </conditionalFormatting>
  <conditionalFormatting sqref="S168">
    <cfRule type="cellIs" dxfId="1386" priority="75" operator="equal">
      <formula>"DSM"</formula>
    </cfRule>
  </conditionalFormatting>
  <conditionalFormatting sqref="S169:S177">
    <cfRule type="cellIs" dxfId="1385" priority="74" operator="equal">
      <formula>"DSM"</formula>
    </cfRule>
  </conditionalFormatting>
  <conditionalFormatting sqref="S178">
    <cfRule type="cellIs" dxfId="1384" priority="73" operator="equal">
      <formula>"DSM"</formula>
    </cfRule>
  </conditionalFormatting>
  <conditionalFormatting sqref="S179">
    <cfRule type="cellIs" dxfId="1383" priority="72" operator="equal">
      <formula>"DSM"</formula>
    </cfRule>
  </conditionalFormatting>
  <conditionalFormatting sqref="S180:S186">
    <cfRule type="cellIs" dxfId="1382" priority="71" operator="equal">
      <formula>"DSM"</formula>
    </cfRule>
  </conditionalFormatting>
  <conditionalFormatting sqref="S189:S190">
    <cfRule type="cellIs" dxfId="1381" priority="70" operator="equal">
      <formula>"DSM"</formula>
    </cfRule>
  </conditionalFormatting>
  <conditionalFormatting sqref="S191">
    <cfRule type="cellIs" dxfId="1380" priority="69" operator="equal">
      <formula>"DSM"</formula>
    </cfRule>
  </conditionalFormatting>
  <conditionalFormatting sqref="S192:S193">
    <cfRule type="cellIs" dxfId="1379" priority="68" operator="equal">
      <formula>"DSM"</formula>
    </cfRule>
  </conditionalFormatting>
  <conditionalFormatting sqref="S194">
    <cfRule type="cellIs" dxfId="1378" priority="67" operator="equal">
      <formula>"DSM"</formula>
    </cfRule>
  </conditionalFormatting>
  <conditionalFormatting sqref="S195">
    <cfRule type="cellIs" dxfId="1377" priority="66" operator="equal">
      <formula>"DSM"</formula>
    </cfRule>
  </conditionalFormatting>
  <conditionalFormatting sqref="S217">
    <cfRule type="cellIs" dxfId="1376" priority="65" operator="equal">
      <formula>"DSM"</formula>
    </cfRule>
  </conditionalFormatting>
  <conditionalFormatting sqref="S230:S233">
    <cfRule type="cellIs" dxfId="1375" priority="64" operator="equal">
      <formula>"DSM"</formula>
    </cfRule>
  </conditionalFormatting>
  <conditionalFormatting sqref="S235:S239">
    <cfRule type="cellIs" dxfId="1374" priority="63" operator="equal">
      <formula>"DSM"</formula>
    </cfRule>
  </conditionalFormatting>
  <conditionalFormatting sqref="S241:S246">
    <cfRule type="cellIs" dxfId="1373" priority="62" operator="equal">
      <formula>"DSM"</formula>
    </cfRule>
  </conditionalFormatting>
  <conditionalFormatting sqref="S248:S253">
    <cfRule type="cellIs" dxfId="1372" priority="61" operator="equal">
      <formula>"DSM"</formula>
    </cfRule>
  </conditionalFormatting>
  <conditionalFormatting sqref="S255:S256">
    <cfRule type="cellIs" dxfId="1371" priority="60" operator="equal">
      <formula>"DSM"</formula>
    </cfRule>
  </conditionalFormatting>
  <conditionalFormatting sqref="S261">
    <cfRule type="cellIs" dxfId="1370" priority="59" operator="equal">
      <formula>"DSM"</formula>
    </cfRule>
  </conditionalFormatting>
  <conditionalFormatting sqref="S262:S263">
    <cfRule type="cellIs" dxfId="1369" priority="58" operator="equal">
      <formula>"DSM"</formula>
    </cfRule>
  </conditionalFormatting>
  <conditionalFormatting sqref="S288">
    <cfRule type="cellIs" dxfId="1368" priority="57" operator="equal">
      <formula>"DSM"</formula>
    </cfRule>
  </conditionalFormatting>
  <conditionalFormatting sqref="S345:S350">
    <cfRule type="cellIs" dxfId="1367" priority="56" operator="equal">
      <formula>"DSM"</formula>
    </cfRule>
  </conditionalFormatting>
  <conditionalFormatting sqref="S351">
    <cfRule type="cellIs" dxfId="1366" priority="55" operator="equal">
      <formula>"DSM"</formula>
    </cfRule>
  </conditionalFormatting>
  <conditionalFormatting sqref="S352:S353">
    <cfRule type="cellIs" dxfId="1365" priority="54" operator="equal">
      <formula>"DSM"</formula>
    </cfRule>
  </conditionalFormatting>
  <conditionalFormatting sqref="S354">
    <cfRule type="cellIs" dxfId="1364" priority="53" operator="equal">
      <formula>"DSM"</formula>
    </cfRule>
  </conditionalFormatting>
  <conditionalFormatting sqref="S355:S370">
    <cfRule type="cellIs" dxfId="1363" priority="52" operator="equal">
      <formula>"DSM"</formula>
    </cfRule>
  </conditionalFormatting>
  <conditionalFormatting sqref="S373:S379">
    <cfRule type="cellIs" dxfId="1362" priority="51" operator="equal">
      <formula>"DSM"</formula>
    </cfRule>
  </conditionalFormatting>
  <conditionalFormatting sqref="S381:S382">
    <cfRule type="cellIs" dxfId="1361" priority="50" operator="equal">
      <formula>"DSM"</formula>
    </cfRule>
  </conditionalFormatting>
  <conditionalFormatting sqref="S383">
    <cfRule type="cellIs" dxfId="1360" priority="49" operator="equal">
      <formula>"DSM"</formula>
    </cfRule>
  </conditionalFormatting>
  <conditionalFormatting sqref="S416:S417">
    <cfRule type="cellIs" dxfId="1359" priority="48" operator="equal">
      <formula>"DSM"</formula>
    </cfRule>
  </conditionalFormatting>
  <conditionalFormatting sqref="S418:S419">
    <cfRule type="cellIs" dxfId="1358" priority="47" operator="equal">
      <formula>"DSM"</formula>
    </cfRule>
  </conditionalFormatting>
  <conditionalFormatting sqref="S420:S422">
    <cfRule type="cellIs" dxfId="1357" priority="46" operator="equal">
      <formula>"DSM"</formula>
    </cfRule>
  </conditionalFormatting>
  <conditionalFormatting sqref="S423:S426">
    <cfRule type="cellIs" dxfId="1356" priority="45" operator="equal">
      <formula>"DSM"</formula>
    </cfRule>
  </conditionalFormatting>
  <conditionalFormatting sqref="S428:S441">
    <cfRule type="cellIs" dxfId="1355" priority="44" operator="equal">
      <formula>"DSM"</formula>
    </cfRule>
  </conditionalFormatting>
  <conditionalFormatting sqref="S483">
    <cfRule type="cellIs" dxfId="1354" priority="42" operator="equal">
      <formula>"DSM"</formula>
    </cfRule>
  </conditionalFormatting>
  <conditionalFormatting sqref="S484:S488">
    <cfRule type="cellIs" dxfId="1353" priority="41" operator="equal">
      <formula>"DSM"</formula>
    </cfRule>
  </conditionalFormatting>
  <conditionalFormatting sqref="S490:S496">
    <cfRule type="cellIs" dxfId="1352" priority="40" operator="equal">
      <formula>"DSM"</formula>
    </cfRule>
  </conditionalFormatting>
  <conditionalFormatting sqref="S498:S499">
    <cfRule type="cellIs" dxfId="1351" priority="39" operator="equal">
      <formula>"DSM"</formula>
    </cfRule>
  </conditionalFormatting>
  <conditionalFormatting sqref="S500">
    <cfRule type="cellIs" dxfId="1350" priority="38" operator="equal">
      <formula>"DSM"</formula>
    </cfRule>
  </conditionalFormatting>
  <conditionalFormatting sqref="S501">
    <cfRule type="cellIs" dxfId="1349" priority="37" operator="equal">
      <formula>"DSM"</formula>
    </cfRule>
  </conditionalFormatting>
  <conditionalFormatting sqref="S505">
    <cfRule type="cellIs" dxfId="1348" priority="36" operator="equal">
      <formula>"DSM"</formula>
    </cfRule>
  </conditionalFormatting>
  <conditionalFormatting sqref="S522">
    <cfRule type="cellIs" dxfId="1347" priority="35" operator="equal">
      <formula>"DSM"</formula>
    </cfRule>
  </conditionalFormatting>
  <conditionalFormatting sqref="S552:S559">
    <cfRule type="cellIs" dxfId="1346" priority="34" operator="equal">
      <formula>"DSM"</formula>
    </cfRule>
  </conditionalFormatting>
  <conditionalFormatting sqref="S560:S564">
    <cfRule type="cellIs" dxfId="1345" priority="33" operator="equal">
      <formula>"DSM"</formula>
    </cfRule>
  </conditionalFormatting>
  <conditionalFormatting sqref="S565">
    <cfRule type="cellIs" dxfId="1344" priority="32" operator="equal">
      <formula>"DSM"</formula>
    </cfRule>
  </conditionalFormatting>
  <conditionalFormatting sqref="S566:S571">
    <cfRule type="cellIs" dxfId="1343" priority="31" operator="equal">
      <formula>"DSM"</formula>
    </cfRule>
  </conditionalFormatting>
  <conditionalFormatting sqref="S572">
    <cfRule type="cellIs" dxfId="1342" priority="30" operator="equal">
      <formula>"DSM"</formula>
    </cfRule>
  </conditionalFormatting>
  <conditionalFormatting sqref="S635">
    <cfRule type="cellIs" dxfId="1341" priority="29" operator="equal">
      <formula>"DSM"</formula>
    </cfRule>
  </conditionalFormatting>
  <conditionalFormatting sqref="S636:S646">
    <cfRule type="cellIs" dxfId="1340" priority="28" operator="equal">
      <formula>"DSM"</formula>
    </cfRule>
  </conditionalFormatting>
  <conditionalFormatting sqref="S648:S660">
    <cfRule type="cellIs" dxfId="1339" priority="27" operator="equal">
      <formula>"DSM"</formula>
    </cfRule>
  </conditionalFormatting>
  <conditionalFormatting sqref="S721">
    <cfRule type="cellIs" dxfId="1338" priority="26" operator="equal">
      <formula>"DSM"</formula>
    </cfRule>
  </conditionalFormatting>
  <conditionalFormatting sqref="S722:S725">
    <cfRule type="cellIs" dxfId="1337" priority="25" operator="equal">
      <formula>"DSM"</formula>
    </cfRule>
  </conditionalFormatting>
  <conditionalFormatting sqref="S728">
    <cfRule type="cellIs" dxfId="1336" priority="24" operator="equal">
      <formula>"DSM"</formula>
    </cfRule>
  </conditionalFormatting>
  <conditionalFormatting sqref="S730:S735">
    <cfRule type="cellIs" dxfId="1335" priority="23" operator="equal">
      <formula>"DSM"</formula>
    </cfRule>
  </conditionalFormatting>
  <conditionalFormatting sqref="S743">
    <cfRule type="cellIs" dxfId="1334" priority="22" operator="equal">
      <formula>"DSM"</formula>
    </cfRule>
  </conditionalFormatting>
  <conditionalFormatting sqref="S744:S749">
    <cfRule type="cellIs" dxfId="1333" priority="21" operator="equal">
      <formula>"DSM"</formula>
    </cfRule>
  </conditionalFormatting>
  <conditionalFormatting sqref="S750">
    <cfRule type="cellIs" dxfId="1332" priority="20" operator="equal">
      <formula>"DSM"</formula>
    </cfRule>
  </conditionalFormatting>
  <conditionalFormatting sqref="S753">
    <cfRule type="cellIs" dxfId="1331" priority="19" operator="equal">
      <formula>"DSM"</formula>
    </cfRule>
  </conditionalFormatting>
  <conditionalFormatting sqref="S756">
    <cfRule type="cellIs" dxfId="1330" priority="18" operator="equal">
      <formula>"DSM"</formula>
    </cfRule>
  </conditionalFormatting>
  <conditionalFormatting sqref="S760:S761">
    <cfRule type="cellIs" dxfId="1329" priority="17" operator="equal">
      <formula>"DSM"</formula>
    </cfRule>
  </conditionalFormatting>
  <conditionalFormatting sqref="S763">
    <cfRule type="cellIs" dxfId="1328" priority="16" operator="equal">
      <formula>"DSM"</formula>
    </cfRule>
  </conditionalFormatting>
  <conditionalFormatting sqref="S764:S768">
    <cfRule type="cellIs" dxfId="1327" priority="15" operator="equal">
      <formula>"DSM"</formula>
    </cfRule>
  </conditionalFormatting>
  <conditionalFormatting sqref="S769">
    <cfRule type="cellIs" dxfId="1326" priority="14" operator="equal">
      <formula>"DSM"</formula>
    </cfRule>
  </conditionalFormatting>
  <conditionalFormatting sqref="S770">
    <cfRule type="cellIs" dxfId="1325" priority="13" operator="equal">
      <formula>"DSM"</formula>
    </cfRule>
  </conditionalFormatting>
  <conditionalFormatting sqref="S771:S772">
    <cfRule type="cellIs" dxfId="1324" priority="12" operator="equal">
      <formula>"DSM"</formula>
    </cfRule>
  </conditionalFormatting>
  <conditionalFormatting sqref="S781:S782">
    <cfRule type="cellIs" dxfId="1323" priority="11" operator="equal">
      <formula>"DSM"</formula>
    </cfRule>
  </conditionalFormatting>
  <conditionalFormatting sqref="S783:S786">
    <cfRule type="cellIs" dxfId="1322" priority="10" operator="equal">
      <formula>"DSM"</formula>
    </cfRule>
  </conditionalFormatting>
  <conditionalFormatting sqref="S788:S791">
    <cfRule type="cellIs" dxfId="1321" priority="9" operator="equal">
      <formula>"DSM"</formula>
    </cfRule>
  </conditionalFormatting>
  <conditionalFormatting sqref="S792:S798">
    <cfRule type="cellIs" dxfId="1320" priority="8" operator="equal">
      <formula>"DSM"</formula>
    </cfRule>
  </conditionalFormatting>
  <conditionalFormatting sqref="S799">
    <cfRule type="cellIs" dxfId="1319" priority="7" operator="equal">
      <formula>"DSM"</formula>
    </cfRule>
  </conditionalFormatting>
  <conditionalFormatting sqref="S800:S804">
    <cfRule type="cellIs" dxfId="1318" priority="6" operator="equal">
      <formula>"DSM"</formula>
    </cfRule>
  </conditionalFormatting>
  <conditionalFormatting sqref="S806">
    <cfRule type="cellIs" dxfId="1317" priority="5" operator="equal">
      <formula>"DSM"</formula>
    </cfRule>
  </conditionalFormatting>
  <conditionalFormatting sqref="S807">
    <cfRule type="cellIs" dxfId="1316" priority="4" operator="equal">
      <formula>"DSM"</formula>
    </cfRule>
  </conditionalFormatting>
  <conditionalFormatting sqref="S808:S813">
    <cfRule type="cellIs" dxfId="1315" priority="3" operator="equal">
      <formula>"DSM"</formula>
    </cfRule>
  </conditionalFormatting>
  <conditionalFormatting sqref="S815:S832">
    <cfRule type="cellIs" dxfId="1314" priority="2" operator="equal">
      <formula>"DSM"</formula>
    </cfRule>
  </conditionalFormatting>
  <conditionalFormatting sqref="S834:S835">
    <cfRule type="cellIs" dxfId="1313" priority="1" operator="equal">
      <formula>"DSM"</formula>
    </cfRule>
  </conditionalFormatting>
  <conditionalFormatting sqref="J23:X23 J13:X16 S17:X22 S24:X25">
    <cfRule type="expression" dxfId="1312" priority="1276">
      <formula>$T13="DSM"</formula>
    </cfRule>
    <cfRule type="expression" dxfId="1311" priority="1277">
      <formula>SEARCH("RBT",$T1048545)&gt;0</formula>
    </cfRule>
    <cfRule type="expression" dxfId="1310" priority="1278">
      <formula>SEARCH("GST",$T1048545)&gt;0</formula>
    </cfRule>
    <cfRule type="expression" dxfId="1309" priority="1279">
      <formula>SEARCH("CHN",$T13)&gt;0</formula>
    </cfRule>
    <cfRule type="expression" dxfId="1308" priority="1280">
      <formula>$T13="LFS"</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
    <tabColor theme="6" tint="0.59999389629810485"/>
  </sheetPr>
  <dimension ref="A1:X293"/>
  <sheetViews>
    <sheetView workbookViewId="0">
      <selection activeCell="D20" sqref="D20"/>
    </sheetView>
  </sheetViews>
  <sheetFormatPr defaultColWidth="10.5703125" defaultRowHeight="15" x14ac:dyDescent="0.25"/>
  <cols>
    <col min="1" max="1" width="16.7109375" style="48" customWidth="1"/>
    <col min="2" max="2" width="30.85546875" style="48" bestFit="1" customWidth="1"/>
    <col min="3" max="3" width="12.42578125" style="48" bestFit="1" customWidth="1"/>
    <col min="4" max="4" width="14" style="48" bestFit="1" customWidth="1"/>
    <col min="5" max="5" width="13.140625" style="48" bestFit="1" customWidth="1"/>
    <col min="6" max="6" width="12.42578125" style="48" customWidth="1"/>
    <col min="7" max="7" width="34.42578125" style="48" customWidth="1"/>
    <col min="8" max="8" width="9.85546875" style="48" customWidth="1"/>
    <col min="9" max="9" width="7.42578125" style="48" customWidth="1"/>
    <col min="10" max="10" width="9.7109375" style="48" customWidth="1"/>
    <col min="11" max="11" width="13.42578125" style="241" customWidth="1"/>
    <col min="12" max="12" width="15.5703125" style="48" customWidth="1"/>
    <col min="13" max="13" width="12.140625" style="48" customWidth="1"/>
    <col min="14" max="14" width="31.7109375" style="48" bestFit="1" customWidth="1"/>
    <col min="15" max="15" width="20.42578125" style="48" customWidth="1"/>
    <col min="16" max="16" width="23.42578125" style="48" customWidth="1"/>
    <col min="17" max="17" width="18.28515625" style="48" customWidth="1"/>
    <col min="18" max="18" width="27.140625" style="48" customWidth="1"/>
    <col min="19" max="19" width="30.140625" style="48" customWidth="1"/>
    <col min="20" max="20" width="7.42578125" style="48" customWidth="1"/>
    <col min="21" max="21" width="6" style="48" customWidth="1"/>
    <col min="22" max="22" width="14.7109375" style="48" customWidth="1"/>
    <col min="23" max="23" width="123" style="5" bestFit="1" customWidth="1"/>
    <col min="24" max="24" width="9.5703125" style="48" bestFit="1" customWidth="1"/>
    <col min="25" max="16384" width="10.5703125" style="48"/>
  </cols>
  <sheetData>
    <row r="1" spans="1:24" s="47" customFormat="1" x14ac:dyDescent="0.25">
      <c r="A1" s="50" t="s">
        <v>4498</v>
      </c>
      <c r="W1" s="46"/>
    </row>
    <row r="2" spans="1:24" s="227" customFormat="1" x14ac:dyDescent="0.25">
      <c r="A2" s="226" t="s">
        <v>1</v>
      </c>
      <c r="B2" s="227" t="s">
        <v>3</v>
      </c>
      <c r="C2" s="227" t="s">
        <v>4</v>
      </c>
      <c r="D2" s="227" t="s">
        <v>5</v>
      </c>
      <c r="E2" s="227" t="s">
        <v>6</v>
      </c>
      <c r="F2" s="227" t="s">
        <v>7</v>
      </c>
      <c r="G2" s="227" t="s">
        <v>8</v>
      </c>
      <c r="H2" s="226" t="s">
        <v>9</v>
      </c>
      <c r="I2" s="226" t="s">
        <v>10</v>
      </c>
      <c r="J2" s="226" t="s">
        <v>11</v>
      </c>
      <c r="K2" s="226" t="s">
        <v>12</v>
      </c>
      <c r="L2" s="226" t="s">
        <v>13</v>
      </c>
      <c r="M2" s="226" t="s">
        <v>14</v>
      </c>
      <c r="N2" s="226" t="s">
        <v>15</v>
      </c>
      <c r="O2" s="226" t="s">
        <v>16</v>
      </c>
      <c r="P2" s="226" t="s">
        <v>1746</v>
      </c>
      <c r="Q2" s="228" t="s">
        <v>17</v>
      </c>
      <c r="R2" s="228" t="s">
        <v>18</v>
      </c>
      <c r="S2" s="228" t="s">
        <v>1747</v>
      </c>
      <c r="T2" s="226" t="s">
        <v>19</v>
      </c>
      <c r="U2" s="226" t="s">
        <v>20</v>
      </c>
      <c r="V2" s="226" t="s">
        <v>21</v>
      </c>
      <c r="W2" s="229" t="s">
        <v>22</v>
      </c>
      <c r="X2" s="226" t="s">
        <v>23</v>
      </c>
    </row>
    <row r="3" spans="1:24" x14ac:dyDescent="0.25">
      <c r="A3" s="41">
        <v>43255</v>
      </c>
      <c r="B3" s="230" t="s">
        <v>62</v>
      </c>
      <c r="C3" s="230">
        <v>38.182670000000002</v>
      </c>
      <c r="D3" s="230">
        <v>-121.96444</v>
      </c>
      <c r="E3" s="230" t="s">
        <v>6669</v>
      </c>
      <c r="F3" s="230" t="s">
        <v>27</v>
      </c>
      <c r="G3" s="631" t="s">
        <v>62</v>
      </c>
      <c r="H3" s="231">
        <v>0.36388888888888887</v>
      </c>
      <c r="I3" s="42" t="s">
        <v>4500</v>
      </c>
      <c r="J3" s="42" t="s">
        <v>4501</v>
      </c>
      <c r="K3" s="232" t="s">
        <v>30</v>
      </c>
      <c r="L3" s="42">
        <v>2</v>
      </c>
      <c r="M3" s="42">
        <v>10</v>
      </c>
      <c r="N3" s="42">
        <f>AVERAGE(32,35.9)</f>
        <v>33.950000000000003</v>
      </c>
      <c r="O3" s="42">
        <f>AVERAGE(5481,5347)</f>
        <v>5414</v>
      </c>
      <c r="P3" s="42">
        <f>AVERAGE(5443,5369)</f>
        <v>5406</v>
      </c>
      <c r="Q3" s="233">
        <f>AVERAGE(0.31,0.3)</f>
        <v>0.30499999999999999</v>
      </c>
      <c r="R3" s="234">
        <f>AVERAGE(40.4,43)</f>
        <v>41.7</v>
      </c>
      <c r="S3" s="234">
        <f>AVERAGE(42.2,135)</f>
        <v>88.6</v>
      </c>
      <c r="T3" s="43" t="s">
        <v>50</v>
      </c>
      <c r="U3" s="235" t="s">
        <v>50</v>
      </c>
      <c r="V3" s="235" t="s">
        <v>50</v>
      </c>
      <c r="W3" s="5" t="s">
        <v>6670</v>
      </c>
      <c r="X3" s="235" t="s">
        <v>6671</v>
      </c>
    </row>
    <row r="4" spans="1:24" s="149" customFormat="1" x14ac:dyDescent="0.25">
      <c r="A4" s="179">
        <v>43255</v>
      </c>
      <c r="B4" s="153" t="s">
        <v>62</v>
      </c>
      <c r="C4" s="149">
        <v>38.130600000000001</v>
      </c>
      <c r="D4" s="149">
        <v>-122.02244</v>
      </c>
      <c r="E4" s="149" t="s">
        <v>6672</v>
      </c>
      <c r="F4" s="153" t="s">
        <v>27</v>
      </c>
      <c r="G4" s="149" t="s">
        <v>173</v>
      </c>
      <c r="H4" s="165">
        <v>0.42152777777777778</v>
      </c>
      <c r="I4" s="161" t="s">
        <v>4500</v>
      </c>
      <c r="J4" s="161" t="s">
        <v>4501</v>
      </c>
      <c r="K4" s="236" t="s">
        <v>30</v>
      </c>
      <c r="L4" s="161">
        <v>0</v>
      </c>
      <c r="M4" s="161" t="s">
        <v>50</v>
      </c>
      <c r="N4" s="161" t="s">
        <v>50</v>
      </c>
      <c r="O4" s="161" t="s">
        <v>50</v>
      </c>
      <c r="P4" s="161" t="s">
        <v>50</v>
      </c>
      <c r="Q4" s="163" t="s">
        <v>50</v>
      </c>
      <c r="R4" s="161" t="s">
        <v>50</v>
      </c>
      <c r="S4" s="161" t="s">
        <v>50</v>
      </c>
      <c r="T4" s="161" t="s">
        <v>50</v>
      </c>
      <c r="U4" s="161" t="s">
        <v>50</v>
      </c>
      <c r="V4" s="161" t="s">
        <v>50</v>
      </c>
      <c r="W4" s="152" t="s">
        <v>6673</v>
      </c>
      <c r="X4" s="158" t="s">
        <v>6671</v>
      </c>
    </row>
    <row r="5" spans="1:24" s="149" customFormat="1" x14ac:dyDescent="0.25">
      <c r="A5" s="179">
        <v>43255</v>
      </c>
      <c r="B5" s="153" t="s">
        <v>62</v>
      </c>
      <c r="C5" s="149">
        <v>38.117220000000003</v>
      </c>
      <c r="D5" s="149">
        <v>-121.99549</v>
      </c>
      <c r="E5" s="149" t="s">
        <v>6674</v>
      </c>
      <c r="F5" s="153" t="s">
        <v>27</v>
      </c>
      <c r="G5" s="149" t="s">
        <v>173</v>
      </c>
      <c r="H5" s="165">
        <v>0.42638888888888887</v>
      </c>
      <c r="I5" s="161" t="s">
        <v>4500</v>
      </c>
      <c r="J5" s="161" t="s">
        <v>4501</v>
      </c>
      <c r="K5" s="236" t="s">
        <v>30</v>
      </c>
      <c r="L5" s="161">
        <v>0</v>
      </c>
      <c r="M5" s="161" t="s">
        <v>50</v>
      </c>
      <c r="N5" s="161" t="s">
        <v>50</v>
      </c>
      <c r="O5" s="161" t="s">
        <v>50</v>
      </c>
      <c r="P5" s="161" t="s">
        <v>50</v>
      </c>
      <c r="Q5" s="163" t="s">
        <v>50</v>
      </c>
      <c r="R5" s="161" t="s">
        <v>50</v>
      </c>
      <c r="S5" s="161" t="s">
        <v>50</v>
      </c>
      <c r="T5" s="161" t="s">
        <v>50</v>
      </c>
      <c r="U5" s="161" t="s">
        <v>50</v>
      </c>
      <c r="V5" s="161" t="s">
        <v>50</v>
      </c>
      <c r="W5" s="152" t="s">
        <v>6673</v>
      </c>
      <c r="X5" s="158" t="s">
        <v>6671</v>
      </c>
    </row>
    <row r="6" spans="1:24" s="149" customFormat="1" x14ac:dyDescent="0.25">
      <c r="A6" s="179">
        <v>43255</v>
      </c>
      <c r="B6" s="153" t="s">
        <v>62</v>
      </c>
      <c r="C6" s="149">
        <v>38.119210000000002</v>
      </c>
      <c r="D6" s="149">
        <v>-122.03869</v>
      </c>
      <c r="E6" s="149" t="s">
        <v>6675</v>
      </c>
      <c r="F6" s="153" t="s">
        <v>27</v>
      </c>
      <c r="G6" s="149" t="s">
        <v>173</v>
      </c>
      <c r="H6" s="165">
        <v>0.43333333333333335</v>
      </c>
      <c r="I6" s="161" t="s">
        <v>4500</v>
      </c>
      <c r="J6" s="161" t="s">
        <v>4501</v>
      </c>
      <c r="K6" s="236" t="s">
        <v>30</v>
      </c>
      <c r="L6" s="161">
        <v>0</v>
      </c>
      <c r="M6" s="161" t="s">
        <v>50</v>
      </c>
      <c r="N6" s="161" t="s">
        <v>50</v>
      </c>
      <c r="O6" s="161" t="s">
        <v>50</v>
      </c>
      <c r="P6" s="161" t="s">
        <v>50</v>
      </c>
      <c r="Q6" s="163" t="s">
        <v>50</v>
      </c>
      <c r="R6" s="161" t="s">
        <v>50</v>
      </c>
      <c r="S6" s="161" t="s">
        <v>50</v>
      </c>
      <c r="T6" s="161" t="s">
        <v>50</v>
      </c>
      <c r="U6" s="161" t="s">
        <v>50</v>
      </c>
      <c r="V6" s="161" t="s">
        <v>50</v>
      </c>
      <c r="W6" s="152" t="s">
        <v>6673</v>
      </c>
      <c r="X6" s="158" t="s">
        <v>6671</v>
      </c>
    </row>
    <row r="7" spans="1:24" s="149" customFormat="1" x14ac:dyDescent="0.25">
      <c r="A7" s="179">
        <v>43255</v>
      </c>
      <c r="B7" s="153" t="s">
        <v>62</v>
      </c>
      <c r="C7" s="149">
        <v>38.133670000000002</v>
      </c>
      <c r="D7" s="149">
        <v>-122.00749999999999</v>
      </c>
      <c r="E7" s="149" t="s">
        <v>6676</v>
      </c>
      <c r="F7" s="153" t="s">
        <v>27</v>
      </c>
      <c r="G7" s="149" t="s">
        <v>173</v>
      </c>
      <c r="H7" s="165">
        <v>0.4375</v>
      </c>
      <c r="I7" s="161" t="s">
        <v>4500</v>
      </c>
      <c r="J7" s="161" t="s">
        <v>4501</v>
      </c>
      <c r="K7" s="236" t="s">
        <v>30</v>
      </c>
      <c r="L7" s="161">
        <v>0</v>
      </c>
      <c r="M7" s="161" t="s">
        <v>50</v>
      </c>
      <c r="N7" s="161" t="s">
        <v>50</v>
      </c>
      <c r="O7" s="161" t="s">
        <v>50</v>
      </c>
      <c r="P7" s="161" t="s">
        <v>50</v>
      </c>
      <c r="Q7" s="163" t="s">
        <v>50</v>
      </c>
      <c r="R7" s="161" t="s">
        <v>50</v>
      </c>
      <c r="S7" s="161" t="s">
        <v>50</v>
      </c>
      <c r="T7" s="161" t="s">
        <v>50</v>
      </c>
      <c r="U7" s="161" t="s">
        <v>50</v>
      </c>
      <c r="V7" s="161" t="s">
        <v>50</v>
      </c>
      <c r="W7" s="152" t="s">
        <v>6673</v>
      </c>
      <c r="X7" s="158" t="s">
        <v>6671</v>
      </c>
    </row>
    <row r="8" spans="1:24" s="149" customFormat="1" x14ac:dyDescent="0.25">
      <c r="A8" s="179">
        <v>43255</v>
      </c>
      <c r="B8" s="153" t="s">
        <v>62</v>
      </c>
      <c r="C8" s="149">
        <v>38.115870000000001</v>
      </c>
      <c r="D8" s="149">
        <v>-122.00147</v>
      </c>
      <c r="E8" s="149" t="s">
        <v>6677</v>
      </c>
      <c r="F8" s="153" t="s">
        <v>27</v>
      </c>
      <c r="G8" s="149" t="s">
        <v>173</v>
      </c>
      <c r="H8" s="165">
        <v>0.4381944444444445</v>
      </c>
      <c r="I8" s="161" t="s">
        <v>4500</v>
      </c>
      <c r="J8" s="161" t="s">
        <v>4501</v>
      </c>
      <c r="K8" s="236" t="s">
        <v>30</v>
      </c>
      <c r="L8" s="161">
        <v>0</v>
      </c>
      <c r="M8" s="161" t="s">
        <v>50</v>
      </c>
      <c r="N8" s="161" t="s">
        <v>50</v>
      </c>
      <c r="O8" s="161" t="s">
        <v>50</v>
      </c>
      <c r="P8" s="161" t="s">
        <v>50</v>
      </c>
      <c r="Q8" s="163" t="s">
        <v>50</v>
      </c>
      <c r="R8" s="161" t="s">
        <v>50</v>
      </c>
      <c r="S8" s="161" t="s">
        <v>50</v>
      </c>
      <c r="T8" s="161" t="s">
        <v>50</v>
      </c>
      <c r="U8" s="161" t="s">
        <v>50</v>
      </c>
      <c r="V8" s="161" t="s">
        <v>50</v>
      </c>
      <c r="W8" s="152" t="s">
        <v>6673</v>
      </c>
      <c r="X8" s="158" t="s">
        <v>6671</v>
      </c>
    </row>
    <row r="9" spans="1:24" s="149" customFormat="1" x14ac:dyDescent="0.25">
      <c r="A9" s="179">
        <v>43255</v>
      </c>
      <c r="B9" s="153" t="s">
        <v>62</v>
      </c>
      <c r="C9" s="149">
        <v>38.129579999999997</v>
      </c>
      <c r="D9" s="149">
        <v>-122.02625</v>
      </c>
      <c r="E9" s="149" t="s">
        <v>6678</v>
      </c>
      <c r="F9" s="153" t="s">
        <v>27</v>
      </c>
      <c r="G9" s="149" t="s">
        <v>173</v>
      </c>
      <c r="H9" s="165">
        <v>0.43888888888888888</v>
      </c>
      <c r="I9" s="161" t="s">
        <v>4500</v>
      </c>
      <c r="J9" s="161" t="s">
        <v>4501</v>
      </c>
      <c r="K9" s="236" t="s">
        <v>30</v>
      </c>
      <c r="L9" s="161">
        <v>0</v>
      </c>
      <c r="M9" s="161" t="s">
        <v>50</v>
      </c>
      <c r="N9" s="161" t="s">
        <v>50</v>
      </c>
      <c r="O9" s="161" t="s">
        <v>50</v>
      </c>
      <c r="P9" s="161" t="s">
        <v>50</v>
      </c>
      <c r="Q9" s="163" t="s">
        <v>50</v>
      </c>
      <c r="R9" s="161" t="s">
        <v>50</v>
      </c>
      <c r="S9" s="161" t="s">
        <v>50</v>
      </c>
      <c r="T9" s="161" t="s">
        <v>50</v>
      </c>
      <c r="U9" s="161" t="s">
        <v>50</v>
      </c>
      <c r="V9" s="161" t="s">
        <v>50</v>
      </c>
      <c r="W9" s="152" t="s">
        <v>6673</v>
      </c>
      <c r="X9" s="158" t="s">
        <v>6671</v>
      </c>
    </row>
    <row r="10" spans="1:24" x14ac:dyDescent="0.25">
      <c r="A10" s="41">
        <v>43255</v>
      </c>
      <c r="B10" s="230" t="s">
        <v>62</v>
      </c>
      <c r="C10" s="631">
        <v>38.115009999999998</v>
      </c>
      <c r="D10" s="631">
        <v>-122.05362</v>
      </c>
      <c r="E10" s="631" t="s">
        <v>6679</v>
      </c>
      <c r="F10" s="230" t="s">
        <v>27</v>
      </c>
      <c r="G10" s="631" t="s">
        <v>173</v>
      </c>
      <c r="H10" s="237">
        <v>0.44027777777777777</v>
      </c>
      <c r="I10" s="43" t="s">
        <v>4500</v>
      </c>
      <c r="J10" s="43" t="s">
        <v>4501</v>
      </c>
      <c r="K10" s="238" t="s">
        <v>30</v>
      </c>
      <c r="L10" s="43">
        <v>2</v>
      </c>
      <c r="M10" s="43">
        <v>10</v>
      </c>
      <c r="N10" s="42">
        <f>AVERAGE(8.1,7.8)</f>
        <v>7.9499999999999993</v>
      </c>
      <c r="O10" s="42">
        <f>AVERAGE(6295,6214)</f>
        <v>6254.5</v>
      </c>
      <c r="P10" s="42">
        <f>AVERAGE(6296,6266)</f>
        <v>6281</v>
      </c>
      <c r="Q10" s="233">
        <f>AVERAGE(0.28,0.32)</f>
        <v>0.30000000000000004</v>
      </c>
      <c r="R10" s="234">
        <f>AVERAGE(131,88.7)</f>
        <v>109.85</v>
      </c>
      <c r="S10" s="234">
        <f>AVERAGE(113,73.8)</f>
        <v>93.4</v>
      </c>
      <c r="T10" s="43" t="s">
        <v>50</v>
      </c>
      <c r="U10" s="235" t="s">
        <v>50</v>
      </c>
      <c r="V10" s="235" t="s">
        <v>50</v>
      </c>
      <c r="W10" s="5" t="s">
        <v>6670</v>
      </c>
      <c r="X10" s="40" t="s">
        <v>6671</v>
      </c>
    </row>
    <row r="11" spans="1:24" x14ac:dyDescent="0.25">
      <c r="A11" s="41">
        <v>43255</v>
      </c>
      <c r="B11" s="230" t="s">
        <v>62</v>
      </c>
      <c r="C11" s="631">
        <v>38.160060000000001</v>
      </c>
      <c r="D11" s="631">
        <v>-122.05897</v>
      </c>
      <c r="E11" s="631" t="s">
        <v>6680</v>
      </c>
      <c r="F11" s="230" t="s">
        <v>27</v>
      </c>
      <c r="G11" s="631" t="s">
        <v>62</v>
      </c>
      <c r="H11" s="237">
        <v>0.48125000000000001</v>
      </c>
      <c r="I11" s="43" t="s">
        <v>4500</v>
      </c>
      <c r="J11" s="43" t="s">
        <v>4501</v>
      </c>
      <c r="K11" s="238" t="s">
        <v>30</v>
      </c>
      <c r="L11" s="43">
        <v>1</v>
      </c>
      <c r="M11" s="239">
        <v>0.27083333333333331</v>
      </c>
      <c r="N11" s="43">
        <v>24.6</v>
      </c>
      <c r="O11" s="43">
        <v>5944</v>
      </c>
      <c r="P11" s="43">
        <v>5987</v>
      </c>
      <c r="Q11" s="28">
        <v>0.28000000000000003</v>
      </c>
      <c r="R11" s="43">
        <v>73.8</v>
      </c>
      <c r="S11" s="43">
        <v>138</v>
      </c>
      <c r="T11" s="43" t="s">
        <v>50</v>
      </c>
      <c r="U11" s="235" t="s">
        <v>50</v>
      </c>
      <c r="V11" s="235" t="s">
        <v>50</v>
      </c>
      <c r="W11" s="5" t="s">
        <v>6681</v>
      </c>
      <c r="X11" s="40" t="s">
        <v>6671</v>
      </c>
    </row>
    <row r="12" spans="1:24" x14ac:dyDescent="0.25">
      <c r="A12" s="41">
        <v>43255</v>
      </c>
      <c r="B12" s="230" t="s">
        <v>88</v>
      </c>
      <c r="C12" s="631">
        <v>38.16825</v>
      </c>
      <c r="D12" s="631">
        <v>-121.67339</v>
      </c>
      <c r="E12" s="631" t="s">
        <v>6682</v>
      </c>
      <c r="F12" s="631" t="s">
        <v>90</v>
      </c>
      <c r="G12" s="631" t="s">
        <v>91</v>
      </c>
      <c r="H12" s="21">
        <v>0.32500000000000001</v>
      </c>
      <c r="I12" s="43" t="s">
        <v>4500</v>
      </c>
      <c r="J12" s="43" t="s">
        <v>4501</v>
      </c>
      <c r="K12" s="238" t="s">
        <v>30</v>
      </c>
      <c r="L12" s="43">
        <v>2</v>
      </c>
      <c r="M12" s="43">
        <v>10</v>
      </c>
      <c r="N12" s="42">
        <f>AVERAGE(14,14)</f>
        <v>14</v>
      </c>
      <c r="O12" s="42">
        <f>AVERAGE(154.9,157.8)</f>
        <v>156.35000000000002</v>
      </c>
      <c r="P12" s="42">
        <f>AVERAGE(150.2,150.4)</f>
        <v>150.30000000000001</v>
      </c>
      <c r="Q12" s="233">
        <f>AVERAGE(1.46,1.49)</f>
        <v>1.4750000000000001</v>
      </c>
      <c r="R12" s="234">
        <f>AVERAGE(5.75,21.6)</f>
        <v>13.675000000000001</v>
      </c>
      <c r="S12" s="234">
        <f>AVERAGE(43.6,21.6)</f>
        <v>32.6</v>
      </c>
      <c r="T12" s="43" t="s">
        <v>50</v>
      </c>
      <c r="U12" s="235" t="s">
        <v>50</v>
      </c>
      <c r="V12" s="235" t="s">
        <v>50</v>
      </c>
      <c r="W12" s="5" t="s">
        <v>6670</v>
      </c>
      <c r="X12" s="40" t="s">
        <v>6671</v>
      </c>
    </row>
    <row r="13" spans="1:24" x14ac:dyDescent="0.25">
      <c r="A13" s="41">
        <v>43255</v>
      </c>
      <c r="B13" s="230" t="s">
        <v>88</v>
      </c>
      <c r="C13" s="631">
        <v>38.080440000000003</v>
      </c>
      <c r="D13" s="631">
        <v>-121.75152</v>
      </c>
      <c r="E13" s="631" t="s">
        <v>6683</v>
      </c>
      <c r="F13" s="631" t="s">
        <v>27</v>
      </c>
      <c r="G13" s="631" t="s">
        <v>25</v>
      </c>
      <c r="H13" s="21">
        <v>0.37013888888888885</v>
      </c>
      <c r="I13" s="43" t="s">
        <v>4500</v>
      </c>
      <c r="J13" s="43" t="s">
        <v>4501</v>
      </c>
      <c r="K13" s="238" t="s">
        <v>30</v>
      </c>
      <c r="L13" s="43">
        <v>2</v>
      </c>
      <c r="M13" s="43">
        <v>10</v>
      </c>
      <c r="N13" s="42">
        <f>AVERAGE(37,37)</f>
        <v>37</v>
      </c>
      <c r="O13" s="42">
        <f>AVERAGE(276.1,279.6)</f>
        <v>277.85000000000002</v>
      </c>
      <c r="P13" s="42">
        <f>AVERAGE(298.4,291.5)</f>
        <v>294.95</v>
      </c>
      <c r="Q13" s="233">
        <f>AVERAGE(0.73,0.66)</f>
        <v>0.69500000000000006</v>
      </c>
      <c r="R13" s="234">
        <f>AVERAGE(18.5,18)</f>
        <v>18.25</v>
      </c>
      <c r="S13" s="234">
        <f>AVERAGE(69.2,16.9)</f>
        <v>43.05</v>
      </c>
      <c r="T13" s="43" t="s">
        <v>50</v>
      </c>
      <c r="U13" s="235" t="s">
        <v>50</v>
      </c>
      <c r="V13" s="235" t="s">
        <v>50</v>
      </c>
      <c r="W13" s="5" t="s">
        <v>6670</v>
      </c>
      <c r="X13" s="240" t="s">
        <v>6671</v>
      </c>
    </row>
    <row r="14" spans="1:24" x14ac:dyDescent="0.25">
      <c r="A14" s="41">
        <v>43255</v>
      </c>
      <c r="B14" s="230" t="s">
        <v>88</v>
      </c>
      <c r="C14" s="631">
        <v>38.113700000000001</v>
      </c>
      <c r="D14" s="631">
        <v>-121.70648</v>
      </c>
      <c r="E14" s="631" t="s">
        <v>6684</v>
      </c>
      <c r="F14" s="631" t="s">
        <v>90</v>
      </c>
      <c r="G14" s="631" t="s">
        <v>91</v>
      </c>
      <c r="H14" s="21">
        <v>0.41319444444444442</v>
      </c>
      <c r="I14" s="43" t="s">
        <v>4500</v>
      </c>
      <c r="J14" s="43" t="s">
        <v>4501</v>
      </c>
      <c r="K14" s="238" t="s">
        <v>30</v>
      </c>
      <c r="L14" s="43">
        <v>2</v>
      </c>
      <c r="M14" s="43">
        <v>10</v>
      </c>
      <c r="N14" s="42">
        <f>AVERAGE(23)</f>
        <v>23</v>
      </c>
      <c r="O14" s="42">
        <f>AVERAGE(139,142.8)</f>
        <v>140.9</v>
      </c>
      <c r="P14" s="42">
        <f>AVERAGE(142.8,143.3)</f>
        <v>143.05000000000001</v>
      </c>
      <c r="Q14" s="233">
        <f>AVERAGE(1.12,1.14)</f>
        <v>1.1299999999999999</v>
      </c>
      <c r="R14" s="234">
        <f>AVERAGE(21.1,10.1)</f>
        <v>15.600000000000001</v>
      </c>
      <c r="S14" s="234">
        <f>AVERAGE(13.1,14.2)</f>
        <v>13.649999999999999</v>
      </c>
      <c r="T14" s="43" t="s">
        <v>50</v>
      </c>
      <c r="U14" s="235" t="s">
        <v>50</v>
      </c>
      <c r="V14" s="235" t="s">
        <v>50</v>
      </c>
      <c r="W14" s="5" t="s">
        <v>6670</v>
      </c>
      <c r="X14" s="240" t="s">
        <v>6671</v>
      </c>
    </row>
    <row r="15" spans="1:24" x14ac:dyDescent="0.25">
      <c r="A15" s="41">
        <v>43256</v>
      </c>
      <c r="B15" s="631" t="s">
        <v>95</v>
      </c>
      <c r="C15" s="631">
        <v>38.046840000000003</v>
      </c>
      <c r="D15" s="631">
        <v>-121.50292</v>
      </c>
      <c r="E15" s="631" t="s">
        <v>6685</v>
      </c>
      <c r="F15" s="631" t="s">
        <v>46</v>
      </c>
      <c r="G15" s="631" t="s">
        <v>115</v>
      </c>
      <c r="H15" s="239">
        <v>0.36527777777777781</v>
      </c>
      <c r="I15" s="43" t="s">
        <v>4500</v>
      </c>
      <c r="J15" s="43" t="s">
        <v>4501</v>
      </c>
      <c r="K15" s="238" t="s">
        <v>30</v>
      </c>
      <c r="L15" s="43">
        <v>2</v>
      </c>
      <c r="M15" s="43">
        <v>10</v>
      </c>
      <c r="N15" s="42">
        <f>AVERAGE(29)</f>
        <v>29</v>
      </c>
      <c r="O15" s="42">
        <f>AVERAGE(196.3,197.9)</f>
        <v>197.10000000000002</v>
      </c>
      <c r="P15" s="42">
        <f>AVERAGE(197.7,192.7)</f>
        <v>195.2</v>
      </c>
      <c r="Q15" s="233">
        <f>AVERAGE(1.3,1.4)</f>
        <v>1.35</v>
      </c>
      <c r="R15" s="234">
        <f>AVERAGE(10.9,10.7)</f>
        <v>10.8</v>
      </c>
      <c r="S15" s="234">
        <f>AVERAGE(8.26,7.74)</f>
        <v>8</v>
      </c>
      <c r="T15" s="43" t="s">
        <v>50</v>
      </c>
      <c r="U15" s="235" t="s">
        <v>50</v>
      </c>
      <c r="V15" s="235" t="s">
        <v>50</v>
      </c>
      <c r="W15" s="5" t="s">
        <v>6670</v>
      </c>
      <c r="X15" s="240" t="s">
        <v>6671</v>
      </c>
    </row>
    <row r="16" spans="1:24" x14ac:dyDescent="0.25">
      <c r="A16" s="41">
        <v>43256</v>
      </c>
      <c r="B16" s="631" t="s">
        <v>95</v>
      </c>
      <c r="C16" s="631">
        <v>38.100839999999998</v>
      </c>
      <c r="D16" s="631">
        <v>-121.62831</v>
      </c>
      <c r="E16" s="631" t="s">
        <v>6686</v>
      </c>
      <c r="F16" s="631" t="s">
        <v>46</v>
      </c>
      <c r="G16" s="631" t="s">
        <v>908</v>
      </c>
      <c r="H16" s="239">
        <v>0.41597222222222219</v>
      </c>
      <c r="I16" s="43" t="s">
        <v>4500</v>
      </c>
      <c r="J16" s="43" t="s">
        <v>4501</v>
      </c>
      <c r="K16" s="238" t="s">
        <v>30</v>
      </c>
      <c r="L16" s="43">
        <v>2</v>
      </c>
      <c r="M16" s="43">
        <v>10</v>
      </c>
      <c r="N16" s="42">
        <f>AVERAGE(42,45)</f>
        <v>43.5</v>
      </c>
      <c r="O16" s="42">
        <f>AVERAGE(172.1,174)</f>
        <v>173.05</v>
      </c>
      <c r="P16" s="42">
        <f>AVERAGE(173.1,173.6)</f>
        <v>173.35</v>
      </c>
      <c r="Q16" s="233">
        <f>AVERAGE(1.2,1.2)</f>
        <v>1.2</v>
      </c>
      <c r="R16" s="234">
        <f>AVERAGE(7.68,5.67)</f>
        <v>6.6749999999999998</v>
      </c>
      <c r="S16" s="234">
        <f>AVERAGE(6.96,8.29)</f>
        <v>7.625</v>
      </c>
      <c r="T16" s="43" t="s">
        <v>50</v>
      </c>
      <c r="U16" s="235" t="s">
        <v>50</v>
      </c>
      <c r="V16" s="235" t="s">
        <v>50</v>
      </c>
      <c r="W16" s="5" t="s">
        <v>6670</v>
      </c>
      <c r="X16" s="240" t="s">
        <v>6671</v>
      </c>
    </row>
    <row r="17" spans="1:24" x14ac:dyDescent="0.25">
      <c r="A17" s="41">
        <v>43256</v>
      </c>
      <c r="B17" s="631" t="s">
        <v>95</v>
      </c>
      <c r="C17" s="631">
        <v>38.023099999999999</v>
      </c>
      <c r="D17" s="631">
        <v>-121.79221</v>
      </c>
      <c r="E17" s="631" t="s">
        <v>6687</v>
      </c>
      <c r="F17" s="631" t="s">
        <v>27</v>
      </c>
      <c r="G17" s="631" t="s">
        <v>863</v>
      </c>
      <c r="H17" s="239">
        <v>0.47430555555555554</v>
      </c>
      <c r="I17" s="43" t="s">
        <v>4500</v>
      </c>
      <c r="J17" s="43" t="s">
        <v>4501</v>
      </c>
      <c r="K17" s="238" t="s">
        <v>30</v>
      </c>
      <c r="L17" s="43">
        <v>2</v>
      </c>
      <c r="M17" s="43">
        <v>10</v>
      </c>
      <c r="N17" s="42">
        <f>AVERAGE(23,30)</f>
        <v>26.5</v>
      </c>
      <c r="O17" s="42">
        <f>AVERAGE(343.6,340.6)</f>
        <v>342.1</v>
      </c>
      <c r="P17" s="42">
        <f>AVERAGE(377.9,360.7)</f>
        <v>369.29999999999995</v>
      </c>
      <c r="Q17" s="233">
        <f>AVERAGE(0.64,0.59)</f>
        <v>0.61499999999999999</v>
      </c>
      <c r="R17" s="234">
        <f>AVERAGE(14.9,14.7)</f>
        <v>14.8</v>
      </c>
      <c r="S17" s="234">
        <f>AVERAGE(22.4,15.8)</f>
        <v>19.100000000000001</v>
      </c>
      <c r="T17" s="43" t="s">
        <v>50</v>
      </c>
      <c r="U17" s="235" t="s">
        <v>50</v>
      </c>
      <c r="V17" s="235" t="s">
        <v>50</v>
      </c>
      <c r="W17" s="5" t="s">
        <v>6670</v>
      </c>
      <c r="X17" s="240" t="s">
        <v>6671</v>
      </c>
    </row>
    <row r="18" spans="1:24" x14ac:dyDescent="0.25">
      <c r="A18" s="41">
        <v>43256</v>
      </c>
      <c r="B18" s="631" t="s">
        <v>88</v>
      </c>
      <c r="C18" s="631">
        <v>38.062489999999997</v>
      </c>
      <c r="D18" s="631">
        <v>-121.8115</v>
      </c>
      <c r="E18" s="631" t="s">
        <v>6688</v>
      </c>
      <c r="F18" s="631" t="s">
        <v>27</v>
      </c>
      <c r="G18" s="631" t="s">
        <v>25</v>
      </c>
      <c r="H18" s="21">
        <v>0.32361111111111113</v>
      </c>
      <c r="I18" s="631" t="s">
        <v>4500</v>
      </c>
      <c r="J18" s="631" t="s">
        <v>4501</v>
      </c>
      <c r="K18" s="241" t="s">
        <v>30</v>
      </c>
      <c r="L18" s="631">
        <v>2</v>
      </c>
      <c r="M18" s="631">
        <v>10</v>
      </c>
      <c r="N18" s="42">
        <f>AVERAGE(32)</f>
        <v>32</v>
      </c>
      <c r="O18" s="42">
        <f>AVERAGE(622,526)</f>
        <v>574</v>
      </c>
      <c r="P18" s="42">
        <f>AVERAGE(634,705)</f>
        <v>669.5</v>
      </c>
      <c r="Q18" s="233">
        <f>AVERAGE(0.43,0.39)</f>
        <v>0.41000000000000003</v>
      </c>
      <c r="R18" s="234">
        <f>AVERAGE(27.3,23.1)</f>
        <v>25.200000000000003</v>
      </c>
      <c r="S18" s="234">
        <f>AVERAGE(100,31.6)</f>
        <v>65.8</v>
      </c>
      <c r="T18" s="43" t="s">
        <v>50</v>
      </c>
      <c r="U18" s="235" t="s">
        <v>50</v>
      </c>
      <c r="V18" s="235" t="s">
        <v>50</v>
      </c>
      <c r="W18" s="5" t="s">
        <v>6670</v>
      </c>
      <c r="X18" s="40" t="s">
        <v>6671</v>
      </c>
    </row>
    <row r="19" spans="1:24" x14ac:dyDescent="0.25">
      <c r="A19" s="41">
        <v>43256</v>
      </c>
      <c r="B19" s="631" t="s">
        <v>88</v>
      </c>
      <c r="C19" s="631">
        <v>38.058720000000001</v>
      </c>
      <c r="D19" s="631">
        <v>-121.79430000000001</v>
      </c>
      <c r="E19" s="631" t="s">
        <v>6689</v>
      </c>
      <c r="F19" s="631" t="s">
        <v>27</v>
      </c>
      <c r="G19" s="631" t="s">
        <v>25</v>
      </c>
      <c r="H19" s="239">
        <v>0.35972222222222222</v>
      </c>
      <c r="I19" s="43" t="s">
        <v>4500</v>
      </c>
      <c r="J19" s="43" t="s">
        <v>4501</v>
      </c>
      <c r="K19" s="238" t="s">
        <v>30</v>
      </c>
      <c r="L19" s="43">
        <v>2</v>
      </c>
      <c r="M19" s="43">
        <v>10</v>
      </c>
      <c r="N19" s="42">
        <f>AVERAGE(30)</f>
        <v>30</v>
      </c>
      <c r="O19" s="42">
        <f>AVERAGE(473,492)</f>
        <v>482.5</v>
      </c>
      <c r="P19" s="42">
        <f>AVERAGE(467,486)</f>
        <v>476.5</v>
      </c>
      <c r="Q19" s="233">
        <f>AVERAGE(0.16,0.52)</f>
        <v>0.34</v>
      </c>
      <c r="R19" s="234">
        <v>39.1</v>
      </c>
      <c r="S19" s="234" t="s">
        <v>50</v>
      </c>
      <c r="T19" s="43" t="s">
        <v>50</v>
      </c>
      <c r="U19" s="235" t="s">
        <v>50</v>
      </c>
      <c r="V19" s="235" t="s">
        <v>50</v>
      </c>
      <c r="W19" s="5" t="s">
        <v>6690</v>
      </c>
      <c r="X19" s="40" t="s">
        <v>6671</v>
      </c>
    </row>
    <row r="20" spans="1:24" x14ac:dyDescent="0.25">
      <c r="A20" s="41">
        <v>43256</v>
      </c>
      <c r="B20" s="631" t="s">
        <v>88</v>
      </c>
      <c r="C20" s="631">
        <v>38.094799999999999</v>
      </c>
      <c r="D20" s="631">
        <v>-121.7272</v>
      </c>
      <c r="E20" s="631" t="s">
        <v>6691</v>
      </c>
      <c r="F20" s="631" t="s">
        <v>90</v>
      </c>
      <c r="G20" s="631" t="s">
        <v>91</v>
      </c>
      <c r="H20" s="239">
        <v>0.39305555555555555</v>
      </c>
      <c r="I20" s="43" t="s">
        <v>4500</v>
      </c>
      <c r="J20" s="43" t="s">
        <v>4501</v>
      </c>
      <c r="K20" s="238" t="s">
        <v>30</v>
      </c>
      <c r="L20" s="631">
        <v>2</v>
      </c>
      <c r="M20" s="43">
        <v>10</v>
      </c>
      <c r="N20" s="42">
        <f>AVERAGE(14)</f>
        <v>14</v>
      </c>
      <c r="O20" s="42">
        <f>AVERAGE(160.1,160.8)</f>
        <v>160.44999999999999</v>
      </c>
      <c r="P20" s="42">
        <f>AVERAGE(162.4,162.5)</f>
        <v>162.44999999999999</v>
      </c>
      <c r="Q20" s="233">
        <f>AVERAGE(1.2,1.18)</f>
        <v>1.19</v>
      </c>
      <c r="R20" s="234" t="s">
        <v>50</v>
      </c>
      <c r="S20" s="234" t="s">
        <v>50</v>
      </c>
      <c r="T20" s="43" t="s">
        <v>50</v>
      </c>
      <c r="U20" s="235" t="s">
        <v>50</v>
      </c>
      <c r="V20" s="235" t="s">
        <v>50</v>
      </c>
      <c r="W20" s="5" t="s">
        <v>6692</v>
      </c>
      <c r="X20" s="240" t="s">
        <v>6671</v>
      </c>
    </row>
    <row r="21" spans="1:24" x14ac:dyDescent="0.25">
      <c r="A21" s="41">
        <v>43256</v>
      </c>
      <c r="B21" s="631" t="s">
        <v>88</v>
      </c>
      <c r="C21" s="631">
        <v>38.1248</v>
      </c>
      <c r="D21" s="631">
        <v>-121.69495999999999</v>
      </c>
      <c r="E21" s="631" t="s">
        <v>6693</v>
      </c>
      <c r="F21" s="631" t="s">
        <v>90</v>
      </c>
      <c r="G21" s="631" t="s">
        <v>91</v>
      </c>
      <c r="H21" s="239">
        <v>0.42499999999999999</v>
      </c>
      <c r="I21" s="43" t="s">
        <v>4500</v>
      </c>
      <c r="J21" s="43" t="s">
        <v>4501</v>
      </c>
      <c r="K21" s="238" t="s">
        <v>30</v>
      </c>
      <c r="L21" s="43">
        <v>2</v>
      </c>
      <c r="M21" s="43">
        <v>10</v>
      </c>
      <c r="N21" s="42">
        <f>AVERAGE(17)</f>
        <v>17</v>
      </c>
      <c r="O21" s="42">
        <f>AVERAGE(159.2,158.2)</f>
        <v>158.69999999999999</v>
      </c>
      <c r="P21" s="42">
        <f>AVERAGE(161.7,162.4)</f>
        <v>162.05000000000001</v>
      </c>
      <c r="Q21" s="233">
        <f>AVERAGE(1.53,1.54)</f>
        <v>1.5350000000000001</v>
      </c>
      <c r="R21" s="234" t="s">
        <v>50</v>
      </c>
      <c r="S21" s="234" t="s">
        <v>50</v>
      </c>
      <c r="T21" s="43" t="s">
        <v>50</v>
      </c>
      <c r="U21" s="235" t="s">
        <v>50</v>
      </c>
      <c r="V21" s="235" t="s">
        <v>50</v>
      </c>
      <c r="W21" s="5" t="s">
        <v>6692</v>
      </c>
      <c r="X21" s="240" t="s">
        <v>6671</v>
      </c>
    </row>
    <row r="22" spans="1:24" x14ac:dyDescent="0.25">
      <c r="A22" s="41">
        <v>43257</v>
      </c>
      <c r="B22" s="631" t="s">
        <v>845</v>
      </c>
      <c r="C22" s="631">
        <v>38.246420000000001</v>
      </c>
      <c r="D22" s="631">
        <v>-121.68778</v>
      </c>
      <c r="E22" s="631" t="s">
        <v>6694</v>
      </c>
      <c r="F22" s="631" t="s">
        <v>90</v>
      </c>
      <c r="G22" s="631" t="s">
        <v>126</v>
      </c>
      <c r="H22" s="21">
        <v>0.3263888888888889</v>
      </c>
      <c r="I22" s="631" t="s">
        <v>4500</v>
      </c>
      <c r="J22" s="631" t="s">
        <v>4501</v>
      </c>
      <c r="K22" s="241" t="s">
        <v>30</v>
      </c>
      <c r="L22" s="631">
        <v>2</v>
      </c>
      <c r="M22" s="631">
        <v>10</v>
      </c>
      <c r="N22" s="42">
        <f>AVERAGE(28)</f>
        <v>28</v>
      </c>
      <c r="O22" s="42">
        <f>AVERAGE(162.9,165.2)</f>
        <v>164.05</v>
      </c>
      <c r="P22" s="42">
        <f>AVERAGE(162,165.2)</f>
        <v>163.6</v>
      </c>
      <c r="Q22" s="233">
        <f>AVERAGE(1.1,1)</f>
        <v>1.05</v>
      </c>
      <c r="R22" s="234">
        <f>AVERAGE(9.68,12.1)</f>
        <v>10.89</v>
      </c>
      <c r="S22" s="234">
        <f>AVERAGE(26.5,40.3)</f>
        <v>33.4</v>
      </c>
      <c r="T22" s="43" t="s">
        <v>50</v>
      </c>
      <c r="U22" s="235" t="s">
        <v>50</v>
      </c>
      <c r="V22" s="235" t="s">
        <v>50</v>
      </c>
      <c r="W22" s="5" t="s">
        <v>6670</v>
      </c>
      <c r="X22" s="631" t="s">
        <v>6671</v>
      </c>
    </row>
    <row r="23" spans="1:24" x14ac:dyDescent="0.25">
      <c r="A23" s="41">
        <v>43257</v>
      </c>
      <c r="B23" s="631" t="s">
        <v>845</v>
      </c>
      <c r="C23" s="631">
        <v>38.265320000000003</v>
      </c>
      <c r="D23" s="631">
        <v>-121.69658</v>
      </c>
      <c r="E23" s="631" t="s">
        <v>6695</v>
      </c>
      <c r="F23" s="631" t="s">
        <v>90</v>
      </c>
      <c r="G23" s="631" t="s">
        <v>126</v>
      </c>
      <c r="H23" s="21">
        <v>0.37777777777777777</v>
      </c>
      <c r="I23" s="631" t="s">
        <v>4500</v>
      </c>
      <c r="J23" s="631" t="s">
        <v>4501</v>
      </c>
      <c r="K23" s="241" t="s">
        <v>30</v>
      </c>
      <c r="L23" s="631">
        <v>2</v>
      </c>
      <c r="M23" s="631">
        <v>10</v>
      </c>
      <c r="N23" s="42">
        <f>AVERAGE(10)</f>
        <v>10</v>
      </c>
      <c r="O23" s="242">
        <f>AVERAGE(171.9,171.2)</f>
        <v>171.55</v>
      </c>
      <c r="P23" s="242">
        <f>AVERAGE(171.4,171.2)</f>
        <v>171.3</v>
      </c>
      <c r="Q23" s="233">
        <f>AVERAGE(1,1.112)</f>
        <v>1.056</v>
      </c>
      <c r="R23" s="243">
        <f>AVERAGE(13.8,9.7)</f>
        <v>11.75</v>
      </c>
      <c r="S23" s="243">
        <f>AVERAGE(15.8,9.47)</f>
        <v>12.635000000000002</v>
      </c>
      <c r="T23" s="43" t="s">
        <v>50</v>
      </c>
      <c r="U23" s="235" t="s">
        <v>50</v>
      </c>
      <c r="V23" s="235" t="s">
        <v>50</v>
      </c>
      <c r="W23" s="5" t="s">
        <v>6670</v>
      </c>
      <c r="X23" s="631" t="s">
        <v>6671</v>
      </c>
    </row>
    <row r="24" spans="1:24" s="27" customFormat="1" x14ac:dyDescent="0.25">
      <c r="A24" s="29">
        <v>43257</v>
      </c>
      <c r="B24" s="27" t="s">
        <v>845</v>
      </c>
      <c r="C24" s="27">
        <v>38.31353</v>
      </c>
      <c r="D24" s="27">
        <v>-121.69282</v>
      </c>
      <c r="E24" s="27" t="s">
        <v>6696</v>
      </c>
      <c r="F24" s="27" t="s">
        <v>90</v>
      </c>
      <c r="G24" s="27" t="s">
        <v>126</v>
      </c>
      <c r="H24" s="84">
        <v>0.4152777777777778</v>
      </c>
      <c r="I24" s="27" t="s">
        <v>4500</v>
      </c>
      <c r="J24" s="27" t="s">
        <v>4501</v>
      </c>
      <c r="K24" s="244" t="s">
        <v>30</v>
      </c>
      <c r="L24" s="27">
        <v>2</v>
      </c>
      <c r="M24" s="27">
        <v>10</v>
      </c>
      <c r="N24" s="33">
        <f>AVERAGE(17)</f>
        <v>17</v>
      </c>
      <c r="O24" s="245">
        <f>AVERAGE(307.3,307.8)</f>
        <v>307.55</v>
      </c>
      <c r="P24" s="245">
        <f>AVERAGE(306.9,308)</f>
        <v>307.45</v>
      </c>
      <c r="Q24" s="86">
        <f>AVERAGE(0.9,0.88)</f>
        <v>0.89</v>
      </c>
      <c r="R24" s="246">
        <f>AVERAGE(9.77,61.3)</f>
        <v>35.534999999999997</v>
      </c>
      <c r="S24" s="246">
        <f>AVERAGE(614,731)</f>
        <v>672.5</v>
      </c>
      <c r="T24" s="32" t="s">
        <v>50</v>
      </c>
      <c r="U24" s="34" t="s">
        <v>50</v>
      </c>
      <c r="V24" s="34" t="s">
        <v>50</v>
      </c>
      <c r="W24" s="35" t="s">
        <v>6670</v>
      </c>
      <c r="X24" s="27" t="s">
        <v>6671</v>
      </c>
    </row>
    <row r="25" spans="1:24" x14ac:dyDescent="0.25">
      <c r="A25" s="41">
        <v>43257</v>
      </c>
      <c r="B25" s="631" t="s">
        <v>845</v>
      </c>
      <c r="C25" s="631">
        <v>38.232529999999997</v>
      </c>
      <c r="D25" s="631">
        <v>-121.67646000000001</v>
      </c>
      <c r="E25" s="631" t="s">
        <v>6697</v>
      </c>
      <c r="F25" s="631" t="s">
        <v>90</v>
      </c>
      <c r="G25" s="631" t="s">
        <v>126</v>
      </c>
      <c r="H25" s="21">
        <v>0.45416666666666666</v>
      </c>
      <c r="I25" s="631" t="s">
        <v>4500</v>
      </c>
      <c r="J25" s="631" t="s">
        <v>4501</v>
      </c>
      <c r="K25" s="241" t="s">
        <v>30</v>
      </c>
      <c r="L25" s="631">
        <v>2</v>
      </c>
      <c r="M25" s="631">
        <v>10</v>
      </c>
      <c r="N25" s="42">
        <f>AVERAGE(39)</f>
        <v>39</v>
      </c>
      <c r="O25" s="242">
        <f>AVERAGE(148.8,150.9)</f>
        <v>149.85000000000002</v>
      </c>
      <c r="P25" s="242">
        <f>AVERAGE(148.9,148.7)</f>
        <v>148.80000000000001</v>
      </c>
      <c r="Q25" s="233">
        <f>AVERAGE(1.5,1.31)</f>
        <v>1.405</v>
      </c>
      <c r="R25" s="243">
        <f>AVERAGE(16.6,7.68)</f>
        <v>12.14</v>
      </c>
      <c r="S25" s="243">
        <f>AVERAGE(7.52,8.5)</f>
        <v>8.01</v>
      </c>
      <c r="T25" s="43" t="s">
        <v>50</v>
      </c>
      <c r="U25" s="235" t="s">
        <v>50</v>
      </c>
      <c r="V25" s="235" t="s">
        <v>50</v>
      </c>
      <c r="W25" s="5" t="s">
        <v>6670</v>
      </c>
      <c r="X25" s="631" t="s">
        <v>6671</v>
      </c>
    </row>
    <row r="26" spans="1:24" x14ac:dyDescent="0.25">
      <c r="A26" s="41">
        <v>43257</v>
      </c>
      <c r="B26" s="631" t="s">
        <v>78</v>
      </c>
      <c r="C26" s="631">
        <v>38.029609999999998</v>
      </c>
      <c r="D26" s="631">
        <v>-122.13815</v>
      </c>
      <c r="E26" s="631" t="s">
        <v>6698</v>
      </c>
      <c r="F26" s="631" t="s">
        <v>80</v>
      </c>
      <c r="G26" s="631" t="s">
        <v>81</v>
      </c>
      <c r="H26" s="239">
        <v>0.35694444444444445</v>
      </c>
      <c r="I26" s="43" t="s">
        <v>4500</v>
      </c>
      <c r="J26" s="43" t="s">
        <v>4501</v>
      </c>
      <c r="K26" s="238" t="s">
        <v>30</v>
      </c>
      <c r="L26" s="43">
        <v>2</v>
      </c>
      <c r="M26" s="43">
        <v>10</v>
      </c>
      <c r="N26" s="42">
        <f>AVERAGE(60)</f>
        <v>60</v>
      </c>
      <c r="O26" s="242">
        <f>AVERAGE(18423,17280)</f>
        <v>17851.5</v>
      </c>
      <c r="P26" s="242">
        <f>AVERAGE(25852,26534)</f>
        <v>26193</v>
      </c>
      <c r="Q26" s="233">
        <f>AVERAGE(0.58,0.73)</f>
        <v>0.65500000000000003</v>
      </c>
      <c r="R26" s="243">
        <f>AVERAGE(10.9,25.6)</f>
        <v>18.25</v>
      </c>
      <c r="S26" s="243">
        <f>AVERAGE(44.1,27.1)</f>
        <v>35.6</v>
      </c>
      <c r="T26" s="43" t="s">
        <v>50</v>
      </c>
      <c r="U26" s="235" t="s">
        <v>50</v>
      </c>
      <c r="V26" s="235" t="s">
        <v>50</v>
      </c>
      <c r="W26" s="5" t="s">
        <v>6670</v>
      </c>
      <c r="X26" s="631" t="s">
        <v>6671</v>
      </c>
    </row>
    <row r="27" spans="1:24" s="149" customFormat="1" x14ac:dyDescent="0.25">
      <c r="A27" s="179">
        <v>43257</v>
      </c>
      <c r="B27" s="149" t="s">
        <v>78</v>
      </c>
      <c r="C27" s="149">
        <v>38.08569</v>
      </c>
      <c r="D27" s="149">
        <v>-122.06117</v>
      </c>
      <c r="E27" s="149" t="s">
        <v>6699</v>
      </c>
      <c r="F27" s="149" t="s">
        <v>80</v>
      </c>
      <c r="G27" s="149" t="s">
        <v>81</v>
      </c>
      <c r="H27" s="165">
        <v>0.3972222222222222</v>
      </c>
      <c r="I27" s="161" t="s">
        <v>4500</v>
      </c>
      <c r="J27" s="161" t="s">
        <v>4501</v>
      </c>
      <c r="K27" s="236" t="s">
        <v>30</v>
      </c>
      <c r="L27" s="161">
        <v>0</v>
      </c>
      <c r="M27" s="161" t="s">
        <v>50</v>
      </c>
      <c r="N27" s="161" t="s">
        <v>50</v>
      </c>
      <c r="O27" s="247" t="s">
        <v>50</v>
      </c>
      <c r="P27" s="247" t="s">
        <v>50</v>
      </c>
      <c r="Q27" s="163" t="s">
        <v>50</v>
      </c>
      <c r="R27" s="247" t="s">
        <v>50</v>
      </c>
      <c r="S27" s="247" t="s">
        <v>50</v>
      </c>
      <c r="T27" s="161" t="s">
        <v>50</v>
      </c>
      <c r="U27" s="161" t="s">
        <v>50</v>
      </c>
      <c r="V27" s="161" t="s">
        <v>50</v>
      </c>
      <c r="W27" s="152" t="s">
        <v>6673</v>
      </c>
      <c r="X27" s="158" t="s">
        <v>6671</v>
      </c>
    </row>
    <row r="28" spans="1:24" s="27" customFormat="1" x14ac:dyDescent="0.25">
      <c r="A28" s="29">
        <v>43257</v>
      </c>
      <c r="B28" s="27" t="s">
        <v>78</v>
      </c>
      <c r="C28" s="27">
        <v>38.060409999999997</v>
      </c>
      <c r="D28" s="27">
        <v>-122.03448</v>
      </c>
      <c r="E28" s="27" t="s">
        <v>6700</v>
      </c>
      <c r="F28" s="27" t="s">
        <v>80</v>
      </c>
      <c r="G28" s="27" t="s">
        <v>81</v>
      </c>
      <c r="H28" s="30">
        <v>0.42291666666666666</v>
      </c>
      <c r="I28" s="32" t="s">
        <v>4500</v>
      </c>
      <c r="J28" s="32" t="s">
        <v>4501</v>
      </c>
      <c r="K28" s="248" t="s">
        <v>30</v>
      </c>
      <c r="L28" s="32">
        <v>1</v>
      </c>
      <c r="M28" s="32">
        <v>10</v>
      </c>
      <c r="N28" s="32">
        <v>34</v>
      </c>
      <c r="O28" s="249">
        <v>10264</v>
      </c>
      <c r="P28" s="249">
        <v>17152</v>
      </c>
      <c r="Q28" s="31">
        <v>0.45</v>
      </c>
      <c r="R28" s="249">
        <v>26.2</v>
      </c>
      <c r="S28" s="249">
        <v>27.7</v>
      </c>
      <c r="T28" s="32" t="s">
        <v>50</v>
      </c>
      <c r="U28" s="79" t="s">
        <v>50</v>
      </c>
      <c r="V28" s="79" t="s">
        <v>50</v>
      </c>
      <c r="W28" s="35" t="s">
        <v>6701</v>
      </c>
      <c r="X28" s="49" t="s">
        <v>6671</v>
      </c>
    </row>
    <row r="29" spans="1:24" x14ac:dyDescent="0.25">
      <c r="A29" s="41">
        <v>43258</v>
      </c>
      <c r="B29" s="631" t="s">
        <v>78</v>
      </c>
      <c r="C29" s="631">
        <v>38.05133</v>
      </c>
      <c r="D29" s="631">
        <v>-121.98403</v>
      </c>
      <c r="E29" s="631" t="s">
        <v>6702</v>
      </c>
      <c r="F29" s="631" t="s">
        <v>27</v>
      </c>
      <c r="G29" s="631" t="s">
        <v>86</v>
      </c>
      <c r="H29" s="239">
        <v>0.34166666666666662</v>
      </c>
      <c r="I29" s="43" t="s">
        <v>4500</v>
      </c>
      <c r="J29" s="43" t="s">
        <v>4501</v>
      </c>
      <c r="K29" s="43" t="s">
        <v>30</v>
      </c>
      <c r="L29" s="43">
        <v>2</v>
      </c>
      <c r="M29" s="43">
        <v>10</v>
      </c>
      <c r="N29" s="43">
        <f>AVERAGE(27.2,19.5)</f>
        <v>23.35</v>
      </c>
      <c r="O29" s="242">
        <f>AVERAGE(5820,5758)</f>
        <v>5789</v>
      </c>
      <c r="P29" s="242">
        <f>AVERAGE(8556,9107)</f>
        <v>8831.5</v>
      </c>
      <c r="Q29" s="233">
        <f>AVERAGE(0.49,0.58)</f>
        <v>0.53499999999999992</v>
      </c>
      <c r="R29" s="243">
        <f>AVERAGE(19.1,25.7)</f>
        <v>22.4</v>
      </c>
      <c r="S29" s="243">
        <f>AVERAGE(31.6,28.7)</f>
        <v>30.15</v>
      </c>
      <c r="T29" s="43" t="s">
        <v>31</v>
      </c>
      <c r="U29" s="45">
        <v>1</v>
      </c>
      <c r="V29" s="45">
        <v>22.9</v>
      </c>
      <c r="W29" s="5" t="s">
        <v>6670</v>
      </c>
      <c r="X29" s="40" t="s">
        <v>6671</v>
      </c>
    </row>
    <row r="30" spans="1:24" s="149" customFormat="1" x14ac:dyDescent="0.25">
      <c r="A30" s="179">
        <v>43258</v>
      </c>
      <c r="B30" s="149" t="s">
        <v>78</v>
      </c>
      <c r="C30" s="149">
        <v>38.074599999999997</v>
      </c>
      <c r="D30" s="149">
        <v>-122.05504999999999</v>
      </c>
      <c r="E30" s="149" t="s">
        <v>6703</v>
      </c>
      <c r="F30" s="149" t="s">
        <v>27</v>
      </c>
      <c r="G30" s="149" t="s">
        <v>86</v>
      </c>
      <c r="H30" s="165">
        <v>0.3756944444444445</v>
      </c>
      <c r="I30" s="161" t="s">
        <v>4500</v>
      </c>
      <c r="J30" s="161" t="s">
        <v>4501</v>
      </c>
      <c r="K30" s="161" t="s">
        <v>30</v>
      </c>
      <c r="L30" s="161">
        <v>0</v>
      </c>
      <c r="M30" s="161" t="s">
        <v>50</v>
      </c>
      <c r="N30" s="161" t="s">
        <v>50</v>
      </c>
      <c r="O30" s="247" t="s">
        <v>50</v>
      </c>
      <c r="P30" s="247" t="s">
        <v>50</v>
      </c>
      <c r="Q30" s="163" t="s">
        <v>50</v>
      </c>
      <c r="R30" s="247" t="s">
        <v>50</v>
      </c>
      <c r="S30" s="247" t="s">
        <v>50</v>
      </c>
      <c r="T30" s="161" t="s">
        <v>50</v>
      </c>
      <c r="U30" s="161" t="s">
        <v>50</v>
      </c>
      <c r="V30" s="161" t="s">
        <v>50</v>
      </c>
      <c r="W30" s="152" t="s">
        <v>6673</v>
      </c>
      <c r="X30" s="158" t="s">
        <v>6671</v>
      </c>
    </row>
    <row r="31" spans="1:24" s="149" customFormat="1" x14ac:dyDescent="0.25">
      <c r="A31" s="179">
        <v>43258</v>
      </c>
      <c r="B31" s="149" t="s">
        <v>78</v>
      </c>
      <c r="C31" s="149">
        <v>38.075220000000002</v>
      </c>
      <c r="D31" s="149">
        <v>-121.94182000000001</v>
      </c>
      <c r="E31" s="149" t="s">
        <v>6704</v>
      </c>
      <c r="F31" s="149" t="s">
        <v>27</v>
      </c>
      <c r="G31" s="149" t="s">
        <v>86</v>
      </c>
      <c r="H31" s="165">
        <v>0.39444444444444443</v>
      </c>
      <c r="I31" s="161" t="s">
        <v>4500</v>
      </c>
      <c r="J31" s="161" t="s">
        <v>4501</v>
      </c>
      <c r="K31" s="161" t="s">
        <v>30</v>
      </c>
      <c r="L31" s="161">
        <v>0</v>
      </c>
      <c r="M31" s="161" t="s">
        <v>50</v>
      </c>
      <c r="N31" s="161" t="s">
        <v>50</v>
      </c>
      <c r="O31" s="247" t="s">
        <v>50</v>
      </c>
      <c r="P31" s="247" t="s">
        <v>50</v>
      </c>
      <c r="Q31" s="163" t="s">
        <v>50</v>
      </c>
      <c r="R31" s="247" t="s">
        <v>50</v>
      </c>
      <c r="S31" s="247" t="s">
        <v>50</v>
      </c>
      <c r="T31" s="161" t="s">
        <v>50</v>
      </c>
      <c r="U31" s="161" t="s">
        <v>50</v>
      </c>
      <c r="V31" s="161" t="s">
        <v>50</v>
      </c>
      <c r="W31" s="152" t="s">
        <v>6673</v>
      </c>
      <c r="X31" s="158" t="s">
        <v>6671</v>
      </c>
    </row>
    <row r="32" spans="1:24" s="149" customFormat="1" x14ac:dyDescent="0.25">
      <c r="A32" s="179">
        <v>43258</v>
      </c>
      <c r="B32" s="149" t="s">
        <v>78</v>
      </c>
      <c r="C32" s="149">
        <v>38.053550000000001</v>
      </c>
      <c r="D32" s="149">
        <v>-121.86199999999999</v>
      </c>
      <c r="E32" s="149" t="s">
        <v>6705</v>
      </c>
      <c r="F32" s="149" t="s">
        <v>27</v>
      </c>
      <c r="G32" s="149" t="s">
        <v>86</v>
      </c>
      <c r="H32" s="165">
        <v>0.40277777777777773</v>
      </c>
      <c r="I32" s="161" t="s">
        <v>4500</v>
      </c>
      <c r="J32" s="161" t="s">
        <v>4501</v>
      </c>
      <c r="K32" s="161" t="s">
        <v>30</v>
      </c>
      <c r="L32" s="161">
        <v>0</v>
      </c>
      <c r="M32" s="161" t="s">
        <v>50</v>
      </c>
      <c r="N32" s="161" t="s">
        <v>50</v>
      </c>
      <c r="O32" s="247" t="s">
        <v>50</v>
      </c>
      <c r="P32" s="247" t="s">
        <v>50</v>
      </c>
      <c r="Q32" s="163" t="s">
        <v>50</v>
      </c>
      <c r="R32" s="247" t="s">
        <v>50</v>
      </c>
      <c r="S32" s="247" t="s">
        <v>50</v>
      </c>
      <c r="T32" s="161" t="s">
        <v>50</v>
      </c>
      <c r="U32" s="161" t="s">
        <v>50</v>
      </c>
      <c r="V32" s="161" t="s">
        <v>50</v>
      </c>
      <c r="W32" s="152" t="s">
        <v>6673</v>
      </c>
      <c r="X32" s="158" t="s">
        <v>6671</v>
      </c>
    </row>
    <row r="33" spans="1:24" x14ac:dyDescent="0.25">
      <c r="A33" s="41">
        <v>43258</v>
      </c>
      <c r="B33" s="631" t="s">
        <v>78</v>
      </c>
      <c r="C33" s="631">
        <v>38.052779999999998</v>
      </c>
      <c r="D33" s="631">
        <v>-121.93952</v>
      </c>
      <c r="E33" s="631" t="s">
        <v>6706</v>
      </c>
      <c r="F33" s="631" t="s">
        <v>27</v>
      </c>
      <c r="G33" s="631" t="s">
        <v>170</v>
      </c>
      <c r="H33" s="239">
        <v>0.40625</v>
      </c>
      <c r="I33" s="43" t="s">
        <v>4500</v>
      </c>
      <c r="J33" s="43" t="s">
        <v>4501</v>
      </c>
      <c r="K33" s="43" t="s">
        <v>30</v>
      </c>
      <c r="L33" s="43">
        <v>2</v>
      </c>
      <c r="M33" s="43">
        <v>10</v>
      </c>
      <c r="N33" s="42">
        <f>AVERAGE(41.3,41.9)</f>
        <v>41.599999999999994</v>
      </c>
      <c r="O33" s="242">
        <f>AVERAGE(3075,3309)</f>
        <v>3192</v>
      </c>
      <c r="P33" s="242">
        <f>AVERAGE(7189,6334)</f>
        <v>6761.5</v>
      </c>
      <c r="Q33" s="233">
        <f>AVERAGE(0.47,0.56)</f>
        <v>0.51500000000000001</v>
      </c>
      <c r="R33" s="243">
        <f>AVERAGE(36.9,33.8)</f>
        <v>35.349999999999994</v>
      </c>
      <c r="S33" s="243">
        <f>AVERAGE(69.3,24.8)</f>
        <v>47.05</v>
      </c>
      <c r="T33" s="43" t="s">
        <v>31</v>
      </c>
      <c r="U33" s="45">
        <v>12</v>
      </c>
      <c r="V33" s="45" t="s">
        <v>6707</v>
      </c>
      <c r="W33" s="5" t="s">
        <v>6670</v>
      </c>
      <c r="X33" s="49" t="s">
        <v>6671</v>
      </c>
    </row>
    <row r="34" spans="1:24" x14ac:dyDescent="0.25">
      <c r="A34" s="41">
        <v>43258</v>
      </c>
      <c r="B34" s="631" t="s">
        <v>78</v>
      </c>
      <c r="C34" s="631">
        <v>38.06474</v>
      </c>
      <c r="D34" s="631">
        <v>-121.83508</v>
      </c>
      <c r="E34" s="631" t="s">
        <v>6708</v>
      </c>
      <c r="F34" s="631" t="s">
        <v>27</v>
      </c>
      <c r="G34" s="631" t="s">
        <v>101</v>
      </c>
      <c r="H34" s="239">
        <v>0.4458333333333333</v>
      </c>
      <c r="I34" s="43" t="s">
        <v>4500</v>
      </c>
      <c r="J34" s="43" t="s">
        <v>4501</v>
      </c>
      <c r="K34" s="43" t="s">
        <v>30</v>
      </c>
      <c r="L34" s="43">
        <v>2</v>
      </c>
      <c r="M34" s="43">
        <v>10</v>
      </c>
      <c r="N34" s="42">
        <f>AVERAGE(39.5,37.9)</f>
        <v>38.700000000000003</v>
      </c>
      <c r="O34" s="242">
        <f>AVERAGE(958,1076)</f>
        <v>1017</v>
      </c>
      <c r="P34" s="242">
        <f>AVERAGE(1381,1484)</f>
        <v>1432.5</v>
      </c>
      <c r="Q34" s="233">
        <f>AVERAGE(0.53,0.55)</f>
        <v>0.54</v>
      </c>
      <c r="R34" s="243">
        <f>AVERAGE(24,27.2)</f>
        <v>25.6</v>
      </c>
      <c r="S34" s="243">
        <f>AVERAGE(33,40.5)</f>
        <v>36.75</v>
      </c>
      <c r="T34" s="43" t="s">
        <v>31</v>
      </c>
      <c r="U34" s="45">
        <v>1</v>
      </c>
      <c r="V34" s="45">
        <v>25.2</v>
      </c>
      <c r="W34" s="5" t="s">
        <v>6670</v>
      </c>
      <c r="X34" s="49" t="s">
        <v>6671</v>
      </c>
    </row>
    <row r="35" spans="1:24" x14ac:dyDescent="0.25">
      <c r="A35" s="41">
        <v>43258</v>
      </c>
      <c r="B35" s="631" t="s">
        <v>106</v>
      </c>
      <c r="C35" s="631">
        <v>38.525149999999996</v>
      </c>
      <c r="D35" s="631">
        <v>-121.58477999999999</v>
      </c>
      <c r="E35" s="631" t="s">
        <v>6709</v>
      </c>
      <c r="F35" s="631" t="s">
        <v>90</v>
      </c>
      <c r="G35" s="631" t="s">
        <v>1787</v>
      </c>
      <c r="H35" s="239">
        <v>0.35000000000000003</v>
      </c>
      <c r="I35" s="43" t="s">
        <v>4500</v>
      </c>
      <c r="J35" s="43" t="s">
        <v>4501</v>
      </c>
      <c r="K35" s="43" t="s">
        <v>30</v>
      </c>
      <c r="L35" s="43">
        <v>2</v>
      </c>
      <c r="M35" s="43">
        <v>10</v>
      </c>
      <c r="N35" s="42">
        <f>AVERAGE(33)</f>
        <v>33</v>
      </c>
      <c r="O35" s="242">
        <f>AVERAGE(863,872)</f>
        <v>867.5</v>
      </c>
      <c r="P35" s="242">
        <f>AVERAGE(866,863)</f>
        <v>864.5</v>
      </c>
      <c r="Q35" s="233">
        <f>AVERAGE(0.92,0.83)</f>
        <v>0.875</v>
      </c>
      <c r="R35" s="243">
        <f>AVERAGE(12.1,21.9)</f>
        <v>17</v>
      </c>
      <c r="S35" s="243">
        <f>AVERAGE(72.9,26)</f>
        <v>49.45</v>
      </c>
      <c r="T35" s="43" t="s">
        <v>50</v>
      </c>
      <c r="U35" s="235" t="s">
        <v>50</v>
      </c>
      <c r="V35" s="235" t="s">
        <v>50</v>
      </c>
      <c r="W35" s="5" t="s">
        <v>6670</v>
      </c>
      <c r="X35" s="49" t="s">
        <v>6671</v>
      </c>
    </row>
    <row r="36" spans="1:24" x14ac:dyDescent="0.25">
      <c r="A36" s="41">
        <v>43258</v>
      </c>
      <c r="B36" s="631" t="s">
        <v>106</v>
      </c>
      <c r="C36" s="631">
        <v>38.432040000000001</v>
      </c>
      <c r="D36" s="631">
        <v>-121.6023</v>
      </c>
      <c r="E36" s="631" t="s">
        <v>6710</v>
      </c>
      <c r="F36" s="631" t="s">
        <v>90</v>
      </c>
      <c r="G36" s="631" t="s">
        <v>362</v>
      </c>
      <c r="H36" s="239">
        <v>0.39097222222222222</v>
      </c>
      <c r="I36" s="43" t="s">
        <v>4500</v>
      </c>
      <c r="J36" s="43" t="s">
        <v>4501</v>
      </c>
      <c r="K36" s="238" t="s">
        <v>30</v>
      </c>
      <c r="L36" s="43">
        <v>2</v>
      </c>
      <c r="M36" s="43">
        <v>10</v>
      </c>
      <c r="N36" s="42">
        <f>AVERAGE(18)</f>
        <v>18</v>
      </c>
      <c r="O36" s="242">
        <f>AVERAGE(673,664)</f>
        <v>668.5</v>
      </c>
      <c r="P36" s="242">
        <f>AVERAGE(672,665)</f>
        <v>668.5</v>
      </c>
      <c r="Q36" s="233">
        <f>AVERAGE(0.46,0.41)</f>
        <v>0.435</v>
      </c>
      <c r="R36" s="243">
        <f>AVERAGE(25.5,132)</f>
        <v>78.75</v>
      </c>
      <c r="S36" s="243">
        <f>AVERAGE(247,317)</f>
        <v>282</v>
      </c>
      <c r="T36" s="43" t="s">
        <v>50</v>
      </c>
      <c r="U36" s="235" t="s">
        <v>50</v>
      </c>
      <c r="V36" s="235" t="s">
        <v>50</v>
      </c>
      <c r="W36" s="5" t="s">
        <v>6670</v>
      </c>
      <c r="X36" s="49" t="s">
        <v>6671</v>
      </c>
    </row>
    <row r="37" spans="1:24" x14ac:dyDescent="0.25">
      <c r="A37" s="250">
        <v>43258</v>
      </c>
      <c r="B37" s="631" t="s">
        <v>106</v>
      </c>
      <c r="C37" s="631">
        <v>38.206440000000001</v>
      </c>
      <c r="D37" s="631">
        <v>-121.66059</v>
      </c>
      <c r="E37" s="631" t="s">
        <v>6711</v>
      </c>
      <c r="F37" s="631" t="s">
        <v>90</v>
      </c>
      <c r="G37" s="631" t="s">
        <v>362</v>
      </c>
      <c r="H37" s="251">
        <v>0.44791666666666669</v>
      </c>
      <c r="I37" s="252" t="s">
        <v>4500</v>
      </c>
      <c r="J37" s="252" t="s">
        <v>4501</v>
      </c>
      <c r="K37" s="253" t="s">
        <v>30</v>
      </c>
      <c r="L37" s="252">
        <v>2</v>
      </c>
      <c r="M37" s="252">
        <v>10</v>
      </c>
      <c r="N37" s="254">
        <f>AVERAGE(30)</f>
        <v>30</v>
      </c>
      <c r="O37" s="255">
        <f>AVERAGE(129.3,129.6)</f>
        <v>129.44999999999999</v>
      </c>
      <c r="P37" s="255">
        <f>AVERAGE(130.1,128.6)</f>
        <v>129.35</v>
      </c>
      <c r="Q37" s="256">
        <f>AVERAGE(1.32,1.28)</f>
        <v>1.3</v>
      </c>
      <c r="R37" s="257">
        <f>AVERAGE(90.9,9.42)</f>
        <v>50.160000000000004</v>
      </c>
      <c r="S37" s="257">
        <f>AVERAGE(26,7.46)</f>
        <v>16.73</v>
      </c>
      <c r="T37" s="252" t="s">
        <v>50</v>
      </c>
      <c r="U37" s="235" t="s">
        <v>50</v>
      </c>
      <c r="V37" s="235" t="s">
        <v>50</v>
      </c>
      <c r="W37" s="5" t="s">
        <v>6670</v>
      </c>
      <c r="X37" s="49" t="s">
        <v>6671</v>
      </c>
    </row>
    <row r="38" spans="1:24" s="259" customFormat="1" x14ac:dyDescent="0.25">
      <c r="A38" s="258">
        <v>43262</v>
      </c>
      <c r="B38" s="259" t="s">
        <v>106</v>
      </c>
      <c r="C38" s="259">
        <v>38.561309999999999</v>
      </c>
      <c r="D38" s="259">
        <v>-121.54926</v>
      </c>
      <c r="E38" s="259" t="s">
        <v>6712</v>
      </c>
      <c r="F38" s="259" t="s">
        <v>90</v>
      </c>
      <c r="G38" s="259" t="s">
        <v>1787</v>
      </c>
      <c r="H38" s="260">
        <v>0.36805555555555558</v>
      </c>
      <c r="I38" s="261" t="s">
        <v>4500</v>
      </c>
      <c r="J38" s="261" t="s">
        <v>4501</v>
      </c>
      <c r="K38" s="262" t="s">
        <v>30</v>
      </c>
      <c r="L38" s="261">
        <v>2</v>
      </c>
      <c r="M38" s="261">
        <v>10</v>
      </c>
      <c r="N38" s="261">
        <f>AVERAGE(34)</f>
        <v>34</v>
      </c>
      <c r="O38" s="263">
        <f>AVERAGE(972,978)</f>
        <v>975</v>
      </c>
      <c r="P38" s="263">
        <f>AVERAGE(956,952)</f>
        <v>954</v>
      </c>
      <c r="Q38" s="264">
        <f>AVERAGE(1.8,1.8)</f>
        <v>1.8</v>
      </c>
      <c r="R38" s="265">
        <f>AVERAGE(6.05,26.1)</f>
        <v>16.074999999999999</v>
      </c>
      <c r="S38" s="265">
        <f>AVERAGE(128,54.9)</f>
        <v>91.45</v>
      </c>
      <c r="T38" s="261" t="s">
        <v>50</v>
      </c>
      <c r="U38" s="266" t="s">
        <v>50</v>
      </c>
      <c r="V38" s="266" t="s">
        <v>50</v>
      </c>
      <c r="W38" s="267" t="s">
        <v>6670</v>
      </c>
      <c r="X38" s="268" t="s">
        <v>6671</v>
      </c>
    </row>
    <row r="39" spans="1:24" x14ac:dyDescent="0.25">
      <c r="A39" s="44">
        <v>43262</v>
      </c>
      <c r="B39" s="631" t="s">
        <v>106</v>
      </c>
      <c r="C39" s="631">
        <v>38.233229999999999</v>
      </c>
      <c r="D39" s="631">
        <v>-121.67393</v>
      </c>
      <c r="E39" s="631" t="s">
        <v>6713</v>
      </c>
      <c r="F39" s="631" t="s">
        <v>90</v>
      </c>
      <c r="G39" s="631" t="s">
        <v>362</v>
      </c>
      <c r="H39" s="239">
        <v>0.46875</v>
      </c>
      <c r="I39" s="43" t="s">
        <v>4500</v>
      </c>
      <c r="J39" s="43" t="s">
        <v>4501</v>
      </c>
      <c r="K39" s="238" t="s">
        <v>30</v>
      </c>
      <c r="L39" s="43">
        <v>2</v>
      </c>
      <c r="M39" s="43">
        <v>10</v>
      </c>
      <c r="N39" s="42">
        <f>AVERAGE(30)</f>
        <v>30</v>
      </c>
      <c r="O39" s="242">
        <f>AVERAGE(175.2,176.7)</f>
        <v>175.95</v>
      </c>
      <c r="P39" s="242">
        <f>AVERAGE(169.4,185)</f>
        <v>177.2</v>
      </c>
      <c r="Q39" s="233">
        <f>AVERAGE(0.96,1.12)</f>
        <v>1.04</v>
      </c>
      <c r="R39" s="243">
        <f>AVERAGE(9.02,8.3)</f>
        <v>8.66</v>
      </c>
      <c r="S39" s="243">
        <f>AVERAGE(12.5,18.7)</f>
        <v>15.6</v>
      </c>
      <c r="T39" s="43" t="s">
        <v>50</v>
      </c>
      <c r="U39" s="235" t="s">
        <v>50</v>
      </c>
      <c r="V39" s="235" t="s">
        <v>50</v>
      </c>
      <c r="X39" s="40" t="s">
        <v>6671</v>
      </c>
    </row>
    <row r="40" spans="1:24" x14ac:dyDescent="0.25">
      <c r="A40" s="44">
        <v>43262</v>
      </c>
      <c r="B40" s="631" t="s">
        <v>106</v>
      </c>
      <c r="C40" s="631">
        <v>38.201309999999999</v>
      </c>
      <c r="D40" s="631">
        <v>-121.65594</v>
      </c>
      <c r="E40" s="631" t="s">
        <v>6714</v>
      </c>
      <c r="F40" s="631" t="s">
        <v>90</v>
      </c>
      <c r="G40" s="631" t="s">
        <v>362</v>
      </c>
      <c r="H40" s="239">
        <v>0.50624999999999998</v>
      </c>
      <c r="I40" s="43" t="s">
        <v>4500</v>
      </c>
      <c r="J40" s="43" t="s">
        <v>4501</v>
      </c>
      <c r="K40" s="238" t="s">
        <v>30</v>
      </c>
      <c r="L40" s="43">
        <v>2</v>
      </c>
      <c r="M40" s="43">
        <v>10</v>
      </c>
      <c r="N40" s="42">
        <f>AVERAGE(40)</f>
        <v>40</v>
      </c>
      <c r="O40" s="242">
        <f>AVERAGE(148.4,149.5)</f>
        <v>148.94999999999999</v>
      </c>
      <c r="P40" s="242">
        <f>AVERAGE(148.7,150.2)</f>
        <v>149.44999999999999</v>
      </c>
      <c r="Q40" s="233">
        <f>AVERAGE(1.3,1.15)</f>
        <v>1.2250000000000001</v>
      </c>
      <c r="R40" s="243">
        <f>AVERAGE(10.9,9.18)</f>
        <v>10.039999999999999</v>
      </c>
      <c r="S40" s="243">
        <f>AVERAGE(11.7,12.3)</f>
        <v>12</v>
      </c>
      <c r="T40" s="43" t="s">
        <v>50</v>
      </c>
      <c r="U40" s="235" t="s">
        <v>50</v>
      </c>
      <c r="V40" s="235" t="s">
        <v>50</v>
      </c>
      <c r="X40" s="40" t="s">
        <v>6671</v>
      </c>
    </row>
    <row r="41" spans="1:24" x14ac:dyDescent="0.25">
      <c r="A41" s="44">
        <v>43262</v>
      </c>
      <c r="B41" s="631" t="s">
        <v>95</v>
      </c>
      <c r="C41" s="631">
        <v>38.062100000000001</v>
      </c>
      <c r="D41" s="631">
        <v>-121.56089</v>
      </c>
      <c r="E41" s="631" t="s">
        <v>6715</v>
      </c>
      <c r="F41" s="631" t="s">
        <v>46</v>
      </c>
      <c r="G41" s="631" t="s">
        <v>115</v>
      </c>
      <c r="H41" s="239">
        <v>0.38125000000000003</v>
      </c>
      <c r="I41" s="43" t="s">
        <v>4500</v>
      </c>
      <c r="J41" s="43" t="s">
        <v>4501</v>
      </c>
      <c r="K41" s="238" t="s">
        <v>30</v>
      </c>
      <c r="L41" s="43">
        <v>2</v>
      </c>
      <c r="M41" s="43">
        <v>10</v>
      </c>
      <c r="N41" s="42">
        <f>AVERAGE(14.7,15)</f>
        <v>14.85</v>
      </c>
      <c r="O41" s="242">
        <f>AVERAGE(174.2,174.6)</f>
        <v>174.39999999999998</v>
      </c>
      <c r="P41" s="242">
        <f>AVERAGE(177.6,177.4)</f>
        <v>177.5</v>
      </c>
      <c r="Q41" s="233">
        <f>AVERAGE(1.46)</f>
        <v>1.46</v>
      </c>
      <c r="R41" s="243">
        <f>AVERAGE(16.9,8.66)</f>
        <v>12.78</v>
      </c>
      <c r="S41" s="243">
        <f>AVERAGE(15.5,57.1)</f>
        <v>36.299999999999997</v>
      </c>
      <c r="T41" s="43" t="s">
        <v>50</v>
      </c>
      <c r="U41" s="235" t="s">
        <v>50</v>
      </c>
      <c r="V41" s="235" t="s">
        <v>50</v>
      </c>
      <c r="X41" s="40" t="s">
        <v>6671</v>
      </c>
    </row>
    <row r="42" spans="1:24" x14ac:dyDescent="0.25">
      <c r="A42" s="44">
        <v>43262</v>
      </c>
      <c r="B42" s="631" t="s">
        <v>95</v>
      </c>
      <c r="C42" s="631">
        <v>38.086770000000001</v>
      </c>
      <c r="D42" s="631">
        <v>-121.64440999999999</v>
      </c>
      <c r="E42" s="631" t="s">
        <v>6716</v>
      </c>
      <c r="F42" s="631" t="s">
        <v>46</v>
      </c>
      <c r="G42" s="631" t="s">
        <v>908</v>
      </c>
      <c r="H42" s="239">
        <v>0.43402777777777773</v>
      </c>
      <c r="I42" s="43" t="s">
        <v>4500</v>
      </c>
      <c r="J42" s="43" t="s">
        <v>4501</v>
      </c>
      <c r="K42" s="238" t="s">
        <v>30</v>
      </c>
      <c r="L42" s="43">
        <v>2</v>
      </c>
      <c r="M42" s="43">
        <v>10</v>
      </c>
      <c r="N42" s="42">
        <f>AVERAGE(56.4,55.8)</f>
        <v>56.099999999999994</v>
      </c>
      <c r="O42" s="242">
        <f>AVERAGE(167.4,167.2)</f>
        <v>167.3</v>
      </c>
      <c r="P42" s="242">
        <f>AVERAGE(168.4,168.5)</f>
        <v>168.45</v>
      </c>
      <c r="Q42" s="233">
        <f>AVERAGE(1.12,1.17)</f>
        <v>1.145</v>
      </c>
      <c r="R42" s="243">
        <f>AVERAGE(10.8,15.9)</f>
        <v>13.350000000000001</v>
      </c>
      <c r="S42" s="243">
        <f>AVERAGE(16.6,15.8)</f>
        <v>16.200000000000003</v>
      </c>
      <c r="T42" s="43" t="s">
        <v>50</v>
      </c>
      <c r="U42" s="235" t="s">
        <v>50</v>
      </c>
      <c r="V42" s="235" t="s">
        <v>50</v>
      </c>
      <c r="X42" s="40" t="s">
        <v>6671</v>
      </c>
    </row>
    <row r="43" spans="1:24" s="149" customFormat="1" x14ac:dyDescent="0.25">
      <c r="A43" s="160">
        <v>43262</v>
      </c>
      <c r="B43" s="149" t="s">
        <v>95</v>
      </c>
      <c r="C43" s="149">
        <v>38.0383</v>
      </c>
      <c r="D43" s="149">
        <v>-121.71607</v>
      </c>
      <c r="E43" s="149" t="s">
        <v>6717</v>
      </c>
      <c r="F43" s="149" t="s">
        <v>27</v>
      </c>
      <c r="G43" s="149" t="s">
        <v>863</v>
      </c>
      <c r="H43" s="165">
        <v>0.46875</v>
      </c>
      <c r="I43" s="161" t="s">
        <v>4500</v>
      </c>
      <c r="J43" s="161" t="s">
        <v>4501</v>
      </c>
      <c r="K43" s="236" t="s">
        <v>30</v>
      </c>
      <c r="L43" s="161">
        <v>0</v>
      </c>
      <c r="M43" s="161" t="s">
        <v>50</v>
      </c>
      <c r="N43" s="161" t="s">
        <v>50</v>
      </c>
      <c r="O43" s="247" t="s">
        <v>50</v>
      </c>
      <c r="P43" s="247" t="s">
        <v>50</v>
      </c>
      <c r="Q43" s="163" t="s">
        <v>50</v>
      </c>
      <c r="R43" s="247" t="s">
        <v>50</v>
      </c>
      <c r="S43" s="247" t="s">
        <v>50</v>
      </c>
      <c r="T43" s="161" t="s">
        <v>50</v>
      </c>
      <c r="U43" s="161" t="s">
        <v>50</v>
      </c>
      <c r="V43" s="161" t="s">
        <v>50</v>
      </c>
      <c r="W43" s="152" t="s">
        <v>6673</v>
      </c>
      <c r="X43" s="158" t="s">
        <v>6671</v>
      </c>
    </row>
    <row r="44" spans="1:24" x14ac:dyDescent="0.25">
      <c r="A44" s="44">
        <v>43262</v>
      </c>
      <c r="B44" s="631" t="s">
        <v>95</v>
      </c>
      <c r="C44" s="631">
        <v>38.02758</v>
      </c>
      <c r="D44" s="631">
        <v>-121.75493</v>
      </c>
      <c r="E44" s="631" t="s">
        <v>6718</v>
      </c>
      <c r="F44" s="631" t="s">
        <v>27</v>
      </c>
      <c r="G44" s="631" t="s">
        <v>863</v>
      </c>
      <c r="H44" s="239">
        <v>0.48055555555555557</v>
      </c>
      <c r="I44" s="43" t="s">
        <v>4500</v>
      </c>
      <c r="J44" s="43" t="s">
        <v>4501</v>
      </c>
      <c r="K44" s="238" t="s">
        <v>30</v>
      </c>
      <c r="L44" s="43">
        <v>2</v>
      </c>
      <c r="M44" s="43">
        <v>10</v>
      </c>
      <c r="N44" s="42">
        <f>AVERAGE(36.7,36.6)</f>
        <v>36.650000000000006</v>
      </c>
      <c r="O44" s="242">
        <f>AVERAGE(200.8,204.8)</f>
        <v>202.8</v>
      </c>
      <c r="P44" s="242">
        <f>AVERAGE(205.1,204.4)</f>
        <v>204.75</v>
      </c>
      <c r="Q44" s="233">
        <f>AVERAGE(1.27,1.23)</f>
        <v>1.25</v>
      </c>
      <c r="R44" s="243">
        <f>AVERAGE(15.4,10.8)</f>
        <v>13.100000000000001</v>
      </c>
      <c r="S44" s="243">
        <f>AVERAGE(18.5,27.4)</f>
        <v>22.95</v>
      </c>
      <c r="T44" s="43" t="s">
        <v>50</v>
      </c>
      <c r="U44" s="235" t="s">
        <v>50</v>
      </c>
      <c r="V44" s="235" t="s">
        <v>50</v>
      </c>
      <c r="X44" s="40" t="s">
        <v>6671</v>
      </c>
    </row>
    <row r="45" spans="1:24" x14ac:dyDescent="0.25">
      <c r="A45" s="44">
        <v>43263</v>
      </c>
      <c r="B45" s="631" t="s">
        <v>88</v>
      </c>
      <c r="C45" s="631">
        <v>38.065730000000002</v>
      </c>
      <c r="D45" s="631">
        <v>-121.82326</v>
      </c>
      <c r="E45" s="631" t="s">
        <v>6719</v>
      </c>
      <c r="F45" s="631" t="s">
        <v>27</v>
      </c>
      <c r="G45" s="631" t="s">
        <v>25</v>
      </c>
      <c r="H45" s="239">
        <v>0.32708333333333334</v>
      </c>
      <c r="I45" s="43" t="s">
        <v>4500</v>
      </c>
      <c r="J45" s="43" t="s">
        <v>4501</v>
      </c>
      <c r="K45" s="238" t="s">
        <v>30</v>
      </c>
      <c r="L45" s="43">
        <v>2</v>
      </c>
      <c r="M45" s="43">
        <v>10</v>
      </c>
      <c r="N45" s="42">
        <f>AVERAGE(24,24)</f>
        <v>24</v>
      </c>
      <c r="O45" s="242">
        <f>AVERAGE(974,820)</f>
        <v>897</v>
      </c>
      <c r="P45" s="242">
        <f>AVERAGE(971,830)</f>
        <v>900.5</v>
      </c>
      <c r="Q45" s="233">
        <f>AVERAGE(0.28,0.3)</f>
        <v>0.29000000000000004</v>
      </c>
      <c r="R45" s="243">
        <f>AVERAGE(45.8,67.7)</f>
        <v>56.75</v>
      </c>
      <c r="S45" s="243">
        <f>AVERAGE(72.6,52.5)</f>
        <v>62.55</v>
      </c>
      <c r="T45" s="43" t="s">
        <v>50</v>
      </c>
      <c r="U45" s="235" t="s">
        <v>50</v>
      </c>
      <c r="V45" s="235" t="s">
        <v>50</v>
      </c>
      <c r="W45" s="5" t="s">
        <v>6670</v>
      </c>
      <c r="X45" s="40" t="s">
        <v>6671</v>
      </c>
    </row>
    <row r="46" spans="1:24" x14ac:dyDescent="0.25">
      <c r="A46" s="44">
        <v>43263</v>
      </c>
      <c r="B46" s="631" t="s">
        <v>88</v>
      </c>
      <c r="C46" s="631">
        <v>38.063400000000001</v>
      </c>
      <c r="D46" s="631">
        <v>-121.79207</v>
      </c>
      <c r="E46" s="631" t="s">
        <v>6720</v>
      </c>
      <c r="F46" s="631" t="s">
        <v>27</v>
      </c>
      <c r="G46" s="631" t="s">
        <v>25</v>
      </c>
      <c r="H46" s="239">
        <v>0.36388888888888887</v>
      </c>
      <c r="I46" s="43" t="s">
        <v>4500</v>
      </c>
      <c r="J46" s="43" t="s">
        <v>4501</v>
      </c>
      <c r="K46" s="238" t="s">
        <v>30</v>
      </c>
      <c r="L46" s="43">
        <v>2</v>
      </c>
      <c r="M46" s="43">
        <v>10</v>
      </c>
      <c r="N46" s="42">
        <f>AVERAGE(35)</f>
        <v>35</v>
      </c>
      <c r="O46" s="242">
        <f>AVERAGE(248.4,216.9)</f>
        <v>232.65</v>
      </c>
      <c r="P46" s="242">
        <f>AVERAGE(218.7,261.7)</f>
        <v>240.2</v>
      </c>
      <c r="Q46" s="233">
        <f>AVERAGE(0.37,0.49)</f>
        <v>0.43</v>
      </c>
      <c r="R46" s="243">
        <f>AVERAGE(45.9,25.8)</f>
        <v>35.85</v>
      </c>
      <c r="S46" s="243">
        <f>AVERAGE(64.5,48.6)</f>
        <v>56.55</v>
      </c>
      <c r="T46" s="43" t="s">
        <v>50</v>
      </c>
      <c r="U46" s="235" t="s">
        <v>50</v>
      </c>
      <c r="V46" s="235" t="s">
        <v>50</v>
      </c>
      <c r="W46" s="5" t="s">
        <v>6670</v>
      </c>
      <c r="X46" s="49" t="s">
        <v>6671</v>
      </c>
    </row>
    <row r="47" spans="1:24" x14ac:dyDescent="0.25">
      <c r="A47" s="44">
        <v>43263</v>
      </c>
      <c r="B47" s="631" t="s">
        <v>88</v>
      </c>
      <c r="C47" s="631">
        <v>38.111370000000001</v>
      </c>
      <c r="D47" s="631">
        <v>-121.70223</v>
      </c>
      <c r="E47" s="16" t="s">
        <v>6721</v>
      </c>
      <c r="F47" s="631" t="s">
        <v>90</v>
      </c>
      <c r="G47" s="631" t="s">
        <v>91</v>
      </c>
      <c r="H47" s="239">
        <v>0.40625</v>
      </c>
      <c r="I47" s="43" t="s">
        <v>4500</v>
      </c>
      <c r="J47" s="43" t="s">
        <v>4501</v>
      </c>
      <c r="K47" s="238" t="s">
        <v>30</v>
      </c>
      <c r="L47" s="43">
        <v>2</v>
      </c>
      <c r="M47" s="43">
        <v>10</v>
      </c>
      <c r="N47" s="42">
        <f>AVERAGE(15,15)</f>
        <v>15</v>
      </c>
      <c r="O47" s="242">
        <f>AVERAGE(140.1,140.2)</f>
        <v>140.14999999999998</v>
      </c>
      <c r="P47" s="242">
        <f>AVERAGE(140.7,141.4)</f>
        <v>141.05000000000001</v>
      </c>
      <c r="Q47" s="233">
        <f>AVERAGE(1.08,0.98)</f>
        <v>1.03</v>
      </c>
      <c r="R47" s="243">
        <f>AVERAGE(17.8,34.3)</f>
        <v>26.049999999999997</v>
      </c>
      <c r="S47" s="243">
        <f>AVERAGE(111,22.4)</f>
        <v>66.7</v>
      </c>
      <c r="T47" s="43" t="s">
        <v>50</v>
      </c>
      <c r="U47" s="235" t="s">
        <v>50</v>
      </c>
      <c r="V47" s="235" t="s">
        <v>50</v>
      </c>
      <c r="W47" s="5" t="s">
        <v>6670</v>
      </c>
      <c r="X47" s="49" t="s">
        <v>6671</v>
      </c>
    </row>
    <row r="48" spans="1:24" x14ac:dyDescent="0.25">
      <c r="A48" s="44">
        <v>43263</v>
      </c>
      <c r="B48" s="631" t="s">
        <v>88</v>
      </c>
      <c r="C48" s="631">
        <v>38.122239999999998</v>
      </c>
      <c r="D48" s="631">
        <v>-121.69893999999999</v>
      </c>
      <c r="E48" s="631" t="s">
        <v>6722</v>
      </c>
      <c r="F48" s="631" t="s">
        <v>90</v>
      </c>
      <c r="G48" s="631" t="s">
        <v>91</v>
      </c>
      <c r="H48" s="239">
        <v>0.44027777777777777</v>
      </c>
      <c r="I48" s="43" t="s">
        <v>4500</v>
      </c>
      <c r="J48" s="43" t="s">
        <v>4501</v>
      </c>
      <c r="K48" s="238" t="s">
        <v>30</v>
      </c>
      <c r="L48" s="43">
        <v>3</v>
      </c>
      <c r="M48" s="43">
        <v>10</v>
      </c>
      <c r="N48" s="42">
        <f>AVERAGE(28)</f>
        <v>28</v>
      </c>
      <c r="O48" s="242">
        <f>AVERAGE(142.6,142.5,142.9)</f>
        <v>142.66666666666666</v>
      </c>
      <c r="P48" s="242">
        <f>AVERAGE(143.7,142,143)</f>
        <v>142.9</v>
      </c>
      <c r="Q48" s="233">
        <f>AVERAGE(1.13,1.12,1.3)</f>
        <v>1.1833333333333333</v>
      </c>
      <c r="R48" s="243">
        <f>AVERAGE(11,10.6,12)</f>
        <v>11.200000000000001</v>
      </c>
      <c r="S48" s="243">
        <f>AVERAGE(14.3,20.5,10.3)</f>
        <v>15.033333333333331</v>
      </c>
      <c r="T48" s="43" t="s">
        <v>50</v>
      </c>
      <c r="U48" s="235" t="s">
        <v>50</v>
      </c>
      <c r="V48" s="235" t="s">
        <v>50</v>
      </c>
      <c r="W48" s="5" t="s">
        <v>6723</v>
      </c>
      <c r="X48" s="49" t="s">
        <v>6671</v>
      </c>
    </row>
    <row r="49" spans="1:24" x14ac:dyDescent="0.25">
      <c r="A49" s="44">
        <v>43263</v>
      </c>
      <c r="B49" s="631" t="s">
        <v>78</v>
      </c>
      <c r="C49" s="631">
        <v>38.049169999999997</v>
      </c>
      <c r="D49" s="631">
        <v>-121.96899999999999</v>
      </c>
      <c r="E49" s="631" t="s">
        <v>6724</v>
      </c>
      <c r="F49" s="631" t="s">
        <v>27</v>
      </c>
      <c r="G49" s="631" t="s">
        <v>170</v>
      </c>
      <c r="H49" s="239">
        <v>0.32777777777777778</v>
      </c>
      <c r="I49" s="43" t="s">
        <v>4500</v>
      </c>
      <c r="J49" s="43" t="s">
        <v>4501</v>
      </c>
      <c r="K49" s="238" t="s">
        <v>30</v>
      </c>
      <c r="L49" s="43">
        <v>2</v>
      </c>
      <c r="M49" s="43">
        <v>10</v>
      </c>
      <c r="N49" s="42">
        <f>AVERAGE(11.2,13.1)</f>
        <v>12.149999999999999</v>
      </c>
      <c r="O49" s="242">
        <f>AVERAGE(6822,5907)</f>
        <v>6364.5</v>
      </c>
      <c r="P49" s="242">
        <f>AVERAGE(7331,8782)</f>
        <v>8056.5</v>
      </c>
      <c r="Q49" s="233">
        <f>AVERAGE(0.31,0.3)</f>
        <v>0.30499999999999999</v>
      </c>
      <c r="R49" s="243">
        <f>AVERAGE(40.1,44.5)</f>
        <v>42.3</v>
      </c>
      <c r="S49" s="243">
        <f>AVERAGE(42.9,47.6)</f>
        <v>45.25</v>
      </c>
      <c r="T49" s="43" t="s">
        <v>50</v>
      </c>
      <c r="U49" s="235" t="s">
        <v>50</v>
      </c>
      <c r="V49" s="235" t="s">
        <v>50</v>
      </c>
      <c r="X49" s="49" t="s">
        <v>6671</v>
      </c>
    </row>
    <row r="50" spans="1:24" x14ac:dyDescent="0.25">
      <c r="A50" s="44">
        <v>43263</v>
      </c>
      <c r="B50" s="631" t="s">
        <v>78</v>
      </c>
      <c r="C50" s="631">
        <v>38.058669999999999</v>
      </c>
      <c r="D50" s="631">
        <v>-121.94954</v>
      </c>
      <c r="E50" s="631" t="s">
        <v>6725</v>
      </c>
      <c r="F50" s="631" t="s">
        <v>27</v>
      </c>
      <c r="G50" s="631" t="s">
        <v>170</v>
      </c>
      <c r="H50" s="239">
        <v>0.3576388888888889</v>
      </c>
      <c r="I50" s="43" t="s">
        <v>4500</v>
      </c>
      <c r="J50" s="43" t="s">
        <v>4501</v>
      </c>
      <c r="K50" s="238" t="s">
        <v>30</v>
      </c>
      <c r="L50" s="43">
        <v>2</v>
      </c>
      <c r="M50" s="43">
        <v>10</v>
      </c>
      <c r="N50" s="42">
        <f>AVERAGE(17,20.2)</f>
        <v>18.600000000000001</v>
      </c>
      <c r="O50" s="242">
        <f>AVERAGE(4689)</f>
        <v>4689</v>
      </c>
      <c r="P50" s="242">
        <f>AVERAGE(7331,8782)</f>
        <v>8056.5</v>
      </c>
      <c r="Q50" s="233">
        <f>AVERAGE(0.29,0.28)</f>
        <v>0.28500000000000003</v>
      </c>
      <c r="R50" s="243">
        <f>AVERAGE(129,133)</f>
        <v>131</v>
      </c>
      <c r="S50" s="243">
        <f>AVERAGE(287)</f>
        <v>287</v>
      </c>
      <c r="T50" s="43" t="s">
        <v>323</v>
      </c>
      <c r="U50" s="45">
        <v>1</v>
      </c>
      <c r="V50" s="45">
        <v>17.5</v>
      </c>
      <c r="W50" s="5" t="s">
        <v>6726</v>
      </c>
      <c r="X50" s="40" t="s">
        <v>6671</v>
      </c>
    </row>
    <row r="51" spans="1:24" x14ac:dyDescent="0.25">
      <c r="A51" s="44">
        <v>43263</v>
      </c>
      <c r="B51" s="631" t="s">
        <v>78</v>
      </c>
      <c r="C51" s="631">
        <v>38.058669999999999</v>
      </c>
      <c r="D51" s="631">
        <v>-121.94954</v>
      </c>
      <c r="E51" s="631" t="s">
        <v>6725</v>
      </c>
      <c r="F51" s="631" t="s">
        <v>27</v>
      </c>
      <c r="G51" s="631" t="s">
        <v>170</v>
      </c>
      <c r="H51" s="239">
        <v>0.3576388888888889</v>
      </c>
      <c r="I51" s="43"/>
      <c r="J51" s="43"/>
      <c r="K51" s="238"/>
      <c r="L51" s="43"/>
      <c r="M51" s="43"/>
      <c r="N51" s="43"/>
      <c r="O51" s="43"/>
      <c r="P51" s="43"/>
      <c r="Q51" s="43"/>
      <c r="R51" s="43"/>
      <c r="S51" s="43"/>
      <c r="T51" s="43" t="s">
        <v>31</v>
      </c>
      <c r="U51" s="45">
        <v>2</v>
      </c>
      <c r="V51" s="45">
        <v>30</v>
      </c>
      <c r="X51" s="40" t="s">
        <v>6671</v>
      </c>
    </row>
    <row r="52" spans="1:24" x14ac:dyDescent="0.25">
      <c r="A52" s="44">
        <v>43263</v>
      </c>
      <c r="B52" s="631" t="s">
        <v>78</v>
      </c>
      <c r="C52" s="631">
        <v>38.038640000000001</v>
      </c>
      <c r="D52" s="631">
        <v>-121.8338</v>
      </c>
      <c r="E52" s="631" t="s">
        <v>6727</v>
      </c>
      <c r="F52" s="631" t="s">
        <v>27</v>
      </c>
      <c r="G52" s="631" t="s">
        <v>101</v>
      </c>
      <c r="H52" s="239">
        <v>0.40833333333333338</v>
      </c>
      <c r="I52" s="43" t="s">
        <v>4500</v>
      </c>
      <c r="J52" s="43" t="s">
        <v>4501</v>
      </c>
      <c r="K52" s="238" t="s">
        <v>30</v>
      </c>
      <c r="L52" s="43">
        <v>2</v>
      </c>
      <c r="M52" s="43">
        <v>10</v>
      </c>
      <c r="N52" s="42">
        <f>AVERAGE(13.7,11.4)</f>
        <v>12.55</v>
      </c>
      <c r="O52" s="242">
        <f>AVERAGE(617,540)</f>
        <v>578.5</v>
      </c>
      <c r="P52" s="242">
        <f>AVERAGE(521,610)</f>
        <v>565.5</v>
      </c>
      <c r="Q52" s="233">
        <f>AVERAGE(0.25,0.29)</f>
        <v>0.27</v>
      </c>
      <c r="R52" s="243">
        <f>AVERAGE(95.3,111)</f>
        <v>103.15</v>
      </c>
      <c r="S52" s="243">
        <f>AVERAGE(74.4,70.5)</f>
        <v>72.45</v>
      </c>
      <c r="T52" s="43" t="s">
        <v>50</v>
      </c>
      <c r="U52" s="235" t="s">
        <v>50</v>
      </c>
      <c r="V52" s="235" t="s">
        <v>50</v>
      </c>
      <c r="X52" s="49" t="s">
        <v>6671</v>
      </c>
    </row>
    <row r="53" spans="1:24" x14ac:dyDescent="0.25">
      <c r="A53" s="44">
        <v>43264</v>
      </c>
      <c r="B53" s="631" t="s">
        <v>78</v>
      </c>
      <c r="C53" s="631">
        <v>38.060490000000001</v>
      </c>
      <c r="D53" s="631">
        <v>-122.05521</v>
      </c>
      <c r="E53" s="631" t="s">
        <v>6728</v>
      </c>
      <c r="F53" s="631" t="s">
        <v>80</v>
      </c>
      <c r="G53" s="631" t="s">
        <v>81</v>
      </c>
      <c r="H53" s="239">
        <v>0.34722222222222227</v>
      </c>
      <c r="I53" s="43" t="s">
        <v>4500</v>
      </c>
      <c r="J53" s="43" t="s">
        <v>4501</v>
      </c>
      <c r="K53" s="238" t="s">
        <v>30</v>
      </c>
      <c r="L53" s="43">
        <v>2</v>
      </c>
      <c r="M53" s="43">
        <v>10</v>
      </c>
      <c r="N53" s="42">
        <f>AVERAGE(22,22)</f>
        <v>22</v>
      </c>
      <c r="O53" s="42">
        <f>AVERAGE(13364,12192)</f>
        <v>12778</v>
      </c>
      <c r="P53" s="242">
        <f>AVERAGE(13383,12175)</f>
        <v>12779</v>
      </c>
      <c r="Q53" s="233">
        <f>AVERAGE(0.24,0.26)</f>
        <v>0.25</v>
      </c>
      <c r="R53" s="243">
        <f>AVERAGE(50.7,65.5)</f>
        <v>58.1</v>
      </c>
      <c r="S53" s="243">
        <f>AVERAGE(50.3,75)</f>
        <v>62.65</v>
      </c>
      <c r="T53" s="43" t="s">
        <v>31</v>
      </c>
      <c r="U53" s="45">
        <f>11+19</f>
        <v>30</v>
      </c>
      <c r="V53" s="45" t="s">
        <v>6729</v>
      </c>
      <c r="W53" s="5" t="s">
        <v>6670</v>
      </c>
      <c r="X53" s="49" t="s">
        <v>6671</v>
      </c>
    </row>
    <row r="54" spans="1:24" x14ac:dyDescent="0.25">
      <c r="A54" s="44">
        <v>43264</v>
      </c>
      <c r="B54" s="631" t="s">
        <v>78</v>
      </c>
      <c r="C54" s="631">
        <v>38.092419999999997</v>
      </c>
      <c r="D54" s="631">
        <v>-122.06699</v>
      </c>
      <c r="E54" s="631" t="s">
        <v>6730</v>
      </c>
      <c r="F54" s="631" t="s">
        <v>80</v>
      </c>
      <c r="G54" s="631" t="s">
        <v>81</v>
      </c>
      <c r="H54" s="239">
        <v>0.3923611111111111</v>
      </c>
      <c r="I54" s="43" t="s">
        <v>4500</v>
      </c>
      <c r="J54" s="43" t="s">
        <v>4501</v>
      </c>
      <c r="K54" s="238" t="s">
        <v>30</v>
      </c>
      <c r="L54" s="43">
        <v>2</v>
      </c>
      <c r="M54" s="43">
        <v>10</v>
      </c>
      <c r="N54" s="42">
        <f>AVERAGE(28,29)</f>
        <v>28.5</v>
      </c>
      <c r="O54" s="42">
        <f>AVERAGE(12451,12600)</f>
        <v>12525.5</v>
      </c>
      <c r="P54" s="242">
        <f>AVERAGE(12650,13010)</f>
        <v>12830</v>
      </c>
      <c r="Q54" s="233">
        <f>AVERAGE(0.22,0.18)</f>
        <v>0.2</v>
      </c>
      <c r="R54" s="243">
        <f>AVERAGE(110,79.7)</f>
        <v>94.85</v>
      </c>
      <c r="S54" s="243">
        <f>AVERAGE(150,127)</f>
        <v>138.5</v>
      </c>
      <c r="T54" s="43" t="s">
        <v>31</v>
      </c>
      <c r="U54" s="45">
        <v>4</v>
      </c>
      <c r="V54" s="45" t="s">
        <v>6731</v>
      </c>
      <c r="W54" s="5" t="s">
        <v>6670</v>
      </c>
      <c r="X54" s="49" t="s">
        <v>6671</v>
      </c>
    </row>
    <row r="55" spans="1:24" s="149" customFormat="1" x14ac:dyDescent="0.25">
      <c r="A55" s="160">
        <v>43264</v>
      </c>
      <c r="B55" s="149" t="s">
        <v>78</v>
      </c>
      <c r="C55" s="149">
        <v>38.058639999999997</v>
      </c>
      <c r="D55" s="149">
        <v>-121.85726</v>
      </c>
      <c r="E55" s="149" t="s">
        <v>6732</v>
      </c>
      <c r="F55" s="149" t="s">
        <v>27</v>
      </c>
      <c r="G55" s="149" t="s">
        <v>101</v>
      </c>
      <c r="H55" s="165">
        <v>0.44236111111111115</v>
      </c>
      <c r="I55" s="161" t="s">
        <v>4500</v>
      </c>
      <c r="J55" s="161" t="s">
        <v>4501</v>
      </c>
      <c r="K55" s="236" t="s">
        <v>30</v>
      </c>
      <c r="L55" s="161">
        <v>0</v>
      </c>
      <c r="M55" s="161" t="s">
        <v>50</v>
      </c>
      <c r="N55" s="161" t="s">
        <v>50</v>
      </c>
      <c r="O55" s="247" t="s">
        <v>50</v>
      </c>
      <c r="P55" s="247" t="s">
        <v>50</v>
      </c>
      <c r="Q55" s="163" t="s">
        <v>50</v>
      </c>
      <c r="R55" s="247" t="s">
        <v>50</v>
      </c>
      <c r="S55" s="247" t="s">
        <v>50</v>
      </c>
      <c r="T55" s="161" t="s">
        <v>50</v>
      </c>
      <c r="U55" s="161" t="s">
        <v>50</v>
      </c>
      <c r="V55" s="161" t="s">
        <v>50</v>
      </c>
      <c r="W55" s="152" t="s">
        <v>6673</v>
      </c>
      <c r="X55" s="158" t="s">
        <v>6671</v>
      </c>
    </row>
    <row r="56" spans="1:24" s="149" customFormat="1" x14ac:dyDescent="0.25">
      <c r="A56" s="160">
        <v>43264</v>
      </c>
      <c r="B56" s="149" t="s">
        <v>78</v>
      </c>
      <c r="C56" s="149">
        <v>38.069000000000003</v>
      </c>
      <c r="D56" s="149">
        <v>-122.01971</v>
      </c>
      <c r="E56" s="149" t="s">
        <v>6733</v>
      </c>
      <c r="F56" s="149" t="s">
        <v>27</v>
      </c>
      <c r="G56" s="149" t="s">
        <v>86</v>
      </c>
      <c r="H56" s="165">
        <v>0.46736111111111112</v>
      </c>
      <c r="I56" s="161" t="s">
        <v>4500</v>
      </c>
      <c r="J56" s="161" t="s">
        <v>4501</v>
      </c>
      <c r="K56" s="236" t="s">
        <v>30</v>
      </c>
      <c r="L56" s="161">
        <v>0</v>
      </c>
      <c r="M56" s="161" t="s">
        <v>50</v>
      </c>
      <c r="N56" s="161" t="s">
        <v>50</v>
      </c>
      <c r="O56" s="247" t="s">
        <v>50</v>
      </c>
      <c r="P56" s="247" t="s">
        <v>50</v>
      </c>
      <c r="Q56" s="163" t="s">
        <v>50</v>
      </c>
      <c r="R56" s="247" t="s">
        <v>50</v>
      </c>
      <c r="S56" s="247" t="s">
        <v>50</v>
      </c>
      <c r="T56" s="161" t="s">
        <v>50</v>
      </c>
      <c r="U56" s="161" t="s">
        <v>50</v>
      </c>
      <c r="V56" s="161" t="s">
        <v>50</v>
      </c>
      <c r="W56" s="152" t="s">
        <v>6673</v>
      </c>
      <c r="X56" s="158" t="s">
        <v>6671</v>
      </c>
    </row>
    <row r="57" spans="1:24" x14ac:dyDescent="0.25">
      <c r="A57" s="36">
        <v>43264</v>
      </c>
      <c r="B57" s="27" t="s">
        <v>78</v>
      </c>
      <c r="C57" s="631">
        <v>38.06026</v>
      </c>
      <c r="D57" s="631">
        <v>-121.97005</v>
      </c>
      <c r="E57" s="631" t="s">
        <v>6734</v>
      </c>
      <c r="F57" s="631" t="s">
        <v>27</v>
      </c>
      <c r="G57" s="631" t="s">
        <v>170</v>
      </c>
      <c r="H57" s="239">
        <v>0.4777777777777778</v>
      </c>
      <c r="I57" s="43" t="s">
        <v>4500</v>
      </c>
      <c r="J57" s="43" t="s">
        <v>4501</v>
      </c>
      <c r="K57" s="238" t="s">
        <v>30</v>
      </c>
      <c r="L57" s="43">
        <v>2</v>
      </c>
      <c r="M57" s="43">
        <v>10</v>
      </c>
      <c r="N57" s="42">
        <f>AVERAGE(28,20)</f>
        <v>24</v>
      </c>
      <c r="O57" s="42">
        <f>AVERAGE(3684,3769)</f>
        <v>3726.5</v>
      </c>
      <c r="P57" s="242">
        <f>AVERAGE(3960,3762)</f>
        <v>3861</v>
      </c>
      <c r="Q57" s="233">
        <f>AVERAGE(0.23,0.22)</f>
        <v>0.22500000000000001</v>
      </c>
      <c r="R57" s="243">
        <f>AVERAGE(58.3,50)</f>
        <v>54.15</v>
      </c>
      <c r="S57" s="243">
        <f>AVERAGE(86.6,83.1)</f>
        <v>84.85</v>
      </c>
      <c r="T57" s="43" t="s">
        <v>31</v>
      </c>
      <c r="U57" s="45">
        <v>2</v>
      </c>
      <c r="V57" s="45" t="s">
        <v>6735</v>
      </c>
      <c r="W57" s="5" t="s">
        <v>6670</v>
      </c>
      <c r="X57" s="49" t="s">
        <v>6671</v>
      </c>
    </row>
    <row r="58" spans="1:24" x14ac:dyDescent="0.25">
      <c r="A58" s="36">
        <v>43264</v>
      </c>
      <c r="B58" s="631" t="s">
        <v>88</v>
      </c>
      <c r="C58" s="631">
        <v>38.075229999999998</v>
      </c>
      <c r="D58" s="631">
        <v>-121.76897</v>
      </c>
      <c r="E58" s="631" t="s">
        <v>6736</v>
      </c>
      <c r="F58" s="631" t="s">
        <v>27</v>
      </c>
      <c r="G58" s="631" t="s">
        <v>5618</v>
      </c>
      <c r="H58" s="239">
        <v>0.33055555555555555</v>
      </c>
      <c r="I58" s="43" t="s">
        <v>4500</v>
      </c>
      <c r="J58" s="43" t="s">
        <v>4501</v>
      </c>
      <c r="K58" s="238" t="s">
        <v>30</v>
      </c>
      <c r="L58" s="43">
        <v>2</v>
      </c>
      <c r="M58" s="43">
        <v>10</v>
      </c>
      <c r="N58" s="42">
        <f>AVERAGE(30.4,29)</f>
        <v>29.7</v>
      </c>
      <c r="O58" s="42">
        <f>AVERAGE(637,468)</f>
        <v>552.5</v>
      </c>
      <c r="P58" s="242">
        <f>AVERAGE(631,477)</f>
        <v>554</v>
      </c>
      <c r="Q58" s="233">
        <f>AVERAGE(0.46,0.37)</f>
        <v>0.41500000000000004</v>
      </c>
      <c r="R58" s="243">
        <f>AVERAGE(36.9,49.2)</f>
        <v>43.05</v>
      </c>
      <c r="S58" s="243">
        <f>AVERAGE(69.6,54.4)</f>
        <v>62</v>
      </c>
      <c r="T58" s="43" t="s">
        <v>50</v>
      </c>
      <c r="U58" s="43" t="s">
        <v>50</v>
      </c>
      <c r="V58" s="43" t="s">
        <v>50</v>
      </c>
      <c r="X58" s="34" t="s">
        <v>6671</v>
      </c>
    </row>
    <row r="59" spans="1:24" x14ac:dyDescent="0.25">
      <c r="A59" s="36">
        <v>43264</v>
      </c>
      <c r="B59" s="631" t="s">
        <v>88</v>
      </c>
      <c r="C59" s="631">
        <v>38.141970000000001</v>
      </c>
      <c r="D59" s="631">
        <v>-121.68816</v>
      </c>
      <c r="E59" s="631" t="s">
        <v>6737</v>
      </c>
      <c r="F59" s="631" t="s">
        <v>90</v>
      </c>
      <c r="G59" s="631" t="s">
        <v>91</v>
      </c>
      <c r="H59" s="239">
        <v>0.3756944444444445</v>
      </c>
      <c r="I59" s="43" t="s">
        <v>4500</v>
      </c>
      <c r="J59" s="43" t="s">
        <v>4501</v>
      </c>
      <c r="K59" s="238" t="s">
        <v>30</v>
      </c>
      <c r="L59" s="43">
        <v>2</v>
      </c>
      <c r="M59" s="43">
        <v>10</v>
      </c>
      <c r="N59" s="42">
        <f>AVERAGE(17.6,18)</f>
        <v>17.8</v>
      </c>
      <c r="O59" s="42">
        <f>AVERAGE(152.3,154.8)</f>
        <v>153.55000000000001</v>
      </c>
      <c r="P59" s="242">
        <f>AVERAGE(153.4,157.6)</f>
        <v>155.5</v>
      </c>
      <c r="Q59" s="233">
        <f>AVERAGE(1.05,1.11)</f>
        <v>1.08</v>
      </c>
      <c r="R59" s="243">
        <f>AVERAGE(20.4,44.6)</f>
        <v>32.5</v>
      </c>
      <c r="S59" s="243">
        <f>AVERAGE(23.9,21.4)</f>
        <v>22.65</v>
      </c>
      <c r="T59" s="43" t="s">
        <v>50</v>
      </c>
      <c r="U59" s="43" t="s">
        <v>50</v>
      </c>
      <c r="V59" s="43" t="s">
        <v>50</v>
      </c>
      <c r="X59" s="34" t="s">
        <v>6671</v>
      </c>
    </row>
    <row r="60" spans="1:24" x14ac:dyDescent="0.25">
      <c r="A60" s="36">
        <v>43264</v>
      </c>
      <c r="B60" s="631" t="s">
        <v>88</v>
      </c>
      <c r="C60" s="631">
        <v>38.113970000000002</v>
      </c>
      <c r="D60" s="631">
        <v>-121.71005</v>
      </c>
      <c r="E60" s="631" t="s">
        <v>6738</v>
      </c>
      <c r="F60" s="631" t="s">
        <v>90</v>
      </c>
      <c r="G60" s="631" t="s">
        <v>91</v>
      </c>
      <c r="H60" s="239">
        <v>0.41319444444444442</v>
      </c>
      <c r="I60" s="43" t="s">
        <v>4500</v>
      </c>
      <c r="J60" s="43" t="s">
        <v>4501</v>
      </c>
      <c r="K60" s="238" t="s">
        <v>30</v>
      </c>
      <c r="L60" s="43">
        <v>2</v>
      </c>
      <c r="M60" s="43">
        <v>10</v>
      </c>
      <c r="N60" s="42">
        <f>AVERAGE(13.1,12.3)</f>
        <v>12.7</v>
      </c>
      <c r="O60" s="42">
        <f>AVERAGE(155.2,155.2)</f>
        <v>155.19999999999999</v>
      </c>
      <c r="P60" s="42">
        <f>AVERAGE(155.2,156.8)</f>
        <v>156</v>
      </c>
      <c r="Q60" s="233">
        <f>AVERAGE(0.86,0.87)</f>
        <v>0.86499999999999999</v>
      </c>
      <c r="R60" s="243">
        <f>AVERAGE(16.4,27.8)</f>
        <v>22.1</v>
      </c>
      <c r="S60" s="243">
        <f>AVERAGE(21.6,35.1)</f>
        <v>28.35</v>
      </c>
      <c r="T60" s="43" t="s">
        <v>50</v>
      </c>
      <c r="U60" s="43" t="s">
        <v>50</v>
      </c>
      <c r="V60" s="43" t="s">
        <v>50</v>
      </c>
      <c r="X60" s="34" t="s">
        <v>6671</v>
      </c>
    </row>
    <row r="61" spans="1:24" x14ac:dyDescent="0.25">
      <c r="A61" s="36">
        <v>43265</v>
      </c>
      <c r="B61" s="631" t="s">
        <v>845</v>
      </c>
      <c r="C61" s="631">
        <v>38.246560000000002</v>
      </c>
      <c r="D61" s="631">
        <v>-121.70918</v>
      </c>
      <c r="E61" s="631" t="s">
        <v>6739</v>
      </c>
      <c r="F61" s="631" t="s">
        <v>90</v>
      </c>
      <c r="G61" s="631" t="s">
        <v>126</v>
      </c>
      <c r="H61" s="239">
        <v>0.33124999999999999</v>
      </c>
      <c r="I61" s="43" t="s">
        <v>4500</v>
      </c>
      <c r="J61" s="43" t="s">
        <v>4501</v>
      </c>
      <c r="K61" s="238" t="s">
        <v>30</v>
      </c>
      <c r="L61" s="43">
        <v>2</v>
      </c>
      <c r="M61" s="43">
        <v>10</v>
      </c>
      <c r="N61" s="42">
        <f>AVERAGE(10,10)</f>
        <v>10</v>
      </c>
      <c r="O61" s="42">
        <f>AVERAGE(144,142.6)</f>
        <v>143.30000000000001</v>
      </c>
      <c r="P61" s="42">
        <f>AVERAGE(142.8,144.9)</f>
        <v>143.85000000000002</v>
      </c>
      <c r="Q61" s="233">
        <f>AVERAGE(1.8,1.8)</f>
        <v>1.8</v>
      </c>
      <c r="R61" s="243">
        <f>AVERAGE(8.86,7.39)</f>
        <v>8.125</v>
      </c>
      <c r="S61" s="243">
        <f>AVERAGE(49.8,8.53)</f>
        <v>29.164999999999999</v>
      </c>
      <c r="T61" s="43" t="s">
        <v>50</v>
      </c>
      <c r="U61" s="43" t="s">
        <v>50</v>
      </c>
      <c r="V61" s="43" t="s">
        <v>50</v>
      </c>
      <c r="W61" s="5" t="s">
        <v>6670</v>
      </c>
      <c r="X61" s="34" t="s">
        <v>6671</v>
      </c>
    </row>
    <row r="62" spans="1:24" s="27" customFormat="1" x14ac:dyDescent="0.25">
      <c r="A62" s="36">
        <v>43265</v>
      </c>
      <c r="B62" s="27" t="s">
        <v>845</v>
      </c>
      <c r="C62" s="27">
        <v>38.244590000000002</v>
      </c>
      <c r="D62" s="27">
        <v>-121.67861000000001</v>
      </c>
      <c r="E62" s="27" t="s">
        <v>6740</v>
      </c>
      <c r="F62" s="27" t="s">
        <v>90</v>
      </c>
      <c r="G62" s="27" t="s">
        <v>126</v>
      </c>
      <c r="H62" s="30">
        <v>0.36388888888888887</v>
      </c>
      <c r="I62" s="32" t="s">
        <v>4500</v>
      </c>
      <c r="J62" s="32" t="s">
        <v>4501</v>
      </c>
      <c r="K62" s="248" t="s">
        <v>30</v>
      </c>
      <c r="L62" s="32">
        <v>2</v>
      </c>
      <c r="M62" s="32">
        <v>10</v>
      </c>
      <c r="N62" s="33">
        <f>AVERAGE(11)</f>
        <v>11</v>
      </c>
      <c r="O62" s="33">
        <f>AVERAGE(135.2,136.7)</f>
        <v>135.94999999999999</v>
      </c>
      <c r="P62" s="33">
        <f>AVERAGE(134.6,137.8)</f>
        <v>136.19999999999999</v>
      </c>
      <c r="Q62" s="86">
        <f>AVERAGE(0.94,0.94)</f>
        <v>0.94</v>
      </c>
      <c r="R62" s="246">
        <f>AVERAGE(34.6,21.6)</f>
        <v>28.1</v>
      </c>
      <c r="S62" s="246">
        <f>AVERAGE(20.7,22.8)</f>
        <v>21.75</v>
      </c>
      <c r="T62" s="32" t="s">
        <v>50</v>
      </c>
      <c r="U62" s="79" t="s">
        <v>50</v>
      </c>
      <c r="V62" s="79" t="s">
        <v>50</v>
      </c>
      <c r="W62" s="35" t="s">
        <v>6741</v>
      </c>
      <c r="X62" s="49" t="s">
        <v>6671</v>
      </c>
    </row>
    <row r="63" spans="1:24" s="27" customFormat="1" x14ac:dyDescent="0.25">
      <c r="A63" s="36">
        <v>43265</v>
      </c>
      <c r="B63" s="27" t="s">
        <v>845</v>
      </c>
      <c r="C63" s="27">
        <v>38.264249999999997</v>
      </c>
      <c r="D63" s="27">
        <v>-121.68073</v>
      </c>
      <c r="E63" s="27" t="s">
        <v>6742</v>
      </c>
      <c r="F63" s="27" t="s">
        <v>90</v>
      </c>
      <c r="G63" s="27" t="s">
        <v>126</v>
      </c>
      <c r="H63" s="30">
        <v>0.40277777777777773</v>
      </c>
      <c r="I63" s="32" t="s">
        <v>4500</v>
      </c>
      <c r="J63" s="32" t="s">
        <v>4501</v>
      </c>
      <c r="K63" s="248" t="s">
        <v>30</v>
      </c>
      <c r="L63" s="32">
        <v>0</v>
      </c>
      <c r="M63" s="32" t="s">
        <v>50</v>
      </c>
      <c r="N63" s="32" t="s">
        <v>50</v>
      </c>
      <c r="O63" s="249" t="s">
        <v>50</v>
      </c>
      <c r="P63" s="249" t="s">
        <v>50</v>
      </c>
      <c r="Q63" s="31" t="s">
        <v>50</v>
      </c>
      <c r="R63" s="249" t="s">
        <v>50</v>
      </c>
      <c r="S63" s="249" t="s">
        <v>50</v>
      </c>
      <c r="T63" s="32" t="s">
        <v>50</v>
      </c>
      <c r="U63" s="32" t="s">
        <v>50</v>
      </c>
      <c r="V63" s="32" t="s">
        <v>50</v>
      </c>
      <c r="W63" s="35" t="s">
        <v>6673</v>
      </c>
      <c r="X63" s="49" t="s">
        <v>6671</v>
      </c>
    </row>
    <row r="64" spans="1:24" s="27" customFormat="1" x14ac:dyDescent="0.25">
      <c r="A64" s="36">
        <v>43265</v>
      </c>
      <c r="B64" s="27" t="s">
        <v>845</v>
      </c>
      <c r="C64" s="27">
        <v>38.301209999999998</v>
      </c>
      <c r="D64" s="27">
        <v>-121.72993</v>
      </c>
      <c r="E64" s="27" t="s">
        <v>6743</v>
      </c>
      <c r="F64" s="27" t="s">
        <v>90</v>
      </c>
      <c r="G64" s="27" t="s">
        <v>126</v>
      </c>
      <c r="H64" s="30">
        <v>0.40625</v>
      </c>
      <c r="I64" s="32" t="s">
        <v>4500</v>
      </c>
      <c r="J64" s="32" t="s">
        <v>4501</v>
      </c>
      <c r="K64" s="248" t="s">
        <v>30</v>
      </c>
      <c r="L64" s="32">
        <v>0</v>
      </c>
      <c r="M64" s="32" t="s">
        <v>50</v>
      </c>
      <c r="N64" s="32" t="s">
        <v>50</v>
      </c>
      <c r="O64" s="249" t="s">
        <v>50</v>
      </c>
      <c r="P64" s="249" t="s">
        <v>50</v>
      </c>
      <c r="Q64" s="31" t="s">
        <v>50</v>
      </c>
      <c r="R64" s="249" t="s">
        <v>50</v>
      </c>
      <c r="S64" s="249" t="s">
        <v>50</v>
      </c>
      <c r="T64" s="32" t="s">
        <v>50</v>
      </c>
      <c r="U64" s="32" t="s">
        <v>50</v>
      </c>
      <c r="V64" s="32" t="s">
        <v>50</v>
      </c>
      <c r="W64" s="35" t="s">
        <v>6673</v>
      </c>
      <c r="X64" s="49" t="s">
        <v>6671</v>
      </c>
    </row>
    <row r="65" spans="1:24" s="27" customFormat="1" x14ac:dyDescent="0.25">
      <c r="A65" s="36">
        <v>43265</v>
      </c>
      <c r="B65" s="27" t="s">
        <v>845</v>
      </c>
      <c r="C65" s="27">
        <v>38.320430000000002</v>
      </c>
      <c r="D65" s="27">
        <v>-121.65393</v>
      </c>
      <c r="E65" s="27" t="s">
        <v>6744</v>
      </c>
      <c r="F65" s="27" t="s">
        <v>90</v>
      </c>
      <c r="G65" s="27" t="s">
        <v>126</v>
      </c>
      <c r="H65" s="30">
        <v>0.41319444444444442</v>
      </c>
      <c r="I65" s="32" t="s">
        <v>4500</v>
      </c>
      <c r="J65" s="32" t="s">
        <v>4501</v>
      </c>
      <c r="K65" s="248" t="s">
        <v>30</v>
      </c>
      <c r="L65" s="32">
        <v>2</v>
      </c>
      <c r="M65" s="32">
        <v>10</v>
      </c>
      <c r="N65" s="33">
        <f>AVERAGE(14)</f>
        <v>14</v>
      </c>
      <c r="O65" s="33">
        <f>AVERAGE(163.5,162.3)</f>
        <v>162.9</v>
      </c>
      <c r="P65" s="33">
        <f>AVERAGE(164,163.7)</f>
        <v>163.85</v>
      </c>
      <c r="Q65" s="86">
        <f>AVERAGE(0.55,0.57)</f>
        <v>0.56000000000000005</v>
      </c>
      <c r="R65" s="246">
        <f>AVERAGE(35.8,38.1)</f>
        <v>36.950000000000003</v>
      </c>
      <c r="S65" s="246">
        <f>AVERAGE(41.1,34.1)</f>
        <v>37.6</v>
      </c>
      <c r="T65" s="32" t="s">
        <v>50</v>
      </c>
      <c r="U65" s="79" t="s">
        <v>50</v>
      </c>
      <c r="V65" s="79" t="s">
        <v>50</v>
      </c>
      <c r="W65" s="35" t="s">
        <v>6745</v>
      </c>
      <c r="X65" s="49" t="s">
        <v>6671</v>
      </c>
    </row>
    <row r="66" spans="1:24" s="27" customFormat="1" x14ac:dyDescent="0.25">
      <c r="A66" s="36">
        <v>43265</v>
      </c>
      <c r="B66" s="27" t="s">
        <v>845</v>
      </c>
      <c r="C66" s="27">
        <v>38.260710000000003</v>
      </c>
      <c r="D66" s="27">
        <v>-121.74919</v>
      </c>
      <c r="E66" s="27" t="s">
        <v>6746</v>
      </c>
      <c r="F66" s="27" t="s">
        <v>90</v>
      </c>
      <c r="G66" s="27" t="s">
        <v>126</v>
      </c>
      <c r="H66" s="30">
        <v>0.46319444444444446</v>
      </c>
      <c r="I66" s="32" t="s">
        <v>4500</v>
      </c>
      <c r="J66" s="32" t="s">
        <v>4501</v>
      </c>
      <c r="K66" s="248" t="s">
        <v>30</v>
      </c>
      <c r="L66" s="32">
        <v>2</v>
      </c>
      <c r="M66" s="32">
        <v>10</v>
      </c>
      <c r="N66" s="33">
        <f>AVERAGE(10)</f>
        <v>10</v>
      </c>
      <c r="O66" s="33">
        <f>AVERAGE(170,172.9)</f>
        <v>171.45</v>
      </c>
      <c r="P66" s="33">
        <f>AVERAGE(172.3,171.2)</f>
        <v>171.75</v>
      </c>
      <c r="Q66" s="86">
        <f>AVERAGE(1.8,1.61)</f>
        <v>1.7050000000000001</v>
      </c>
      <c r="R66" s="246">
        <f>AVERAGE(15.9,18.2)</f>
        <v>17.05</v>
      </c>
      <c r="S66" s="246">
        <f>AVERAGE(73.7,16.3)</f>
        <v>45</v>
      </c>
      <c r="T66" s="32" t="s">
        <v>50</v>
      </c>
      <c r="U66" s="32" t="s">
        <v>50</v>
      </c>
      <c r="V66" s="32" t="s">
        <v>50</v>
      </c>
      <c r="W66" s="35" t="s">
        <v>6670</v>
      </c>
      <c r="X66" s="49" t="s">
        <v>6671</v>
      </c>
    </row>
    <row r="67" spans="1:24" s="27" customFormat="1" x14ac:dyDescent="0.25">
      <c r="A67" s="36">
        <v>43265</v>
      </c>
      <c r="B67" s="27" t="s">
        <v>62</v>
      </c>
      <c r="C67" s="27">
        <v>38.102339999999998</v>
      </c>
      <c r="D67" s="27">
        <v>-121.89100000000001</v>
      </c>
      <c r="E67" s="27" t="s">
        <v>6747</v>
      </c>
      <c r="F67" s="27" t="s">
        <v>27</v>
      </c>
      <c r="G67" s="27" t="s">
        <v>62</v>
      </c>
      <c r="H67" s="30">
        <v>0.33611111111111108</v>
      </c>
      <c r="I67" s="32" t="s">
        <v>4500</v>
      </c>
      <c r="J67" s="32" t="s">
        <v>4501</v>
      </c>
      <c r="K67" s="248" t="s">
        <v>30</v>
      </c>
      <c r="L67" s="32">
        <v>2</v>
      </c>
      <c r="M67" s="32">
        <v>10</v>
      </c>
      <c r="N67" s="33">
        <f>AVERAGE(14.8,14.9)</f>
        <v>14.850000000000001</v>
      </c>
      <c r="O67" s="33">
        <f>AVERAGE(5084,5033)</f>
        <v>5058.5</v>
      </c>
      <c r="P67" s="33">
        <f>AVERAGE(5016,5082)</f>
        <v>5049</v>
      </c>
      <c r="Q67" s="86">
        <f>AVERAGE(0.28,0.3)</f>
        <v>0.29000000000000004</v>
      </c>
      <c r="R67" s="246">
        <f>AVERAGE(55.3,69.6)</f>
        <v>62.449999999999996</v>
      </c>
      <c r="S67" s="246">
        <f>AVERAGE(77.5,73.9)</f>
        <v>75.7</v>
      </c>
      <c r="T67" s="32" t="s">
        <v>50</v>
      </c>
      <c r="U67" s="79" t="s">
        <v>50</v>
      </c>
      <c r="V67" s="79" t="s">
        <v>50</v>
      </c>
      <c r="W67" s="35" t="s">
        <v>6748</v>
      </c>
      <c r="X67" s="49" t="s">
        <v>6671</v>
      </c>
    </row>
    <row r="68" spans="1:24" s="27" customFormat="1" x14ac:dyDescent="0.25">
      <c r="A68" s="36">
        <v>43265</v>
      </c>
      <c r="B68" s="27" t="s">
        <v>62</v>
      </c>
      <c r="C68" s="27">
        <v>38.131010000000003</v>
      </c>
      <c r="D68" s="27">
        <v>-121.91576999999999</v>
      </c>
      <c r="E68" s="27" t="s">
        <v>6749</v>
      </c>
      <c r="F68" s="27" t="s">
        <v>27</v>
      </c>
      <c r="G68" s="27" t="s">
        <v>62</v>
      </c>
      <c r="H68" s="84">
        <v>0.3756944444444445</v>
      </c>
      <c r="I68" s="27" t="s">
        <v>4500</v>
      </c>
      <c r="J68" s="32" t="s">
        <v>4501</v>
      </c>
      <c r="K68" s="248" t="s">
        <v>30</v>
      </c>
      <c r="L68" s="27">
        <v>2</v>
      </c>
      <c r="M68" s="27">
        <v>10</v>
      </c>
      <c r="N68" s="33">
        <f>AVERAGE(22.3,22.1)</f>
        <v>22.200000000000003</v>
      </c>
      <c r="O68" s="33">
        <f>AVERAGE(5537,5541)</f>
        <v>5539</v>
      </c>
      <c r="P68" s="33">
        <f>AVERAGE(5535,5549)</f>
        <v>5542</v>
      </c>
      <c r="Q68" s="86">
        <f>AVERAGE(0.3,0.18)</f>
        <v>0.24</v>
      </c>
      <c r="R68" s="246">
        <f>AVERAGE(80.2,127)</f>
        <v>103.6</v>
      </c>
      <c r="S68" s="246">
        <f>AVERAGE(171,152)</f>
        <v>161.5</v>
      </c>
      <c r="T68" s="32" t="s">
        <v>50</v>
      </c>
      <c r="U68" s="79" t="s">
        <v>50</v>
      </c>
      <c r="V68" s="79" t="s">
        <v>50</v>
      </c>
      <c r="W68" s="35" t="s">
        <v>6750</v>
      </c>
      <c r="X68" s="49" t="s">
        <v>6671</v>
      </c>
    </row>
    <row r="69" spans="1:24" s="149" customFormat="1" x14ac:dyDescent="0.25">
      <c r="A69" s="271">
        <v>43265</v>
      </c>
      <c r="B69" s="149" t="s">
        <v>62</v>
      </c>
      <c r="C69" s="149">
        <v>38.116720000000001</v>
      </c>
      <c r="D69" s="149">
        <v>-122.00275000000001</v>
      </c>
      <c r="E69" s="149" t="s">
        <v>6751</v>
      </c>
      <c r="F69" s="149" t="s">
        <v>27</v>
      </c>
      <c r="G69" s="149" t="s">
        <v>173</v>
      </c>
      <c r="H69" s="272">
        <v>0.46875</v>
      </c>
      <c r="I69" s="273" t="s">
        <v>4500</v>
      </c>
      <c r="J69" s="273" t="s">
        <v>4501</v>
      </c>
      <c r="K69" s="274" t="s">
        <v>30</v>
      </c>
      <c r="L69" s="273">
        <v>0</v>
      </c>
      <c r="M69" s="273" t="s">
        <v>50</v>
      </c>
      <c r="N69" s="273" t="s">
        <v>50</v>
      </c>
      <c r="O69" s="275" t="s">
        <v>50</v>
      </c>
      <c r="P69" s="275" t="s">
        <v>50</v>
      </c>
      <c r="Q69" s="276" t="s">
        <v>50</v>
      </c>
      <c r="R69" s="275" t="s">
        <v>50</v>
      </c>
      <c r="S69" s="275" t="s">
        <v>50</v>
      </c>
      <c r="T69" s="273" t="s">
        <v>50</v>
      </c>
      <c r="U69" s="273" t="s">
        <v>50</v>
      </c>
      <c r="V69" s="273" t="s">
        <v>50</v>
      </c>
      <c r="W69" s="152" t="s">
        <v>6673</v>
      </c>
      <c r="X69" s="158" t="s">
        <v>6671</v>
      </c>
    </row>
    <row r="70" spans="1:24" s="259" customFormat="1" x14ac:dyDescent="0.25">
      <c r="A70" s="258">
        <v>43269</v>
      </c>
      <c r="B70" s="259" t="s">
        <v>88</v>
      </c>
      <c r="C70" s="259">
        <v>38.108539999999998</v>
      </c>
      <c r="D70" s="259">
        <v>-121.71</v>
      </c>
      <c r="E70" s="259" t="s">
        <v>6752</v>
      </c>
      <c r="F70" s="259" t="s">
        <v>6753</v>
      </c>
      <c r="G70" s="259" t="s">
        <v>91</v>
      </c>
      <c r="H70" s="260">
        <v>0.40833333333333338</v>
      </c>
      <c r="I70" s="261" t="s">
        <v>4500</v>
      </c>
      <c r="J70" s="261" t="s">
        <v>4501</v>
      </c>
      <c r="K70" s="262" t="s">
        <v>30</v>
      </c>
      <c r="L70" s="261">
        <v>2</v>
      </c>
      <c r="M70" s="261">
        <v>10</v>
      </c>
      <c r="N70" s="261">
        <f>AVERAGE(16.7,16.6)</f>
        <v>16.649999999999999</v>
      </c>
      <c r="O70" s="261">
        <f>AVERAGE(329.1,355.4)</f>
        <v>342.25</v>
      </c>
      <c r="P70" s="261">
        <f>AVERAGE(358.1,338.8)</f>
        <v>348.45000000000005</v>
      </c>
      <c r="Q70" s="261">
        <f>AVERAGE(0.64,0.61)</f>
        <v>0.625</v>
      </c>
      <c r="R70" s="261">
        <f>AVERAGE(48.6,18.7)</f>
        <v>33.65</v>
      </c>
      <c r="S70" s="261">
        <f>AVERAGE(31.1,25.7)</f>
        <v>28.4</v>
      </c>
      <c r="T70" s="261" t="s">
        <v>50</v>
      </c>
      <c r="U70" s="268" t="s">
        <v>50</v>
      </c>
      <c r="V70" s="268" t="s">
        <v>50</v>
      </c>
      <c r="X70" s="349" t="s">
        <v>6671</v>
      </c>
    </row>
    <row r="71" spans="1:24" x14ac:dyDescent="0.25">
      <c r="A71" s="44">
        <v>43269</v>
      </c>
      <c r="B71" s="631" t="s">
        <v>88</v>
      </c>
      <c r="C71" s="631">
        <v>38.123280000000001</v>
      </c>
      <c r="D71" s="631">
        <v>-121.69571000000001</v>
      </c>
      <c r="E71" s="631" t="s">
        <v>6754</v>
      </c>
      <c r="F71" s="631" t="s">
        <v>6753</v>
      </c>
      <c r="G71" s="631" t="s">
        <v>91</v>
      </c>
      <c r="H71" s="239">
        <v>0.44861111111111113</v>
      </c>
      <c r="I71" s="43" t="s">
        <v>4500</v>
      </c>
      <c r="J71" s="43" t="s">
        <v>4501</v>
      </c>
      <c r="K71" s="238" t="s">
        <v>30</v>
      </c>
      <c r="L71" s="43">
        <v>2</v>
      </c>
      <c r="M71" s="43">
        <v>10</v>
      </c>
      <c r="N71" s="43">
        <f>AVERAGE(17.1,21.4)</f>
        <v>19.25</v>
      </c>
      <c r="O71" s="43">
        <f>AVERAGE(206.6,204.7)</f>
        <v>205.64999999999998</v>
      </c>
      <c r="P71" s="43">
        <f>AVERAGE(210,207.2)</f>
        <v>208.6</v>
      </c>
      <c r="Q71" s="43">
        <f>AVERAGE(0.72,0.82)</f>
        <v>0.77</v>
      </c>
      <c r="R71" s="43">
        <f>AVERAGE(13.3,12.6)</f>
        <v>12.95</v>
      </c>
      <c r="S71" s="43">
        <f>AVERAGE(13,11.5)</f>
        <v>12.25</v>
      </c>
      <c r="T71" s="252" t="s">
        <v>50</v>
      </c>
      <c r="U71" s="277" t="s">
        <v>50</v>
      </c>
      <c r="V71" s="277" t="s">
        <v>50</v>
      </c>
      <c r="X71" s="49" t="s">
        <v>6671</v>
      </c>
    </row>
    <row r="72" spans="1:24" x14ac:dyDescent="0.25">
      <c r="A72" s="44">
        <v>43269</v>
      </c>
      <c r="B72" s="631" t="s">
        <v>88</v>
      </c>
      <c r="C72" s="631">
        <v>38.071040000000004</v>
      </c>
      <c r="D72" s="631">
        <v>-121.83607000000001</v>
      </c>
      <c r="E72" s="631" t="s">
        <v>6755</v>
      </c>
      <c r="F72" s="631" t="s">
        <v>27</v>
      </c>
      <c r="G72" s="631" t="s">
        <v>5771</v>
      </c>
      <c r="H72" s="239">
        <v>0.33888888888888885</v>
      </c>
      <c r="I72" s="43" t="s">
        <v>4500</v>
      </c>
      <c r="J72" s="43" t="s">
        <v>4501</v>
      </c>
      <c r="K72" s="238" t="s">
        <v>30</v>
      </c>
      <c r="L72" s="43">
        <v>2</v>
      </c>
      <c r="M72" s="43">
        <v>10</v>
      </c>
      <c r="N72" s="43">
        <f>AVERAGE(25.7,25.7)</f>
        <v>25.7</v>
      </c>
      <c r="O72" s="43">
        <f>AVERAGE(4657,3743)</f>
        <v>4200</v>
      </c>
      <c r="P72" s="43">
        <f>AVERAGE(4638,5819)</f>
        <v>5228.5</v>
      </c>
      <c r="Q72" s="43">
        <f>AVERAGE(0.35,0.34)</f>
        <v>0.34499999999999997</v>
      </c>
      <c r="R72" s="43">
        <f>AVERAGE(44.9,43.8)</f>
        <v>44.349999999999994</v>
      </c>
      <c r="S72" s="278">
        <f>AVERAGE(42.4,45.6)</f>
        <v>44</v>
      </c>
      <c r="T72" s="235" t="s">
        <v>50</v>
      </c>
      <c r="U72" s="40" t="s">
        <v>50</v>
      </c>
      <c r="V72" s="40" t="s">
        <v>50</v>
      </c>
      <c r="X72" s="81" t="s">
        <v>6671</v>
      </c>
    </row>
    <row r="73" spans="1:24" x14ac:dyDescent="0.25">
      <c r="A73" s="44">
        <v>43269</v>
      </c>
      <c r="B73" s="631" t="s">
        <v>88</v>
      </c>
      <c r="C73" s="631">
        <v>38.075099999999999</v>
      </c>
      <c r="D73" s="631">
        <v>-121.77484</v>
      </c>
      <c r="E73" s="631" t="s">
        <v>6756</v>
      </c>
      <c r="F73" s="631" t="s">
        <v>27</v>
      </c>
      <c r="G73" s="631" t="s">
        <v>5771</v>
      </c>
      <c r="H73" s="239">
        <v>0.3743055555555555</v>
      </c>
      <c r="I73" s="43" t="s">
        <v>4500</v>
      </c>
      <c r="J73" s="43" t="s">
        <v>4501</v>
      </c>
      <c r="K73" s="238" t="s">
        <v>30</v>
      </c>
      <c r="L73" s="43">
        <v>2</v>
      </c>
      <c r="M73" s="43">
        <v>10</v>
      </c>
      <c r="N73" s="43">
        <f>AVERAGE(15.9,13.6)</f>
        <v>14.75</v>
      </c>
      <c r="O73" s="43">
        <f>AVERAGE(2545,2502)</f>
        <v>2523.5</v>
      </c>
      <c r="P73" s="43">
        <f>AVERAGE(2568,2514)</f>
        <v>2541</v>
      </c>
      <c r="Q73" s="43">
        <f>AVERAGE(0.35,0.34)</f>
        <v>0.34499999999999997</v>
      </c>
      <c r="R73" s="43">
        <f>AVERAGE(39.2,44.3)</f>
        <v>41.75</v>
      </c>
      <c r="S73" s="278">
        <f>AVERAGE(66.2,159)</f>
        <v>112.6</v>
      </c>
      <c r="T73" s="235" t="s">
        <v>50</v>
      </c>
      <c r="U73" s="40" t="s">
        <v>50</v>
      </c>
      <c r="V73" s="40" t="s">
        <v>50</v>
      </c>
      <c r="X73" s="81" t="s">
        <v>6671</v>
      </c>
    </row>
    <row r="74" spans="1:24" x14ac:dyDescent="0.25">
      <c r="A74" s="44">
        <v>43269</v>
      </c>
      <c r="B74" s="631" t="s">
        <v>6757</v>
      </c>
      <c r="C74" s="631">
        <v>38.078539999999997</v>
      </c>
      <c r="D74" s="631">
        <v>-121.99669</v>
      </c>
      <c r="E74" s="631" t="s">
        <v>6758</v>
      </c>
      <c r="F74" s="631" t="s">
        <v>27</v>
      </c>
      <c r="G74" s="631" t="s">
        <v>6759</v>
      </c>
      <c r="H74" s="239">
        <v>0.40625</v>
      </c>
      <c r="I74" s="43" t="s">
        <v>4535</v>
      </c>
      <c r="J74" s="43" t="s">
        <v>4501</v>
      </c>
      <c r="K74" s="238" t="s">
        <v>30</v>
      </c>
      <c r="L74" s="43">
        <v>3</v>
      </c>
      <c r="M74" s="43">
        <v>10</v>
      </c>
      <c r="N74" s="28">
        <f>AVERAGE(19.7,14.4,15.3)</f>
        <v>16.466666666666669</v>
      </c>
      <c r="O74" s="43">
        <f>AVERAGE(14618,14439,12700)</f>
        <v>13919</v>
      </c>
      <c r="P74" s="28">
        <f>AVERAGE(14999,14777, 13933)</f>
        <v>14569.666666666666</v>
      </c>
      <c r="Q74" s="28">
        <f>AVERAGE(0.29,0.33,0.35)</f>
        <v>0.32333333333333331</v>
      </c>
      <c r="R74" s="28">
        <f>AVERAGE(98.2,60.6,47.7)</f>
        <v>68.833333333333329</v>
      </c>
      <c r="S74" s="278">
        <f>AVERAGE(106,93.4,580)</f>
        <v>259.8</v>
      </c>
      <c r="T74" s="235" t="s">
        <v>31</v>
      </c>
      <c r="U74" s="40">
        <v>3</v>
      </c>
      <c r="V74" s="40" t="s">
        <v>6760</v>
      </c>
      <c r="W74" s="5" t="s">
        <v>6761</v>
      </c>
      <c r="X74" s="49" t="s">
        <v>6671</v>
      </c>
    </row>
    <row r="75" spans="1:24" x14ac:dyDescent="0.25">
      <c r="A75" s="20">
        <v>43269</v>
      </c>
      <c r="B75" s="631" t="s">
        <v>6757</v>
      </c>
      <c r="C75" s="631">
        <v>38.056069999999998</v>
      </c>
      <c r="D75" s="631">
        <v>-121.97512</v>
      </c>
      <c r="E75" s="631" t="s">
        <v>6762</v>
      </c>
      <c r="F75" s="631" t="s">
        <v>27</v>
      </c>
      <c r="G75" s="631" t="s">
        <v>6759</v>
      </c>
      <c r="H75" s="21">
        <v>0.37222222222222223</v>
      </c>
      <c r="I75" s="631" t="s">
        <v>4500</v>
      </c>
      <c r="J75" s="51" t="s">
        <v>4501</v>
      </c>
      <c r="K75" s="51" t="s">
        <v>30</v>
      </c>
      <c r="L75" s="631">
        <v>2</v>
      </c>
      <c r="M75" s="631">
        <v>10</v>
      </c>
      <c r="N75" s="631">
        <f>AVERAGE(38,37.8)</f>
        <v>37.9</v>
      </c>
      <c r="O75" s="631">
        <f>AVERAGE(13842,14024)</f>
        <v>13933</v>
      </c>
      <c r="P75" s="631">
        <f>AVERAGE(16826,16749)</f>
        <v>16787.5</v>
      </c>
      <c r="Q75" s="631">
        <f>AVERAGE(0.42,0.45)</f>
        <v>0.435</v>
      </c>
      <c r="R75" s="631">
        <f>AVERAGE(24.7,114)</f>
        <v>69.349999999999994</v>
      </c>
      <c r="S75" s="631">
        <f>AVERAGE(303,229)</f>
        <v>266</v>
      </c>
      <c r="T75" s="235" t="s">
        <v>50</v>
      </c>
      <c r="U75" s="40" t="s">
        <v>50</v>
      </c>
      <c r="V75" s="40" t="s">
        <v>50</v>
      </c>
      <c r="W75" s="152"/>
      <c r="X75" s="149" t="s">
        <v>6671</v>
      </c>
    </row>
    <row r="76" spans="1:24" s="149" customFormat="1" x14ac:dyDescent="0.25">
      <c r="A76" s="160">
        <v>43270</v>
      </c>
      <c r="B76" s="149" t="s">
        <v>88</v>
      </c>
      <c r="C76" s="149">
        <v>38.052680000000002</v>
      </c>
      <c r="D76" s="149">
        <v>-121.78534000000001</v>
      </c>
      <c r="E76" s="149" t="s">
        <v>6763</v>
      </c>
      <c r="F76" s="149" t="s">
        <v>27</v>
      </c>
      <c r="G76" s="149" t="s">
        <v>25</v>
      </c>
      <c r="H76" s="165">
        <v>0.3215277777777778</v>
      </c>
      <c r="I76" s="161" t="s">
        <v>4535</v>
      </c>
      <c r="J76" s="161" t="s">
        <v>4501</v>
      </c>
      <c r="K76" s="236" t="s">
        <v>30</v>
      </c>
      <c r="L76" s="161">
        <v>0</v>
      </c>
      <c r="M76" s="161" t="s">
        <v>50</v>
      </c>
      <c r="N76" s="161" t="s">
        <v>50</v>
      </c>
      <c r="O76" s="161" t="s">
        <v>50</v>
      </c>
      <c r="P76" s="161" t="s">
        <v>50</v>
      </c>
      <c r="Q76" s="161" t="s">
        <v>50</v>
      </c>
      <c r="R76" s="161" t="s">
        <v>50</v>
      </c>
      <c r="S76" s="279" t="s">
        <v>50</v>
      </c>
      <c r="T76" s="157" t="s">
        <v>50</v>
      </c>
      <c r="U76" s="158" t="s">
        <v>50</v>
      </c>
      <c r="V76" s="158" t="s">
        <v>50</v>
      </c>
      <c r="W76" s="152" t="s">
        <v>6764</v>
      </c>
      <c r="X76" s="164" t="s">
        <v>6671</v>
      </c>
    </row>
    <row r="77" spans="1:24" s="149" customFormat="1" x14ac:dyDescent="0.25">
      <c r="A77" s="160">
        <v>43270</v>
      </c>
      <c r="B77" s="149" t="s">
        <v>88</v>
      </c>
      <c r="C77" s="149">
        <v>38.036900000000003</v>
      </c>
      <c r="D77" s="149">
        <v>-121.79559</v>
      </c>
      <c r="E77" s="149" t="s">
        <v>6765</v>
      </c>
      <c r="F77" s="149" t="s">
        <v>27</v>
      </c>
      <c r="G77" s="149" t="s">
        <v>5771</v>
      </c>
      <c r="H77" s="165">
        <v>0.33333333333333331</v>
      </c>
      <c r="I77" s="161" t="s">
        <v>4500</v>
      </c>
      <c r="J77" s="161" t="s">
        <v>4501</v>
      </c>
      <c r="K77" s="236" t="s">
        <v>30</v>
      </c>
      <c r="L77" s="161">
        <v>0</v>
      </c>
      <c r="M77" s="161" t="s">
        <v>50</v>
      </c>
      <c r="N77" s="161" t="s">
        <v>50</v>
      </c>
      <c r="O77" s="161" t="s">
        <v>50</v>
      </c>
      <c r="P77" s="161" t="s">
        <v>50</v>
      </c>
      <c r="Q77" s="161" t="s">
        <v>50</v>
      </c>
      <c r="R77" s="161" t="s">
        <v>50</v>
      </c>
      <c r="S77" s="279" t="s">
        <v>50</v>
      </c>
      <c r="T77" s="157" t="s">
        <v>50</v>
      </c>
      <c r="U77" s="158" t="s">
        <v>50</v>
      </c>
      <c r="V77" s="158" t="s">
        <v>50</v>
      </c>
      <c r="W77" s="152" t="s">
        <v>734</v>
      </c>
      <c r="X77" s="158" t="s">
        <v>6671</v>
      </c>
    </row>
    <row r="78" spans="1:24" ht="30" x14ac:dyDescent="0.25">
      <c r="A78" s="44">
        <v>43270</v>
      </c>
      <c r="B78" s="631" t="s">
        <v>88</v>
      </c>
      <c r="C78" s="631">
        <v>38.088889999999999</v>
      </c>
      <c r="D78" s="631">
        <v>-121.73954999999999</v>
      </c>
      <c r="E78" s="631" t="s">
        <v>6766</v>
      </c>
      <c r="F78" s="631" t="s">
        <v>6753</v>
      </c>
      <c r="G78" s="631" t="s">
        <v>91</v>
      </c>
      <c r="H78" s="239">
        <v>0.41597222222222219</v>
      </c>
      <c r="I78" s="43" t="s">
        <v>4500</v>
      </c>
      <c r="J78" s="43" t="s">
        <v>4501</v>
      </c>
      <c r="K78" s="238" t="s">
        <v>30</v>
      </c>
      <c r="L78" s="43">
        <v>2</v>
      </c>
      <c r="M78" s="43">
        <v>10</v>
      </c>
      <c r="N78" s="43">
        <v>28</v>
      </c>
      <c r="O78" s="43">
        <f>AVERAGE(936,911)</f>
        <v>923.5</v>
      </c>
      <c r="P78" s="43">
        <f>AVERAGE(1005,1025)</f>
        <v>1015</v>
      </c>
      <c r="Q78" s="43">
        <f>AVERAGE(0.42,0.41)</f>
        <v>0.41499999999999998</v>
      </c>
      <c r="R78" s="43">
        <f>AVERAGE(35.7,30.7)</f>
        <v>33.200000000000003</v>
      </c>
      <c r="S78" s="278">
        <f>AVERAGE(35.9,43.8)</f>
        <v>39.849999999999994</v>
      </c>
      <c r="T78" s="235" t="s">
        <v>50</v>
      </c>
      <c r="U78" s="40" t="s">
        <v>50</v>
      </c>
      <c r="V78" s="40" t="s">
        <v>50</v>
      </c>
      <c r="W78" s="280" t="s">
        <v>6767</v>
      </c>
      <c r="X78" s="49" t="s">
        <v>6671</v>
      </c>
    </row>
    <row r="79" spans="1:24" s="27" customFormat="1" x14ac:dyDescent="0.25">
      <c r="A79" s="36">
        <v>43270</v>
      </c>
      <c r="B79" s="27" t="s">
        <v>88</v>
      </c>
      <c r="C79" s="27">
        <v>38.059519999999999</v>
      </c>
      <c r="D79" s="27">
        <v>-121.8017</v>
      </c>
      <c r="E79" s="27" t="s">
        <v>6768</v>
      </c>
      <c r="F79" s="27" t="s">
        <v>27</v>
      </c>
      <c r="G79" s="27" t="s">
        <v>5771</v>
      </c>
      <c r="H79" s="30">
        <v>0.3833333333333333</v>
      </c>
      <c r="I79" s="32" t="s">
        <v>4535</v>
      </c>
      <c r="J79" s="32" t="s">
        <v>4501</v>
      </c>
      <c r="K79" s="248" t="s">
        <v>30</v>
      </c>
      <c r="L79" s="32">
        <v>2</v>
      </c>
      <c r="M79" s="32">
        <v>10</v>
      </c>
      <c r="N79" s="32">
        <v>35</v>
      </c>
      <c r="O79" s="32">
        <f>AVERAGE(3293,3325)</f>
        <v>3309</v>
      </c>
      <c r="P79" s="32">
        <f>AVERAGE(3314,3348)</f>
        <v>3331</v>
      </c>
      <c r="Q79" s="32">
        <f>AVERAGE(0.41,0.4)</f>
        <v>0.40500000000000003</v>
      </c>
      <c r="R79" s="32">
        <f>AVERAGE(41.5,38.8)</f>
        <v>40.15</v>
      </c>
      <c r="S79" s="281">
        <f>AVERAGE(43.7,36.8)</f>
        <v>40.25</v>
      </c>
      <c r="T79" s="34" t="s">
        <v>50</v>
      </c>
      <c r="U79" s="49" t="s">
        <v>50</v>
      </c>
      <c r="V79" s="49" t="s">
        <v>50</v>
      </c>
      <c r="W79" s="5" t="s">
        <v>6670</v>
      </c>
      <c r="X79" s="49" t="s">
        <v>6671</v>
      </c>
    </row>
    <row r="80" spans="1:24" x14ac:dyDescent="0.25">
      <c r="A80" s="44">
        <v>43270</v>
      </c>
      <c r="B80" s="631" t="s">
        <v>88</v>
      </c>
      <c r="C80" s="631">
        <v>38.034390000000002</v>
      </c>
      <c r="D80" s="631">
        <v>-121.78483</v>
      </c>
      <c r="E80" s="631" t="s">
        <v>6769</v>
      </c>
      <c r="F80" s="631" t="s">
        <v>27</v>
      </c>
      <c r="G80" s="631" t="s">
        <v>5771</v>
      </c>
      <c r="H80" s="239">
        <v>0.35138888888888892</v>
      </c>
      <c r="I80" s="43" t="s">
        <v>4500</v>
      </c>
      <c r="J80" s="43" t="s">
        <v>4501</v>
      </c>
      <c r="K80" s="238" t="s">
        <v>30</v>
      </c>
      <c r="L80" s="43">
        <v>2</v>
      </c>
      <c r="M80" s="43">
        <v>10</v>
      </c>
      <c r="N80" s="43">
        <v>19</v>
      </c>
      <c r="O80" s="43">
        <f>AVERAGE(1239,1217)</f>
        <v>1228</v>
      </c>
      <c r="P80" s="43">
        <f>AVERAGE(1248,1323)</f>
        <v>1285.5</v>
      </c>
      <c r="Q80" s="43">
        <f>AVERAGE(0.33,0.35)</f>
        <v>0.33999999999999997</v>
      </c>
      <c r="R80" s="43">
        <f>AVERAGE(32.4,49.1)</f>
        <v>40.75</v>
      </c>
      <c r="S80" s="278">
        <f>AVERAGE(70.3,36.2)</f>
        <v>53.25</v>
      </c>
      <c r="T80" s="235" t="s">
        <v>50</v>
      </c>
      <c r="U80" s="40" t="s">
        <v>50</v>
      </c>
      <c r="V80" s="40" t="s">
        <v>50</v>
      </c>
      <c r="W80" s="5" t="s">
        <v>6670</v>
      </c>
      <c r="X80" s="81" t="s">
        <v>6671</v>
      </c>
    </row>
    <row r="81" spans="1:24" x14ac:dyDescent="0.25">
      <c r="A81" s="44">
        <v>43270</v>
      </c>
      <c r="B81" s="631" t="s">
        <v>88</v>
      </c>
      <c r="C81" s="631">
        <v>38.090159999999997</v>
      </c>
      <c r="D81" s="631">
        <v>-121.74082</v>
      </c>
      <c r="E81" s="631" t="s">
        <v>6770</v>
      </c>
      <c r="F81" s="631" t="s">
        <v>90</v>
      </c>
      <c r="G81" s="631" t="s">
        <v>91</v>
      </c>
      <c r="H81" s="239">
        <v>0.44236111111111115</v>
      </c>
      <c r="I81" s="43" t="s">
        <v>4500</v>
      </c>
      <c r="J81" s="43" t="s">
        <v>4501</v>
      </c>
      <c r="K81" s="238" t="s">
        <v>30</v>
      </c>
      <c r="L81" s="43">
        <v>2</v>
      </c>
      <c r="M81" s="43">
        <v>10</v>
      </c>
      <c r="N81" s="43">
        <v>30</v>
      </c>
      <c r="O81" s="43">
        <f>AVERAGE(741,671)</f>
        <v>706</v>
      </c>
      <c r="P81" s="43">
        <f>AVERAGE(971,801)</f>
        <v>886</v>
      </c>
      <c r="Q81" s="43">
        <f>AVERAGE(0.42,0.43)</f>
        <v>0.42499999999999999</v>
      </c>
      <c r="R81" s="43">
        <f>AVERAGE(28.4,24.3)</f>
        <v>26.35</v>
      </c>
      <c r="S81" s="281">
        <f>AVERAGE(44.7, 48.8)</f>
        <v>46.75</v>
      </c>
      <c r="T81" s="34" t="s">
        <v>50</v>
      </c>
      <c r="U81" s="49" t="s">
        <v>50</v>
      </c>
      <c r="V81" s="49" t="s">
        <v>50</v>
      </c>
      <c r="W81" s="5" t="s">
        <v>6670</v>
      </c>
      <c r="X81" s="81" t="s">
        <v>6671</v>
      </c>
    </row>
    <row r="82" spans="1:24" x14ac:dyDescent="0.25">
      <c r="A82" s="44">
        <v>43271</v>
      </c>
      <c r="B82" s="631" t="s">
        <v>106</v>
      </c>
      <c r="C82" s="631">
        <v>38.521129999999999</v>
      </c>
      <c r="D82" s="631">
        <v>-121.58374999999999</v>
      </c>
      <c r="E82" s="631" t="s">
        <v>6771</v>
      </c>
      <c r="F82" s="631" t="s">
        <v>90</v>
      </c>
      <c r="G82" s="631" t="s">
        <v>1787</v>
      </c>
      <c r="H82" s="239">
        <v>0.34097222222222223</v>
      </c>
      <c r="I82" s="43" t="s">
        <v>4500</v>
      </c>
      <c r="J82" s="43" t="s">
        <v>4501</v>
      </c>
      <c r="K82" s="238" t="s">
        <v>30</v>
      </c>
      <c r="L82" s="43">
        <v>2</v>
      </c>
      <c r="M82" s="43">
        <v>10</v>
      </c>
      <c r="N82" s="43">
        <f>AVERAGE(17,17)</f>
        <v>17</v>
      </c>
      <c r="O82" s="43">
        <f>AVERAGE(826,819)</f>
        <v>822.5</v>
      </c>
      <c r="P82" s="43">
        <f>AVERAGE(814,808)</f>
        <v>811</v>
      </c>
      <c r="Q82" s="43">
        <f>AVERAGE(0.38,0.4)</f>
        <v>0.39</v>
      </c>
      <c r="R82" s="43">
        <f>AVERAGE(25.3,31.3)</f>
        <v>28.3</v>
      </c>
      <c r="S82" s="281">
        <f>AVERAGE(43.1,929)</f>
        <v>486.05</v>
      </c>
      <c r="T82" s="34" t="s">
        <v>50</v>
      </c>
      <c r="U82" s="49" t="s">
        <v>50</v>
      </c>
      <c r="V82" s="49" t="s">
        <v>50</v>
      </c>
      <c r="W82" s="5" t="s">
        <v>6670</v>
      </c>
      <c r="X82" s="81" t="s">
        <v>6671</v>
      </c>
    </row>
    <row r="83" spans="1:24" x14ac:dyDescent="0.25">
      <c r="A83" s="44">
        <v>43271</v>
      </c>
      <c r="B83" s="631" t="s">
        <v>106</v>
      </c>
      <c r="C83" s="631">
        <v>38.356560000000002</v>
      </c>
      <c r="D83" s="631">
        <v>-121.6383</v>
      </c>
      <c r="E83" s="631" t="s">
        <v>6772</v>
      </c>
      <c r="F83" s="631" t="s">
        <v>6753</v>
      </c>
      <c r="G83" s="631" t="s">
        <v>362</v>
      </c>
      <c r="H83" s="239">
        <v>0.39305555555555555</v>
      </c>
      <c r="I83" s="43" t="s">
        <v>4500</v>
      </c>
      <c r="J83" s="43" t="s">
        <v>4501</v>
      </c>
      <c r="K83" s="238" t="s">
        <v>30</v>
      </c>
      <c r="L83" s="43">
        <v>2</v>
      </c>
      <c r="M83" s="43">
        <v>10</v>
      </c>
      <c r="N83" s="43">
        <v>35</v>
      </c>
      <c r="O83" s="43">
        <f>AVERAGE(335.3,326.1)</f>
        <v>330.70000000000005</v>
      </c>
      <c r="P83" s="43">
        <f>AVERAGE(338.6,325.8)</f>
        <v>332.20000000000005</v>
      </c>
      <c r="Q83" s="43">
        <f>AVERAGE(0.3,0.33)</f>
        <v>0.315</v>
      </c>
      <c r="R83" s="43">
        <f>AVERAGE(52.3,57.4)</f>
        <v>54.849999999999994</v>
      </c>
      <c r="S83" s="281">
        <f>AVERAGE(82.3,58.6)</f>
        <v>70.45</v>
      </c>
      <c r="T83" s="34" t="s">
        <v>50</v>
      </c>
      <c r="U83" s="49" t="s">
        <v>50</v>
      </c>
      <c r="V83" s="49" t="s">
        <v>50</v>
      </c>
      <c r="W83" s="5" t="s">
        <v>6773</v>
      </c>
      <c r="X83" s="81" t="s">
        <v>6671</v>
      </c>
    </row>
    <row r="84" spans="1:24" x14ac:dyDescent="0.25">
      <c r="A84" s="44">
        <v>43271</v>
      </c>
      <c r="B84" s="631" t="s">
        <v>106</v>
      </c>
      <c r="C84" s="631">
        <v>38.294429999999998</v>
      </c>
      <c r="D84" s="631">
        <v>-121.65743000000001</v>
      </c>
      <c r="E84" s="631" t="s">
        <v>6774</v>
      </c>
      <c r="F84" s="631" t="s">
        <v>90</v>
      </c>
      <c r="G84" s="631" t="s">
        <v>362</v>
      </c>
      <c r="H84" s="239">
        <v>0.44166666666666665</v>
      </c>
      <c r="I84" s="43" t="s">
        <v>4500</v>
      </c>
      <c r="J84" s="43" t="s">
        <v>4501</v>
      </c>
      <c r="K84" s="238" t="s">
        <v>30</v>
      </c>
      <c r="L84" s="43">
        <v>2</v>
      </c>
      <c r="M84" s="43">
        <v>10</v>
      </c>
      <c r="N84" s="43">
        <f>AVERAGE(20,12)</f>
        <v>16</v>
      </c>
      <c r="O84" s="43">
        <f>AVERAGE(162.8,162.7)</f>
        <v>162.75</v>
      </c>
      <c r="P84" s="43">
        <f>AVERAGE(157.6,153.5)</f>
        <v>155.55000000000001</v>
      </c>
      <c r="Q84" s="43">
        <f>AVERAGE(0.58,0.5)</f>
        <v>0.54</v>
      </c>
      <c r="R84" s="43">
        <f>AVERAGE(34.8,62)</f>
        <v>48.4</v>
      </c>
      <c r="S84" s="281">
        <f>AVERAGE(120,27.8)</f>
        <v>73.900000000000006</v>
      </c>
      <c r="T84" s="34" t="s">
        <v>50</v>
      </c>
      <c r="U84" s="49" t="s">
        <v>50</v>
      </c>
      <c r="V84" s="49" t="s">
        <v>50</v>
      </c>
      <c r="W84" s="5" t="s">
        <v>6670</v>
      </c>
      <c r="X84" s="81" t="s">
        <v>6671</v>
      </c>
    </row>
    <row r="85" spans="1:24" x14ac:dyDescent="0.25">
      <c r="A85" s="44">
        <v>43272</v>
      </c>
      <c r="B85" s="631" t="s">
        <v>845</v>
      </c>
      <c r="C85" s="631">
        <v>38.249920000000003</v>
      </c>
      <c r="D85" s="631">
        <v>-121.71769999999999</v>
      </c>
      <c r="E85" s="631" t="s">
        <v>6775</v>
      </c>
      <c r="F85" s="631" t="s">
        <v>90</v>
      </c>
      <c r="G85" s="631" t="s">
        <v>126</v>
      </c>
      <c r="H85" s="239">
        <v>0.4916666666666667</v>
      </c>
      <c r="I85" s="43" t="s">
        <v>28</v>
      </c>
      <c r="J85" s="43" t="s">
        <v>4501</v>
      </c>
      <c r="K85" s="238" t="s">
        <v>30</v>
      </c>
      <c r="L85" s="43">
        <v>2</v>
      </c>
      <c r="M85" s="43">
        <v>10</v>
      </c>
      <c r="N85" s="43">
        <f>AVERAGE(12, 13)</f>
        <v>12.5</v>
      </c>
      <c r="O85" s="43">
        <f>AVERAGE(175.1, 174.6)</f>
        <v>174.85</v>
      </c>
      <c r="P85" s="43">
        <f>AVERAGE(175.8,174.4)</f>
        <v>175.10000000000002</v>
      </c>
      <c r="Q85" s="43">
        <f>AVERAGE(1.31, 1.33)</f>
        <v>1.32</v>
      </c>
      <c r="R85" s="43">
        <f>AVERAGE(8.11,8.41)</f>
        <v>8.26</v>
      </c>
      <c r="S85" s="281">
        <f>AVERAGE(467, 112)</f>
        <v>289.5</v>
      </c>
      <c r="T85" s="34" t="s">
        <v>50</v>
      </c>
      <c r="U85" s="49" t="s">
        <v>50</v>
      </c>
      <c r="V85" s="49" t="s">
        <v>50</v>
      </c>
      <c r="X85" s="81" t="s">
        <v>6671</v>
      </c>
    </row>
    <row r="86" spans="1:24" x14ac:dyDescent="0.25">
      <c r="A86" s="44">
        <v>43272</v>
      </c>
      <c r="B86" s="631" t="s">
        <v>845</v>
      </c>
      <c r="C86" s="631">
        <v>38.280940000000001</v>
      </c>
      <c r="D86" s="631">
        <v>-121.71257</v>
      </c>
      <c r="E86" s="631" t="s">
        <v>6776</v>
      </c>
      <c r="F86" s="631" t="s">
        <v>90</v>
      </c>
      <c r="G86" s="631" t="s">
        <v>126</v>
      </c>
      <c r="H86" s="239">
        <v>0.52569444444444446</v>
      </c>
      <c r="I86" s="43" t="s">
        <v>28</v>
      </c>
      <c r="J86" s="43" t="s">
        <v>4501</v>
      </c>
      <c r="K86" s="238" t="s">
        <v>30</v>
      </c>
      <c r="L86" s="43">
        <v>2</v>
      </c>
      <c r="M86" s="43">
        <v>10</v>
      </c>
      <c r="N86" s="43">
        <f>AVERAGE(9,11)</f>
        <v>10</v>
      </c>
      <c r="O86" s="43">
        <f>AVERAGE(172.8,168.7)</f>
        <v>170.75</v>
      </c>
      <c r="P86" s="43">
        <f>AVERAGE(173.4,172.3)</f>
        <v>172.85000000000002</v>
      </c>
      <c r="Q86" s="43" t="s">
        <v>6777</v>
      </c>
      <c r="R86" s="43">
        <f>AVERAGE(5.5,25.4)</f>
        <v>15.45</v>
      </c>
      <c r="S86" s="32">
        <f>AVERAGE(460,6.52)</f>
        <v>233.26</v>
      </c>
      <c r="T86" s="34" t="s">
        <v>50</v>
      </c>
      <c r="U86" s="49" t="s">
        <v>50</v>
      </c>
      <c r="V86" s="49" t="s">
        <v>50</v>
      </c>
      <c r="W86" s="5" t="s">
        <v>6778</v>
      </c>
      <c r="X86" s="81" t="s">
        <v>6671</v>
      </c>
    </row>
    <row r="87" spans="1:24" x14ac:dyDescent="0.25">
      <c r="A87" s="44">
        <v>43272</v>
      </c>
      <c r="B87" s="631" t="s">
        <v>95</v>
      </c>
      <c r="C87" s="631">
        <v>38.038490000000003</v>
      </c>
      <c r="D87" s="631">
        <v>-121.50391</v>
      </c>
      <c r="E87" s="631" t="s">
        <v>6779</v>
      </c>
      <c r="F87" s="631" t="s">
        <v>27</v>
      </c>
      <c r="G87" s="631" t="s">
        <v>115</v>
      </c>
      <c r="H87" s="239">
        <v>0.34652777777777777</v>
      </c>
      <c r="I87" s="43" t="s">
        <v>28</v>
      </c>
      <c r="J87" s="43" t="s">
        <v>4501</v>
      </c>
      <c r="K87" s="238" t="s">
        <v>30</v>
      </c>
      <c r="L87" s="43">
        <v>2</v>
      </c>
      <c r="M87" s="43">
        <v>10</v>
      </c>
      <c r="N87" s="43">
        <f>AVERAGE(19.4,18.6)</f>
        <v>19</v>
      </c>
      <c r="O87" s="43">
        <f>AVERAGE(204.7,205)</f>
        <v>204.85</v>
      </c>
      <c r="P87" s="43">
        <f>AVERAGE(207.6,205.7)</f>
        <v>206.64999999999998</v>
      </c>
      <c r="Q87" s="43">
        <f>AVERAGE(1.56,1.43)</f>
        <v>1.4950000000000001</v>
      </c>
      <c r="R87" s="43">
        <f>AVERAGE(4.93,10.1)</f>
        <v>7.5149999999999997</v>
      </c>
      <c r="S87" s="32">
        <f>AVERAGE(16.5,32.3)</f>
        <v>24.4</v>
      </c>
      <c r="T87" s="34" t="s">
        <v>50</v>
      </c>
      <c r="U87" s="49" t="s">
        <v>50</v>
      </c>
      <c r="V87" s="49" t="s">
        <v>50</v>
      </c>
      <c r="W87" s="5" t="s">
        <v>6780</v>
      </c>
      <c r="X87" s="81" t="s">
        <v>6671</v>
      </c>
    </row>
    <row r="88" spans="1:24" x14ac:dyDescent="0.25">
      <c r="A88" s="44">
        <v>43272</v>
      </c>
      <c r="B88" s="631" t="s">
        <v>95</v>
      </c>
      <c r="C88" s="631">
        <v>38.097250000000003</v>
      </c>
      <c r="D88" s="631">
        <v>-121.62376999999999</v>
      </c>
      <c r="E88" s="631" t="s">
        <v>6781</v>
      </c>
      <c r="F88" s="631" t="s">
        <v>27</v>
      </c>
      <c r="G88" s="631" t="s">
        <v>908</v>
      </c>
      <c r="H88" s="239">
        <v>0.39930555555555558</v>
      </c>
      <c r="I88" s="43" t="s">
        <v>28</v>
      </c>
      <c r="J88" s="43" t="s">
        <v>4501</v>
      </c>
      <c r="K88" s="238" t="s">
        <v>30</v>
      </c>
      <c r="L88" s="43">
        <v>2</v>
      </c>
      <c r="M88" s="43">
        <v>10</v>
      </c>
      <c r="N88" s="43">
        <f>AVERAGE(21.3,23)</f>
        <v>22.15</v>
      </c>
      <c r="O88" s="43">
        <f>AVERAGE(166.2,164.6)</f>
        <v>165.39999999999998</v>
      </c>
      <c r="P88" s="43">
        <f>AVERAGE(171,168.4)</f>
        <v>169.7</v>
      </c>
      <c r="Q88" s="43">
        <f>AVERAGE(1.27,1.25)</f>
        <v>1.26</v>
      </c>
      <c r="R88" s="43">
        <f>AVERAGE(8.88,15.1)</f>
        <v>11.99</v>
      </c>
      <c r="S88" s="32">
        <f>AVERAGE(6.33,10.1)</f>
        <v>8.2149999999999999</v>
      </c>
      <c r="T88" s="34" t="s">
        <v>50</v>
      </c>
      <c r="U88" s="49" t="s">
        <v>50</v>
      </c>
      <c r="V88" s="49" t="s">
        <v>50</v>
      </c>
      <c r="X88" s="81" t="s">
        <v>6671</v>
      </c>
    </row>
    <row r="89" spans="1:24" s="149" customFormat="1" x14ac:dyDescent="0.25">
      <c r="A89" s="160">
        <v>43272</v>
      </c>
      <c r="B89" s="149" t="s">
        <v>845</v>
      </c>
      <c r="C89" s="149">
        <v>38.2438</v>
      </c>
      <c r="D89" s="149">
        <v>-121.67497</v>
      </c>
      <c r="E89" s="149" t="s">
        <v>6782</v>
      </c>
      <c r="F89" s="149" t="s">
        <v>90</v>
      </c>
      <c r="G89" s="149" t="s">
        <v>126</v>
      </c>
      <c r="H89" s="151">
        <v>0.47430555555555554</v>
      </c>
      <c r="I89" s="161" t="s">
        <v>4535</v>
      </c>
      <c r="J89" s="161" t="s">
        <v>4501</v>
      </c>
      <c r="K89" s="236" t="s">
        <v>30</v>
      </c>
      <c r="L89" s="161">
        <v>0</v>
      </c>
      <c r="M89" s="161" t="s">
        <v>50</v>
      </c>
      <c r="N89" s="161" t="s">
        <v>50</v>
      </c>
      <c r="O89" s="161" t="s">
        <v>50</v>
      </c>
      <c r="P89" s="161" t="s">
        <v>50</v>
      </c>
      <c r="Q89" s="161" t="s">
        <v>50</v>
      </c>
      <c r="R89" s="161" t="s">
        <v>50</v>
      </c>
      <c r="S89" s="281" t="s">
        <v>50</v>
      </c>
      <c r="T89" s="34" t="s">
        <v>50</v>
      </c>
      <c r="U89" s="49" t="s">
        <v>50</v>
      </c>
      <c r="V89" s="49" t="s">
        <v>50</v>
      </c>
      <c r="W89" s="152" t="s">
        <v>6783</v>
      </c>
      <c r="X89" s="164" t="s">
        <v>6671</v>
      </c>
    </row>
    <row r="90" spans="1:24" s="149" customFormat="1" x14ac:dyDescent="0.25">
      <c r="A90" s="160">
        <v>43272</v>
      </c>
      <c r="B90" s="149" t="s">
        <v>845</v>
      </c>
      <c r="C90" s="149">
        <v>38.336190000000002</v>
      </c>
      <c r="D90" s="149">
        <v>-121.67404999999999</v>
      </c>
      <c r="E90" s="149" t="s">
        <v>6784</v>
      </c>
      <c r="F90" s="149" t="s">
        <v>90</v>
      </c>
      <c r="G90" s="149" t="s">
        <v>126</v>
      </c>
      <c r="H90" s="151">
        <v>0.51736111111111105</v>
      </c>
      <c r="I90" s="161" t="s">
        <v>4535</v>
      </c>
      <c r="J90" s="161" t="s">
        <v>4501</v>
      </c>
      <c r="K90" s="236" t="s">
        <v>30</v>
      </c>
      <c r="L90" s="161">
        <v>0</v>
      </c>
      <c r="M90" s="161" t="s">
        <v>50</v>
      </c>
      <c r="N90" s="161" t="s">
        <v>50</v>
      </c>
      <c r="O90" s="161" t="s">
        <v>50</v>
      </c>
      <c r="P90" s="161" t="s">
        <v>50</v>
      </c>
      <c r="Q90" s="161" t="s">
        <v>50</v>
      </c>
      <c r="R90" s="161" t="s">
        <v>50</v>
      </c>
      <c r="S90" s="281" t="s">
        <v>50</v>
      </c>
      <c r="T90" s="34" t="s">
        <v>50</v>
      </c>
      <c r="U90" s="49" t="s">
        <v>50</v>
      </c>
      <c r="V90" s="49" t="s">
        <v>50</v>
      </c>
      <c r="W90" s="152" t="s">
        <v>6764</v>
      </c>
      <c r="X90" s="164" t="s">
        <v>6671</v>
      </c>
    </row>
    <row r="91" spans="1:24" x14ac:dyDescent="0.25">
      <c r="A91" s="160">
        <v>43272</v>
      </c>
      <c r="B91" s="149" t="s">
        <v>845</v>
      </c>
      <c r="C91" s="149">
        <v>38.260680000000001</v>
      </c>
      <c r="D91" s="149">
        <v>-121.67411</v>
      </c>
      <c r="E91" s="149" t="s">
        <v>6785</v>
      </c>
      <c r="F91" s="149" t="s">
        <v>90</v>
      </c>
      <c r="G91" s="149" t="s">
        <v>126</v>
      </c>
      <c r="H91" s="151">
        <v>0.52083333333333337</v>
      </c>
      <c r="I91" s="161" t="s">
        <v>4535</v>
      </c>
      <c r="J91" s="161" t="s">
        <v>4501</v>
      </c>
      <c r="K91" s="236" t="s">
        <v>30</v>
      </c>
      <c r="L91" s="161">
        <v>0</v>
      </c>
      <c r="M91" s="161" t="s">
        <v>50</v>
      </c>
      <c r="N91" s="161" t="s">
        <v>50</v>
      </c>
      <c r="O91" s="161" t="s">
        <v>50</v>
      </c>
      <c r="P91" s="161" t="s">
        <v>50</v>
      </c>
      <c r="Q91" s="161" t="s">
        <v>50</v>
      </c>
      <c r="R91" s="161" t="s">
        <v>50</v>
      </c>
      <c r="S91" s="281" t="s">
        <v>50</v>
      </c>
      <c r="T91" s="34" t="s">
        <v>50</v>
      </c>
      <c r="U91" s="49" t="s">
        <v>50</v>
      </c>
      <c r="V91" s="49" t="s">
        <v>50</v>
      </c>
      <c r="W91" s="152" t="s">
        <v>6764</v>
      </c>
      <c r="X91" s="164" t="s">
        <v>6671</v>
      </c>
    </row>
    <row r="92" spans="1:24" x14ac:dyDescent="0.25">
      <c r="A92" s="44">
        <v>43273</v>
      </c>
      <c r="B92" s="353" t="s">
        <v>78</v>
      </c>
      <c r="C92" s="631">
        <v>38.081400000000002</v>
      </c>
      <c r="D92" s="631">
        <v>-122.08201</v>
      </c>
      <c r="E92" s="631" t="s">
        <v>6786</v>
      </c>
      <c r="F92" s="631" t="s">
        <v>80</v>
      </c>
      <c r="G92" s="631" t="s">
        <v>81</v>
      </c>
      <c r="H92" s="239">
        <v>0.35625000000000001</v>
      </c>
      <c r="I92" s="43" t="s">
        <v>4535</v>
      </c>
      <c r="J92" s="43" t="s">
        <v>4501</v>
      </c>
      <c r="K92" s="238" t="s">
        <v>30</v>
      </c>
      <c r="L92" s="43">
        <v>2</v>
      </c>
      <c r="M92" s="43">
        <v>10</v>
      </c>
      <c r="N92" s="43">
        <f>AVERAGE(29.2,29.3)</f>
        <v>29.25</v>
      </c>
      <c r="O92" s="43">
        <f>AVERAGE(13618,13755)</f>
        <v>13686.5</v>
      </c>
      <c r="P92" s="43">
        <f>AVERAGE(16100,16203)</f>
        <v>16151.5</v>
      </c>
      <c r="Q92" s="43">
        <f>AVERAGE(0.41,0.38)</f>
        <v>0.39500000000000002</v>
      </c>
      <c r="R92" s="43">
        <f>AVERAGE(35,40.3)</f>
        <v>37.65</v>
      </c>
      <c r="S92" s="32">
        <f>AVERAGE(181,151)</f>
        <v>166</v>
      </c>
      <c r="T92" s="32" t="s">
        <v>31</v>
      </c>
      <c r="U92" s="32">
        <v>2</v>
      </c>
      <c r="V92" s="32" t="s">
        <v>6787</v>
      </c>
      <c r="X92" s="81" t="s">
        <v>6671</v>
      </c>
    </row>
    <row r="93" spans="1:24" x14ac:dyDescent="0.25">
      <c r="A93" s="44">
        <v>43273</v>
      </c>
      <c r="B93" s="631" t="s">
        <v>78</v>
      </c>
      <c r="C93" s="631">
        <v>38.054470000000002</v>
      </c>
      <c r="D93" s="631">
        <v>-122.08634000000001</v>
      </c>
      <c r="E93" s="631" t="s">
        <v>6788</v>
      </c>
      <c r="F93" s="631" t="s">
        <v>80</v>
      </c>
      <c r="G93" s="631" t="s">
        <v>81</v>
      </c>
      <c r="H93" s="239">
        <v>0.39166666666666666</v>
      </c>
      <c r="I93" s="43" t="s">
        <v>4535</v>
      </c>
      <c r="J93" s="43" t="s">
        <v>4501</v>
      </c>
      <c r="K93" s="238" t="s">
        <v>30</v>
      </c>
      <c r="L93" s="43">
        <v>2</v>
      </c>
      <c r="M93" s="43">
        <v>10</v>
      </c>
      <c r="N93" s="43">
        <f>AVERAGE(25.8,25.7)</f>
        <v>25.75</v>
      </c>
      <c r="O93" s="43">
        <f>AVERAGE(13999,14640)</f>
        <v>14319.5</v>
      </c>
      <c r="P93" s="43">
        <f>AVERAGE(16099,16614)</f>
        <v>16356.5</v>
      </c>
      <c r="Q93" s="43">
        <f>AVERAGE(0.61,0.58)</f>
        <v>0.59499999999999997</v>
      </c>
      <c r="R93" s="43">
        <f>AVERAGE(43.8,31)</f>
        <v>37.4</v>
      </c>
      <c r="S93" s="32">
        <f>AVERAGE(93.3,81.8)</f>
        <v>87.55</v>
      </c>
      <c r="T93" s="32" t="s">
        <v>31</v>
      </c>
      <c r="U93" s="32">
        <v>4</v>
      </c>
      <c r="V93" s="32" t="s">
        <v>6789</v>
      </c>
      <c r="X93" s="81" t="s">
        <v>6671</v>
      </c>
    </row>
    <row r="94" spans="1:24" x14ac:dyDescent="0.25">
      <c r="A94" s="44">
        <v>43273</v>
      </c>
      <c r="B94" s="631" t="s">
        <v>78</v>
      </c>
      <c r="C94" s="631">
        <v>38.070639999999997</v>
      </c>
      <c r="D94" s="631">
        <v>-121.84408999999999</v>
      </c>
      <c r="E94" s="631" t="s">
        <v>6790</v>
      </c>
      <c r="F94" s="631" t="s">
        <v>27</v>
      </c>
      <c r="G94" s="631" t="s">
        <v>101</v>
      </c>
      <c r="H94" s="239">
        <v>0.44236111111111115</v>
      </c>
      <c r="I94" s="43" t="s">
        <v>4535</v>
      </c>
      <c r="J94" s="43" t="s">
        <v>4501</v>
      </c>
      <c r="K94" s="43" t="s">
        <v>30</v>
      </c>
      <c r="L94" s="43">
        <v>2</v>
      </c>
      <c r="M94" s="43">
        <v>10</v>
      </c>
      <c r="N94" s="43">
        <f>AVERAGE(16.9,16.6)</f>
        <v>16.75</v>
      </c>
      <c r="O94" s="43">
        <f>AVERAGE(1331,1500)</f>
        <v>1415.5</v>
      </c>
      <c r="P94" s="43">
        <f>AVERAGE(1957,1996)</f>
        <v>1976.5</v>
      </c>
      <c r="Q94" s="43">
        <f>AVERAGE(0.29,0.3)</f>
        <v>0.29499999999999998</v>
      </c>
      <c r="R94" s="43">
        <f>AVERAGE(70.4,70.3)</f>
        <v>70.349999999999994</v>
      </c>
      <c r="S94" s="32">
        <f>AVERAGE(84,110)</f>
        <v>97</v>
      </c>
      <c r="T94" s="32" t="s">
        <v>323</v>
      </c>
      <c r="U94" s="32">
        <v>1</v>
      </c>
      <c r="V94" s="32">
        <v>34</v>
      </c>
      <c r="X94" s="81" t="s">
        <v>6671</v>
      </c>
    </row>
    <row r="95" spans="1:24" x14ac:dyDescent="0.25">
      <c r="A95" s="44">
        <v>43273</v>
      </c>
      <c r="B95" s="631" t="s">
        <v>62</v>
      </c>
      <c r="C95" s="631">
        <v>38.183819999999997</v>
      </c>
      <c r="D95" s="631">
        <v>-121.98684</v>
      </c>
      <c r="E95" s="631" t="s">
        <v>6791</v>
      </c>
      <c r="F95" s="230" t="s">
        <v>27</v>
      </c>
      <c r="G95" s="631" t="s">
        <v>62</v>
      </c>
      <c r="H95" s="239">
        <v>0.36041666666666666</v>
      </c>
      <c r="I95" s="43" t="s">
        <v>4535</v>
      </c>
      <c r="J95" s="43" t="s">
        <v>4501</v>
      </c>
      <c r="K95" s="238" t="s">
        <v>30</v>
      </c>
      <c r="L95" s="43">
        <v>2</v>
      </c>
      <c r="M95" s="43">
        <v>10</v>
      </c>
      <c r="N95" s="43">
        <f>AVERAGE(27.9,27.8)</f>
        <v>27.85</v>
      </c>
      <c r="O95" s="43">
        <f>AVERAGE(8068,8522)</f>
        <v>8295</v>
      </c>
      <c r="P95" s="43">
        <f>AVERAGE(8408,8841)</f>
        <v>8624.5</v>
      </c>
      <c r="Q95" s="43">
        <f>AVERAGE(21,21.1)</f>
        <v>21.05</v>
      </c>
      <c r="R95" s="43">
        <f>AVERAGE(35.3,46.8)</f>
        <v>41.05</v>
      </c>
      <c r="S95" s="32">
        <f>AVERAGE(47.9,102)</f>
        <v>74.95</v>
      </c>
      <c r="T95" s="34" t="s">
        <v>50</v>
      </c>
      <c r="U95" s="49" t="s">
        <v>50</v>
      </c>
      <c r="V95" s="49" t="s">
        <v>50</v>
      </c>
      <c r="X95" s="81" t="s">
        <v>6671</v>
      </c>
    </row>
    <row r="96" spans="1:24" x14ac:dyDescent="0.25">
      <c r="A96" s="44">
        <v>43273</v>
      </c>
      <c r="B96" s="631" t="s">
        <v>62</v>
      </c>
      <c r="C96" s="631">
        <v>38.148960000000002</v>
      </c>
      <c r="D96" s="631">
        <v>-122.05601</v>
      </c>
      <c r="E96" s="631" t="s">
        <v>6792</v>
      </c>
      <c r="F96" s="230" t="s">
        <v>27</v>
      </c>
      <c r="G96" s="631" t="s">
        <v>62</v>
      </c>
      <c r="H96" s="239">
        <v>0.4055555555555555</v>
      </c>
      <c r="I96" s="43" t="s">
        <v>4535</v>
      </c>
      <c r="J96" s="43" t="s">
        <v>4501</v>
      </c>
      <c r="K96" s="238" t="s">
        <v>30</v>
      </c>
      <c r="L96" s="43">
        <v>2</v>
      </c>
      <c r="M96" s="43">
        <v>10</v>
      </c>
      <c r="N96" s="43">
        <f>AVERAGE(29.8,30)</f>
        <v>29.9</v>
      </c>
      <c r="O96" s="43">
        <f>AVERAGE(11899,11623)</f>
        <v>11761</v>
      </c>
      <c r="P96" s="43">
        <f>AVERAGE(12244,12217)</f>
        <v>12230.5</v>
      </c>
      <c r="Q96" s="43">
        <f>AVERAGE(0.23,0.28)</f>
        <v>0.255</v>
      </c>
      <c r="R96" s="43">
        <f>AVERAGE(80.4,106)</f>
        <v>93.2</v>
      </c>
      <c r="S96" s="32">
        <f>AVERAGE(369,213)</f>
        <v>291</v>
      </c>
      <c r="T96" s="34" t="s">
        <v>50</v>
      </c>
      <c r="U96" s="49" t="s">
        <v>50</v>
      </c>
      <c r="V96" s="49" t="s">
        <v>50</v>
      </c>
      <c r="X96" s="81" t="s">
        <v>6671</v>
      </c>
    </row>
    <row r="97" spans="1:24" x14ac:dyDescent="0.25">
      <c r="A97" s="44">
        <v>43273</v>
      </c>
      <c r="B97" s="631" t="s">
        <v>62</v>
      </c>
      <c r="C97" s="631">
        <v>38.171280000000003</v>
      </c>
      <c r="D97" s="631">
        <v>-122.05646</v>
      </c>
      <c r="E97" s="631" t="s">
        <v>6793</v>
      </c>
      <c r="F97" s="230" t="s">
        <v>27</v>
      </c>
      <c r="G97" s="631" t="s">
        <v>62</v>
      </c>
      <c r="H97" s="239">
        <v>0.45</v>
      </c>
      <c r="I97" s="43" t="s">
        <v>4535</v>
      </c>
      <c r="J97" s="43" t="s">
        <v>4501</v>
      </c>
      <c r="K97" s="238" t="s">
        <v>30</v>
      </c>
      <c r="L97" s="43">
        <v>2</v>
      </c>
      <c r="M97" s="43">
        <v>10</v>
      </c>
      <c r="N97" s="43">
        <f>AVERAGE(17.8,43)</f>
        <v>30.4</v>
      </c>
      <c r="O97" s="43">
        <f>AVERAGE(10889,10924)</f>
        <v>10906.5</v>
      </c>
      <c r="P97" s="43">
        <f>AVERAGE(11116,11118)</f>
        <v>11117</v>
      </c>
      <c r="Q97" s="43">
        <f>AVERAGE(0.2,0.19)</f>
        <v>0.19500000000000001</v>
      </c>
      <c r="R97" s="43">
        <f>AVERAGE(86.7,136)</f>
        <v>111.35</v>
      </c>
      <c r="S97" s="32">
        <f>AVERAGE(160,113)</f>
        <v>136.5</v>
      </c>
      <c r="T97" s="34" t="s">
        <v>50</v>
      </c>
      <c r="U97" s="49" t="s">
        <v>50</v>
      </c>
      <c r="V97" s="49" t="s">
        <v>50</v>
      </c>
      <c r="X97" s="81" t="s">
        <v>6671</v>
      </c>
    </row>
    <row r="98" spans="1:24" s="149" customFormat="1" x14ac:dyDescent="0.25">
      <c r="A98" s="160">
        <v>43273</v>
      </c>
      <c r="B98" s="149" t="s">
        <v>78</v>
      </c>
      <c r="C98" s="149">
        <v>38.076549999999997</v>
      </c>
      <c r="D98" s="149">
        <v>-122.05737000000001</v>
      </c>
      <c r="E98" s="149" t="s">
        <v>6794</v>
      </c>
      <c r="F98" s="149" t="s">
        <v>80</v>
      </c>
      <c r="G98" s="149" t="s">
        <v>81</v>
      </c>
      <c r="H98" s="165">
        <v>0.34375</v>
      </c>
      <c r="I98" s="161" t="s">
        <v>4535</v>
      </c>
      <c r="J98" s="161" t="s">
        <v>4501</v>
      </c>
      <c r="K98" s="236" t="s">
        <v>30</v>
      </c>
      <c r="L98" s="161">
        <v>0</v>
      </c>
      <c r="M98" s="161" t="s">
        <v>50</v>
      </c>
      <c r="N98" s="161" t="s">
        <v>50</v>
      </c>
      <c r="O98" s="161" t="s">
        <v>50</v>
      </c>
      <c r="P98" s="161" t="s">
        <v>50</v>
      </c>
      <c r="Q98" s="161" t="s">
        <v>50</v>
      </c>
      <c r="R98" s="161" t="s">
        <v>50</v>
      </c>
      <c r="S98" s="281" t="s">
        <v>50</v>
      </c>
      <c r="T98" s="34" t="s">
        <v>50</v>
      </c>
      <c r="U98" s="49" t="s">
        <v>50</v>
      </c>
      <c r="V98" s="49" t="s">
        <v>50</v>
      </c>
      <c r="W98" s="152" t="s">
        <v>6764</v>
      </c>
      <c r="X98" s="164" t="s">
        <v>6671</v>
      </c>
    </row>
    <row r="99" spans="1:24" x14ac:dyDescent="0.25">
      <c r="A99" s="160">
        <v>43273</v>
      </c>
      <c r="B99" s="149" t="s">
        <v>62</v>
      </c>
      <c r="C99" s="149">
        <v>38.121270000000003</v>
      </c>
      <c r="D99" s="149">
        <v>-122.01573999999999</v>
      </c>
      <c r="E99" s="149" t="s">
        <v>6795</v>
      </c>
      <c r="F99" s="153" t="s">
        <v>27</v>
      </c>
      <c r="G99" s="149" t="s">
        <v>173</v>
      </c>
      <c r="H99" s="165">
        <v>0.43055555555555558</v>
      </c>
      <c r="I99" s="161" t="s">
        <v>4535</v>
      </c>
      <c r="J99" s="161" t="s">
        <v>4501</v>
      </c>
      <c r="K99" s="236" t="s">
        <v>30</v>
      </c>
      <c r="L99" s="161">
        <v>0</v>
      </c>
      <c r="M99" s="161" t="s">
        <v>50</v>
      </c>
      <c r="N99" s="161" t="s">
        <v>50</v>
      </c>
      <c r="O99" s="161" t="s">
        <v>50</v>
      </c>
      <c r="P99" s="161" t="s">
        <v>50</v>
      </c>
      <c r="Q99" s="161" t="s">
        <v>50</v>
      </c>
      <c r="R99" s="161" t="s">
        <v>50</v>
      </c>
      <c r="S99" s="281" t="s">
        <v>50</v>
      </c>
      <c r="T99" s="34" t="s">
        <v>50</v>
      </c>
      <c r="U99" s="49" t="s">
        <v>50</v>
      </c>
      <c r="V99" s="49" t="s">
        <v>50</v>
      </c>
      <c r="W99" s="152" t="s">
        <v>6764</v>
      </c>
      <c r="X99" s="164" t="s">
        <v>6671</v>
      </c>
    </row>
    <row r="100" spans="1:24" s="62" customFormat="1" x14ac:dyDescent="0.25">
      <c r="A100" s="282">
        <v>43273</v>
      </c>
      <c r="B100" s="283" t="s">
        <v>62</v>
      </c>
      <c r="C100" s="283">
        <v>38.116289999999999</v>
      </c>
      <c r="D100" s="283">
        <v>-122.03421</v>
      </c>
      <c r="E100" s="283" t="s">
        <v>6796</v>
      </c>
      <c r="F100" s="283" t="s">
        <v>27</v>
      </c>
      <c r="G100" s="283" t="s">
        <v>173</v>
      </c>
      <c r="H100" s="284">
        <v>0.4368055555555555</v>
      </c>
      <c r="I100" s="285" t="s">
        <v>4535</v>
      </c>
      <c r="J100" s="285" t="s">
        <v>4501</v>
      </c>
      <c r="K100" s="286" t="s">
        <v>30</v>
      </c>
      <c r="L100" s="285">
        <v>0</v>
      </c>
      <c r="M100" s="285" t="s">
        <v>50</v>
      </c>
      <c r="N100" s="285" t="s">
        <v>50</v>
      </c>
      <c r="O100" s="285" t="s">
        <v>50</v>
      </c>
      <c r="P100" s="285" t="s">
        <v>50</v>
      </c>
      <c r="Q100" s="285" t="s">
        <v>50</v>
      </c>
      <c r="R100" s="285" t="s">
        <v>50</v>
      </c>
      <c r="S100" s="287" t="s">
        <v>50</v>
      </c>
      <c r="T100" s="288" t="s">
        <v>50</v>
      </c>
      <c r="U100" s="289" t="s">
        <v>50</v>
      </c>
      <c r="V100" s="289" t="s">
        <v>50</v>
      </c>
      <c r="W100" s="290" t="s">
        <v>6764</v>
      </c>
      <c r="X100" s="289" t="s">
        <v>6671</v>
      </c>
    </row>
    <row r="101" spans="1:24" x14ac:dyDescent="0.25">
      <c r="A101" s="41">
        <v>43276</v>
      </c>
      <c r="B101" s="631" t="s">
        <v>845</v>
      </c>
      <c r="C101" s="631">
        <v>38.283239999999999</v>
      </c>
      <c r="D101" s="631">
        <v>-121.71526</v>
      </c>
      <c r="E101" s="631" t="s">
        <v>6797</v>
      </c>
      <c r="F101" s="631" t="s">
        <v>90</v>
      </c>
      <c r="G101" s="631" t="s">
        <v>126</v>
      </c>
      <c r="H101" s="231">
        <v>0.33611111111111108</v>
      </c>
      <c r="I101" s="42" t="s">
        <v>4500</v>
      </c>
      <c r="J101" s="42" t="s">
        <v>4501</v>
      </c>
      <c r="K101" s="232" t="s">
        <v>30</v>
      </c>
      <c r="L101" s="42">
        <v>2</v>
      </c>
      <c r="M101" s="42">
        <v>10</v>
      </c>
      <c r="N101" s="43">
        <f>AVERAGE(11.8,11.2)</f>
        <v>11.5</v>
      </c>
      <c r="O101" s="43">
        <f>AVERAGE(156.2,156.2)</f>
        <v>156.19999999999999</v>
      </c>
      <c r="P101" s="43">
        <f>AVERAGE(163.4,157)</f>
        <v>160.19999999999999</v>
      </c>
      <c r="Q101" s="43">
        <f>AVERAGE(0.92,1.33)</f>
        <v>1.125</v>
      </c>
      <c r="R101" s="43">
        <f>AVERAGE(6.85,42.5)</f>
        <v>24.675000000000001</v>
      </c>
      <c r="S101" s="43">
        <f>AVERAGE(202,22.7)</f>
        <v>112.35</v>
      </c>
      <c r="T101" s="235" t="s">
        <v>50</v>
      </c>
      <c r="U101" s="40" t="s">
        <v>50</v>
      </c>
      <c r="V101" s="40" t="s">
        <v>50</v>
      </c>
      <c r="X101" s="40" t="s">
        <v>6671</v>
      </c>
    </row>
    <row r="102" spans="1:24" x14ac:dyDescent="0.25">
      <c r="A102" s="41">
        <v>43276</v>
      </c>
      <c r="B102" s="631" t="s">
        <v>845</v>
      </c>
      <c r="C102" s="631">
        <v>38.308120000000002</v>
      </c>
      <c r="D102" s="631">
        <v>-121.66714</v>
      </c>
      <c r="E102" s="631" t="s">
        <v>6798</v>
      </c>
      <c r="F102" s="631" t="s">
        <v>90</v>
      </c>
      <c r="G102" s="631" t="s">
        <v>126</v>
      </c>
      <c r="H102" s="239">
        <v>0.39513888888888887</v>
      </c>
      <c r="I102" s="43" t="s">
        <v>4500</v>
      </c>
      <c r="J102" s="43" t="s">
        <v>4501</v>
      </c>
      <c r="K102" s="238" t="s">
        <v>30</v>
      </c>
      <c r="L102" s="43">
        <v>2</v>
      </c>
      <c r="M102" s="43">
        <v>10</v>
      </c>
      <c r="N102" s="43">
        <f>AVERAGE(22.6,20.8)</f>
        <v>21.700000000000003</v>
      </c>
      <c r="O102" s="43">
        <f>AVERAGE(171.3,172.9)</f>
        <v>172.10000000000002</v>
      </c>
      <c r="P102" s="43">
        <f>AVERAGE(172.4,174.2)</f>
        <v>173.3</v>
      </c>
      <c r="Q102" s="43">
        <f>AVERAGE(0.28,0.3)</f>
        <v>0.29000000000000004</v>
      </c>
      <c r="R102" s="43">
        <f>AVERAGE(46.2,104)</f>
        <v>75.099999999999994</v>
      </c>
      <c r="S102" s="43">
        <f>AVERAGE(330,49.1)</f>
        <v>189.55</v>
      </c>
      <c r="T102" s="235" t="s">
        <v>50</v>
      </c>
      <c r="U102" s="40" t="s">
        <v>50</v>
      </c>
      <c r="V102" s="40" t="s">
        <v>50</v>
      </c>
      <c r="X102" s="40" t="s">
        <v>6671</v>
      </c>
    </row>
    <row r="103" spans="1:24" s="27" customFormat="1" x14ac:dyDescent="0.25">
      <c r="A103" s="29">
        <v>43276</v>
      </c>
      <c r="B103" s="27" t="s">
        <v>845</v>
      </c>
      <c r="C103" s="27">
        <v>38.270600000000002</v>
      </c>
      <c r="D103" s="27">
        <v>-121.70424</v>
      </c>
      <c r="E103" s="27" t="s">
        <v>6799</v>
      </c>
      <c r="F103" s="27" t="s">
        <v>90</v>
      </c>
      <c r="G103" s="27" t="s">
        <v>126</v>
      </c>
      <c r="H103" s="30">
        <v>0.44027777777777777</v>
      </c>
      <c r="I103" s="32" t="s">
        <v>4500</v>
      </c>
      <c r="J103" s="32" t="s">
        <v>4501</v>
      </c>
      <c r="K103" s="248" t="s">
        <v>30</v>
      </c>
      <c r="L103" s="32">
        <v>2</v>
      </c>
      <c r="M103" s="32">
        <v>10</v>
      </c>
      <c r="N103" s="32">
        <f>AVERAGE(10.9,10.7)</f>
        <v>10.8</v>
      </c>
      <c r="O103" s="32">
        <f>AVERAGE(154.2,154.5)</f>
        <v>154.35</v>
      </c>
      <c r="P103" s="32">
        <f>AVERAGE(154.4,155.1)</f>
        <v>154.75</v>
      </c>
      <c r="Q103" s="32">
        <f>AVERAGE(0.84,1.07)</f>
        <v>0.95500000000000007</v>
      </c>
      <c r="R103" s="32">
        <f>AVERAGE(9.99,12.5)</f>
        <v>11.245000000000001</v>
      </c>
      <c r="S103" s="32">
        <f>AVERAGE(663,238)</f>
        <v>450.5</v>
      </c>
      <c r="T103" s="34" t="s">
        <v>50</v>
      </c>
      <c r="U103" s="49" t="s">
        <v>50</v>
      </c>
      <c r="V103" s="49" t="s">
        <v>50</v>
      </c>
      <c r="W103" s="35"/>
      <c r="X103" s="49" t="s">
        <v>6671</v>
      </c>
    </row>
    <row r="104" spans="1:24" s="149" customFormat="1" x14ac:dyDescent="0.25">
      <c r="A104" s="179">
        <v>43276</v>
      </c>
      <c r="B104" s="149" t="s">
        <v>845</v>
      </c>
      <c r="C104" s="149">
        <v>38.238280000000003</v>
      </c>
      <c r="D104" s="149">
        <v>-121.68173</v>
      </c>
      <c r="E104" s="149" t="s">
        <v>6800</v>
      </c>
      <c r="F104" s="149" t="s">
        <v>90</v>
      </c>
      <c r="G104" s="149" t="s">
        <v>126</v>
      </c>
      <c r="H104" s="165">
        <v>0.43194444444444446</v>
      </c>
      <c r="I104" s="161" t="s">
        <v>4500</v>
      </c>
      <c r="J104" s="161" t="s">
        <v>4501</v>
      </c>
      <c r="K104" s="236" t="s">
        <v>30</v>
      </c>
      <c r="L104" s="161">
        <v>0</v>
      </c>
      <c r="M104" s="161" t="s">
        <v>50</v>
      </c>
      <c r="N104" s="161" t="s">
        <v>50</v>
      </c>
      <c r="O104" s="161" t="s">
        <v>50</v>
      </c>
      <c r="P104" s="161" t="s">
        <v>50</v>
      </c>
      <c r="Q104" s="161" t="s">
        <v>50</v>
      </c>
      <c r="R104" s="161" t="s">
        <v>50</v>
      </c>
      <c r="S104" s="279" t="s">
        <v>50</v>
      </c>
      <c r="T104" s="157" t="s">
        <v>50</v>
      </c>
      <c r="U104" s="158" t="s">
        <v>50</v>
      </c>
      <c r="V104" s="158" t="s">
        <v>50</v>
      </c>
      <c r="W104" s="152" t="s">
        <v>6764</v>
      </c>
      <c r="X104" s="164" t="s">
        <v>6671</v>
      </c>
    </row>
    <row r="105" spans="1:24" s="149" customFormat="1" x14ac:dyDescent="0.25">
      <c r="A105" s="179">
        <v>43276</v>
      </c>
      <c r="B105" s="149" t="s">
        <v>845</v>
      </c>
      <c r="C105" s="149">
        <v>38.26435</v>
      </c>
      <c r="D105" s="149">
        <v>-121.6836</v>
      </c>
      <c r="E105" s="149" t="s">
        <v>6801</v>
      </c>
      <c r="F105" s="149" t="s">
        <v>90</v>
      </c>
      <c r="G105" s="149" t="s">
        <v>126</v>
      </c>
      <c r="H105" s="165">
        <v>0.43541666666666662</v>
      </c>
      <c r="I105" s="161" t="s">
        <v>4500</v>
      </c>
      <c r="J105" s="161" t="s">
        <v>4501</v>
      </c>
      <c r="K105" s="236" t="s">
        <v>30</v>
      </c>
      <c r="L105" s="161">
        <v>0</v>
      </c>
      <c r="M105" s="161" t="s">
        <v>50</v>
      </c>
      <c r="N105" s="161" t="s">
        <v>50</v>
      </c>
      <c r="O105" s="161" t="s">
        <v>50</v>
      </c>
      <c r="P105" s="161" t="s">
        <v>50</v>
      </c>
      <c r="Q105" s="161" t="s">
        <v>50</v>
      </c>
      <c r="R105" s="161" t="s">
        <v>50</v>
      </c>
      <c r="S105" s="279" t="s">
        <v>50</v>
      </c>
      <c r="T105" s="157" t="s">
        <v>50</v>
      </c>
      <c r="U105" s="158" t="s">
        <v>50</v>
      </c>
      <c r="V105" s="158" t="s">
        <v>50</v>
      </c>
      <c r="W105" s="152" t="s">
        <v>6764</v>
      </c>
      <c r="X105" s="164" t="s">
        <v>6671</v>
      </c>
    </row>
    <row r="106" spans="1:24" s="149" customFormat="1" x14ac:dyDescent="0.25">
      <c r="A106" s="179">
        <v>43276</v>
      </c>
      <c r="B106" s="149" t="s">
        <v>845</v>
      </c>
      <c r="C106" s="149">
        <v>38.257809999999999</v>
      </c>
      <c r="D106" s="149">
        <v>-121.67537</v>
      </c>
      <c r="E106" s="149" t="s">
        <v>6802</v>
      </c>
      <c r="F106" s="149" t="s">
        <v>90</v>
      </c>
      <c r="G106" s="149" t="s">
        <v>126</v>
      </c>
      <c r="H106" s="165">
        <v>0.43611111111111112</v>
      </c>
      <c r="I106" s="161" t="s">
        <v>4500</v>
      </c>
      <c r="J106" s="161" t="s">
        <v>4501</v>
      </c>
      <c r="K106" s="236" t="s">
        <v>30</v>
      </c>
      <c r="L106" s="161">
        <v>0</v>
      </c>
      <c r="M106" s="161" t="s">
        <v>50</v>
      </c>
      <c r="N106" s="161" t="s">
        <v>50</v>
      </c>
      <c r="O106" s="161" t="s">
        <v>50</v>
      </c>
      <c r="P106" s="161" t="s">
        <v>50</v>
      </c>
      <c r="Q106" s="161" t="s">
        <v>50</v>
      </c>
      <c r="R106" s="161" t="s">
        <v>50</v>
      </c>
      <c r="S106" s="279" t="s">
        <v>50</v>
      </c>
      <c r="T106" s="157" t="s">
        <v>50</v>
      </c>
      <c r="U106" s="158" t="s">
        <v>50</v>
      </c>
      <c r="V106" s="158" t="s">
        <v>50</v>
      </c>
      <c r="W106" s="152" t="s">
        <v>6764</v>
      </c>
      <c r="X106" s="164" t="s">
        <v>6671</v>
      </c>
    </row>
    <row r="107" spans="1:24" s="149" customFormat="1" x14ac:dyDescent="0.25">
      <c r="A107" s="179">
        <v>43276</v>
      </c>
      <c r="B107" s="149" t="s">
        <v>845</v>
      </c>
      <c r="C107" s="149">
        <v>38.261940000000003</v>
      </c>
      <c r="D107" s="149">
        <v>-121.67831</v>
      </c>
      <c r="E107" s="149" t="s">
        <v>6803</v>
      </c>
      <c r="F107" s="149" t="s">
        <v>90</v>
      </c>
      <c r="G107" s="149" t="s">
        <v>126</v>
      </c>
      <c r="H107" s="165">
        <v>0.375</v>
      </c>
      <c r="I107" s="161" t="s">
        <v>4500</v>
      </c>
      <c r="J107" s="161" t="s">
        <v>4501</v>
      </c>
      <c r="K107" s="236" t="s">
        <v>30</v>
      </c>
      <c r="L107" s="161">
        <v>0</v>
      </c>
      <c r="M107" s="161" t="s">
        <v>50</v>
      </c>
      <c r="N107" s="161" t="s">
        <v>50</v>
      </c>
      <c r="O107" s="161" t="s">
        <v>50</v>
      </c>
      <c r="P107" s="161" t="s">
        <v>50</v>
      </c>
      <c r="Q107" s="161" t="s">
        <v>50</v>
      </c>
      <c r="R107" s="161" t="s">
        <v>50</v>
      </c>
      <c r="S107" s="279" t="s">
        <v>50</v>
      </c>
      <c r="T107" s="157" t="s">
        <v>50</v>
      </c>
      <c r="U107" s="158" t="s">
        <v>50</v>
      </c>
      <c r="V107" s="158" t="s">
        <v>50</v>
      </c>
      <c r="W107" s="152" t="s">
        <v>6764</v>
      </c>
      <c r="X107" s="164" t="s">
        <v>6671</v>
      </c>
    </row>
    <row r="108" spans="1:24" x14ac:dyDescent="0.25">
      <c r="A108" s="44">
        <v>43276</v>
      </c>
      <c r="B108" s="631" t="s">
        <v>78</v>
      </c>
      <c r="C108" s="631">
        <v>38.07056</v>
      </c>
      <c r="D108" s="631">
        <v>-121.96504</v>
      </c>
      <c r="E108" s="631" t="s">
        <v>6804</v>
      </c>
      <c r="F108" s="631" t="s">
        <v>27</v>
      </c>
      <c r="G108" s="631" t="s">
        <v>170</v>
      </c>
      <c r="H108" s="21">
        <v>0.34583333333333338</v>
      </c>
      <c r="I108" s="631" t="s">
        <v>4500</v>
      </c>
      <c r="J108" s="631" t="s">
        <v>4501</v>
      </c>
      <c r="K108" s="241" t="s">
        <v>30</v>
      </c>
      <c r="L108" s="631">
        <v>2</v>
      </c>
      <c r="M108" s="631">
        <v>10</v>
      </c>
      <c r="N108" s="631">
        <f>AVERAGE(10)</f>
        <v>10</v>
      </c>
      <c r="O108" s="43">
        <f>AVERAGE(14149,11446)</f>
        <v>12797.5</v>
      </c>
      <c r="P108" s="43">
        <f>AVERAGE(14231,14073)</f>
        <v>14152</v>
      </c>
      <c r="Q108" s="43">
        <f>AVERAGE(0.32,0.37)</f>
        <v>0.34499999999999997</v>
      </c>
      <c r="R108" s="43">
        <f>AVERAGE(67.2,86.9)</f>
        <v>77.050000000000011</v>
      </c>
      <c r="S108" s="43">
        <f>AVERAGE(63.5,66.9)</f>
        <v>65.2</v>
      </c>
      <c r="T108" s="34" t="s">
        <v>50</v>
      </c>
      <c r="U108" s="49" t="s">
        <v>50</v>
      </c>
      <c r="V108" s="49" t="s">
        <v>50</v>
      </c>
      <c r="W108" s="35"/>
      <c r="X108" s="269" t="s">
        <v>6671</v>
      </c>
    </row>
    <row r="109" spans="1:24" x14ac:dyDescent="0.25">
      <c r="A109" s="44">
        <v>43276</v>
      </c>
      <c r="B109" s="631" t="s">
        <v>78</v>
      </c>
      <c r="C109" s="631">
        <v>38.057130000000001</v>
      </c>
      <c r="D109" s="631">
        <v>-121.99498</v>
      </c>
      <c r="E109" s="631" t="s">
        <v>6805</v>
      </c>
      <c r="F109" s="631" t="s">
        <v>27</v>
      </c>
      <c r="G109" s="631" t="s">
        <v>86</v>
      </c>
      <c r="H109" s="239">
        <v>0.38750000000000001</v>
      </c>
      <c r="I109" s="43" t="s">
        <v>4500</v>
      </c>
      <c r="J109" s="43" t="s">
        <v>4501</v>
      </c>
      <c r="K109" s="238" t="s">
        <v>30</v>
      </c>
      <c r="L109" s="43">
        <v>2</v>
      </c>
      <c r="M109" s="43">
        <v>10</v>
      </c>
      <c r="N109" s="631">
        <f>AVERAGE(45.4,43.5)</f>
        <v>44.45</v>
      </c>
      <c r="O109" s="43">
        <f>AVERAGE(8093,7828)</f>
        <v>7960.5</v>
      </c>
      <c r="P109" s="43">
        <f>AVERAGE(8888,8609)</f>
        <v>8748.5</v>
      </c>
      <c r="Q109" s="43">
        <f>AVERAGE(0.37,0.46)</f>
        <v>0.41500000000000004</v>
      </c>
      <c r="R109" s="43">
        <f>AVERAGE(70.5,71.2)</f>
        <v>70.849999999999994</v>
      </c>
      <c r="S109" s="43">
        <f>AVERAGE(66.9,63.1)</f>
        <v>65</v>
      </c>
      <c r="T109" s="34" t="s">
        <v>50</v>
      </c>
      <c r="U109" s="49" t="s">
        <v>50</v>
      </c>
      <c r="V109" s="49" t="s">
        <v>50</v>
      </c>
      <c r="W109" s="35"/>
      <c r="X109" s="49" t="s">
        <v>6671</v>
      </c>
    </row>
    <row r="110" spans="1:24" x14ac:dyDescent="0.25">
      <c r="A110" s="44">
        <v>43276</v>
      </c>
      <c r="B110" s="631" t="s">
        <v>78</v>
      </c>
      <c r="C110" s="631">
        <v>38.057810000000003</v>
      </c>
      <c r="D110" s="631">
        <v>-121.87284</v>
      </c>
      <c r="E110" s="631" t="s">
        <v>6806</v>
      </c>
      <c r="F110" s="631" t="s">
        <v>27</v>
      </c>
      <c r="G110" s="631" t="s">
        <v>101</v>
      </c>
      <c r="H110" s="239">
        <v>0.43472222222222223</v>
      </c>
      <c r="I110" s="43" t="s">
        <v>4500</v>
      </c>
      <c r="J110" s="43" t="s">
        <v>4501</v>
      </c>
      <c r="K110" s="238" t="s">
        <v>30</v>
      </c>
      <c r="L110" s="43">
        <v>2</v>
      </c>
      <c r="M110" s="43">
        <v>10</v>
      </c>
      <c r="N110" s="631">
        <f>AVERAGE(59.8,60.1)</f>
        <v>59.95</v>
      </c>
      <c r="O110" s="43">
        <f>AVERAGE(2555,2522)</f>
        <v>2538.5</v>
      </c>
      <c r="P110" s="43">
        <f>AVERAGE(2815,2696)</f>
        <v>2755.5</v>
      </c>
      <c r="Q110" s="43">
        <f>AVERAGE(0.32,0.33)</f>
        <v>0.32500000000000001</v>
      </c>
      <c r="R110" s="43">
        <f>AVERAGE(35.5,37.6)</f>
        <v>36.549999999999997</v>
      </c>
      <c r="S110" s="43">
        <f>AVERAGE(64.7,65.6)</f>
        <v>65.150000000000006</v>
      </c>
      <c r="T110" s="34" t="s">
        <v>50</v>
      </c>
      <c r="U110" s="49" t="s">
        <v>50</v>
      </c>
      <c r="V110" s="49" t="s">
        <v>50</v>
      </c>
      <c r="W110" s="35"/>
      <c r="X110" s="49" t="s">
        <v>6671</v>
      </c>
    </row>
    <row r="111" spans="1:24" s="149" customFormat="1" x14ac:dyDescent="0.25">
      <c r="A111" s="160">
        <v>43276</v>
      </c>
      <c r="B111" s="149" t="s">
        <v>78</v>
      </c>
      <c r="C111" s="149">
        <v>38.076900000000002</v>
      </c>
      <c r="D111" s="149">
        <v>-122.06235</v>
      </c>
      <c r="E111" s="149" t="s">
        <v>6807</v>
      </c>
      <c r="F111" s="149" t="s">
        <v>80</v>
      </c>
      <c r="G111" s="149" t="s">
        <v>81</v>
      </c>
      <c r="H111" s="165">
        <v>0.3576388888888889</v>
      </c>
      <c r="I111" s="161" t="s">
        <v>4500</v>
      </c>
      <c r="J111" s="161" t="s">
        <v>4501</v>
      </c>
      <c r="K111" s="236" t="s">
        <v>30</v>
      </c>
      <c r="L111" s="161">
        <v>0</v>
      </c>
      <c r="M111" s="161" t="s">
        <v>50</v>
      </c>
      <c r="N111" s="161" t="s">
        <v>50</v>
      </c>
      <c r="O111" s="161" t="s">
        <v>50</v>
      </c>
      <c r="P111" s="161" t="s">
        <v>50</v>
      </c>
      <c r="Q111" s="161" t="s">
        <v>50</v>
      </c>
      <c r="R111" s="161" t="s">
        <v>50</v>
      </c>
      <c r="S111" s="279" t="s">
        <v>50</v>
      </c>
      <c r="T111" s="157" t="s">
        <v>50</v>
      </c>
      <c r="U111" s="158" t="s">
        <v>50</v>
      </c>
      <c r="V111" s="158" t="s">
        <v>50</v>
      </c>
      <c r="W111" s="152" t="s">
        <v>6764</v>
      </c>
      <c r="X111" s="164" t="s">
        <v>6671</v>
      </c>
    </row>
    <row r="112" spans="1:24" s="27" customFormat="1" x14ac:dyDescent="0.25">
      <c r="A112" s="36">
        <v>43277</v>
      </c>
      <c r="B112" s="27" t="s">
        <v>78</v>
      </c>
      <c r="C112" s="27">
        <v>38.054070000000003</v>
      </c>
      <c r="D112" s="27">
        <v>-122.07388</v>
      </c>
      <c r="E112" s="27" t="s">
        <v>6808</v>
      </c>
      <c r="F112" s="27" t="s">
        <v>80</v>
      </c>
      <c r="G112" s="27" t="s">
        <v>81</v>
      </c>
      <c r="H112" s="84">
        <v>0.37777777777777777</v>
      </c>
      <c r="I112" s="27" t="s">
        <v>4500</v>
      </c>
      <c r="J112" s="27" t="s">
        <v>4501</v>
      </c>
      <c r="K112" s="244" t="s">
        <v>30</v>
      </c>
      <c r="L112" s="27">
        <v>2</v>
      </c>
      <c r="M112" s="27">
        <v>10</v>
      </c>
      <c r="N112" s="631">
        <f>AVERAGE(22,27)</f>
        <v>24.5</v>
      </c>
      <c r="O112" s="43">
        <f>AVERAGE(14841,13575)</f>
        <v>14208</v>
      </c>
      <c r="P112" s="43">
        <f>AVERAGE(16094,15495)</f>
        <v>15794.5</v>
      </c>
      <c r="Q112" s="43">
        <f>AVERAGE(0.34,0.33)</f>
        <v>0.33500000000000002</v>
      </c>
      <c r="R112" s="43">
        <f>AVERAGE(50.5,55.7)</f>
        <v>53.1</v>
      </c>
      <c r="S112" s="43">
        <f>AVERAGE(126,173)</f>
        <v>149.5</v>
      </c>
      <c r="T112" s="34" t="s">
        <v>50</v>
      </c>
      <c r="U112" s="49" t="s">
        <v>50</v>
      </c>
      <c r="V112" s="49" t="s">
        <v>50</v>
      </c>
      <c r="W112" s="35" t="s">
        <v>6670</v>
      </c>
      <c r="X112" s="27" t="s">
        <v>6671</v>
      </c>
    </row>
    <row r="113" spans="1:24" x14ac:dyDescent="0.25">
      <c r="A113" s="36">
        <v>43277</v>
      </c>
      <c r="B113" s="27" t="s">
        <v>78</v>
      </c>
      <c r="C113" s="631">
        <v>38.083109999999998</v>
      </c>
      <c r="D113" s="631">
        <v>-121.99248</v>
      </c>
      <c r="E113" s="631" t="s">
        <v>6809</v>
      </c>
      <c r="F113" s="631" t="s">
        <v>27</v>
      </c>
      <c r="G113" s="631" t="s">
        <v>86</v>
      </c>
      <c r="H113" s="239">
        <v>0.41736111111111113</v>
      </c>
      <c r="I113" s="43" t="s">
        <v>4500</v>
      </c>
      <c r="J113" s="43" t="s">
        <v>4501</v>
      </c>
      <c r="K113" s="238" t="s">
        <v>30</v>
      </c>
      <c r="L113" s="43">
        <v>2</v>
      </c>
      <c r="M113" s="43">
        <v>10</v>
      </c>
      <c r="N113" s="631">
        <f>AVERAGE(29,28)</f>
        <v>28.5</v>
      </c>
      <c r="O113" s="43">
        <f>AVERAGE(10524,9446)</f>
        <v>9985</v>
      </c>
      <c r="P113" s="43">
        <f>AVERAGE(10123,9433)</f>
        <v>9778</v>
      </c>
      <c r="Q113" s="43">
        <f>AVERAGE(0.3,0.27)</f>
        <v>0.28500000000000003</v>
      </c>
      <c r="R113" s="43">
        <f>AVERAGE(158,107)</f>
        <v>132.5</v>
      </c>
      <c r="S113" s="43">
        <f>AVERAGE(101,112)</f>
        <v>106.5</v>
      </c>
      <c r="T113" s="34" t="s">
        <v>50</v>
      </c>
      <c r="U113" s="49" t="s">
        <v>50</v>
      </c>
      <c r="V113" s="49" t="s">
        <v>50</v>
      </c>
      <c r="W113" s="35" t="s">
        <v>6670</v>
      </c>
      <c r="X113" s="240" t="s">
        <v>6671</v>
      </c>
    </row>
    <row r="114" spans="1:24" x14ac:dyDescent="0.25">
      <c r="A114" s="36">
        <v>43277</v>
      </c>
      <c r="B114" s="27" t="s">
        <v>78</v>
      </c>
      <c r="C114" s="631">
        <v>38.051169999999999</v>
      </c>
      <c r="D114" s="631">
        <v>-121.96672</v>
      </c>
      <c r="E114" s="631" t="s">
        <v>6810</v>
      </c>
      <c r="F114" s="631" t="s">
        <v>27</v>
      </c>
      <c r="G114" s="631" t="s">
        <v>170</v>
      </c>
      <c r="H114" s="239">
        <v>0.45347222222222222</v>
      </c>
      <c r="I114" s="43" t="s">
        <v>4500</v>
      </c>
      <c r="J114" s="43" t="s">
        <v>4501</v>
      </c>
      <c r="K114" s="238" t="s">
        <v>30</v>
      </c>
      <c r="L114" s="43">
        <v>2</v>
      </c>
      <c r="M114" s="43">
        <v>10</v>
      </c>
      <c r="N114" s="631">
        <f>AVERAGE(10.8,11.4)</f>
        <v>11.100000000000001</v>
      </c>
      <c r="O114" s="43">
        <f>AVERAGE(5571,5288)</f>
        <v>5429.5</v>
      </c>
      <c r="P114" s="43">
        <f>AVERAGE(5883,5838)</f>
        <v>5860.5</v>
      </c>
      <c r="Q114" s="43">
        <f>AVERAGE(0.46,0.46)</f>
        <v>0.46</v>
      </c>
      <c r="R114" s="43">
        <f>AVERAGE(29.7,33.6)</f>
        <v>31.65</v>
      </c>
      <c r="S114" s="43">
        <f>AVERAGE(49.3,743)</f>
        <v>396.15</v>
      </c>
      <c r="T114" s="34" t="s">
        <v>50</v>
      </c>
      <c r="U114" s="49" t="s">
        <v>50</v>
      </c>
      <c r="V114" s="49" t="s">
        <v>50</v>
      </c>
      <c r="W114" s="35"/>
      <c r="X114" s="240" t="s">
        <v>6671</v>
      </c>
    </row>
    <row r="115" spans="1:24" x14ac:dyDescent="0.25">
      <c r="A115" s="36">
        <v>43277</v>
      </c>
      <c r="B115" s="631" t="s">
        <v>106</v>
      </c>
      <c r="C115" s="631">
        <v>38.561340000000001</v>
      </c>
      <c r="D115" s="631">
        <v>-121.55768999999999</v>
      </c>
      <c r="E115" s="631" t="s">
        <v>6811</v>
      </c>
      <c r="F115" s="631" t="s">
        <v>90</v>
      </c>
      <c r="G115" s="631" t="s">
        <v>1787</v>
      </c>
      <c r="H115" s="239">
        <v>0.36249999999999999</v>
      </c>
      <c r="I115" s="43" t="s">
        <v>4500</v>
      </c>
      <c r="J115" s="43" t="s">
        <v>4501</v>
      </c>
      <c r="K115" s="238" t="s">
        <v>30</v>
      </c>
      <c r="L115" s="43">
        <v>2</v>
      </c>
      <c r="M115" s="43">
        <v>10</v>
      </c>
      <c r="N115" s="631">
        <f>AVERAGE(38,36)</f>
        <v>37</v>
      </c>
      <c r="O115" s="43">
        <f>AVERAGE(1027,1023)</f>
        <v>1025</v>
      </c>
      <c r="P115" s="43">
        <f>AVERAGE(972,986)</f>
        <v>979</v>
      </c>
      <c r="Q115" s="43">
        <f>AVERAGE(1.4,1.8)</f>
        <v>1.6</v>
      </c>
      <c r="R115" s="43">
        <f>AVERAGE(8.14,21.7)</f>
        <v>14.92</v>
      </c>
      <c r="S115" s="43">
        <f>AVERAGE(12.9,18.4)</f>
        <v>15.649999999999999</v>
      </c>
      <c r="T115" s="34" t="s">
        <v>50</v>
      </c>
      <c r="U115" s="49" t="s">
        <v>50</v>
      </c>
      <c r="V115" s="49" t="s">
        <v>50</v>
      </c>
      <c r="W115" s="35" t="s">
        <v>6670</v>
      </c>
      <c r="X115" s="25" t="s">
        <v>6671</v>
      </c>
    </row>
    <row r="116" spans="1:24" x14ac:dyDescent="0.25">
      <c r="A116" s="36">
        <v>43277</v>
      </c>
      <c r="B116" s="631" t="s">
        <v>106</v>
      </c>
      <c r="C116" s="631">
        <v>38.51144</v>
      </c>
      <c r="D116" s="631">
        <v>-121.58475</v>
      </c>
      <c r="E116" s="631" t="s">
        <v>6812</v>
      </c>
      <c r="F116" s="631" t="s">
        <v>90</v>
      </c>
      <c r="G116" s="631" t="s">
        <v>1787</v>
      </c>
      <c r="H116" s="239">
        <v>0.40069444444444446</v>
      </c>
      <c r="I116" s="43" t="s">
        <v>4500</v>
      </c>
      <c r="J116" s="43" t="s">
        <v>4501</v>
      </c>
      <c r="K116" s="238" t="s">
        <v>30</v>
      </c>
      <c r="L116" s="43">
        <v>2</v>
      </c>
      <c r="M116" s="43">
        <v>10</v>
      </c>
      <c r="N116" s="631">
        <f>AVERAGE(34,34)</f>
        <v>34</v>
      </c>
      <c r="O116" s="43">
        <f>AVERAGE(904,907)</f>
        <v>905.5</v>
      </c>
      <c r="P116" s="43">
        <f>AVERAGE(889,897)</f>
        <v>893</v>
      </c>
      <c r="Q116" s="43">
        <f>AVERAGE(0.65,0.6)</f>
        <v>0.625</v>
      </c>
      <c r="R116" s="43">
        <f>AVERAGE(17.5,15)</f>
        <v>16.25</v>
      </c>
      <c r="S116" s="43">
        <f>AVERAGE(19.9,18.6)</f>
        <v>19.25</v>
      </c>
      <c r="T116" s="34" t="s">
        <v>50</v>
      </c>
      <c r="U116" s="49" t="s">
        <v>50</v>
      </c>
      <c r="V116" s="49" t="s">
        <v>50</v>
      </c>
      <c r="W116" s="35" t="s">
        <v>6670</v>
      </c>
      <c r="X116" s="25" t="s">
        <v>6671</v>
      </c>
    </row>
    <row r="117" spans="1:24" x14ac:dyDescent="0.25">
      <c r="A117" s="36">
        <v>43277</v>
      </c>
      <c r="B117" s="631" t="s">
        <v>106</v>
      </c>
      <c r="C117" s="631">
        <v>38.291829999999997</v>
      </c>
      <c r="D117" s="631">
        <v>-121.65721000000001</v>
      </c>
      <c r="E117" s="631" t="s">
        <v>6813</v>
      </c>
      <c r="F117" s="631" t="s">
        <v>90</v>
      </c>
      <c r="G117" s="631" t="s">
        <v>362</v>
      </c>
      <c r="H117" s="239">
        <v>0.45277777777777778</v>
      </c>
      <c r="I117" s="43" t="s">
        <v>4500</v>
      </c>
      <c r="J117" s="43" t="s">
        <v>4501</v>
      </c>
      <c r="K117" s="238" t="s">
        <v>30</v>
      </c>
      <c r="L117" s="43">
        <v>2</v>
      </c>
      <c r="M117" s="43">
        <v>10</v>
      </c>
      <c r="N117" s="631">
        <f>AVERAGE(35,35)</f>
        <v>35</v>
      </c>
      <c r="O117" s="43">
        <f>AVERAGE(277,286.9)</f>
        <v>281.95</v>
      </c>
      <c r="P117" s="43">
        <f>AVERAGE(277.4,294.3)</f>
        <v>285.85000000000002</v>
      </c>
      <c r="Q117" s="43">
        <f>AVERAGE(0.42,0.46)</f>
        <v>0.44</v>
      </c>
      <c r="R117" s="43">
        <f>AVERAGE(22.8,24.8)</f>
        <v>23.8</v>
      </c>
      <c r="S117" s="43">
        <f>AVERAGE(33.2,34.4)</f>
        <v>33.799999999999997</v>
      </c>
      <c r="T117" s="34" t="s">
        <v>50</v>
      </c>
      <c r="U117" s="49" t="s">
        <v>50</v>
      </c>
      <c r="V117" s="49" t="s">
        <v>50</v>
      </c>
      <c r="W117" s="35" t="s">
        <v>6670</v>
      </c>
      <c r="X117" s="25" t="s">
        <v>6671</v>
      </c>
    </row>
    <row r="118" spans="1:24" x14ac:dyDescent="0.25">
      <c r="A118" s="36">
        <v>43277</v>
      </c>
      <c r="B118" s="631" t="s">
        <v>106</v>
      </c>
      <c r="C118" s="631">
        <v>38.2532</v>
      </c>
      <c r="D118" s="631">
        <v>-121.66831000000001</v>
      </c>
      <c r="E118" s="631" t="s">
        <v>6814</v>
      </c>
      <c r="F118" s="631" t="s">
        <v>90</v>
      </c>
      <c r="G118" s="631" t="s">
        <v>362</v>
      </c>
      <c r="H118" s="239">
        <v>0.48541666666666666</v>
      </c>
      <c r="I118" s="43" t="s">
        <v>4500</v>
      </c>
      <c r="J118" s="43" t="s">
        <v>4501</v>
      </c>
      <c r="K118" s="238" t="s">
        <v>30</v>
      </c>
      <c r="L118" s="43">
        <v>2</v>
      </c>
      <c r="M118" s="43">
        <v>10</v>
      </c>
      <c r="N118" s="631">
        <f>AVERAGE(28,34)</f>
        <v>31</v>
      </c>
      <c r="O118" s="43">
        <f>AVERAGE(189.4,193.4)</f>
        <v>191.4</v>
      </c>
      <c r="P118" s="43">
        <f>AVERAGE(205.8,214.7)</f>
        <v>210.25</v>
      </c>
      <c r="Q118" s="43">
        <f>AVERAGE(0.72,0.73)</f>
        <v>0.72499999999999998</v>
      </c>
      <c r="R118" s="43">
        <f>AVERAGE(15.1,16.4)</f>
        <v>15.75</v>
      </c>
      <c r="S118" s="43">
        <f>AVERAGE(20.5,19.8)</f>
        <v>20.149999999999999</v>
      </c>
      <c r="T118" s="34" t="s">
        <v>50</v>
      </c>
      <c r="U118" s="49" t="s">
        <v>50</v>
      </c>
      <c r="V118" s="49" t="s">
        <v>50</v>
      </c>
      <c r="W118" s="35" t="s">
        <v>6670</v>
      </c>
      <c r="X118" s="25" t="s">
        <v>6671</v>
      </c>
    </row>
    <row r="119" spans="1:24" x14ac:dyDescent="0.25">
      <c r="A119" s="36">
        <v>43278</v>
      </c>
      <c r="B119" s="631" t="s">
        <v>88</v>
      </c>
      <c r="C119" s="631">
        <v>38.110889999999998</v>
      </c>
      <c r="D119" s="631">
        <v>-121.68302</v>
      </c>
      <c r="E119" s="631" t="s">
        <v>6815</v>
      </c>
      <c r="F119" s="631" t="s">
        <v>90</v>
      </c>
      <c r="G119" s="631" t="s">
        <v>91</v>
      </c>
      <c r="H119" s="239">
        <v>0.31180555555555556</v>
      </c>
      <c r="I119" s="43" t="s">
        <v>4500</v>
      </c>
      <c r="J119" s="43" t="s">
        <v>4501</v>
      </c>
      <c r="K119" s="238" t="s">
        <v>30</v>
      </c>
      <c r="L119" s="43">
        <v>2</v>
      </c>
      <c r="M119" s="43">
        <v>10</v>
      </c>
      <c r="N119" s="631">
        <f>AVERAGE(24,24)</f>
        <v>24</v>
      </c>
      <c r="O119" s="43">
        <f>AVERAGE(329.4,382.3)</f>
        <v>355.85</v>
      </c>
      <c r="P119" s="43">
        <f>AVERAGE(297.9,378.7)</f>
        <v>338.29999999999995</v>
      </c>
      <c r="Q119" s="43">
        <f>AVERAGE(0.77,0.65)</f>
        <v>0.71</v>
      </c>
      <c r="R119" s="43">
        <f>AVERAGE(10.5,13)</f>
        <v>11.75</v>
      </c>
      <c r="S119" s="43">
        <f>AVERAGE(17,14.4)</f>
        <v>15.7</v>
      </c>
      <c r="T119" s="34" t="s">
        <v>50</v>
      </c>
      <c r="U119" s="49" t="s">
        <v>50</v>
      </c>
      <c r="V119" s="49" t="s">
        <v>50</v>
      </c>
      <c r="W119" s="35" t="s">
        <v>6670</v>
      </c>
      <c r="X119" s="25" t="s">
        <v>6671</v>
      </c>
    </row>
    <row r="120" spans="1:24" x14ac:dyDescent="0.25">
      <c r="A120" s="36">
        <v>43278</v>
      </c>
      <c r="B120" s="631" t="s">
        <v>88</v>
      </c>
      <c r="C120" s="631">
        <v>38.131889999999999</v>
      </c>
      <c r="D120" s="631">
        <v>-121.68844</v>
      </c>
      <c r="E120" s="631" t="s">
        <v>6816</v>
      </c>
      <c r="F120" s="631" t="s">
        <v>90</v>
      </c>
      <c r="G120" s="631" t="s">
        <v>91</v>
      </c>
      <c r="H120" s="239">
        <v>0.37916666666666665</v>
      </c>
      <c r="I120" s="43" t="s">
        <v>4500</v>
      </c>
      <c r="J120" s="43" t="s">
        <v>4501</v>
      </c>
      <c r="K120" s="238" t="s">
        <v>30</v>
      </c>
      <c r="L120" s="43">
        <v>2</v>
      </c>
      <c r="M120" s="43">
        <v>10</v>
      </c>
      <c r="N120" s="631">
        <f>AVERAGE(8)</f>
        <v>8</v>
      </c>
      <c r="O120" s="43">
        <f>AVERAGE(160.2,154.9)</f>
        <v>157.55000000000001</v>
      </c>
      <c r="P120" s="43">
        <f>AVERAGE(165.7,155.1)</f>
        <v>160.39999999999998</v>
      </c>
      <c r="Q120" s="43">
        <f>AVERAGE(1,0.94)</f>
        <v>0.97</v>
      </c>
      <c r="R120" s="43">
        <f>AVERAGE(11,18)</f>
        <v>14.5</v>
      </c>
      <c r="S120" s="43">
        <f>AVERAGE(49.2,51.4)</f>
        <v>50.3</v>
      </c>
      <c r="T120" s="34" t="s">
        <v>50</v>
      </c>
      <c r="U120" s="49" t="s">
        <v>50</v>
      </c>
      <c r="V120" s="49" t="s">
        <v>50</v>
      </c>
      <c r="W120" s="35" t="s">
        <v>6670</v>
      </c>
      <c r="X120" s="25" t="s">
        <v>6671</v>
      </c>
    </row>
    <row r="121" spans="1:24" x14ac:dyDescent="0.25">
      <c r="A121" s="36">
        <v>43278</v>
      </c>
      <c r="B121" s="631" t="s">
        <v>88</v>
      </c>
      <c r="C121" s="631">
        <v>38.111379999999997</v>
      </c>
      <c r="D121" s="631">
        <v>-121.70953</v>
      </c>
      <c r="E121" s="631" t="s">
        <v>6817</v>
      </c>
      <c r="F121" s="631" t="s">
        <v>90</v>
      </c>
      <c r="G121" s="631" t="s">
        <v>91</v>
      </c>
      <c r="H121" s="239">
        <v>0.41041666666666665</v>
      </c>
      <c r="I121" s="43" t="s">
        <v>6818</v>
      </c>
      <c r="J121" s="43" t="s">
        <v>4501</v>
      </c>
      <c r="K121" s="238" t="s">
        <v>30</v>
      </c>
      <c r="L121" s="43">
        <v>2</v>
      </c>
      <c r="M121" s="43">
        <v>10</v>
      </c>
      <c r="N121" s="631">
        <f>AVERAGE(24)</f>
        <v>24</v>
      </c>
      <c r="O121" s="43">
        <f>AVERAGE(145.5,141.3)</f>
        <v>143.4</v>
      </c>
      <c r="P121" s="43">
        <f>AVERAGE(147.5,142.4)</f>
        <v>144.94999999999999</v>
      </c>
      <c r="Q121" s="43">
        <f>AVERAGE(0.75,0.72)</f>
        <v>0.73499999999999999</v>
      </c>
      <c r="R121" s="43">
        <f>AVERAGE(24.6,9)</f>
        <v>16.8</v>
      </c>
      <c r="S121" s="43">
        <f>AVERAGE(24,14.5)</f>
        <v>19.25</v>
      </c>
      <c r="T121" s="34" t="s">
        <v>50</v>
      </c>
      <c r="U121" s="49" t="s">
        <v>50</v>
      </c>
      <c r="V121" s="49" t="s">
        <v>50</v>
      </c>
      <c r="W121" s="35" t="s">
        <v>6670</v>
      </c>
      <c r="X121" s="25" t="s">
        <v>6671</v>
      </c>
    </row>
    <row r="122" spans="1:24" s="149" customFormat="1" x14ac:dyDescent="0.25">
      <c r="A122" s="160">
        <v>43278</v>
      </c>
      <c r="B122" s="149" t="s">
        <v>88</v>
      </c>
      <c r="C122" s="149">
        <v>38.049309999999998</v>
      </c>
      <c r="D122" s="149">
        <v>-121.79216</v>
      </c>
      <c r="E122" s="149" t="s">
        <v>6819</v>
      </c>
      <c r="F122" s="149" t="s">
        <v>27</v>
      </c>
      <c r="G122" s="149" t="s">
        <v>25</v>
      </c>
      <c r="H122" s="165">
        <v>0.35972222222222222</v>
      </c>
      <c r="I122" s="161" t="s">
        <v>4500</v>
      </c>
      <c r="J122" s="161" t="s">
        <v>4501</v>
      </c>
      <c r="K122" s="236" t="s">
        <v>30</v>
      </c>
      <c r="L122" s="161">
        <v>0</v>
      </c>
      <c r="M122" s="161" t="s">
        <v>50</v>
      </c>
      <c r="N122" s="161" t="s">
        <v>50</v>
      </c>
      <c r="O122" s="161" t="s">
        <v>50</v>
      </c>
      <c r="P122" s="161" t="s">
        <v>50</v>
      </c>
      <c r="Q122" s="161" t="s">
        <v>50</v>
      </c>
      <c r="R122" s="161" t="s">
        <v>50</v>
      </c>
      <c r="S122" s="279" t="s">
        <v>50</v>
      </c>
      <c r="T122" s="157" t="s">
        <v>50</v>
      </c>
      <c r="U122" s="158" t="s">
        <v>50</v>
      </c>
      <c r="V122" s="158" t="s">
        <v>50</v>
      </c>
      <c r="W122" s="152" t="s">
        <v>6764</v>
      </c>
      <c r="X122" s="164" t="s">
        <v>6671</v>
      </c>
    </row>
    <row r="123" spans="1:24" x14ac:dyDescent="0.25">
      <c r="A123" s="36">
        <v>43278</v>
      </c>
      <c r="B123" s="631" t="s">
        <v>62</v>
      </c>
      <c r="C123" s="631">
        <v>38.160409999999999</v>
      </c>
      <c r="D123" s="631">
        <v>-121.92910999999999</v>
      </c>
      <c r="E123" s="631" t="s">
        <v>6820</v>
      </c>
      <c r="F123" s="631" t="s">
        <v>27</v>
      </c>
      <c r="G123" s="631" t="s">
        <v>62</v>
      </c>
      <c r="H123" s="21">
        <v>0.35416666666666669</v>
      </c>
      <c r="I123" s="631" t="s">
        <v>4500</v>
      </c>
      <c r="J123" s="631" t="s">
        <v>4501</v>
      </c>
      <c r="K123" s="241" t="s">
        <v>30</v>
      </c>
      <c r="L123" s="631">
        <v>2</v>
      </c>
      <c r="M123" s="631">
        <v>10</v>
      </c>
      <c r="N123" s="631">
        <f>AVERAGE(14.4,14.8)</f>
        <v>14.600000000000001</v>
      </c>
      <c r="O123" s="43">
        <f>AVERAGE(7386,7331)</f>
        <v>7358.5</v>
      </c>
      <c r="P123" s="43">
        <f>AVERAGE(7351,7311)</f>
        <v>7331</v>
      </c>
      <c r="Q123" s="43">
        <f>AVERAGE(0.2,0.33)</f>
        <v>0.26500000000000001</v>
      </c>
      <c r="R123" s="43">
        <f>AVERAGE(45.8,52.6)</f>
        <v>49.2</v>
      </c>
      <c r="S123" s="43">
        <f>AVERAGE(62.5,107)</f>
        <v>84.75</v>
      </c>
      <c r="T123" s="34" t="s">
        <v>50</v>
      </c>
      <c r="U123" s="49" t="s">
        <v>50</v>
      </c>
      <c r="V123" s="49" t="s">
        <v>50</v>
      </c>
      <c r="W123" s="35" t="s">
        <v>6670</v>
      </c>
      <c r="X123" s="25" t="s">
        <v>6671</v>
      </c>
    </row>
    <row r="124" spans="1:24" x14ac:dyDescent="0.25">
      <c r="A124" s="36">
        <v>43278</v>
      </c>
      <c r="B124" s="631" t="s">
        <v>62</v>
      </c>
      <c r="C124" s="631">
        <v>38.181109999999997</v>
      </c>
      <c r="D124" s="631">
        <v>-121.99625</v>
      </c>
      <c r="E124" s="631" t="s">
        <v>6821</v>
      </c>
      <c r="F124" s="631" t="s">
        <v>27</v>
      </c>
      <c r="G124" s="631" t="s">
        <v>62</v>
      </c>
      <c r="H124" s="239">
        <v>0.39583333333333331</v>
      </c>
      <c r="I124" s="43" t="s">
        <v>4500</v>
      </c>
      <c r="J124" s="43" t="s">
        <v>4501</v>
      </c>
      <c r="K124" s="238" t="s">
        <v>30</v>
      </c>
      <c r="L124" s="43">
        <v>2</v>
      </c>
      <c r="M124" s="43">
        <v>10</v>
      </c>
      <c r="N124" s="631">
        <f>AVERAGE(19.3,19.1)</f>
        <v>19.200000000000003</v>
      </c>
      <c r="O124" s="43">
        <f>AVERAGE(7554,7583)</f>
        <v>7568.5</v>
      </c>
      <c r="P124" s="43">
        <f>AVERAGE(7555,7588)</f>
        <v>7571.5</v>
      </c>
      <c r="Q124" s="43">
        <f>AVERAGE(0.34,0.27)</f>
        <v>0.30500000000000005</v>
      </c>
      <c r="R124" s="43">
        <f>AVERAGE(89.1,76.6)</f>
        <v>82.85</v>
      </c>
      <c r="S124" s="43">
        <f>AVERAGE(156,145)</f>
        <v>150.5</v>
      </c>
      <c r="T124" s="34" t="s">
        <v>50</v>
      </c>
      <c r="U124" s="49" t="s">
        <v>50</v>
      </c>
      <c r="V124" s="49" t="s">
        <v>50</v>
      </c>
      <c r="W124" s="35" t="s">
        <v>6822</v>
      </c>
      <c r="X124" s="25" t="s">
        <v>6671</v>
      </c>
    </row>
    <row r="125" spans="1:24" x14ac:dyDescent="0.25">
      <c r="A125" s="36">
        <v>43278</v>
      </c>
      <c r="B125" s="631" t="s">
        <v>62</v>
      </c>
      <c r="C125" s="631">
        <v>38.140650000000001</v>
      </c>
      <c r="D125" s="631">
        <v>-122.06102</v>
      </c>
      <c r="E125" s="631" t="s">
        <v>6823</v>
      </c>
      <c r="F125" s="631" t="s">
        <v>27</v>
      </c>
      <c r="G125" s="631" t="s">
        <v>62</v>
      </c>
      <c r="H125" s="239">
        <v>0.43958333333333338</v>
      </c>
      <c r="I125" s="43" t="s">
        <v>4500</v>
      </c>
      <c r="J125" s="43" t="s">
        <v>4501</v>
      </c>
      <c r="K125" s="238" t="s">
        <v>30</v>
      </c>
      <c r="L125" s="43">
        <v>2</v>
      </c>
      <c r="M125" s="43">
        <v>10</v>
      </c>
      <c r="N125" s="631">
        <f>AVERAGE(24,18)</f>
        <v>21</v>
      </c>
      <c r="O125" s="43">
        <f>AVERAGE(10578,10548)</f>
        <v>10563</v>
      </c>
      <c r="P125" s="43">
        <f>AVERAGE(11079,10898)</f>
        <v>10988.5</v>
      </c>
      <c r="Q125" s="43">
        <f>AVERAGE(0.42,0.42)</f>
        <v>0.42</v>
      </c>
      <c r="R125" s="43">
        <f>AVERAGE(77.3,58)</f>
        <v>67.650000000000006</v>
      </c>
      <c r="S125" s="43">
        <f>AVERAGE(94.6,58.7)</f>
        <v>76.650000000000006</v>
      </c>
      <c r="T125" s="34" t="s">
        <v>50</v>
      </c>
      <c r="U125" s="49" t="s">
        <v>50</v>
      </c>
      <c r="V125" s="49" t="s">
        <v>50</v>
      </c>
      <c r="W125" s="35" t="s">
        <v>6670</v>
      </c>
      <c r="X125" s="25" t="s">
        <v>6671</v>
      </c>
    </row>
    <row r="126" spans="1:24" s="149" customFormat="1" x14ac:dyDescent="0.25">
      <c r="A126" s="160">
        <v>43278</v>
      </c>
      <c r="B126" s="149" t="s">
        <v>62</v>
      </c>
      <c r="C126" s="149">
        <v>38.128</v>
      </c>
      <c r="D126" s="149">
        <v>-122.03117</v>
      </c>
      <c r="E126" s="149" t="s">
        <v>6824</v>
      </c>
      <c r="F126" s="149" t="s">
        <v>27</v>
      </c>
      <c r="G126" s="149" t="s">
        <v>62</v>
      </c>
      <c r="H126" s="165">
        <v>0.46875</v>
      </c>
      <c r="I126" s="161" t="s">
        <v>4500</v>
      </c>
      <c r="J126" s="161" t="s">
        <v>4501</v>
      </c>
      <c r="K126" s="236" t="s">
        <v>30</v>
      </c>
      <c r="L126" s="161">
        <v>0</v>
      </c>
      <c r="M126" s="161" t="s">
        <v>50</v>
      </c>
      <c r="N126" s="161" t="s">
        <v>50</v>
      </c>
      <c r="O126" s="161" t="s">
        <v>50</v>
      </c>
      <c r="P126" s="161" t="s">
        <v>50</v>
      </c>
      <c r="Q126" s="161" t="s">
        <v>50</v>
      </c>
      <c r="R126" s="161" t="s">
        <v>50</v>
      </c>
      <c r="S126" s="279" t="s">
        <v>50</v>
      </c>
      <c r="T126" s="157" t="s">
        <v>50</v>
      </c>
      <c r="U126" s="158" t="s">
        <v>50</v>
      </c>
      <c r="V126" s="158" t="s">
        <v>50</v>
      </c>
      <c r="W126" s="152" t="s">
        <v>6764</v>
      </c>
      <c r="X126" s="164" t="s">
        <v>6671</v>
      </c>
    </row>
    <row r="127" spans="1:24" s="149" customFormat="1" x14ac:dyDescent="0.25">
      <c r="A127" s="160">
        <v>43278</v>
      </c>
      <c r="B127" s="149" t="s">
        <v>62</v>
      </c>
      <c r="C127" s="149">
        <v>38.134659999999997</v>
      </c>
      <c r="D127" s="149">
        <v>-122.03809</v>
      </c>
      <c r="E127" s="149" t="s">
        <v>6825</v>
      </c>
      <c r="F127" s="149" t="s">
        <v>27</v>
      </c>
      <c r="G127" s="149" t="s">
        <v>62</v>
      </c>
      <c r="H127" s="165">
        <v>0.47083333333333338</v>
      </c>
      <c r="I127" s="161" t="s">
        <v>4500</v>
      </c>
      <c r="J127" s="161" t="s">
        <v>4501</v>
      </c>
      <c r="K127" s="236" t="s">
        <v>30</v>
      </c>
      <c r="L127" s="161">
        <v>0</v>
      </c>
      <c r="M127" s="161" t="s">
        <v>50</v>
      </c>
      <c r="N127" s="161" t="s">
        <v>50</v>
      </c>
      <c r="O127" s="161" t="s">
        <v>50</v>
      </c>
      <c r="P127" s="161" t="s">
        <v>50</v>
      </c>
      <c r="Q127" s="161" t="s">
        <v>50</v>
      </c>
      <c r="R127" s="161" t="s">
        <v>50</v>
      </c>
      <c r="S127" s="279" t="s">
        <v>50</v>
      </c>
      <c r="T127" s="157" t="s">
        <v>50</v>
      </c>
      <c r="U127" s="158" t="s">
        <v>50</v>
      </c>
      <c r="V127" s="158" t="s">
        <v>50</v>
      </c>
      <c r="W127" s="152" t="s">
        <v>6764</v>
      </c>
      <c r="X127" s="164" t="s">
        <v>6671</v>
      </c>
    </row>
    <row r="128" spans="1:24" x14ac:dyDescent="0.25">
      <c r="A128" s="160">
        <v>43278</v>
      </c>
      <c r="B128" s="149" t="s">
        <v>62</v>
      </c>
      <c r="C128" s="149">
        <v>38.108629999999998</v>
      </c>
      <c r="D128" s="149">
        <v>-122.01107</v>
      </c>
      <c r="E128" s="149" t="s">
        <v>6826</v>
      </c>
      <c r="F128" s="149" t="s">
        <v>27</v>
      </c>
      <c r="G128" s="149" t="s">
        <v>62</v>
      </c>
      <c r="H128" s="165">
        <v>0.47222222222222227</v>
      </c>
      <c r="I128" s="161" t="s">
        <v>4500</v>
      </c>
      <c r="J128" s="161" t="s">
        <v>4501</v>
      </c>
      <c r="K128" s="236" t="s">
        <v>30</v>
      </c>
      <c r="L128" s="161">
        <v>0</v>
      </c>
      <c r="M128" s="161" t="s">
        <v>50</v>
      </c>
      <c r="N128" s="161" t="s">
        <v>50</v>
      </c>
      <c r="O128" s="161" t="s">
        <v>50</v>
      </c>
      <c r="P128" s="161" t="s">
        <v>50</v>
      </c>
      <c r="Q128" s="161" t="s">
        <v>50</v>
      </c>
      <c r="R128" s="161" t="s">
        <v>50</v>
      </c>
      <c r="S128" s="279" t="s">
        <v>50</v>
      </c>
      <c r="T128" s="157" t="s">
        <v>50</v>
      </c>
      <c r="U128" s="158" t="s">
        <v>50</v>
      </c>
      <c r="V128" s="158" t="s">
        <v>50</v>
      </c>
      <c r="W128" s="152" t="s">
        <v>6764</v>
      </c>
      <c r="X128" s="164" t="s">
        <v>6671</v>
      </c>
    </row>
    <row r="129" spans="1:24" x14ac:dyDescent="0.25">
      <c r="A129" s="160">
        <v>43278</v>
      </c>
      <c r="B129" s="149" t="s">
        <v>62</v>
      </c>
      <c r="C129" s="149">
        <v>38.118749999999999</v>
      </c>
      <c r="D129" s="149">
        <v>-122.01294</v>
      </c>
      <c r="E129" s="149" t="s">
        <v>6827</v>
      </c>
      <c r="F129" s="149" t="s">
        <v>27</v>
      </c>
      <c r="G129" s="149" t="s">
        <v>62</v>
      </c>
      <c r="H129" s="165">
        <v>0.47430555555555554</v>
      </c>
      <c r="I129" s="161" t="s">
        <v>4500</v>
      </c>
      <c r="J129" s="161" t="s">
        <v>4501</v>
      </c>
      <c r="K129" s="236" t="s">
        <v>30</v>
      </c>
      <c r="L129" s="161">
        <v>0</v>
      </c>
      <c r="M129" s="161" t="s">
        <v>50</v>
      </c>
      <c r="N129" s="161" t="s">
        <v>50</v>
      </c>
      <c r="O129" s="161" t="s">
        <v>50</v>
      </c>
      <c r="P129" s="161" t="s">
        <v>50</v>
      </c>
      <c r="Q129" s="161" t="s">
        <v>50</v>
      </c>
      <c r="R129" s="161" t="s">
        <v>50</v>
      </c>
      <c r="S129" s="279" t="s">
        <v>50</v>
      </c>
      <c r="T129" s="157" t="s">
        <v>50</v>
      </c>
      <c r="U129" s="158" t="s">
        <v>50</v>
      </c>
      <c r="V129" s="158" t="s">
        <v>50</v>
      </c>
      <c r="W129" s="152" t="s">
        <v>6764</v>
      </c>
      <c r="X129" s="164" t="s">
        <v>6671</v>
      </c>
    </row>
    <row r="130" spans="1:24" s="149" customFormat="1" x14ac:dyDescent="0.25">
      <c r="A130" s="160">
        <v>43279</v>
      </c>
      <c r="B130" s="149" t="s">
        <v>95</v>
      </c>
      <c r="C130" s="149">
        <v>38.04804</v>
      </c>
      <c r="D130" s="149">
        <v>-121.52679000000001</v>
      </c>
      <c r="E130" s="149" t="s">
        <v>6828</v>
      </c>
      <c r="F130" s="149" t="s">
        <v>46</v>
      </c>
      <c r="G130" s="149" t="s">
        <v>115</v>
      </c>
      <c r="H130" s="165">
        <v>0.38194444444444442</v>
      </c>
      <c r="I130" s="161" t="s">
        <v>4500</v>
      </c>
      <c r="J130" s="161" t="s">
        <v>4501</v>
      </c>
      <c r="K130" s="236" t="s">
        <v>30</v>
      </c>
      <c r="L130" s="161">
        <v>1</v>
      </c>
      <c r="M130" s="161">
        <v>2.5</v>
      </c>
      <c r="N130" s="161">
        <v>7.4</v>
      </c>
      <c r="O130" s="161">
        <v>159.1</v>
      </c>
      <c r="P130" s="161">
        <v>161</v>
      </c>
      <c r="Q130" s="161">
        <v>1.2</v>
      </c>
      <c r="R130" s="161">
        <v>4.72</v>
      </c>
      <c r="S130" s="161">
        <v>87.5</v>
      </c>
      <c r="T130" s="157" t="s">
        <v>50</v>
      </c>
      <c r="U130" s="158" t="s">
        <v>50</v>
      </c>
      <c r="V130" s="158" t="s">
        <v>50</v>
      </c>
      <c r="W130" s="152" t="s">
        <v>6829</v>
      </c>
      <c r="X130" s="25" t="s">
        <v>6671</v>
      </c>
    </row>
    <row r="131" spans="1:24" x14ac:dyDescent="0.25">
      <c r="A131" s="36">
        <v>43279</v>
      </c>
      <c r="B131" s="631" t="s">
        <v>95</v>
      </c>
      <c r="C131" s="631">
        <v>38.091679999999997</v>
      </c>
      <c r="D131" s="631">
        <v>-121.57517</v>
      </c>
      <c r="E131" s="631" t="s">
        <v>6830</v>
      </c>
      <c r="F131" s="631" t="s">
        <v>46</v>
      </c>
      <c r="G131" s="631" t="s">
        <v>115</v>
      </c>
      <c r="H131" s="239">
        <v>0.40833333333333338</v>
      </c>
      <c r="I131" s="43" t="s">
        <v>4500</v>
      </c>
      <c r="J131" s="43" t="s">
        <v>4501</v>
      </c>
      <c r="K131" s="238" t="s">
        <v>30</v>
      </c>
      <c r="L131" s="43">
        <v>2</v>
      </c>
      <c r="M131" s="43">
        <v>10</v>
      </c>
      <c r="N131" s="631">
        <f>AVERAGE(53.2,50.4)</f>
        <v>51.8</v>
      </c>
      <c r="O131" s="43">
        <f>AVERAGE(145.2,145.9)</f>
        <v>145.55000000000001</v>
      </c>
      <c r="P131" s="43">
        <f>AVERAGE(146.3,145.9)</f>
        <v>146.10000000000002</v>
      </c>
      <c r="Q131" s="43">
        <f>AVERAGE(1.33,1.11)</f>
        <v>1.2200000000000002</v>
      </c>
      <c r="R131" s="43">
        <f>AVERAGE(8.78,7.7)</f>
        <v>8.24</v>
      </c>
      <c r="S131" s="43">
        <f>AVERAGE(10.5,8.49)</f>
        <v>9.495000000000001</v>
      </c>
      <c r="T131" s="34" t="s">
        <v>50</v>
      </c>
      <c r="U131" s="49" t="s">
        <v>50</v>
      </c>
      <c r="V131" s="49" t="s">
        <v>50</v>
      </c>
      <c r="X131" s="25" t="s">
        <v>6671</v>
      </c>
    </row>
    <row r="132" spans="1:24" x14ac:dyDescent="0.25">
      <c r="A132" s="36">
        <v>43279</v>
      </c>
      <c r="B132" s="631" t="s">
        <v>95</v>
      </c>
      <c r="C132" s="631">
        <v>38.067819999999998</v>
      </c>
      <c r="D132" s="631">
        <v>-121.67762</v>
      </c>
      <c r="E132" s="631" t="s">
        <v>6831</v>
      </c>
      <c r="F132" s="631" t="s">
        <v>46</v>
      </c>
      <c r="G132" s="631" t="s">
        <v>908</v>
      </c>
      <c r="H132" s="239">
        <v>0.4604166666666667</v>
      </c>
      <c r="I132" s="43" t="s">
        <v>4500</v>
      </c>
      <c r="J132" s="43" t="s">
        <v>4501</v>
      </c>
      <c r="K132" s="238" t="s">
        <v>30</v>
      </c>
      <c r="L132" s="43">
        <v>2</v>
      </c>
      <c r="M132" s="43">
        <v>10</v>
      </c>
      <c r="N132" s="631">
        <f>AVERAGE(37.6,42.6)</f>
        <v>40.1</v>
      </c>
      <c r="O132" s="43">
        <f>AVERAGE(229.9,222.5)</f>
        <v>226.2</v>
      </c>
      <c r="P132" s="43">
        <f>AVERAGE(236.4,220.9)</f>
        <v>228.65</v>
      </c>
      <c r="Q132" s="43">
        <f>AVERAGE(1.01,1.06)</f>
        <v>1.0350000000000001</v>
      </c>
      <c r="R132" s="43">
        <f>AVERAGE(11.6,10.5)</f>
        <v>11.05</v>
      </c>
      <c r="S132" s="43">
        <f>AVERAGE(12.4,14.4)</f>
        <v>13.4</v>
      </c>
      <c r="T132" s="34" t="s">
        <v>50</v>
      </c>
      <c r="U132" s="49" t="s">
        <v>50</v>
      </c>
      <c r="V132" s="49" t="s">
        <v>50</v>
      </c>
      <c r="X132" s="25" t="s">
        <v>6671</v>
      </c>
    </row>
    <row r="133" spans="1:24" x14ac:dyDescent="0.25">
      <c r="A133" s="36">
        <v>43279</v>
      </c>
      <c r="B133" s="631" t="s">
        <v>88</v>
      </c>
      <c r="C133" s="631">
        <v>38.083460000000002</v>
      </c>
      <c r="D133" s="631">
        <v>-121.74473</v>
      </c>
      <c r="E133" s="631" t="s">
        <v>6832</v>
      </c>
      <c r="F133" s="631" t="s">
        <v>27</v>
      </c>
      <c r="G133" s="631" t="s">
        <v>25</v>
      </c>
      <c r="H133" s="239">
        <v>0.32430555555555557</v>
      </c>
      <c r="I133" s="43" t="s">
        <v>4500</v>
      </c>
      <c r="J133" s="43" t="s">
        <v>4501</v>
      </c>
      <c r="K133" s="238" t="s">
        <v>30</v>
      </c>
      <c r="L133" s="43">
        <v>2</v>
      </c>
      <c r="M133" s="43">
        <v>10</v>
      </c>
      <c r="N133" s="631">
        <f>AVERAGE(35,34.3)</f>
        <v>34.65</v>
      </c>
      <c r="O133" s="43">
        <f>AVERAGE(1024,838)</f>
        <v>931</v>
      </c>
      <c r="P133" s="43">
        <f>AVERAGE(864,1036)</f>
        <v>950</v>
      </c>
      <c r="Q133" s="43">
        <f>AVERAGE(0.61,0.64)</f>
        <v>0.625</v>
      </c>
      <c r="R133" s="43">
        <f>AVERAGE(24.2,24.3)</f>
        <v>24.25</v>
      </c>
      <c r="S133" s="43">
        <f>AVERAGE(28.7,24.9)</f>
        <v>26.799999999999997</v>
      </c>
      <c r="T133" s="34" t="s">
        <v>50</v>
      </c>
      <c r="U133" s="49" t="s">
        <v>50</v>
      </c>
      <c r="V133" s="49" t="s">
        <v>50</v>
      </c>
      <c r="X133" s="25" t="s">
        <v>6671</v>
      </c>
    </row>
    <row r="134" spans="1:24" x14ac:dyDescent="0.25">
      <c r="A134" s="36">
        <v>43279</v>
      </c>
      <c r="B134" s="631" t="s">
        <v>88</v>
      </c>
      <c r="C134" s="631">
        <v>38.09939</v>
      </c>
      <c r="D134" s="631">
        <v>-121.7289</v>
      </c>
      <c r="E134" s="631" t="s">
        <v>6833</v>
      </c>
      <c r="F134" s="631" t="s">
        <v>27</v>
      </c>
      <c r="G134" s="631" t="s">
        <v>25</v>
      </c>
      <c r="H134" s="239">
        <v>0.35555555555555557</v>
      </c>
      <c r="I134" s="43" t="s">
        <v>4500</v>
      </c>
      <c r="J134" s="43" t="s">
        <v>4501</v>
      </c>
      <c r="K134" s="238" t="s">
        <v>30</v>
      </c>
      <c r="L134" s="43">
        <v>2</v>
      </c>
      <c r="M134" s="43">
        <v>10</v>
      </c>
      <c r="N134" s="631">
        <f>AVERAGE(30.9,32.4)</f>
        <v>31.65</v>
      </c>
      <c r="O134" s="43">
        <f>AVERAGE(254.1,213.8)</f>
        <v>233.95</v>
      </c>
      <c r="P134" s="43">
        <f>AVERAGE(254.6,216.4)</f>
        <v>235.5</v>
      </c>
      <c r="Q134" s="43">
        <f>AVERAGE(0.64,0.7)</f>
        <v>0.66999999999999993</v>
      </c>
      <c r="R134" s="43">
        <f>AVERAGE(25.8,25.6)</f>
        <v>25.700000000000003</v>
      </c>
      <c r="S134" s="43">
        <f>AVERAGE(20.7,25)</f>
        <v>22.85</v>
      </c>
      <c r="T134" s="34" t="s">
        <v>50</v>
      </c>
      <c r="U134" s="49" t="s">
        <v>50</v>
      </c>
      <c r="V134" s="49" t="s">
        <v>50</v>
      </c>
      <c r="X134" s="25" t="s">
        <v>6671</v>
      </c>
    </row>
    <row r="135" spans="1:24" x14ac:dyDescent="0.25">
      <c r="A135" s="36">
        <v>43279</v>
      </c>
      <c r="B135" s="631" t="s">
        <v>88</v>
      </c>
      <c r="C135" s="631">
        <v>38.085009999999997</v>
      </c>
      <c r="D135" s="631">
        <v>-121.71051</v>
      </c>
      <c r="E135" s="631" t="s">
        <v>6834</v>
      </c>
      <c r="F135" s="631" t="s">
        <v>27</v>
      </c>
      <c r="G135" s="631" t="s">
        <v>25</v>
      </c>
      <c r="H135" s="239">
        <v>0.38819444444444445</v>
      </c>
      <c r="I135" s="43" t="s">
        <v>4500</v>
      </c>
      <c r="J135" s="43" t="s">
        <v>4501</v>
      </c>
      <c r="K135" s="238" t="s">
        <v>30</v>
      </c>
      <c r="L135" s="43">
        <v>2</v>
      </c>
      <c r="M135" s="43">
        <v>10</v>
      </c>
      <c r="N135" s="631">
        <f>AVERAGE(16,15.5)</f>
        <v>15.75</v>
      </c>
      <c r="O135" s="43">
        <f>AVERAGE(271.8,246.9)</f>
        <v>259.35000000000002</v>
      </c>
      <c r="P135" s="43">
        <f>AVERAGE(301.6,265.1)</f>
        <v>283.35000000000002</v>
      </c>
      <c r="Q135" s="43">
        <f>AVERAGE(0.88,0.86)</f>
        <v>0.87</v>
      </c>
      <c r="R135" s="43">
        <f>AVERAGE(15.3,21)</f>
        <v>18.149999999999999</v>
      </c>
      <c r="S135" s="43">
        <f>AVERAGE(28.5,15.9)</f>
        <v>22.2</v>
      </c>
      <c r="T135" s="34" t="s">
        <v>50</v>
      </c>
      <c r="U135" s="49" t="s">
        <v>50</v>
      </c>
      <c r="V135" s="49" t="s">
        <v>50</v>
      </c>
      <c r="X135" s="25" t="s">
        <v>6671</v>
      </c>
    </row>
    <row r="136" spans="1:24" x14ac:dyDescent="0.25">
      <c r="A136" s="44"/>
      <c r="B136" s="631"/>
      <c r="C136" s="631"/>
      <c r="D136" s="631"/>
      <c r="E136" s="631"/>
      <c r="F136" s="631"/>
      <c r="G136" s="631"/>
      <c r="H136" s="239"/>
      <c r="I136" s="43"/>
      <c r="J136" s="43"/>
      <c r="K136" s="238"/>
      <c r="L136" s="43"/>
      <c r="M136" s="43"/>
      <c r="N136" s="43"/>
      <c r="O136" s="43"/>
      <c r="P136" s="43"/>
      <c r="Q136" s="43"/>
      <c r="R136" s="43"/>
      <c r="S136" s="43"/>
      <c r="T136" s="43"/>
      <c r="U136" s="235"/>
      <c r="V136" s="235"/>
      <c r="X136" s="235"/>
    </row>
    <row r="137" spans="1:24" x14ac:dyDescent="0.25">
      <c r="A137" s="44"/>
      <c r="B137" s="631"/>
      <c r="C137" s="631"/>
      <c r="D137" s="631"/>
      <c r="E137" s="631"/>
      <c r="F137" s="631"/>
      <c r="G137" s="631"/>
      <c r="H137" s="239"/>
      <c r="I137" s="43"/>
      <c r="J137" s="43"/>
      <c r="K137" s="238"/>
      <c r="L137" s="43"/>
      <c r="M137" s="43"/>
      <c r="N137" s="43"/>
      <c r="O137" s="43"/>
      <c r="P137" s="43"/>
      <c r="Q137" s="43"/>
      <c r="R137" s="43"/>
      <c r="S137" s="43"/>
      <c r="T137" s="43"/>
      <c r="U137" s="240"/>
      <c r="V137" s="240"/>
      <c r="X137" s="240"/>
    </row>
    <row r="138" spans="1:24" x14ac:dyDescent="0.25">
      <c r="A138" s="44"/>
      <c r="B138" s="631"/>
      <c r="C138" s="631"/>
      <c r="D138" s="631"/>
      <c r="E138" s="631"/>
      <c r="F138" s="631"/>
      <c r="G138" s="631"/>
      <c r="H138" s="239"/>
      <c r="I138" s="43"/>
      <c r="J138" s="43"/>
      <c r="K138" s="238"/>
      <c r="L138" s="43"/>
      <c r="M138" s="43"/>
      <c r="N138" s="43"/>
      <c r="O138" s="43"/>
      <c r="P138" s="43"/>
      <c r="Q138" s="43"/>
      <c r="R138" s="43"/>
      <c r="S138" s="43"/>
      <c r="T138" s="43"/>
      <c r="U138" s="240"/>
      <c r="V138" s="240"/>
      <c r="X138" s="240"/>
    </row>
    <row r="139" spans="1:24" x14ac:dyDescent="0.25">
      <c r="A139" s="44"/>
      <c r="B139" s="631"/>
      <c r="C139" s="631"/>
      <c r="D139" s="631"/>
      <c r="E139" s="631"/>
      <c r="F139" s="631"/>
      <c r="G139" s="631"/>
      <c r="H139" s="239"/>
      <c r="I139" s="43"/>
      <c r="J139" s="43"/>
      <c r="K139" s="238"/>
      <c r="L139" s="43"/>
      <c r="M139" s="43"/>
      <c r="N139" s="43"/>
      <c r="O139" s="43"/>
      <c r="P139" s="43"/>
      <c r="Q139" s="43"/>
      <c r="R139" s="43"/>
      <c r="S139" s="43"/>
      <c r="T139" s="43"/>
      <c r="U139" s="240"/>
      <c r="V139" s="240"/>
      <c r="X139" s="240"/>
    </row>
    <row r="140" spans="1:24" x14ac:dyDescent="0.25">
      <c r="A140" s="44"/>
      <c r="B140" s="631"/>
      <c r="C140" s="631"/>
      <c r="D140" s="631"/>
      <c r="E140" s="631"/>
      <c r="F140" s="631"/>
      <c r="G140" s="631"/>
      <c r="H140" s="239"/>
      <c r="I140" s="43"/>
      <c r="J140" s="43"/>
      <c r="K140" s="238"/>
      <c r="L140" s="43"/>
      <c r="M140" s="43"/>
      <c r="N140" s="43"/>
      <c r="O140" s="43"/>
      <c r="P140" s="43"/>
      <c r="Q140" s="43"/>
      <c r="R140" s="43"/>
      <c r="S140" s="43"/>
      <c r="T140" s="43"/>
      <c r="U140" s="240"/>
      <c r="V140" s="240"/>
      <c r="X140" s="240"/>
    </row>
    <row r="141" spans="1:24" x14ac:dyDescent="0.25">
      <c r="A141" s="44"/>
      <c r="B141" s="631"/>
      <c r="C141" s="631"/>
      <c r="D141" s="631"/>
      <c r="E141" s="631"/>
      <c r="F141" s="631"/>
      <c r="G141" s="631"/>
      <c r="H141" s="239"/>
      <c r="I141" s="43"/>
      <c r="J141" s="43"/>
      <c r="K141" s="238"/>
      <c r="L141" s="43"/>
      <c r="M141" s="43"/>
      <c r="N141" s="43"/>
      <c r="O141" s="43"/>
      <c r="P141" s="43"/>
      <c r="Q141" s="43"/>
      <c r="R141" s="43"/>
      <c r="S141" s="43"/>
      <c r="T141" s="43"/>
      <c r="U141" s="240"/>
      <c r="V141" s="240"/>
      <c r="X141" s="240"/>
    </row>
    <row r="142" spans="1:24" x14ac:dyDescent="0.25">
      <c r="A142" s="44"/>
      <c r="B142" s="631"/>
      <c r="C142" s="631"/>
      <c r="D142" s="631"/>
      <c r="E142" s="631"/>
      <c r="F142" s="631"/>
      <c r="G142" s="631"/>
      <c r="H142" s="239"/>
      <c r="I142" s="43"/>
      <c r="J142" s="43"/>
      <c r="K142" s="238"/>
      <c r="L142" s="43"/>
      <c r="M142" s="43"/>
      <c r="N142" s="43"/>
      <c r="O142" s="43"/>
      <c r="P142" s="43"/>
      <c r="Q142" s="43"/>
      <c r="R142" s="43"/>
      <c r="S142" s="43"/>
      <c r="T142" s="43"/>
      <c r="U142" s="240"/>
      <c r="V142" s="240"/>
      <c r="X142" s="240"/>
    </row>
    <row r="143" spans="1:24" x14ac:dyDescent="0.25">
      <c r="A143" s="44"/>
      <c r="B143" s="631"/>
      <c r="C143" s="631"/>
      <c r="D143" s="631"/>
      <c r="E143" s="631"/>
      <c r="F143" s="631"/>
      <c r="G143" s="631"/>
      <c r="H143" s="239"/>
      <c r="I143" s="43"/>
      <c r="J143" s="43"/>
      <c r="K143" s="238"/>
      <c r="L143" s="43"/>
      <c r="M143" s="43"/>
      <c r="N143" s="43"/>
      <c r="O143" s="43"/>
      <c r="P143" s="43"/>
      <c r="Q143" s="43"/>
      <c r="R143" s="43"/>
      <c r="S143" s="43"/>
      <c r="T143" s="43"/>
      <c r="U143" s="240"/>
      <c r="V143" s="240"/>
      <c r="X143" s="240"/>
    </row>
    <row r="144" spans="1:24" x14ac:dyDescent="0.25">
      <c r="A144" s="44"/>
      <c r="B144" s="631"/>
      <c r="C144" s="631"/>
      <c r="D144" s="631"/>
      <c r="E144" s="631"/>
      <c r="F144" s="631"/>
      <c r="G144" s="631"/>
      <c r="H144" s="239"/>
      <c r="I144" s="43"/>
      <c r="J144" s="43"/>
      <c r="K144" s="238"/>
      <c r="L144" s="43"/>
      <c r="M144" s="43"/>
      <c r="N144" s="43"/>
      <c r="O144" s="43"/>
      <c r="P144" s="43"/>
      <c r="Q144" s="43"/>
      <c r="R144" s="43"/>
      <c r="S144" s="43"/>
      <c r="T144" s="43"/>
      <c r="U144" s="240"/>
      <c r="V144" s="240"/>
      <c r="X144" s="240"/>
    </row>
    <row r="145" spans="1:24" x14ac:dyDescent="0.25">
      <c r="A145" s="44"/>
      <c r="B145" s="631"/>
      <c r="C145" s="631"/>
      <c r="D145" s="631"/>
      <c r="E145" s="631"/>
      <c r="F145" s="631"/>
      <c r="G145" s="631"/>
      <c r="H145" s="239"/>
      <c r="I145" s="43"/>
      <c r="J145" s="43"/>
      <c r="K145" s="238"/>
      <c r="L145" s="43"/>
      <c r="M145" s="43"/>
      <c r="N145" s="43"/>
      <c r="O145" s="43"/>
      <c r="P145" s="43"/>
      <c r="Q145" s="43"/>
      <c r="R145" s="43"/>
      <c r="S145" s="43"/>
      <c r="T145" s="43"/>
      <c r="U145" s="240"/>
      <c r="V145" s="240"/>
      <c r="X145" s="240"/>
    </row>
    <row r="146" spans="1:24" x14ac:dyDescent="0.25">
      <c r="A146" s="44"/>
      <c r="B146" s="631"/>
      <c r="C146" s="631"/>
      <c r="D146" s="631"/>
      <c r="E146" s="631"/>
      <c r="F146" s="631"/>
      <c r="G146" s="631"/>
      <c r="H146" s="239"/>
      <c r="I146" s="43"/>
      <c r="J146" s="43"/>
      <c r="K146" s="238"/>
      <c r="L146" s="43"/>
      <c r="M146" s="43"/>
      <c r="N146" s="43"/>
      <c r="O146" s="43"/>
      <c r="P146" s="43"/>
      <c r="Q146" s="43"/>
      <c r="R146" s="43"/>
      <c r="S146" s="43"/>
      <c r="T146" s="43"/>
      <c r="U146" s="240"/>
      <c r="V146" s="240"/>
      <c r="X146" s="240"/>
    </row>
    <row r="147" spans="1:24" x14ac:dyDescent="0.25">
      <c r="A147" s="44"/>
      <c r="B147" s="631"/>
      <c r="C147" s="631"/>
      <c r="D147" s="631"/>
      <c r="E147" s="631"/>
      <c r="F147" s="631"/>
      <c r="G147" s="631"/>
      <c r="H147" s="239"/>
      <c r="I147" s="43"/>
      <c r="J147" s="43"/>
      <c r="K147" s="238"/>
      <c r="L147" s="43"/>
      <c r="M147" s="43"/>
      <c r="N147" s="43"/>
      <c r="O147" s="43"/>
      <c r="P147" s="43"/>
      <c r="Q147" s="43"/>
      <c r="R147" s="43"/>
      <c r="S147" s="43"/>
      <c r="T147" s="43"/>
      <c r="U147" s="240"/>
      <c r="V147" s="240"/>
      <c r="X147" s="240"/>
    </row>
    <row r="148" spans="1:24" x14ac:dyDescent="0.25">
      <c r="A148" s="44"/>
      <c r="B148" s="631"/>
      <c r="C148" s="631"/>
      <c r="D148" s="631"/>
      <c r="E148" s="631"/>
      <c r="F148" s="631"/>
      <c r="G148" s="631"/>
      <c r="H148" s="239"/>
      <c r="I148" s="43"/>
      <c r="J148" s="43"/>
      <c r="K148" s="238"/>
      <c r="L148" s="43"/>
      <c r="M148" s="43"/>
      <c r="N148" s="43"/>
      <c r="O148" s="43"/>
      <c r="P148" s="43"/>
      <c r="Q148" s="43"/>
      <c r="R148" s="43"/>
      <c r="S148" s="43"/>
      <c r="T148" s="43"/>
      <c r="U148" s="240"/>
      <c r="V148" s="240"/>
      <c r="X148" s="240"/>
    </row>
    <row r="149" spans="1:24" x14ac:dyDescent="0.25">
      <c r="A149" s="44"/>
      <c r="B149" s="631"/>
      <c r="C149" s="631"/>
      <c r="D149" s="631"/>
      <c r="E149" s="631"/>
      <c r="F149" s="631"/>
      <c r="G149" s="631"/>
      <c r="H149" s="239"/>
      <c r="I149" s="43"/>
      <c r="J149" s="43"/>
      <c r="K149" s="238"/>
      <c r="L149" s="43"/>
      <c r="M149" s="43"/>
      <c r="N149" s="43"/>
      <c r="O149" s="43"/>
      <c r="P149" s="43"/>
      <c r="Q149" s="43"/>
      <c r="R149" s="43"/>
      <c r="S149" s="43"/>
      <c r="T149" s="43"/>
      <c r="U149" s="240"/>
      <c r="V149" s="240"/>
      <c r="X149" s="240"/>
    </row>
    <row r="150" spans="1:24" x14ac:dyDescent="0.25">
      <c r="A150" s="44"/>
      <c r="B150" s="631"/>
      <c r="C150" s="631"/>
      <c r="D150" s="631"/>
      <c r="E150" s="631"/>
      <c r="F150" s="631"/>
      <c r="G150" s="631"/>
      <c r="H150" s="239"/>
      <c r="I150" s="43"/>
      <c r="J150" s="43"/>
      <c r="K150" s="238"/>
      <c r="L150" s="43"/>
      <c r="M150" s="43"/>
      <c r="N150" s="43"/>
      <c r="O150" s="43"/>
      <c r="P150" s="43"/>
      <c r="Q150" s="43"/>
      <c r="R150" s="43"/>
      <c r="S150" s="43"/>
      <c r="T150" s="43"/>
      <c r="U150" s="240"/>
      <c r="V150" s="240"/>
      <c r="X150" s="240"/>
    </row>
    <row r="151" spans="1:24" x14ac:dyDescent="0.25">
      <c r="A151" s="44"/>
      <c r="B151" s="631"/>
      <c r="C151" s="631"/>
      <c r="D151" s="631"/>
      <c r="E151" s="631"/>
      <c r="F151" s="631"/>
      <c r="G151" s="631"/>
      <c r="H151" s="239"/>
      <c r="I151" s="43"/>
      <c r="J151" s="43"/>
      <c r="K151" s="238"/>
      <c r="L151" s="43"/>
      <c r="M151" s="43"/>
      <c r="N151" s="43"/>
      <c r="O151" s="43"/>
      <c r="P151" s="43"/>
      <c r="Q151" s="43"/>
      <c r="R151" s="43"/>
      <c r="S151" s="43"/>
      <c r="T151" s="43"/>
      <c r="U151" s="45"/>
      <c r="V151" s="45"/>
      <c r="X151" s="40"/>
    </row>
    <row r="152" spans="1:24" x14ac:dyDescent="0.25">
      <c r="A152" s="44"/>
      <c r="B152" s="631"/>
      <c r="C152" s="631"/>
      <c r="D152" s="631"/>
      <c r="E152" s="631"/>
      <c r="F152" s="631"/>
      <c r="G152" s="631"/>
      <c r="H152" s="239"/>
      <c r="I152" s="43"/>
      <c r="J152" s="43"/>
      <c r="K152" s="238"/>
      <c r="L152" s="43"/>
      <c r="M152" s="43"/>
      <c r="N152" s="43"/>
      <c r="O152" s="43"/>
      <c r="P152" s="43"/>
      <c r="Q152" s="43"/>
      <c r="R152" s="43"/>
      <c r="S152" s="43"/>
      <c r="T152" s="43"/>
      <c r="U152" s="45"/>
      <c r="V152" s="45"/>
      <c r="X152" s="40"/>
    </row>
    <row r="153" spans="1:24" x14ac:dyDescent="0.25">
      <c r="A153" s="44"/>
      <c r="B153" s="631"/>
      <c r="C153" s="631"/>
      <c r="D153" s="631"/>
      <c r="E153" s="631"/>
      <c r="F153" s="631"/>
      <c r="G153" s="631"/>
      <c r="H153" s="239"/>
      <c r="I153" s="43"/>
      <c r="J153" s="43"/>
      <c r="K153" s="238"/>
      <c r="L153" s="43"/>
      <c r="M153" s="43"/>
      <c r="N153" s="43"/>
      <c r="O153" s="43"/>
      <c r="P153" s="43"/>
      <c r="Q153" s="43"/>
      <c r="R153" s="43"/>
      <c r="S153" s="43"/>
      <c r="T153" s="43"/>
      <c r="U153" s="40"/>
      <c r="V153" s="40"/>
      <c r="X153" s="40"/>
    </row>
    <row r="154" spans="1:24" x14ac:dyDescent="0.25">
      <c r="A154" s="44"/>
      <c r="B154" s="631"/>
      <c r="C154" s="631"/>
      <c r="D154" s="631"/>
      <c r="E154" s="631"/>
      <c r="F154" s="631"/>
      <c r="G154" s="631"/>
      <c r="H154" s="239"/>
      <c r="I154" s="43"/>
      <c r="J154" s="43"/>
      <c r="K154" s="238"/>
      <c r="L154" s="43"/>
      <c r="M154" s="43"/>
      <c r="N154" s="43"/>
      <c r="O154" s="43"/>
      <c r="P154" s="43"/>
      <c r="Q154" s="43"/>
      <c r="R154" s="43"/>
      <c r="S154" s="43"/>
      <c r="T154" s="43"/>
      <c r="U154" s="40"/>
      <c r="V154" s="40"/>
      <c r="X154" s="40"/>
    </row>
    <row r="155" spans="1:24" x14ac:dyDescent="0.25">
      <c r="A155" s="44"/>
      <c r="B155" s="631"/>
      <c r="C155" s="631"/>
      <c r="D155" s="631"/>
      <c r="E155" s="631"/>
      <c r="F155" s="631"/>
      <c r="G155" s="631"/>
      <c r="H155" s="239"/>
      <c r="I155" s="43"/>
      <c r="J155" s="43"/>
      <c r="K155" s="238"/>
      <c r="L155" s="43"/>
      <c r="M155" s="43"/>
      <c r="N155" s="43"/>
      <c r="O155" s="43"/>
      <c r="P155" s="43"/>
      <c r="Q155" s="43"/>
      <c r="R155" s="43"/>
      <c r="S155" s="43"/>
      <c r="T155" s="43"/>
      <c r="U155" s="40"/>
      <c r="V155" s="40"/>
      <c r="X155" s="40"/>
    </row>
    <row r="156" spans="1:24" x14ac:dyDescent="0.25">
      <c r="A156" s="44"/>
      <c r="B156" s="631"/>
      <c r="C156" s="631"/>
      <c r="D156" s="631"/>
      <c r="E156" s="631"/>
      <c r="F156" s="631"/>
      <c r="G156" s="631"/>
      <c r="H156" s="239"/>
      <c r="I156" s="43"/>
      <c r="J156" s="43"/>
      <c r="K156" s="238"/>
      <c r="L156" s="43"/>
      <c r="M156" s="43"/>
      <c r="N156" s="43"/>
      <c r="O156" s="43"/>
      <c r="P156" s="43"/>
      <c r="Q156" s="43"/>
      <c r="R156" s="43"/>
      <c r="S156" s="43"/>
      <c r="T156" s="43"/>
      <c r="U156" s="240"/>
      <c r="V156" s="240"/>
      <c r="X156" s="240"/>
    </row>
    <row r="157" spans="1:24" x14ac:dyDescent="0.25">
      <c r="A157" s="44"/>
      <c r="B157" s="631"/>
      <c r="C157" s="631"/>
      <c r="D157" s="631"/>
      <c r="E157" s="631"/>
      <c r="F157" s="631"/>
      <c r="G157" s="631"/>
      <c r="H157" s="239"/>
      <c r="I157" s="43"/>
      <c r="J157" s="43"/>
      <c r="K157" s="238"/>
      <c r="L157" s="43"/>
      <c r="M157" s="43"/>
      <c r="N157" s="43"/>
      <c r="O157" s="43"/>
      <c r="P157" s="43"/>
      <c r="Q157" s="43"/>
      <c r="R157" s="43"/>
      <c r="S157" s="43"/>
      <c r="T157" s="43"/>
      <c r="U157" s="240"/>
      <c r="V157" s="240"/>
      <c r="X157" s="240"/>
    </row>
    <row r="158" spans="1:24" x14ac:dyDescent="0.25">
      <c r="A158" s="44"/>
      <c r="B158" s="631"/>
      <c r="C158" s="631"/>
      <c r="D158" s="631"/>
      <c r="E158" s="631"/>
      <c r="F158" s="631"/>
      <c r="G158" s="631"/>
      <c r="H158" s="239"/>
      <c r="I158" s="43"/>
      <c r="J158" s="43"/>
      <c r="K158" s="238"/>
      <c r="L158" s="43"/>
      <c r="M158" s="43"/>
      <c r="N158" s="43"/>
      <c r="O158" s="43"/>
      <c r="P158" s="43"/>
      <c r="Q158" s="43"/>
      <c r="R158" s="43"/>
      <c r="S158" s="43"/>
      <c r="T158" s="43"/>
      <c r="U158" s="240"/>
      <c r="V158" s="240"/>
      <c r="X158" s="240"/>
    </row>
    <row r="159" spans="1:24" x14ac:dyDescent="0.25">
      <c r="A159" s="44"/>
      <c r="B159" s="631"/>
      <c r="C159" s="631"/>
      <c r="D159" s="631"/>
      <c r="E159" s="631"/>
      <c r="F159" s="631"/>
      <c r="G159" s="631"/>
      <c r="H159" s="239"/>
      <c r="I159" s="43"/>
      <c r="J159" s="43"/>
      <c r="K159" s="238"/>
      <c r="L159" s="43"/>
      <c r="M159" s="43"/>
      <c r="N159" s="43"/>
      <c r="O159" s="43"/>
      <c r="P159" s="43"/>
      <c r="Q159" s="43"/>
      <c r="R159" s="43"/>
      <c r="S159" s="43"/>
      <c r="T159" s="43"/>
      <c r="U159" s="240"/>
      <c r="V159" s="240"/>
      <c r="X159" s="240"/>
    </row>
    <row r="160" spans="1:24" x14ac:dyDescent="0.25">
      <c r="A160" s="44"/>
      <c r="B160" s="631"/>
      <c r="C160" s="631"/>
      <c r="D160" s="631"/>
      <c r="E160" s="631"/>
      <c r="F160" s="631"/>
      <c r="G160" s="631"/>
      <c r="H160" s="239"/>
      <c r="I160" s="43"/>
      <c r="J160" s="43"/>
      <c r="K160" s="238"/>
      <c r="L160" s="43"/>
      <c r="M160" s="43"/>
      <c r="N160" s="43"/>
      <c r="O160" s="43"/>
      <c r="P160" s="43"/>
      <c r="Q160" s="43"/>
      <c r="R160" s="43"/>
      <c r="S160" s="43"/>
      <c r="T160" s="43"/>
      <c r="U160" s="240"/>
      <c r="V160" s="240"/>
      <c r="X160" s="240"/>
    </row>
    <row r="161" spans="1:24" x14ac:dyDescent="0.25">
      <c r="A161" s="44"/>
      <c r="B161" s="631"/>
      <c r="C161" s="631"/>
      <c r="D161" s="631"/>
      <c r="E161" s="631"/>
      <c r="F161" s="631"/>
      <c r="G161" s="631"/>
      <c r="H161" s="239"/>
      <c r="I161" s="43"/>
      <c r="J161" s="43"/>
      <c r="K161" s="238"/>
      <c r="L161" s="43"/>
      <c r="M161" s="43"/>
      <c r="N161" s="43"/>
      <c r="O161" s="43"/>
      <c r="P161" s="43"/>
      <c r="Q161" s="43"/>
      <c r="R161" s="43"/>
      <c r="S161" s="43"/>
      <c r="T161" s="43"/>
      <c r="U161" s="240"/>
      <c r="V161" s="240"/>
      <c r="X161" s="240"/>
    </row>
    <row r="162" spans="1:24" x14ac:dyDescent="0.25">
      <c r="A162" s="44"/>
      <c r="B162" s="631"/>
      <c r="C162" s="631"/>
      <c r="D162" s="631"/>
      <c r="E162" s="631"/>
      <c r="F162" s="631"/>
      <c r="G162" s="631"/>
      <c r="H162" s="239"/>
      <c r="I162" s="43"/>
      <c r="J162" s="43"/>
      <c r="K162" s="238"/>
      <c r="L162" s="43"/>
      <c r="M162" s="43"/>
      <c r="N162" s="43"/>
      <c r="O162" s="43"/>
      <c r="P162" s="43"/>
      <c r="Q162" s="43"/>
      <c r="R162" s="43"/>
      <c r="S162" s="43"/>
      <c r="T162" s="43"/>
      <c r="U162" s="240"/>
      <c r="V162" s="240"/>
      <c r="X162" s="240"/>
    </row>
    <row r="163" spans="1:24" x14ac:dyDescent="0.25">
      <c r="A163" s="44"/>
      <c r="B163" s="631"/>
      <c r="C163" s="631"/>
      <c r="D163" s="631"/>
      <c r="E163" s="631"/>
      <c r="F163" s="631"/>
      <c r="G163" s="631"/>
      <c r="H163" s="239"/>
      <c r="I163" s="43"/>
      <c r="J163" s="43"/>
      <c r="K163" s="238"/>
      <c r="L163" s="43"/>
      <c r="M163" s="43"/>
      <c r="N163" s="43"/>
      <c r="O163" s="43"/>
      <c r="P163" s="43"/>
      <c r="Q163" s="43"/>
      <c r="R163" s="43"/>
      <c r="S163" s="43"/>
      <c r="T163" s="43"/>
      <c r="U163" s="45"/>
      <c r="V163" s="45"/>
      <c r="X163" s="40"/>
    </row>
    <row r="164" spans="1:24" x14ac:dyDescent="0.25">
      <c r="A164" s="44"/>
      <c r="B164" s="631"/>
      <c r="C164" s="631"/>
      <c r="D164" s="631"/>
      <c r="E164" s="631"/>
      <c r="F164" s="631"/>
      <c r="G164" s="631"/>
      <c r="H164" s="239"/>
      <c r="I164" s="43"/>
      <c r="J164" s="43"/>
      <c r="K164" s="238"/>
      <c r="L164" s="43"/>
      <c r="M164" s="43"/>
      <c r="N164" s="43"/>
      <c r="O164" s="43"/>
      <c r="P164" s="43"/>
      <c r="Q164" s="43"/>
      <c r="R164" s="43"/>
      <c r="S164" s="43"/>
      <c r="T164" s="43"/>
      <c r="U164" s="45"/>
      <c r="V164" s="45"/>
      <c r="X164" s="40"/>
    </row>
    <row r="165" spans="1:24" x14ac:dyDescent="0.25">
      <c r="A165" s="44"/>
      <c r="B165" s="631"/>
      <c r="C165" s="631"/>
      <c r="D165" s="631"/>
      <c r="E165" s="631"/>
      <c r="F165" s="631"/>
      <c r="G165" s="631"/>
      <c r="H165" s="239"/>
      <c r="I165" s="43"/>
      <c r="J165" s="43"/>
      <c r="K165" s="238"/>
      <c r="L165" s="43"/>
      <c r="M165" s="43"/>
      <c r="N165" s="43"/>
      <c r="O165" s="43"/>
      <c r="P165" s="43"/>
      <c r="Q165" s="43"/>
      <c r="R165" s="43"/>
      <c r="S165" s="43"/>
      <c r="T165" s="43"/>
      <c r="U165" s="240"/>
      <c r="V165" s="240"/>
      <c r="X165" s="240"/>
    </row>
    <row r="166" spans="1:24" x14ac:dyDescent="0.25">
      <c r="A166" s="44"/>
      <c r="B166" s="631"/>
      <c r="C166" s="631"/>
      <c r="D166" s="631"/>
      <c r="E166" s="631"/>
      <c r="F166" s="631"/>
      <c r="G166" s="631"/>
      <c r="H166" s="239"/>
      <c r="I166" s="43"/>
      <c r="J166" s="43"/>
      <c r="K166" s="238"/>
      <c r="L166" s="43"/>
      <c r="M166" s="43"/>
      <c r="N166" s="43"/>
      <c r="O166" s="43"/>
      <c r="P166" s="43"/>
      <c r="Q166" s="43"/>
      <c r="R166" s="43"/>
      <c r="S166" s="43"/>
      <c r="T166" s="43"/>
      <c r="U166" s="45"/>
      <c r="V166" s="45"/>
      <c r="X166" s="40"/>
    </row>
    <row r="167" spans="1:24" x14ac:dyDescent="0.25">
      <c r="A167" s="44"/>
      <c r="B167" s="631"/>
      <c r="C167" s="631"/>
      <c r="D167" s="631"/>
      <c r="E167" s="631"/>
      <c r="F167" s="631"/>
      <c r="G167" s="631"/>
      <c r="H167" s="239"/>
      <c r="I167" s="43"/>
      <c r="J167" s="43"/>
      <c r="K167" s="238"/>
      <c r="L167" s="43"/>
      <c r="M167" s="43"/>
      <c r="N167" s="43"/>
      <c r="O167" s="43"/>
      <c r="P167" s="43"/>
      <c r="Q167" s="43"/>
      <c r="R167" s="43"/>
      <c r="S167" s="43"/>
      <c r="T167" s="43"/>
      <c r="U167" s="45"/>
      <c r="V167" s="45"/>
      <c r="X167" s="40"/>
    </row>
    <row r="168" spans="1:24" x14ac:dyDescent="0.25">
      <c r="A168" s="44"/>
      <c r="B168" s="631"/>
      <c r="C168" s="631"/>
      <c r="D168" s="631"/>
      <c r="E168" s="631"/>
      <c r="F168" s="631"/>
      <c r="G168" s="631"/>
      <c r="H168" s="239"/>
      <c r="I168" s="43"/>
      <c r="J168" s="43"/>
      <c r="K168" s="238"/>
      <c r="L168" s="43"/>
      <c r="M168" s="43"/>
      <c r="N168" s="43"/>
      <c r="O168" s="43"/>
      <c r="P168" s="43"/>
      <c r="Q168" s="43"/>
      <c r="R168" s="43"/>
      <c r="S168" s="43"/>
      <c r="T168" s="43"/>
      <c r="U168" s="45"/>
      <c r="V168" s="45"/>
      <c r="X168" s="40"/>
    </row>
    <row r="169" spans="1:24" x14ac:dyDescent="0.25">
      <c r="A169" s="44"/>
      <c r="B169" s="631"/>
      <c r="C169" s="631"/>
      <c r="D169" s="631"/>
      <c r="E169" s="631"/>
      <c r="F169" s="631"/>
      <c r="G169" s="631"/>
      <c r="H169" s="239"/>
      <c r="I169" s="43"/>
      <c r="J169" s="43"/>
      <c r="K169" s="238"/>
      <c r="L169" s="43"/>
      <c r="M169" s="43"/>
      <c r="N169" s="43"/>
      <c r="O169" s="43"/>
      <c r="P169" s="43"/>
      <c r="Q169" s="43"/>
      <c r="R169" s="43"/>
      <c r="S169" s="43"/>
      <c r="T169" s="43"/>
      <c r="U169" s="45"/>
      <c r="V169" s="45"/>
      <c r="X169" s="40"/>
    </row>
    <row r="170" spans="1:24" x14ac:dyDescent="0.25">
      <c r="A170" s="44"/>
      <c r="B170" s="631"/>
      <c r="C170" s="631"/>
      <c r="D170" s="631"/>
      <c r="E170" s="631"/>
      <c r="F170" s="631"/>
      <c r="G170" s="631"/>
      <c r="H170" s="239"/>
      <c r="I170" s="43"/>
      <c r="J170" s="43"/>
      <c r="K170" s="238"/>
      <c r="L170" s="43"/>
      <c r="M170" s="43"/>
      <c r="N170" s="43"/>
      <c r="O170" s="43"/>
      <c r="P170" s="43"/>
      <c r="Q170" s="43"/>
      <c r="R170" s="43"/>
      <c r="S170" s="43"/>
      <c r="T170" s="43"/>
      <c r="U170" s="240"/>
      <c r="V170" s="240"/>
      <c r="X170" s="240"/>
    </row>
    <row r="171" spans="1:24" x14ac:dyDescent="0.25">
      <c r="A171" s="44"/>
      <c r="B171" s="631"/>
      <c r="C171" s="631"/>
      <c r="D171" s="631"/>
      <c r="E171" s="631"/>
      <c r="F171" s="631"/>
      <c r="G171" s="631"/>
      <c r="H171" s="239"/>
      <c r="I171" s="43"/>
      <c r="J171" s="43"/>
      <c r="K171" s="238"/>
      <c r="L171" s="43"/>
      <c r="M171" s="43"/>
      <c r="N171" s="43"/>
      <c r="O171" s="43"/>
      <c r="P171" s="43"/>
      <c r="Q171" s="43"/>
      <c r="R171" s="43"/>
      <c r="S171" s="43"/>
      <c r="T171" s="43"/>
      <c r="U171" s="45"/>
      <c r="V171" s="45"/>
      <c r="X171" s="40"/>
    </row>
    <row r="172" spans="1:24" x14ac:dyDescent="0.25">
      <c r="A172" s="44"/>
      <c r="B172" s="631"/>
      <c r="C172" s="631"/>
      <c r="D172" s="631"/>
      <c r="E172" s="631"/>
      <c r="F172" s="631"/>
      <c r="G172" s="631"/>
      <c r="H172" s="239"/>
      <c r="I172" s="43"/>
      <c r="J172" s="43"/>
      <c r="K172" s="238"/>
      <c r="L172" s="43"/>
      <c r="M172" s="43"/>
      <c r="N172" s="43"/>
      <c r="O172" s="43"/>
      <c r="P172" s="43"/>
      <c r="Q172" s="43"/>
      <c r="R172" s="43"/>
      <c r="S172" s="43"/>
      <c r="T172" s="43"/>
      <c r="U172" s="240"/>
      <c r="V172" s="240"/>
      <c r="X172" s="240"/>
    </row>
    <row r="173" spans="1:24" x14ac:dyDescent="0.25">
      <c r="A173" s="44"/>
      <c r="B173" s="631"/>
      <c r="C173" s="631"/>
      <c r="D173" s="631"/>
      <c r="E173" s="631"/>
      <c r="F173" s="631"/>
      <c r="G173" s="631"/>
      <c r="H173" s="239"/>
      <c r="I173" s="43"/>
      <c r="J173" s="43"/>
      <c r="K173" s="238"/>
      <c r="L173" s="43"/>
      <c r="M173" s="43"/>
      <c r="N173" s="43"/>
      <c r="O173" s="43"/>
      <c r="P173" s="43"/>
      <c r="Q173" s="43"/>
      <c r="R173" s="43"/>
      <c r="S173" s="43"/>
      <c r="T173" s="43"/>
      <c r="U173" s="240"/>
      <c r="V173" s="240"/>
      <c r="X173" s="240"/>
    </row>
    <row r="174" spans="1:24" x14ac:dyDescent="0.25">
      <c r="A174" s="44"/>
      <c r="B174" s="631"/>
      <c r="C174" s="631"/>
      <c r="D174" s="631"/>
      <c r="E174" s="631"/>
      <c r="F174" s="631"/>
      <c r="G174" s="631"/>
      <c r="H174" s="239"/>
      <c r="I174" s="43"/>
      <c r="J174" s="43"/>
      <c r="K174" s="238"/>
      <c r="L174" s="43"/>
      <c r="M174" s="43"/>
      <c r="N174" s="43"/>
      <c r="O174" s="43"/>
      <c r="P174" s="43"/>
      <c r="Q174" s="43"/>
      <c r="R174" s="43"/>
      <c r="S174" s="43"/>
      <c r="T174" s="43"/>
      <c r="U174" s="240"/>
      <c r="V174" s="240"/>
      <c r="X174" s="240"/>
    </row>
    <row r="175" spans="1:24" x14ac:dyDescent="0.25">
      <c r="A175" s="44"/>
      <c r="B175" s="631"/>
      <c r="C175" s="291"/>
      <c r="D175" s="631"/>
      <c r="E175" s="631"/>
      <c r="F175" s="631"/>
      <c r="G175" s="631"/>
      <c r="H175" s="239"/>
      <c r="I175" s="43"/>
      <c r="J175" s="43"/>
      <c r="K175" s="238"/>
      <c r="L175" s="43"/>
      <c r="M175" s="43"/>
      <c r="N175" s="43"/>
      <c r="O175" s="43"/>
      <c r="P175" s="43"/>
      <c r="Q175" s="43"/>
      <c r="R175" s="43"/>
      <c r="S175" s="43"/>
      <c r="T175" s="43"/>
      <c r="U175" s="45"/>
      <c r="V175" s="45"/>
      <c r="X175" s="40"/>
    </row>
    <row r="176" spans="1:24" x14ac:dyDescent="0.25">
      <c r="A176" s="44"/>
      <c r="B176" s="631"/>
      <c r="C176" s="291"/>
      <c r="D176" s="631"/>
      <c r="E176" s="631"/>
      <c r="F176" s="631"/>
      <c r="G176" s="631"/>
      <c r="H176" s="239"/>
      <c r="I176" s="43"/>
      <c r="J176" s="43"/>
      <c r="K176" s="238"/>
      <c r="L176" s="43"/>
      <c r="M176" s="43"/>
      <c r="N176" s="43"/>
      <c r="O176" s="43"/>
      <c r="P176" s="43"/>
      <c r="Q176" s="43"/>
      <c r="R176" s="43"/>
      <c r="S176" s="43"/>
      <c r="T176" s="43"/>
      <c r="U176" s="45"/>
      <c r="V176" s="45"/>
      <c r="X176" s="40"/>
    </row>
    <row r="177" spans="1:24" x14ac:dyDescent="0.25">
      <c r="A177" s="44"/>
      <c r="B177" s="631"/>
      <c r="C177" s="631"/>
      <c r="D177" s="631"/>
      <c r="E177" s="631"/>
      <c r="F177" s="631"/>
      <c r="G177" s="631"/>
      <c r="H177" s="239"/>
      <c r="I177" s="43"/>
      <c r="J177" s="43"/>
      <c r="K177" s="238"/>
      <c r="L177" s="43"/>
      <c r="M177" s="43"/>
      <c r="N177" s="43"/>
      <c r="O177" s="43"/>
      <c r="P177" s="43"/>
      <c r="Q177" s="43"/>
      <c r="R177" s="43"/>
      <c r="S177" s="43"/>
      <c r="T177" s="43"/>
      <c r="U177" s="45"/>
      <c r="V177" s="45"/>
      <c r="X177" s="40"/>
    </row>
    <row r="178" spans="1:24" x14ac:dyDescent="0.25">
      <c r="A178" s="44"/>
      <c r="B178" s="631"/>
      <c r="C178" s="631"/>
      <c r="D178" s="631"/>
      <c r="E178" s="631"/>
      <c r="F178" s="631"/>
      <c r="G178" s="631"/>
      <c r="H178" s="239"/>
      <c r="I178" s="43"/>
      <c r="J178" s="43"/>
      <c r="K178" s="238"/>
      <c r="L178" s="43"/>
      <c r="M178" s="43"/>
      <c r="N178" s="43"/>
      <c r="O178" s="43"/>
      <c r="P178" s="43"/>
      <c r="Q178" s="43"/>
      <c r="R178" s="43"/>
      <c r="S178" s="43"/>
      <c r="T178" s="43"/>
      <c r="U178" s="45"/>
      <c r="V178" s="45"/>
      <c r="X178" s="40"/>
    </row>
    <row r="179" spans="1:24" x14ac:dyDescent="0.25">
      <c r="A179" s="44"/>
      <c r="B179" s="631"/>
      <c r="C179" s="631"/>
      <c r="D179" s="631"/>
      <c r="E179" s="631"/>
      <c r="F179" s="631"/>
      <c r="G179" s="631"/>
      <c r="H179" s="239"/>
      <c r="I179" s="43"/>
      <c r="J179" s="43"/>
      <c r="K179" s="238"/>
      <c r="L179" s="43"/>
      <c r="M179" s="43"/>
      <c r="N179" s="43"/>
      <c r="O179" s="43"/>
      <c r="P179" s="43"/>
      <c r="Q179" s="43"/>
      <c r="R179" s="43"/>
      <c r="S179" s="43"/>
      <c r="T179" s="43"/>
      <c r="U179" s="240"/>
      <c r="V179" s="240"/>
      <c r="X179" s="240"/>
    </row>
    <row r="180" spans="1:24" x14ac:dyDescent="0.25">
      <c r="A180" s="44"/>
      <c r="B180" s="631"/>
      <c r="C180" s="631"/>
      <c r="D180" s="631"/>
      <c r="E180" s="631"/>
      <c r="F180" s="631"/>
      <c r="G180" s="631"/>
      <c r="H180" s="239"/>
      <c r="I180" s="43"/>
      <c r="J180" s="43"/>
      <c r="K180" s="238"/>
      <c r="L180" s="43"/>
      <c r="M180" s="43"/>
      <c r="N180" s="43"/>
      <c r="O180" s="43"/>
      <c r="P180" s="43"/>
      <c r="Q180" s="43"/>
      <c r="R180" s="43"/>
      <c r="S180" s="43"/>
      <c r="T180" s="43"/>
      <c r="U180" s="240"/>
      <c r="V180" s="240"/>
      <c r="X180" s="240"/>
    </row>
    <row r="181" spans="1:24" x14ac:dyDescent="0.25">
      <c r="A181" s="44"/>
      <c r="B181" s="631"/>
      <c r="C181" s="631"/>
      <c r="D181" s="631"/>
      <c r="E181" s="631"/>
      <c r="F181" s="631"/>
      <c r="G181" s="631"/>
      <c r="H181" s="239"/>
      <c r="I181" s="43"/>
      <c r="J181" s="43"/>
      <c r="K181" s="238"/>
      <c r="L181" s="43"/>
      <c r="M181" s="43"/>
      <c r="N181" s="43"/>
      <c r="O181" s="43"/>
      <c r="P181" s="43"/>
      <c r="Q181" s="43"/>
      <c r="R181" s="43"/>
      <c r="S181" s="43"/>
      <c r="T181" s="43"/>
      <c r="U181" s="240"/>
      <c r="V181" s="240"/>
      <c r="X181" s="240"/>
    </row>
    <row r="182" spans="1:24" x14ac:dyDescent="0.25">
      <c r="A182" s="44"/>
      <c r="B182" s="631"/>
      <c r="C182" s="631"/>
      <c r="D182" s="631"/>
      <c r="E182" s="631"/>
      <c r="F182" s="631"/>
      <c r="G182" s="631"/>
      <c r="H182" s="239"/>
      <c r="I182" s="43"/>
      <c r="J182" s="43"/>
      <c r="K182" s="238"/>
      <c r="L182" s="43"/>
      <c r="M182" s="43"/>
      <c r="N182" s="43"/>
      <c r="O182" s="43"/>
      <c r="P182" s="43"/>
      <c r="Q182" s="43"/>
      <c r="R182" s="43"/>
      <c r="S182" s="43"/>
      <c r="T182" s="43"/>
      <c r="U182" s="240"/>
      <c r="V182" s="240"/>
      <c r="X182" s="240"/>
    </row>
    <row r="183" spans="1:24" x14ac:dyDescent="0.25">
      <c r="A183" s="44"/>
      <c r="B183" s="631"/>
      <c r="C183" s="631"/>
      <c r="D183" s="631"/>
      <c r="E183" s="631"/>
      <c r="F183" s="631"/>
      <c r="G183" s="631"/>
      <c r="H183" s="239"/>
      <c r="I183" s="43"/>
      <c r="J183" s="43"/>
      <c r="K183" s="238"/>
      <c r="L183" s="43"/>
      <c r="M183" s="43"/>
      <c r="N183" s="43"/>
      <c r="O183" s="43"/>
      <c r="P183" s="43"/>
      <c r="Q183" s="43"/>
      <c r="R183" s="43"/>
      <c r="S183" s="43"/>
      <c r="T183" s="43"/>
      <c r="U183" s="240"/>
      <c r="V183" s="240"/>
      <c r="X183" s="240"/>
    </row>
    <row r="184" spans="1:24" x14ac:dyDescent="0.25">
      <c r="A184" s="44"/>
      <c r="B184" s="631"/>
      <c r="C184" s="631"/>
      <c r="D184" s="631"/>
      <c r="E184" s="631"/>
      <c r="F184" s="631"/>
      <c r="G184" s="631"/>
      <c r="H184" s="239"/>
      <c r="I184" s="43"/>
      <c r="J184" s="43"/>
      <c r="K184" s="238"/>
      <c r="L184" s="43"/>
      <c r="M184" s="43"/>
      <c r="N184" s="43"/>
      <c r="O184" s="43"/>
      <c r="P184" s="43"/>
      <c r="Q184" s="43"/>
      <c r="R184" s="43"/>
      <c r="S184" s="43"/>
      <c r="T184" s="43"/>
      <c r="U184" s="45"/>
      <c r="V184" s="45"/>
      <c r="X184" s="40"/>
    </row>
    <row r="185" spans="1:24" x14ac:dyDescent="0.25">
      <c r="A185" s="44"/>
      <c r="B185" s="631"/>
      <c r="C185" s="631"/>
      <c r="D185" s="631"/>
      <c r="E185" s="631"/>
      <c r="F185" s="631"/>
      <c r="G185" s="631"/>
      <c r="H185" s="239"/>
      <c r="I185" s="43"/>
      <c r="J185" s="43"/>
      <c r="K185" s="238"/>
      <c r="L185" s="43"/>
      <c r="M185" s="43"/>
      <c r="N185" s="43"/>
      <c r="O185" s="43"/>
      <c r="P185" s="43"/>
      <c r="Q185" s="43"/>
      <c r="R185" s="43"/>
      <c r="S185" s="43"/>
      <c r="T185" s="43"/>
      <c r="U185" s="45"/>
      <c r="V185" s="45"/>
      <c r="X185" s="40"/>
    </row>
    <row r="186" spans="1:24" x14ac:dyDescent="0.25">
      <c r="A186" s="44"/>
      <c r="B186" s="631"/>
      <c r="C186" s="631"/>
      <c r="D186" s="631"/>
      <c r="E186" s="631"/>
      <c r="F186" s="631"/>
      <c r="G186" s="631"/>
      <c r="H186" s="239"/>
      <c r="I186" s="43"/>
      <c r="J186" s="43"/>
      <c r="K186" s="238"/>
      <c r="L186" s="43"/>
      <c r="M186" s="43"/>
      <c r="N186" s="43"/>
      <c r="O186" s="43"/>
      <c r="P186" s="43"/>
      <c r="Q186" s="43"/>
      <c r="R186" s="43"/>
      <c r="S186" s="43"/>
      <c r="T186" s="43"/>
      <c r="U186" s="45"/>
      <c r="V186" s="45"/>
      <c r="X186" s="40"/>
    </row>
    <row r="187" spans="1:24" x14ac:dyDescent="0.25">
      <c r="A187" s="44"/>
      <c r="B187" s="631"/>
      <c r="C187" s="631"/>
      <c r="D187" s="631"/>
      <c r="E187" s="631"/>
      <c r="F187" s="631"/>
      <c r="G187" s="631"/>
      <c r="H187" s="239"/>
      <c r="I187" s="43"/>
      <c r="J187" s="43"/>
      <c r="K187" s="238"/>
      <c r="L187" s="43"/>
      <c r="M187" s="43"/>
      <c r="N187" s="43"/>
      <c r="O187" s="43"/>
      <c r="P187" s="43"/>
      <c r="Q187" s="43"/>
      <c r="R187" s="43"/>
      <c r="S187" s="43"/>
      <c r="T187" s="43"/>
      <c r="U187" s="45"/>
      <c r="V187" s="45"/>
      <c r="X187" s="40"/>
    </row>
    <row r="188" spans="1:24" x14ac:dyDescent="0.25">
      <c r="A188" s="44"/>
      <c r="B188" s="631"/>
      <c r="C188" s="631"/>
      <c r="D188" s="631"/>
      <c r="E188" s="631"/>
      <c r="F188" s="631"/>
      <c r="G188" s="631"/>
      <c r="H188" s="239"/>
      <c r="I188" s="43"/>
      <c r="J188" s="43"/>
      <c r="K188" s="238"/>
      <c r="L188" s="43"/>
      <c r="M188" s="43"/>
      <c r="N188" s="43"/>
      <c r="O188" s="43"/>
      <c r="P188" s="43"/>
      <c r="Q188" s="43"/>
      <c r="R188" s="43"/>
      <c r="S188" s="43"/>
      <c r="T188" s="43"/>
      <c r="U188" s="45"/>
      <c r="V188" s="45"/>
      <c r="X188" s="40"/>
    </row>
    <row r="189" spans="1:24" x14ac:dyDescent="0.25">
      <c r="A189" s="44"/>
      <c r="B189" s="631"/>
      <c r="C189" s="631"/>
      <c r="D189" s="631"/>
      <c r="E189" s="631"/>
      <c r="F189" s="631"/>
      <c r="G189" s="631"/>
      <c r="H189" s="239"/>
      <c r="I189" s="43"/>
      <c r="J189" s="43"/>
      <c r="K189" s="238"/>
      <c r="L189" s="43"/>
      <c r="M189" s="43"/>
      <c r="N189" s="43"/>
      <c r="O189" s="43"/>
      <c r="P189" s="43"/>
      <c r="Q189" s="43"/>
      <c r="R189" s="43"/>
      <c r="S189" s="43"/>
      <c r="T189" s="43"/>
      <c r="U189" s="240"/>
      <c r="V189" s="240"/>
      <c r="X189" s="240"/>
    </row>
    <row r="190" spans="1:24" x14ac:dyDescent="0.25">
      <c r="A190" s="44"/>
      <c r="B190" s="631"/>
      <c r="C190" s="631"/>
      <c r="D190" s="631"/>
      <c r="E190" s="631"/>
      <c r="F190" s="631"/>
      <c r="G190" s="631"/>
      <c r="H190" s="239"/>
      <c r="I190" s="43"/>
      <c r="J190" s="43"/>
      <c r="K190" s="238"/>
      <c r="L190" s="43"/>
      <c r="M190" s="43"/>
      <c r="N190" s="43"/>
      <c r="O190" s="43"/>
      <c r="P190" s="43"/>
      <c r="Q190" s="43"/>
      <c r="R190" s="43"/>
      <c r="S190" s="43"/>
      <c r="T190" s="43"/>
      <c r="U190" s="240"/>
      <c r="V190" s="240"/>
      <c r="X190" s="240"/>
    </row>
    <row r="191" spans="1:24" x14ac:dyDescent="0.25">
      <c r="A191" s="44"/>
      <c r="B191" s="631"/>
      <c r="C191" s="631"/>
      <c r="D191" s="631"/>
      <c r="E191" s="631"/>
      <c r="F191" s="631"/>
      <c r="G191" s="631"/>
      <c r="H191" s="239"/>
      <c r="I191" s="43"/>
      <c r="J191" s="43"/>
      <c r="K191" s="238"/>
      <c r="L191" s="43"/>
      <c r="M191" s="43"/>
      <c r="N191" s="43"/>
      <c r="O191" s="43"/>
      <c r="P191" s="43"/>
      <c r="Q191" s="43"/>
      <c r="R191" s="43"/>
      <c r="S191" s="43"/>
      <c r="T191" s="43"/>
      <c r="U191" s="240"/>
      <c r="V191" s="240"/>
      <c r="X191" s="240"/>
    </row>
    <row r="192" spans="1:24" x14ac:dyDescent="0.25">
      <c r="A192" s="44"/>
      <c r="B192" s="631"/>
      <c r="C192" s="631"/>
      <c r="D192" s="631"/>
      <c r="E192" s="631"/>
      <c r="F192" s="631"/>
      <c r="G192" s="631"/>
      <c r="H192" s="239"/>
      <c r="I192" s="43"/>
      <c r="J192" s="43"/>
      <c r="K192" s="238"/>
      <c r="L192" s="43"/>
      <c r="M192" s="43"/>
      <c r="N192" s="43"/>
      <c r="O192" s="43"/>
      <c r="P192" s="43"/>
      <c r="Q192" s="43"/>
      <c r="R192" s="43"/>
      <c r="S192" s="43"/>
      <c r="T192" s="43"/>
      <c r="U192" s="240"/>
      <c r="V192" s="240"/>
      <c r="X192" s="240"/>
    </row>
    <row r="193" spans="1:24" x14ac:dyDescent="0.25">
      <c r="A193" s="44"/>
      <c r="B193" s="631"/>
      <c r="C193" s="631"/>
      <c r="D193" s="631"/>
      <c r="E193" s="631"/>
      <c r="F193" s="631"/>
      <c r="G193" s="631"/>
      <c r="H193" s="239"/>
      <c r="I193" s="43"/>
      <c r="J193" s="43"/>
      <c r="K193" s="238"/>
      <c r="L193" s="43"/>
      <c r="M193" s="43"/>
      <c r="N193" s="43"/>
      <c r="O193" s="43"/>
      <c r="P193" s="43"/>
      <c r="Q193" s="43"/>
      <c r="R193" s="43"/>
      <c r="S193" s="43"/>
      <c r="T193" s="43"/>
      <c r="U193" s="240"/>
      <c r="V193" s="240"/>
      <c r="X193" s="240"/>
    </row>
    <row r="194" spans="1:24" x14ac:dyDescent="0.25">
      <c r="A194" s="44"/>
      <c r="B194" s="631"/>
      <c r="C194" s="631"/>
      <c r="D194" s="631"/>
      <c r="E194" s="631"/>
      <c r="F194" s="631"/>
      <c r="G194" s="631"/>
      <c r="H194" s="239"/>
      <c r="I194" s="43"/>
      <c r="J194" s="43"/>
      <c r="K194" s="238"/>
      <c r="L194" s="43"/>
      <c r="M194" s="43"/>
      <c r="N194" s="43"/>
      <c r="O194" s="43"/>
      <c r="P194" s="43"/>
      <c r="Q194" s="43"/>
      <c r="R194" s="43"/>
      <c r="S194" s="43"/>
      <c r="T194" s="43"/>
      <c r="U194" s="240"/>
      <c r="V194" s="240"/>
      <c r="X194" s="240"/>
    </row>
    <row r="195" spans="1:24" x14ac:dyDescent="0.25">
      <c r="A195" s="44"/>
      <c r="B195" s="631"/>
      <c r="C195" s="631"/>
      <c r="D195" s="631"/>
      <c r="E195" s="631"/>
      <c r="F195" s="631"/>
      <c r="G195" s="631"/>
      <c r="H195" s="239"/>
      <c r="I195" s="43"/>
      <c r="J195" s="43"/>
      <c r="K195" s="238"/>
      <c r="L195" s="43"/>
      <c r="M195" s="43"/>
      <c r="N195" s="43"/>
      <c r="O195" s="43"/>
      <c r="P195" s="43"/>
      <c r="Q195" s="43"/>
      <c r="R195" s="43"/>
      <c r="S195" s="43"/>
      <c r="T195" s="43"/>
      <c r="U195" s="240"/>
      <c r="V195" s="240"/>
      <c r="X195" s="240"/>
    </row>
    <row r="196" spans="1:24" x14ac:dyDescent="0.25">
      <c r="A196" s="44"/>
      <c r="B196" s="631"/>
      <c r="C196" s="631"/>
      <c r="D196" s="631"/>
      <c r="E196" s="631"/>
      <c r="F196" s="631"/>
      <c r="G196" s="631"/>
      <c r="H196" s="239"/>
      <c r="I196" s="43"/>
      <c r="J196" s="43"/>
      <c r="K196" s="238"/>
      <c r="L196" s="43"/>
      <c r="M196" s="43"/>
      <c r="N196" s="43"/>
      <c r="O196" s="43"/>
      <c r="P196" s="43"/>
      <c r="Q196" s="43"/>
      <c r="R196" s="43"/>
      <c r="S196" s="43"/>
      <c r="T196" s="43"/>
      <c r="U196" s="240"/>
      <c r="V196" s="240"/>
      <c r="X196" s="240"/>
    </row>
    <row r="197" spans="1:24" x14ac:dyDescent="0.25">
      <c r="A197" s="44"/>
      <c r="B197" s="631"/>
      <c r="C197" s="631"/>
      <c r="D197" s="631"/>
      <c r="E197" s="631"/>
      <c r="F197" s="631"/>
      <c r="G197" s="631"/>
      <c r="H197" s="239"/>
      <c r="I197" s="43"/>
      <c r="J197" s="43"/>
      <c r="K197" s="238"/>
      <c r="L197" s="43"/>
      <c r="M197" s="43"/>
      <c r="N197" s="43"/>
      <c r="O197" s="43"/>
      <c r="P197" s="43"/>
      <c r="Q197" s="43"/>
      <c r="R197" s="43"/>
      <c r="S197" s="43"/>
      <c r="T197" s="43"/>
      <c r="U197" s="240"/>
      <c r="V197" s="240"/>
      <c r="X197" s="240"/>
    </row>
    <row r="198" spans="1:24" x14ac:dyDescent="0.25">
      <c r="A198" s="44"/>
      <c r="B198" s="631"/>
      <c r="C198" s="631"/>
      <c r="D198" s="631"/>
      <c r="E198" s="631"/>
      <c r="F198" s="631"/>
      <c r="G198" s="631"/>
      <c r="H198" s="239"/>
      <c r="I198" s="43"/>
      <c r="J198" s="43"/>
      <c r="K198" s="238"/>
      <c r="L198" s="43"/>
      <c r="M198" s="43"/>
      <c r="N198" s="43"/>
      <c r="O198" s="43"/>
      <c r="P198" s="43"/>
      <c r="Q198" s="43"/>
      <c r="R198" s="43"/>
      <c r="S198" s="43"/>
      <c r="T198" s="43"/>
      <c r="U198" s="240"/>
      <c r="V198" s="240"/>
      <c r="X198" s="240"/>
    </row>
    <row r="199" spans="1:24" x14ac:dyDescent="0.25">
      <c r="A199" s="44"/>
      <c r="B199" s="631"/>
      <c r="C199" s="631"/>
      <c r="D199" s="631"/>
      <c r="E199" s="631"/>
      <c r="F199" s="631"/>
      <c r="G199" s="631"/>
      <c r="H199" s="239"/>
      <c r="I199" s="43"/>
      <c r="J199" s="43"/>
      <c r="K199" s="238"/>
      <c r="L199" s="43"/>
      <c r="M199" s="43"/>
      <c r="N199" s="43"/>
      <c r="O199" s="43"/>
      <c r="P199" s="43"/>
      <c r="Q199" s="43"/>
      <c r="R199" s="43"/>
      <c r="S199" s="43"/>
      <c r="T199" s="43"/>
      <c r="U199" s="240"/>
      <c r="V199" s="240"/>
      <c r="X199" s="240"/>
    </row>
    <row r="200" spans="1:24" x14ac:dyDescent="0.25">
      <c r="A200" s="44"/>
      <c r="B200" s="631"/>
      <c r="C200" s="631"/>
      <c r="D200" s="631"/>
      <c r="E200" s="631"/>
      <c r="F200" s="631"/>
      <c r="G200" s="631"/>
      <c r="H200" s="239"/>
      <c r="I200" s="43"/>
      <c r="J200" s="43"/>
      <c r="K200" s="238"/>
      <c r="L200" s="43"/>
      <c r="M200" s="43"/>
      <c r="N200" s="43"/>
      <c r="O200" s="43"/>
      <c r="P200" s="43"/>
      <c r="Q200" s="43"/>
      <c r="R200" s="43"/>
      <c r="S200" s="43"/>
      <c r="T200" s="43"/>
      <c r="U200" s="240"/>
      <c r="V200" s="240"/>
      <c r="X200" s="240"/>
    </row>
    <row r="201" spans="1:24" x14ac:dyDescent="0.25">
      <c r="A201" s="44"/>
      <c r="B201" s="631"/>
      <c r="C201" s="631"/>
      <c r="D201" s="631"/>
      <c r="E201" s="631"/>
      <c r="F201" s="631"/>
      <c r="G201" s="631"/>
      <c r="H201" s="239"/>
      <c r="I201" s="43"/>
      <c r="J201" s="43"/>
      <c r="K201" s="238"/>
      <c r="L201" s="43"/>
      <c r="M201" s="43"/>
      <c r="N201" s="43"/>
      <c r="O201" s="43"/>
      <c r="P201" s="43"/>
      <c r="Q201" s="43"/>
      <c r="R201" s="43"/>
      <c r="S201" s="43"/>
      <c r="T201" s="43"/>
      <c r="U201" s="240"/>
      <c r="V201" s="240"/>
      <c r="X201" s="240"/>
    </row>
    <row r="202" spans="1:24" x14ac:dyDescent="0.25">
      <c r="A202" s="44"/>
      <c r="B202" s="631"/>
      <c r="C202" s="631"/>
      <c r="D202" s="631"/>
      <c r="E202" s="631"/>
      <c r="F202" s="631"/>
      <c r="G202" s="631"/>
      <c r="H202" s="239"/>
      <c r="I202" s="43"/>
      <c r="J202" s="43"/>
      <c r="K202" s="238"/>
      <c r="L202" s="43"/>
      <c r="M202" s="43"/>
      <c r="N202" s="43"/>
      <c r="O202" s="43"/>
      <c r="P202" s="43"/>
      <c r="Q202" s="43"/>
      <c r="R202" s="43"/>
      <c r="S202" s="43"/>
      <c r="T202" s="43"/>
      <c r="U202" s="240"/>
      <c r="V202" s="240"/>
      <c r="X202" s="240"/>
    </row>
    <row r="203" spans="1:24" x14ac:dyDescent="0.25">
      <c r="A203" s="44"/>
      <c r="B203" s="631"/>
      <c r="C203" s="631"/>
      <c r="D203" s="631"/>
      <c r="E203" s="631"/>
      <c r="F203" s="631"/>
      <c r="G203" s="631"/>
      <c r="H203" s="239"/>
      <c r="I203" s="43"/>
      <c r="J203" s="43"/>
      <c r="K203" s="238"/>
      <c r="L203" s="43"/>
      <c r="M203" s="43"/>
      <c r="N203" s="43"/>
      <c r="O203" s="43"/>
      <c r="P203" s="43"/>
      <c r="Q203" s="43"/>
      <c r="R203" s="43"/>
      <c r="S203" s="43"/>
      <c r="T203" s="43"/>
      <c r="U203" s="240"/>
      <c r="V203" s="240"/>
      <c r="X203" s="240"/>
    </row>
    <row r="204" spans="1:24" x14ac:dyDescent="0.25">
      <c r="A204" s="44"/>
      <c r="B204" s="631"/>
      <c r="C204" s="631"/>
      <c r="D204" s="631"/>
      <c r="E204" s="631"/>
      <c r="F204" s="631"/>
      <c r="G204" s="631"/>
      <c r="H204" s="239"/>
      <c r="I204" s="43"/>
      <c r="J204" s="43"/>
      <c r="K204" s="238"/>
      <c r="L204" s="43"/>
      <c r="M204" s="43"/>
      <c r="N204" s="43"/>
      <c r="O204" s="43"/>
      <c r="P204" s="43"/>
      <c r="Q204" s="43"/>
      <c r="R204" s="43"/>
      <c r="S204" s="43"/>
      <c r="T204" s="43"/>
      <c r="U204" s="45"/>
      <c r="V204" s="45"/>
      <c r="X204" s="40"/>
    </row>
    <row r="205" spans="1:24" x14ac:dyDescent="0.25">
      <c r="A205" s="44"/>
      <c r="B205" s="631"/>
      <c r="C205" s="631"/>
      <c r="D205" s="631"/>
      <c r="E205" s="631"/>
      <c r="F205" s="631"/>
      <c r="G205" s="631"/>
      <c r="H205" s="21"/>
      <c r="I205" s="631"/>
      <c r="J205" s="631"/>
      <c r="L205" s="631"/>
      <c r="M205" s="631"/>
      <c r="N205" s="631"/>
      <c r="O205" s="631"/>
      <c r="P205" s="631"/>
      <c r="Q205" s="631"/>
      <c r="R205" s="631"/>
      <c r="S205" s="631"/>
      <c r="T205" s="631"/>
      <c r="U205" s="631"/>
      <c r="V205" s="631"/>
      <c r="X205" s="631"/>
    </row>
    <row r="206" spans="1:24" x14ac:dyDescent="0.25">
      <c r="A206" s="44"/>
      <c r="B206" s="631"/>
      <c r="C206" s="631"/>
      <c r="D206" s="631"/>
      <c r="E206" s="631"/>
      <c r="F206" s="631"/>
      <c r="G206" s="631"/>
      <c r="H206" s="631"/>
      <c r="I206" s="631"/>
      <c r="J206" s="631"/>
      <c r="L206" s="631"/>
      <c r="M206" s="631"/>
      <c r="N206" s="631"/>
      <c r="O206" s="631"/>
      <c r="P206" s="631"/>
      <c r="Q206" s="631"/>
      <c r="R206" s="631"/>
      <c r="S206" s="631"/>
      <c r="T206" s="631"/>
      <c r="U206" s="631"/>
      <c r="V206" s="631"/>
      <c r="X206" s="631"/>
    </row>
    <row r="207" spans="1:24" x14ac:dyDescent="0.25">
      <c r="A207" s="44"/>
      <c r="B207" s="631"/>
      <c r="C207" s="631"/>
      <c r="D207" s="631"/>
      <c r="E207" s="631"/>
      <c r="F207" s="631"/>
      <c r="G207" s="631"/>
      <c r="H207" s="631"/>
      <c r="I207" s="631"/>
      <c r="J207" s="631"/>
      <c r="L207" s="631"/>
      <c r="M207" s="631"/>
      <c r="N207" s="631"/>
      <c r="O207" s="631"/>
      <c r="P207" s="631"/>
      <c r="Q207" s="631"/>
      <c r="R207" s="631"/>
      <c r="S207" s="631"/>
      <c r="T207" s="631"/>
      <c r="U207" s="631"/>
      <c r="V207" s="631"/>
      <c r="X207" s="631"/>
    </row>
    <row r="208" spans="1:24" x14ac:dyDescent="0.25">
      <c r="A208" s="20"/>
      <c r="B208" s="631"/>
      <c r="C208" s="631"/>
      <c r="D208" s="631"/>
      <c r="E208" s="631"/>
      <c r="F208" s="631"/>
      <c r="G208" s="631"/>
      <c r="H208" s="21"/>
      <c r="I208" s="631"/>
      <c r="J208" s="631"/>
      <c r="L208" s="631"/>
      <c r="M208" s="631"/>
      <c r="N208" s="631"/>
      <c r="O208" s="631"/>
      <c r="P208" s="631"/>
      <c r="Q208" s="631"/>
      <c r="R208" s="631"/>
      <c r="S208" s="631"/>
      <c r="T208" s="631"/>
      <c r="U208" s="631"/>
      <c r="V208" s="631"/>
      <c r="X208" s="631"/>
    </row>
    <row r="209" spans="1:8" x14ac:dyDescent="0.25">
      <c r="A209" s="20"/>
      <c r="B209" s="631"/>
      <c r="C209" s="631"/>
      <c r="D209" s="631"/>
      <c r="E209" s="631"/>
      <c r="F209" s="631"/>
      <c r="G209" s="631"/>
      <c r="H209" s="21"/>
    </row>
    <row r="210" spans="1:8" x14ac:dyDescent="0.25">
      <c r="A210" s="20"/>
      <c r="B210" s="631"/>
      <c r="C210" s="631"/>
      <c r="D210" s="631"/>
      <c r="E210" s="631"/>
      <c r="F210" s="631"/>
      <c r="G210" s="631"/>
      <c r="H210" s="631"/>
    </row>
    <row r="211" spans="1:8" x14ac:dyDescent="0.25">
      <c r="A211" s="20"/>
      <c r="B211" s="631"/>
      <c r="C211" s="631"/>
      <c r="D211" s="631"/>
      <c r="E211" s="631"/>
      <c r="F211" s="631"/>
      <c r="G211" s="631"/>
      <c r="H211" s="21"/>
    </row>
    <row r="212" spans="1:8" x14ac:dyDescent="0.25">
      <c r="A212" s="20"/>
      <c r="B212" s="631"/>
      <c r="C212" s="631"/>
      <c r="D212" s="631"/>
      <c r="E212" s="631"/>
      <c r="F212" s="631"/>
      <c r="G212" s="631"/>
      <c r="H212" s="21"/>
    </row>
    <row r="213" spans="1:8" x14ac:dyDescent="0.25">
      <c r="A213" s="20"/>
      <c r="B213" s="631"/>
      <c r="C213" s="631"/>
      <c r="D213" s="631"/>
      <c r="E213" s="631"/>
      <c r="F213" s="631"/>
      <c r="G213" s="631"/>
      <c r="H213" s="21"/>
    </row>
    <row r="214" spans="1:8" x14ac:dyDescent="0.25">
      <c r="A214" s="20"/>
      <c r="B214" s="631"/>
      <c r="C214" s="631"/>
      <c r="D214" s="631"/>
      <c r="E214" s="631"/>
      <c r="F214" s="631"/>
      <c r="G214" s="631"/>
      <c r="H214" s="21"/>
    </row>
    <row r="215" spans="1:8" x14ac:dyDescent="0.25">
      <c r="A215" s="20"/>
      <c r="B215" s="631"/>
      <c r="C215" s="631"/>
      <c r="D215" s="631"/>
      <c r="E215" s="631"/>
      <c r="F215" s="631"/>
      <c r="G215" s="631"/>
      <c r="H215" s="21"/>
    </row>
    <row r="216" spans="1:8" x14ac:dyDescent="0.25">
      <c r="A216" s="20"/>
      <c r="B216" s="631"/>
      <c r="C216" s="631"/>
      <c r="D216" s="631"/>
      <c r="E216" s="631"/>
      <c r="F216" s="631"/>
      <c r="G216" s="631"/>
      <c r="H216" s="21"/>
    </row>
    <row r="217" spans="1:8" x14ac:dyDescent="0.25">
      <c r="A217" s="20"/>
      <c r="B217" s="631"/>
      <c r="C217" s="631"/>
      <c r="D217" s="631"/>
      <c r="E217" s="631"/>
      <c r="F217" s="631"/>
      <c r="G217" s="631"/>
      <c r="H217" s="21"/>
    </row>
    <row r="218" spans="1:8" x14ac:dyDescent="0.25">
      <c r="A218" s="20"/>
      <c r="B218" s="631"/>
      <c r="C218" s="631"/>
      <c r="D218" s="631"/>
      <c r="E218" s="631"/>
      <c r="F218" s="631"/>
      <c r="G218" s="631"/>
      <c r="H218" s="21"/>
    </row>
    <row r="219" spans="1:8" x14ac:dyDescent="0.25">
      <c r="A219" s="20"/>
      <c r="B219" s="631"/>
      <c r="C219" s="631"/>
      <c r="D219" s="631"/>
      <c r="E219" s="631"/>
      <c r="F219" s="631"/>
      <c r="G219" s="631"/>
      <c r="H219" s="21"/>
    </row>
    <row r="220" spans="1:8" x14ac:dyDescent="0.25">
      <c r="A220" s="20"/>
      <c r="B220" s="631"/>
      <c r="C220" s="631"/>
      <c r="D220" s="631"/>
      <c r="E220" s="631"/>
      <c r="F220" s="631"/>
      <c r="G220" s="631"/>
      <c r="H220" s="21"/>
    </row>
    <row r="221" spans="1:8" x14ac:dyDescent="0.25">
      <c r="A221" s="20"/>
      <c r="B221" s="631"/>
      <c r="C221" s="631"/>
      <c r="D221" s="631"/>
      <c r="E221" s="631"/>
      <c r="F221" s="631"/>
      <c r="G221" s="631"/>
      <c r="H221" s="21"/>
    </row>
    <row r="222" spans="1:8" x14ac:dyDescent="0.25">
      <c r="A222" s="20"/>
      <c r="B222" s="631"/>
      <c r="C222" s="631"/>
      <c r="D222" s="631"/>
      <c r="E222" s="631"/>
      <c r="F222" s="631"/>
      <c r="G222" s="631"/>
      <c r="H222" s="21"/>
    </row>
    <row r="223" spans="1:8" x14ac:dyDescent="0.25">
      <c r="A223" s="20"/>
      <c r="B223" s="631"/>
      <c r="C223" s="631"/>
      <c r="D223" s="631"/>
      <c r="E223" s="631"/>
      <c r="F223" s="631"/>
      <c r="G223" s="631"/>
      <c r="H223" s="631"/>
    </row>
    <row r="224" spans="1:8" x14ac:dyDescent="0.25">
      <c r="A224" s="20"/>
      <c r="B224" s="631"/>
      <c r="C224" s="631"/>
      <c r="D224" s="631"/>
      <c r="E224" s="631"/>
      <c r="F224" s="631"/>
      <c r="G224" s="631"/>
      <c r="H224" s="21"/>
    </row>
    <row r="225" spans="1:8" x14ac:dyDescent="0.25">
      <c r="A225" s="20"/>
      <c r="B225" s="631"/>
      <c r="C225" s="631"/>
      <c r="D225" s="631"/>
      <c r="E225" s="631"/>
      <c r="F225" s="631"/>
      <c r="G225" s="631"/>
      <c r="H225" s="21"/>
    </row>
    <row r="226" spans="1:8" x14ac:dyDescent="0.25">
      <c r="A226" s="20"/>
      <c r="B226" s="631"/>
      <c r="C226" s="631"/>
      <c r="D226" s="631"/>
      <c r="E226" s="631"/>
      <c r="F226" s="631"/>
      <c r="G226" s="631"/>
      <c r="H226" s="21"/>
    </row>
    <row r="227" spans="1:8" x14ac:dyDescent="0.25">
      <c r="A227" s="20"/>
      <c r="B227" s="631"/>
      <c r="C227" s="631"/>
      <c r="D227" s="631"/>
      <c r="E227" s="631"/>
      <c r="F227" s="631"/>
      <c r="G227" s="631"/>
      <c r="H227" s="631"/>
    </row>
    <row r="228" spans="1:8" x14ac:dyDescent="0.25">
      <c r="A228" s="20"/>
      <c r="B228" s="631"/>
      <c r="C228" s="631"/>
      <c r="D228" s="631"/>
      <c r="E228" s="631"/>
      <c r="F228" s="631"/>
      <c r="G228" s="631"/>
      <c r="H228" s="21"/>
    </row>
    <row r="229" spans="1:8" x14ac:dyDescent="0.25">
      <c r="A229" s="20"/>
      <c r="B229" s="631"/>
      <c r="C229" s="631"/>
      <c r="D229" s="631"/>
      <c r="E229" s="631"/>
      <c r="F229" s="631"/>
      <c r="G229" s="631"/>
      <c r="H229" s="631"/>
    </row>
    <row r="230" spans="1:8" x14ac:dyDescent="0.25">
      <c r="A230" s="20"/>
      <c r="B230" s="631"/>
      <c r="C230" s="631"/>
      <c r="D230" s="631"/>
      <c r="E230" s="631"/>
      <c r="F230" s="631"/>
      <c r="G230" s="631"/>
      <c r="H230" s="631"/>
    </row>
    <row r="231" spans="1:8" x14ac:dyDescent="0.25">
      <c r="A231" s="20"/>
      <c r="B231" s="631"/>
      <c r="C231" s="631"/>
      <c r="D231" s="631"/>
      <c r="E231" s="631"/>
      <c r="F231" s="631"/>
      <c r="G231" s="631"/>
      <c r="H231" s="21"/>
    </row>
    <row r="232" spans="1:8" x14ac:dyDescent="0.25">
      <c r="A232" s="20"/>
      <c r="B232" s="631"/>
      <c r="C232" s="631"/>
      <c r="D232" s="631"/>
      <c r="E232" s="631"/>
      <c r="F232" s="631"/>
      <c r="G232" s="631"/>
      <c r="H232" s="631"/>
    </row>
    <row r="233" spans="1:8" x14ac:dyDescent="0.25">
      <c r="A233" s="20"/>
      <c r="B233" s="631"/>
      <c r="C233" s="631"/>
      <c r="D233" s="631"/>
      <c r="E233" s="631"/>
      <c r="F233" s="631"/>
      <c r="G233" s="631"/>
      <c r="H233" s="21"/>
    </row>
    <row r="234" spans="1:8" x14ac:dyDescent="0.25">
      <c r="A234" s="20"/>
      <c r="B234" s="631"/>
      <c r="C234" s="631"/>
      <c r="D234" s="631"/>
      <c r="E234" s="631"/>
      <c r="F234" s="631"/>
      <c r="G234" s="631"/>
      <c r="H234" s="21"/>
    </row>
    <row r="235" spans="1:8" x14ac:dyDescent="0.25">
      <c r="A235" s="20"/>
      <c r="B235" s="631"/>
      <c r="C235" s="631"/>
      <c r="D235" s="631"/>
      <c r="E235" s="631"/>
      <c r="F235" s="631"/>
      <c r="G235" s="631"/>
      <c r="H235" s="21"/>
    </row>
    <row r="236" spans="1:8" x14ac:dyDescent="0.25">
      <c r="A236" s="20"/>
      <c r="B236" s="631"/>
      <c r="C236" s="631"/>
      <c r="D236" s="631"/>
      <c r="E236" s="631"/>
      <c r="F236" s="631"/>
      <c r="G236" s="631"/>
      <c r="H236" s="21"/>
    </row>
    <row r="237" spans="1:8" x14ac:dyDescent="0.25">
      <c r="A237" s="20"/>
      <c r="B237" s="631"/>
      <c r="C237" s="631"/>
      <c r="D237" s="631"/>
      <c r="E237" s="631"/>
      <c r="F237" s="631"/>
      <c r="G237" s="631"/>
      <c r="H237" s="21"/>
    </row>
    <row r="238" spans="1:8" x14ac:dyDescent="0.25">
      <c r="A238" s="20"/>
      <c r="B238" s="631"/>
      <c r="C238" s="631"/>
      <c r="D238" s="631"/>
      <c r="E238" s="631"/>
      <c r="F238" s="631"/>
      <c r="G238" s="631"/>
      <c r="H238" s="21"/>
    </row>
    <row r="239" spans="1:8" x14ac:dyDescent="0.25">
      <c r="A239" s="20"/>
      <c r="B239" s="631"/>
      <c r="C239" s="631"/>
      <c r="D239" s="631"/>
      <c r="E239" s="631"/>
      <c r="F239" s="631"/>
      <c r="G239" s="631"/>
      <c r="H239" s="21"/>
    </row>
    <row r="240" spans="1:8" x14ac:dyDescent="0.25">
      <c r="A240" s="20"/>
      <c r="B240" s="631"/>
      <c r="C240" s="631"/>
      <c r="D240" s="631"/>
      <c r="E240" s="631"/>
      <c r="F240" s="631"/>
      <c r="G240" s="631"/>
      <c r="H240" s="21"/>
    </row>
    <row r="241" spans="1:24" x14ac:dyDescent="0.25">
      <c r="A241" s="20"/>
      <c r="B241" s="631"/>
      <c r="C241" s="631"/>
      <c r="D241" s="631"/>
      <c r="E241" s="631"/>
      <c r="F241" s="631"/>
      <c r="G241" s="631"/>
      <c r="H241" s="21"/>
      <c r="I241" s="631"/>
      <c r="J241" s="631"/>
      <c r="L241" s="631"/>
      <c r="M241" s="631"/>
      <c r="N241" s="631"/>
      <c r="O241" s="631"/>
      <c r="P241" s="631"/>
      <c r="Q241" s="631"/>
      <c r="R241" s="631"/>
      <c r="S241" s="631"/>
      <c r="T241" s="631"/>
      <c r="U241" s="631"/>
      <c r="V241" s="631"/>
      <c r="X241" s="631"/>
    </row>
    <row r="242" spans="1:24" x14ac:dyDescent="0.25">
      <c r="A242" s="20"/>
      <c r="B242" s="631"/>
      <c r="C242" s="631"/>
      <c r="D242" s="631"/>
      <c r="E242" s="631"/>
      <c r="F242" s="631"/>
      <c r="G242" s="631"/>
      <c r="H242" s="21"/>
      <c r="I242" s="631"/>
      <c r="J242" s="631"/>
      <c r="L242" s="631"/>
      <c r="M242" s="631"/>
      <c r="N242" s="631"/>
      <c r="O242" s="631"/>
      <c r="P242" s="631"/>
      <c r="Q242" s="631"/>
      <c r="R242" s="631"/>
      <c r="S242" s="631"/>
      <c r="T242" s="631"/>
      <c r="U242" s="631"/>
      <c r="V242" s="631"/>
      <c r="X242" s="631"/>
    </row>
    <row r="243" spans="1:24" x14ac:dyDescent="0.25">
      <c r="A243" s="20"/>
      <c r="B243" s="631"/>
      <c r="C243" s="631"/>
      <c r="D243" s="631"/>
      <c r="E243" s="631"/>
      <c r="F243" s="631"/>
      <c r="G243" s="631"/>
      <c r="H243" s="21"/>
      <c r="I243" s="631"/>
      <c r="J243" s="631"/>
      <c r="L243" s="631"/>
      <c r="M243" s="631"/>
      <c r="N243" s="631"/>
      <c r="O243" s="631"/>
      <c r="P243" s="631"/>
      <c r="Q243" s="631"/>
      <c r="R243" s="631"/>
      <c r="S243" s="631"/>
      <c r="T243" s="631"/>
      <c r="U243" s="631"/>
      <c r="V243" s="631"/>
      <c r="X243" s="631"/>
    </row>
    <row r="244" spans="1:24" x14ac:dyDescent="0.25">
      <c r="A244" s="20"/>
      <c r="B244" s="631"/>
      <c r="C244" s="631"/>
      <c r="D244" s="631"/>
      <c r="E244" s="631"/>
      <c r="F244" s="631"/>
      <c r="G244" s="631"/>
      <c r="H244" s="21"/>
      <c r="I244" s="631"/>
      <c r="J244" s="631"/>
      <c r="L244" s="631"/>
      <c r="M244" s="631"/>
      <c r="N244" s="631"/>
      <c r="O244" s="631"/>
      <c r="P244" s="631"/>
      <c r="Q244" s="631"/>
      <c r="R244" s="631"/>
      <c r="S244" s="631"/>
      <c r="T244" s="631"/>
      <c r="U244" s="631"/>
      <c r="V244" s="631"/>
      <c r="X244" s="631"/>
    </row>
    <row r="245" spans="1:24" x14ac:dyDescent="0.25">
      <c r="A245" s="20"/>
      <c r="B245" s="631"/>
      <c r="C245" s="631"/>
      <c r="D245" s="631"/>
      <c r="E245" s="631"/>
      <c r="F245" s="631"/>
      <c r="G245" s="631"/>
      <c r="H245" s="21"/>
      <c r="I245" s="631"/>
      <c r="J245" s="631"/>
      <c r="L245" s="631"/>
      <c r="M245" s="631"/>
      <c r="N245" s="631"/>
      <c r="O245" s="631"/>
      <c r="P245" s="631"/>
      <c r="Q245" s="631"/>
      <c r="R245" s="631"/>
      <c r="S245" s="631"/>
      <c r="T245" s="631"/>
      <c r="U245" s="631"/>
      <c r="V245" s="631"/>
      <c r="X245" s="631"/>
    </row>
    <row r="246" spans="1:24" x14ac:dyDescent="0.25">
      <c r="A246" s="20"/>
      <c r="B246" s="631"/>
      <c r="C246" s="631"/>
      <c r="D246" s="631"/>
      <c r="E246" s="631"/>
      <c r="F246" s="631"/>
      <c r="G246" s="631"/>
      <c r="H246" s="21"/>
      <c r="I246" s="43"/>
      <c r="J246" s="43"/>
      <c r="K246" s="238"/>
      <c r="L246" s="43"/>
      <c r="M246" s="43"/>
      <c r="N246" s="43"/>
      <c r="O246" s="43"/>
      <c r="P246" s="43"/>
      <c r="Q246" s="43"/>
      <c r="R246" s="43"/>
      <c r="S246" s="43"/>
      <c r="T246" s="43"/>
      <c r="U246" s="45"/>
      <c r="V246" s="45"/>
      <c r="X246" s="40"/>
    </row>
    <row r="247" spans="1:24" x14ac:dyDescent="0.25">
      <c r="A247" s="20"/>
      <c r="B247" s="631"/>
      <c r="C247" s="631"/>
      <c r="D247" s="631"/>
      <c r="E247" s="631"/>
      <c r="F247" s="631"/>
      <c r="G247" s="631"/>
      <c r="H247" s="21"/>
      <c r="I247" s="631"/>
      <c r="J247" s="631"/>
      <c r="L247" s="631"/>
      <c r="M247" s="631"/>
      <c r="N247" s="631"/>
      <c r="O247" s="631"/>
      <c r="P247" s="631"/>
      <c r="Q247" s="631"/>
      <c r="R247" s="631"/>
      <c r="S247" s="631"/>
      <c r="T247" s="43"/>
      <c r="U247" s="45"/>
      <c r="V247" s="45"/>
      <c r="X247" s="40"/>
    </row>
    <row r="248" spans="1:24" x14ac:dyDescent="0.25">
      <c r="A248" s="20"/>
      <c r="B248" s="631"/>
      <c r="C248" s="631"/>
      <c r="D248" s="631"/>
      <c r="E248" s="631"/>
      <c r="F248" s="631"/>
      <c r="G248" s="631"/>
      <c r="H248" s="631"/>
      <c r="I248" s="631"/>
      <c r="J248" s="631"/>
      <c r="L248" s="631"/>
      <c r="M248" s="631"/>
      <c r="N248" s="631"/>
      <c r="O248" s="631"/>
      <c r="P248" s="631"/>
      <c r="Q248" s="631"/>
      <c r="R248" s="631"/>
      <c r="S248" s="631"/>
      <c r="T248" s="631"/>
      <c r="U248" s="631"/>
      <c r="V248" s="631"/>
      <c r="X248" s="631"/>
    </row>
    <row r="249" spans="1:24" x14ac:dyDescent="0.25">
      <c r="A249" s="20"/>
      <c r="B249" s="631"/>
      <c r="C249" s="631"/>
      <c r="D249" s="631"/>
      <c r="E249" s="631"/>
      <c r="F249" s="631"/>
      <c r="G249" s="631"/>
      <c r="H249" s="21"/>
      <c r="I249" s="631"/>
      <c r="J249" s="631"/>
      <c r="L249" s="631"/>
      <c r="M249" s="631"/>
      <c r="N249" s="631"/>
      <c r="O249" s="631"/>
      <c r="P249" s="631"/>
      <c r="Q249" s="631"/>
      <c r="R249" s="631"/>
      <c r="S249" s="631"/>
      <c r="T249" s="43"/>
      <c r="U249" s="45"/>
      <c r="V249" s="45"/>
      <c r="X249" s="40"/>
    </row>
    <row r="250" spans="1:24" x14ac:dyDescent="0.25">
      <c r="A250" s="20"/>
      <c r="B250" s="631"/>
      <c r="C250" s="631"/>
      <c r="D250" s="631"/>
      <c r="E250" s="631"/>
      <c r="F250" s="631"/>
      <c r="G250" s="631"/>
      <c r="H250" s="21"/>
      <c r="I250" s="631"/>
      <c r="J250" s="631"/>
      <c r="L250" s="631"/>
      <c r="M250" s="631"/>
      <c r="N250" s="631"/>
      <c r="O250" s="631"/>
      <c r="P250" s="631"/>
      <c r="Q250" s="631"/>
      <c r="R250" s="631"/>
      <c r="S250" s="631"/>
      <c r="T250" s="631"/>
      <c r="U250" s="631"/>
      <c r="V250" s="631"/>
      <c r="X250" s="631"/>
    </row>
    <row r="251" spans="1:24" x14ac:dyDescent="0.25">
      <c r="A251" s="20"/>
      <c r="B251" s="631"/>
      <c r="C251" s="631"/>
      <c r="D251" s="631"/>
      <c r="E251" s="631"/>
      <c r="F251" s="631"/>
      <c r="G251" s="631"/>
      <c r="H251" s="21"/>
      <c r="I251" s="631"/>
      <c r="J251" s="631"/>
      <c r="L251" s="631"/>
      <c r="M251" s="631"/>
      <c r="N251" s="631"/>
      <c r="O251" s="631"/>
      <c r="P251" s="631"/>
      <c r="Q251" s="631"/>
      <c r="R251" s="631"/>
      <c r="S251" s="631"/>
      <c r="T251" s="43"/>
      <c r="U251" s="45"/>
      <c r="V251" s="45"/>
      <c r="X251" s="40"/>
    </row>
    <row r="252" spans="1:24" x14ac:dyDescent="0.25">
      <c r="A252" s="20"/>
      <c r="B252" s="631"/>
      <c r="C252" s="631"/>
      <c r="D252" s="631"/>
      <c r="E252" s="631"/>
      <c r="F252" s="631"/>
      <c r="G252" s="631"/>
      <c r="H252" s="21"/>
      <c r="I252" s="631"/>
      <c r="J252" s="631"/>
      <c r="L252" s="631"/>
      <c r="M252" s="631"/>
      <c r="N252" s="631"/>
      <c r="O252" s="631"/>
      <c r="P252" s="631"/>
      <c r="Q252" s="631"/>
      <c r="R252" s="631"/>
      <c r="S252" s="631"/>
      <c r="T252" s="43"/>
      <c r="U252" s="45"/>
      <c r="V252" s="45"/>
      <c r="X252" s="40"/>
    </row>
    <row r="253" spans="1:24" x14ac:dyDescent="0.25">
      <c r="A253" s="20"/>
      <c r="B253" s="631"/>
      <c r="C253" s="631"/>
      <c r="D253" s="631"/>
      <c r="E253" s="631"/>
      <c r="F253" s="631"/>
      <c r="G253" s="631"/>
      <c r="H253" s="21"/>
      <c r="I253" s="631"/>
      <c r="J253" s="631"/>
      <c r="L253" s="631"/>
      <c r="M253" s="631"/>
      <c r="N253" s="631"/>
      <c r="O253" s="631"/>
      <c r="P253" s="631"/>
      <c r="Q253" s="631"/>
      <c r="R253" s="631"/>
      <c r="S253" s="631"/>
      <c r="T253" s="631"/>
      <c r="U253" s="631"/>
      <c r="V253" s="631"/>
      <c r="X253" s="631"/>
    </row>
    <row r="254" spans="1:24" x14ac:dyDescent="0.25">
      <c r="A254" s="20"/>
      <c r="B254" s="631"/>
      <c r="C254" s="631"/>
      <c r="D254" s="631"/>
      <c r="E254" s="631"/>
      <c r="F254" s="631"/>
      <c r="G254" s="631"/>
      <c r="H254" s="21"/>
      <c r="I254" s="631"/>
      <c r="J254" s="631"/>
      <c r="L254" s="631"/>
      <c r="M254" s="631"/>
      <c r="N254" s="631"/>
      <c r="O254" s="631"/>
      <c r="P254" s="631"/>
      <c r="Q254" s="631"/>
      <c r="R254" s="631"/>
      <c r="S254" s="631"/>
      <c r="T254" s="631"/>
      <c r="U254" s="631"/>
      <c r="V254" s="631"/>
      <c r="X254" s="631"/>
    </row>
    <row r="255" spans="1:24" x14ac:dyDescent="0.25">
      <c r="A255" s="20"/>
      <c r="B255" s="631"/>
      <c r="C255" s="631"/>
      <c r="D255" s="631"/>
      <c r="E255" s="631"/>
      <c r="F255" s="631"/>
      <c r="G255" s="631"/>
      <c r="H255" s="631"/>
      <c r="I255" s="631"/>
      <c r="J255" s="631"/>
      <c r="L255" s="631"/>
      <c r="M255" s="631"/>
      <c r="N255" s="631"/>
      <c r="O255" s="631"/>
      <c r="P255" s="631"/>
      <c r="Q255" s="631"/>
      <c r="R255" s="631"/>
      <c r="S255" s="631"/>
      <c r="T255" s="631"/>
      <c r="U255" s="631"/>
      <c r="V255" s="631"/>
      <c r="X255" s="631"/>
    </row>
    <row r="256" spans="1:24" x14ac:dyDescent="0.25">
      <c r="A256" s="20"/>
      <c r="B256" s="631"/>
      <c r="C256" s="631"/>
      <c r="D256" s="631"/>
      <c r="E256" s="631"/>
      <c r="F256" s="631"/>
      <c r="G256" s="631"/>
      <c r="H256" s="21"/>
      <c r="I256" s="631"/>
      <c r="J256" s="631"/>
      <c r="L256" s="631"/>
      <c r="M256" s="631"/>
      <c r="N256" s="631"/>
      <c r="O256" s="631"/>
      <c r="P256" s="631"/>
      <c r="Q256" s="631"/>
      <c r="R256" s="631"/>
      <c r="S256" s="631"/>
      <c r="T256" s="43"/>
      <c r="U256" s="45"/>
      <c r="V256" s="45"/>
      <c r="X256" s="40"/>
    </row>
    <row r="257" spans="1:24" x14ac:dyDescent="0.25">
      <c r="A257" s="20"/>
      <c r="B257" s="631"/>
      <c r="C257" s="631"/>
      <c r="D257" s="631"/>
      <c r="E257" s="631"/>
      <c r="F257" s="631"/>
      <c r="G257" s="631"/>
      <c r="H257" s="21"/>
      <c r="I257" s="631"/>
      <c r="J257" s="631"/>
      <c r="L257" s="631"/>
      <c r="M257" s="631"/>
      <c r="N257" s="631"/>
      <c r="O257" s="631"/>
      <c r="P257" s="631"/>
      <c r="Q257" s="631"/>
      <c r="R257" s="631"/>
      <c r="S257" s="631"/>
      <c r="T257" s="43"/>
      <c r="U257" s="45"/>
      <c r="V257" s="45"/>
      <c r="X257" s="40"/>
    </row>
    <row r="258" spans="1:24" x14ac:dyDescent="0.25">
      <c r="A258" s="20"/>
      <c r="B258" s="631"/>
      <c r="C258" s="631"/>
      <c r="D258" s="631"/>
      <c r="E258" s="631"/>
      <c r="F258" s="631"/>
      <c r="G258" s="631"/>
      <c r="H258" s="21"/>
      <c r="I258" s="631"/>
      <c r="J258" s="631"/>
      <c r="L258" s="631"/>
      <c r="M258" s="631"/>
      <c r="N258" s="631"/>
      <c r="O258" s="631"/>
      <c r="P258" s="631"/>
      <c r="Q258" s="631"/>
      <c r="R258" s="631"/>
      <c r="S258" s="631"/>
      <c r="T258" s="43"/>
      <c r="U258" s="45"/>
      <c r="V258" s="45"/>
      <c r="X258" s="40"/>
    </row>
    <row r="259" spans="1:24" x14ac:dyDescent="0.25">
      <c r="A259" s="20"/>
      <c r="B259" s="631"/>
      <c r="C259" s="631"/>
      <c r="D259" s="631"/>
      <c r="E259" s="631"/>
      <c r="F259" s="631"/>
      <c r="G259" s="631"/>
      <c r="H259" s="21"/>
      <c r="I259" s="631"/>
      <c r="J259" s="631"/>
      <c r="L259" s="631"/>
      <c r="M259" s="631"/>
      <c r="N259" s="631"/>
      <c r="O259" s="631"/>
      <c r="P259" s="631"/>
      <c r="Q259" s="631"/>
      <c r="R259" s="631"/>
      <c r="S259" s="631"/>
      <c r="T259" s="43"/>
      <c r="U259" s="45"/>
      <c r="V259" s="45"/>
      <c r="X259" s="40"/>
    </row>
    <row r="260" spans="1:24" x14ac:dyDescent="0.25">
      <c r="A260" s="20"/>
      <c r="B260" s="631"/>
      <c r="C260" s="631"/>
      <c r="D260" s="631"/>
      <c r="E260" s="631"/>
      <c r="F260" s="631"/>
      <c r="G260" s="631"/>
      <c r="H260" s="21"/>
      <c r="I260" s="631"/>
      <c r="J260" s="631"/>
      <c r="L260" s="631"/>
      <c r="M260" s="631"/>
      <c r="N260" s="631"/>
      <c r="O260" s="631"/>
      <c r="P260" s="631"/>
      <c r="Q260" s="631"/>
      <c r="R260" s="631"/>
      <c r="S260" s="631"/>
      <c r="T260" s="43"/>
      <c r="U260" s="45"/>
      <c r="V260" s="45"/>
      <c r="X260" s="40"/>
    </row>
    <row r="261" spans="1:24" x14ac:dyDescent="0.25">
      <c r="A261" s="20"/>
      <c r="B261" s="631"/>
      <c r="C261" s="631"/>
      <c r="D261" s="631"/>
      <c r="E261" s="631"/>
      <c r="F261" s="631"/>
      <c r="G261" s="631"/>
      <c r="H261" s="21"/>
      <c r="I261" s="631"/>
      <c r="J261" s="631"/>
      <c r="L261" s="631"/>
      <c r="M261" s="631"/>
      <c r="N261" s="631"/>
      <c r="O261" s="631"/>
      <c r="P261" s="631"/>
      <c r="Q261" s="631"/>
      <c r="R261" s="631"/>
      <c r="S261" s="631"/>
      <c r="T261" s="43"/>
      <c r="U261" s="45"/>
      <c r="V261" s="45"/>
      <c r="X261" s="40"/>
    </row>
    <row r="262" spans="1:24" x14ac:dyDescent="0.25">
      <c r="A262" s="20"/>
      <c r="B262" s="631"/>
      <c r="C262" s="631"/>
      <c r="D262" s="631"/>
      <c r="E262" s="631"/>
      <c r="F262" s="631"/>
      <c r="G262" s="631"/>
      <c r="H262" s="21"/>
      <c r="I262" s="631"/>
      <c r="J262" s="631"/>
      <c r="L262" s="631"/>
      <c r="M262" s="631"/>
      <c r="N262" s="631"/>
      <c r="O262" s="631"/>
      <c r="P262" s="631"/>
      <c r="Q262" s="631"/>
      <c r="R262" s="631"/>
      <c r="S262" s="631"/>
      <c r="T262" s="43"/>
      <c r="U262" s="45"/>
      <c r="V262" s="45"/>
      <c r="X262" s="40"/>
    </row>
    <row r="263" spans="1:24" x14ac:dyDescent="0.25">
      <c r="A263" s="20"/>
      <c r="B263" s="631"/>
      <c r="C263" s="631"/>
      <c r="D263" s="631"/>
      <c r="E263" s="631"/>
      <c r="F263" s="631"/>
      <c r="G263" s="631"/>
      <c r="H263" s="21"/>
      <c r="I263" s="631"/>
      <c r="J263" s="631"/>
      <c r="L263" s="631"/>
      <c r="M263" s="631"/>
      <c r="N263" s="631"/>
      <c r="O263" s="631"/>
      <c r="P263" s="631"/>
      <c r="Q263" s="631"/>
      <c r="R263" s="631"/>
      <c r="S263" s="631"/>
      <c r="T263" s="43"/>
      <c r="U263" s="45"/>
      <c r="V263" s="45"/>
      <c r="X263" s="40"/>
    </row>
    <row r="264" spans="1:24" x14ac:dyDescent="0.25">
      <c r="A264" s="20"/>
      <c r="B264" s="631"/>
      <c r="C264" s="631"/>
      <c r="D264" s="631"/>
      <c r="E264" s="631"/>
      <c r="F264" s="631"/>
      <c r="G264" s="631"/>
      <c r="H264" s="21"/>
      <c r="I264" s="631"/>
      <c r="J264" s="631"/>
      <c r="L264" s="631"/>
      <c r="M264" s="631"/>
      <c r="N264" s="631"/>
      <c r="O264" s="631"/>
      <c r="P264" s="631"/>
      <c r="Q264" s="631"/>
      <c r="R264" s="631"/>
      <c r="S264" s="631"/>
      <c r="T264" s="631"/>
      <c r="U264" s="631"/>
      <c r="V264" s="631"/>
      <c r="X264" s="631"/>
    </row>
    <row r="265" spans="1:24" x14ac:dyDescent="0.25">
      <c r="A265" s="20"/>
      <c r="B265" s="631"/>
      <c r="C265" s="631"/>
      <c r="D265" s="631"/>
      <c r="E265" s="631"/>
      <c r="F265" s="631"/>
      <c r="G265" s="631"/>
      <c r="H265" s="21"/>
      <c r="I265" s="631"/>
      <c r="J265" s="631"/>
      <c r="L265" s="631"/>
      <c r="M265" s="631"/>
      <c r="N265" s="631"/>
      <c r="O265" s="631"/>
      <c r="P265" s="631"/>
      <c r="Q265" s="631"/>
      <c r="R265" s="631"/>
      <c r="S265" s="631"/>
      <c r="T265" s="631"/>
      <c r="U265" s="631"/>
      <c r="V265" s="631"/>
      <c r="X265" s="631"/>
    </row>
    <row r="266" spans="1:24" x14ac:dyDescent="0.25">
      <c r="A266" s="20"/>
      <c r="B266" s="631"/>
      <c r="C266" s="631"/>
      <c r="D266" s="631"/>
      <c r="E266" s="631"/>
      <c r="F266" s="631"/>
      <c r="G266" s="631"/>
      <c r="H266" s="21"/>
      <c r="I266" s="631"/>
      <c r="J266" s="631"/>
      <c r="L266" s="631"/>
      <c r="M266" s="631"/>
      <c r="N266" s="631"/>
      <c r="O266" s="631"/>
      <c r="P266" s="631"/>
      <c r="Q266" s="631"/>
      <c r="R266" s="631"/>
      <c r="S266" s="631"/>
      <c r="T266" s="631"/>
      <c r="U266" s="631"/>
      <c r="V266" s="631"/>
      <c r="X266" s="631"/>
    </row>
    <row r="267" spans="1:24" x14ac:dyDescent="0.25">
      <c r="A267" s="20"/>
      <c r="B267" s="631"/>
      <c r="C267" s="631"/>
      <c r="D267" s="631"/>
      <c r="E267" s="631"/>
      <c r="F267" s="631"/>
      <c r="G267" s="631"/>
      <c r="H267" s="21"/>
      <c r="I267" s="631"/>
      <c r="J267" s="631"/>
      <c r="L267" s="631"/>
      <c r="M267" s="631"/>
      <c r="N267" s="631"/>
      <c r="O267" s="631"/>
      <c r="P267" s="631"/>
      <c r="Q267" s="631"/>
      <c r="R267" s="631"/>
      <c r="S267" s="631"/>
      <c r="T267" s="631"/>
      <c r="U267" s="631"/>
      <c r="V267" s="631"/>
      <c r="X267" s="631"/>
    </row>
    <row r="268" spans="1:24" x14ac:dyDescent="0.25">
      <c r="A268" s="20"/>
      <c r="B268" s="631"/>
      <c r="C268" s="631"/>
      <c r="D268" s="631"/>
      <c r="E268" s="631"/>
      <c r="F268" s="631"/>
      <c r="G268" s="631"/>
      <c r="H268" s="631"/>
      <c r="I268" s="631"/>
      <c r="J268" s="631"/>
      <c r="L268" s="631"/>
      <c r="M268" s="631"/>
      <c r="N268" s="631"/>
      <c r="O268" s="631"/>
      <c r="P268" s="631"/>
      <c r="Q268" s="631"/>
      <c r="R268" s="631"/>
      <c r="S268" s="631"/>
      <c r="T268" s="631"/>
      <c r="U268" s="631"/>
      <c r="V268" s="631"/>
      <c r="X268" s="631"/>
    </row>
    <row r="269" spans="1:24" x14ac:dyDescent="0.25">
      <c r="A269" s="20"/>
      <c r="B269" s="631"/>
      <c r="C269" s="631"/>
      <c r="D269" s="631"/>
      <c r="E269" s="631"/>
      <c r="F269" s="631"/>
      <c r="G269" s="631"/>
      <c r="H269" s="21"/>
      <c r="I269" s="631"/>
      <c r="J269" s="631"/>
      <c r="L269" s="631"/>
      <c r="M269" s="631"/>
      <c r="N269" s="631"/>
      <c r="O269" s="631"/>
      <c r="P269" s="631"/>
      <c r="Q269" s="631"/>
      <c r="R269" s="631"/>
      <c r="S269" s="631"/>
      <c r="T269" s="43"/>
      <c r="U269" s="45"/>
      <c r="V269" s="45"/>
      <c r="X269" s="40"/>
    </row>
    <row r="270" spans="1:24" x14ac:dyDescent="0.25">
      <c r="A270" s="20"/>
      <c r="B270" s="631"/>
      <c r="C270" s="631"/>
      <c r="D270" s="631"/>
      <c r="E270" s="631"/>
      <c r="F270" s="631"/>
      <c r="G270" s="631"/>
      <c r="H270" s="21"/>
      <c r="I270" s="631"/>
      <c r="J270" s="631"/>
      <c r="L270" s="631"/>
      <c r="M270" s="631"/>
      <c r="N270" s="631"/>
      <c r="O270" s="631"/>
      <c r="P270" s="631"/>
      <c r="Q270" s="631"/>
      <c r="R270" s="631"/>
      <c r="S270" s="631"/>
      <c r="T270" s="43"/>
      <c r="U270" s="45"/>
      <c r="V270" s="45"/>
      <c r="X270" s="40"/>
    </row>
    <row r="271" spans="1:24" x14ac:dyDescent="0.25">
      <c r="A271" s="20"/>
      <c r="B271" s="631"/>
      <c r="C271" s="631"/>
      <c r="D271" s="631"/>
      <c r="E271" s="631"/>
      <c r="F271" s="631"/>
      <c r="G271" s="631"/>
      <c r="H271" s="21"/>
      <c r="I271" s="631"/>
      <c r="J271" s="631"/>
      <c r="L271" s="631"/>
      <c r="M271" s="631"/>
      <c r="N271" s="631"/>
      <c r="O271" s="631"/>
      <c r="P271" s="631"/>
      <c r="Q271" s="631"/>
      <c r="R271" s="631"/>
      <c r="S271" s="631"/>
      <c r="T271" s="43"/>
      <c r="U271" s="45"/>
      <c r="V271" s="45"/>
      <c r="X271" s="40"/>
    </row>
    <row r="272" spans="1:24" x14ac:dyDescent="0.25">
      <c r="A272" s="20"/>
      <c r="B272" s="631"/>
      <c r="C272" s="631"/>
      <c r="D272" s="631"/>
      <c r="E272" s="631"/>
      <c r="F272" s="631"/>
      <c r="G272" s="631"/>
      <c r="H272" s="21"/>
      <c r="I272" s="631"/>
      <c r="J272" s="631"/>
      <c r="L272" s="631"/>
      <c r="M272" s="631"/>
      <c r="N272" s="631"/>
      <c r="O272" s="631"/>
      <c r="P272" s="631"/>
      <c r="Q272" s="631"/>
      <c r="R272" s="631"/>
      <c r="S272" s="631"/>
      <c r="T272" s="631"/>
      <c r="U272" s="631"/>
      <c r="V272" s="631"/>
      <c r="X272" s="631"/>
    </row>
    <row r="273" spans="1:24" x14ac:dyDescent="0.25">
      <c r="A273" s="20"/>
      <c r="B273" s="631"/>
      <c r="C273" s="631"/>
      <c r="D273" s="631"/>
      <c r="E273" s="631"/>
      <c r="F273" s="631"/>
      <c r="G273" s="631"/>
      <c r="H273" s="21"/>
      <c r="I273" s="631"/>
      <c r="J273" s="631"/>
      <c r="L273" s="631"/>
      <c r="M273" s="631"/>
      <c r="N273" s="631"/>
      <c r="O273" s="631"/>
      <c r="P273" s="631"/>
      <c r="Q273" s="631"/>
      <c r="R273" s="631"/>
      <c r="S273" s="631"/>
      <c r="T273" s="43"/>
      <c r="U273" s="45"/>
      <c r="V273" s="45"/>
      <c r="X273" s="40"/>
    </row>
    <row r="274" spans="1:24" x14ac:dyDescent="0.25">
      <c r="A274" s="20"/>
      <c r="B274" s="631"/>
      <c r="C274" s="631"/>
      <c r="D274" s="631"/>
      <c r="E274" s="631"/>
      <c r="F274" s="631"/>
      <c r="G274" s="631"/>
      <c r="H274" s="21"/>
      <c r="I274" s="631"/>
      <c r="J274" s="631"/>
      <c r="L274" s="631"/>
      <c r="M274" s="631"/>
      <c r="N274" s="631"/>
      <c r="O274" s="631"/>
      <c r="P274" s="631"/>
      <c r="Q274" s="631"/>
      <c r="R274" s="631"/>
      <c r="S274" s="631"/>
      <c r="T274" s="631"/>
      <c r="U274" s="631"/>
      <c r="V274" s="631"/>
      <c r="X274" s="631"/>
    </row>
    <row r="275" spans="1:24" x14ac:dyDescent="0.25">
      <c r="A275" s="20"/>
      <c r="B275" s="631"/>
      <c r="C275" s="631"/>
      <c r="D275" s="631"/>
      <c r="E275" s="631"/>
      <c r="F275" s="631"/>
      <c r="G275" s="631"/>
      <c r="H275" s="21"/>
      <c r="I275" s="631"/>
      <c r="J275" s="631"/>
      <c r="L275" s="631"/>
      <c r="M275" s="631"/>
      <c r="N275" s="631"/>
      <c r="O275" s="631"/>
      <c r="P275" s="631"/>
      <c r="Q275" s="631"/>
      <c r="R275" s="631"/>
      <c r="S275" s="631"/>
      <c r="T275" s="43"/>
      <c r="U275" s="45"/>
      <c r="V275" s="45"/>
      <c r="X275" s="40"/>
    </row>
    <row r="276" spans="1:24" x14ac:dyDescent="0.25">
      <c r="A276" s="20"/>
      <c r="B276" s="631"/>
      <c r="C276" s="631"/>
      <c r="D276" s="631"/>
      <c r="E276" s="631"/>
      <c r="F276" s="631"/>
      <c r="G276" s="631"/>
      <c r="H276" s="21"/>
      <c r="I276" s="43"/>
      <c r="J276" s="43"/>
      <c r="K276" s="238"/>
      <c r="L276" s="43"/>
      <c r="M276" s="43"/>
      <c r="N276" s="43"/>
      <c r="O276" s="43"/>
      <c r="P276" s="43"/>
      <c r="Q276" s="43"/>
      <c r="R276" s="43"/>
      <c r="S276" s="43"/>
      <c r="T276" s="43"/>
      <c r="U276" s="45"/>
      <c r="V276" s="45"/>
      <c r="X276" s="40"/>
    </row>
    <row r="277" spans="1:24" x14ac:dyDescent="0.25">
      <c r="A277" s="20"/>
      <c r="B277" s="631"/>
      <c r="C277" s="631"/>
      <c r="D277" s="631"/>
      <c r="E277" s="631"/>
      <c r="F277" s="631"/>
      <c r="G277" s="631"/>
      <c r="H277" s="21"/>
      <c r="I277" s="631"/>
      <c r="J277" s="631"/>
      <c r="L277" s="631"/>
      <c r="M277" s="631"/>
      <c r="N277" s="631"/>
      <c r="O277" s="631"/>
      <c r="P277" s="631"/>
      <c r="Q277" s="631"/>
      <c r="R277" s="631"/>
      <c r="S277" s="631"/>
      <c r="T277" s="631"/>
      <c r="U277" s="631"/>
      <c r="V277" s="631"/>
      <c r="X277" s="631"/>
    </row>
    <row r="278" spans="1:24" x14ac:dyDescent="0.25">
      <c r="A278" s="20"/>
      <c r="B278" s="631"/>
      <c r="C278" s="631"/>
      <c r="D278" s="631"/>
      <c r="E278" s="631"/>
      <c r="F278" s="631"/>
      <c r="G278" s="631"/>
      <c r="H278" s="631"/>
      <c r="I278" s="631"/>
      <c r="J278" s="631"/>
      <c r="L278" s="631"/>
      <c r="M278" s="631"/>
      <c r="N278" s="631"/>
      <c r="O278" s="631"/>
      <c r="P278" s="631"/>
      <c r="Q278" s="631"/>
      <c r="R278" s="631"/>
      <c r="S278" s="631"/>
      <c r="T278" s="631"/>
      <c r="U278" s="631"/>
      <c r="V278" s="631"/>
      <c r="X278" s="631"/>
    </row>
    <row r="279" spans="1:24" x14ac:dyDescent="0.25">
      <c r="A279" s="20"/>
      <c r="B279" s="631"/>
      <c r="C279" s="631"/>
      <c r="D279" s="631"/>
      <c r="E279" s="631"/>
      <c r="F279" s="631"/>
      <c r="G279" s="631"/>
      <c r="H279" s="631"/>
      <c r="I279" s="631"/>
      <c r="J279" s="631"/>
      <c r="L279" s="631"/>
      <c r="M279" s="631"/>
      <c r="N279" s="631"/>
      <c r="O279" s="631"/>
      <c r="P279" s="631"/>
      <c r="Q279" s="631"/>
      <c r="R279" s="631"/>
      <c r="S279" s="631"/>
      <c r="T279" s="631"/>
      <c r="U279" s="631"/>
      <c r="V279" s="631"/>
      <c r="X279" s="631"/>
    </row>
    <row r="280" spans="1:24" x14ac:dyDescent="0.25">
      <c r="A280" s="20"/>
      <c r="B280" s="631"/>
      <c r="C280" s="631"/>
      <c r="D280" s="631"/>
      <c r="E280" s="631"/>
      <c r="F280" s="631"/>
      <c r="G280" s="631"/>
      <c r="H280" s="631"/>
      <c r="I280" s="631"/>
      <c r="J280" s="631"/>
      <c r="L280" s="631"/>
      <c r="M280" s="631"/>
      <c r="N280" s="631"/>
      <c r="O280" s="631"/>
      <c r="P280" s="631"/>
      <c r="Q280" s="631"/>
      <c r="R280" s="631"/>
      <c r="S280" s="631"/>
      <c r="T280" s="631"/>
      <c r="U280" s="631"/>
      <c r="V280" s="631"/>
      <c r="X280" s="631"/>
    </row>
    <row r="281" spans="1:24" x14ac:dyDescent="0.25">
      <c r="A281" s="20"/>
      <c r="B281" s="631"/>
      <c r="C281" s="631"/>
      <c r="D281" s="631"/>
      <c r="E281" s="631"/>
      <c r="F281" s="631"/>
      <c r="G281" s="631"/>
      <c r="H281" s="21"/>
      <c r="I281" s="631"/>
      <c r="J281" s="631"/>
      <c r="L281" s="631"/>
      <c r="M281" s="631"/>
      <c r="N281" s="631"/>
      <c r="O281" s="631"/>
      <c r="P281" s="631"/>
      <c r="Q281" s="631"/>
      <c r="R281" s="631"/>
      <c r="S281" s="631"/>
      <c r="T281" s="631"/>
      <c r="U281" s="631"/>
      <c r="V281" s="631"/>
      <c r="X281" s="631"/>
    </row>
    <row r="282" spans="1:24" x14ac:dyDescent="0.25">
      <c r="A282" s="20"/>
      <c r="B282" s="631"/>
      <c r="C282" s="631"/>
      <c r="D282" s="631"/>
      <c r="E282" s="631"/>
      <c r="F282" s="631"/>
      <c r="G282" s="631"/>
      <c r="H282" s="21"/>
      <c r="I282" s="631"/>
      <c r="J282" s="631"/>
      <c r="L282" s="631"/>
      <c r="M282" s="631"/>
      <c r="N282" s="631"/>
      <c r="O282" s="631"/>
      <c r="P282" s="631"/>
      <c r="Q282" s="631"/>
      <c r="R282" s="631"/>
      <c r="S282" s="631"/>
      <c r="T282" s="631"/>
      <c r="U282" s="631"/>
      <c r="V282" s="631"/>
      <c r="X282" s="631"/>
    </row>
    <row r="283" spans="1:24" x14ac:dyDescent="0.25">
      <c r="A283" s="20"/>
      <c r="B283" s="631"/>
      <c r="C283" s="631"/>
      <c r="D283" s="631"/>
      <c r="E283" s="631"/>
      <c r="F283" s="631"/>
      <c r="G283" s="631"/>
      <c r="H283" s="631"/>
      <c r="I283" s="631"/>
      <c r="J283" s="631"/>
      <c r="L283" s="631"/>
      <c r="M283" s="631"/>
      <c r="N283" s="631"/>
      <c r="O283" s="631"/>
      <c r="P283" s="631"/>
      <c r="Q283" s="631"/>
      <c r="R283" s="631"/>
      <c r="S283" s="631"/>
      <c r="T283" s="631"/>
      <c r="U283" s="631"/>
      <c r="V283" s="631"/>
      <c r="X283" s="631"/>
    </row>
    <row r="284" spans="1:24" x14ac:dyDescent="0.25">
      <c r="A284" s="20"/>
      <c r="B284" s="631"/>
      <c r="C284" s="631"/>
      <c r="D284" s="631"/>
      <c r="E284" s="631"/>
      <c r="F284" s="631"/>
      <c r="G284" s="631"/>
      <c r="H284" s="631"/>
      <c r="I284" s="631"/>
      <c r="J284" s="631"/>
      <c r="L284" s="631"/>
      <c r="M284" s="631"/>
      <c r="N284" s="631"/>
      <c r="O284" s="631"/>
      <c r="P284" s="631"/>
      <c r="Q284" s="631"/>
      <c r="R284" s="631"/>
      <c r="S284" s="631"/>
      <c r="T284" s="631"/>
      <c r="U284" s="631"/>
      <c r="V284" s="631"/>
      <c r="X284" s="631"/>
    </row>
    <row r="285" spans="1:24" x14ac:dyDescent="0.25">
      <c r="A285" s="20"/>
      <c r="B285" s="631"/>
      <c r="C285" s="631"/>
      <c r="D285" s="631"/>
      <c r="E285" s="631"/>
      <c r="F285" s="631"/>
      <c r="G285" s="631"/>
      <c r="H285" s="631"/>
      <c r="I285" s="631"/>
      <c r="J285" s="631"/>
      <c r="L285" s="631"/>
      <c r="M285" s="631"/>
      <c r="N285" s="631"/>
      <c r="O285" s="631"/>
      <c r="P285" s="631"/>
      <c r="Q285" s="631"/>
      <c r="R285" s="631"/>
      <c r="S285" s="631"/>
      <c r="T285" s="631"/>
      <c r="U285" s="631"/>
      <c r="V285" s="631"/>
      <c r="X285" s="631"/>
    </row>
    <row r="286" spans="1:24" x14ac:dyDescent="0.25">
      <c r="A286" s="20"/>
      <c r="B286" s="631"/>
      <c r="C286" s="631"/>
      <c r="D286" s="631"/>
      <c r="E286" s="631"/>
      <c r="F286" s="631"/>
      <c r="G286" s="631"/>
      <c r="H286" s="631"/>
      <c r="I286" s="631"/>
      <c r="J286" s="631"/>
      <c r="L286" s="631"/>
      <c r="M286" s="631"/>
      <c r="N286" s="631"/>
      <c r="O286" s="631"/>
      <c r="P286" s="631"/>
      <c r="Q286" s="631"/>
      <c r="R286" s="631"/>
      <c r="S286" s="631"/>
      <c r="T286" s="631"/>
      <c r="U286" s="631"/>
      <c r="V286" s="631"/>
      <c r="X286" s="631"/>
    </row>
    <row r="287" spans="1:24" x14ac:dyDescent="0.25">
      <c r="A287" s="20"/>
      <c r="B287" s="631"/>
      <c r="C287" s="631"/>
      <c r="D287" s="631"/>
      <c r="E287" s="631"/>
      <c r="F287" s="631"/>
      <c r="G287" s="631"/>
      <c r="H287" s="21"/>
      <c r="I287" s="43"/>
      <c r="J287" s="43"/>
      <c r="K287" s="238"/>
      <c r="L287" s="43"/>
      <c r="M287" s="43"/>
      <c r="N287" s="43"/>
      <c r="O287" s="43"/>
      <c r="P287" s="43"/>
      <c r="Q287" s="43"/>
      <c r="R287" s="43"/>
      <c r="S287" s="43"/>
      <c r="T287" s="43"/>
      <c r="U287" s="45"/>
      <c r="V287" s="45"/>
      <c r="X287" s="40"/>
    </row>
    <row r="288" spans="1:24" x14ac:dyDescent="0.25">
      <c r="A288" s="20"/>
      <c r="B288" s="631"/>
      <c r="C288" s="631"/>
      <c r="D288" s="631"/>
      <c r="E288" s="631"/>
      <c r="F288" s="631"/>
      <c r="G288" s="631"/>
      <c r="H288" s="21"/>
      <c r="I288" s="631"/>
      <c r="J288" s="631"/>
      <c r="L288" s="631"/>
      <c r="M288" s="631"/>
      <c r="N288" s="631"/>
      <c r="O288" s="631"/>
      <c r="P288" s="631"/>
      <c r="Q288" s="631"/>
      <c r="R288" s="631"/>
      <c r="S288" s="631"/>
      <c r="T288" s="631"/>
      <c r="U288" s="631"/>
      <c r="V288" s="631"/>
      <c r="X288" s="631"/>
    </row>
    <row r="289" spans="1:8" x14ac:dyDescent="0.25">
      <c r="A289" s="20"/>
      <c r="B289" s="631"/>
      <c r="C289" s="631"/>
      <c r="D289" s="631"/>
      <c r="E289" s="631"/>
      <c r="F289" s="631"/>
      <c r="G289" s="631"/>
      <c r="H289" s="21"/>
    </row>
    <row r="290" spans="1:8" x14ac:dyDescent="0.25">
      <c r="A290" s="20"/>
      <c r="B290" s="631"/>
      <c r="C290" s="631"/>
      <c r="D290" s="631"/>
      <c r="E290" s="631"/>
      <c r="F290" s="631"/>
      <c r="G290" s="631"/>
      <c r="H290" s="631"/>
    </row>
    <row r="291" spans="1:8" x14ac:dyDescent="0.25">
      <c r="A291" s="20"/>
      <c r="B291" s="631"/>
      <c r="C291" s="631"/>
      <c r="D291" s="631"/>
      <c r="E291" s="631"/>
      <c r="F291" s="631"/>
      <c r="G291" s="631"/>
      <c r="H291" s="631"/>
    </row>
    <row r="292" spans="1:8" x14ac:dyDescent="0.25">
      <c r="A292" s="20"/>
      <c r="B292" s="631"/>
      <c r="C292" s="631"/>
      <c r="D292" s="631"/>
      <c r="E292" s="631"/>
      <c r="F292" s="631"/>
      <c r="G292" s="631"/>
      <c r="H292" s="631"/>
    </row>
    <row r="293" spans="1:8" x14ac:dyDescent="0.25">
      <c r="A293" s="20"/>
      <c r="B293" s="631"/>
      <c r="C293" s="631"/>
      <c r="D293" s="631"/>
      <c r="E293" s="631"/>
      <c r="F293" s="631"/>
      <c r="G293" s="631"/>
      <c r="H293" s="631"/>
    </row>
  </sheetData>
  <conditionalFormatting sqref="B47:M49 X47:XFD48 A45:A46 N45:W46 W49:XFD49 G50:K50 B50:B51 G51:H51 A78:S78 X78:XFD78 A80:S84 A25:XFD44 M55:X56 M63:X64 M69:X69 A85 C85:E85 H85:S85 A94 C94:E94 T92:V93 A86:S86 H94:XFD94 W85 Y85:XFD85 C89:E89 A90:G90 A79:XFD79 W80:XFD84 W86:XFD86 X87:X88 T102:V102 W109:W110 A146:XFD147 C122:K122 Y122:XFD122 T120:V121">
    <cfRule type="expression" dxfId="1307" priority="306">
      <formula>$T25="DSM"</formula>
    </cfRule>
    <cfRule type="expression" dxfId="1306" priority="307">
      <formula>SEARCH("RBT",$T1048575)&gt;0</formula>
    </cfRule>
    <cfRule type="expression" dxfId="1305" priority="308">
      <formula>SEARCH("GST",$T1048575)&gt;0</formula>
    </cfRule>
    <cfRule type="expression" dxfId="1304" priority="309">
      <formula>SEARCH("CHN",$T25)&gt;0</formula>
    </cfRule>
    <cfRule type="expression" dxfId="1303" priority="310">
      <formula>$T25="LFS"</formula>
    </cfRule>
  </conditionalFormatting>
  <conditionalFormatting sqref="B45:M46 X45:XFD46 L50:M50 T50:XFD50 I51:XFD51 C50:F51 W52:XFD52 B52:M54 B55:L55 B56:K56 Y55:XFD56 T57:V57 X57:XFD57 T53:V54 X53:XFD54 B57:M58 B59:F60 H59:M60 T58:XFD60 T61:V61 X61:XFD61 T62:XFD62 B61:M62 B63:L63 Y63:XFD64 A97 Y99:XFD99 A99 C99:E99 C97:E97 H97:S97 H99 W97 Y97:XFD97 W102 C120:M120 Y120:XFD120 F121:G121 I121:K121 W120:W121 C135:D135 A138:XFD144 A149:XFD1048576 H127:K129 Y127:XFD127 H134:M135 W134:W135 Y134:XFD135">
    <cfRule type="expression" dxfId="1302" priority="311">
      <formula>$T45="DSM"</formula>
    </cfRule>
    <cfRule type="expression" dxfId="1301" priority="312">
      <formula>SEARCH("RBT",$T20)&gt;0</formula>
    </cfRule>
    <cfRule type="expression" dxfId="1300" priority="313">
      <formula>SEARCH("GST",$T20)&gt;0</formula>
    </cfRule>
    <cfRule type="expression" dxfId="1299" priority="314">
      <formula>SEARCH("CHN",$T45)&gt;0</formula>
    </cfRule>
    <cfRule type="expression" dxfId="1298" priority="315">
      <formula>$T45="LFS"</formula>
    </cfRule>
  </conditionalFormatting>
  <conditionalFormatting sqref="N47:W48 N49:V49 N50:S50 N57:N59 X66:XFD66 T66:V66 T65:XFD65 N60:S62 A47:A63 T67:XFD68 B69:K69 Y69:XFD69 B65:M68 A74:XFD74 B85 F85:G85 A71:XFD71 A70:V70 X70:XFD70 Y100:XFD100 A98 Y98:XFD98 A100 C100:E100 C98:H98 H100 F89:G89 T85:V88 A107:K107 Y107:XFD107 T109:V110">
    <cfRule type="expression" dxfId="1297" priority="316">
      <formula>$T47="DSM"</formula>
    </cfRule>
    <cfRule type="expression" dxfId="1296" priority="317">
      <formula>SEARCH("RBT",$T20)&gt;0</formula>
    </cfRule>
    <cfRule type="expression" dxfId="1295" priority="318">
      <formula>SEARCH("GST",$T20)&gt;0</formula>
    </cfRule>
    <cfRule type="expression" dxfId="1294" priority="319">
      <formula>SEARCH("CHN",$T47)&gt;0</formula>
    </cfRule>
    <cfRule type="expression" dxfId="1293" priority="320">
      <formula>$T47="LFS"</formula>
    </cfRule>
  </conditionalFormatting>
  <conditionalFormatting sqref="N52:S54">
    <cfRule type="expression" dxfId="1292" priority="301">
      <formula>$T52="DSM"</formula>
    </cfRule>
    <cfRule type="expression" dxfId="1291" priority="302">
      <formula>SEARCH("RBT",$T25)&gt;0</formula>
    </cfRule>
    <cfRule type="expression" dxfId="1290" priority="303">
      <formula>SEARCH("GST",$T25)&gt;0</formula>
    </cfRule>
    <cfRule type="expression" dxfId="1289" priority="304">
      <formula>SEARCH("CHN",$T52)&gt;0</formula>
    </cfRule>
    <cfRule type="expression" dxfId="1288" priority="305">
      <formula>$T52="LFS"</formula>
    </cfRule>
  </conditionalFormatting>
  <conditionalFormatting sqref="T52:V52">
    <cfRule type="expression" dxfId="1287" priority="296">
      <formula>$T52="DSM"</formula>
    </cfRule>
    <cfRule type="expression" dxfId="1286" priority="297">
      <formula>SEARCH("RBT",$T25)&gt;0</formula>
    </cfRule>
    <cfRule type="expression" dxfId="1285" priority="298">
      <formula>SEARCH("GST",$T25)&gt;0</formula>
    </cfRule>
    <cfRule type="expression" dxfId="1284" priority="299">
      <formula>SEARCH("CHN",$T52)&gt;0</formula>
    </cfRule>
    <cfRule type="expression" dxfId="1283" priority="300">
      <formula>$T52="LFS"</formula>
    </cfRule>
  </conditionalFormatting>
  <conditionalFormatting sqref="L56">
    <cfRule type="expression" dxfId="1282" priority="291">
      <formula>$T56="DSM"</formula>
    </cfRule>
    <cfRule type="expression" dxfId="1281" priority="292">
      <formula>SEARCH("RBT",$T31)&gt;0</formula>
    </cfRule>
    <cfRule type="expression" dxfId="1280" priority="293">
      <formula>SEARCH("GST",$T31)&gt;0</formula>
    </cfRule>
    <cfRule type="expression" dxfId="1279" priority="294">
      <formula>SEARCH("CHN",$T56)&gt;0</formula>
    </cfRule>
    <cfRule type="expression" dxfId="1278" priority="295">
      <formula>$T56="LFS"</formula>
    </cfRule>
  </conditionalFormatting>
  <conditionalFormatting sqref="O57:S59">
    <cfRule type="expression" dxfId="1277" priority="286">
      <formula>$T57="DSM"</formula>
    </cfRule>
    <cfRule type="expression" dxfId="1276" priority="287">
      <formula>SEARCH("RBT",$T30)&gt;0</formula>
    </cfRule>
    <cfRule type="expression" dxfId="1275" priority="288">
      <formula>SEARCH("GST",$T30)&gt;0</formula>
    </cfRule>
    <cfRule type="expression" dxfId="1274" priority="289">
      <formula>SEARCH("CHN",$T57)&gt;0</formula>
    </cfRule>
    <cfRule type="expression" dxfId="1273" priority="290">
      <formula>$T57="LFS"</formula>
    </cfRule>
  </conditionalFormatting>
  <conditionalFormatting sqref="G59:G60">
    <cfRule type="expression" dxfId="1272" priority="266">
      <formula>$T59="DSM"</formula>
    </cfRule>
    <cfRule type="expression" dxfId="1271" priority="267">
      <formula>SEARCH("RBT",$T33)&gt;0</formula>
    </cfRule>
    <cfRule type="expression" dxfId="1270" priority="268">
      <formula>SEARCH("GST",$T33)&gt;0</formula>
    </cfRule>
    <cfRule type="expression" dxfId="1269" priority="269">
      <formula>SEARCH("CHN",$T59)&gt;0</formula>
    </cfRule>
    <cfRule type="expression" dxfId="1268" priority="270">
      <formula>$T59="LFS"</formula>
    </cfRule>
  </conditionalFormatting>
  <conditionalFormatting sqref="W57">
    <cfRule type="expression" dxfId="1267" priority="281">
      <formula>$T57="DSM"</formula>
    </cfRule>
    <cfRule type="expression" dxfId="1266" priority="282">
      <formula>SEARCH("RBT",$T31)&gt;0</formula>
    </cfRule>
    <cfRule type="expression" dxfId="1265" priority="283">
      <formula>SEARCH("GST",$T31)&gt;0</formula>
    </cfRule>
    <cfRule type="expression" dxfId="1264" priority="284">
      <formula>SEARCH("CHN",$T57)&gt;0</formula>
    </cfRule>
    <cfRule type="expression" dxfId="1263" priority="285">
      <formula>$T57="LFS"</formula>
    </cfRule>
  </conditionalFormatting>
  <conditionalFormatting sqref="W53">
    <cfRule type="expression" dxfId="1262" priority="276">
      <formula>$T53="DSM"</formula>
    </cfRule>
    <cfRule type="expression" dxfId="1261" priority="277">
      <formula>SEARCH("RBT",$T27)&gt;0</formula>
    </cfRule>
    <cfRule type="expression" dxfId="1260" priority="278">
      <formula>SEARCH("GST",$T27)&gt;0</formula>
    </cfRule>
    <cfRule type="expression" dxfId="1259" priority="279">
      <formula>SEARCH("CHN",$T53)&gt;0</formula>
    </cfRule>
    <cfRule type="expression" dxfId="1258" priority="280">
      <formula>$T53="LFS"</formula>
    </cfRule>
  </conditionalFormatting>
  <conditionalFormatting sqref="W54">
    <cfRule type="expression" dxfId="1257" priority="271">
      <formula>$T54="DSM"</formula>
    </cfRule>
    <cfRule type="expression" dxfId="1256" priority="272">
      <formula>SEARCH("RBT",$T28)&gt;0</formula>
    </cfRule>
    <cfRule type="expression" dxfId="1255" priority="273">
      <formula>SEARCH("GST",$T28)&gt;0</formula>
    </cfRule>
    <cfRule type="expression" dxfId="1254" priority="274">
      <formula>SEARCH("CHN",$T54)&gt;0</formula>
    </cfRule>
    <cfRule type="expression" dxfId="1253" priority="275">
      <formula>$T54="LFS"</formula>
    </cfRule>
  </conditionalFormatting>
  <conditionalFormatting sqref="W61">
    <cfRule type="expression" dxfId="1252" priority="261">
      <formula>$T61="DSM"</formula>
    </cfRule>
    <cfRule type="expression" dxfId="1251" priority="262">
      <formula>SEARCH("RBT",$T35)&gt;0</formula>
    </cfRule>
    <cfRule type="expression" dxfId="1250" priority="263">
      <formula>SEARCH("GST",$T35)&gt;0</formula>
    </cfRule>
    <cfRule type="expression" dxfId="1249" priority="264">
      <formula>SEARCH("CHN",$T61)&gt;0</formula>
    </cfRule>
    <cfRule type="expression" dxfId="1248" priority="265">
      <formula>$T61="LFS"</formula>
    </cfRule>
  </conditionalFormatting>
  <conditionalFormatting sqref="W66 A73:XFD73 A76:XFD77 A136:XFD136">
    <cfRule type="expression" dxfId="1247" priority="256">
      <formula>$T66="DSM"</formula>
    </cfRule>
    <cfRule type="expression" dxfId="1246" priority="257">
      <formula>SEARCH("RBT",$T38)&gt;0</formula>
    </cfRule>
    <cfRule type="expression" dxfId="1245" priority="258">
      <formula>SEARCH("GST",$T38)&gt;0</formula>
    </cfRule>
    <cfRule type="expression" dxfId="1244" priority="259">
      <formula>SEARCH("CHN",$T66)&gt;0</formula>
    </cfRule>
    <cfRule type="expression" dxfId="1243" priority="260">
      <formula>$T66="LFS"</formula>
    </cfRule>
  </conditionalFormatting>
  <conditionalFormatting sqref="N65:S68 A65:A69 I99:X99 L104:X106">
    <cfRule type="expression" dxfId="1242" priority="321">
      <formula>$T65="DSM"</formula>
    </cfRule>
    <cfRule type="expression" dxfId="1241" priority="322">
      <formula>SEARCH("RBT",$T36)&gt;0</formula>
    </cfRule>
    <cfRule type="expression" dxfId="1240" priority="323">
      <formula>SEARCH("GST",$T36)&gt;0</formula>
    </cfRule>
    <cfRule type="expression" dxfId="1239" priority="324">
      <formula>SEARCH("CHN",$T65)&gt;0</formula>
    </cfRule>
    <cfRule type="expression" dxfId="1238" priority="325">
      <formula>$T65="LFS"</formula>
    </cfRule>
  </conditionalFormatting>
  <conditionalFormatting sqref="B64:L64">
    <cfRule type="expression" dxfId="1237" priority="246">
      <formula>$T64="DSM"</formula>
    </cfRule>
    <cfRule type="expression" dxfId="1236" priority="247">
      <formula>SEARCH("RBT",$T39)&gt;0</formula>
    </cfRule>
    <cfRule type="expression" dxfId="1235" priority="248">
      <formula>SEARCH("GST",$T39)&gt;0</formula>
    </cfRule>
    <cfRule type="expression" dxfId="1234" priority="249">
      <formula>SEARCH("CHN",$T64)&gt;0</formula>
    </cfRule>
    <cfRule type="expression" dxfId="1233" priority="250">
      <formula>$T64="LFS"</formula>
    </cfRule>
  </conditionalFormatting>
  <conditionalFormatting sqref="A64">
    <cfRule type="expression" dxfId="1232" priority="251">
      <formula>$T64="DSM"</formula>
    </cfRule>
    <cfRule type="expression" dxfId="1231" priority="252">
      <formula>SEARCH("RBT",$T37)&gt;0</formula>
    </cfRule>
    <cfRule type="expression" dxfId="1230" priority="253">
      <formula>SEARCH("GST",$T37)&gt;0</formula>
    </cfRule>
    <cfRule type="expression" dxfId="1229" priority="254">
      <formula>SEARCH("CHN",$T64)&gt;0</formula>
    </cfRule>
    <cfRule type="expression" dxfId="1228" priority="255">
      <formula>$T64="LFS"</formula>
    </cfRule>
  </conditionalFormatting>
  <conditionalFormatting sqref="L69">
    <cfRule type="expression" dxfId="1227" priority="241">
      <formula>$T69="DSM"</formula>
    </cfRule>
    <cfRule type="expression" dxfId="1226" priority="242">
      <formula>SEARCH("RBT",$T44)&gt;0</formula>
    </cfRule>
    <cfRule type="expression" dxfId="1225" priority="243">
      <formula>SEARCH("GST",$T44)&gt;0</formula>
    </cfRule>
    <cfRule type="expression" dxfId="1224" priority="244">
      <formula>SEARCH("CHN",$T69)&gt;0</formula>
    </cfRule>
    <cfRule type="expression" dxfId="1223" priority="245">
      <formula>$T69="LFS"</formula>
    </cfRule>
  </conditionalFormatting>
  <conditionalFormatting sqref="T75:V75">
    <cfRule type="expression" dxfId="1222" priority="236">
      <formula>$T75="DSM"</formula>
    </cfRule>
    <cfRule type="expression" dxfId="1221" priority="237">
      <formula>SEARCH("RBT",$T48)&gt;0</formula>
    </cfRule>
    <cfRule type="expression" dxfId="1220" priority="238">
      <formula>SEARCH("GST",$T48)&gt;0</formula>
    </cfRule>
    <cfRule type="expression" dxfId="1219" priority="239">
      <formula>SEARCH("CHN",$T75)&gt;0</formula>
    </cfRule>
    <cfRule type="expression" dxfId="1218" priority="240">
      <formula>$T75="LFS"</formula>
    </cfRule>
  </conditionalFormatting>
  <conditionalFormatting sqref="T78:V78">
    <cfRule type="expression" dxfId="1217" priority="231">
      <formula>$T78="DSM"</formula>
    </cfRule>
    <cfRule type="expression" dxfId="1216" priority="232">
      <formula>SEARCH("RBT",$T51)&gt;0</formula>
    </cfRule>
    <cfRule type="expression" dxfId="1215" priority="233">
      <formula>SEARCH("GST",$T51)&gt;0</formula>
    </cfRule>
    <cfRule type="expression" dxfId="1214" priority="234">
      <formula>SEARCH("CHN",$T78)&gt;0</formula>
    </cfRule>
    <cfRule type="expression" dxfId="1213" priority="235">
      <formula>$T78="LFS"</formula>
    </cfRule>
  </conditionalFormatting>
  <conditionalFormatting sqref="T80:V80">
    <cfRule type="expression" dxfId="1212" priority="226">
      <formula>$T80="DSM"</formula>
    </cfRule>
    <cfRule type="expression" dxfId="1211" priority="227">
      <formula>SEARCH("RBT",$T53)&gt;0</formula>
    </cfRule>
    <cfRule type="expression" dxfId="1210" priority="228">
      <formula>SEARCH("GST",$T53)&gt;0</formula>
    </cfRule>
    <cfRule type="expression" dxfId="1209" priority="229">
      <formula>SEARCH("CHN",$T80)&gt;0</formula>
    </cfRule>
    <cfRule type="expression" dxfId="1208" priority="230">
      <formula>$T80="LFS"</formula>
    </cfRule>
  </conditionalFormatting>
  <conditionalFormatting sqref="T81:V84">
    <cfRule type="expression" dxfId="1207" priority="221">
      <formula>$T81="DSM"</formula>
    </cfRule>
    <cfRule type="expression" dxfId="1206" priority="222">
      <formula>SEARCH("RBT",$T54)&gt;0</formula>
    </cfRule>
    <cfRule type="expression" dxfId="1205" priority="223">
      <formula>SEARCH("GST",$T54)&gt;0</formula>
    </cfRule>
    <cfRule type="expression" dxfId="1204" priority="224">
      <formula>SEARCH("CHN",$T81)&gt;0</formula>
    </cfRule>
    <cfRule type="expression" dxfId="1203" priority="225">
      <formula>$T81="LFS"</formula>
    </cfRule>
  </conditionalFormatting>
  <conditionalFormatting sqref="B87:B88 A3:XFD24 F87:F88 W108 B115:M115 X115:XFD115 B116:B118 A145:XFD145 O120:S121 X116:X117">
    <cfRule type="expression" dxfId="1202" priority="326">
      <formula>$T3="DSM"</formula>
    </cfRule>
    <cfRule type="expression" dxfId="1201" priority="327">
      <formula>SEARCH("RBT",$T1048556)&gt;0</formula>
    </cfRule>
    <cfRule type="expression" dxfId="1200" priority="328">
      <formula>SEARCH("GST",$T1048556)&gt;0</formula>
    </cfRule>
    <cfRule type="expression" dxfId="1199" priority="329">
      <formula>SEARCH("CHN",$T3)&gt;0</formula>
    </cfRule>
    <cfRule type="expression" dxfId="1198" priority="330">
      <formula>$T3="LFS"</formula>
    </cfRule>
  </conditionalFormatting>
  <conditionalFormatting sqref="C87:E88 A87:A88 Y87:XFD88 H87:S88 W87:W88 A102:M102 X102:XFD102 C108:M108 X108:XFD108 O108:S108 C114:M114 Y114:XFD114">
    <cfRule type="expression" dxfId="1197" priority="331">
      <formula>$T87="DSM"</formula>
    </cfRule>
    <cfRule type="expression" dxfId="1196" priority="332">
      <formula>SEARCH("RBT",$T66)&gt;0</formula>
    </cfRule>
    <cfRule type="expression" dxfId="1195" priority="333">
      <formula>SEARCH("GST",$T66)&gt;0</formula>
    </cfRule>
    <cfRule type="expression" dxfId="1194" priority="334">
      <formula>SEARCH("CHN",$T87)&gt;0</formula>
    </cfRule>
    <cfRule type="expression" dxfId="1193" priority="335">
      <formula>$T87="LFS"</formula>
    </cfRule>
  </conditionalFormatting>
  <conditionalFormatting sqref="A89">
    <cfRule type="expression" dxfId="1192" priority="211">
      <formula>$T89="DSM"</formula>
    </cfRule>
    <cfRule type="expression" dxfId="1191" priority="212">
      <formula>SEARCH("RBT",$T63)&gt;0</formula>
    </cfRule>
    <cfRule type="expression" dxfId="1190" priority="213">
      <formula>SEARCH("GST",$T63)&gt;0</formula>
    </cfRule>
    <cfRule type="expression" dxfId="1189" priority="214">
      <formula>SEARCH("CHN",$T89)&gt;0</formula>
    </cfRule>
    <cfRule type="expression" dxfId="1188" priority="215">
      <formula>$T89="LFS"</formula>
    </cfRule>
  </conditionalFormatting>
  <conditionalFormatting sqref="B89">
    <cfRule type="expression" dxfId="1187" priority="216">
      <formula>$T89="DSM"</formula>
    </cfRule>
    <cfRule type="expression" dxfId="1186" priority="217">
      <formula>SEARCH("RBT",$T62)&gt;0</formula>
    </cfRule>
    <cfRule type="expression" dxfId="1185" priority="218">
      <formula>SEARCH("GST",$T62)&gt;0</formula>
    </cfRule>
    <cfRule type="expression" dxfId="1184" priority="219">
      <formula>SEARCH("CHN",$T89)&gt;0</formula>
    </cfRule>
    <cfRule type="expression" dxfId="1183" priority="220">
      <formula>$T89="LFS"</formula>
    </cfRule>
  </conditionalFormatting>
  <conditionalFormatting sqref="I89:X89">
    <cfRule type="expression" dxfId="1182" priority="206">
      <formula>$T89="DSM"</formula>
    </cfRule>
    <cfRule type="expression" dxfId="1181" priority="207">
      <formula>SEARCH("RBT",$T61)&gt;0</formula>
    </cfRule>
    <cfRule type="expression" dxfId="1180" priority="208">
      <formula>SEARCH("GST",$T61)&gt;0</formula>
    </cfRule>
    <cfRule type="expression" dxfId="1179" priority="209">
      <formula>SEARCH("CHN",$T89)&gt;0</formula>
    </cfRule>
    <cfRule type="expression" dxfId="1178" priority="210">
      <formula>$T89="LFS"</formula>
    </cfRule>
  </conditionalFormatting>
  <conditionalFormatting sqref="I90:X90">
    <cfRule type="expression" dxfId="1177" priority="201">
      <formula>$T90="DSM"</formula>
    </cfRule>
    <cfRule type="expression" dxfId="1176" priority="202">
      <formula>SEARCH("RBT",$T62)&gt;0</formula>
    </cfRule>
    <cfRule type="expression" dxfId="1175" priority="203">
      <formula>SEARCH("GST",$T62)&gt;0</formula>
    </cfRule>
    <cfRule type="expression" dxfId="1174" priority="204">
      <formula>SEARCH("CHN",$T90)&gt;0</formula>
    </cfRule>
    <cfRule type="expression" dxfId="1173" priority="205">
      <formula>$T90="LFS"</formula>
    </cfRule>
  </conditionalFormatting>
  <conditionalFormatting sqref="I91:X91">
    <cfRule type="expression" dxfId="1172" priority="196">
      <formula>$T91="DSM"</formula>
    </cfRule>
    <cfRule type="expression" dxfId="1171" priority="197">
      <formula>SEARCH("RBT",$T63)&gt;0</formula>
    </cfRule>
    <cfRule type="expression" dxfId="1170" priority="198">
      <formula>SEARCH("GST",$T63)&gt;0</formula>
    </cfRule>
    <cfRule type="expression" dxfId="1169" priority="199">
      <formula>SEARCH("CHN",$T91)&gt;0</formula>
    </cfRule>
    <cfRule type="expression" dxfId="1168" priority="200">
      <formula>$T91="LFS"</formula>
    </cfRule>
  </conditionalFormatting>
  <conditionalFormatting sqref="A91:G91">
    <cfRule type="expression" dxfId="1167" priority="191">
      <formula>$T91="DSM"</formula>
    </cfRule>
    <cfRule type="expression" dxfId="1166" priority="192">
      <formula>SEARCH("RBT",$T65)&gt;0</formula>
    </cfRule>
    <cfRule type="expression" dxfId="1165" priority="193">
      <formula>SEARCH("GST",$T65)&gt;0</formula>
    </cfRule>
    <cfRule type="expression" dxfId="1164" priority="194">
      <formula>SEARCH("CHN",$T91)&gt;0</formula>
    </cfRule>
    <cfRule type="expression" dxfId="1163" priority="195">
      <formula>$T91="LFS"</formula>
    </cfRule>
  </conditionalFormatting>
  <conditionalFormatting sqref="W78">
    <cfRule type="expression" dxfId="1162" priority="336">
      <formula>$T70="DSM"</formula>
    </cfRule>
    <cfRule type="expression" dxfId="1161" priority="337">
      <formula>SEARCH("RBT",$T43)&gt;0</formula>
    </cfRule>
    <cfRule type="expression" dxfId="1160" priority="338">
      <formula>SEARCH("GST",$T43)&gt;0</formula>
    </cfRule>
    <cfRule type="expression" dxfId="1159" priority="339">
      <formula>SEARCH("CHN",$T70)&gt;0</formula>
    </cfRule>
    <cfRule type="expression" dxfId="1158" priority="340">
      <formula>$T70="LFS"</formula>
    </cfRule>
  </conditionalFormatting>
  <conditionalFormatting sqref="G87">
    <cfRule type="expression" dxfId="1157" priority="186">
      <formula>$T87="DSM"</formula>
    </cfRule>
    <cfRule type="expression" dxfId="1156" priority="187">
      <formula>SEARCH("RBT",$T61)&gt;0</formula>
    </cfRule>
    <cfRule type="expression" dxfId="1155" priority="188">
      <formula>SEARCH("GST",$T61)&gt;0</formula>
    </cfRule>
    <cfRule type="expression" dxfId="1154" priority="189">
      <formula>SEARCH("CHN",$T87)&gt;0</formula>
    </cfRule>
    <cfRule type="expression" dxfId="1153" priority="190">
      <formula>$T87="LFS"</formula>
    </cfRule>
  </conditionalFormatting>
  <conditionalFormatting sqref="G88">
    <cfRule type="expression" dxfId="1152" priority="181">
      <formula>$T88="DSM"</formula>
    </cfRule>
    <cfRule type="expression" dxfId="1151" priority="182">
      <formula>SEARCH("RBT",$T62)&gt;0</formula>
    </cfRule>
    <cfRule type="expression" dxfId="1150" priority="183">
      <formula>SEARCH("GST",$T62)&gt;0</formula>
    </cfRule>
    <cfRule type="expression" dxfId="1149" priority="184">
      <formula>SEARCH("CHN",$T88)&gt;0</formula>
    </cfRule>
    <cfRule type="expression" dxfId="1148" priority="185">
      <formula>$T88="LFS"</formula>
    </cfRule>
  </conditionalFormatting>
  <conditionalFormatting sqref="H92:S92 A92:E92 W92 Y92:XFD92 A101:M101 X101:XFD101 Y104:XFD106 A104:K106 X109:X110 B122 B133:M133 W133 B134:G134 B135 E135:G135 Y133:XFD133">
    <cfRule type="expression" dxfId="1147" priority="341">
      <formula>$T92="DSM"</formula>
    </cfRule>
    <cfRule type="expression" dxfId="1146" priority="342">
      <formula>SEARCH("RBT",$T70)&gt;0</formula>
    </cfRule>
    <cfRule type="expression" dxfId="1145" priority="343">
      <formula>SEARCH("GST",$T70)&gt;0</formula>
    </cfRule>
    <cfRule type="expression" dxfId="1144" priority="344">
      <formula>SEARCH("CHN",$T92)&gt;0</formula>
    </cfRule>
    <cfRule type="expression" dxfId="1143" priority="345">
      <formula>$T92="LFS"</formula>
    </cfRule>
  </conditionalFormatting>
  <conditionalFormatting sqref="I100:X100 I98:X98">
    <cfRule type="expression" dxfId="1142" priority="346">
      <formula>$T98="DSM"</formula>
    </cfRule>
    <cfRule type="expression" dxfId="1141" priority="347">
      <formula>SEARCH("RBT",$T67)&gt;0</formula>
    </cfRule>
    <cfRule type="expression" dxfId="1140" priority="348">
      <formula>SEARCH("GST",$T67)&gt;0</formula>
    </cfRule>
    <cfRule type="expression" dxfId="1139" priority="349">
      <formula>SEARCH("CHN",$T98)&gt;0</formula>
    </cfRule>
    <cfRule type="expression" dxfId="1138" priority="350">
      <formula>$T98="LFS"</formula>
    </cfRule>
  </conditionalFormatting>
  <conditionalFormatting sqref="H93:S93 A93:E93 B94:B100 W93 Y93:XFD93 N102:S102 T108:V108 O109:S110 H125:M125 B130:S130 Y125:XFD125 I126:K126 Y128:XFD129 W130:XFD130 F131:G131 B131:B132 X131:X135">
    <cfRule type="expression" dxfId="1137" priority="351">
      <formula>$T93="DSM"</formula>
    </cfRule>
    <cfRule type="expression" dxfId="1136" priority="352">
      <formula>SEARCH("RBT",$T69)&gt;0</formula>
    </cfRule>
    <cfRule type="expression" dxfId="1135" priority="353">
      <formula>SEARCH("GST",$T69)&gt;0</formula>
    </cfRule>
    <cfRule type="expression" dxfId="1134" priority="354">
      <formula>SEARCH("CHN",$T93)&gt;0</formula>
    </cfRule>
    <cfRule type="expression" dxfId="1133" priority="355">
      <formula>$T93="LFS"</formula>
    </cfRule>
  </conditionalFormatting>
  <conditionalFormatting sqref="C95:E95 A95 H95:S95 W95 Y95:XFD95 C118:M118 C116:M116 Y116:XFD116 X118:XFD118 X119">
    <cfRule type="expression" dxfId="1132" priority="356">
      <formula>$T95="DSM"</formula>
    </cfRule>
    <cfRule type="expression" dxfId="1131" priority="357">
      <formula>SEARCH("RBT",$T77)&gt;0</formula>
    </cfRule>
    <cfRule type="expression" dxfId="1130" priority="358">
      <formula>SEARCH("GST",$T77)&gt;0</formula>
    </cfRule>
    <cfRule type="expression" dxfId="1129" priority="359">
      <formula>SEARCH("CHN",$T95)&gt;0</formula>
    </cfRule>
    <cfRule type="expression" dxfId="1128" priority="360">
      <formula>$T95="LFS"</formula>
    </cfRule>
  </conditionalFormatting>
  <conditionalFormatting sqref="C96:E96 A96 H96:S96 W96 Y96:XFD96 B119:M119 C117:M117 Y117:XFD117 Y119:XFD119">
    <cfRule type="expression" dxfId="1127" priority="361">
      <formula>$T96="DSM"</formula>
    </cfRule>
    <cfRule type="expression" dxfId="1126" priority="362">
      <formula>SEARCH("RBT",$T76)&gt;0</formula>
    </cfRule>
    <cfRule type="expression" dxfId="1125" priority="363">
      <formula>SEARCH("GST",$T76)&gt;0</formula>
    </cfRule>
    <cfRule type="expression" dxfId="1124" priority="364">
      <formula>SEARCH("CHN",$T96)&gt;0</formula>
    </cfRule>
    <cfRule type="expression" dxfId="1123" priority="365">
      <formula>$T96="LFS"</formula>
    </cfRule>
  </conditionalFormatting>
  <conditionalFormatting sqref="F92:G92">
    <cfRule type="expression" dxfId="1122" priority="176">
      <formula>$T92="DSM"</formula>
    </cfRule>
    <cfRule type="expression" dxfId="1121" priority="177">
      <formula>SEARCH("RBT",$T66)&gt;0</formula>
    </cfRule>
    <cfRule type="expression" dxfId="1120" priority="178">
      <formula>SEARCH("GST",$T66)&gt;0</formula>
    </cfRule>
    <cfRule type="expression" dxfId="1119" priority="179">
      <formula>SEARCH("CHN",$T92)&gt;0</formula>
    </cfRule>
    <cfRule type="expression" dxfId="1118" priority="180">
      <formula>$T92="LFS"</formula>
    </cfRule>
  </conditionalFormatting>
  <conditionalFormatting sqref="F93:G93">
    <cfRule type="expression" dxfId="1117" priority="171">
      <formula>$T93="DSM"</formula>
    </cfRule>
    <cfRule type="expression" dxfId="1116" priority="172">
      <formula>SEARCH("RBT",$T67)&gt;0</formula>
    </cfRule>
    <cfRule type="expression" dxfId="1115" priority="173">
      <formula>SEARCH("GST",$T67)&gt;0</formula>
    </cfRule>
    <cfRule type="expression" dxfId="1114" priority="174">
      <formula>SEARCH("CHN",$T93)&gt;0</formula>
    </cfRule>
    <cfRule type="expression" dxfId="1113" priority="175">
      <formula>$T93="LFS"</formula>
    </cfRule>
  </conditionalFormatting>
  <conditionalFormatting sqref="F94:G94">
    <cfRule type="expression" dxfId="1112" priority="166">
      <formula>$T94="DSM"</formula>
    </cfRule>
    <cfRule type="expression" dxfId="1111" priority="167">
      <formula>SEARCH("RBT",$T69)&gt;0</formula>
    </cfRule>
    <cfRule type="expression" dxfId="1110" priority="168">
      <formula>SEARCH("GST",$T69)&gt;0</formula>
    </cfRule>
    <cfRule type="expression" dxfId="1109" priority="169">
      <formula>SEARCH("CHN",$T94)&gt;0</formula>
    </cfRule>
    <cfRule type="expression" dxfId="1108" priority="170">
      <formula>$T94="LFS"</formula>
    </cfRule>
  </conditionalFormatting>
  <conditionalFormatting sqref="F95:G95">
    <cfRule type="expression" dxfId="1107" priority="161">
      <formula>$T95="DSM"</formula>
    </cfRule>
    <cfRule type="expression" dxfId="1106" priority="162">
      <formula>SEARCH("RBT",$T72)&gt;0</formula>
    </cfRule>
    <cfRule type="expression" dxfId="1105" priority="163">
      <formula>SEARCH("GST",$T72)&gt;0</formula>
    </cfRule>
    <cfRule type="expression" dxfId="1104" priority="164">
      <formula>SEARCH("CHN",$T95)&gt;0</formula>
    </cfRule>
    <cfRule type="expression" dxfId="1103" priority="165">
      <formula>$T95="LFS"</formula>
    </cfRule>
  </conditionalFormatting>
  <conditionalFormatting sqref="F96:G96">
    <cfRule type="expression" dxfId="1102" priority="156">
      <formula>$T96="DSM"</formula>
    </cfRule>
    <cfRule type="expression" dxfId="1101" priority="157">
      <formula>SEARCH("RBT",$T73)&gt;0</formula>
    </cfRule>
    <cfRule type="expression" dxfId="1100" priority="158">
      <formula>SEARCH("GST",$T73)&gt;0</formula>
    </cfRule>
    <cfRule type="expression" dxfId="1099" priority="159">
      <formula>SEARCH("CHN",$T96)&gt;0</formula>
    </cfRule>
    <cfRule type="expression" dxfId="1098" priority="160">
      <formula>$T96="LFS"</formula>
    </cfRule>
  </conditionalFormatting>
  <conditionalFormatting sqref="F97:G97">
    <cfRule type="expression" dxfId="1097" priority="151">
      <formula>$T97="DSM"</formula>
    </cfRule>
    <cfRule type="expression" dxfId="1096" priority="152">
      <formula>SEARCH("RBT",$T74)&gt;0</formula>
    </cfRule>
    <cfRule type="expression" dxfId="1095" priority="153">
      <formula>SEARCH("GST",$T74)&gt;0</formula>
    </cfRule>
    <cfRule type="expression" dxfId="1094" priority="154">
      <formula>SEARCH("CHN",$T97)&gt;0</formula>
    </cfRule>
    <cfRule type="expression" dxfId="1093" priority="155">
      <formula>$T97="LFS"</formula>
    </cfRule>
  </conditionalFormatting>
  <conditionalFormatting sqref="F99:G100">
    <cfRule type="expression" dxfId="1092" priority="146">
      <formula>$T99="DSM"</formula>
    </cfRule>
    <cfRule type="expression" dxfId="1091" priority="147">
      <formula>SEARCH("RBT",$T76)&gt;0</formula>
    </cfRule>
    <cfRule type="expression" dxfId="1090" priority="148">
      <formula>SEARCH("GST",$T76)&gt;0</formula>
    </cfRule>
    <cfRule type="expression" dxfId="1089" priority="149">
      <formula>SEARCH("CHN",$T99)&gt;0</formula>
    </cfRule>
    <cfRule type="expression" dxfId="1088" priority="150">
      <formula>$T99="LFS"</formula>
    </cfRule>
  </conditionalFormatting>
  <conditionalFormatting sqref="X92:X93">
    <cfRule type="expression" dxfId="1087" priority="141">
      <formula>$T92="DSM"</formula>
    </cfRule>
    <cfRule type="expression" dxfId="1086" priority="142">
      <formula>SEARCH("RBT",$T66)&gt;0</formula>
    </cfRule>
    <cfRule type="expression" dxfId="1085" priority="143">
      <formula>SEARCH("GST",$T66)&gt;0</formula>
    </cfRule>
    <cfRule type="expression" dxfId="1084" priority="144">
      <formula>SEARCH("CHN",$T92)&gt;0</formula>
    </cfRule>
    <cfRule type="expression" dxfId="1083" priority="145">
      <formula>$T92="LFS"</formula>
    </cfRule>
  </conditionalFormatting>
  <conditionalFormatting sqref="X95">
    <cfRule type="expression" dxfId="1082" priority="136">
      <formula>$T95="DSM"</formula>
    </cfRule>
    <cfRule type="expression" dxfId="1081" priority="137">
      <formula>SEARCH("RBT",$T69)&gt;0</formula>
    </cfRule>
    <cfRule type="expression" dxfId="1080" priority="138">
      <formula>SEARCH("GST",$T69)&gt;0</formula>
    </cfRule>
    <cfRule type="expression" dxfId="1079" priority="139">
      <formula>SEARCH("CHN",$T95)&gt;0</formula>
    </cfRule>
    <cfRule type="expression" dxfId="1078" priority="140">
      <formula>$T95="LFS"</formula>
    </cfRule>
  </conditionalFormatting>
  <conditionalFormatting sqref="X96:X97">
    <cfRule type="expression" dxfId="1077" priority="131">
      <formula>$T96="DSM"</formula>
    </cfRule>
    <cfRule type="expression" dxfId="1076" priority="132">
      <formula>SEARCH("RBT",$T70)&gt;0</formula>
    </cfRule>
    <cfRule type="expression" dxfId="1075" priority="133">
      <formula>SEARCH("GST",$T70)&gt;0</formula>
    </cfRule>
    <cfRule type="expression" dxfId="1074" priority="134">
      <formula>SEARCH("CHN",$T96)&gt;0</formula>
    </cfRule>
    <cfRule type="expression" dxfId="1073" priority="135">
      <formula>$T96="LFS"</formula>
    </cfRule>
  </conditionalFormatting>
  <conditionalFormatting sqref="X85">
    <cfRule type="expression" dxfId="1072" priority="126">
      <formula>$T85="DSM"</formula>
    </cfRule>
    <cfRule type="expression" dxfId="1071" priority="127">
      <formula>SEARCH("RBT",$T57)&gt;0</formula>
    </cfRule>
    <cfRule type="expression" dxfId="1070" priority="128">
      <formula>SEARCH("GST",$T57)&gt;0</formula>
    </cfRule>
    <cfRule type="expression" dxfId="1069" priority="129">
      <formula>SEARCH("CHN",$T85)&gt;0</formula>
    </cfRule>
    <cfRule type="expression" dxfId="1068" priority="130">
      <formula>$T85="LFS"</formula>
    </cfRule>
  </conditionalFormatting>
  <conditionalFormatting sqref="A72:XFD72 A110:B110 A108:B108 A111:K111 Y111:XFD111 A112:A122 C121:E121 H121 L121:M121 Y121:XFD121">
    <cfRule type="expression" dxfId="1067" priority="366">
      <formula>$T72="DSM"</formula>
    </cfRule>
    <cfRule type="expression" dxfId="1066" priority="367">
      <formula>SEARCH("RBT",#REF!)&gt;0</formula>
    </cfRule>
    <cfRule type="expression" dxfId="1065" priority="368">
      <formula>SEARCH("GST",#REF!)&gt;0</formula>
    </cfRule>
    <cfRule type="expression" dxfId="1064" priority="369">
      <formula>SEARCH("CHN",$T72)&gt;0</formula>
    </cfRule>
    <cfRule type="expression" dxfId="1063" priority="370">
      <formula>$T72="LFS"</formula>
    </cfRule>
  </conditionalFormatting>
  <conditionalFormatting sqref="C110:M110 Y110:XFD110">
    <cfRule type="expression" dxfId="1062" priority="371">
      <formula>$T110="DSM"</formula>
    </cfRule>
    <cfRule type="expression" dxfId="1061" priority="372">
      <formula>SEARCH("RBT",#REF!)&gt;0</formula>
    </cfRule>
    <cfRule type="expression" dxfId="1060" priority="373">
      <formula>SEARCH("GST",#REF!)&gt;0</formula>
    </cfRule>
    <cfRule type="expression" dxfId="1059" priority="374">
      <formula>SEARCH("CHN",$T110)&gt;0</formula>
    </cfRule>
    <cfRule type="expression" dxfId="1058" priority="375">
      <formula>$T110="LFS"</formula>
    </cfRule>
  </conditionalFormatting>
  <conditionalFormatting sqref="A109:M109 C124:M124 Y109:XFD109 Y124:XFD124 C125:G125">
    <cfRule type="expression" dxfId="1057" priority="376">
      <formula>$T109="DSM"</formula>
    </cfRule>
    <cfRule type="expression" dxfId="1056" priority="377">
      <formula>SEARCH("RBT",#REF!)&gt;0</formula>
    </cfRule>
    <cfRule type="expression" dxfId="1055" priority="378">
      <formula>SEARCH("GST",#REF!)&gt;0</formula>
    </cfRule>
    <cfRule type="expression" dxfId="1054" priority="379">
      <formula>SEARCH("CHN",$T109)&gt;0</formula>
    </cfRule>
    <cfRule type="expression" dxfId="1053" priority="380">
      <formula>$T109="LFS"</formula>
    </cfRule>
  </conditionalFormatting>
  <conditionalFormatting sqref="C113:M113 X113:XFD113 X114 B120:B121 C126:H126 Y126:XFD126 C127:G129">
    <cfRule type="expression" dxfId="1052" priority="381">
      <formula>$T113="DSM"</formula>
    </cfRule>
    <cfRule type="expression" dxfId="1051" priority="382">
      <formula>SEARCH("RBT",$T94)&gt;0</formula>
    </cfRule>
    <cfRule type="expression" dxfId="1050" priority="383">
      <formula>SEARCH("GST",$T94)&gt;0</formula>
    </cfRule>
    <cfRule type="expression" dxfId="1049" priority="384">
      <formula>SEARCH("CHN",$T113)&gt;0</formula>
    </cfRule>
    <cfRule type="expression" dxfId="1048" priority="385">
      <formula>$T113="LFS"</formula>
    </cfRule>
  </conditionalFormatting>
  <conditionalFormatting sqref="T95:V97">
    <cfRule type="expression" dxfId="1047" priority="121">
      <formula>$T95="DSM"</formula>
    </cfRule>
    <cfRule type="expression" dxfId="1046" priority="122">
      <formula>SEARCH("RBT",$T68)&gt;0</formula>
    </cfRule>
    <cfRule type="expression" dxfId="1045" priority="123">
      <formula>SEARCH("GST",$T68)&gt;0</formula>
    </cfRule>
    <cfRule type="expression" dxfId="1044" priority="124">
      <formula>SEARCH("CHN",$T95)&gt;0</formula>
    </cfRule>
    <cfRule type="expression" dxfId="1043" priority="125">
      <formula>$T95="LFS"</formula>
    </cfRule>
  </conditionalFormatting>
  <conditionalFormatting sqref="N101:S101">
    <cfRule type="expression" dxfId="1042" priority="116">
      <formula>$T101="DSM"</formula>
    </cfRule>
    <cfRule type="expression" dxfId="1041" priority="117">
      <formula>SEARCH("RBT",$T76)&gt;0</formula>
    </cfRule>
    <cfRule type="expression" dxfId="1040" priority="118">
      <formula>SEARCH("GST",$T76)&gt;0</formula>
    </cfRule>
    <cfRule type="expression" dxfId="1039" priority="119">
      <formula>SEARCH("CHN",$T101)&gt;0</formula>
    </cfRule>
    <cfRule type="expression" dxfId="1038" priority="120">
      <formula>$T101="LFS"</formula>
    </cfRule>
  </conditionalFormatting>
  <conditionalFormatting sqref="T101:V101">
    <cfRule type="expression" dxfId="1037" priority="111">
      <formula>$T101="DSM"</formula>
    </cfRule>
    <cfRule type="expression" dxfId="1036" priority="112">
      <formula>SEARCH("RBT",$T74)&gt;0</formula>
    </cfRule>
    <cfRule type="expression" dxfId="1035" priority="113">
      <formula>SEARCH("GST",$T74)&gt;0</formula>
    </cfRule>
    <cfRule type="expression" dxfId="1034" priority="114">
      <formula>SEARCH("CHN",$T101)&gt;0</formula>
    </cfRule>
    <cfRule type="expression" dxfId="1033" priority="115">
      <formula>$T101="LFS"</formula>
    </cfRule>
  </conditionalFormatting>
  <conditionalFormatting sqref="W101">
    <cfRule type="expression" dxfId="1032" priority="106">
      <formula>$T101="DSM"</formula>
    </cfRule>
    <cfRule type="expression" dxfId="1031" priority="107">
      <formula>SEARCH("RBT",$T75)&gt;0</formula>
    </cfRule>
    <cfRule type="expression" dxfId="1030" priority="108">
      <formula>SEARCH("GST",$T75)&gt;0</formula>
    </cfRule>
    <cfRule type="expression" dxfId="1029" priority="109">
      <formula>SEARCH("CHN",$T101)&gt;0</formula>
    </cfRule>
    <cfRule type="expression" dxfId="1028" priority="110">
      <formula>$T101="LFS"</formula>
    </cfRule>
  </conditionalFormatting>
  <conditionalFormatting sqref="C132:M132 A137:XFD137 A148:XFD148 C131:E131 H131:M131 W131:W132 Y131:XFD132">
    <cfRule type="expression" dxfId="1027" priority="386">
      <formula>$T131="DSM"</formula>
    </cfRule>
    <cfRule type="expression" dxfId="1026" priority="387">
      <formula>SEARCH("RBT",#REF!)&gt;0</formula>
    </cfRule>
    <cfRule type="expression" dxfId="1025" priority="388">
      <formula>SEARCH("GST",#REF!)&gt;0</formula>
    </cfRule>
    <cfRule type="expression" dxfId="1024" priority="389">
      <formula>SEARCH("CHN",$T131)&gt;0</formula>
    </cfRule>
    <cfRule type="expression" dxfId="1023" priority="390">
      <formula>$T131="LFS"</formula>
    </cfRule>
  </conditionalFormatting>
  <conditionalFormatting sqref="W103">
    <cfRule type="expression" dxfId="1022" priority="86">
      <formula>$T103="DSM"</formula>
    </cfRule>
    <cfRule type="expression" dxfId="1021" priority="87">
      <formula>SEARCH("RBT",$T77)&gt;0</formula>
    </cfRule>
    <cfRule type="expression" dxfId="1020" priority="88">
      <formula>SEARCH("GST",$T77)&gt;0</formula>
    </cfRule>
    <cfRule type="expression" dxfId="1019" priority="89">
      <formula>SEARCH("CHN",$T103)&gt;0</formula>
    </cfRule>
    <cfRule type="expression" dxfId="1018" priority="90">
      <formula>$T103="LFS"</formula>
    </cfRule>
  </conditionalFormatting>
  <conditionalFormatting sqref="N103:S103">
    <cfRule type="expression" dxfId="1017" priority="91">
      <formula>$T103="DSM"</formula>
    </cfRule>
    <cfRule type="expression" dxfId="1016" priority="92">
      <formula>SEARCH("RBT",$T78)&gt;0</formula>
    </cfRule>
    <cfRule type="expression" dxfId="1015" priority="93">
      <formula>SEARCH("GST",$T78)&gt;0</formula>
    </cfRule>
    <cfRule type="expression" dxfId="1014" priority="94">
      <formula>SEARCH("CHN",$T103)&gt;0</formula>
    </cfRule>
    <cfRule type="expression" dxfId="1013" priority="95">
      <formula>$T103="LFS"</formula>
    </cfRule>
  </conditionalFormatting>
  <conditionalFormatting sqref="T103:V103">
    <cfRule type="expression" dxfId="1012" priority="96">
      <formula>$T103="DSM"</formula>
    </cfRule>
    <cfRule type="expression" dxfId="1011" priority="97">
      <formula>SEARCH("RBT",$T76)&gt;0</formula>
    </cfRule>
    <cfRule type="expression" dxfId="1010" priority="98">
      <formula>SEARCH("GST",$T76)&gt;0</formula>
    </cfRule>
    <cfRule type="expression" dxfId="1009" priority="99">
      <formula>SEARCH("CHN",$T103)&gt;0</formula>
    </cfRule>
    <cfRule type="expression" dxfId="1008" priority="100">
      <formula>$T103="LFS"</formula>
    </cfRule>
  </conditionalFormatting>
  <conditionalFormatting sqref="A103:M103 X103:XFD103">
    <cfRule type="expression" dxfId="1007" priority="101">
      <formula>$T103="DSM"</formula>
    </cfRule>
    <cfRule type="expression" dxfId="1006" priority="102">
      <formula>SEARCH("RBT",$T81)&gt;0</formula>
    </cfRule>
    <cfRule type="expression" dxfId="1005" priority="103">
      <formula>SEARCH("GST",$T81)&gt;0</formula>
    </cfRule>
    <cfRule type="expression" dxfId="1004" priority="104">
      <formula>SEARCH("CHN",$T103)&gt;0</formula>
    </cfRule>
    <cfRule type="expression" dxfId="1003" priority="105">
      <formula>$T103="LFS"</formula>
    </cfRule>
  </conditionalFormatting>
  <conditionalFormatting sqref="L107:X107">
    <cfRule type="expression" dxfId="1002" priority="391">
      <formula>$T107="DSM"</formula>
    </cfRule>
    <cfRule type="expression" dxfId="1001" priority="392">
      <formula>SEARCH("RBT",$T73)&gt;0</formula>
    </cfRule>
    <cfRule type="expression" dxfId="1000" priority="393">
      <formula>SEARCH("GST",$T73)&gt;0</formula>
    </cfRule>
    <cfRule type="expression" dxfId="999" priority="394">
      <formula>SEARCH("CHN",$T107)&gt;0</formula>
    </cfRule>
    <cfRule type="expression" dxfId="998" priority="395">
      <formula>$T107="LFS"</formula>
    </cfRule>
  </conditionalFormatting>
  <conditionalFormatting sqref="L111:X111">
    <cfRule type="expression" dxfId="997" priority="396">
      <formula>$T111="DSM"</formula>
    </cfRule>
    <cfRule type="expression" dxfId="996" priority="397">
      <formula>SEARCH("RBT",$T74)&gt;0</formula>
    </cfRule>
    <cfRule type="expression" dxfId="995" priority="398">
      <formula>SEARCH("GST",$T74)&gt;0</formula>
    </cfRule>
    <cfRule type="expression" dxfId="994" priority="399">
      <formula>SEARCH("CHN",$T111)&gt;0</formula>
    </cfRule>
    <cfRule type="expression" dxfId="993" priority="400">
      <formula>$T111="LFS"</formula>
    </cfRule>
  </conditionalFormatting>
  <conditionalFormatting sqref="W112:W119">
    <cfRule type="expression" dxfId="992" priority="71">
      <formula>$T112="DSM"</formula>
    </cfRule>
    <cfRule type="expression" dxfId="991" priority="72">
      <formula>SEARCH("RBT",$T86)&gt;0</formula>
    </cfRule>
    <cfRule type="expression" dxfId="990" priority="73">
      <formula>SEARCH("GST",$T86)&gt;0</formula>
    </cfRule>
    <cfRule type="expression" dxfId="989" priority="74">
      <formula>SEARCH("CHN",$T112)&gt;0</formula>
    </cfRule>
    <cfRule type="expression" dxfId="988" priority="75">
      <formula>$T112="LFS"</formula>
    </cfRule>
  </conditionalFormatting>
  <conditionalFormatting sqref="T112:V119">
    <cfRule type="expression" dxfId="987" priority="76">
      <formula>$T112="DSM"</formula>
    </cfRule>
    <cfRule type="expression" dxfId="986" priority="77">
      <formula>SEARCH("RBT",$T85)&gt;0</formula>
    </cfRule>
    <cfRule type="expression" dxfId="985" priority="78">
      <formula>SEARCH("GST",$T85)&gt;0</formula>
    </cfRule>
    <cfRule type="expression" dxfId="984" priority="79">
      <formula>SEARCH("CHN",$T112)&gt;0</formula>
    </cfRule>
    <cfRule type="expression" dxfId="983" priority="80">
      <formula>$T112="LFS"</formula>
    </cfRule>
  </conditionalFormatting>
  <conditionalFormatting sqref="O112:S119">
    <cfRule type="expression" dxfId="982" priority="81">
      <formula>$T112="DSM"</formula>
    </cfRule>
    <cfRule type="expression" dxfId="981" priority="82">
      <formula>SEARCH("RBT",$T88)&gt;0</formula>
    </cfRule>
    <cfRule type="expression" dxfId="980" priority="83">
      <formula>SEARCH("GST",$T88)&gt;0</formula>
    </cfRule>
    <cfRule type="expression" dxfId="979" priority="84">
      <formula>SEARCH("CHN",$T112)&gt;0</formula>
    </cfRule>
    <cfRule type="expression" dxfId="978" priority="85">
      <formula>$T112="LFS"</formula>
    </cfRule>
  </conditionalFormatting>
  <conditionalFormatting sqref="X120:X121">
    <cfRule type="expression" dxfId="977" priority="401">
      <formula>$T120="DSM"</formula>
    </cfRule>
    <cfRule type="expression" dxfId="976" priority="402">
      <formula>SEARCH("RBT",$T103)&gt;0</formula>
    </cfRule>
    <cfRule type="expression" dxfId="975" priority="403">
      <formula>SEARCH("GST",$T103)&gt;0</formula>
    </cfRule>
    <cfRule type="expression" dxfId="974" priority="404">
      <formula>SEARCH("CHN",$T120)&gt;0</formula>
    </cfRule>
    <cfRule type="expression" dxfId="973" priority="405">
      <formula>$T120="LFS"</formula>
    </cfRule>
  </conditionalFormatting>
  <conditionalFormatting sqref="L122:X122">
    <cfRule type="expression" dxfId="972" priority="406">
      <formula>$T122="DSM"</formula>
    </cfRule>
    <cfRule type="expression" dxfId="971" priority="407">
      <formula>SEARCH("RBT",$T83)&gt;0</formula>
    </cfRule>
    <cfRule type="expression" dxfId="970" priority="408">
      <formula>SEARCH("GST",$T83)&gt;0</formula>
    </cfRule>
    <cfRule type="expression" dxfId="969" priority="409">
      <formula>SEARCH("CHN",$T122)&gt;0</formula>
    </cfRule>
    <cfRule type="expression" dxfId="968" priority="410">
      <formula>$T122="LFS"</formula>
    </cfRule>
  </conditionalFormatting>
  <conditionalFormatting sqref="A123:A135">
    <cfRule type="expression" dxfId="967" priority="66">
      <formula>$T123="DSM"</formula>
    </cfRule>
    <cfRule type="expression" dxfId="966" priority="67">
      <formula>SEARCH("RBT",#REF!)&gt;0</formula>
    </cfRule>
    <cfRule type="expression" dxfId="965" priority="68">
      <formula>SEARCH("GST",#REF!)&gt;0</formula>
    </cfRule>
    <cfRule type="expression" dxfId="964" priority="69">
      <formula>SEARCH("CHN",$T123)&gt;0</formula>
    </cfRule>
    <cfRule type="expression" dxfId="963" priority="70">
      <formula>$T123="LFS"</formula>
    </cfRule>
  </conditionalFormatting>
  <conditionalFormatting sqref="O123:S125">
    <cfRule type="expression" dxfId="962" priority="61">
      <formula>$T123="DSM"</formula>
    </cfRule>
    <cfRule type="expression" dxfId="961" priority="62">
      <formula>SEARCH("RBT",$T100)&gt;0</formula>
    </cfRule>
    <cfRule type="expression" dxfId="960" priority="63">
      <formula>SEARCH("GST",$T100)&gt;0</formula>
    </cfRule>
    <cfRule type="expression" dxfId="959" priority="64">
      <formula>SEARCH("CHN",$T123)&gt;0</formula>
    </cfRule>
    <cfRule type="expression" dxfId="958" priority="65">
      <formula>$T123="LFS"</formula>
    </cfRule>
  </conditionalFormatting>
  <conditionalFormatting sqref="T123:V124">
    <cfRule type="expression" dxfId="957" priority="46">
      <formula>$T123="DSM"</formula>
    </cfRule>
    <cfRule type="expression" dxfId="956" priority="47">
      <formula>SEARCH("RBT",$T97)&gt;0</formula>
    </cfRule>
    <cfRule type="expression" dxfId="955" priority="48">
      <formula>SEARCH("GST",$T97)&gt;0</formula>
    </cfRule>
    <cfRule type="expression" dxfId="954" priority="49">
      <formula>SEARCH("CHN",$T123)&gt;0</formula>
    </cfRule>
    <cfRule type="expression" dxfId="953" priority="50">
      <formula>$T123="LFS"</formula>
    </cfRule>
  </conditionalFormatting>
  <conditionalFormatting sqref="W123:W124">
    <cfRule type="expression" dxfId="952" priority="51">
      <formula>$T123="DSM"</formula>
    </cfRule>
    <cfRule type="expression" dxfId="951" priority="52">
      <formula>SEARCH("RBT",$T98)&gt;0</formula>
    </cfRule>
    <cfRule type="expression" dxfId="950" priority="53">
      <formula>SEARCH("GST",$T98)&gt;0</formula>
    </cfRule>
    <cfRule type="expression" dxfId="949" priority="54">
      <formula>SEARCH("CHN",$T123)&gt;0</formula>
    </cfRule>
    <cfRule type="expression" dxfId="948" priority="55">
      <formula>$T123="LFS"</formula>
    </cfRule>
  </conditionalFormatting>
  <conditionalFormatting sqref="X123:X125">
    <cfRule type="expression" dxfId="947" priority="56">
      <formula>$T123="DSM"</formula>
    </cfRule>
    <cfRule type="expression" dxfId="946" priority="57">
      <formula>SEARCH("RBT",$T106)&gt;0</formula>
    </cfRule>
    <cfRule type="expression" dxfId="945" priority="58">
      <formula>SEARCH("GST",$T106)&gt;0</formula>
    </cfRule>
    <cfRule type="expression" dxfId="944" priority="59">
      <formula>SEARCH("CHN",$T123)&gt;0</formula>
    </cfRule>
    <cfRule type="expression" dxfId="943" priority="60">
      <formula>$T123="LFS"</formula>
    </cfRule>
  </conditionalFormatting>
  <conditionalFormatting sqref="T125:V125">
    <cfRule type="expression" dxfId="942" priority="41">
      <formula>$T125="DSM"</formula>
    </cfRule>
    <cfRule type="expression" dxfId="941" priority="42">
      <formula>SEARCH("RBT",$T99)&gt;0</formula>
    </cfRule>
    <cfRule type="expression" dxfId="940" priority="43">
      <formula>SEARCH("GST",$T99)&gt;0</formula>
    </cfRule>
    <cfRule type="expression" dxfId="939" priority="44">
      <formula>SEARCH("CHN",$T125)&gt;0</formula>
    </cfRule>
    <cfRule type="expression" dxfId="938" priority="45">
      <formula>$T125="LFS"</formula>
    </cfRule>
  </conditionalFormatting>
  <conditionalFormatting sqref="W125">
    <cfRule type="expression" dxfId="937" priority="31">
      <formula>$T125="DSM"</formula>
    </cfRule>
    <cfRule type="expression" dxfId="936" priority="32">
      <formula>SEARCH("RBT",$T100)&gt;0</formula>
    </cfRule>
    <cfRule type="expression" dxfId="935" priority="33">
      <formula>SEARCH("GST",$T100)&gt;0</formula>
    </cfRule>
    <cfRule type="expression" dxfId="934" priority="34">
      <formula>SEARCH("CHN",$T125)&gt;0</formula>
    </cfRule>
    <cfRule type="expression" dxfId="933" priority="35">
      <formula>$T125="LFS"</formula>
    </cfRule>
  </conditionalFormatting>
  <conditionalFormatting sqref="L126:X129">
    <cfRule type="expression" dxfId="932" priority="26">
      <formula>$T126="DSM"</formula>
    </cfRule>
    <cfRule type="expression" dxfId="931" priority="27">
      <formula>SEARCH("RBT",$T87)&gt;0</formula>
    </cfRule>
    <cfRule type="expression" dxfId="930" priority="28">
      <formula>SEARCH("GST",$T87)&gt;0</formula>
    </cfRule>
    <cfRule type="expression" dxfId="929" priority="29">
      <formula>SEARCH("CHN",$T126)&gt;0</formula>
    </cfRule>
    <cfRule type="expression" dxfId="928" priority="30">
      <formula>$T126="LFS"</formula>
    </cfRule>
  </conditionalFormatting>
  <conditionalFormatting sqref="T130:V133">
    <cfRule type="expression" dxfId="927" priority="21">
      <formula>$T130="DSM"</formula>
    </cfRule>
    <cfRule type="expression" dxfId="926" priority="22">
      <formula>SEARCH("RBT",$T104)&gt;0</formula>
    </cfRule>
    <cfRule type="expression" dxfId="925" priority="23">
      <formula>SEARCH("GST",$T104)&gt;0</formula>
    </cfRule>
    <cfRule type="expression" dxfId="924" priority="24">
      <formula>SEARCH("CHN",$T130)&gt;0</formula>
    </cfRule>
    <cfRule type="expression" dxfId="923" priority="25">
      <formula>$T130="LFS"</formula>
    </cfRule>
  </conditionalFormatting>
  <conditionalFormatting sqref="P131:S135">
    <cfRule type="expression" dxfId="922" priority="16">
      <formula>$T131="DSM"</formula>
    </cfRule>
    <cfRule type="expression" dxfId="921" priority="17">
      <formula>SEARCH("RBT",$T108)&gt;0</formula>
    </cfRule>
    <cfRule type="expression" dxfId="920" priority="18">
      <formula>SEARCH("GST",$T108)&gt;0</formula>
    </cfRule>
    <cfRule type="expression" dxfId="919" priority="19">
      <formula>SEARCH("CHN",$T131)&gt;0</formula>
    </cfRule>
    <cfRule type="expression" dxfId="918" priority="20">
      <formula>$T131="LFS"</formula>
    </cfRule>
  </conditionalFormatting>
  <conditionalFormatting sqref="O131:O135">
    <cfRule type="expression" dxfId="917" priority="11">
      <formula>$T131="DSM"</formula>
    </cfRule>
    <cfRule type="expression" dxfId="916" priority="12">
      <formula>SEARCH("RBT",$T108)&gt;0</formula>
    </cfRule>
    <cfRule type="expression" dxfId="915" priority="13">
      <formula>SEARCH("GST",$T108)&gt;0</formula>
    </cfRule>
    <cfRule type="expression" dxfId="914" priority="14">
      <formula>SEARCH("CHN",$T131)&gt;0</formula>
    </cfRule>
    <cfRule type="expression" dxfId="913" priority="15">
      <formula>$T131="LFS"</formula>
    </cfRule>
  </conditionalFormatting>
  <conditionalFormatting sqref="T134:V135">
    <cfRule type="expression" dxfId="912" priority="1">
      <formula>$T134="DSM"</formula>
    </cfRule>
    <cfRule type="expression" dxfId="911" priority="2">
      <formula>SEARCH("RBT",$T108)&gt;0</formula>
    </cfRule>
    <cfRule type="expression" dxfId="910" priority="3">
      <formula>SEARCH("GST",$T108)&gt;0</formula>
    </cfRule>
    <cfRule type="expression" dxfId="909" priority="4">
      <formula>SEARCH("CHN",$T134)&gt;0</formula>
    </cfRule>
    <cfRule type="expression" dxfId="908" priority="5">
      <formula>$T134="LFS"</formula>
    </cfRule>
  </conditionalFormatting>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tabColor theme="6" tint="0.59999389629810485"/>
  </sheetPr>
  <dimension ref="A1:Z575"/>
  <sheetViews>
    <sheetView topLeftCell="A205" workbookViewId="0">
      <selection activeCell="Y13" sqref="Y13"/>
    </sheetView>
  </sheetViews>
  <sheetFormatPr defaultColWidth="9.140625" defaultRowHeight="15" x14ac:dyDescent="0.25"/>
  <cols>
    <col min="1" max="1" width="10.7109375" customWidth="1"/>
    <col min="2" max="2" width="9.140625" bestFit="1" customWidth="1"/>
    <col min="3" max="3" width="30.85546875" bestFit="1" customWidth="1"/>
    <col min="4" max="5" width="15.7109375" customWidth="1"/>
    <col min="6" max="6" width="13.42578125" customWidth="1"/>
    <col min="7" max="7" width="10.42578125" customWidth="1"/>
    <col min="8" max="8" width="43.7109375" customWidth="1"/>
    <col min="9" max="9" width="10.42578125" customWidth="1"/>
    <col min="10" max="14" width="20.7109375" customWidth="1"/>
    <col min="15" max="15" width="8" customWidth="1"/>
    <col min="16" max="16" width="15.7109375" customWidth="1"/>
    <col min="17" max="17" width="13" customWidth="1"/>
    <col min="18" max="18" width="13.42578125" customWidth="1"/>
    <col min="19" max="19" width="7.7109375" customWidth="1"/>
    <col min="20" max="20" width="6.85546875" customWidth="1"/>
    <col min="21" max="21" width="14.7109375" bestFit="1" customWidth="1"/>
    <col min="22" max="22" width="11.85546875" customWidth="1"/>
    <col min="23" max="23" width="6.85546875" customWidth="1"/>
    <col min="24" max="24" width="11.42578125" customWidth="1"/>
    <col min="25" max="25" width="54.85546875" customWidth="1"/>
  </cols>
  <sheetData>
    <row r="1" spans="1:25" s="48" customFormat="1" x14ac:dyDescent="0.25">
      <c r="A1" s="147" t="s">
        <v>33</v>
      </c>
      <c r="B1" s="147"/>
      <c r="C1" s="147"/>
      <c r="D1" s="147"/>
      <c r="E1" s="147"/>
      <c r="F1" s="147"/>
      <c r="G1" s="147"/>
      <c r="H1" s="147"/>
      <c r="I1" s="147"/>
      <c r="J1" s="147"/>
      <c r="K1" s="147"/>
      <c r="L1" s="147"/>
      <c r="M1" s="147"/>
      <c r="N1" s="147"/>
      <c r="O1" s="147"/>
      <c r="P1" s="147"/>
      <c r="Q1" s="147"/>
      <c r="R1" s="147"/>
      <c r="S1" s="147"/>
      <c r="T1" s="147"/>
      <c r="U1" s="147"/>
      <c r="V1" s="147"/>
      <c r="W1" s="146"/>
      <c r="X1" s="146"/>
      <c r="Y1" s="5"/>
    </row>
    <row r="2" spans="1:25" s="141" customFormat="1" ht="15.75" thickBot="1" x14ac:dyDescent="0.3">
      <c r="A2" s="140" t="s">
        <v>1</v>
      </c>
      <c r="B2" s="140" t="s">
        <v>2</v>
      </c>
      <c r="C2" s="141" t="s">
        <v>3</v>
      </c>
      <c r="D2" s="141" t="s">
        <v>4</v>
      </c>
      <c r="E2" s="141" t="s">
        <v>5</v>
      </c>
      <c r="F2" s="94" t="s">
        <v>6</v>
      </c>
      <c r="G2" s="141" t="s">
        <v>7</v>
      </c>
      <c r="H2" s="141" t="s">
        <v>8</v>
      </c>
      <c r="I2" s="140" t="s">
        <v>9</v>
      </c>
      <c r="J2" s="142" t="s">
        <v>34</v>
      </c>
      <c r="K2" s="143" t="s">
        <v>35</v>
      </c>
      <c r="L2" s="142" t="s">
        <v>36</v>
      </c>
      <c r="M2" s="95" t="s">
        <v>37</v>
      </c>
      <c r="N2" s="144" t="s">
        <v>38</v>
      </c>
      <c r="O2" s="140" t="s">
        <v>10</v>
      </c>
      <c r="P2" s="140" t="s">
        <v>13</v>
      </c>
      <c r="Q2" s="140" t="s">
        <v>14</v>
      </c>
      <c r="R2" s="140" t="s">
        <v>39</v>
      </c>
      <c r="S2" s="140" t="s">
        <v>19</v>
      </c>
      <c r="T2" s="140" t="s">
        <v>20</v>
      </c>
      <c r="U2" s="140" t="s">
        <v>21</v>
      </c>
      <c r="V2" s="140" t="s">
        <v>40</v>
      </c>
      <c r="W2" s="140" t="s">
        <v>41</v>
      </c>
      <c r="X2" s="140" t="s">
        <v>42</v>
      </c>
      <c r="Y2" s="145" t="s">
        <v>22</v>
      </c>
    </row>
    <row r="3" spans="1:25" s="97" customFormat="1" x14ac:dyDescent="0.25">
      <c r="A3" s="93">
        <v>43073</v>
      </c>
      <c r="B3" s="92" t="str">
        <f t="shared" ref="B3:B66" si="0">TEXT(A3,"ddd")</f>
        <v>Mon</v>
      </c>
      <c r="C3" s="97" t="s">
        <v>106</v>
      </c>
      <c r="D3" s="98">
        <v>38.192839999999997</v>
      </c>
      <c r="E3" s="98">
        <v>-121.65655</v>
      </c>
      <c r="F3" s="97" t="s">
        <v>6835</v>
      </c>
      <c r="G3" s="97" t="s">
        <v>90</v>
      </c>
      <c r="H3" s="97" t="s">
        <v>362</v>
      </c>
      <c r="I3" s="99">
        <v>0.3430555555555555</v>
      </c>
      <c r="J3" s="100">
        <v>120.48</v>
      </c>
      <c r="K3" s="100">
        <v>11.94</v>
      </c>
      <c r="L3" s="100">
        <v>10.042</v>
      </c>
      <c r="M3" s="100">
        <v>1.296</v>
      </c>
      <c r="N3" s="101">
        <v>16.36</v>
      </c>
      <c r="O3" s="97" t="s">
        <v>48</v>
      </c>
      <c r="P3" s="97">
        <v>5</v>
      </c>
      <c r="Q3" s="97">
        <v>5</v>
      </c>
      <c r="R3" s="97" t="s">
        <v>49</v>
      </c>
      <c r="S3" s="97" t="s">
        <v>50</v>
      </c>
      <c r="T3" s="97" t="s">
        <v>50</v>
      </c>
      <c r="U3" s="97" t="s">
        <v>50</v>
      </c>
      <c r="V3" s="97" t="s">
        <v>50</v>
      </c>
      <c r="W3" s="97" t="s">
        <v>50</v>
      </c>
      <c r="X3" s="97" t="s">
        <v>50</v>
      </c>
      <c r="Y3" s="102" t="s">
        <v>6836</v>
      </c>
    </row>
    <row r="4" spans="1:25" s="97" customFormat="1" x14ac:dyDescent="0.25">
      <c r="A4" s="93">
        <v>43073</v>
      </c>
      <c r="B4" s="92" t="str">
        <f t="shared" si="0"/>
        <v>Mon</v>
      </c>
      <c r="C4" s="97" t="s">
        <v>106</v>
      </c>
      <c r="D4" s="98">
        <v>38.240630000000003</v>
      </c>
      <c r="E4" s="98">
        <v>-121.67205</v>
      </c>
      <c r="F4" s="97" t="s">
        <v>6837</v>
      </c>
      <c r="G4" s="97" t="s">
        <v>90</v>
      </c>
      <c r="H4" s="97" t="s">
        <v>362</v>
      </c>
      <c r="I4" s="99">
        <v>0.38958333333333334</v>
      </c>
      <c r="J4" s="100">
        <v>131.86000000000001</v>
      </c>
      <c r="K4" s="100">
        <v>12</v>
      </c>
      <c r="L4" s="100">
        <v>13.48</v>
      </c>
      <c r="M4" s="100">
        <v>1.0720000000000001</v>
      </c>
      <c r="N4" s="101">
        <v>10.42</v>
      </c>
      <c r="O4" s="97" t="s">
        <v>48</v>
      </c>
      <c r="P4" s="97">
        <v>5</v>
      </c>
      <c r="Q4" s="97">
        <v>5</v>
      </c>
      <c r="R4" s="97" t="s">
        <v>49</v>
      </c>
      <c r="S4" s="97" t="s">
        <v>50</v>
      </c>
      <c r="T4" s="97" t="s">
        <v>50</v>
      </c>
      <c r="U4" s="97" t="s">
        <v>50</v>
      </c>
      <c r="V4" s="97" t="s">
        <v>50</v>
      </c>
      <c r="W4" s="97" t="s">
        <v>50</v>
      </c>
      <c r="X4" s="97" t="s">
        <v>50</v>
      </c>
      <c r="Y4" s="102"/>
    </row>
    <row r="5" spans="1:25" s="97" customFormat="1" x14ac:dyDescent="0.25">
      <c r="A5" s="93">
        <v>43073</v>
      </c>
      <c r="B5" s="92" t="str">
        <f t="shared" si="0"/>
        <v>Mon</v>
      </c>
      <c r="C5" s="97" t="s">
        <v>44</v>
      </c>
      <c r="D5" s="98">
        <v>38.053739999999998</v>
      </c>
      <c r="E5" s="98">
        <v>-121.63739</v>
      </c>
      <c r="F5" s="97" t="s">
        <v>6838</v>
      </c>
      <c r="G5" s="97" t="s">
        <v>46</v>
      </c>
      <c r="H5" s="97" t="s">
        <v>47</v>
      </c>
      <c r="I5" s="99">
        <v>0.33680555555555558</v>
      </c>
      <c r="J5" s="100">
        <v>368.18329999999997</v>
      </c>
      <c r="K5" s="100">
        <v>12.533329999999999</v>
      </c>
      <c r="L5" s="100">
        <v>5.165</v>
      </c>
      <c r="M5" s="100">
        <v>1.7316670000000001</v>
      </c>
      <c r="N5" s="101">
        <v>7.26</v>
      </c>
      <c r="O5" s="97" t="s">
        <v>48</v>
      </c>
      <c r="P5" s="97">
        <v>6</v>
      </c>
      <c r="Q5" s="97">
        <v>10</v>
      </c>
      <c r="R5" s="97" t="s">
        <v>49</v>
      </c>
      <c r="S5" s="97" t="s">
        <v>50</v>
      </c>
      <c r="T5" s="97" t="s">
        <v>50</v>
      </c>
      <c r="U5" s="97" t="s">
        <v>50</v>
      </c>
      <c r="V5" s="97" t="s">
        <v>50</v>
      </c>
      <c r="W5" s="97" t="s">
        <v>50</v>
      </c>
      <c r="X5" s="97" t="s">
        <v>50</v>
      </c>
      <c r="Y5" s="102" t="s">
        <v>4292</v>
      </c>
    </row>
    <row r="6" spans="1:25" s="97" customFormat="1" x14ac:dyDescent="0.25">
      <c r="A6" s="93">
        <v>43073</v>
      </c>
      <c r="B6" s="92" t="str">
        <f t="shared" si="0"/>
        <v>Mon</v>
      </c>
      <c r="C6" s="97" t="s">
        <v>44</v>
      </c>
      <c r="D6" s="98">
        <v>38.038809999999998</v>
      </c>
      <c r="E6" s="98">
        <v>-121.48128</v>
      </c>
      <c r="F6" s="97" t="s">
        <v>6839</v>
      </c>
      <c r="G6" s="97" t="s">
        <v>46</v>
      </c>
      <c r="H6" s="97" t="s">
        <v>6840</v>
      </c>
      <c r="I6" s="99">
        <v>0.45763888888888887</v>
      </c>
      <c r="J6" s="100">
        <v>161.05000000000001</v>
      </c>
      <c r="K6" s="100">
        <v>12.48333</v>
      </c>
      <c r="L6" s="100">
        <v>4.9116669999999996</v>
      </c>
      <c r="M6" s="100">
        <v>1.7683329999999999</v>
      </c>
      <c r="N6" s="101">
        <v>5.8</v>
      </c>
      <c r="O6" s="97" t="s">
        <v>48</v>
      </c>
      <c r="P6" s="97">
        <v>6</v>
      </c>
      <c r="Q6" s="97">
        <v>10</v>
      </c>
      <c r="R6" s="97" t="s">
        <v>49</v>
      </c>
      <c r="S6" s="97" t="s">
        <v>50</v>
      </c>
      <c r="T6" s="97" t="s">
        <v>50</v>
      </c>
      <c r="U6" s="97" t="s">
        <v>50</v>
      </c>
      <c r="V6" s="97" t="s">
        <v>50</v>
      </c>
      <c r="W6" s="97" t="s">
        <v>50</v>
      </c>
      <c r="X6" s="97" t="s">
        <v>50</v>
      </c>
      <c r="Y6" s="102" t="s">
        <v>6841</v>
      </c>
    </row>
    <row r="7" spans="1:25" s="97" customFormat="1" x14ac:dyDescent="0.25">
      <c r="A7" s="93">
        <v>43073</v>
      </c>
      <c r="B7" s="92" t="str">
        <f t="shared" si="0"/>
        <v>Mon</v>
      </c>
      <c r="C7" s="97" t="s">
        <v>118</v>
      </c>
      <c r="D7" s="98">
        <v>38.066389999999998</v>
      </c>
      <c r="E7" s="98">
        <v>-122.33238</v>
      </c>
      <c r="F7" s="97" t="s">
        <v>6842</v>
      </c>
      <c r="G7" s="97" t="s">
        <v>80</v>
      </c>
      <c r="H7" s="97" t="s">
        <v>123</v>
      </c>
      <c r="I7" s="99">
        <v>0.36527777777777781</v>
      </c>
      <c r="J7" s="100">
        <v>24540.67</v>
      </c>
      <c r="K7" s="100">
        <v>13.633330000000001</v>
      </c>
      <c r="L7" s="100">
        <v>17.649999999999999</v>
      </c>
      <c r="M7" s="100">
        <v>0.67666700000000002</v>
      </c>
      <c r="N7" s="101">
        <v>2.983333</v>
      </c>
      <c r="O7" s="97" t="s">
        <v>48</v>
      </c>
      <c r="P7" s="97">
        <v>6</v>
      </c>
      <c r="Q7" s="97">
        <v>10</v>
      </c>
      <c r="R7" s="97" t="s">
        <v>64</v>
      </c>
      <c r="S7" s="97" t="s">
        <v>50</v>
      </c>
      <c r="T7" s="97" t="s">
        <v>50</v>
      </c>
      <c r="U7" s="97" t="s">
        <v>50</v>
      </c>
      <c r="V7" s="97" t="s">
        <v>50</v>
      </c>
      <c r="W7" s="97" t="s">
        <v>50</v>
      </c>
      <c r="X7" s="97" t="s">
        <v>50</v>
      </c>
      <c r="Y7" s="102"/>
    </row>
    <row r="8" spans="1:25" s="97" customFormat="1" x14ac:dyDescent="0.25">
      <c r="A8" s="93">
        <v>43073</v>
      </c>
      <c r="B8" s="92" t="str">
        <f t="shared" si="0"/>
        <v>Mon</v>
      </c>
      <c r="C8" s="97" t="s">
        <v>118</v>
      </c>
      <c r="D8" s="98">
        <v>38.02863</v>
      </c>
      <c r="E8" s="98">
        <v>-122.30457</v>
      </c>
      <c r="F8" s="97" t="s">
        <v>6843</v>
      </c>
      <c r="G8" s="97" t="s">
        <v>80</v>
      </c>
      <c r="H8" s="97" t="s">
        <v>123</v>
      </c>
      <c r="I8" s="99">
        <v>0.45277777777777778</v>
      </c>
      <c r="J8" s="100">
        <v>72978.67</v>
      </c>
      <c r="K8" s="100">
        <v>13.45</v>
      </c>
      <c r="L8" s="100">
        <v>63.1</v>
      </c>
      <c r="M8" s="100">
        <v>0.33166699999999999</v>
      </c>
      <c r="N8" s="101">
        <v>3.55</v>
      </c>
      <c r="O8" s="97" t="s">
        <v>48</v>
      </c>
      <c r="P8" s="97">
        <v>6</v>
      </c>
      <c r="Q8" s="97">
        <v>10</v>
      </c>
      <c r="R8" s="97" t="s">
        <v>64</v>
      </c>
      <c r="S8" s="97" t="s">
        <v>50</v>
      </c>
      <c r="T8" s="97" t="s">
        <v>50</v>
      </c>
      <c r="U8" s="97" t="s">
        <v>50</v>
      </c>
      <c r="V8" s="97" t="s">
        <v>50</v>
      </c>
      <c r="W8" s="97" t="s">
        <v>50</v>
      </c>
      <c r="X8" s="97" t="s">
        <v>50</v>
      </c>
      <c r="Y8" s="102"/>
    </row>
    <row r="9" spans="1:25" s="97" customFormat="1" x14ac:dyDescent="0.25">
      <c r="A9" s="93">
        <v>43073</v>
      </c>
      <c r="B9" s="92" t="str">
        <f t="shared" si="0"/>
        <v>Mon</v>
      </c>
      <c r="C9" s="97" t="s">
        <v>118</v>
      </c>
      <c r="D9" s="98">
        <v>38.058819999999997</v>
      </c>
      <c r="E9" s="98">
        <v>-122.31788</v>
      </c>
      <c r="F9" s="97" t="s">
        <v>6844</v>
      </c>
      <c r="G9" s="97" t="s">
        <v>80</v>
      </c>
      <c r="H9" s="97" t="s">
        <v>123</v>
      </c>
      <c r="I9" s="99">
        <v>0.54027777777777775</v>
      </c>
      <c r="J9" s="100">
        <v>26050.33</v>
      </c>
      <c r="K9" s="100">
        <v>13.73333</v>
      </c>
      <c r="L9" s="100">
        <v>17.33333</v>
      </c>
      <c r="M9" s="100">
        <v>0.68666700000000003</v>
      </c>
      <c r="N9" s="101">
        <v>8.233333</v>
      </c>
      <c r="O9" s="97" t="s">
        <v>48</v>
      </c>
      <c r="P9" s="97">
        <v>3</v>
      </c>
      <c r="Q9" s="97">
        <v>10</v>
      </c>
      <c r="R9" s="97" t="s">
        <v>49</v>
      </c>
      <c r="S9" s="97" t="s">
        <v>50</v>
      </c>
      <c r="T9" s="97" t="s">
        <v>50</v>
      </c>
      <c r="U9" s="97" t="s">
        <v>50</v>
      </c>
      <c r="V9" s="97" t="s">
        <v>50</v>
      </c>
      <c r="W9" s="97" t="s">
        <v>50</v>
      </c>
      <c r="X9" s="97" t="s">
        <v>50</v>
      </c>
      <c r="Y9" s="102" t="s">
        <v>6845</v>
      </c>
    </row>
    <row r="10" spans="1:25" s="97" customFormat="1" x14ac:dyDescent="0.25">
      <c r="A10" s="93">
        <v>43074</v>
      </c>
      <c r="B10" s="92" t="str">
        <f t="shared" si="0"/>
        <v>Tue</v>
      </c>
      <c r="C10" s="97" t="s">
        <v>95</v>
      </c>
      <c r="D10" s="98">
        <v>38.042900000000003</v>
      </c>
      <c r="E10" s="98">
        <v>-121.49207</v>
      </c>
      <c r="F10" s="97" t="s">
        <v>6846</v>
      </c>
      <c r="G10" s="97" t="s">
        <v>46</v>
      </c>
      <c r="H10" s="97" t="s">
        <v>115</v>
      </c>
      <c r="I10" s="99">
        <v>0.33958333333333335</v>
      </c>
      <c r="J10" s="100">
        <v>149.52000000000001</v>
      </c>
      <c r="K10" s="100">
        <v>11.86</v>
      </c>
      <c r="L10" s="100">
        <v>7.2060000000000004</v>
      </c>
      <c r="M10" s="100">
        <v>1.6679999999999999</v>
      </c>
      <c r="N10" s="101">
        <v>4.28</v>
      </c>
      <c r="O10" s="97" t="s">
        <v>48</v>
      </c>
      <c r="P10" s="97">
        <v>5</v>
      </c>
      <c r="Q10" s="97">
        <v>5</v>
      </c>
      <c r="R10" s="97" t="s">
        <v>49</v>
      </c>
      <c r="S10" s="97" t="s">
        <v>50</v>
      </c>
      <c r="T10" s="97" t="s">
        <v>50</v>
      </c>
      <c r="U10" s="97" t="s">
        <v>50</v>
      </c>
      <c r="V10" s="97" t="s">
        <v>50</v>
      </c>
      <c r="W10" s="97" t="s">
        <v>50</v>
      </c>
      <c r="X10" s="97" t="s">
        <v>50</v>
      </c>
      <c r="Y10" s="102"/>
    </row>
    <row r="11" spans="1:25" s="97" customFormat="1" x14ac:dyDescent="0.25">
      <c r="A11" s="93">
        <v>43074</v>
      </c>
      <c r="B11" s="92" t="str">
        <f t="shared" si="0"/>
        <v>Tue</v>
      </c>
      <c r="C11" s="97" t="s">
        <v>95</v>
      </c>
      <c r="D11" s="98">
        <v>38.095640000000003</v>
      </c>
      <c r="E11" s="98">
        <v>-121.65541</v>
      </c>
      <c r="F11" s="97" t="s">
        <v>6847</v>
      </c>
      <c r="G11" s="97" t="s">
        <v>46</v>
      </c>
      <c r="H11" s="97" t="s">
        <v>908</v>
      </c>
      <c r="I11" s="99">
        <v>0.41180555555555554</v>
      </c>
      <c r="J11" s="100">
        <v>382.68</v>
      </c>
      <c r="K11" s="100">
        <v>12.32</v>
      </c>
      <c r="L11" s="100">
        <v>12.42</v>
      </c>
      <c r="M11" s="100">
        <v>1.29</v>
      </c>
      <c r="N11" s="101">
        <v>8.74</v>
      </c>
      <c r="O11" s="97" t="s">
        <v>48</v>
      </c>
      <c r="P11" s="97">
        <v>5</v>
      </c>
      <c r="Q11" s="97">
        <v>5</v>
      </c>
      <c r="R11" s="97" t="s">
        <v>49</v>
      </c>
      <c r="S11" s="97" t="s">
        <v>50</v>
      </c>
      <c r="T11" s="97" t="s">
        <v>50</v>
      </c>
      <c r="U11" s="97" t="s">
        <v>50</v>
      </c>
      <c r="V11" s="97" t="s">
        <v>50</v>
      </c>
      <c r="W11" s="97" t="s">
        <v>50</v>
      </c>
      <c r="X11" s="97" t="s">
        <v>50</v>
      </c>
      <c r="Y11" s="102"/>
    </row>
    <row r="12" spans="1:25" s="97" customFormat="1" x14ac:dyDescent="0.25">
      <c r="A12" s="93">
        <v>43074</v>
      </c>
      <c r="B12" s="92" t="str">
        <f t="shared" si="0"/>
        <v>Tue</v>
      </c>
      <c r="C12" s="97" t="s">
        <v>95</v>
      </c>
      <c r="D12" s="98">
        <v>38.020479999999999</v>
      </c>
      <c r="E12" s="98">
        <v>-121.7803</v>
      </c>
      <c r="F12" s="97" t="s">
        <v>6848</v>
      </c>
      <c r="G12" s="97" t="s">
        <v>27</v>
      </c>
      <c r="H12" s="97" t="s">
        <v>863</v>
      </c>
      <c r="I12" s="99">
        <v>0.47222222222222227</v>
      </c>
      <c r="J12" s="100">
        <v>1045</v>
      </c>
      <c r="K12" s="100">
        <v>12.22</v>
      </c>
      <c r="L12" s="100">
        <v>22.28</v>
      </c>
      <c r="M12" s="100">
        <v>0.65</v>
      </c>
      <c r="N12" s="101">
        <v>4.46</v>
      </c>
      <c r="O12" s="97" t="s">
        <v>48</v>
      </c>
      <c r="P12" s="97">
        <v>5</v>
      </c>
      <c r="Q12" s="97">
        <v>5</v>
      </c>
      <c r="R12" s="97" t="s">
        <v>49</v>
      </c>
      <c r="S12" s="97" t="s">
        <v>50</v>
      </c>
      <c r="T12" s="97" t="s">
        <v>50</v>
      </c>
      <c r="U12" s="97" t="s">
        <v>50</v>
      </c>
      <c r="V12" s="97" t="s">
        <v>50</v>
      </c>
      <c r="W12" s="97" t="s">
        <v>50</v>
      </c>
      <c r="X12" s="97" t="s">
        <v>50</v>
      </c>
      <c r="Y12" s="102"/>
    </row>
    <row r="13" spans="1:25" s="97" customFormat="1" x14ac:dyDescent="0.25">
      <c r="A13" s="93">
        <v>43074</v>
      </c>
      <c r="B13" s="92" t="str">
        <f t="shared" si="0"/>
        <v>Tue</v>
      </c>
      <c r="C13" s="97" t="s">
        <v>6849</v>
      </c>
      <c r="D13" s="98">
        <v>38.359729999999999</v>
      </c>
      <c r="E13" s="98">
        <v>-121.52395</v>
      </c>
      <c r="F13" s="97" t="s">
        <v>6850</v>
      </c>
      <c r="G13" s="97" t="s">
        <v>90</v>
      </c>
      <c r="H13" s="97" t="s">
        <v>6851</v>
      </c>
      <c r="I13" s="99">
        <v>0.35972222222222222</v>
      </c>
      <c r="J13" s="100">
        <v>120.65</v>
      </c>
      <c r="K13" s="100">
        <v>10.6</v>
      </c>
      <c r="L13" s="100">
        <v>11.481669999999999</v>
      </c>
      <c r="M13" s="100">
        <v>1.0900000000000001</v>
      </c>
      <c r="N13" s="101">
        <v>5.233333</v>
      </c>
      <c r="O13" s="97" t="s">
        <v>48</v>
      </c>
      <c r="P13" s="97">
        <v>6</v>
      </c>
      <c r="Q13" s="97">
        <v>10</v>
      </c>
      <c r="R13" s="97" t="s">
        <v>49</v>
      </c>
      <c r="S13" s="97" t="s">
        <v>50</v>
      </c>
      <c r="T13" s="97" t="s">
        <v>50</v>
      </c>
      <c r="U13" s="97" t="s">
        <v>50</v>
      </c>
      <c r="V13" s="97" t="s">
        <v>50</v>
      </c>
      <c r="W13" s="97" t="s">
        <v>50</v>
      </c>
      <c r="X13" s="97" t="s">
        <v>50</v>
      </c>
      <c r="Y13" s="102"/>
    </row>
    <row r="14" spans="1:25" s="97" customFormat="1" x14ac:dyDescent="0.25">
      <c r="A14" s="93">
        <v>43074</v>
      </c>
      <c r="B14" s="92" t="str">
        <f t="shared" si="0"/>
        <v>Tue</v>
      </c>
      <c r="C14" s="97" t="s">
        <v>6849</v>
      </c>
      <c r="D14" s="98">
        <v>38.303669999999997</v>
      </c>
      <c r="E14" s="98">
        <v>-121.57241999999999</v>
      </c>
      <c r="F14" s="97" t="s">
        <v>6852</v>
      </c>
      <c r="G14" s="97" t="s">
        <v>90</v>
      </c>
      <c r="H14" s="97" t="s">
        <v>6851</v>
      </c>
      <c r="I14" s="99">
        <v>0.44791666666666669</v>
      </c>
      <c r="J14" s="100">
        <v>126.4333</v>
      </c>
      <c r="K14" s="100">
        <v>10.716670000000001</v>
      </c>
      <c r="L14" s="100">
        <v>11.39</v>
      </c>
      <c r="M14" s="100">
        <v>0.94666700000000004</v>
      </c>
      <c r="N14" s="101">
        <v>6.733333</v>
      </c>
      <c r="O14" s="97" t="s">
        <v>48</v>
      </c>
      <c r="P14" s="97">
        <v>6</v>
      </c>
      <c r="Q14" s="97">
        <v>10</v>
      </c>
      <c r="R14" s="97" t="s">
        <v>49</v>
      </c>
      <c r="S14" s="97" t="s">
        <v>50</v>
      </c>
      <c r="T14" s="97" t="s">
        <v>50</v>
      </c>
      <c r="U14" s="97" t="s">
        <v>50</v>
      </c>
      <c r="V14" s="97" t="s">
        <v>50</v>
      </c>
      <c r="W14" s="97" t="s">
        <v>50</v>
      </c>
      <c r="X14" s="97" t="s">
        <v>50</v>
      </c>
      <c r="Y14" s="102"/>
    </row>
    <row r="15" spans="1:25" s="97" customFormat="1" x14ac:dyDescent="0.25">
      <c r="A15" s="93">
        <v>43074</v>
      </c>
      <c r="B15" s="92" t="str">
        <f t="shared" si="0"/>
        <v>Tue</v>
      </c>
      <c r="C15" s="97" t="s">
        <v>78</v>
      </c>
      <c r="D15" s="98">
        <v>38.057040000000001</v>
      </c>
      <c r="E15" s="98">
        <v>-121.85037</v>
      </c>
      <c r="F15" s="97" t="s">
        <v>6853</v>
      </c>
      <c r="G15" s="97" t="s">
        <v>27</v>
      </c>
      <c r="H15" s="97" t="s">
        <v>101</v>
      </c>
      <c r="I15" s="99">
        <v>0.34652777777777777</v>
      </c>
      <c r="J15" s="100">
        <v>4218.2</v>
      </c>
      <c r="K15" s="100">
        <v>12.42</v>
      </c>
      <c r="L15" s="100">
        <v>21.22</v>
      </c>
      <c r="M15" s="100">
        <v>0.52800000000000002</v>
      </c>
      <c r="N15" s="101">
        <v>6.64</v>
      </c>
      <c r="O15" s="97" t="s">
        <v>48</v>
      </c>
      <c r="P15" s="97">
        <v>5</v>
      </c>
      <c r="Q15" s="97">
        <v>5</v>
      </c>
      <c r="R15" s="97" t="s">
        <v>49</v>
      </c>
      <c r="S15" s="97" t="s">
        <v>50</v>
      </c>
      <c r="T15" s="97" t="s">
        <v>50</v>
      </c>
      <c r="U15" s="97" t="s">
        <v>50</v>
      </c>
      <c r="V15" s="97" t="s">
        <v>50</v>
      </c>
      <c r="W15" s="97" t="s">
        <v>50</v>
      </c>
      <c r="X15" s="97" t="s">
        <v>50</v>
      </c>
      <c r="Y15" s="102" t="s">
        <v>6854</v>
      </c>
    </row>
    <row r="16" spans="1:25" s="97" customFormat="1" x14ac:dyDescent="0.25">
      <c r="A16" s="93">
        <v>43074</v>
      </c>
      <c r="B16" s="92" t="str">
        <f t="shared" si="0"/>
        <v>Tue</v>
      </c>
      <c r="C16" s="97" t="s">
        <v>78</v>
      </c>
      <c r="D16" s="98">
        <v>38.054119999999998</v>
      </c>
      <c r="E16" s="98">
        <v>-121.95605</v>
      </c>
      <c r="F16" s="97" t="s">
        <v>6855</v>
      </c>
      <c r="G16" s="97" t="s">
        <v>27</v>
      </c>
      <c r="H16" s="97" t="s">
        <v>170</v>
      </c>
      <c r="I16" s="99">
        <v>0.3979166666666667</v>
      </c>
      <c r="J16" s="100">
        <v>6054.6</v>
      </c>
      <c r="K16" s="100">
        <v>12.46</v>
      </c>
      <c r="L16" s="100">
        <v>23.66</v>
      </c>
      <c r="M16" s="100">
        <v>0.50800000000000001</v>
      </c>
      <c r="N16" s="101">
        <v>12.68</v>
      </c>
      <c r="O16" s="97" t="s">
        <v>48</v>
      </c>
      <c r="P16" s="97">
        <v>5</v>
      </c>
      <c r="Q16" s="97">
        <v>5</v>
      </c>
      <c r="R16" s="97" t="s">
        <v>49</v>
      </c>
      <c r="S16" s="97" t="s">
        <v>50</v>
      </c>
      <c r="T16" s="97" t="s">
        <v>50</v>
      </c>
      <c r="U16" s="97" t="s">
        <v>50</v>
      </c>
      <c r="V16" s="97" t="s">
        <v>50</v>
      </c>
      <c r="W16" s="97" t="s">
        <v>50</v>
      </c>
      <c r="X16" s="97" t="s">
        <v>50</v>
      </c>
      <c r="Y16" s="102"/>
    </row>
    <row r="17" spans="1:25" s="97" customFormat="1" x14ac:dyDescent="0.25">
      <c r="A17" s="93">
        <v>43074</v>
      </c>
      <c r="B17" s="92" t="str">
        <f t="shared" si="0"/>
        <v>Tue</v>
      </c>
      <c r="C17" s="97" t="s">
        <v>78</v>
      </c>
      <c r="D17" s="98">
        <v>38.07103</v>
      </c>
      <c r="E17" s="98">
        <v>-122.08672</v>
      </c>
      <c r="F17" s="97" t="s">
        <v>6856</v>
      </c>
      <c r="G17" s="97" t="s">
        <v>80</v>
      </c>
      <c r="H17" s="97" t="s">
        <v>81</v>
      </c>
      <c r="I17" s="99">
        <v>0.45277777777777778</v>
      </c>
      <c r="J17" s="100">
        <v>14750</v>
      </c>
      <c r="K17" s="100">
        <v>12.96</v>
      </c>
      <c r="L17" s="100">
        <v>38.54</v>
      </c>
      <c r="M17" s="100">
        <v>0.36399999999999999</v>
      </c>
      <c r="N17" s="101">
        <v>3</v>
      </c>
      <c r="O17" s="97" t="s">
        <v>48</v>
      </c>
      <c r="P17" s="97">
        <v>5</v>
      </c>
      <c r="Q17" s="97">
        <v>5</v>
      </c>
      <c r="R17" s="97" t="s">
        <v>64</v>
      </c>
      <c r="S17" s="97" t="s">
        <v>50</v>
      </c>
      <c r="T17" s="97" t="s">
        <v>50</v>
      </c>
      <c r="U17" s="97" t="s">
        <v>50</v>
      </c>
      <c r="V17" s="97" t="s">
        <v>50</v>
      </c>
      <c r="W17" s="97" t="s">
        <v>50</v>
      </c>
      <c r="X17" s="97" t="s">
        <v>50</v>
      </c>
      <c r="Y17" s="102"/>
    </row>
    <row r="18" spans="1:25" s="153" customFormat="1" x14ac:dyDescent="0.25">
      <c r="A18" s="148">
        <v>43074</v>
      </c>
      <c r="B18" s="148" t="str">
        <f t="shared" si="0"/>
        <v>Tue</v>
      </c>
      <c r="C18" s="153" t="s">
        <v>78</v>
      </c>
      <c r="D18" s="154">
        <v>38.067349999999998</v>
      </c>
      <c r="E18" s="154">
        <v>-122.05237</v>
      </c>
      <c r="F18" s="153" t="s">
        <v>6857</v>
      </c>
      <c r="G18" s="153" t="s">
        <v>27</v>
      </c>
      <c r="H18" s="153" t="s">
        <v>86</v>
      </c>
      <c r="I18" s="155">
        <v>0.50347222222222221</v>
      </c>
      <c r="J18" s="156" t="s">
        <v>50</v>
      </c>
      <c r="K18" s="156" t="s">
        <v>50</v>
      </c>
      <c r="L18" s="156" t="s">
        <v>50</v>
      </c>
      <c r="M18" s="156" t="s">
        <v>50</v>
      </c>
      <c r="N18" s="156" t="s">
        <v>50</v>
      </c>
      <c r="O18" s="153" t="s">
        <v>48</v>
      </c>
      <c r="P18" s="153">
        <v>0</v>
      </c>
      <c r="Q18" s="153" t="s">
        <v>50</v>
      </c>
      <c r="R18" s="153" t="s">
        <v>50</v>
      </c>
      <c r="S18" s="157" t="s">
        <v>50</v>
      </c>
      <c r="T18" s="158" t="s">
        <v>50</v>
      </c>
      <c r="U18" s="158" t="s">
        <v>50</v>
      </c>
      <c r="V18" s="157" t="s">
        <v>50</v>
      </c>
      <c r="W18" s="157" t="s">
        <v>50</v>
      </c>
      <c r="X18" s="157" t="s">
        <v>50</v>
      </c>
      <c r="Y18" s="159" t="s">
        <v>6858</v>
      </c>
    </row>
    <row r="19" spans="1:25" s="97" customFormat="1" x14ac:dyDescent="0.25">
      <c r="A19" s="93">
        <v>43074</v>
      </c>
      <c r="B19" s="92" t="str">
        <f t="shared" si="0"/>
        <v>Tue</v>
      </c>
      <c r="C19" s="97" t="s">
        <v>78</v>
      </c>
      <c r="D19" s="98">
        <v>38.034820000000003</v>
      </c>
      <c r="E19" s="98">
        <v>-121.87669</v>
      </c>
      <c r="F19" s="97" t="s">
        <v>6859</v>
      </c>
      <c r="G19" s="97" t="s">
        <v>27</v>
      </c>
      <c r="H19" s="97" t="s">
        <v>101</v>
      </c>
      <c r="I19" s="99">
        <v>0.52916666666666667</v>
      </c>
      <c r="J19" s="100">
        <v>3923.2</v>
      </c>
      <c r="K19" s="100">
        <v>12.58</v>
      </c>
      <c r="L19" s="100">
        <v>24.32</v>
      </c>
      <c r="M19" s="100">
        <v>0.54</v>
      </c>
      <c r="N19" s="101">
        <v>14.12</v>
      </c>
      <c r="O19" s="97" t="s">
        <v>48</v>
      </c>
      <c r="P19" s="97">
        <v>5</v>
      </c>
      <c r="Q19" s="97">
        <v>5</v>
      </c>
      <c r="R19" s="97" t="s">
        <v>64</v>
      </c>
      <c r="S19" s="34" t="s">
        <v>50</v>
      </c>
      <c r="T19" s="49" t="s">
        <v>50</v>
      </c>
      <c r="U19" s="49" t="s">
        <v>50</v>
      </c>
      <c r="V19" s="34" t="s">
        <v>50</v>
      </c>
      <c r="W19" s="34" t="s">
        <v>50</v>
      </c>
      <c r="X19" s="34" t="s">
        <v>50</v>
      </c>
      <c r="Y19" s="102"/>
    </row>
    <row r="20" spans="1:25" s="97" customFormat="1" x14ac:dyDescent="0.25">
      <c r="A20" s="93">
        <v>43075</v>
      </c>
      <c r="B20" s="92" t="str">
        <f t="shared" si="0"/>
        <v>Wed</v>
      </c>
      <c r="C20" s="97" t="s">
        <v>845</v>
      </c>
      <c r="D20" s="98">
        <v>38.311770000000003</v>
      </c>
      <c r="E20" s="98">
        <v>-121.65613999999999</v>
      </c>
      <c r="F20" s="97" t="s">
        <v>6860</v>
      </c>
      <c r="G20" s="97" t="s">
        <v>90</v>
      </c>
      <c r="H20" s="97" t="s">
        <v>126</v>
      </c>
      <c r="I20" s="99">
        <v>0.33055555555555555</v>
      </c>
      <c r="J20" s="100">
        <v>128.12</v>
      </c>
      <c r="K20" s="100">
        <v>9.68</v>
      </c>
      <c r="L20" s="100">
        <v>27.14</v>
      </c>
      <c r="M20" s="100">
        <v>0.498</v>
      </c>
      <c r="N20" s="101">
        <v>4.0199999999999996</v>
      </c>
      <c r="O20" s="97" t="s">
        <v>48</v>
      </c>
      <c r="P20" s="97">
        <v>5</v>
      </c>
      <c r="Q20" s="97">
        <v>5</v>
      </c>
      <c r="R20" s="97" t="s">
        <v>64</v>
      </c>
      <c r="S20" s="34" t="s">
        <v>50</v>
      </c>
      <c r="T20" s="49" t="s">
        <v>50</v>
      </c>
      <c r="U20" s="49" t="s">
        <v>50</v>
      </c>
      <c r="V20" s="34" t="s">
        <v>50</v>
      </c>
      <c r="W20" s="34" t="s">
        <v>50</v>
      </c>
      <c r="X20" s="34" t="s">
        <v>50</v>
      </c>
      <c r="Y20" s="102"/>
    </row>
    <row r="21" spans="1:25" s="97" customFormat="1" x14ac:dyDescent="0.25">
      <c r="A21" s="93">
        <v>43075</v>
      </c>
      <c r="B21" s="92" t="str">
        <f t="shared" si="0"/>
        <v>Wed</v>
      </c>
      <c r="C21" s="97" t="s">
        <v>845</v>
      </c>
      <c r="D21" s="98">
        <v>38.259599999999999</v>
      </c>
      <c r="E21" s="98">
        <v>-121.75794</v>
      </c>
      <c r="F21" s="97" t="s">
        <v>6861</v>
      </c>
      <c r="G21" s="97" t="s">
        <v>90</v>
      </c>
      <c r="H21" s="97" t="s">
        <v>126</v>
      </c>
      <c r="I21" s="99">
        <v>0.3833333333333333</v>
      </c>
      <c r="J21" s="100">
        <v>127.84</v>
      </c>
      <c r="K21" s="100">
        <v>10.16</v>
      </c>
      <c r="L21" s="100">
        <v>14.73</v>
      </c>
      <c r="M21" s="100">
        <v>1.8</v>
      </c>
      <c r="N21" s="101">
        <v>4.08</v>
      </c>
      <c r="O21" s="97" t="s">
        <v>48</v>
      </c>
      <c r="P21" s="97">
        <v>5</v>
      </c>
      <c r="Q21" s="97">
        <v>5</v>
      </c>
      <c r="R21" s="97" t="s">
        <v>49</v>
      </c>
      <c r="S21" s="34" t="s">
        <v>50</v>
      </c>
      <c r="T21" s="49" t="s">
        <v>50</v>
      </c>
      <c r="U21" s="49" t="s">
        <v>50</v>
      </c>
      <c r="V21" s="34" t="s">
        <v>50</v>
      </c>
      <c r="W21" s="34" t="s">
        <v>50</v>
      </c>
      <c r="X21" s="34" t="s">
        <v>50</v>
      </c>
      <c r="Y21" s="102" t="s">
        <v>6862</v>
      </c>
    </row>
    <row r="22" spans="1:25" s="97" customFormat="1" x14ac:dyDescent="0.25">
      <c r="A22" s="93">
        <v>43075</v>
      </c>
      <c r="B22" s="92" t="str">
        <f t="shared" si="0"/>
        <v>Wed</v>
      </c>
      <c r="C22" s="97" t="s">
        <v>845</v>
      </c>
      <c r="D22" s="98">
        <v>38.242449999999998</v>
      </c>
      <c r="E22" s="98">
        <v>-121.68465999999999</v>
      </c>
      <c r="F22" s="97" t="s">
        <v>6863</v>
      </c>
      <c r="G22" s="97" t="s">
        <v>90</v>
      </c>
      <c r="H22" s="97" t="s">
        <v>126</v>
      </c>
      <c r="I22" s="99">
        <v>0.44166666666666665</v>
      </c>
      <c r="J22" s="100">
        <v>123.46</v>
      </c>
      <c r="K22" s="100">
        <v>10.6</v>
      </c>
      <c r="L22" s="100">
        <v>27.2</v>
      </c>
      <c r="M22" s="100">
        <v>0.63200000000000001</v>
      </c>
      <c r="N22" s="101">
        <v>11.42</v>
      </c>
      <c r="O22" s="97" t="s">
        <v>48</v>
      </c>
      <c r="P22" s="97">
        <v>5</v>
      </c>
      <c r="Q22" s="97">
        <v>5</v>
      </c>
      <c r="R22" s="97" t="s">
        <v>49</v>
      </c>
      <c r="S22" s="97" t="s">
        <v>323</v>
      </c>
      <c r="T22" s="97">
        <v>1</v>
      </c>
      <c r="U22" s="97">
        <v>66</v>
      </c>
      <c r="V22" s="97" t="s">
        <v>66</v>
      </c>
      <c r="W22" s="97" t="s">
        <v>50</v>
      </c>
      <c r="X22" s="97" t="s">
        <v>50</v>
      </c>
      <c r="Y22" s="102"/>
    </row>
    <row r="23" spans="1:25" s="97" customFormat="1" x14ac:dyDescent="0.25">
      <c r="A23" s="93">
        <v>43075</v>
      </c>
      <c r="B23" s="92" t="str">
        <f t="shared" si="0"/>
        <v>Wed</v>
      </c>
      <c r="C23" s="97" t="s">
        <v>78</v>
      </c>
      <c r="D23" s="98">
        <v>38.046480000000003</v>
      </c>
      <c r="E23" s="98">
        <v>-122.11557999999999</v>
      </c>
      <c r="F23" s="97" t="s">
        <v>6864</v>
      </c>
      <c r="G23" s="97" t="s">
        <v>80</v>
      </c>
      <c r="H23" s="97" t="s">
        <v>81</v>
      </c>
      <c r="I23" s="99">
        <v>0.34930555555555554</v>
      </c>
      <c r="J23" s="100">
        <v>15819.2</v>
      </c>
      <c r="K23" s="100">
        <v>12.54</v>
      </c>
      <c r="L23" s="100">
        <v>30.74</v>
      </c>
      <c r="M23" s="100">
        <v>0.42399999999999999</v>
      </c>
      <c r="N23" s="101">
        <v>9.26</v>
      </c>
      <c r="O23" s="97" t="s">
        <v>48</v>
      </c>
      <c r="P23" s="97">
        <v>5</v>
      </c>
      <c r="Q23" s="97">
        <v>5</v>
      </c>
      <c r="R23" s="97" t="s">
        <v>49</v>
      </c>
      <c r="S23" s="34" t="s">
        <v>50</v>
      </c>
      <c r="T23" s="49" t="s">
        <v>50</v>
      </c>
      <c r="U23" s="49" t="s">
        <v>50</v>
      </c>
      <c r="V23" s="34" t="s">
        <v>50</v>
      </c>
      <c r="W23" s="34" t="s">
        <v>50</v>
      </c>
      <c r="X23" s="34" t="s">
        <v>50</v>
      </c>
      <c r="Y23" s="102" t="s">
        <v>6854</v>
      </c>
    </row>
    <row r="24" spans="1:25" s="97" customFormat="1" x14ac:dyDescent="0.25">
      <c r="A24" s="93">
        <v>43075</v>
      </c>
      <c r="B24" s="92" t="str">
        <f t="shared" si="0"/>
        <v>Wed</v>
      </c>
      <c r="C24" s="97" t="s">
        <v>78</v>
      </c>
      <c r="D24" s="98">
        <v>38.060540000000003</v>
      </c>
      <c r="E24" s="98">
        <v>-122.06265999999999</v>
      </c>
      <c r="F24" s="97" t="s">
        <v>6865</v>
      </c>
      <c r="G24" s="97" t="s">
        <v>80</v>
      </c>
      <c r="H24" s="97" t="s">
        <v>81</v>
      </c>
      <c r="I24" s="99">
        <v>0.40277777777777773</v>
      </c>
      <c r="J24" s="100">
        <v>12641.4</v>
      </c>
      <c r="K24" s="100">
        <v>12.48</v>
      </c>
      <c r="L24" s="100">
        <v>19.66</v>
      </c>
      <c r="M24" s="100">
        <v>0.56799999999999995</v>
      </c>
      <c r="N24" s="101">
        <v>5.04</v>
      </c>
      <c r="O24" s="97" t="s">
        <v>48</v>
      </c>
      <c r="P24" s="97">
        <v>5</v>
      </c>
      <c r="Q24" s="97">
        <v>5</v>
      </c>
      <c r="R24" s="97" t="s">
        <v>49</v>
      </c>
      <c r="S24" s="34" t="s">
        <v>50</v>
      </c>
      <c r="T24" s="49" t="s">
        <v>50</v>
      </c>
      <c r="U24" s="49" t="s">
        <v>50</v>
      </c>
      <c r="V24" s="34" t="s">
        <v>50</v>
      </c>
      <c r="W24" s="34" t="s">
        <v>50</v>
      </c>
      <c r="X24" s="34" t="s">
        <v>50</v>
      </c>
      <c r="Y24" s="102"/>
    </row>
    <row r="25" spans="1:25" s="97" customFormat="1" x14ac:dyDescent="0.25">
      <c r="A25" s="93">
        <v>43075</v>
      </c>
      <c r="B25" s="92" t="str">
        <f t="shared" si="0"/>
        <v>Wed</v>
      </c>
      <c r="C25" s="97" t="s">
        <v>78</v>
      </c>
      <c r="D25" s="98">
        <v>38.048789999999997</v>
      </c>
      <c r="E25" s="98">
        <v>-121.97785</v>
      </c>
      <c r="F25" s="97" t="s">
        <v>6866</v>
      </c>
      <c r="G25" s="97" t="s">
        <v>27</v>
      </c>
      <c r="H25" s="97" t="s">
        <v>86</v>
      </c>
      <c r="I25" s="99">
        <v>0.45208333333333334</v>
      </c>
      <c r="J25" s="100">
        <v>9081.4</v>
      </c>
      <c r="K25" s="100">
        <v>12.52</v>
      </c>
      <c r="L25" s="100">
        <v>25.08</v>
      </c>
      <c r="M25" s="100">
        <v>0.47399999999999998</v>
      </c>
      <c r="N25" s="101">
        <v>4.26</v>
      </c>
      <c r="O25" s="97" t="s">
        <v>48</v>
      </c>
      <c r="P25" s="97">
        <v>5</v>
      </c>
      <c r="Q25" s="97">
        <v>5</v>
      </c>
      <c r="R25" s="97" t="s">
        <v>49</v>
      </c>
      <c r="S25" s="34" t="s">
        <v>50</v>
      </c>
      <c r="T25" s="49" t="s">
        <v>50</v>
      </c>
      <c r="U25" s="49" t="s">
        <v>50</v>
      </c>
      <c r="V25" s="34" t="s">
        <v>50</v>
      </c>
      <c r="W25" s="34" t="s">
        <v>50</v>
      </c>
      <c r="X25" s="34" t="s">
        <v>50</v>
      </c>
      <c r="Y25" s="102"/>
    </row>
    <row r="26" spans="1:25" s="97" customFormat="1" x14ac:dyDescent="0.25">
      <c r="A26" s="93">
        <v>43075</v>
      </c>
      <c r="B26" s="92" t="str">
        <f t="shared" si="0"/>
        <v>Wed</v>
      </c>
      <c r="C26" s="97" t="s">
        <v>78</v>
      </c>
      <c r="D26" s="98">
        <v>38.05903</v>
      </c>
      <c r="E26" s="98">
        <v>-121.87470999999999</v>
      </c>
      <c r="F26" s="97" t="s">
        <v>6867</v>
      </c>
      <c r="G26" s="97" t="s">
        <v>27</v>
      </c>
      <c r="H26" s="97" t="s">
        <v>101</v>
      </c>
      <c r="I26" s="99">
        <v>0.50208333333333333</v>
      </c>
      <c r="J26" s="100">
        <v>2775.4</v>
      </c>
      <c r="K26" s="100">
        <v>12.14</v>
      </c>
      <c r="L26" s="100">
        <v>24.22</v>
      </c>
      <c r="M26" s="100">
        <v>0.48199999999999998</v>
      </c>
      <c r="N26" s="101">
        <v>14.96</v>
      </c>
      <c r="O26" s="97" t="s">
        <v>48</v>
      </c>
      <c r="P26" s="97">
        <v>5</v>
      </c>
      <c r="Q26" s="97">
        <v>5</v>
      </c>
      <c r="R26" s="97" t="s">
        <v>49</v>
      </c>
      <c r="S26" s="34" t="s">
        <v>50</v>
      </c>
      <c r="T26" s="49" t="s">
        <v>50</v>
      </c>
      <c r="U26" s="49" t="s">
        <v>50</v>
      </c>
      <c r="V26" s="34" t="s">
        <v>50</v>
      </c>
      <c r="W26" s="34" t="s">
        <v>50</v>
      </c>
      <c r="X26" s="34" t="s">
        <v>50</v>
      </c>
      <c r="Y26" s="102"/>
    </row>
    <row r="27" spans="1:25" s="153" customFormat="1" x14ac:dyDescent="0.25">
      <c r="A27" s="148">
        <v>43075</v>
      </c>
      <c r="B27" s="148" t="str">
        <f t="shared" si="0"/>
        <v>Wed</v>
      </c>
      <c r="C27" s="153" t="s">
        <v>95</v>
      </c>
      <c r="D27" s="154">
        <v>38.024659999999997</v>
      </c>
      <c r="E27" s="154">
        <v>-121.77670999999999</v>
      </c>
      <c r="F27" s="153" t="s">
        <v>6868</v>
      </c>
      <c r="G27" s="153" t="s">
        <v>27</v>
      </c>
      <c r="H27" s="153" t="s">
        <v>863</v>
      </c>
      <c r="I27" s="155">
        <v>0.3444444444444445</v>
      </c>
      <c r="J27" s="156">
        <v>698</v>
      </c>
      <c r="K27" s="156">
        <v>11.5</v>
      </c>
      <c r="L27" s="156">
        <v>28.6</v>
      </c>
      <c r="M27" s="156">
        <v>0.86</v>
      </c>
      <c r="N27" s="156">
        <v>1.8</v>
      </c>
      <c r="O27" s="153" t="s">
        <v>48</v>
      </c>
      <c r="P27" s="153">
        <v>1</v>
      </c>
      <c r="Q27" s="155">
        <v>0.14375000000000002</v>
      </c>
      <c r="R27" s="153" t="s">
        <v>49</v>
      </c>
      <c r="S27" s="157" t="s">
        <v>50</v>
      </c>
      <c r="T27" s="158" t="s">
        <v>50</v>
      </c>
      <c r="U27" s="158" t="s">
        <v>50</v>
      </c>
      <c r="V27" s="157" t="s">
        <v>50</v>
      </c>
      <c r="W27" s="157" t="s">
        <v>50</v>
      </c>
      <c r="X27" s="157" t="s">
        <v>50</v>
      </c>
      <c r="Y27" s="159" t="s">
        <v>6869</v>
      </c>
    </row>
    <row r="28" spans="1:25" s="97" customFormat="1" x14ac:dyDescent="0.25">
      <c r="A28" s="93">
        <v>43075</v>
      </c>
      <c r="B28" s="92" t="str">
        <f t="shared" si="0"/>
        <v>Wed</v>
      </c>
      <c r="C28" s="97" t="s">
        <v>95</v>
      </c>
      <c r="D28" s="98">
        <v>38.085619999999999</v>
      </c>
      <c r="E28" s="98">
        <v>-121.57677</v>
      </c>
      <c r="F28" s="97" t="s">
        <v>6870</v>
      </c>
      <c r="G28" s="97" t="s">
        <v>46</v>
      </c>
      <c r="H28" s="97" t="s">
        <v>115</v>
      </c>
      <c r="I28" s="99">
        <v>0.43541666666666662</v>
      </c>
      <c r="J28" s="100">
        <v>218.14</v>
      </c>
      <c r="K28" s="100">
        <v>12.06</v>
      </c>
      <c r="L28" s="100">
        <v>8.266</v>
      </c>
      <c r="M28" s="100">
        <v>1.47</v>
      </c>
      <c r="N28" s="101">
        <v>3.44</v>
      </c>
      <c r="O28" s="97" t="s">
        <v>48</v>
      </c>
      <c r="P28" s="97">
        <v>5</v>
      </c>
      <c r="Q28" s="97">
        <v>5</v>
      </c>
      <c r="R28" s="97" t="s">
        <v>49</v>
      </c>
      <c r="S28" s="34" t="s">
        <v>50</v>
      </c>
      <c r="T28" s="49" t="s">
        <v>50</v>
      </c>
      <c r="U28" s="49" t="s">
        <v>50</v>
      </c>
      <c r="V28" s="34" t="s">
        <v>50</v>
      </c>
      <c r="W28" s="34" t="s">
        <v>50</v>
      </c>
      <c r="X28" s="34" t="s">
        <v>50</v>
      </c>
      <c r="Y28" s="102"/>
    </row>
    <row r="29" spans="1:25" s="97" customFormat="1" x14ac:dyDescent="0.25">
      <c r="A29" s="93">
        <v>43075</v>
      </c>
      <c r="B29" s="92" t="str">
        <f t="shared" si="0"/>
        <v>Wed</v>
      </c>
      <c r="C29" s="97" t="s">
        <v>95</v>
      </c>
      <c r="D29" s="223">
        <v>38.096359999999997</v>
      </c>
      <c r="E29" s="98">
        <v>-121.63297</v>
      </c>
      <c r="F29" s="97" t="s">
        <v>6871</v>
      </c>
      <c r="G29" s="97" t="s">
        <v>46</v>
      </c>
      <c r="H29" s="97" t="s">
        <v>908</v>
      </c>
      <c r="I29" s="99">
        <v>0.38263888888888892</v>
      </c>
      <c r="J29" s="100">
        <v>370.76</v>
      </c>
      <c r="K29" s="100">
        <v>12.08</v>
      </c>
      <c r="L29" s="100">
        <v>9.8379999999999992</v>
      </c>
      <c r="M29" s="100">
        <v>1.3520000000000001</v>
      </c>
      <c r="N29" s="101">
        <v>8.3800000000000008</v>
      </c>
      <c r="O29" s="97" t="s">
        <v>48</v>
      </c>
      <c r="P29" s="97">
        <v>5</v>
      </c>
      <c r="Q29" s="97">
        <v>5</v>
      </c>
      <c r="R29" s="97" t="s">
        <v>49</v>
      </c>
      <c r="S29" s="34" t="s">
        <v>50</v>
      </c>
      <c r="T29" s="49" t="s">
        <v>50</v>
      </c>
      <c r="U29" s="49" t="s">
        <v>50</v>
      </c>
      <c r="V29" s="34" t="s">
        <v>50</v>
      </c>
      <c r="W29" s="34" t="s">
        <v>50</v>
      </c>
      <c r="X29" s="34" t="s">
        <v>50</v>
      </c>
      <c r="Y29" s="102"/>
    </row>
    <row r="30" spans="1:25" s="97" customFormat="1" x14ac:dyDescent="0.25">
      <c r="A30" s="93">
        <v>43076</v>
      </c>
      <c r="B30" s="92" t="str">
        <f t="shared" si="0"/>
        <v>Thu</v>
      </c>
      <c r="C30" s="97" t="s">
        <v>88</v>
      </c>
      <c r="D30" s="98">
        <v>38.117440000000002</v>
      </c>
      <c r="E30" s="98">
        <v>-121.69710000000001</v>
      </c>
      <c r="F30" s="97" t="s">
        <v>6872</v>
      </c>
      <c r="G30" s="97" t="s">
        <v>90</v>
      </c>
      <c r="H30" s="97" t="s">
        <v>91</v>
      </c>
      <c r="I30" s="99">
        <v>0.31944444444444448</v>
      </c>
      <c r="J30" s="100">
        <v>191.02</v>
      </c>
      <c r="K30" s="100">
        <v>10.96</v>
      </c>
      <c r="L30" s="100">
        <v>15.44</v>
      </c>
      <c r="M30" s="100">
        <v>1.1319999999999999</v>
      </c>
      <c r="N30" s="101">
        <v>4.0999999999999996</v>
      </c>
      <c r="O30" s="97" t="s">
        <v>48</v>
      </c>
      <c r="P30" s="97">
        <v>5</v>
      </c>
      <c r="Q30" s="97">
        <v>5</v>
      </c>
      <c r="R30" s="97" t="s">
        <v>49</v>
      </c>
      <c r="S30" s="34" t="s">
        <v>50</v>
      </c>
      <c r="T30" s="49" t="s">
        <v>50</v>
      </c>
      <c r="U30" s="49" t="s">
        <v>50</v>
      </c>
      <c r="V30" s="34" t="s">
        <v>50</v>
      </c>
      <c r="W30" s="34" t="s">
        <v>50</v>
      </c>
      <c r="X30" s="34" t="s">
        <v>50</v>
      </c>
      <c r="Y30" s="102"/>
    </row>
    <row r="31" spans="1:25" s="97" customFormat="1" x14ac:dyDescent="0.25">
      <c r="A31" s="93">
        <v>43076</v>
      </c>
      <c r="B31" s="92" t="str">
        <f t="shared" si="0"/>
        <v>Thu</v>
      </c>
      <c r="C31" s="97" t="s">
        <v>88</v>
      </c>
      <c r="D31" s="98">
        <v>38.138039999999997</v>
      </c>
      <c r="E31" s="98">
        <v>-121.68814</v>
      </c>
      <c r="F31" s="97" t="s">
        <v>6873</v>
      </c>
      <c r="G31" s="97" t="s">
        <v>90</v>
      </c>
      <c r="H31" s="97" t="s">
        <v>91</v>
      </c>
      <c r="I31" s="99">
        <v>0.36805555555555558</v>
      </c>
      <c r="J31" s="100">
        <v>222.42</v>
      </c>
      <c r="K31" s="100">
        <v>10.88</v>
      </c>
      <c r="L31" s="100">
        <v>19.46</v>
      </c>
      <c r="M31" s="100">
        <v>1.1559999999999999</v>
      </c>
      <c r="N31" s="101">
        <v>5.76</v>
      </c>
      <c r="O31" s="97" t="s">
        <v>48</v>
      </c>
      <c r="P31" s="97">
        <v>5</v>
      </c>
      <c r="Q31" s="97">
        <v>5</v>
      </c>
      <c r="R31" s="97" t="s">
        <v>49</v>
      </c>
      <c r="S31" s="34" t="s">
        <v>50</v>
      </c>
      <c r="T31" s="49" t="s">
        <v>50</v>
      </c>
      <c r="U31" s="49" t="s">
        <v>50</v>
      </c>
      <c r="V31" s="34" t="s">
        <v>50</v>
      </c>
      <c r="W31" s="34" t="s">
        <v>50</v>
      </c>
      <c r="X31" s="34" t="s">
        <v>50</v>
      </c>
      <c r="Y31" s="102"/>
    </row>
    <row r="32" spans="1:25" s="97" customFormat="1" x14ac:dyDescent="0.25">
      <c r="A32" s="93">
        <v>43076</v>
      </c>
      <c r="B32" s="92" t="str">
        <f t="shared" si="0"/>
        <v>Thu</v>
      </c>
      <c r="C32" s="97" t="s">
        <v>88</v>
      </c>
      <c r="D32" s="98">
        <v>38.067740000000001</v>
      </c>
      <c r="E32" s="98">
        <v>-121.78077</v>
      </c>
      <c r="F32" s="97" t="s">
        <v>6874</v>
      </c>
      <c r="G32" s="97" t="s">
        <v>27</v>
      </c>
      <c r="H32" s="97" t="s">
        <v>25</v>
      </c>
      <c r="I32" s="99">
        <v>0.42083333333333334</v>
      </c>
      <c r="J32" s="100">
        <v>1173.8</v>
      </c>
      <c r="K32" s="100">
        <v>11.56</v>
      </c>
      <c r="L32" s="100">
        <v>32.799999999999997</v>
      </c>
      <c r="M32" s="100">
        <v>0.56599999999999995</v>
      </c>
      <c r="N32" s="101">
        <v>9.84</v>
      </c>
      <c r="O32" s="97" t="s">
        <v>48</v>
      </c>
      <c r="P32" s="97">
        <v>5</v>
      </c>
      <c r="Q32" s="97">
        <v>5</v>
      </c>
      <c r="R32" s="97" t="s">
        <v>49</v>
      </c>
      <c r="S32" s="34" t="s">
        <v>50</v>
      </c>
      <c r="T32" s="49" t="s">
        <v>50</v>
      </c>
      <c r="U32" s="49" t="s">
        <v>50</v>
      </c>
      <c r="V32" s="34" t="s">
        <v>50</v>
      </c>
      <c r="W32" s="34" t="s">
        <v>50</v>
      </c>
      <c r="X32" s="34" t="s">
        <v>50</v>
      </c>
      <c r="Y32" s="102"/>
    </row>
    <row r="33" spans="1:25" s="97" customFormat="1" x14ac:dyDescent="0.25">
      <c r="A33" s="93">
        <v>43076</v>
      </c>
      <c r="B33" s="92" t="str">
        <f t="shared" si="0"/>
        <v>Thu</v>
      </c>
      <c r="C33" s="97" t="s">
        <v>62</v>
      </c>
      <c r="D33" s="98">
        <v>38.071480000000001</v>
      </c>
      <c r="E33" s="98">
        <v>-121.87102</v>
      </c>
      <c r="F33" s="97" t="s">
        <v>6875</v>
      </c>
      <c r="G33" s="97" t="s">
        <v>27</v>
      </c>
      <c r="H33" s="97" t="s">
        <v>62</v>
      </c>
      <c r="I33" s="99">
        <v>0.35000000000000003</v>
      </c>
      <c r="J33" s="100">
        <v>4822.8</v>
      </c>
      <c r="K33" s="100">
        <v>11.62</v>
      </c>
      <c r="L33" s="100">
        <v>44.04</v>
      </c>
      <c r="M33" s="100">
        <v>0.34799999999999998</v>
      </c>
      <c r="N33" s="101">
        <v>5.88</v>
      </c>
      <c r="O33" s="97" t="s">
        <v>48</v>
      </c>
      <c r="P33" s="97">
        <v>5</v>
      </c>
      <c r="Q33" s="97">
        <v>5</v>
      </c>
      <c r="R33" s="97" t="s">
        <v>64</v>
      </c>
      <c r="S33" s="34" t="s">
        <v>50</v>
      </c>
      <c r="T33" s="49" t="s">
        <v>50</v>
      </c>
      <c r="U33" s="49" t="s">
        <v>50</v>
      </c>
      <c r="V33" s="34" t="s">
        <v>50</v>
      </c>
      <c r="W33" s="34" t="s">
        <v>50</v>
      </c>
      <c r="X33" s="34" t="s">
        <v>50</v>
      </c>
      <c r="Y33" s="102"/>
    </row>
    <row r="34" spans="1:25" s="97" customFormat="1" x14ac:dyDescent="0.25">
      <c r="A34" s="93">
        <v>43076</v>
      </c>
      <c r="B34" s="92" t="str">
        <f t="shared" si="0"/>
        <v>Thu</v>
      </c>
      <c r="C34" s="97" t="s">
        <v>62</v>
      </c>
      <c r="D34" s="98">
        <v>38.139180000000003</v>
      </c>
      <c r="E34" s="98">
        <v>-122.0813</v>
      </c>
      <c r="F34" s="97" t="s">
        <v>6876</v>
      </c>
      <c r="G34" s="97" t="s">
        <v>27</v>
      </c>
      <c r="H34" s="97" t="s">
        <v>62</v>
      </c>
      <c r="I34" s="99">
        <v>0.4291666666666667</v>
      </c>
      <c r="J34" s="100">
        <v>10117.6</v>
      </c>
      <c r="K34" s="100">
        <v>10.48</v>
      </c>
      <c r="L34" s="100">
        <v>58.84</v>
      </c>
      <c r="M34" s="100">
        <v>0.28599999999999998</v>
      </c>
      <c r="N34" s="101">
        <v>3.28</v>
      </c>
      <c r="O34" s="97" t="s">
        <v>48</v>
      </c>
      <c r="P34" s="97">
        <v>5</v>
      </c>
      <c r="Q34" s="97">
        <v>5</v>
      </c>
      <c r="R34" s="97" t="s">
        <v>49</v>
      </c>
      <c r="S34" s="97" t="s">
        <v>31</v>
      </c>
      <c r="T34" s="97">
        <v>4</v>
      </c>
      <c r="U34" s="97" t="s">
        <v>6877</v>
      </c>
      <c r="V34" s="97" t="s">
        <v>66</v>
      </c>
      <c r="W34" s="97" t="s">
        <v>50</v>
      </c>
      <c r="X34" s="97" t="s">
        <v>50</v>
      </c>
      <c r="Y34" s="102" t="s">
        <v>6878</v>
      </c>
    </row>
    <row r="35" spans="1:25" s="97" customFormat="1" x14ac:dyDescent="0.25">
      <c r="A35" s="93">
        <v>43076</v>
      </c>
      <c r="B35" s="92" t="str">
        <f t="shared" si="0"/>
        <v>Thu</v>
      </c>
      <c r="C35" s="97" t="s">
        <v>6879</v>
      </c>
      <c r="D35" s="98">
        <v>38.177909999999997</v>
      </c>
      <c r="E35" s="98">
        <v>-121.52651</v>
      </c>
      <c r="F35" s="97" t="s">
        <v>6880</v>
      </c>
      <c r="G35" s="97" t="s">
        <v>46</v>
      </c>
      <c r="H35" s="97" t="s">
        <v>6881</v>
      </c>
      <c r="I35" s="99">
        <v>0.40347222222222223</v>
      </c>
      <c r="J35" s="100">
        <v>43.45</v>
      </c>
      <c r="K35" s="100">
        <v>11.35</v>
      </c>
      <c r="L35" s="100">
        <v>5.5549999999999997</v>
      </c>
      <c r="M35" s="100">
        <v>1.8</v>
      </c>
      <c r="N35" s="101">
        <v>5.766667</v>
      </c>
      <c r="O35" s="97" t="s">
        <v>48</v>
      </c>
      <c r="P35" s="97">
        <v>6</v>
      </c>
      <c r="Q35" s="97">
        <v>10</v>
      </c>
      <c r="R35" s="97" t="s">
        <v>49</v>
      </c>
      <c r="S35" s="34" t="s">
        <v>50</v>
      </c>
      <c r="T35" s="49" t="s">
        <v>50</v>
      </c>
      <c r="U35" s="49" t="s">
        <v>50</v>
      </c>
      <c r="V35" s="34" t="s">
        <v>50</v>
      </c>
      <c r="W35" s="34" t="s">
        <v>50</v>
      </c>
      <c r="X35" s="34" t="s">
        <v>50</v>
      </c>
      <c r="Y35" s="102"/>
    </row>
    <row r="36" spans="1:25" s="153" customFormat="1" x14ac:dyDescent="0.25">
      <c r="A36" s="148">
        <v>43076</v>
      </c>
      <c r="B36" s="148" t="str">
        <f t="shared" si="0"/>
        <v>Thu</v>
      </c>
      <c r="C36" s="153" t="s">
        <v>6879</v>
      </c>
      <c r="D36" s="154">
        <v>38.071159999999999</v>
      </c>
      <c r="E36" s="154">
        <v>-121.45819</v>
      </c>
      <c r="F36" s="153" t="s">
        <v>6882</v>
      </c>
      <c r="G36" s="153" t="s">
        <v>46</v>
      </c>
      <c r="H36" s="153" t="s">
        <v>6883</v>
      </c>
      <c r="I36" s="155">
        <v>0.47916666666666669</v>
      </c>
      <c r="J36" s="156" t="s">
        <v>50</v>
      </c>
      <c r="K36" s="156" t="s">
        <v>50</v>
      </c>
      <c r="L36" s="156" t="s">
        <v>50</v>
      </c>
      <c r="M36" s="156" t="s">
        <v>50</v>
      </c>
      <c r="N36" s="156" t="s">
        <v>50</v>
      </c>
      <c r="O36" s="153" t="s">
        <v>48</v>
      </c>
      <c r="P36" s="153">
        <v>0</v>
      </c>
      <c r="Q36" s="153" t="s">
        <v>50</v>
      </c>
      <c r="R36" s="153" t="s">
        <v>50</v>
      </c>
      <c r="S36" s="157" t="s">
        <v>50</v>
      </c>
      <c r="T36" s="158" t="s">
        <v>50</v>
      </c>
      <c r="U36" s="158" t="s">
        <v>50</v>
      </c>
      <c r="V36" s="157" t="s">
        <v>50</v>
      </c>
      <c r="W36" s="157" t="s">
        <v>50</v>
      </c>
      <c r="X36" s="157" t="s">
        <v>50</v>
      </c>
      <c r="Y36" s="159" t="s">
        <v>6884</v>
      </c>
    </row>
    <row r="37" spans="1:25" s="108" customFormat="1" ht="15.75" thickBot="1" x14ac:dyDescent="0.3">
      <c r="A37" s="106">
        <v>43076</v>
      </c>
      <c r="B37" s="107" t="str">
        <f t="shared" si="0"/>
        <v>Thu</v>
      </c>
      <c r="C37" s="108" t="s">
        <v>6879</v>
      </c>
      <c r="D37" s="109">
        <v>38.129089999999998</v>
      </c>
      <c r="E37" s="109">
        <v>-121.49927</v>
      </c>
      <c r="F37" s="108" t="s">
        <v>6885</v>
      </c>
      <c r="G37" s="108" t="s">
        <v>46</v>
      </c>
      <c r="H37" s="108" t="s">
        <v>6881</v>
      </c>
      <c r="I37" s="110">
        <v>0.5805555555555556</v>
      </c>
      <c r="J37" s="111">
        <v>97.6</v>
      </c>
      <c r="K37" s="111">
        <v>11.033329999999999</v>
      </c>
      <c r="L37" s="111">
        <v>3.6066669999999998</v>
      </c>
      <c r="M37" s="111">
        <v>1.8</v>
      </c>
      <c r="N37" s="112">
        <v>7.016667</v>
      </c>
      <c r="O37" s="108" t="s">
        <v>48</v>
      </c>
      <c r="P37" s="108">
        <v>6</v>
      </c>
      <c r="Q37" s="108">
        <v>10</v>
      </c>
      <c r="R37" s="108" t="s">
        <v>49</v>
      </c>
      <c r="S37" s="114" t="s">
        <v>50</v>
      </c>
      <c r="T37" s="115" t="s">
        <v>50</v>
      </c>
      <c r="U37" s="115" t="s">
        <v>50</v>
      </c>
      <c r="V37" s="114" t="s">
        <v>50</v>
      </c>
      <c r="W37" s="114" t="s">
        <v>50</v>
      </c>
      <c r="X37" s="114" t="s">
        <v>50</v>
      </c>
      <c r="Y37" s="113"/>
    </row>
    <row r="38" spans="1:25" s="97" customFormat="1" ht="15.75" thickTop="1" x14ac:dyDescent="0.25">
      <c r="A38" s="93">
        <v>43080</v>
      </c>
      <c r="B38" s="92" t="str">
        <f t="shared" si="0"/>
        <v>Mon</v>
      </c>
      <c r="C38" s="97" t="s">
        <v>62</v>
      </c>
      <c r="D38" s="98">
        <v>38.123550000000002</v>
      </c>
      <c r="E38" s="98">
        <v>-122.0553</v>
      </c>
      <c r="F38" s="97" t="s">
        <v>6886</v>
      </c>
      <c r="G38" s="97" t="s">
        <v>27</v>
      </c>
      <c r="H38" s="97" t="s">
        <v>62</v>
      </c>
      <c r="I38" s="99">
        <v>0.35138888888888892</v>
      </c>
      <c r="J38" s="100">
        <v>12032.2</v>
      </c>
      <c r="K38" s="100">
        <v>11.459999999999999</v>
      </c>
      <c r="L38" s="100">
        <v>50.879999999999995</v>
      </c>
      <c r="M38" s="100">
        <v>0.28999999999999998</v>
      </c>
      <c r="N38" s="101">
        <v>3.6199999999999997</v>
      </c>
      <c r="O38" s="97" t="s">
        <v>48</v>
      </c>
      <c r="P38" s="97">
        <v>5</v>
      </c>
      <c r="Q38" s="97">
        <v>5</v>
      </c>
      <c r="R38" s="97" t="s">
        <v>64</v>
      </c>
      <c r="S38" s="97" t="s">
        <v>50</v>
      </c>
      <c r="T38" s="97" t="s">
        <v>50</v>
      </c>
      <c r="U38" s="97" t="s">
        <v>50</v>
      </c>
      <c r="V38" s="97" t="s">
        <v>50</v>
      </c>
      <c r="W38" s="97" t="s">
        <v>50</v>
      </c>
      <c r="X38" s="97" t="s">
        <v>50</v>
      </c>
      <c r="Y38" s="102"/>
    </row>
    <row r="39" spans="1:25" s="97" customFormat="1" x14ac:dyDescent="0.25">
      <c r="A39" s="93">
        <v>43080</v>
      </c>
      <c r="B39" s="92" t="str">
        <f t="shared" si="0"/>
        <v>Mon</v>
      </c>
      <c r="C39" s="97" t="s">
        <v>62</v>
      </c>
      <c r="D39" s="98">
        <v>38.110520000000001</v>
      </c>
      <c r="E39" s="98">
        <v>-122.05883</v>
      </c>
      <c r="F39" s="97" t="s">
        <v>6887</v>
      </c>
      <c r="G39" s="97" t="s">
        <v>27</v>
      </c>
      <c r="H39" s="97" t="s">
        <v>173</v>
      </c>
      <c r="I39" s="99">
        <v>0.40833333333333338</v>
      </c>
      <c r="J39" s="100">
        <v>11499</v>
      </c>
      <c r="K39" s="100">
        <v>11.233333333333334</v>
      </c>
      <c r="L39" s="100">
        <v>53.866666666666674</v>
      </c>
      <c r="M39" s="100">
        <v>0.28999999999999998</v>
      </c>
      <c r="N39" s="101">
        <v>2.8333333333333335</v>
      </c>
      <c r="O39" s="97" t="s">
        <v>48</v>
      </c>
      <c r="P39" s="97">
        <v>3</v>
      </c>
      <c r="Q39" s="97">
        <v>5</v>
      </c>
      <c r="R39" s="97" t="s">
        <v>64</v>
      </c>
      <c r="S39" s="97" t="s">
        <v>323</v>
      </c>
      <c r="T39" s="97">
        <v>1</v>
      </c>
      <c r="U39" s="97">
        <v>61</v>
      </c>
      <c r="V39" s="97" t="s">
        <v>66</v>
      </c>
      <c r="W39" s="97" t="s">
        <v>50</v>
      </c>
      <c r="X39" s="97" t="s">
        <v>50</v>
      </c>
      <c r="Y39" s="102" t="s">
        <v>6888</v>
      </c>
    </row>
    <row r="40" spans="1:25" s="97" customFormat="1" x14ac:dyDescent="0.25">
      <c r="A40" s="93">
        <v>43080</v>
      </c>
      <c r="B40" s="92" t="str">
        <f t="shared" si="0"/>
        <v>Mon</v>
      </c>
      <c r="C40" s="97" t="s">
        <v>62</v>
      </c>
      <c r="D40" s="98">
        <v>38.172969999999999</v>
      </c>
      <c r="E40" s="98">
        <v>-121.95614</v>
      </c>
      <c r="F40" s="97" t="s">
        <v>6889</v>
      </c>
      <c r="G40" s="97" t="s">
        <v>27</v>
      </c>
      <c r="H40" s="97" t="s">
        <v>62</v>
      </c>
      <c r="I40" s="99">
        <v>0.47291666666666665</v>
      </c>
      <c r="J40" s="100">
        <v>9010.6</v>
      </c>
      <c r="K40" s="100">
        <v>10.700000000000001</v>
      </c>
      <c r="L40" s="100">
        <v>42.660000000000004</v>
      </c>
      <c r="M40" s="100">
        <v>0.29799999999999999</v>
      </c>
      <c r="N40" s="101">
        <v>6.9799999999999995</v>
      </c>
      <c r="O40" s="97" t="s">
        <v>48</v>
      </c>
      <c r="P40" s="97">
        <v>5</v>
      </c>
      <c r="Q40" s="97">
        <v>5</v>
      </c>
      <c r="R40" s="97" t="s">
        <v>49</v>
      </c>
      <c r="S40" s="97" t="s">
        <v>323</v>
      </c>
      <c r="T40" s="97">
        <v>1</v>
      </c>
      <c r="U40" s="97">
        <v>67</v>
      </c>
      <c r="V40" s="97" t="s">
        <v>66</v>
      </c>
      <c r="W40" s="97" t="s">
        <v>50</v>
      </c>
      <c r="X40" s="97" t="s">
        <v>50</v>
      </c>
      <c r="Y40" s="102" t="s">
        <v>6890</v>
      </c>
    </row>
    <row r="41" spans="1:25" s="97" customFormat="1" x14ac:dyDescent="0.25">
      <c r="A41" s="93">
        <v>43080</v>
      </c>
      <c r="B41" s="92" t="str">
        <f t="shared" si="0"/>
        <v>Mon</v>
      </c>
      <c r="C41" s="97" t="s">
        <v>6849</v>
      </c>
      <c r="D41" s="98">
        <v>38.172739999999997</v>
      </c>
      <c r="E41" s="98">
        <v>-121.64746</v>
      </c>
      <c r="F41" s="97" t="s">
        <v>6891</v>
      </c>
      <c r="G41" s="97" t="s">
        <v>90</v>
      </c>
      <c r="H41" s="97" t="s">
        <v>6892</v>
      </c>
      <c r="I41" s="99">
        <v>0.3347222222222222</v>
      </c>
      <c r="J41" s="100">
        <v>110.52000000000001</v>
      </c>
      <c r="K41" s="100">
        <v>9.7833333333333332</v>
      </c>
      <c r="L41" s="100">
        <v>15.3</v>
      </c>
      <c r="M41" s="100">
        <v>1.405</v>
      </c>
      <c r="N41" s="101">
        <v>4.2164000000000001</v>
      </c>
      <c r="O41" s="97" t="s">
        <v>48</v>
      </c>
      <c r="P41" s="97">
        <v>6</v>
      </c>
      <c r="Q41" s="97">
        <v>10</v>
      </c>
      <c r="R41" s="97" t="s">
        <v>64</v>
      </c>
      <c r="S41" s="97" t="s">
        <v>50</v>
      </c>
      <c r="T41" s="97" t="s">
        <v>50</v>
      </c>
      <c r="U41" s="97" t="s">
        <v>50</v>
      </c>
      <c r="V41" s="97" t="s">
        <v>50</v>
      </c>
      <c r="W41" s="97" t="s">
        <v>50</v>
      </c>
      <c r="X41" s="97" t="s">
        <v>50</v>
      </c>
      <c r="Y41" s="102" t="s">
        <v>6893</v>
      </c>
    </row>
    <row r="42" spans="1:25" s="97" customFormat="1" x14ac:dyDescent="0.25">
      <c r="A42" s="93">
        <v>43080</v>
      </c>
      <c r="B42" s="92" t="str">
        <f t="shared" si="0"/>
        <v>Mon</v>
      </c>
      <c r="C42" s="97" t="s">
        <v>6849</v>
      </c>
      <c r="D42" s="98">
        <v>38.189689999999999</v>
      </c>
      <c r="E42" s="98">
        <v>-121.57785</v>
      </c>
      <c r="F42" s="97" t="s">
        <v>6894</v>
      </c>
      <c r="G42" s="97" t="s">
        <v>90</v>
      </c>
      <c r="H42" s="97" t="s">
        <v>6892</v>
      </c>
      <c r="I42" s="99">
        <v>0.42777777777777781</v>
      </c>
      <c r="J42" s="100">
        <v>116.55000000000001</v>
      </c>
      <c r="K42" s="100">
        <v>9.9833333333333325</v>
      </c>
      <c r="L42" s="100">
        <v>18.95</v>
      </c>
      <c r="M42" s="100">
        <v>1.36</v>
      </c>
      <c r="N42" s="101">
        <v>4.2164000000000001</v>
      </c>
      <c r="O42" s="97" t="s">
        <v>48</v>
      </c>
      <c r="P42" s="97">
        <v>6</v>
      </c>
      <c r="Q42" s="97">
        <v>10</v>
      </c>
      <c r="R42" s="97" t="s">
        <v>64</v>
      </c>
      <c r="S42" s="97" t="s">
        <v>50</v>
      </c>
      <c r="T42" s="97" t="s">
        <v>50</v>
      </c>
      <c r="U42" s="97" t="s">
        <v>50</v>
      </c>
      <c r="V42" s="97" t="s">
        <v>50</v>
      </c>
      <c r="W42" s="97" t="s">
        <v>50</v>
      </c>
      <c r="X42" s="97" t="s">
        <v>50</v>
      </c>
      <c r="Y42" s="102" t="s">
        <v>6893</v>
      </c>
    </row>
    <row r="43" spans="1:25" s="97" customFormat="1" x14ac:dyDescent="0.25">
      <c r="A43" s="93">
        <v>43080</v>
      </c>
      <c r="B43" s="92" t="str">
        <f t="shared" si="0"/>
        <v>Mon</v>
      </c>
      <c r="C43" s="97" t="s">
        <v>6879</v>
      </c>
      <c r="D43" s="98">
        <v>38.132330000000003</v>
      </c>
      <c r="E43" s="98">
        <v>-121.57283</v>
      </c>
      <c r="F43" s="97" t="s">
        <v>6895</v>
      </c>
      <c r="G43" s="97" t="s">
        <v>46</v>
      </c>
      <c r="H43" s="97" t="s">
        <v>6881</v>
      </c>
      <c r="I43" s="99">
        <v>0.36805555555555558</v>
      </c>
      <c r="J43" s="100">
        <v>99.616666666666674</v>
      </c>
      <c r="K43" s="100">
        <v>9.8666666666666671</v>
      </c>
      <c r="L43" s="100">
        <v>7.583333333333333</v>
      </c>
      <c r="M43" s="100">
        <v>0.63333333333333341</v>
      </c>
      <c r="N43" s="101">
        <v>4.8333333333333339</v>
      </c>
      <c r="O43" s="97" t="s">
        <v>48</v>
      </c>
      <c r="P43" s="97">
        <v>6</v>
      </c>
      <c r="Q43" s="97">
        <v>10</v>
      </c>
      <c r="R43" s="97" t="s">
        <v>64</v>
      </c>
      <c r="S43" s="97" t="s">
        <v>50</v>
      </c>
      <c r="T43" s="97" t="s">
        <v>50</v>
      </c>
      <c r="U43" s="97" t="s">
        <v>50</v>
      </c>
      <c r="V43" s="97" t="s">
        <v>50</v>
      </c>
      <c r="W43" s="97" t="s">
        <v>50</v>
      </c>
      <c r="X43" s="97" t="s">
        <v>50</v>
      </c>
      <c r="Y43" s="102"/>
    </row>
    <row r="44" spans="1:25" s="97" customFormat="1" x14ac:dyDescent="0.25">
      <c r="A44" s="93">
        <v>43080</v>
      </c>
      <c r="B44" s="92" t="str">
        <f t="shared" si="0"/>
        <v>Mon</v>
      </c>
      <c r="C44" s="97" t="s">
        <v>6879</v>
      </c>
      <c r="D44" s="98">
        <v>38.154359999999997</v>
      </c>
      <c r="E44" s="98">
        <v>-121.53537</v>
      </c>
      <c r="F44" s="97" t="s">
        <v>6896</v>
      </c>
      <c r="G44" s="97" t="s">
        <v>46</v>
      </c>
      <c r="H44" s="97" t="s">
        <v>6881</v>
      </c>
      <c r="I44" s="99">
        <v>0.45902777777777781</v>
      </c>
      <c r="J44" s="100">
        <v>69.616666666666674</v>
      </c>
      <c r="K44" s="100">
        <v>10.583333333333334</v>
      </c>
      <c r="L44" s="100">
        <v>5.8416666666666677</v>
      </c>
      <c r="M44" s="100">
        <v>0.74333333333333329</v>
      </c>
      <c r="N44" s="101">
        <v>5.8999999999999995</v>
      </c>
      <c r="O44" s="97" t="s">
        <v>48</v>
      </c>
      <c r="P44" s="97">
        <v>6</v>
      </c>
      <c r="Q44" s="97">
        <v>10</v>
      </c>
      <c r="R44" s="97" t="s">
        <v>64</v>
      </c>
      <c r="S44" s="97" t="s">
        <v>50</v>
      </c>
      <c r="T44" s="97" t="s">
        <v>50</v>
      </c>
      <c r="U44" s="97" t="s">
        <v>50</v>
      </c>
      <c r="V44" s="97" t="s">
        <v>50</v>
      </c>
      <c r="W44" s="97" t="s">
        <v>50</v>
      </c>
      <c r="X44" s="97" t="s">
        <v>50</v>
      </c>
      <c r="Y44" s="102" t="s">
        <v>6897</v>
      </c>
    </row>
    <row r="45" spans="1:25" s="27" customFormat="1" x14ac:dyDescent="0.25">
      <c r="A45" s="93">
        <v>43081</v>
      </c>
      <c r="B45" s="92" t="str">
        <f t="shared" si="0"/>
        <v>Tue</v>
      </c>
      <c r="C45" s="27" t="s">
        <v>95</v>
      </c>
      <c r="D45" s="89">
        <v>38.093069999999997</v>
      </c>
      <c r="E45" s="89">
        <v>-121.57455</v>
      </c>
      <c r="F45" s="27" t="s">
        <v>6898</v>
      </c>
      <c r="G45" s="27" t="s">
        <v>46</v>
      </c>
      <c r="H45" s="27" t="s">
        <v>115</v>
      </c>
      <c r="I45" s="84">
        <v>0.31180555555555556</v>
      </c>
      <c r="J45" s="82">
        <v>198.4</v>
      </c>
      <c r="K45" s="82">
        <v>10.84</v>
      </c>
      <c r="L45" s="82">
        <v>8.2840000000000007</v>
      </c>
      <c r="M45" s="82">
        <v>0.78600000000000003</v>
      </c>
      <c r="N45" s="4">
        <v>10.82</v>
      </c>
      <c r="O45" s="27" t="s">
        <v>48</v>
      </c>
      <c r="P45" s="27">
        <v>5</v>
      </c>
      <c r="Q45" s="27">
        <v>5</v>
      </c>
      <c r="R45" s="27" t="s">
        <v>64</v>
      </c>
      <c r="S45" s="97" t="s">
        <v>50</v>
      </c>
      <c r="T45" s="97" t="s">
        <v>50</v>
      </c>
      <c r="U45" s="97" t="s">
        <v>50</v>
      </c>
      <c r="V45" s="97" t="s">
        <v>50</v>
      </c>
      <c r="W45" s="97" t="s">
        <v>50</v>
      </c>
      <c r="X45" s="97" t="s">
        <v>50</v>
      </c>
      <c r="Y45" s="35"/>
    </row>
    <row r="46" spans="1:25" s="27" customFormat="1" x14ac:dyDescent="0.25">
      <c r="A46" s="93">
        <v>43081</v>
      </c>
      <c r="B46" s="92" t="str">
        <f t="shared" si="0"/>
        <v>Tue</v>
      </c>
      <c r="C46" s="27" t="s">
        <v>95</v>
      </c>
      <c r="D46" s="89">
        <v>38.054960000000001</v>
      </c>
      <c r="E46" s="89">
        <v>-121.50122</v>
      </c>
      <c r="F46" s="27" t="s">
        <v>6899</v>
      </c>
      <c r="G46" s="27" t="s">
        <v>46</v>
      </c>
      <c r="H46" s="27" t="s">
        <v>115</v>
      </c>
      <c r="I46" s="84">
        <v>0.39027777777777778</v>
      </c>
      <c r="J46" s="82">
        <v>118.7167</v>
      </c>
      <c r="K46" s="82">
        <v>10.216670000000001</v>
      </c>
      <c r="L46" s="82">
        <v>15.31667</v>
      </c>
      <c r="M46" s="82">
        <v>0.77600000000000002</v>
      </c>
      <c r="N46" s="4">
        <v>6.1166669999999996</v>
      </c>
      <c r="O46" s="27" t="s">
        <v>48</v>
      </c>
      <c r="P46" s="27">
        <v>6</v>
      </c>
      <c r="Q46" s="27">
        <v>5</v>
      </c>
      <c r="R46" s="27" t="s">
        <v>64</v>
      </c>
      <c r="S46" s="97" t="s">
        <v>50</v>
      </c>
      <c r="T46" s="97" t="s">
        <v>50</v>
      </c>
      <c r="U46" s="97" t="s">
        <v>50</v>
      </c>
      <c r="V46" s="97" t="s">
        <v>50</v>
      </c>
      <c r="W46" s="97" t="s">
        <v>50</v>
      </c>
      <c r="X46" s="97" t="s">
        <v>50</v>
      </c>
      <c r="Y46" s="35" t="s">
        <v>6900</v>
      </c>
    </row>
    <row r="47" spans="1:25" s="27" customFormat="1" x14ac:dyDescent="0.25">
      <c r="A47" s="93">
        <v>43081</v>
      </c>
      <c r="B47" s="92" t="str">
        <f t="shared" si="0"/>
        <v>Tue</v>
      </c>
      <c r="C47" s="27" t="s">
        <v>95</v>
      </c>
      <c r="D47" s="89">
        <v>38.030290000000001</v>
      </c>
      <c r="E47" s="89">
        <v>-121.74222</v>
      </c>
      <c r="F47" s="27" t="s">
        <v>6901</v>
      </c>
      <c r="G47" s="27" t="s">
        <v>27</v>
      </c>
      <c r="H47" s="27" t="s">
        <v>863</v>
      </c>
      <c r="I47" s="84">
        <v>0.48680555555555555</v>
      </c>
      <c r="J47" s="82">
        <v>1302.8</v>
      </c>
      <c r="K47" s="82">
        <v>10.8</v>
      </c>
      <c r="L47" s="82">
        <v>43.84</v>
      </c>
      <c r="M47" s="82">
        <v>0.40600000000000003</v>
      </c>
      <c r="N47" s="4">
        <v>4.54</v>
      </c>
      <c r="O47" s="27" t="s">
        <v>48</v>
      </c>
      <c r="P47" s="27">
        <v>5</v>
      </c>
      <c r="Q47" s="27">
        <v>5</v>
      </c>
      <c r="R47" s="27" t="s">
        <v>64</v>
      </c>
      <c r="S47" s="97" t="s">
        <v>50</v>
      </c>
      <c r="T47" s="97" t="s">
        <v>50</v>
      </c>
      <c r="U47" s="97" t="s">
        <v>50</v>
      </c>
      <c r="V47" s="97" t="s">
        <v>50</v>
      </c>
      <c r="W47" s="97" t="s">
        <v>50</v>
      </c>
      <c r="X47" s="97" t="s">
        <v>50</v>
      </c>
      <c r="Y47" s="35"/>
    </row>
    <row r="48" spans="1:25" s="27" customFormat="1" x14ac:dyDescent="0.25">
      <c r="A48" s="93">
        <v>43081</v>
      </c>
      <c r="B48" s="92" t="str">
        <f t="shared" si="0"/>
        <v>Tue</v>
      </c>
      <c r="C48" s="27" t="s">
        <v>78</v>
      </c>
      <c r="D48" s="89">
        <v>38.025019999999998</v>
      </c>
      <c r="E48" s="89">
        <v>-121.83078</v>
      </c>
      <c r="F48" s="27" t="s">
        <v>6902</v>
      </c>
      <c r="G48" s="27" t="s">
        <v>27</v>
      </c>
      <c r="H48" s="27" t="s">
        <v>101</v>
      </c>
      <c r="I48" s="84">
        <v>0.3520833333333333</v>
      </c>
      <c r="J48" s="82">
        <v>2132.1999999999998</v>
      </c>
      <c r="K48" s="82">
        <v>11</v>
      </c>
      <c r="L48" s="82">
        <v>22.38</v>
      </c>
      <c r="M48" s="82">
        <v>0.55400000000000005</v>
      </c>
      <c r="N48" s="4">
        <v>3</v>
      </c>
      <c r="O48" s="27" t="s">
        <v>48</v>
      </c>
      <c r="P48" s="27">
        <v>5</v>
      </c>
      <c r="Q48" s="27">
        <v>5</v>
      </c>
      <c r="R48" s="27" t="s">
        <v>64</v>
      </c>
      <c r="S48" s="27" t="s">
        <v>31</v>
      </c>
      <c r="T48" s="27">
        <v>1</v>
      </c>
      <c r="U48" s="27">
        <v>76</v>
      </c>
      <c r="V48" s="27" t="s">
        <v>66</v>
      </c>
      <c r="W48" s="27" t="s">
        <v>50</v>
      </c>
      <c r="X48" s="27" t="s">
        <v>50</v>
      </c>
      <c r="Y48" s="35" t="s">
        <v>6903</v>
      </c>
    </row>
    <row r="49" spans="1:25" s="27" customFormat="1" x14ac:dyDescent="0.25">
      <c r="A49" s="93">
        <v>43081</v>
      </c>
      <c r="B49" s="92" t="str">
        <f t="shared" si="0"/>
        <v>Tue</v>
      </c>
      <c r="C49" s="27" t="s">
        <v>78</v>
      </c>
      <c r="D49" s="89">
        <v>38.067270000000001</v>
      </c>
      <c r="E49" s="89">
        <v>-121.97816</v>
      </c>
      <c r="F49" s="27" t="s">
        <v>6904</v>
      </c>
      <c r="G49" s="27" t="s">
        <v>27</v>
      </c>
      <c r="H49" s="27" t="s">
        <v>86</v>
      </c>
      <c r="I49" s="84">
        <v>0.44791666666666669</v>
      </c>
      <c r="J49" s="82">
        <v>10304.4</v>
      </c>
      <c r="K49" s="82">
        <v>11.3</v>
      </c>
      <c r="L49" s="82">
        <v>50.18</v>
      </c>
      <c r="M49" s="82">
        <v>0.32400000000000001</v>
      </c>
      <c r="N49" s="4">
        <v>6.16</v>
      </c>
      <c r="O49" s="27" t="s">
        <v>48</v>
      </c>
      <c r="P49" s="27">
        <v>5</v>
      </c>
      <c r="Q49" s="27">
        <v>5</v>
      </c>
      <c r="R49" s="27" t="s">
        <v>64</v>
      </c>
      <c r="S49" s="97" t="s">
        <v>50</v>
      </c>
      <c r="T49" s="97" t="s">
        <v>50</v>
      </c>
      <c r="U49" s="97" t="s">
        <v>50</v>
      </c>
      <c r="V49" s="97" t="s">
        <v>50</v>
      </c>
      <c r="W49" s="97" t="s">
        <v>50</v>
      </c>
      <c r="X49" s="97" t="s">
        <v>50</v>
      </c>
      <c r="Y49" s="35"/>
    </row>
    <row r="50" spans="1:25" s="27" customFormat="1" x14ac:dyDescent="0.25">
      <c r="A50" s="93">
        <v>43081</v>
      </c>
      <c r="B50" s="92" t="str">
        <f t="shared" si="0"/>
        <v>Tue</v>
      </c>
      <c r="C50" s="27" t="s">
        <v>106</v>
      </c>
      <c r="D50" s="89">
        <v>38.558129999999998</v>
      </c>
      <c r="E50" s="89">
        <v>-121.57118</v>
      </c>
      <c r="F50" s="27" t="s">
        <v>6905</v>
      </c>
      <c r="G50" s="27" t="s">
        <v>90</v>
      </c>
      <c r="H50" s="27" t="s">
        <v>1787</v>
      </c>
      <c r="I50" s="84">
        <v>0.42638888888888887</v>
      </c>
      <c r="J50" s="82">
        <v>719.4</v>
      </c>
      <c r="K50" s="82">
        <v>12.38</v>
      </c>
      <c r="L50" s="82">
        <v>8.6479999999999997</v>
      </c>
      <c r="M50" s="82">
        <v>0.746</v>
      </c>
      <c r="N50" s="4">
        <v>11.326370000000001</v>
      </c>
      <c r="O50" s="27" t="s">
        <v>48</v>
      </c>
      <c r="P50" s="27">
        <v>5</v>
      </c>
      <c r="Q50" s="27">
        <v>5</v>
      </c>
      <c r="R50" s="27" t="s">
        <v>64</v>
      </c>
      <c r="S50" s="97" t="s">
        <v>50</v>
      </c>
      <c r="T50" s="97" t="s">
        <v>50</v>
      </c>
      <c r="U50" s="97" t="s">
        <v>50</v>
      </c>
      <c r="V50" s="97" t="s">
        <v>50</v>
      </c>
      <c r="W50" s="97" t="s">
        <v>50</v>
      </c>
      <c r="X50" s="97" t="s">
        <v>50</v>
      </c>
      <c r="Y50" s="102" t="s">
        <v>6893</v>
      </c>
    </row>
    <row r="51" spans="1:25" s="27" customFormat="1" x14ac:dyDescent="0.25">
      <c r="A51" s="93">
        <v>43081</v>
      </c>
      <c r="B51" s="92" t="str">
        <f t="shared" si="0"/>
        <v>Tue</v>
      </c>
      <c r="C51" s="27" t="s">
        <v>106</v>
      </c>
      <c r="D51" s="89">
        <v>38.533239999999999</v>
      </c>
      <c r="E51" s="89">
        <v>-121.58416</v>
      </c>
      <c r="F51" s="27" t="s">
        <v>6906</v>
      </c>
      <c r="G51" s="27" t="s">
        <v>90</v>
      </c>
      <c r="H51" s="27" t="s">
        <v>1787</v>
      </c>
      <c r="I51" s="84">
        <v>0.47222222222222227</v>
      </c>
      <c r="J51" s="82">
        <v>649.16669999999999</v>
      </c>
      <c r="K51" s="82">
        <v>12.116669999999999</v>
      </c>
      <c r="L51" s="82">
        <v>23.766670000000001</v>
      </c>
      <c r="M51" s="82">
        <v>0.31166700000000003</v>
      </c>
      <c r="N51" s="4">
        <v>9.5707199999999997</v>
      </c>
      <c r="O51" s="27" t="s">
        <v>48</v>
      </c>
      <c r="P51" s="27">
        <v>6</v>
      </c>
      <c r="Q51" s="27">
        <v>5</v>
      </c>
      <c r="R51" s="27" t="s">
        <v>49</v>
      </c>
      <c r="S51" s="97" t="s">
        <v>50</v>
      </c>
      <c r="T51" s="97" t="s">
        <v>50</v>
      </c>
      <c r="U51" s="97" t="s">
        <v>50</v>
      </c>
      <c r="V51" s="97" t="s">
        <v>50</v>
      </c>
      <c r="W51" s="97" t="s">
        <v>50</v>
      </c>
      <c r="X51" s="97" t="s">
        <v>50</v>
      </c>
      <c r="Y51" s="35" t="s">
        <v>6907</v>
      </c>
    </row>
    <row r="52" spans="1:25" s="27" customFormat="1" x14ac:dyDescent="0.25">
      <c r="A52" s="93">
        <v>43081</v>
      </c>
      <c r="B52" s="92" t="str">
        <f t="shared" si="0"/>
        <v>Tue</v>
      </c>
      <c r="C52" s="27" t="s">
        <v>106</v>
      </c>
      <c r="D52" s="89">
        <v>38.24333</v>
      </c>
      <c r="E52" s="89">
        <v>-121.67019000000001</v>
      </c>
      <c r="F52" s="27" t="s">
        <v>6908</v>
      </c>
      <c r="G52" s="27" t="s">
        <v>90</v>
      </c>
      <c r="H52" s="97" t="s">
        <v>362</v>
      </c>
      <c r="I52" s="84">
        <v>0.57708333333333328</v>
      </c>
      <c r="J52" s="82">
        <v>121.9</v>
      </c>
      <c r="K52" s="82">
        <v>10.3</v>
      </c>
      <c r="L52" s="82">
        <v>5.6440000000000001</v>
      </c>
      <c r="M52" s="82">
        <v>1.5640000000000001</v>
      </c>
      <c r="N52" s="4">
        <v>5.7119520000000001</v>
      </c>
      <c r="O52" s="27" t="s">
        <v>48</v>
      </c>
      <c r="P52" s="27">
        <v>5</v>
      </c>
      <c r="Q52" s="27">
        <v>5</v>
      </c>
      <c r="R52" s="27" t="s">
        <v>49</v>
      </c>
      <c r="S52" s="97" t="s">
        <v>50</v>
      </c>
      <c r="T52" s="97" t="s">
        <v>50</v>
      </c>
      <c r="U52" s="97" t="s">
        <v>50</v>
      </c>
      <c r="V52" s="97" t="s">
        <v>50</v>
      </c>
      <c r="W52" s="97" t="s">
        <v>50</v>
      </c>
      <c r="X52" s="97" t="s">
        <v>50</v>
      </c>
      <c r="Y52" s="35"/>
    </row>
    <row r="53" spans="1:25" s="27" customFormat="1" x14ac:dyDescent="0.25">
      <c r="A53" s="93">
        <v>43082</v>
      </c>
      <c r="B53" s="92" t="str">
        <f t="shared" si="0"/>
        <v>Wed</v>
      </c>
      <c r="C53" s="27" t="s">
        <v>95</v>
      </c>
      <c r="D53" s="89">
        <v>38.102359999999997</v>
      </c>
      <c r="E53" s="89">
        <v>-121.62269000000001</v>
      </c>
      <c r="F53" s="27" t="s">
        <v>6909</v>
      </c>
      <c r="G53" s="27" t="s">
        <v>46</v>
      </c>
      <c r="H53" s="27" t="s">
        <v>908</v>
      </c>
      <c r="I53" s="84">
        <v>0.33958333333333335</v>
      </c>
      <c r="J53" s="82">
        <v>274.53999999999996</v>
      </c>
      <c r="K53" s="82">
        <v>10.84</v>
      </c>
      <c r="L53" s="82">
        <v>10.542</v>
      </c>
      <c r="M53" s="82">
        <v>0.71</v>
      </c>
      <c r="N53" s="4">
        <v>12.280000000000001</v>
      </c>
      <c r="O53" s="27" t="s">
        <v>48</v>
      </c>
      <c r="P53" s="27">
        <v>5</v>
      </c>
      <c r="Q53" s="27">
        <v>5</v>
      </c>
      <c r="R53" s="27" t="s">
        <v>49</v>
      </c>
      <c r="S53" s="27" t="s">
        <v>50</v>
      </c>
      <c r="T53" s="27" t="s">
        <v>50</v>
      </c>
      <c r="U53" s="27" t="s">
        <v>50</v>
      </c>
      <c r="V53" s="27" t="s">
        <v>50</v>
      </c>
      <c r="W53" s="27" t="s">
        <v>50</v>
      </c>
      <c r="X53" s="27" t="s">
        <v>50</v>
      </c>
      <c r="Y53" s="35"/>
    </row>
    <row r="54" spans="1:25" s="27" customFormat="1" x14ac:dyDescent="0.25">
      <c r="A54" s="93">
        <v>43082</v>
      </c>
      <c r="B54" s="92" t="str">
        <f t="shared" si="0"/>
        <v>Wed</v>
      </c>
      <c r="C54" s="27" t="s">
        <v>95</v>
      </c>
      <c r="D54" s="89">
        <v>38.082230000000003</v>
      </c>
      <c r="E54" s="89">
        <v>-121.57767</v>
      </c>
      <c r="F54" s="27" t="s">
        <v>6910</v>
      </c>
      <c r="G54" s="27" t="s">
        <v>46</v>
      </c>
      <c r="H54" s="27" t="s">
        <v>115</v>
      </c>
      <c r="I54" s="84">
        <v>0.39930555555555558</v>
      </c>
      <c r="J54" s="82">
        <v>269.88</v>
      </c>
      <c r="K54" s="82">
        <v>10.76</v>
      </c>
      <c r="L54" s="82">
        <v>16.419999999999998</v>
      </c>
      <c r="M54" s="82">
        <v>0.68499999999999994</v>
      </c>
      <c r="N54" s="4">
        <v>7.7200000000000006</v>
      </c>
      <c r="O54" s="27" t="s">
        <v>48</v>
      </c>
      <c r="P54" s="27">
        <v>5</v>
      </c>
      <c r="Q54" s="27">
        <v>5</v>
      </c>
      <c r="R54" s="27" t="s">
        <v>64</v>
      </c>
      <c r="S54" s="27" t="s">
        <v>50</v>
      </c>
      <c r="T54" s="27" t="s">
        <v>50</v>
      </c>
      <c r="U54" s="27" t="s">
        <v>50</v>
      </c>
      <c r="V54" s="27" t="s">
        <v>50</v>
      </c>
      <c r="W54" s="27" t="s">
        <v>50</v>
      </c>
      <c r="X54" s="27" t="s">
        <v>50</v>
      </c>
      <c r="Y54" s="35"/>
    </row>
    <row r="55" spans="1:25" s="27" customFormat="1" x14ac:dyDescent="0.25">
      <c r="A55" s="93">
        <v>43082</v>
      </c>
      <c r="B55" s="92" t="str">
        <f t="shared" si="0"/>
        <v>Wed</v>
      </c>
      <c r="C55" s="27" t="s">
        <v>95</v>
      </c>
      <c r="D55" s="89">
        <v>38.042789999999997</v>
      </c>
      <c r="E55" s="89">
        <v>-121.71243</v>
      </c>
      <c r="F55" s="27" t="s">
        <v>6911</v>
      </c>
      <c r="G55" s="27" t="s">
        <v>27</v>
      </c>
      <c r="H55" s="27" t="s">
        <v>863</v>
      </c>
      <c r="I55" s="84">
        <v>0.46875</v>
      </c>
      <c r="J55" s="82">
        <v>1018.6</v>
      </c>
      <c r="K55" s="82">
        <v>11.040000000000001</v>
      </c>
      <c r="L55" s="82">
        <v>31.439999999999998</v>
      </c>
      <c r="M55" s="82">
        <v>0.43199999999999994</v>
      </c>
      <c r="N55" s="4">
        <v>6.62</v>
      </c>
      <c r="O55" s="27" t="s">
        <v>48</v>
      </c>
      <c r="P55" s="27">
        <v>5</v>
      </c>
      <c r="Q55" s="27">
        <v>5</v>
      </c>
      <c r="R55" s="27" t="s">
        <v>64</v>
      </c>
      <c r="S55" s="27" t="s">
        <v>50</v>
      </c>
      <c r="T55" s="27" t="s">
        <v>50</v>
      </c>
      <c r="U55" s="27" t="s">
        <v>50</v>
      </c>
      <c r="V55" s="27" t="s">
        <v>50</v>
      </c>
      <c r="W55" s="27" t="s">
        <v>50</v>
      </c>
      <c r="X55" s="27" t="s">
        <v>50</v>
      </c>
      <c r="Y55" s="35"/>
    </row>
    <row r="56" spans="1:25" s="27" customFormat="1" x14ac:dyDescent="0.25">
      <c r="A56" s="93">
        <v>43082</v>
      </c>
      <c r="B56" s="92" t="str">
        <f t="shared" si="0"/>
        <v>Wed</v>
      </c>
      <c r="C56" s="27" t="s">
        <v>88</v>
      </c>
      <c r="D56" s="89">
        <v>38.095779999999998</v>
      </c>
      <c r="E56" s="89">
        <v>-121.73086000000001</v>
      </c>
      <c r="F56" s="27" t="s">
        <v>6912</v>
      </c>
      <c r="G56" s="27" t="s">
        <v>90</v>
      </c>
      <c r="H56" s="27" t="s">
        <v>91</v>
      </c>
      <c r="I56" s="84">
        <v>0.3756944444444445</v>
      </c>
      <c r="J56" s="82">
        <v>132.21999999999997</v>
      </c>
      <c r="K56" s="82">
        <v>9.94</v>
      </c>
      <c r="L56" s="82">
        <v>7.403999999999999</v>
      </c>
      <c r="M56" s="82">
        <v>1.53</v>
      </c>
      <c r="N56" s="4">
        <v>9.3573600000000017</v>
      </c>
      <c r="O56" s="27" t="s">
        <v>48</v>
      </c>
      <c r="P56" s="27">
        <v>5</v>
      </c>
      <c r="Q56" s="27">
        <v>5</v>
      </c>
      <c r="R56" s="27" t="s">
        <v>64</v>
      </c>
      <c r="S56" s="27" t="s">
        <v>50</v>
      </c>
      <c r="T56" s="27" t="s">
        <v>50</v>
      </c>
      <c r="U56" s="27" t="s">
        <v>50</v>
      </c>
      <c r="V56" s="27" t="s">
        <v>50</v>
      </c>
      <c r="W56" s="27" t="s">
        <v>50</v>
      </c>
      <c r="X56" s="27" t="s">
        <v>50</v>
      </c>
      <c r="Y56" s="102" t="s">
        <v>6893</v>
      </c>
    </row>
    <row r="57" spans="1:25" s="149" customFormat="1" x14ac:dyDescent="0.25">
      <c r="A57" s="148">
        <v>43082</v>
      </c>
      <c r="B57" s="148" t="str">
        <f t="shared" si="0"/>
        <v>Wed</v>
      </c>
      <c r="C57" s="149" t="s">
        <v>88</v>
      </c>
      <c r="D57" s="150">
        <v>38.048920000000003</v>
      </c>
      <c r="E57" s="150">
        <v>-121.7754</v>
      </c>
      <c r="F57" s="149" t="s">
        <v>6913</v>
      </c>
      <c r="G57" s="149" t="s">
        <v>27</v>
      </c>
      <c r="H57" s="153" t="s">
        <v>25</v>
      </c>
      <c r="I57" s="151">
        <v>0.4236111111111111</v>
      </c>
      <c r="J57" s="197" t="s">
        <v>50</v>
      </c>
      <c r="K57" s="197" t="s">
        <v>50</v>
      </c>
      <c r="L57" s="197" t="s">
        <v>50</v>
      </c>
      <c r="M57" s="197" t="s">
        <v>50</v>
      </c>
      <c r="N57" s="197" t="s">
        <v>50</v>
      </c>
      <c r="O57" s="149" t="s">
        <v>48</v>
      </c>
      <c r="P57" s="149">
        <v>0</v>
      </c>
      <c r="Q57" s="149" t="s">
        <v>50</v>
      </c>
      <c r="R57" s="149" t="s">
        <v>50</v>
      </c>
      <c r="S57" s="149" t="s">
        <v>50</v>
      </c>
      <c r="T57" s="149" t="s">
        <v>50</v>
      </c>
      <c r="U57" s="149" t="s">
        <v>50</v>
      </c>
      <c r="V57" s="149" t="s">
        <v>50</v>
      </c>
      <c r="W57" s="149" t="s">
        <v>50</v>
      </c>
      <c r="X57" s="149" t="s">
        <v>50</v>
      </c>
      <c r="Y57" s="152" t="s">
        <v>6914</v>
      </c>
    </row>
    <row r="58" spans="1:25" s="27" customFormat="1" x14ac:dyDescent="0.25">
      <c r="A58" s="93">
        <v>43082</v>
      </c>
      <c r="B58" s="92" t="str">
        <f t="shared" si="0"/>
        <v>Wed</v>
      </c>
      <c r="C58" s="27" t="s">
        <v>88</v>
      </c>
      <c r="D58" s="89">
        <v>38.061970000000002</v>
      </c>
      <c r="E58" s="89">
        <v>-121.81749000000001</v>
      </c>
      <c r="F58" s="27" t="s">
        <v>6915</v>
      </c>
      <c r="G58" s="27" t="s">
        <v>27</v>
      </c>
      <c r="H58" s="97" t="s">
        <v>25</v>
      </c>
      <c r="I58" s="84">
        <v>0.44722222222222219</v>
      </c>
      <c r="J58" s="82">
        <v>3631.2</v>
      </c>
      <c r="K58" s="82">
        <v>11.080000000000002</v>
      </c>
      <c r="L58" s="82">
        <v>44.019999999999996</v>
      </c>
      <c r="M58" s="82">
        <v>0.38200000000000001</v>
      </c>
      <c r="N58" s="4">
        <v>11.905488</v>
      </c>
      <c r="O58" s="27" t="s">
        <v>48</v>
      </c>
      <c r="P58" s="27">
        <v>5</v>
      </c>
      <c r="Q58" s="27">
        <v>5</v>
      </c>
      <c r="R58" s="27" t="s">
        <v>64</v>
      </c>
      <c r="S58" s="27" t="s">
        <v>50</v>
      </c>
      <c r="T58" s="27" t="s">
        <v>50</v>
      </c>
      <c r="U58" s="27" t="s">
        <v>50</v>
      </c>
      <c r="V58" s="27" t="s">
        <v>50</v>
      </c>
      <c r="W58" s="27" t="s">
        <v>50</v>
      </c>
      <c r="X58" s="27" t="s">
        <v>50</v>
      </c>
      <c r="Y58" s="102" t="s">
        <v>6893</v>
      </c>
    </row>
    <row r="59" spans="1:25" s="27" customFormat="1" x14ac:dyDescent="0.25">
      <c r="A59" s="93">
        <v>43082</v>
      </c>
      <c r="B59" s="92" t="str">
        <f t="shared" si="0"/>
        <v>Wed</v>
      </c>
      <c r="C59" s="27" t="s">
        <v>88</v>
      </c>
      <c r="D59" s="89">
        <v>38.093150000000001</v>
      </c>
      <c r="E59" s="89">
        <v>-121.68559</v>
      </c>
      <c r="F59" s="27" t="s">
        <v>6916</v>
      </c>
      <c r="G59" s="27" t="s">
        <v>90</v>
      </c>
      <c r="H59" s="27" t="s">
        <v>91</v>
      </c>
      <c r="I59" s="84">
        <v>0.5180555555555556</v>
      </c>
      <c r="J59" s="82">
        <v>186.1</v>
      </c>
      <c r="K59" s="82">
        <v>10.1</v>
      </c>
      <c r="L59" s="82">
        <v>10.593999999999999</v>
      </c>
      <c r="M59" s="82">
        <v>1.234</v>
      </c>
      <c r="N59" s="4">
        <v>8.3027520000000017</v>
      </c>
      <c r="O59" s="27" t="s">
        <v>48</v>
      </c>
      <c r="P59" s="27">
        <v>5</v>
      </c>
      <c r="Q59" s="27">
        <v>5</v>
      </c>
      <c r="R59" s="27" t="s">
        <v>64</v>
      </c>
      <c r="S59" s="27" t="s">
        <v>50</v>
      </c>
      <c r="T59" s="27" t="s">
        <v>50</v>
      </c>
      <c r="U59" s="27" t="s">
        <v>50</v>
      </c>
      <c r="V59" s="27" t="s">
        <v>50</v>
      </c>
      <c r="W59" s="27" t="s">
        <v>50</v>
      </c>
      <c r="X59" s="27" t="s">
        <v>50</v>
      </c>
      <c r="Y59" s="102" t="s">
        <v>6893</v>
      </c>
    </row>
    <row r="60" spans="1:25" s="27" customFormat="1" x14ac:dyDescent="0.25">
      <c r="A60" s="93">
        <v>43082</v>
      </c>
      <c r="B60" s="92" t="str">
        <f t="shared" si="0"/>
        <v>Wed</v>
      </c>
      <c r="C60" s="27" t="s">
        <v>118</v>
      </c>
      <c r="D60" s="89">
        <v>38.03848</v>
      </c>
      <c r="E60" s="89">
        <v>-122.28869</v>
      </c>
      <c r="F60" s="27" t="s">
        <v>6917</v>
      </c>
      <c r="G60" s="27" t="s">
        <v>80</v>
      </c>
      <c r="H60" s="27" t="s">
        <v>123</v>
      </c>
      <c r="I60" s="84">
        <v>0.45694444444444443</v>
      </c>
      <c r="J60" s="82">
        <v>25396.833333333332</v>
      </c>
      <c r="K60" s="82">
        <v>11.866666666666667</v>
      </c>
      <c r="L60" s="82">
        <v>11.773333333333333</v>
      </c>
      <c r="M60" s="82">
        <v>0.68</v>
      </c>
      <c r="N60" s="4">
        <v>3</v>
      </c>
      <c r="O60" s="27" t="s">
        <v>48</v>
      </c>
      <c r="P60" s="27">
        <v>6</v>
      </c>
      <c r="Q60" s="27">
        <v>10</v>
      </c>
      <c r="R60" s="27" t="s">
        <v>64</v>
      </c>
      <c r="S60" s="27" t="s">
        <v>50</v>
      </c>
      <c r="T60" s="27" t="s">
        <v>50</v>
      </c>
      <c r="U60" s="27" t="s">
        <v>50</v>
      </c>
      <c r="V60" s="27" t="s">
        <v>50</v>
      </c>
      <c r="W60" s="27" t="s">
        <v>50</v>
      </c>
      <c r="X60" s="27" t="s">
        <v>50</v>
      </c>
      <c r="Y60" s="35"/>
    </row>
    <row r="61" spans="1:25" s="27" customFormat="1" x14ac:dyDescent="0.25">
      <c r="A61" s="93">
        <v>43082</v>
      </c>
      <c r="B61" s="92" t="str">
        <f t="shared" si="0"/>
        <v>Wed</v>
      </c>
      <c r="C61" s="27" t="s">
        <v>118</v>
      </c>
      <c r="D61" s="89">
        <v>38.059280000000001</v>
      </c>
      <c r="E61" s="89">
        <v>-122.30441</v>
      </c>
      <c r="F61" s="27" t="s">
        <v>6918</v>
      </c>
      <c r="G61" s="27" t="s">
        <v>80</v>
      </c>
      <c r="H61" s="27" t="s">
        <v>123</v>
      </c>
      <c r="I61" s="84">
        <v>0.54305555555555551</v>
      </c>
      <c r="J61" s="82">
        <v>25599.666666666668</v>
      </c>
      <c r="K61" s="82">
        <v>11.933333333333332</v>
      </c>
      <c r="L61" s="82">
        <v>34.183333333333337</v>
      </c>
      <c r="M61" s="82">
        <v>0.4916666666666667</v>
      </c>
      <c r="N61" s="4">
        <v>5.75</v>
      </c>
      <c r="O61" s="27" t="s">
        <v>48</v>
      </c>
      <c r="P61" s="27">
        <v>6</v>
      </c>
      <c r="Q61" s="27">
        <v>10</v>
      </c>
      <c r="R61" s="27" t="s">
        <v>49</v>
      </c>
      <c r="S61" s="27" t="s">
        <v>31</v>
      </c>
      <c r="T61" s="27">
        <v>4</v>
      </c>
      <c r="U61" s="27" t="s">
        <v>6919</v>
      </c>
      <c r="V61" s="27" t="s">
        <v>66</v>
      </c>
      <c r="W61" s="27" t="s">
        <v>50</v>
      </c>
      <c r="X61" s="27" t="s">
        <v>50</v>
      </c>
      <c r="Y61" s="35"/>
    </row>
    <row r="62" spans="1:25" s="149" customFormat="1" x14ac:dyDescent="0.25">
      <c r="A62" s="148">
        <v>43083</v>
      </c>
      <c r="B62" s="148" t="str">
        <f t="shared" si="0"/>
        <v>Thu</v>
      </c>
      <c r="C62" s="149" t="s">
        <v>78</v>
      </c>
      <c r="D62" s="150">
        <v>38.057850000000002</v>
      </c>
      <c r="E62" s="150">
        <v>-122.0125</v>
      </c>
      <c r="F62" s="149" t="s">
        <v>6920</v>
      </c>
      <c r="G62" s="149" t="s">
        <v>27</v>
      </c>
      <c r="H62" s="149" t="s">
        <v>86</v>
      </c>
      <c r="I62" s="151">
        <v>0.33333333333333331</v>
      </c>
      <c r="J62" s="197" t="s">
        <v>50</v>
      </c>
      <c r="K62" s="197" t="s">
        <v>50</v>
      </c>
      <c r="L62" s="197" t="s">
        <v>50</v>
      </c>
      <c r="M62" s="197" t="s">
        <v>50</v>
      </c>
      <c r="N62" s="197" t="s">
        <v>50</v>
      </c>
      <c r="O62" s="149" t="s">
        <v>48</v>
      </c>
      <c r="P62" s="149">
        <v>0</v>
      </c>
      <c r="Q62" s="149" t="s">
        <v>50</v>
      </c>
      <c r="R62" s="149" t="s">
        <v>50</v>
      </c>
      <c r="S62" s="149" t="s">
        <v>50</v>
      </c>
      <c r="T62" s="149" t="s">
        <v>50</v>
      </c>
      <c r="U62" s="149" t="s">
        <v>50</v>
      </c>
      <c r="V62" s="149" t="s">
        <v>50</v>
      </c>
      <c r="W62" s="149" t="s">
        <v>50</v>
      </c>
      <c r="X62" s="149" t="s">
        <v>50</v>
      </c>
      <c r="Y62" s="152" t="s">
        <v>6921</v>
      </c>
    </row>
    <row r="63" spans="1:25" s="27" customFormat="1" x14ac:dyDescent="0.25">
      <c r="A63" s="93">
        <v>43083</v>
      </c>
      <c r="B63" s="92" t="str">
        <f t="shared" si="0"/>
        <v>Thu</v>
      </c>
      <c r="C63" s="27" t="s">
        <v>78</v>
      </c>
      <c r="D63" s="89">
        <v>38.10116</v>
      </c>
      <c r="E63" s="89">
        <v>-122.04823</v>
      </c>
      <c r="F63" s="27" t="s">
        <v>6922</v>
      </c>
      <c r="G63" s="27" t="s">
        <v>27</v>
      </c>
      <c r="H63" s="27" t="s">
        <v>86</v>
      </c>
      <c r="I63" s="84">
        <v>0.36458333333333331</v>
      </c>
      <c r="J63" s="82">
        <v>11804.2</v>
      </c>
      <c r="K63" s="82">
        <v>11.08</v>
      </c>
      <c r="L63" s="82">
        <v>14.26</v>
      </c>
      <c r="M63" s="82">
        <v>0.55000000000000004</v>
      </c>
      <c r="N63" s="4">
        <v>6.78</v>
      </c>
      <c r="O63" s="27" t="s">
        <v>48</v>
      </c>
      <c r="P63" s="27">
        <v>5</v>
      </c>
      <c r="Q63" s="27">
        <v>5</v>
      </c>
      <c r="R63" s="27" t="s">
        <v>64</v>
      </c>
      <c r="S63" s="27" t="s">
        <v>50</v>
      </c>
      <c r="T63" s="27" t="s">
        <v>50</v>
      </c>
      <c r="U63" s="27" t="s">
        <v>50</v>
      </c>
      <c r="V63" s="27" t="s">
        <v>50</v>
      </c>
      <c r="W63" s="27" t="s">
        <v>50</v>
      </c>
      <c r="X63" s="27" t="s">
        <v>50</v>
      </c>
      <c r="Y63" s="35"/>
    </row>
    <row r="64" spans="1:25" s="27" customFormat="1" x14ac:dyDescent="0.25">
      <c r="A64" s="93">
        <v>43083</v>
      </c>
      <c r="B64" s="92" t="str">
        <f t="shared" si="0"/>
        <v>Thu</v>
      </c>
      <c r="C64" s="27" t="s">
        <v>78</v>
      </c>
      <c r="D64" s="89">
        <v>38.048679999999997</v>
      </c>
      <c r="E64" s="89">
        <v>-121.92005</v>
      </c>
      <c r="F64" s="27" t="s">
        <v>6923</v>
      </c>
      <c r="G64" s="27" t="s">
        <v>27</v>
      </c>
      <c r="H64" s="27" t="s">
        <v>101</v>
      </c>
      <c r="I64" s="84">
        <v>0.45624999999999999</v>
      </c>
      <c r="J64" s="82">
        <v>6491.2</v>
      </c>
      <c r="K64" s="82">
        <v>11.02</v>
      </c>
      <c r="L64" s="82">
        <v>20.6</v>
      </c>
      <c r="M64" s="82">
        <v>0.47599999999999998</v>
      </c>
      <c r="N64" s="4">
        <v>14.12</v>
      </c>
      <c r="O64" s="27" t="s">
        <v>48</v>
      </c>
      <c r="P64" s="27">
        <v>5</v>
      </c>
      <c r="Q64" s="27">
        <v>5</v>
      </c>
      <c r="R64" s="27" t="s">
        <v>64</v>
      </c>
      <c r="S64" s="27" t="s">
        <v>50</v>
      </c>
      <c r="T64" s="27" t="s">
        <v>50</v>
      </c>
      <c r="U64" s="27" t="s">
        <v>50</v>
      </c>
      <c r="V64" s="27" t="s">
        <v>50</v>
      </c>
      <c r="W64" s="27" t="s">
        <v>50</v>
      </c>
      <c r="X64" s="27" t="s">
        <v>50</v>
      </c>
      <c r="Y64" s="35"/>
    </row>
    <row r="65" spans="1:25" s="27" customFormat="1" x14ac:dyDescent="0.25">
      <c r="A65" s="93">
        <v>43083</v>
      </c>
      <c r="B65" s="92" t="str">
        <f t="shared" si="0"/>
        <v>Thu</v>
      </c>
      <c r="C65" s="27" t="s">
        <v>78</v>
      </c>
      <c r="D65" s="89">
        <v>38.054070000000003</v>
      </c>
      <c r="E65" s="89">
        <v>-121.84283000000001</v>
      </c>
      <c r="F65" s="27" t="s">
        <v>6924</v>
      </c>
      <c r="G65" s="27" t="s">
        <v>27</v>
      </c>
      <c r="H65" s="27" t="s">
        <v>101</v>
      </c>
      <c r="I65" s="84">
        <v>0.49444444444444446</v>
      </c>
      <c r="J65" s="82">
        <v>5812.2</v>
      </c>
      <c r="K65" s="82">
        <v>11.16</v>
      </c>
      <c r="L65" s="82">
        <v>17.260000000000002</v>
      </c>
      <c r="M65" s="82">
        <v>0.56399999999999995</v>
      </c>
      <c r="N65" s="4">
        <v>4.5199999999999996</v>
      </c>
      <c r="O65" s="27" t="s">
        <v>48</v>
      </c>
      <c r="P65" s="27">
        <v>5</v>
      </c>
      <c r="Q65" s="27">
        <v>5</v>
      </c>
      <c r="R65" s="27" t="s">
        <v>64</v>
      </c>
      <c r="S65" s="27" t="s">
        <v>31</v>
      </c>
      <c r="T65" s="27">
        <v>1</v>
      </c>
      <c r="U65" s="27">
        <v>85</v>
      </c>
      <c r="V65" s="27" t="s">
        <v>66</v>
      </c>
      <c r="W65" s="27" t="s">
        <v>50</v>
      </c>
      <c r="X65" s="27" t="s">
        <v>50</v>
      </c>
      <c r="Y65" s="35"/>
    </row>
    <row r="66" spans="1:25" s="27" customFormat="1" x14ac:dyDescent="0.25">
      <c r="A66" s="93">
        <v>43083</v>
      </c>
      <c r="B66" s="92" t="str">
        <f t="shared" si="0"/>
        <v>Thu</v>
      </c>
      <c r="C66" s="27" t="s">
        <v>44</v>
      </c>
      <c r="D66" s="89">
        <v>37.918500000000002</v>
      </c>
      <c r="E66" s="89">
        <v>-121.51654000000001</v>
      </c>
      <c r="F66" s="27" t="s">
        <v>6925</v>
      </c>
      <c r="G66" s="27" t="s">
        <v>46</v>
      </c>
      <c r="H66" s="27" t="s">
        <v>6926</v>
      </c>
      <c r="I66" s="84">
        <v>0.35069444444444442</v>
      </c>
      <c r="J66" s="82">
        <v>210.66669999999999</v>
      </c>
      <c r="K66" s="82">
        <v>10.6</v>
      </c>
      <c r="L66" s="82">
        <v>3.786667</v>
      </c>
      <c r="M66" s="82">
        <v>1.8</v>
      </c>
      <c r="N66" s="4">
        <v>4.6666670000000003</v>
      </c>
      <c r="O66" s="27" t="s">
        <v>48</v>
      </c>
      <c r="P66" s="27">
        <v>6</v>
      </c>
      <c r="Q66" s="27">
        <v>10</v>
      </c>
      <c r="R66" s="27" t="s">
        <v>64</v>
      </c>
      <c r="S66" s="27" t="s">
        <v>50</v>
      </c>
      <c r="T66" s="27" t="s">
        <v>50</v>
      </c>
      <c r="U66" s="27" t="s">
        <v>50</v>
      </c>
      <c r="V66" s="27" t="s">
        <v>50</v>
      </c>
      <c r="W66" s="27" t="s">
        <v>50</v>
      </c>
      <c r="X66" s="27" t="s">
        <v>50</v>
      </c>
      <c r="Y66" s="35"/>
    </row>
    <row r="67" spans="1:25" s="27" customFormat="1" x14ac:dyDescent="0.25">
      <c r="A67" s="93">
        <v>43083</v>
      </c>
      <c r="B67" s="92" t="str">
        <f>TEXT(A67,"ddd")</f>
        <v>Thu</v>
      </c>
      <c r="C67" s="27" t="s">
        <v>44</v>
      </c>
      <c r="D67" s="89">
        <v>37.9497</v>
      </c>
      <c r="E67" s="89">
        <v>-121.52418</v>
      </c>
      <c r="F67" s="27" t="s">
        <v>6927</v>
      </c>
      <c r="G67" s="27" t="s">
        <v>46</v>
      </c>
      <c r="H67" s="27" t="s">
        <v>6926</v>
      </c>
      <c r="I67" s="84">
        <v>0.43541666666666662</v>
      </c>
      <c r="J67" s="82">
        <v>236.38329999999999</v>
      </c>
      <c r="K67" s="82">
        <v>10.76667</v>
      </c>
      <c r="L67" s="82">
        <v>4.9616670000000003</v>
      </c>
      <c r="M67" s="82">
        <v>1.8</v>
      </c>
      <c r="N67" s="4">
        <v>9.266667</v>
      </c>
      <c r="O67" s="27" t="s">
        <v>48</v>
      </c>
      <c r="P67" s="27">
        <v>6</v>
      </c>
      <c r="Q67" s="27">
        <v>10</v>
      </c>
      <c r="R67" s="27" t="s">
        <v>49</v>
      </c>
      <c r="S67" s="27" t="s">
        <v>50</v>
      </c>
      <c r="T67" s="27" t="s">
        <v>50</v>
      </c>
      <c r="U67" s="27" t="s">
        <v>50</v>
      </c>
      <c r="V67" s="27" t="s">
        <v>50</v>
      </c>
      <c r="W67" s="27" t="s">
        <v>50</v>
      </c>
      <c r="X67" s="27" t="s">
        <v>50</v>
      </c>
      <c r="Y67" s="35"/>
    </row>
    <row r="68" spans="1:25" s="27" customFormat="1" x14ac:dyDescent="0.25">
      <c r="A68" s="93">
        <v>43083</v>
      </c>
      <c r="B68" s="92" t="str">
        <f>TEXT(A68,"ddd")</f>
        <v>Thu</v>
      </c>
      <c r="C68" s="27" t="s">
        <v>845</v>
      </c>
      <c r="D68" s="89">
        <v>38.242260000000002</v>
      </c>
      <c r="E68" s="89">
        <v>-121.68866</v>
      </c>
      <c r="F68" s="27" t="s">
        <v>6928</v>
      </c>
      <c r="G68" s="27" t="s">
        <v>90</v>
      </c>
      <c r="H68" s="27" t="s">
        <v>126</v>
      </c>
      <c r="I68" s="84">
        <v>0.3520833333333333</v>
      </c>
      <c r="J68" s="82">
        <v>133.32</v>
      </c>
      <c r="K68" s="82">
        <v>9.82</v>
      </c>
      <c r="L68" s="82">
        <v>5.9279999999999999</v>
      </c>
      <c r="M68" s="82">
        <v>1.546</v>
      </c>
      <c r="N68" s="4">
        <v>9.6199999999999992</v>
      </c>
      <c r="O68" s="27" t="s">
        <v>48</v>
      </c>
      <c r="P68" s="27">
        <v>5</v>
      </c>
      <c r="Q68" s="27">
        <v>5</v>
      </c>
      <c r="R68" s="27" t="s">
        <v>64</v>
      </c>
      <c r="S68" s="27" t="s">
        <v>50</v>
      </c>
      <c r="T68" s="27" t="s">
        <v>50</v>
      </c>
      <c r="U68" s="27" t="s">
        <v>50</v>
      </c>
      <c r="V68" s="27" t="s">
        <v>50</v>
      </c>
      <c r="W68" s="27" t="s">
        <v>50</v>
      </c>
      <c r="X68" s="27" t="s">
        <v>50</v>
      </c>
      <c r="Y68" s="102" t="s">
        <v>6893</v>
      </c>
    </row>
    <row r="69" spans="1:25" s="149" customFormat="1" x14ac:dyDescent="0.25">
      <c r="A69" s="148">
        <v>43083</v>
      </c>
      <c r="B69" s="148" t="str">
        <f>TEXT(A69,"ddd")</f>
        <v>Thu</v>
      </c>
      <c r="C69" s="149" t="s">
        <v>845</v>
      </c>
      <c r="D69" s="196">
        <v>38.293729999999996</v>
      </c>
      <c r="E69" s="150">
        <v>-121.72906999999999</v>
      </c>
      <c r="F69" s="149" t="s">
        <v>6929</v>
      </c>
      <c r="G69" s="149" t="s">
        <v>90</v>
      </c>
      <c r="H69" s="149" t="s">
        <v>126</v>
      </c>
      <c r="I69" s="151">
        <v>0.39374999999999999</v>
      </c>
      <c r="J69" s="197" t="s">
        <v>50</v>
      </c>
      <c r="K69" s="197" t="s">
        <v>50</v>
      </c>
      <c r="L69" s="197" t="s">
        <v>50</v>
      </c>
      <c r="M69" s="197" t="s">
        <v>50</v>
      </c>
      <c r="N69" s="197" t="s">
        <v>50</v>
      </c>
      <c r="O69" s="149" t="s">
        <v>48</v>
      </c>
      <c r="P69" s="149">
        <v>0</v>
      </c>
      <c r="Q69" s="149" t="s">
        <v>50</v>
      </c>
      <c r="R69" s="149" t="s">
        <v>50</v>
      </c>
      <c r="S69" s="149" t="s">
        <v>50</v>
      </c>
      <c r="T69" s="149" t="s">
        <v>50</v>
      </c>
      <c r="U69" s="149" t="s">
        <v>50</v>
      </c>
      <c r="V69" s="149" t="s">
        <v>50</v>
      </c>
      <c r="W69" s="149" t="s">
        <v>50</v>
      </c>
      <c r="X69" s="149" t="s">
        <v>50</v>
      </c>
      <c r="Y69" s="152" t="s">
        <v>6930</v>
      </c>
    </row>
    <row r="70" spans="1:25" s="27" customFormat="1" x14ac:dyDescent="0.25">
      <c r="A70" s="93">
        <v>43083</v>
      </c>
      <c r="B70" s="92" t="str">
        <f>TEXT(A70,"ddd")</f>
        <v>Thu</v>
      </c>
      <c r="C70" s="27" t="s">
        <v>845</v>
      </c>
      <c r="D70" s="89">
        <v>38.26605</v>
      </c>
      <c r="E70" s="89">
        <v>-121.69232</v>
      </c>
      <c r="F70" s="27" t="s">
        <v>6931</v>
      </c>
      <c r="G70" s="27" t="s">
        <v>90</v>
      </c>
      <c r="H70" s="27" t="s">
        <v>126</v>
      </c>
      <c r="I70" s="84">
        <v>0.4069444444444445</v>
      </c>
      <c r="J70" s="82">
        <v>144.13999999999999</v>
      </c>
      <c r="K70" s="82">
        <v>9.8000000000000007</v>
      </c>
      <c r="L70" s="82">
        <v>6.7839999999999998</v>
      </c>
      <c r="M70" s="82">
        <v>1.554</v>
      </c>
      <c r="N70" s="4">
        <v>6.82</v>
      </c>
      <c r="O70" s="27" t="s">
        <v>48</v>
      </c>
      <c r="P70" s="27">
        <v>5</v>
      </c>
      <c r="Q70" s="27">
        <v>5</v>
      </c>
      <c r="R70" s="27" t="s">
        <v>64</v>
      </c>
      <c r="S70" s="27" t="s">
        <v>50</v>
      </c>
      <c r="T70" s="27" t="s">
        <v>50</v>
      </c>
      <c r="U70" s="27" t="s">
        <v>50</v>
      </c>
      <c r="V70" s="27" t="s">
        <v>50</v>
      </c>
      <c r="W70" s="27" t="s">
        <v>50</v>
      </c>
      <c r="X70" s="27" t="s">
        <v>50</v>
      </c>
      <c r="Y70" s="35"/>
    </row>
    <row r="71" spans="1:25" s="108" customFormat="1" ht="15.75" thickBot="1" x14ac:dyDescent="0.3">
      <c r="A71" s="106">
        <v>43083</v>
      </c>
      <c r="B71" s="107" t="str">
        <f>TEXT(A71,"ddd")</f>
        <v>Thu</v>
      </c>
      <c r="C71" s="108" t="s">
        <v>845</v>
      </c>
      <c r="D71" s="109">
        <v>38.268970000000003</v>
      </c>
      <c r="E71" s="109">
        <v>-121.70217</v>
      </c>
      <c r="F71" s="108" t="s">
        <v>6932</v>
      </c>
      <c r="G71" s="108" t="s">
        <v>90</v>
      </c>
      <c r="H71" s="108" t="s">
        <v>126</v>
      </c>
      <c r="I71" s="110">
        <v>0.44513888888888892</v>
      </c>
      <c r="J71" s="111">
        <v>141.68</v>
      </c>
      <c r="K71" s="111">
        <v>9.6999999999999993</v>
      </c>
      <c r="L71" s="111">
        <v>6.4020000000000001</v>
      </c>
      <c r="M71" s="111">
        <v>1.69</v>
      </c>
      <c r="N71" s="112">
        <v>3.68</v>
      </c>
      <c r="O71" s="108" t="s">
        <v>48</v>
      </c>
      <c r="P71" s="108">
        <v>5</v>
      </c>
      <c r="Q71" s="108">
        <v>5</v>
      </c>
      <c r="R71" s="108" t="s">
        <v>64</v>
      </c>
      <c r="S71" s="108" t="s">
        <v>50</v>
      </c>
      <c r="T71" s="108" t="s">
        <v>50</v>
      </c>
      <c r="U71" s="108" t="s">
        <v>50</v>
      </c>
      <c r="V71" s="108" t="s">
        <v>50</v>
      </c>
      <c r="W71" s="108" t="s">
        <v>50</v>
      </c>
      <c r="X71" s="108" t="s">
        <v>50</v>
      </c>
      <c r="Y71" s="113" t="s">
        <v>6933</v>
      </c>
    </row>
    <row r="72" spans="1:25" s="27" customFormat="1" ht="15.75" thickTop="1" x14ac:dyDescent="0.25">
      <c r="A72" s="93">
        <v>43087</v>
      </c>
      <c r="B72" s="27" t="s">
        <v>43</v>
      </c>
      <c r="C72" s="27" t="s">
        <v>845</v>
      </c>
      <c r="D72" s="89">
        <v>38.25996</v>
      </c>
      <c r="E72" s="89">
        <v>-121.67055999999999</v>
      </c>
      <c r="F72" s="27" t="s">
        <v>6934</v>
      </c>
      <c r="G72" s="27" t="s">
        <v>90</v>
      </c>
      <c r="H72" s="27" t="s">
        <v>6935</v>
      </c>
      <c r="I72" s="84">
        <v>0.3354166666666667</v>
      </c>
      <c r="J72" s="82">
        <v>125.6</v>
      </c>
      <c r="K72" s="82">
        <v>8.879999999999999</v>
      </c>
      <c r="L72" s="82">
        <v>51.44</v>
      </c>
      <c r="M72" s="82">
        <v>0.39799999999999996</v>
      </c>
      <c r="N72" s="4">
        <v>8.16</v>
      </c>
      <c r="O72" s="27" t="s">
        <v>48</v>
      </c>
      <c r="P72" s="27">
        <v>5</v>
      </c>
      <c r="Q72" s="27">
        <v>5</v>
      </c>
      <c r="R72" s="27" t="s">
        <v>49</v>
      </c>
      <c r="S72" s="27" t="s">
        <v>50</v>
      </c>
      <c r="T72" s="27" t="s">
        <v>50</v>
      </c>
      <c r="U72" s="27" t="s">
        <v>50</v>
      </c>
      <c r="V72" s="27" t="s">
        <v>50</v>
      </c>
      <c r="W72" s="27" t="s">
        <v>50</v>
      </c>
      <c r="X72" s="27" t="s">
        <v>50</v>
      </c>
      <c r="Y72" s="35"/>
    </row>
    <row r="73" spans="1:25" s="27" customFormat="1" x14ac:dyDescent="0.25">
      <c r="A73" s="93">
        <v>43087</v>
      </c>
      <c r="B73" s="27" t="s">
        <v>43</v>
      </c>
      <c r="C73" s="27" t="s">
        <v>845</v>
      </c>
      <c r="D73" s="89">
        <v>38.241720000000001</v>
      </c>
      <c r="E73" s="89">
        <v>-121.67055999999999</v>
      </c>
      <c r="F73" s="27" t="s">
        <v>6936</v>
      </c>
      <c r="G73" s="27" t="s">
        <v>90</v>
      </c>
      <c r="H73" s="27" t="s">
        <v>6935</v>
      </c>
      <c r="I73" s="84">
        <v>0.37986111111111115</v>
      </c>
      <c r="J73" s="82">
        <v>124.97999999999999</v>
      </c>
      <c r="K73" s="82">
        <v>8.84</v>
      </c>
      <c r="L73" s="82">
        <v>64.8</v>
      </c>
      <c r="M73" s="82">
        <v>0.36799999999999999</v>
      </c>
      <c r="N73" s="4">
        <v>12.579999999999998</v>
      </c>
      <c r="O73" s="27" t="s">
        <v>48</v>
      </c>
      <c r="P73" s="27">
        <v>5</v>
      </c>
      <c r="Q73" s="27">
        <v>5</v>
      </c>
      <c r="R73" s="27" t="s">
        <v>49</v>
      </c>
      <c r="S73" s="27" t="s">
        <v>50</v>
      </c>
      <c r="T73" s="27" t="s">
        <v>50</v>
      </c>
      <c r="U73" s="27" t="s">
        <v>50</v>
      </c>
      <c r="V73" s="27" t="s">
        <v>50</v>
      </c>
      <c r="W73" s="27" t="s">
        <v>50</v>
      </c>
      <c r="X73" s="27" t="s">
        <v>50</v>
      </c>
      <c r="Y73" s="35"/>
    </row>
    <row r="74" spans="1:25" s="27" customFormat="1" x14ac:dyDescent="0.25">
      <c r="A74" s="93">
        <v>43087</v>
      </c>
      <c r="B74" s="27" t="s">
        <v>43</v>
      </c>
      <c r="C74" s="27" t="s">
        <v>845</v>
      </c>
      <c r="D74" s="89">
        <v>38.263280000000002</v>
      </c>
      <c r="E74" s="89">
        <v>-121.69153</v>
      </c>
      <c r="F74" s="27" t="s">
        <v>6937</v>
      </c>
      <c r="G74" s="27" t="s">
        <v>90</v>
      </c>
      <c r="H74" s="27" t="s">
        <v>6935</v>
      </c>
      <c r="I74" s="84">
        <v>0.42499999999999999</v>
      </c>
      <c r="J74" s="82">
        <v>135.58000000000001</v>
      </c>
      <c r="K74" s="82">
        <v>8.7199999999999989</v>
      </c>
      <c r="L74" s="82">
        <v>56.260000000000005</v>
      </c>
      <c r="M74" s="82">
        <v>0.378</v>
      </c>
      <c r="N74" s="4">
        <v>6.62</v>
      </c>
      <c r="O74" s="27" t="s">
        <v>48</v>
      </c>
      <c r="P74" s="27">
        <v>5</v>
      </c>
      <c r="Q74" s="27">
        <v>5</v>
      </c>
      <c r="R74" s="27" t="s">
        <v>49</v>
      </c>
      <c r="S74" s="27" t="s">
        <v>50</v>
      </c>
      <c r="T74" s="27" t="s">
        <v>50</v>
      </c>
      <c r="U74" s="27" t="s">
        <v>50</v>
      </c>
      <c r="V74" s="27" t="s">
        <v>50</v>
      </c>
      <c r="W74" s="27" t="s">
        <v>50</v>
      </c>
      <c r="X74" s="27" t="s">
        <v>50</v>
      </c>
      <c r="Y74" s="35"/>
    </row>
    <row r="75" spans="1:25" s="27" customFormat="1" x14ac:dyDescent="0.25">
      <c r="A75" s="93">
        <v>43087</v>
      </c>
      <c r="B75" s="27" t="s">
        <v>43</v>
      </c>
      <c r="C75" s="27" t="s">
        <v>44</v>
      </c>
      <c r="D75" s="89">
        <v>37.969740000000002</v>
      </c>
      <c r="E75" s="89">
        <v>-121.53496</v>
      </c>
      <c r="F75" s="27" t="s">
        <v>6938</v>
      </c>
      <c r="G75" s="27" t="s">
        <v>46</v>
      </c>
      <c r="H75" s="27" t="s">
        <v>6939</v>
      </c>
      <c r="I75" s="84">
        <v>0.32777777777777778</v>
      </c>
      <c r="J75" s="82">
        <v>264.61666666666673</v>
      </c>
      <c r="K75" s="82">
        <v>9.6833333333333318</v>
      </c>
      <c r="L75" s="82">
        <v>6.7850000000000001</v>
      </c>
      <c r="M75" s="82">
        <v>1.4949999999999999</v>
      </c>
      <c r="N75" s="4">
        <v>11.533333333333333</v>
      </c>
      <c r="O75" s="27" t="s">
        <v>48</v>
      </c>
      <c r="P75" s="27">
        <v>6</v>
      </c>
      <c r="Q75" s="27">
        <v>10</v>
      </c>
      <c r="R75" s="27" t="s">
        <v>64</v>
      </c>
      <c r="S75" s="27" t="s">
        <v>50</v>
      </c>
      <c r="T75" s="27" t="s">
        <v>50</v>
      </c>
      <c r="U75" s="27" t="s">
        <v>50</v>
      </c>
      <c r="V75" s="27" t="s">
        <v>50</v>
      </c>
      <c r="W75" s="27" t="s">
        <v>50</v>
      </c>
      <c r="X75" s="27" t="s">
        <v>50</v>
      </c>
      <c r="Y75" s="35"/>
    </row>
    <row r="76" spans="1:25" s="27" customFormat="1" x14ac:dyDescent="0.25">
      <c r="A76" s="93">
        <v>43087</v>
      </c>
      <c r="B76" s="27" t="s">
        <v>43</v>
      </c>
      <c r="C76" s="27" t="s">
        <v>44</v>
      </c>
      <c r="D76" s="89">
        <v>38.00206</v>
      </c>
      <c r="E76" s="89">
        <v>-121.56666</v>
      </c>
      <c r="F76" s="27" t="s">
        <v>6940</v>
      </c>
      <c r="G76" s="27" t="s">
        <v>46</v>
      </c>
      <c r="H76" s="27" t="s">
        <v>74</v>
      </c>
      <c r="I76" s="84">
        <v>0.41250000000000003</v>
      </c>
      <c r="J76" s="82">
        <v>377.48333333333329</v>
      </c>
      <c r="K76" s="82">
        <v>9.7000000000000011</v>
      </c>
      <c r="L76" s="82">
        <v>32.466666666666669</v>
      </c>
      <c r="M76" s="82">
        <v>0.41166666666666663</v>
      </c>
      <c r="N76" s="4">
        <v>7.9833333333333343</v>
      </c>
      <c r="O76" s="27" t="s">
        <v>48</v>
      </c>
      <c r="P76" s="27">
        <v>6</v>
      </c>
      <c r="Q76" s="27">
        <v>10</v>
      </c>
      <c r="R76" s="27" t="s">
        <v>49</v>
      </c>
      <c r="S76" s="27" t="s">
        <v>50</v>
      </c>
      <c r="T76" s="27" t="s">
        <v>50</v>
      </c>
      <c r="U76" s="27" t="s">
        <v>50</v>
      </c>
      <c r="V76" s="27" t="s">
        <v>50</v>
      </c>
      <c r="W76" s="27" t="s">
        <v>50</v>
      </c>
      <c r="X76" s="27" t="s">
        <v>50</v>
      </c>
      <c r="Y76" s="35"/>
    </row>
    <row r="77" spans="1:25" s="149" customFormat="1" x14ac:dyDescent="0.25">
      <c r="A77" s="148">
        <v>43087</v>
      </c>
      <c r="B77" s="149" t="s">
        <v>43</v>
      </c>
      <c r="C77" s="149" t="s">
        <v>62</v>
      </c>
      <c r="D77" s="150" t="s">
        <v>50</v>
      </c>
      <c r="E77" s="150" t="s">
        <v>50</v>
      </c>
      <c r="F77" s="149" t="s">
        <v>50</v>
      </c>
      <c r="G77" s="149" t="s">
        <v>27</v>
      </c>
      <c r="H77" s="149" t="s">
        <v>62</v>
      </c>
      <c r="I77" s="149" t="s">
        <v>50</v>
      </c>
      <c r="J77" s="197" t="s">
        <v>50</v>
      </c>
      <c r="K77" s="197" t="s">
        <v>50</v>
      </c>
      <c r="L77" s="197" t="s">
        <v>50</v>
      </c>
      <c r="M77" s="197" t="s">
        <v>50</v>
      </c>
      <c r="N77" s="197" t="s">
        <v>50</v>
      </c>
      <c r="O77" s="149" t="s">
        <v>48</v>
      </c>
      <c r="P77" s="149">
        <v>0</v>
      </c>
      <c r="Q77" s="149" t="s">
        <v>50</v>
      </c>
      <c r="R77" s="149" t="s">
        <v>50</v>
      </c>
      <c r="S77" s="149" t="s">
        <v>50</v>
      </c>
      <c r="T77" s="149" t="s">
        <v>50</v>
      </c>
      <c r="U77" s="149" t="s">
        <v>50</v>
      </c>
      <c r="V77" s="149" t="s">
        <v>50</v>
      </c>
      <c r="W77" s="149" t="s">
        <v>50</v>
      </c>
      <c r="X77" s="149" t="s">
        <v>50</v>
      </c>
      <c r="Y77" s="152" t="s">
        <v>6941</v>
      </c>
    </row>
    <row r="78" spans="1:25" s="27" customFormat="1" x14ac:dyDescent="0.25">
      <c r="A78" s="93">
        <v>43088</v>
      </c>
      <c r="B78" s="27" t="s">
        <v>70</v>
      </c>
      <c r="C78" s="27" t="s">
        <v>95</v>
      </c>
      <c r="D78" s="89">
        <v>38.048630000000003</v>
      </c>
      <c r="E78" s="89">
        <v>-121.49836000000001</v>
      </c>
      <c r="F78" s="27" t="s">
        <v>6942</v>
      </c>
      <c r="G78" s="27" t="s">
        <v>46</v>
      </c>
      <c r="H78" s="27" t="s">
        <v>115</v>
      </c>
      <c r="I78" s="84">
        <v>0.37361111111111112</v>
      </c>
      <c r="J78" s="82">
        <v>180.2</v>
      </c>
      <c r="K78" s="82">
        <v>9.32</v>
      </c>
      <c r="L78" s="82">
        <v>5.8659999999999997</v>
      </c>
      <c r="M78" s="82">
        <v>1.764</v>
      </c>
      <c r="N78" s="4">
        <v>6.42</v>
      </c>
      <c r="O78" s="27" t="s">
        <v>48</v>
      </c>
      <c r="P78" s="27">
        <v>5</v>
      </c>
      <c r="Q78" s="27">
        <v>5</v>
      </c>
      <c r="R78" s="27" t="s">
        <v>64</v>
      </c>
      <c r="S78" s="27" t="s">
        <v>50</v>
      </c>
      <c r="T78" s="27" t="s">
        <v>50</v>
      </c>
      <c r="U78" s="27" t="s">
        <v>50</v>
      </c>
      <c r="V78" s="27" t="s">
        <v>50</v>
      </c>
      <c r="W78" s="27" t="s">
        <v>50</v>
      </c>
      <c r="X78" s="27" t="s">
        <v>50</v>
      </c>
      <c r="Y78" s="35"/>
    </row>
    <row r="79" spans="1:25" s="27" customFormat="1" x14ac:dyDescent="0.25">
      <c r="A79" s="93">
        <v>43088</v>
      </c>
      <c r="B79" s="27" t="s">
        <v>70</v>
      </c>
      <c r="C79" s="27" t="s">
        <v>95</v>
      </c>
      <c r="D79" s="89">
        <v>38.087679999999999</v>
      </c>
      <c r="E79" s="89">
        <v>-121.6788</v>
      </c>
      <c r="F79" s="27" t="s">
        <v>6943</v>
      </c>
      <c r="G79" s="27" t="s">
        <v>46</v>
      </c>
      <c r="H79" s="27" t="s">
        <v>908</v>
      </c>
      <c r="I79" s="84">
        <v>0.40625</v>
      </c>
      <c r="J79" s="82">
        <v>646.4</v>
      </c>
      <c r="K79" s="82">
        <v>9.6999999999999993</v>
      </c>
      <c r="L79" s="82">
        <v>13.54</v>
      </c>
      <c r="M79" s="82">
        <v>0.90800000000000003</v>
      </c>
      <c r="N79" s="4">
        <v>15.68</v>
      </c>
      <c r="O79" s="27" t="s">
        <v>48</v>
      </c>
      <c r="P79" s="27">
        <v>5</v>
      </c>
      <c r="Q79" s="27">
        <v>5</v>
      </c>
      <c r="R79" s="27" t="s">
        <v>49</v>
      </c>
      <c r="S79" s="27" t="s">
        <v>50</v>
      </c>
      <c r="T79" s="27" t="s">
        <v>50</v>
      </c>
      <c r="U79" s="27" t="s">
        <v>50</v>
      </c>
      <c r="V79" s="27" t="s">
        <v>50</v>
      </c>
      <c r="W79" s="27" t="s">
        <v>50</v>
      </c>
      <c r="X79" s="27" t="s">
        <v>50</v>
      </c>
      <c r="Y79" s="35"/>
    </row>
    <row r="80" spans="1:25" s="27" customFormat="1" x14ac:dyDescent="0.25">
      <c r="A80" s="93">
        <v>43088</v>
      </c>
      <c r="B80" s="27" t="s">
        <v>70</v>
      </c>
      <c r="C80" s="27" t="s">
        <v>95</v>
      </c>
      <c r="D80" s="89">
        <v>38.015999999999998</v>
      </c>
      <c r="E80" s="89">
        <v>-121.78941</v>
      </c>
      <c r="F80" s="27" t="s">
        <v>6944</v>
      </c>
      <c r="G80" s="27" t="s">
        <v>27</v>
      </c>
      <c r="H80" s="27" t="s">
        <v>863</v>
      </c>
      <c r="I80" s="84">
        <v>0.45763888888888887</v>
      </c>
      <c r="J80" s="82">
        <v>1632</v>
      </c>
      <c r="K80" s="82">
        <v>9.8800000000000008</v>
      </c>
      <c r="L80" s="82">
        <v>18.239999999999998</v>
      </c>
      <c r="M80" s="82">
        <v>0.67</v>
      </c>
      <c r="N80" s="4">
        <v>11.34</v>
      </c>
      <c r="O80" s="27" t="s">
        <v>48</v>
      </c>
      <c r="P80" s="27">
        <v>5</v>
      </c>
      <c r="Q80" s="27">
        <v>5</v>
      </c>
      <c r="R80" s="27" t="s">
        <v>49</v>
      </c>
      <c r="S80" s="27" t="s">
        <v>50</v>
      </c>
      <c r="T80" s="27" t="s">
        <v>50</v>
      </c>
      <c r="U80" s="27" t="s">
        <v>50</v>
      </c>
      <c r="V80" s="27" t="s">
        <v>50</v>
      </c>
      <c r="W80" s="27" t="s">
        <v>50</v>
      </c>
      <c r="X80" s="27" t="s">
        <v>50</v>
      </c>
      <c r="Y80" s="35"/>
    </row>
    <row r="81" spans="1:26" s="27" customFormat="1" x14ac:dyDescent="0.25">
      <c r="A81" s="93">
        <v>43088</v>
      </c>
      <c r="B81" s="27" t="s">
        <v>70</v>
      </c>
      <c r="C81" s="27" t="s">
        <v>88</v>
      </c>
      <c r="D81" s="89">
        <v>38.152030000000003</v>
      </c>
      <c r="E81" s="89">
        <v>-121.68931000000001</v>
      </c>
      <c r="F81" s="27" t="s">
        <v>6945</v>
      </c>
      <c r="G81" s="27" t="s">
        <v>90</v>
      </c>
      <c r="H81" s="27" t="s">
        <v>91</v>
      </c>
      <c r="I81" s="84">
        <v>0.31875000000000003</v>
      </c>
      <c r="J81" s="82">
        <v>130.80000000000001</v>
      </c>
      <c r="K81" s="82">
        <v>9.1999999999999993</v>
      </c>
      <c r="L81" s="82">
        <v>26.78</v>
      </c>
      <c r="M81" s="82">
        <v>0.61199999999999999</v>
      </c>
      <c r="N81" s="4">
        <v>11.04</v>
      </c>
      <c r="O81" s="27" t="s">
        <v>48</v>
      </c>
      <c r="P81" s="27">
        <v>5</v>
      </c>
      <c r="Q81" s="27">
        <v>5</v>
      </c>
      <c r="R81" s="27" t="s">
        <v>49</v>
      </c>
      <c r="S81" s="27" t="s">
        <v>50</v>
      </c>
      <c r="T81" s="27" t="s">
        <v>50</v>
      </c>
      <c r="U81" s="27" t="s">
        <v>50</v>
      </c>
      <c r="V81" s="27" t="s">
        <v>50</v>
      </c>
      <c r="W81" s="27" t="s">
        <v>50</v>
      </c>
      <c r="X81" s="27" t="s">
        <v>50</v>
      </c>
      <c r="Y81" s="35"/>
    </row>
    <row r="82" spans="1:26" s="27" customFormat="1" x14ac:dyDescent="0.25">
      <c r="A82" s="148">
        <v>43088</v>
      </c>
      <c r="B82" s="149" t="s">
        <v>70</v>
      </c>
      <c r="C82" s="149" t="s">
        <v>88</v>
      </c>
      <c r="D82" s="150">
        <v>38.050409999999999</v>
      </c>
      <c r="E82" s="150">
        <v>-121.78601</v>
      </c>
      <c r="F82" s="149" t="s">
        <v>6946</v>
      </c>
      <c r="G82" s="149" t="s">
        <v>27</v>
      </c>
      <c r="H82" s="149" t="s">
        <v>25</v>
      </c>
      <c r="I82" s="151">
        <v>0.3520833333333333</v>
      </c>
      <c r="J82" s="149" t="s">
        <v>50</v>
      </c>
      <c r="K82" s="197" t="s">
        <v>50</v>
      </c>
      <c r="L82" s="197" t="s">
        <v>50</v>
      </c>
      <c r="M82" s="197" t="s">
        <v>50</v>
      </c>
      <c r="N82" s="197" t="s">
        <v>50</v>
      </c>
      <c r="O82" s="197" t="s">
        <v>48</v>
      </c>
      <c r="P82" s="149">
        <v>0</v>
      </c>
      <c r="Q82" s="149" t="s">
        <v>50</v>
      </c>
      <c r="R82" s="149" t="s">
        <v>50</v>
      </c>
      <c r="S82" s="149" t="s">
        <v>50</v>
      </c>
      <c r="T82" s="149" t="s">
        <v>50</v>
      </c>
      <c r="U82" s="149" t="s">
        <v>50</v>
      </c>
      <c r="V82" s="149" t="s">
        <v>50</v>
      </c>
      <c r="W82" s="149" t="s">
        <v>50</v>
      </c>
      <c r="X82" s="149" t="s">
        <v>50</v>
      </c>
      <c r="Y82" s="152" t="s">
        <v>6947</v>
      </c>
      <c r="Z82" s="152"/>
    </row>
    <row r="83" spans="1:26" s="27" customFormat="1" x14ac:dyDescent="0.25">
      <c r="A83" s="93">
        <v>43088</v>
      </c>
      <c r="B83" s="27" t="s">
        <v>70</v>
      </c>
      <c r="C83" s="27" t="s">
        <v>88</v>
      </c>
      <c r="D83" s="89">
        <v>38.058349999999997</v>
      </c>
      <c r="E83" s="89">
        <v>-121.81394</v>
      </c>
      <c r="F83" s="27" t="s">
        <v>6948</v>
      </c>
      <c r="G83" s="27" t="s">
        <v>27</v>
      </c>
      <c r="H83" s="27" t="s">
        <v>25</v>
      </c>
      <c r="I83" s="84">
        <v>0.37847222222222227</v>
      </c>
      <c r="J83" s="82">
        <v>470.54</v>
      </c>
      <c r="K83" s="82">
        <v>9.5399999999999991</v>
      </c>
      <c r="L83" s="82">
        <v>34.340000000000003</v>
      </c>
      <c r="M83" s="82">
        <v>0.622</v>
      </c>
      <c r="N83" s="4">
        <v>9.34</v>
      </c>
      <c r="O83" s="27" t="s">
        <v>48</v>
      </c>
      <c r="P83" s="27">
        <v>5</v>
      </c>
      <c r="Q83" s="27">
        <v>5</v>
      </c>
      <c r="R83" s="27" t="s">
        <v>49</v>
      </c>
      <c r="S83" s="27" t="s">
        <v>50</v>
      </c>
      <c r="T83" s="27" t="s">
        <v>50</v>
      </c>
      <c r="U83" s="27" t="s">
        <v>50</v>
      </c>
      <c r="V83" s="27" t="s">
        <v>50</v>
      </c>
      <c r="W83" s="27" t="s">
        <v>50</v>
      </c>
      <c r="X83" s="27" t="s">
        <v>50</v>
      </c>
      <c r="Y83" s="35"/>
    </row>
    <row r="84" spans="1:26" s="27" customFormat="1" x14ac:dyDescent="0.25">
      <c r="A84" s="93">
        <v>43088</v>
      </c>
      <c r="B84" s="27" t="s">
        <v>70</v>
      </c>
      <c r="C84" s="27" t="s">
        <v>88</v>
      </c>
      <c r="D84" s="89">
        <v>38.095619999999997</v>
      </c>
      <c r="E84" s="89">
        <v>-121.73103</v>
      </c>
      <c r="F84" s="27" t="s">
        <v>6949</v>
      </c>
      <c r="G84" s="27" t="s">
        <v>90</v>
      </c>
      <c r="H84" s="27" t="s">
        <v>91</v>
      </c>
      <c r="I84" s="84">
        <v>0.43055555555555558</v>
      </c>
      <c r="J84" s="82">
        <v>177.78</v>
      </c>
      <c r="K84" s="82">
        <v>9.32</v>
      </c>
      <c r="L84" s="82">
        <v>35.68</v>
      </c>
      <c r="M84" s="82">
        <v>0.71399999999999997</v>
      </c>
      <c r="N84" s="4">
        <v>7.96</v>
      </c>
      <c r="O84" s="27" t="s">
        <v>48</v>
      </c>
      <c r="P84" s="27">
        <v>5</v>
      </c>
      <c r="Q84" s="27">
        <v>5</v>
      </c>
      <c r="R84" s="27" t="s">
        <v>49</v>
      </c>
      <c r="S84" s="27" t="s">
        <v>50</v>
      </c>
      <c r="T84" s="27" t="s">
        <v>50</v>
      </c>
      <c r="U84" s="27" t="s">
        <v>50</v>
      </c>
      <c r="V84" s="27" t="s">
        <v>50</v>
      </c>
      <c r="W84" s="27" t="s">
        <v>50</v>
      </c>
      <c r="X84" s="27" t="s">
        <v>50</v>
      </c>
      <c r="Y84" s="35"/>
    </row>
    <row r="85" spans="1:26" s="27" customFormat="1" x14ac:dyDescent="0.25">
      <c r="A85" s="93">
        <v>43088</v>
      </c>
      <c r="B85" s="27" t="s">
        <v>70</v>
      </c>
      <c r="C85" s="27" t="s">
        <v>118</v>
      </c>
      <c r="D85" s="89">
        <v>38.106009999999998</v>
      </c>
      <c r="E85" s="89">
        <v>-122.27196000000001</v>
      </c>
      <c r="F85" s="27" t="s">
        <v>6950</v>
      </c>
      <c r="G85" s="27" t="s">
        <v>80</v>
      </c>
      <c r="H85" s="27" t="s">
        <v>191</v>
      </c>
      <c r="I85" s="84">
        <v>0.40625</v>
      </c>
      <c r="J85" s="82">
        <v>19701</v>
      </c>
      <c r="K85" s="82">
        <v>11.1</v>
      </c>
      <c r="L85" s="82">
        <v>14.3</v>
      </c>
      <c r="M85" s="82">
        <v>0.66</v>
      </c>
      <c r="N85" s="82">
        <v>12</v>
      </c>
      <c r="O85" s="27" t="s">
        <v>48</v>
      </c>
      <c r="P85" s="27">
        <v>2</v>
      </c>
      <c r="Q85" s="27">
        <v>10</v>
      </c>
      <c r="R85" s="27" t="s">
        <v>64</v>
      </c>
      <c r="S85" s="27" t="s">
        <v>50</v>
      </c>
      <c r="T85" s="27" t="s">
        <v>50</v>
      </c>
      <c r="U85" s="27" t="s">
        <v>50</v>
      </c>
      <c r="V85" s="27" t="s">
        <v>50</v>
      </c>
      <c r="W85" s="27" t="s">
        <v>50</v>
      </c>
      <c r="X85" s="27" t="s">
        <v>50</v>
      </c>
      <c r="Y85" s="35" t="s">
        <v>6951</v>
      </c>
    </row>
    <row r="86" spans="1:26" s="149" customFormat="1" x14ac:dyDescent="0.25">
      <c r="A86" s="148">
        <v>43088</v>
      </c>
      <c r="B86" s="149" t="s">
        <v>70</v>
      </c>
      <c r="C86" s="149" t="s">
        <v>118</v>
      </c>
      <c r="D86" s="150">
        <v>38.0274</v>
      </c>
      <c r="E86" s="150">
        <v>-122.3159</v>
      </c>
      <c r="F86" s="149" t="s">
        <v>6952</v>
      </c>
      <c r="G86" s="149" t="s">
        <v>80</v>
      </c>
      <c r="H86" s="149" t="s">
        <v>123</v>
      </c>
      <c r="I86" s="151">
        <v>0.46388888888888885</v>
      </c>
      <c r="J86" s="197">
        <v>28290</v>
      </c>
      <c r="K86" s="197">
        <v>11.4</v>
      </c>
      <c r="L86" s="197">
        <v>14.2</v>
      </c>
      <c r="M86" s="197">
        <v>0.68</v>
      </c>
      <c r="N86" s="197">
        <v>3.9</v>
      </c>
      <c r="O86" s="149" t="s">
        <v>48</v>
      </c>
      <c r="P86" s="149">
        <v>1</v>
      </c>
      <c r="Q86" s="151">
        <v>1.3888888888888888E-2</v>
      </c>
      <c r="R86" s="149" t="s">
        <v>64</v>
      </c>
      <c r="S86" s="149" t="s">
        <v>50</v>
      </c>
      <c r="T86" s="149" t="s">
        <v>50</v>
      </c>
      <c r="U86" s="149" t="s">
        <v>50</v>
      </c>
      <c r="V86" s="149" t="s">
        <v>50</v>
      </c>
      <c r="W86" s="149" t="s">
        <v>50</v>
      </c>
      <c r="X86" s="149" t="s">
        <v>50</v>
      </c>
      <c r="Y86" s="152" t="s">
        <v>6953</v>
      </c>
    </row>
    <row r="87" spans="1:26" s="27" customFormat="1" x14ac:dyDescent="0.25">
      <c r="A87" s="93">
        <v>43088</v>
      </c>
      <c r="B87" s="27" t="s">
        <v>70</v>
      </c>
      <c r="C87" s="27" t="s">
        <v>118</v>
      </c>
      <c r="D87" s="89">
        <v>38.049320000000002</v>
      </c>
      <c r="E87" s="89">
        <v>-122.2902</v>
      </c>
      <c r="F87" s="27" t="s">
        <v>6954</v>
      </c>
      <c r="G87" s="27" t="s">
        <v>80</v>
      </c>
      <c r="H87" s="27" t="s">
        <v>123</v>
      </c>
      <c r="I87" s="84">
        <v>0.49652777777777773</v>
      </c>
      <c r="J87" s="82">
        <v>24951.67</v>
      </c>
      <c r="K87" s="82">
        <v>11.466670000000001</v>
      </c>
      <c r="L87" s="82">
        <v>6.875</v>
      </c>
      <c r="M87" s="82">
        <v>0.99</v>
      </c>
      <c r="N87" s="82">
        <v>10.35</v>
      </c>
      <c r="O87" s="27" t="s">
        <v>48</v>
      </c>
      <c r="P87" s="27">
        <v>6</v>
      </c>
      <c r="Q87" s="27">
        <v>10</v>
      </c>
      <c r="R87" s="27" t="s">
        <v>64</v>
      </c>
      <c r="S87" s="27" t="s">
        <v>50</v>
      </c>
      <c r="T87" s="27" t="s">
        <v>50</v>
      </c>
      <c r="U87" s="27" t="s">
        <v>50</v>
      </c>
      <c r="V87" s="27" t="s">
        <v>50</v>
      </c>
      <c r="W87" s="27" t="s">
        <v>50</v>
      </c>
      <c r="X87" s="27" t="s">
        <v>50</v>
      </c>
      <c r="Y87" s="35"/>
    </row>
    <row r="88" spans="1:26" s="27" customFormat="1" x14ac:dyDescent="0.25">
      <c r="A88" s="93">
        <v>43088</v>
      </c>
      <c r="B88" s="27" t="s">
        <v>70</v>
      </c>
      <c r="C88" s="27" t="s">
        <v>118</v>
      </c>
      <c r="D88" s="89">
        <v>38.065170000000002</v>
      </c>
      <c r="E88" s="89">
        <v>-122.21325</v>
      </c>
      <c r="F88" s="27" t="s">
        <v>6955</v>
      </c>
      <c r="G88" s="27" t="s">
        <v>80</v>
      </c>
      <c r="H88" s="27" t="s">
        <v>120</v>
      </c>
      <c r="I88" s="84">
        <v>0.59791666666666665</v>
      </c>
      <c r="J88" s="82">
        <v>24876.5</v>
      </c>
      <c r="K88" s="82">
        <v>11.4</v>
      </c>
      <c r="L88" s="82">
        <v>15.85</v>
      </c>
      <c r="M88" s="82">
        <v>0.72666699999999995</v>
      </c>
      <c r="N88" s="4">
        <v>18.116669999999999</v>
      </c>
      <c r="O88" s="27" t="s">
        <v>48</v>
      </c>
      <c r="P88" s="27">
        <v>6</v>
      </c>
      <c r="Q88" s="27">
        <v>10</v>
      </c>
      <c r="R88" s="27" t="s">
        <v>64</v>
      </c>
      <c r="S88" s="27" t="s">
        <v>50</v>
      </c>
      <c r="T88" s="27" t="s">
        <v>50</v>
      </c>
      <c r="U88" s="27" t="s">
        <v>50</v>
      </c>
      <c r="V88" s="27" t="s">
        <v>50</v>
      </c>
      <c r="W88" s="27" t="s">
        <v>50</v>
      </c>
      <c r="X88" s="27" t="s">
        <v>50</v>
      </c>
      <c r="Y88" s="35" t="s">
        <v>6956</v>
      </c>
    </row>
    <row r="89" spans="1:26" s="27" customFormat="1" x14ac:dyDescent="0.25">
      <c r="A89" s="93">
        <v>43089</v>
      </c>
      <c r="B89" s="27" t="s">
        <v>87</v>
      </c>
      <c r="C89" s="27" t="s">
        <v>95</v>
      </c>
      <c r="D89" s="89">
        <v>38.059600000000003</v>
      </c>
      <c r="E89" s="89">
        <v>-121.55597</v>
      </c>
      <c r="F89" s="27" t="s">
        <v>6957</v>
      </c>
      <c r="G89" s="27" t="s">
        <v>46</v>
      </c>
      <c r="H89" s="27" t="s">
        <v>115</v>
      </c>
      <c r="I89" s="84">
        <v>0.30902777777777779</v>
      </c>
      <c r="J89" s="82">
        <v>288.27999999999997</v>
      </c>
      <c r="K89" s="82">
        <v>9.8000000000000007</v>
      </c>
      <c r="L89" s="82">
        <v>9.3559999999999999</v>
      </c>
      <c r="M89" s="82">
        <v>1.238</v>
      </c>
      <c r="N89" s="4">
        <v>14.54</v>
      </c>
      <c r="O89" s="27" t="s">
        <v>48</v>
      </c>
      <c r="P89" s="27">
        <v>5</v>
      </c>
      <c r="Q89" s="27">
        <v>5</v>
      </c>
      <c r="R89" s="27" t="s">
        <v>64</v>
      </c>
      <c r="S89" s="27" t="s">
        <v>50</v>
      </c>
      <c r="T89" s="27" t="s">
        <v>50</v>
      </c>
      <c r="U89" s="27" t="s">
        <v>50</v>
      </c>
      <c r="V89" s="27" t="s">
        <v>50</v>
      </c>
      <c r="W89" s="27" t="s">
        <v>50</v>
      </c>
      <c r="X89" s="27" t="s">
        <v>50</v>
      </c>
      <c r="Y89" s="35"/>
    </row>
    <row r="90" spans="1:26" s="27" customFormat="1" x14ac:dyDescent="0.25">
      <c r="A90" s="93">
        <v>43089</v>
      </c>
      <c r="B90" s="27" t="s">
        <v>87</v>
      </c>
      <c r="C90" s="27" t="s">
        <v>95</v>
      </c>
      <c r="D90" s="89">
        <v>38.090380000000003</v>
      </c>
      <c r="E90" s="89">
        <v>-121.64116</v>
      </c>
      <c r="F90" s="27" t="s">
        <v>6958</v>
      </c>
      <c r="G90" s="27" t="s">
        <v>46</v>
      </c>
      <c r="H90" s="27" t="s">
        <v>908</v>
      </c>
      <c r="I90" s="84">
        <v>0.37916666666666665</v>
      </c>
      <c r="J90" s="82">
        <v>586.6</v>
      </c>
      <c r="K90" s="82">
        <v>9.8000000000000007</v>
      </c>
      <c r="L90" s="82">
        <v>12.52</v>
      </c>
      <c r="M90" s="82">
        <v>0.84799999999999998</v>
      </c>
      <c r="N90" s="4">
        <v>6.38</v>
      </c>
      <c r="O90" s="27" t="s">
        <v>48</v>
      </c>
      <c r="P90" s="27">
        <v>5</v>
      </c>
      <c r="Q90" s="27">
        <v>5</v>
      </c>
      <c r="R90" s="27" t="s">
        <v>49</v>
      </c>
      <c r="S90" s="27" t="s">
        <v>50</v>
      </c>
      <c r="T90" s="27" t="s">
        <v>50</v>
      </c>
      <c r="U90" s="27" t="s">
        <v>50</v>
      </c>
      <c r="V90" s="27" t="s">
        <v>50</v>
      </c>
      <c r="W90" s="27" t="s">
        <v>50</v>
      </c>
      <c r="X90" s="27" t="s">
        <v>50</v>
      </c>
      <c r="Y90" s="35"/>
    </row>
    <row r="91" spans="1:26" s="27" customFormat="1" x14ac:dyDescent="0.25">
      <c r="A91" s="93">
        <v>43089</v>
      </c>
      <c r="B91" s="27" t="s">
        <v>87</v>
      </c>
      <c r="C91" s="27" t="s">
        <v>95</v>
      </c>
      <c r="D91" s="89">
        <v>38.027749999999997</v>
      </c>
      <c r="E91" s="89">
        <v>-121.73305999999999</v>
      </c>
      <c r="F91" s="27" t="s">
        <v>6959</v>
      </c>
      <c r="G91" s="27" t="s">
        <v>27</v>
      </c>
      <c r="H91" s="27" t="s">
        <v>863</v>
      </c>
      <c r="I91" s="84">
        <v>0.43333333333333335</v>
      </c>
      <c r="J91" s="82">
        <v>1224</v>
      </c>
      <c r="K91" s="82">
        <v>9.8000000000000007</v>
      </c>
      <c r="L91" s="82">
        <v>19.64</v>
      </c>
      <c r="M91" s="82">
        <v>0.63400000000000001</v>
      </c>
      <c r="N91" s="4">
        <v>8.34</v>
      </c>
      <c r="O91" s="27" t="s">
        <v>48</v>
      </c>
      <c r="P91" s="27">
        <v>5</v>
      </c>
      <c r="Q91" s="27">
        <v>5</v>
      </c>
      <c r="R91" s="27" t="s">
        <v>49</v>
      </c>
      <c r="S91" s="27" t="s">
        <v>50</v>
      </c>
      <c r="T91" s="27" t="s">
        <v>50</v>
      </c>
      <c r="U91" s="27" t="s">
        <v>50</v>
      </c>
      <c r="V91" s="27" t="s">
        <v>50</v>
      </c>
      <c r="W91" s="27" t="s">
        <v>50</v>
      </c>
      <c r="X91" s="27" t="s">
        <v>50</v>
      </c>
      <c r="Y91" s="35"/>
    </row>
    <row r="92" spans="1:26" s="27" customFormat="1" x14ac:dyDescent="0.25">
      <c r="A92" s="93">
        <v>43089</v>
      </c>
      <c r="B92" s="27" t="s">
        <v>87</v>
      </c>
      <c r="C92" s="27" t="s">
        <v>6849</v>
      </c>
      <c r="D92" s="89">
        <v>38.305030000000002</v>
      </c>
      <c r="E92" s="89">
        <v>-121.57299</v>
      </c>
      <c r="F92" s="27" t="s">
        <v>6960</v>
      </c>
      <c r="G92" s="27" t="s">
        <v>90</v>
      </c>
      <c r="H92" s="27" t="s">
        <v>6851</v>
      </c>
      <c r="I92" s="84">
        <v>0.34166666666666662</v>
      </c>
      <c r="J92" s="82">
        <v>103.6</v>
      </c>
      <c r="K92" s="82">
        <v>9.4</v>
      </c>
      <c r="L92" s="82" t="s">
        <v>50</v>
      </c>
      <c r="M92" s="82">
        <v>1.1000000000000001</v>
      </c>
      <c r="N92" s="4">
        <v>7.2166670000000002</v>
      </c>
      <c r="O92" s="27" t="s">
        <v>48</v>
      </c>
      <c r="P92" s="27">
        <v>6</v>
      </c>
      <c r="Q92" s="27">
        <v>10</v>
      </c>
      <c r="R92" s="27" t="s">
        <v>49</v>
      </c>
      <c r="S92" s="27" t="s">
        <v>50</v>
      </c>
      <c r="T92" s="27" t="s">
        <v>50</v>
      </c>
      <c r="U92" s="27" t="s">
        <v>50</v>
      </c>
      <c r="V92" s="27" t="s">
        <v>50</v>
      </c>
      <c r="W92" s="27" t="s">
        <v>50</v>
      </c>
      <c r="X92" s="27" t="s">
        <v>50</v>
      </c>
      <c r="Y92" s="35" t="s">
        <v>6961</v>
      </c>
    </row>
    <row r="93" spans="1:26" s="27" customFormat="1" x14ac:dyDescent="0.25">
      <c r="A93" s="93">
        <v>43089</v>
      </c>
      <c r="B93" s="27" t="s">
        <v>87</v>
      </c>
      <c r="C93" s="27" t="s">
        <v>6849</v>
      </c>
      <c r="D93" s="89">
        <v>38.216360000000002</v>
      </c>
      <c r="E93" s="89">
        <v>-121.54205</v>
      </c>
      <c r="F93" s="27" t="s">
        <v>6962</v>
      </c>
      <c r="G93" s="27" t="s">
        <v>90</v>
      </c>
      <c r="H93" s="27" t="s">
        <v>6892</v>
      </c>
      <c r="I93" s="84">
        <v>0.4381944444444445</v>
      </c>
      <c r="J93" s="82">
        <v>105.2333</v>
      </c>
      <c r="K93" s="82">
        <v>9.4166670000000003</v>
      </c>
      <c r="L93" s="82" t="s">
        <v>50</v>
      </c>
      <c r="M93" s="82">
        <v>1.308333</v>
      </c>
      <c r="N93" s="4">
        <v>5.6666670000000003</v>
      </c>
      <c r="O93" s="27" t="s">
        <v>48</v>
      </c>
      <c r="P93" s="27">
        <v>6</v>
      </c>
      <c r="Q93" s="27">
        <v>10</v>
      </c>
      <c r="R93" s="27" t="s">
        <v>49</v>
      </c>
      <c r="S93" s="27" t="s">
        <v>50</v>
      </c>
      <c r="T93" s="27" t="s">
        <v>50</v>
      </c>
      <c r="U93" s="27" t="s">
        <v>50</v>
      </c>
      <c r="V93" s="27" t="s">
        <v>50</v>
      </c>
      <c r="W93" s="27" t="s">
        <v>50</v>
      </c>
      <c r="X93" s="27" t="s">
        <v>50</v>
      </c>
      <c r="Y93" s="35" t="s">
        <v>6961</v>
      </c>
    </row>
    <row r="94" spans="1:26" s="149" customFormat="1" x14ac:dyDescent="0.25">
      <c r="A94" s="148">
        <v>43089</v>
      </c>
      <c r="B94" s="149" t="s">
        <v>87</v>
      </c>
      <c r="C94" s="149" t="s">
        <v>78</v>
      </c>
      <c r="D94" s="150">
        <v>38.072719999999997</v>
      </c>
      <c r="E94" s="150">
        <v>-122.06565999999999</v>
      </c>
      <c r="F94" s="149" t="s">
        <v>6963</v>
      </c>
      <c r="G94" s="149" t="s">
        <v>80</v>
      </c>
      <c r="H94" s="149" t="s">
        <v>81</v>
      </c>
      <c r="I94" s="151">
        <v>0.37291666666666662</v>
      </c>
      <c r="J94" s="149" t="s">
        <v>50</v>
      </c>
      <c r="K94" s="197" t="s">
        <v>50</v>
      </c>
      <c r="L94" s="197" t="s">
        <v>50</v>
      </c>
      <c r="M94" s="197" t="s">
        <v>50</v>
      </c>
      <c r="N94" s="197" t="s">
        <v>50</v>
      </c>
      <c r="O94" s="197" t="s">
        <v>48</v>
      </c>
      <c r="P94" s="149">
        <v>0</v>
      </c>
      <c r="Q94" s="149" t="s">
        <v>50</v>
      </c>
      <c r="R94" s="149" t="s">
        <v>50</v>
      </c>
      <c r="S94" s="149" t="s">
        <v>50</v>
      </c>
      <c r="T94" s="149" t="s">
        <v>50</v>
      </c>
      <c r="U94" s="149" t="s">
        <v>50</v>
      </c>
      <c r="V94" s="149" t="s">
        <v>50</v>
      </c>
      <c r="W94" s="149" t="s">
        <v>50</v>
      </c>
      <c r="X94" s="149" t="s">
        <v>50</v>
      </c>
      <c r="Y94" s="152" t="s">
        <v>3595</v>
      </c>
    </row>
    <row r="95" spans="1:26" s="27" customFormat="1" x14ac:dyDescent="0.25">
      <c r="A95" s="93">
        <v>43089</v>
      </c>
      <c r="B95" s="27" t="s">
        <v>87</v>
      </c>
      <c r="C95" s="27" t="s">
        <v>78</v>
      </c>
      <c r="D95" s="89">
        <v>38.039149999999999</v>
      </c>
      <c r="E95" s="89">
        <v>-122.12551999999999</v>
      </c>
      <c r="F95" s="27" t="s">
        <v>6964</v>
      </c>
      <c r="G95" s="27" t="s">
        <v>80</v>
      </c>
      <c r="H95" s="27" t="s">
        <v>81</v>
      </c>
      <c r="I95" s="84">
        <v>0.38194444444444442</v>
      </c>
      <c r="J95" s="82">
        <v>16472</v>
      </c>
      <c r="K95" s="82">
        <v>10.8</v>
      </c>
      <c r="L95" s="82">
        <v>14.76</v>
      </c>
      <c r="M95" s="82">
        <v>0.6</v>
      </c>
      <c r="N95" s="82">
        <v>16.14</v>
      </c>
      <c r="O95" s="27" t="s">
        <v>48</v>
      </c>
      <c r="P95" s="27">
        <v>5</v>
      </c>
      <c r="Q95" s="27">
        <v>5</v>
      </c>
      <c r="R95" s="27" t="s">
        <v>64</v>
      </c>
      <c r="S95" s="27" t="s">
        <v>50</v>
      </c>
      <c r="T95" s="27" t="s">
        <v>50</v>
      </c>
      <c r="U95" s="27" t="s">
        <v>50</v>
      </c>
      <c r="V95" s="27" t="s">
        <v>50</v>
      </c>
      <c r="W95" s="27" t="s">
        <v>50</v>
      </c>
      <c r="X95" s="27" t="s">
        <v>50</v>
      </c>
      <c r="Y95" s="35"/>
    </row>
    <row r="96" spans="1:26" s="27" customFormat="1" x14ac:dyDescent="0.25">
      <c r="A96" s="93">
        <v>43089</v>
      </c>
      <c r="B96" s="27" t="s">
        <v>87</v>
      </c>
      <c r="C96" s="27" t="s">
        <v>78</v>
      </c>
      <c r="D96" s="89">
        <v>38.064549999999997</v>
      </c>
      <c r="E96" s="89">
        <v>-121.96687</v>
      </c>
      <c r="F96" s="27" t="s">
        <v>6965</v>
      </c>
      <c r="G96" s="27" t="s">
        <v>27</v>
      </c>
      <c r="H96" s="27" t="s">
        <v>170</v>
      </c>
      <c r="I96" s="84">
        <v>0.45416666666666666</v>
      </c>
      <c r="J96" s="82">
        <v>7582.2</v>
      </c>
      <c r="K96" s="82">
        <v>10.46</v>
      </c>
      <c r="L96" s="82">
        <v>16.38</v>
      </c>
      <c r="M96" s="82">
        <v>0.59599999999999997</v>
      </c>
      <c r="N96" s="4">
        <v>6.62</v>
      </c>
      <c r="O96" s="27" t="s">
        <v>48</v>
      </c>
      <c r="P96" s="27">
        <v>5</v>
      </c>
      <c r="Q96" s="27">
        <v>5</v>
      </c>
      <c r="R96" s="27" t="s">
        <v>64</v>
      </c>
      <c r="S96" s="27" t="s">
        <v>50</v>
      </c>
      <c r="T96" s="27" t="s">
        <v>50</v>
      </c>
      <c r="U96" s="27" t="s">
        <v>50</v>
      </c>
      <c r="V96" s="27" t="s">
        <v>50</v>
      </c>
      <c r="W96" s="27" t="s">
        <v>50</v>
      </c>
      <c r="X96" s="27" t="s">
        <v>50</v>
      </c>
      <c r="Y96" s="35"/>
    </row>
    <row r="97" spans="1:25" s="27" customFormat="1" x14ac:dyDescent="0.25">
      <c r="A97" s="93">
        <v>43089</v>
      </c>
      <c r="B97" s="27" t="s">
        <v>87</v>
      </c>
      <c r="C97" s="27" t="s">
        <v>78</v>
      </c>
      <c r="D97" s="89">
        <v>38.031880000000001</v>
      </c>
      <c r="E97" s="89">
        <v>-121.85066</v>
      </c>
      <c r="F97" s="27" t="s">
        <v>6966</v>
      </c>
      <c r="G97" s="27" t="s">
        <v>27</v>
      </c>
      <c r="H97" s="27" t="s">
        <v>101</v>
      </c>
      <c r="I97" s="84">
        <v>0.51458333333333328</v>
      </c>
      <c r="J97" s="82">
        <v>3850.6</v>
      </c>
      <c r="K97" s="82">
        <v>10.14</v>
      </c>
      <c r="L97" s="82">
        <v>16.36</v>
      </c>
      <c r="M97" s="82">
        <v>0.60599999999999998</v>
      </c>
      <c r="N97" s="4">
        <v>8.58</v>
      </c>
      <c r="O97" s="27" t="s">
        <v>48</v>
      </c>
      <c r="P97" s="27">
        <v>5</v>
      </c>
      <c r="Q97" s="27">
        <v>5</v>
      </c>
      <c r="R97" s="27" t="s">
        <v>64</v>
      </c>
      <c r="S97" s="27" t="s">
        <v>50</v>
      </c>
      <c r="T97" s="27" t="s">
        <v>50</v>
      </c>
      <c r="U97" s="27" t="s">
        <v>50</v>
      </c>
      <c r="V97" s="27" t="s">
        <v>50</v>
      </c>
      <c r="W97" s="27" t="s">
        <v>50</v>
      </c>
      <c r="X97" s="27" t="s">
        <v>50</v>
      </c>
      <c r="Y97" s="35"/>
    </row>
    <row r="98" spans="1:25" s="27" customFormat="1" x14ac:dyDescent="0.25">
      <c r="A98" s="93">
        <v>43090</v>
      </c>
      <c r="B98" s="27" t="s">
        <v>105</v>
      </c>
      <c r="C98" s="27" t="s">
        <v>78</v>
      </c>
      <c r="D98" s="89">
        <v>38.050020000000004</v>
      </c>
      <c r="E98" s="89">
        <v>-121.98257</v>
      </c>
      <c r="F98" s="27" t="s">
        <v>6967</v>
      </c>
      <c r="G98" s="27" t="s">
        <v>27</v>
      </c>
      <c r="H98" s="27" t="s">
        <v>86</v>
      </c>
      <c r="I98" s="84">
        <v>0.34513888888888888</v>
      </c>
      <c r="J98" s="82">
        <v>9041.7999999999993</v>
      </c>
      <c r="K98" s="82">
        <v>9.8800000000000008</v>
      </c>
      <c r="L98" s="82">
        <v>10.754</v>
      </c>
      <c r="M98" s="82">
        <v>0.66200000000000003</v>
      </c>
      <c r="N98" s="4">
        <v>6.38</v>
      </c>
      <c r="O98" s="27" t="s">
        <v>48</v>
      </c>
      <c r="P98" s="27">
        <v>5</v>
      </c>
      <c r="Q98" s="27">
        <v>5</v>
      </c>
      <c r="R98" s="27" t="s">
        <v>49</v>
      </c>
      <c r="S98" s="27" t="s">
        <v>50</v>
      </c>
      <c r="T98" s="27" t="s">
        <v>50</v>
      </c>
      <c r="U98" s="27" t="s">
        <v>50</v>
      </c>
      <c r="V98" s="27" t="s">
        <v>50</v>
      </c>
      <c r="W98" s="27" t="s">
        <v>50</v>
      </c>
      <c r="X98" s="27" t="s">
        <v>50</v>
      </c>
      <c r="Y98" s="35"/>
    </row>
    <row r="99" spans="1:25" s="27" customFormat="1" x14ac:dyDescent="0.25">
      <c r="A99" s="93">
        <v>43090</v>
      </c>
      <c r="B99" s="27" t="s">
        <v>105</v>
      </c>
      <c r="C99" s="27" t="s">
        <v>62</v>
      </c>
      <c r="D99" s="89">
        <v>38.119280000000003</v>
      </c>
      <c r="E99" s="89">
        <v>-122.05748</v>
      </c>
      <c r="F99" s="27" t="s">
        <v>6968</v>
      </c>
      <c r="G99" s="27" t="s">
        <v>27</v>
      </c>
      <c r="H99" s="27" t="s">
        <v>62</v>
      </c>
      <c r="I99" s="84">
        <v>0.39652777777777781</v>
      </c>
      <c r="J99" s="82">
        <v>10466.799999999999</v>
      </c>
      <c r="K99" s="82">
        <v>9.8800000000000008</v>
      </c>
      <c r="L99" s="82">
        <v>21.34</v>
      </c>
      <c r="M99" s="82">
        <v>0.54200000000000004</v>
      </c>
      <c r="N99" s="4">
        <v>2.98</v>
      </c>
      <c r="O99" s="27" t="s">
        <v>48</v>
      </c>
      <c r="P99" s="27">
        <v>5</v>
      </c>
      <c r="Q99" s="27">
        <v>5</v>
      </c>
      <c r="R99" s="27" t="s">
        <v>49</v>
      </c>
      <c r="S99" s="27" t="s">
        <v>50</v>
      </c>
      <c r="T99" s="27" t="s">
        <v>50</v>
      </c>
      <c r="U99" s="27" t="s">
        <v>50</v>
      </c>
      <c r="V99" s="27" t="s">
        <v>50</v>
      </c>
      <c r="W99" s="27" t="s">
        <v>50</v>
      </c>
      <c r="X99" s="27" t="s">
        <v>50</v>
      </c>
      <c r="Y99" s="35"/>
    </row>
    <row r="100" spans="1:25" s="149" customFormat="1" x14ac:dyDescent="0.25">
      <c r="A100" s="148">
        <v>43090</v>
      </c>
      <c r="B100" s="149" t="s">
        <v>105</v>
      </c>
      <c r="C100" s="149" t="s">
        <v>62</v>
      </c>
      <c r="D100" s="150">
        <v>38.18712</v>
      </c>
      <c r="E100" s="150">
        <v>-121.97448</v>
      </c>
      <c r="F100" s="149" t="s">
        <v>6969</v>
      </c>
      <c r="G100" s="149" t="s">
        <v>27</v>
      </c>
      <c r="H100" s="149" t="s">
        <v>62</v>
      </c>
      <c r="I100" s="151">
        <v>0.4375</v>
      </c>
      <c r="J100" s="149" t="s">
        <v>50</v>
      </c>
      <c r="K100" s="197" t="s">
        <v>50</v>
      </c>
      <c r="L100" s="197" t="s">
        <v>50</v>
      </c>
      <c r="M100" s="197" t="s">
        <v>50</v>
      </c>
      <c r="N100" s="197" t="s">
        <v>50</v>
      </c>
      <c r="O100" s="197" t="s">
        <v>48</v>
      </c>
      <c r="P100" s="149">
        <v>0</v>
      </c>
      <c r="Q100" s="149" t="s">
        <v>50</v>
      </c>
      <c r="R100" s="149" t="s">
        <v>50</v>
      </c>
      <c r="S100" s="149" t="s">
        <v>50</v>
      </c>
      <c r="T100" s="149" t="s">
        <v>50</v>
      </c>
      <c r="U100" s="149" t="s">
        <v>50</v>
      </c>
      <c r="V100" s="149" t="s">
        <v>50</v>
      </c>
      <c r="W100" s="149" t="s">
        <v>50</v>
      </c>
      <c r="X100" s="149" t="s">
        <v>50</v>
      </c>
      <c r="Y100" s="152" t="s">
        <v>6970</v>
      </c>
    </row>
    <row r="101" spans="1:25" s="27" customFormat="1" x14ac:dyDescent="0.25">
      <c r="A101" s="93">
        <v>43090</v>
      </c>
      <c r="B101" s="27" t="s">
        <v>105</v>
      </c>
      <c r="C101" s="27" t="s">
        <v>6879</v>
      </c>
      <c r="D101" s="89">
        <v>38.163269999999997</v>
      </c>
      <c r="E101" s="89">
        <v>-121.53194999999999</v>
      </c>
      <c r="F101" s="27" t="s">
        <v>6971</v>
      </c>
      <c r="G101" s="27" t="s">
        <v>46</v>
      </c>
      <c r="H101" s="27" t="s">
        <v>6881</v>
      </c>
      <c r="I101" s="84">
        <v>0.33333333333333331</v>
      </c>
      <c r="J101" s="82">
        <v>68.916669999999996</v>
      </c>
      <c r="K101" s="82">
        <v>9.0500000000000007</v>
      </c>
      <c r="L101" s="82">
        <v>8.9149999999999991</v>
      </c>
      <c r="M101" s="82">
        <v>1.78</v>
      </c>
      <c r="N101" s="4">
        <v>7.8333329999999997</v>
      </c>
      <c r="O101" s="27" t="s">
        <v>48</v>
      </c>
      <c r="P101" s="27">
        <v>6</v>
      </c>
      <c r="Q101" s="27">
        <v>10</v>
      </c>
      <c r="R101" s="27" t="s">
        <v>64</v>
      </c>
      <c r="S101" s="27" t="s">
        <v>50</v>
      </c>
      <c r="T101" s="27" t="s">
        <v>50</v>
      </c>
      <c r="U101" s="27" t="s">
        <v>50</v>
      </c>
      <c r="V101" s="27" t="s">
        <v>50</v>
      </c>
      <c r="W101" s="27" t="s">
        <v>50</v>
      </c>
      <c r="X101" s="27" t="s">
        <v>50</v>
      </c>
      <c r="Y101" s="35" t="s">
        <v>5103</v>
      </c>
    </row>
    <row r="102" spans="1:25" s="27" customFormat="1" x14ac:dyDescent="0.25">
      <c r="A102" s="93">
        <v>43090</v>
      </c>
      <c r="B102" s="27" t="s">
        <v>105</v>
      </c>
      <c r="C102" s="27" t="s">
        <v>6879</v>
      </c>
      <c r="D102" s="89">
        <v>38.101730000000003</v>
      </c>
      <c r="E102" s="89">
        <v>-121.56406</v>
      </c>
      <c r="F102" s="27" t="s">
        <v>6972</v>
      </c>
      <c r="G102" s="27" t="s">
        <v>46</v>
      </c>
      <c r="H102" s="27" t="s">
        <v>6881</v>
      </c>
      <c r="I102" s="84">
        <v>0.44791666666666669</v>
      </c>
      <c r="J102" s="82">
        <v>132.75</v>
      </c>
      <c r="K102" s="82">
        <v>9.0333330000000007</v>
      </c>
      <c r="L102" s="82">
        <v>13.633330000000001</v>
      </c>
      <c r="M102" s="82">
        <v>1.5216670000000001</v>
      </c>
      <c r="N102" s="4">
        <v>5.45</v>
      </c>
      <c r="O102" s="27" t="s">
        <v>48</v>
      </c>
      <c r="P102" s="27">
        <v>6</v>
      </c>
      <c r="Q102" s="27">
        <v>10</v>
      </c>
      <c r="R102" s="27" t="s">
        <v>49</v>
      </c>
      <c r="S102" s="27" t="s">
        <v>50</v>
      </c>
      <c r="T102" s="27" t="s">
        <v>50</v>
      </c>
      <c r="U102" s="27" t="s">
        <v>50</v>
      </c>
      <c r="V102" s="27" t="s">
        <v>50</v>
      </c>
      <c r="W102" s="27" t="s">
        <v>50</v>
      </c>
      <c r="X102" s="27" t="s">
        <v>50</v>
      </c>
      <c r="Y102" s="35"/>
    </row>
    <row r="103" spans="1:25" s="27" customFormat="1" x14ac:dyDescent="0.25">
      <c r="A103" s="93">
        <v>43090</v>
      </c>
      <c r="B103" s="27" t="s">
        <v>105</v>
      </c>
      <c r="C103" s="27" t="s">
        <v>106</v>
      </c>
      <c r="D103" s="89">
        <v>38.508540000000004</v>
      </c>
      <c r="E103" s="89">
        <v>-121.58439</v>
      </c>
      <c r="F103" s="27" t="s">
        <v>6973</v>
      </c>
      <c r="G103" s="27" t="s">
        <v>90</v>
      </c>
      <c r="H103" s="27" t="s">
        <v>1787</v>
      </c>
      <c r="I103" s="84">
        <v>0.37638888888888888</v>
      </c>
      <c r="J103" s="82">
        <v>563.4</v>
      </c>
      <c r="K103" s="82">
        <v>10.08</v>
      </c>
      <c r="L103" s="82">
        <v>31.16</v>
      </c>
      <c r="M103" s="82">
        <v>0.438</v>
      </c>
      <c r="N103" s="4">
        <v>11</v>
      </c>
      <c r="O103" s="27" t="s">
        <v>48</v>
      </c>
      <c r="P103" s="27">
        <v>5</v>
      </c>
      <c r="Q103" s="27">
        <v>5</v>
      </c>
      <c r="R103" s="27" t="s">
        <v>49</v>
      </c>
      <c r="S103" s="27" t="s">
        <v>50</v>
      </c>
      <c r="T103" s="27" t="s">
        <v>50</v>
      </c>
      <c r="U103" s="27" t="s">
        <v>50</v>
      </c>
      <c r="V103" s="27" t="s">
        <v>50</v>
      </c>
      <c r="W103" s="27" t="s">
        <v>50</v>
      </c>
      <c r="X103" s="27" t="s">
        <v>50</v>
      </c>
      <c r="Y103" s="35"/>
    </row>
    <row r="104" spans="1:25" s="27" customFormat="1" x14ac:dyDescent="0.25">
      <c r="A104" s="93">
        <v>43090</v>
      </c>
      <c r="B104" s="27" t="s">
        <v>105</v>
      </c>
      <c r="C104" s="27" t="s">
        <v>106</v>
      </c>
      <c r="D104" s="89">
        <v>38.195729999999998</v>
      </c>
      <c r="E104" s="89">
        <v>-121.65669</v>
      </c>
      <c r="F104" s="27" t="s">
        <v>6974</v>
      </c>
      <c r="G104" s="27" t="s">
        <v>90</v>
      </c>
      <c r="H104" s="27" t="s">
        <v>362</v>
      </c>
      <c r="I104" s="84">
        <v>0.4861111111111111</v>
      </c>
      <c r="J104" s="82">
        <v>123.96</v>
      </c>
      <c r="K104" s="82">
        <v>9.08</v>
      </c>
      <c r="L104" s="82">
        <v>15.64</v>
      </c>
      <c r="M104" s="82">
        <v>0.79</v>
      </c>
      <c r="N104" s="4">
        <v>14.92</v>
      </c>
      <c r="O104" s="27" t="s">
        <v>48</v>
      </c>
      <c r="P104" s="27">
        <v>5</v>
      </c>
      <c r="Q104" s="27">
        <v>5</v>
      </c>
      <c r="R104" s="27" t="s">
        <v>49</v>
      </c>
      <c r="S104" s="27" t="s">
        <v>50</v>
      </c>
      <c r="T104" s="27" t="s">
        <v>50</v>
      </c>
      <c r="U104" s="27" t="s">
        <v>50</v>
      </c>
      <c r="V104" s="27" t="s">
        <v>50</v>
      </c>
      <c r="W104" s="27" t="s">
        <v>50</v>
      </c>
      <c r="X104" s="27" t="s">
        <v>50</v>
      </c>
      <c r="Y104" s="35"/>
    </row>
    <row r="105" spans="1:25" s="27" customFormat="1" x14ac:dyDescent="0.25">
      <c r="A105" s="93">
        <v>43091</v>
      </c>
      <c r="B105" s="27" t="s">
        <v>125</v>
      </c>
      <c r="C105" s="27" t="s">
        <v>62</v>
      </c>
      <c r="D105" s="196">
        <v>38.138399999999997</v>
      </c>
      <c r="E105" s="196">
        <v>-122.06158000000001</v>
      </c>
      <c r="F105" s="27" t="s">
        <v>6975</v>
      </c>
      <c r="G105" s="27" t="s">
        <v>27</v>
      </c>
      <c r="H105" s="27" t="s">
        <v>62</v>
      </c>
      <c r="I105" s="84">
        <v>0.33611111111111108</v>
      </c>
      <c r="J105" s="82">
        <v>9762.7999999999993</v>
      </c>
      <c r="K105" s="82">
        <v>9.4999999999999982</v>
      </c>
      <c r="L105" s="82">
        <v>17.66</v>
      </c>
      <c r="M105" s="82">
        <v>0.57400000000000007</v>
      </c>
      <c r="N105" s="4">
        <v>13.059999999999999</v>
      </c>
      <c r="O105" s="27" t="s">
        <v>48</v>
      </c>
      <c r="P105" s="27">
        <v>5</v>
      </c>
      <c r="Q105" s="27">
        <v>5</v>
      </c>
      <c r="R105" s="27" t="s">
        <v>49</v>
      </c>
      <c r="S105" s="27" t="s">
        <v>50</v>
      </c>
      <c r="T105" s="27" t="s">
        <v>50</v>
      </c>
      <c r="U105" s="27" t="s">
        <v>50</v>
      </c>
      <c r="V105" s="27" t="s">
        <v>50</v>
      </c>
      <c r="W105" s="27" t="s">
        <v>50</v>
      </c>
      <c r="X105" s="27" t="s">
        <v>50</v>
      </c>
      <c r="Y105" s="35"/>
    </row>
    <row r="106" spans="1:25" s="108" customFormat="1" ht="15.75" thickBot="1" x14ac:dyDescent="0.3">
      <c r="A106" s="106">
        <v>43091</v>
      </c>
      <c r="B106" s="108" t="s">
        <v>125</v>
      </c>
      <c r="C106" s="108" t="s">
        <v>62</v>
      </c>
      <c r="D106" s="109">
        <v>38.103189999999998</v>
      </c>
      <c r="E106" s="109">
        <v>-121.89035</v>
      </c>
      <c r="F106" s="108" t="s">
        <v>6976</v>
      </c>
      <c r="G106" s="108" t="s">
        <v>27</v>
      </c>
      <c r="H106" s="108" t="s">
        <v>62</v>
      </c>
      <c r="I106" s="110">
        <v>0.40208333333333335</v>
      </c>
      <c r="J106" s="111">
        <v>3620.6</v>
      </c>
      <c r="K106" s="111">
        <v>9.4199999999999982</v>
      </c>
      <c r="L106" s="111">
        <v>20.72</v>
      </c>
      <c r="M106" s="111">
        <v>0.53400000000000003</v>
      </c>
      <c r="N106" s="112">
        <v>5.1000000000000005</v>
      </c>
      <c r="O106" s="108" t="s">
        <v>48</v>
      </c>
      <c r="P106" s="108">
        <v>5</v>
      </c>
      <c r="Q106" s="108">
        <v>5</v>
      </c>
      <c r="R106" s="108" t="s">
        <v>49</v>
      </c>
      <c r="S106" s="108" t="s">
        <v>50</v>
      </c>
      <c r="T106" s="108" t="s">
        <v>50</v>
      </c>
      <c r="U106" s="108" t="s">
        <v>50</v>
      </c>
      <c r="V106" s="108" t="s">
        <v>50</v>
      </c>
      <c r="W106" s="108" t="s">
        <v>50</v>
      </c>
      <c r="X106" s="108" t="s">
        <v>50</v>
      </c>
      <c r="Y106" s="113"/>
    </row>
    <row r="107" spans="1:25" s="27" customFormat="1" ht="15.75" thickTop="1" x14ac:dyDescent="0.25">
      <c r="A107" s="26">
        <v>43095</v>
      </c>
      <c r="B107" s="27" t="s">
        <v>70</v>
      </c>
      <c r="C107" s="27" t="s">
        <v>6849</v>
      </c>
      <c r="D107" s="89">
        <v>38.311149999999998</v>
      </c>
      <c r="E107" s="89">
        <v>-121.57687</v>
      </c>
      <c r="F107" s="27" t="s">
        <v>6977</v>
      </c>
      <c r="G107" s="27" t="s">
        <v>90</v>
      </c>
      <c r="H107" s="27" t="s">
        <v>6851</v>
      </c>
      <c r="I107" s="84">
        <v>0.38958333333333334</v>
      </c>
      <c r="J107" s="82">
        <v>112.8</v>
      </c>
      <c r="K107" s="82">
        <v>9.15</v>
      </c>
      <c r="L107" s="82">
        <v>7.51</v>
      </c>
      <c r="M107" s="82">
        <v>1.07</v>
      </c>
      <c r="N107" s="4">
        <v>6.88</v>
      </c>
      <c r="O107" s="27" t="s">
        <v>48</v>
      </c>
      <c r="P107" s="27">
        <v>6</v>
      </c>
      <c r="Q107" s="27">
        <v>10</v>
      </c>
      <c r="R107" s="27" t="s">
        <v>49</v>
      </c>
      <c r="S107" s="27" t="s">
        <v>50</v>
      </c>
      <c r="T107" s="27" t="s">
        <v>50</v>
      </c>
      <c r="U107" s="27" t="s">
        <v>50</v>
      </c>
      <c r="V107" s="27" t="s">
        <v>50</v>
      </c>
      <c r="W107" s="27" t="s">
        <v>50</v>
      </c>
      <c r="X107" s="27" t="s">
        <v>50</v>
      </c>
      <c r="Y107" s="35"/>
    </row>
    <row r="108" spans="1:25" s="27" customFormat="1" x14ac:dyDescent="0.25">
      <c r="A108" s="26">
        <v>43095</v>
      </c>
      <c r="B108" s="27" t="s">
        <v>70</v>
      </c>
      <c r="C108" s="27" t="s">
        <v>6849</v>
      </c>
      <c r="D108" s="89">
        <v>38.194540000000003</v>
      </c>
      <c r="E108" s="89">
        <v>-121.56295</v>
      </c>
      <c r="F108" s="27" t="s">
        <v>6978</v>
      </c>
      <c r="G108" s="27" t="s">
        <v>90</v>
      </c>
      <c r="H108" s="27" t="s">
        <v>6892</v>
      </c>
      <c r="I108" s="84">
        <v>0.51041666666666663</v>
      </c>
      <c r="J108" s="82">
        <v>118.82</v>
      </c>
      <c r="K108" s="82">
        <v>9.1300000000000008</v>
      </c>
      <c r="L108" s="82">
        <v>7.56</v>
      </c>
      <c r="M108" s="82">
        <v>1.23</v>
      </c>
      <c r="N108" s="4">
        <v>5.5</v>
      </c>
      <c r="O108" s="27" t="s">
        <v>48</v>
      </c>
      <c r="P108" s="27">
        <v>6</v>
      </c>
      <c r="Q108" s="27">
        <v>10</v>
      </c>
      <c r="R108" s="27" t="s">
        <v>49</v>
      </c>
      <c r="S108" s="27" t="s">
        <v>50</v>
      </c>
      <c r="T108" s="27" t="s">
        <v>50</v>
      </c>
      <c r="U108" s="27" t="s">
        <v>50</v>
      </c>
      <c r="V108" s="27" t="s">
        <v>50</v>
      </c>
      <c r="W108" s="27" t="s">
        <v>50</v>
      </c>
      <c r="X108" s="27" t="s">
        <v>50</v>
      </c>
      <c r="Y108" s="35"/>
    </row>
    <row r="109" spans="1:25" s="27" customFormat="1" x14ac:dyDescent="0.25">
      <c r="A109" s="26">
        <v>43095</v>
      </c>
      <c r="B109" s="27" t="s">
        <v>70</v>
      </c>
      <c r="C109" s="27" t="s">
        <v>95</v>
      </c>
      <c r="D109" s="89">
        <v>38.1006</v>
      </c>
      <c r="E109" s="89">
        <v>-121.59934</v>
      </c>
      <c r="F109" s="27" t="s">
        <v>6979</v>
      </c>
      <c r="G109" s="27" t="s">
        <v>46</v>
      </c>
      <c r="H109" s="27" t="s">
        <v>115</v>
      </c>
      <c r="I109" s="84">
        <v>0.31527777777777777</v>
      </c>
      <c r="J109" s="82">
        <v>310.94</v>
      </c>
      <c r="K109" s="82">
        <v>9.14</v>
      </c>
      <c r="L109" s="82">
        <v>8.0299999999999994</v>
      </c>
      <c r="M109" s="82">
        <v>1.34</v>
      </c>
      <c r="N109" s="4">
        <v>12.26</v>
      </c>
      <c r="O109" s="27" t="s">
        <v>48</v>
      </c>
      <c r="P109" s="27">
        <v>5</v>
      </c>
      <c r="Q109" s="27">
        <v>5</v>
      </c>
      <c r="R109" s="27" t="s">
        <v>64</v>
      </c>
      <c r="S109" s="27" t="s">
        <v>50</v>
      </c>
      <c r="T109" s="27" t="s">
        <v>50</v>
      </c>
      <c r="U109" s="27" t="s">
        <v>50</v>
      </c>
      <c r="V109" s="27" t="s">
        <v>50</v>
      </c>
      <c r="W109" s="27" t="s">
        <v>50</v>
      </c>
      <c r="X109" s="27" t="s">
        <v>50</v>
      </c>
      <c r="Y109" s="35"/>
    </row>
    <row r="110" spans="1:25" s="27" customFormat="1" x14ac:dyDescent="0.25">
      <c r="A110" s="26">
        <v>43095</v>
      </c>
      <c r="B110" s="27" t="s">
        <v>70</v>
      </c>
      <c r="C110" s="27" t="s">
        <v>95</v>
      </c>
      <c r="D110" s="89">
        <v>38.0884</v>
      </c>
      <c r="E110" s="89">
        <v>-121.65042</v>
      </c>
      <c r="F110" s="27" t="s">
        <v>6980</v>
      </c>
      <c r="G110" s="27" t="s">
        <v>46</v>
      </c>
      <c r="H110" s="27" t="s">
        <v>908</v>
      </c>
      <c r="I110" s="84">
        <v>0.35902777777777778</v>
      </c>
      <c r="J110" s="82">
        <v>209.8</v>
      </c>
      <c r="K110" s="82">
        <v>9.14</v>
      </c>
      <c r="L110" s="82" t="s">
        <v>50</v>
      </c>
      <c r="M110" s="82">
        <v>1.284</v>
      </c>
      <c r="N110" s="4">
        <v>13.62</v>
      </c>
      <c r="O110" s="27" t="s">
        <v>48</v>
      </c>
      <c r="P110" s="27">
        <v>5</v>
      </c>
      <c r="Q110" s="27">
        <v>5</v>
      </c>
      <c r="R110" s="27" t="s">
        <v>64</v>
      </c>
      <c r="S110" s="27" t="s">
        <v>50</v>
      </c>
      <c r="T110" s="27" t="s">
        <v>50</v>
      </c>
      <c r="U110" s="27" t="s">
        <v>50</v>
      </c>
      <c r="V110" s="27" t="s">
        <v>50</v>
      </c>
      <c r="W110" s="27" t="s">
        <v>50</v>
      </c>
      <c r="X110" s="27" t="s">
        <v>50</v>
      </c>
      <c r="Y110" s="35"/>
    </row>
    <row r="111" spans="1:25" s="27" customFormat="1" x14ac:dyDescent="0.25">
      <c r="A111" s="26">
        <v>43095</v>
      </c>
      <c r="B111" s="27" t="s">
        <v>70</v>
      </c>
      <c r="C111" s="27" t="s">
        <v>95</v>
      </c>
      <c r="D111" s="89">
        <v>38.077289999999998</v>
      </c>
      <c r="E111" s="89">
        <v>-121.68214</v>
      </c>
      <c r="F111" s="27" t="s">
        <v>6981</v>
      </c>
      <c r="G111" s="27" t="s">
        <v>46</v>
      </c>
      <c r="H111" s="27" t="s">
        <v>908</v>
      </c>
      <c r="I111" s="84">
        <v>0.40277777777777773</v>
      </c>
      <c r="J111" s="82">
        <v>618.6</v>
      </c>
      <c r="K111" s="82">
        <v>9.06</v>
      </c>
      <c r="L111" s="82" t="s">
        <v>50</v>
      </c>
      <c r="M111" s="82">
        <v>0.87</v>
      </c>
      <c r="N111" s="4">
        <v>3.88</v>
      </c>
      <c r="O111" s="27" t="s">
        <v>48</v>
      </c>
      <c r="P111" s="27">
        <v>5</v>
      </c>
      <c r="Q111" s="27">
        <v>5</v>
      </c>
      <c r="R111" s="27" t="s">
        <v>64</v>
      </c>
      <c r="S111" s="27" t="s">
        <v>50</v>
      </c>
      <c r="T111" s="27" t="s">
        <v>50</v>
      </c>
      <c r="U111" s="27" t="s">
        <v>50</v>
      </c>
      <c r="V111" s="27" t="s">
        <v>50</v>
      </c>
      <c r="W111" s="27" t="s">
        <v>50</v>
      </c>
      <c r="X111" s="27" t="s">
        <v>50</v>
      </c>
      <c r="Y111" s="35"/>
    </row>
    <row r="112" spans="1:25" s="186" customFormat="1" x14ac:dyDescent="0.25">
      <c r="A112" s="185">
        <v>43095</v>
      </c>
      <c r="B112" s="186" t="s">
        <v>70</v>
      </c>
      <c r="C112" s="186" t="s">
        <v>62</v>
      </c>
      <c r="D112" s="187">
        <v>38.199150000000003</v>
      </c>
      <c r="E112" s="187">
        <v>-122.04167</v>
      </c>
      <c r="F112" s="186" t="s">
        <v>6982</v>
      </c>
      <c r="G112" s="186" t="s">
        <v>27</v>
      </c>
      <c r="H112" s="186" t="s">
        <v>62</v>
      </c>
      <c r="I112" s="188">
        <v>0.4375</v>
      </c>
      <c r="J112" s="189" t="s">
        <v>50</v>
      </c>
      <c r="K112" s="189" t="s">
        <v>50</v>
      </c>
      <c r="L112" s="189" t="s">
        <v>50</v>
      </c>
      <c r="M112" s="189" t="s">
        <v>50</v>
      </c>
      <c r="N112" s="189" t="s">
        <v>50</v>
      </c>
      <c r="O112" s="186" t="s">
        <v>48</v>
      </c>
      <c r="P112" s="186">
        <v>0</v>
      </c>
      <c r="Q112" s="186" t="s">
        <v>50</v>
      </c>
      <c r="R112" s="186" t="s">
        <v>50</v>
      </c>
      <c r="S112" s="186" t="s">
        <v>50</v>
      </c>
      <c r="T112" s="186" t="s">
        <v>50</v>
      </c>
      <c r="U112" s="186" t="s">
        <v>50</v>
      </c>
      <c r="V112" s="186" t="s">
        <v>50</v>
      </c>
      <c r="W112" s="186" t="s">
        <v>50</v>
      </c>
      <c r="X112" s="186" t="s">
        <v>50</v>
      </c>
      <c r="Y112" s="190" t="s">
        <v>72</v>
      </c>
    </row>
    <row r="113" spans="1:25" s="27" customFormat="1" x14ac:dyDescent="0.25">
      <c r="A113" s="26">
        <v>43095</v>
      </c>
      <c r="B113" s="27" t="s">
        <v>70</v>
      </c>
      <c r="C113" s="27" t="s">
        <v>62</v>
      </c>
      <c r="D113" s="89">
        <v>38.120330000000003</v>
      </c>
      <c r="E113" s="89">
        <v>-122.05853</v>
      </c>
      <c r="F113" s="27" t="s">
        <v>6983</v>
      </c>
      <c r="G113" s="27" t="s">
        <v>27</v>
      </c>
      <c r="H113" s="27" t="s">
        <v>62</v>
      </c>
      <c r="I113" s="84">
        <v>0.34513888888888888</v>
      </c>
      <c r="J113" s="82">
        <v>15544.8</v>
      </c>
      <c r="K113" s="82">
        <v>9.66</v>
      </c>
      <c r="L113" s="82">
        <v>19.18</v>
      </c>
      <c r="M113" s="82">
        <v>0.54800000000000004</v>
      </c>
      <c r="N113" s="4">
        <v>3.26</v>
      </c>
      <c r="O113" s="27" t="s">
        <v>48</v>
      </c>
      <c r="P113" s="27">
        <v>5</v>
      </c>
      <c r="Q113" s="27">
        <v>5</v>
      </c>
      <c r="R113" s="27" t="s">
        <v>64</v>
      </c>
      <c r="S113" s="27" t="s">
        <v>50</v>
      </c>
      <c r="T113" s="27" t="s">
        <v>50</v>
      </c>
      <c r="U113" s="27" t="s">
        <v>50</v>
      </c>
      <c r="V113" s="27" t="s">
        <v>50</v>
      </c>
      <c r="W113" s="27" t="s">
        <v>50</v>
      </c>
      <c r="X113" s="27" t="s">
        <v>50</v>
      </c>
      <c r="Y113" s="35"/>
    </row>
    <row r="114" spans="1:25" s="27" customFormat="1" x14ac:dyDescent="0.25">
      <c r="A114" s="26">
        <v>43095</v>
      </c>
      <c r="B114" s="27" t="s">
        <v>70</v>
      </c>
      <c r="C114" s="27" t="s">
        <v>62</v>
      </c>
      <c r="D114" s="89">
        <v>38.172800000000002</v>
      </c>
      <c r="E114" s="89">
        <v>-121.94819</v>
      </c>
      <c r="F114" s="27" t="s">
        <v>6984</v>
      </c>
      <c r="G114" s="27" t="s">
        <v>27</v>
      </c>
      <c r="H114" s="27" t="s">
        <v>62</v>
      </c>
      <c r="I114" s="84">
        <v>0.4152777777777778</v>
      </c>
      <c r="J114" s="82">
        <v>3764.8</v>
      </c>
      <c r="K114" s="82">
        <v>9.08</v>
      </c>
      <c r="L114" s="82">
        <v>24.2</v>
      </c>
      <c r="M114" s="82">
        <v>0.47199999999999998</v>
      </c>
      <c r="N114" s="4">
        <v>6.1</v>
      </c>
      <c r="O114" s="27" t="s">
        <v>48</v>
      </c>
      <c r="P114" s="27">
        <v>5</v>
      </c>
      <c r="Q114" s="27">
        <v>5</v>
      </c>
      <c r="R114" s="27" t="s">
        <v>49</v>
      </c>
      <c r="S114" s="27" t="s">
        <v>50</v>
      </c>
      <c r="T114" s="27" t="s">
        <v>50</v>
      </c>
      <c r="U114" s="27" t="s">
        <v>50</v>
      </c>
      <c r="V114" s="27" t="s">
        <v>50</v>
      </c>
      <c r="W114" s="27" t="s">
        <v>50</v>
      </c>
      <c r="X114" s="27" t="s">
        <v>50</v>
      </c>
      <c r="Y114" s="35"/>
    </row>
    <row r="115" spans="1:25" s="27" customFormat="1" x14ac:dyDescent="0.25">
      <c r="A115" s="26">
        <v>43095</v>
      </c>
      <c r="B115" s="27" t="s">
        <v>70</v>
      </c>
      <c r="C115" s="27" t="s">
        <v>62</v>
      </c>
      <c r="D115" s="89">
        <v>38.12209</v>
      </c>
      <c r="E115" s="89">
        <v>-121.90131</v>
      </c>
      <c r="F115" s="27" t="s">
        <v>6985</v>
      </c>
      <c r="G115" s="27" t="s">
        <v>27</v>
      </c>
      <c r="H115" s="27" t="s">
        <v>62</v>
      </c>
      <c r="I115" s="84">
        <v>0.46458333333333335</v>
      </c>
      <c r="J115" s="82">
        <v>3874.6</v>
      </c>
      <c r="K115" s="82">
        <v>9.48</v>
      </c>
      <c r="L115" s="82">
        <v>16.36</v>
      </c>
      <c r="M115" s="82">
        <v>0.64600000000000002</v>
      </c>
      <c r="N115" s="4">
        <v>5.9</v>
      </c>
      <c r="O115" s="27" t="s">
        <v>48</v>
      </c>
      <c r="P115" s="27">
        <v>5</v>
      </c>
      <c r="Q115" s="27">
        <v>5</v>
      </c>
      <c r="R115" s="27" t="s">
        <v>49</v>
      </c>
      <c r="S115" s="27" t="s">
        <v>50</v>
      </c>
      <c r="T115" s="27" t="s">
        <v>50</v>
      </c>
      <c r="U115" s="27" t="s">
        <v>50</v>
      </c>
      <c r="V115" s="27" t="s">
        <v>50</v>
      </c>
      <c r="W115" s="27" t="s">
        <v>50</v>
      </c>
      <c r="X115" s="27" t="s">
        <v>50</v>
      </c>
      <c r="Y115" s="35"/>
    </row>
    <row r="116" spans="1:25" s="27" customFormat="1" x14ac:dyDescent="0.25">
      <c r="A116" s="26">
        <v>43096</v>
      </c>
      <c r="B116" s="27" t="s">
        <v>87</v>
      </c>
      <c r="C116" s="27" t="s">
        <v>95</v>
      </c>
      <c r="D116" s="89">
        <v>38.026299999999999</v>
      </c>
      <c r="E116" s="89">
        <v>-121.70195</v>
      </c>
      <c r="F116" s="27" t="s">
        <v>6986</v>
      </c>
      <c r="G116" s="27" t="s">
        <v>27</v>
      </c>
      <c r="H116" s="27" t="s">
        <v>863</v>
      </c>
      <c r="I116" s="84">
        <v>0.32847222222222222</v>
      </c>
      <c r="J116" s="82">
        <v>611</v>
      </c>
      <c r="K116" s="82">
        <v>9.1</v>
      </c>
      <c r="L116" s="82">
        <v>6.8979999999999997</v>
      </c>
      <c r="M116" s="82">
        <v>1.458</v>
      </c>
      <c r="N116" s="4">
        <v>5.74</v>
      </c>
      <c r="O116" s="27" t="s">
        <v>48</v>
      </c>
      <c r="P116" s="27">
        <v>5</v>
      </c>
      <c r="Q116" s="27">
        <v>5</v>
      </c>
      <c r="R116" s="27" t="s">
        <v>64</v>
      </c>
      <c r="S116" s="27" t="s">
        <v>50</v>
      </c>
      <c r="T116" s="27" t="s">
        <v>50</v>
      </c>
      <c r="U116" s="27" t="s">
        <v>50</v>
      </c>
      <c r="V116" s="27" t="s">
        <v>50</v>
      </c>
      <c r="W116" s="27" t="s">
        <v>50</v>
      </c>
      <c r="X116" s="27" t="s">
        <v>50</v>
      </c>
      <c r="Y116" s="35"/>
    </row>
    <row r="117" spans="1:25" s="27" customFormat="1" x14ac:dyDescent="0.25">
      <c r="A117" s="26">
        <v>43096</v>
      </c>
      <c r="B117" s="27" t="s">
        <v>87</v>
      </c>
      <c r="C117" s="27" t="s">
        <v>95</v>
      </c>
      <c r="D117" s="89">
        <v>38.03105</v>
      </c>
      <c r="E117" s="89">
        <v>-121.73278999999999</v>
      </c>
      <c r="F117" s="27" t="s">
        <v>6987</v>
      </c>
      <c r="G117" s="27" t="s">
        <v>27</v>
      </c>
      <c r="H117" s="27" t="s">
        <v>863</v>
      </c>
      <c r="I117" s="84">
        <v>0.36944444444444446</v>
      </c>
      <c r="J117" s="82">
        <v>1096.8</v>
      </c>
      <c r="K117" s="82">
        <v>9.18</v>
      </c>
      <c r="L117" s="82">
        <v>14.074</v>
      </c>
      <c r="M117" s="82">
        <v>1.03</v>
      </c>
      <c r="N117" s="4">
        <v>10.36</v>
      </c>
      <c r="O117" s="27" t="s">
        <v>48</v>
      </c>
      <c r="P117" s="27">
        <v>5</v>
      </c>
      <c r="Q117" s="27">
        <v>5</v>
      </c>
      <c r="R117" s="27" t="s">
        <v>64</v>
      </c>
      <c r="S117" s="27" t="s">
        <v>50</v>
      </c>
      <c r="T117" s="27" t="s">
        <v>50</v>
      </c>
      <c r="U117" s="27" t="s">
        <v>50</v>
      </c>
      <c r="V117" s="27" t="s">
        <v>50</v>
      </c>
      <c r="W117" s="27" t="s">
        <v>50</v>
      </c>
      <c r="X117" s="27" t="s">
        <v>50</v>
      </c>
      <c r="Y117" s="35"/>
    </row>
    <row r="118" spans="1:25" s="27" customFormat="1" x14ac:dyDescent="0.25">
      <c r="A118" s="26">
        <v>43096</v>
      </c>
      <c r="B118" s="27" t="s">
        <v>87</v>
      </c>
      <c r="C118" s="27" t="s">
        <v>95</v>
      </c>
      <c r="D118" s="89">
        <v>38.07009</v>
      </c>
      <c r="E118" s="89">
        <v>-121.55929999999999</v>
      </c>
      <c r="F118" s="27" t="s">
        <v>6988</v>
      </c>
      <c r="G118" s="27" t="s">
        <v>46</v>
      </c>
      <c r="H118" s="27" t="s">
        <v>115</v>
      </c>
      <c r="I118" s="84">
        <v>0.4236111111111111</v>
      </c>
      <c r="J118" s="82">
        <v>265.54000000000002</v>
      </c>
      <c r="K118" s="82">
        <v>9.24</v>
      </c>
      <c r="L118" s="82">
        <v>9.64</v>
      </c>
      <c r="M118" s="82">
        <v>1.6479999999999999</v>
      </c>
      <c r="N118" s="4">
        <v>10.98</v>
      </c>
      <c r="O118" s="27" t="s">
        <v>48</v>
      </c>
      <c r="P118" s="27">
        <v>5</v>
      </c>
      <c r="Q118" s="27">
        <v>5</v>
      </c>
      <c r="R118" s="27" t="s">
        <v>64</v>
      </c>
      <c r="S118" s="27" t="s">
        <v>50</v>
      </c>
      <c r="T118" s="27" t="s">
        <v>50</v>
      </c>
      <c r="U118" s="27" t="s">
        <v>50</v>
      </c>
      <c r="V118" s="27" t="s">
        <v>50</v>
      </c>
      <c r="W118" s="27" t="s">
        <v>50</v>
      </c>
      <c r="X118" s="27" t="s">
        <v>50</v>
      </c>
      <c r="Y118" s="35"/>
    </row>
    <row r="119" spans="1:25" s="27" customFormat="1" x14ac:dyDescent="0.25">
      <c r="A119" s="26">
        <v>43096</v>
      </c>
      <c r="B119" s="27" t="s">
        <v>87</v>
      </c>
      <c r="C119" s="27" t="s">
        <v>106</v>
      </c>
      <c r="D119" s="89">
        <v>38.51643</v>
      </c>
      <c r="E119" s="89">
        <v>-121.58443</v>
      </c>
      <c r="F119" s="27" t="s">
        <v>6989</v>
      </c>
      <c r="G119" s="27" t="s">
        <v>90</v>
      </c>
      <c r="H119" s="27" t="s">
        <v>1787</v>
      </c>
      <c r="I119" s="84">
        <v>0.3527777777777778</v>
      </c>
      <c r="J119" s="82">
        <v>791.4</v>
      </c>
      <c r="K119" s="82">
        <v>9.6</v>
      </c>
      <c r="L119" s="82">
        <v>20.36</v>
      </c>
      <c r="M119" s="82">
        <v>0.44</v>
      </c>
      <c r="N119" s="4">
        <v>10.66</v>
      </c>
      <c r="O119" s="27" t="s">
        <v>48</v>
      </c>
      <c r="P119" s="27">
        <v>5</v>
      </c>
      <c r="Q119" s="27">
        <v>5</v>
      </c>
      <c r="R119" s="27" t="s">
        <v>64</v>
      </c>
      <c r="S119" s="27" t="s">
        <v>50</v>
      </c>
      <c r="T119" s="27" t="s">
        <v>50</v>
      </c>
      <c r="U119" s="27" t="s">
        <v>50</v>
      </c>
      <c r="V119" s="27" t="s">
        <v>50</v>
      </c>
      <c r="W119" s="27" t="s">
        <v>50</v>
      </c>
      <c r="X119" s="27" t="s">
        <v>50</v>
      </c>
      <c r="Y119" s="35"/>
    </row>
    <row r="120" spans="1:25" s="27" customFormat="1" x14ac:dyDescent="0.25">
      <c r="A120" s="26">
        <v>43096</v>
      </c>
      <c r="B120" s="27" t="s">
        <v>87</v>
      </c>
      <c r="C120" s="27" t="s">
        <v>106</v>
      </c>
      <c r="D120" s="89">
        <v>38.406610000000001</v>
      </c>
      <c r="E120" s="89">
        <v>-121.61467</v>
      </c>
      <c r="F120" s="27" t="s">
        <v>6990</v>
      </c>
      <c r="G120" s="27" t="s">
        <v>90</v>
      </c>
      <c r="H120" s="27" t="s">
        <v>362</v>
      </c>
      <c r="I120" s="84">
        <v>0.46458333333333335</v>
      </c>
      <c r="J120" s="82">
        <v>417</v>
      </c>
      <c r="K120" s="82">
        <v>9.1</v>
      </c>
      <c r="L120" s="82">
        <v>70.84</v>
      </c>
      <c r="M120" s="82">
        <v>0.33</v>
      </c>
      <c r="N120" s="4">
        <v>10.69</v>
      </c>
      <c r="O120" s="27" t="s">
        <v>48</v>
      </c>
      <c r="P120" s="27">
        <v>5</v>
      </c>
      <c r="Q120" s="27">
        <v>5</v>
      </c>
      <c r="R120" s="27" t="s">
        <v>64</v>
      </c>
      <c r="S120" s="27" t="s">
        <v>50</v>
      </c>
      <c r="T120" s="27" t="s">
        <v>50</v>
      </c>
      <c r="U120" s="27" t="s">
        <v>50</v>
      </c>
      <c r="V120" s="27" t="s">
        <v>50</v>
      </c>
      <c r="W120" s="27" t="s">
        <v>50</v>
      </c>
      <c r="X120" s="27" t="s">
        <v>50</v>
      </c>
      <c r="Y120" s="35"/>
    </row>
    <row r="121" spans="1:25" s="27" customFormat="1" x14ac:dyDescent="0.25">
      <c r="A121" s="26">
        <v>43096</v>
      </c>
      <c r="B121" s="27" t="s">
        <v>87</v>
      </c>
      <c r="C121" s="27" t="s">
        <v>106</v>
      </c>
      <c r="D121" s="89">
        <v>38.231099999999998</v>
      </c>
      <c r="E121" s="89">
        <v>-121.67453999999999</v>
      </c>
      <c r="F121" s="27" t="s">
        <v>6991</v>
      </c>
      <c r="G121" s="27" t="s">
        <v>90</v>
      </c>
      <c r="H121" s="27" t="s">
        <v>362</v>
      </c>
      <c r="I121" s="84">
        <v>0.53888888888888886</v>
      </c>
      <c r="J121" s="82">
        <v>139.16999999999999</v>
      </c>
      <c r="K121" s="82">
        <v>9.06</v>
      </c>
      <c r="L121" s="82">
        <v>9.4</v>
      </c>
      <c r="M121" s="82">
        <v>1.47</v>
      </c>
      <c r="N121" s="4">
        <v>11.52</v>
      </c>
      <c r="O121" s="27" t="s">
        <v>48</v>
      </c>
      <c r="P121" s="27">
        <v>5</v>
      </c>
      <c r="Q121" s="27">
        <v>5</v>
      </c>
      <c r="R121" s="27" t="s">
        <v>49</v>
      </c>
      <c r="S121" s="27" t="s">
        <v>50</v>
      </c>
      <c r="T121" s="27" t="s">
        <v>50</v>
      </c>
      <c r="U121" s="27" t="s">
        <v>50</v>
      </c>
      <c r="V121" s="27" t="s">
        <v>50</v>
      </c>
      <c r="W121" s="27" t="s">
        <v>50</v>
      </c>
      <c r="X121" s="27" t="s">
        <v>50</v>
      </c>
      <c r="Y121" s="35"/>
    </row>
    <row r="122" spans="1:25" s="27" customFormat="1" x14ac:dyDescent="0.25">
      <c r="A122" s="26">
        <v>43096</v>
      </c>
      <c r="B122" s="27" t="s">
        <v>87</v>
      </c>
      <c r="C122" s="27" t="s">
        <v>118</v>
      </c>
      <c r="D122" s="89">
        <v>38.126600000000003</v>
      </c>
      <c r="E122" s="89">
        <v>-122.28149000000001</v>
      </c>
      <c r="F122" s="27" t="s">
        <v>6992</v>
      </c>
      <c r="G122" s="27" t="s">
        <v>80</v>
      </c>
      <c r="H122" s="27" t="s">
        <v>191</v>
      </c>
      <c r="I122" s="84">
        <v>0.41180555555555554</v>
      </c>
      <c r="J122" s="82">
        <v>18080.169999999998</v>
      </c>
      <c r="K122" s="82">
        <v>10.199999999999999</v>
      </c>
      <c r="L122" s="82">
        <v>12.37</v>
      </c>
      <c r="M122" s="82">
        <v>0.87</v>
      </c>
      <c r="N122" s="4">
        <v>8.43</v>
      </c>
      <c r="O122" s="27" t="s">
        <v>48</v>
      </c>
      <c r="P122" s="27">
        <v>6</v>
      </c>
      <c r="Q122" s="27">
        <v>10</v>
      </c>
      <c r="R122" s="27" t="s">
        <v>49</v>
      </c>
      <c r="S122" s="27" t="s">
        <v>50</v>
      </c>
      <c r="T122" s="27" t="s">
        <v>50</v>
      </c>
      <c r="U122" s="27" t="s">
        <v>50</v>
      </c>
      <c r="V122" s="27" t="s">
        <v>50</v>
      </c>
      <c r="W122" s="27" t="s">
        <v>50</v>
      </c>
      <c r="X122" s="27" t="s">
        <v>50</v>
      </c>
      <c r="Y122" s="35"/>
    </row>
    <row r="123" spans="1:25" s="27" customFormat="1" x14ac:dyDescent="0.25">
      <c r="A123" s="26">
        <v>43096</v>
      </c>
      <c r="B123" s="27" t="s">
        <v>87</v>
      </c>
      <c r="C123" s="27" t="s">
        <v>118</v>
      </c>
      <c r="D123" s="89">
        <v>38.058500000000002</v>
      </c>
      <c r="E123" s="89">
        <v>-122.26639</v>
      </c>
      <c r="F123" s="27" t="s">
        <v>6993</v>
      </c>
      <c r="G123" s="27" t="s">
        <v>80</v>
      </c>
      <c r="H123" s="27" t="s">
        <v>123</v>
      </c>
      <c r="I123" s="84">
        <v>0.49305555555555558</v>
      </c>
      <c r="J123" s="82">
        <v>21768.17</v>
      </c>
      <c r="K123" s="82">
        <v>10.53</v>
      </c>
      <c r="L123" s="82">
        <v>16.05</v>
      </c>
      <c r="M123" s="82">
        <v>0.64</v>
      </c>
      <c r="N123" s="4">
        <v>19.399999999999999</v>
      </c>
      <c r="O123" s="27" t="s">
        <v>48</v>
      </c>
      <c r="P123" s="27">
        <v>6</v>
      </c>
      <c r="Q123" s="27">
        <v>10</v>
      </c>
      <c r="R123" s="27" t="s">
        <v>49</v>
      </c>
      <c r="S123" s="27" t="s">
        <v>50</v>
      </c>
      <c r="T123" s="27" t="s">
        <v>50</v>
      </c>
      <c r="U123" s="27" t="s">
        <v>50</v>
      </c>
      <c r="V123" s="27" t="s">
        <v>50</v>
      </c>
      <c r="W123" s="27" t="s">
        <v>50</v>
      </c>
      <c r="X123" s="27" t="s">
        <v>50</v>
      </c>
      <c r="Y123" s="35"/>
    </row>
    <row r="124" spans="1:25" s="27" customFormat="1" x14ac:dyDescent="0.25">
      <c r="A124" s="26">
        <v>43097</v>
      </c>
      <c r="B124" s="27" t="s">
        <v>105</v>
      </c>
      <c r="C124" s="27" t="s">
        <v>6879</v>
      </c>
      <c r="D124" s="89">
        <v>38.12086</v>
      </c>
      <c r="E124" s="89">
        <v>-121.52883</v>
      </c>
      <c r="F124" s="27" t="s">
        <v>6994</v>
      </c>
      <c r="G124" s="27" t="s">
        <v>46</v>
      </c>
      <c r="H124" s="27" t="s">
        <v>6881</v>
      </c>
      <c r="I124" s="84">
        <v>0.32222222222222224</v>
      </c>
      <c r="J124" s="82">
        <v>110.16666666666667</v>
      </c>
      <c r="K124" s="82">
        <v>8.85</v>
      </c>
      <c r="L124" s="82">
        <v>4.8100000000000005</v>
      </c>
      <c r="M124" s="82">
        <v>1.8</v>
      </c>
      <c r="N124" s="4">
        <v>3.8833333333333342</v>
      </c>
      <c r="O124" s="27" t="s">
        <v>48</v>
      </c>
      <c r="P124" s="27">
        <v>6</v>
      </c>
      <c r="Q124" s="27">
        <v>10</v>
      </c>
      <c r="R124" s="27" t="s">
        <v>64</v>
      </c>
      <c r="S124" s="27" t="s">
        <v>50</v>
      </c>
      <c r="T124" s="27" t="s">
        <v>50</v>
      </c>
      <c r="U124" s="27" t="s">
        <v>50</v>
      </c>
      <c r="V124" s="27" t="s">
        <v>50</v>
      </c>
      <c r="W124" s="27" t="s">
        <v>50</v>
      </c>
      <c r="X124" s="27" t="s">
        <v>50</v>
      </c>
      <c r="Y124" s="35"/>
    </row>
    <row r="125" spans="1:25" s="27" customFormat="1" x14ac:dyDescent="0.25">
      <c r="A125" s="26">
        <v>43097</v>
      </c>
      <c r="B125" s="27" t="s">
        <v>105</v>
      </c>
      <c r="C125" s="27" t="s">
        <v>6879</v>
      </c>
      <c r="D125" s="89">
        <v>38.06756</v>
      </c>
      <c r="E125" s="89">
        <v>-121.50166</v>
      </c>
      <c r="F125" s="27" t="s">
        <v>6995</v>
      </c>
      <c r="G125" s="27" t="s">
        <v>46</v>
      </c>
      <c r="H125" s="27" t="s">
        <v>6881</v>
      </c>
      <c r="I125" s="84">
        <v>0.41875000000000001</v>
      </c>
      <c r="J125" s="82">
        <v>136.61666666666667</v>
      </c>
      <c r="K125" s="82">
        <v>8.9500000000000011</v>
      </c>
      <c r="L125" s="82">
        <v>5.251666666666666</v>
      </c>
      <c r="M125" s="82">
        <v>1.8</v>
      </c>
      <c r="N125" s="4">
        <v>7.333333333333333</v>
      </c>
      <c r="O125" s="27" t="s">
        <v>48</v>
      </c>
      <c r="P125" s="27">
        <v>6</v>
      </c>
      <c r="Q125" s="27">
        <v>10</v>
      </c>
      <c r="R125" s="27" t="s">
        <v>64</v>
      </c>
      <c r="S125" s="27" t="s">
        <v>50</v>
      </c>
      <c r="T125" s="27" t="s">
        <v>50</v>
      </c>
      <c r="U125" s="27" t="s">
        <v>50</v>
      </c>
      <c r="V125" s="27" t="s">
        <v>50</v>
      </c>
      <c r="W125" s="27" t="s">
        <v>50</v>
      </c>
      <c r="X125" s="27" t="s">
        <v>50</v>
      </c>
      <c r="Y125" s="35"/>
    </row>
    <row r="126" spans="1:25" s="27" customFormat="1" x14ac:dyDescent="0.25">
      <c r="A126" s="26">
        <v>43097</v>
      </c>
      <c r="B126" s="27" t="s">
        <v>105</v>
      </c>
      <c r="C126" s="27" t="s">
        <v>78</v>
      </c>
      <c r="D126" s="89">
        <v>38.043259999999997</v>
      </c>
      <c r="E126" s="89">
        <v>-122.11658</v>
      </c>
      <c r="F126" s="27" t="s">
        <v>6996</v>
      </c>
      <c r="G126" s="27" t="s">
        <v>80</v>
      </c>
      <c r="H126" s="27" t="s">
        <v>81</v>
      </c>
      <c r="I126" s="84">
        <v>0.3840277777777778</v>
      </c>
      <c r="J126" s="82">
        <v>19892.599999999999</v>
      </c>
      <c r="K126" s="82">
        <v>10.4</v>
      </c>
      <c r="L126" s="82">
        <v>15.14</v>
      </c>
      <c r="M126" s="82">
        <v>0.73000000000000009</v>
      </c>
      <c r="N126" s="4">
        <v>10.14</v>
      </c>
      <c r="O126" s="27" t="s">
        <v>48</v>
      </c>
      <c r="P126" s="27">
        <v>5</v>
      </c>
      <c r="Q126" s="27">
        <v>5</v>
      </c>
      <c r="R126" s="27" t="s">
        <v>64</v>
      </c>
      <c r="S126" s="27" t="s">
        <v>50</v>
      </c>
      <c r="T126" s="27" t="s">
        <v>50</v>
      </c>
      <c r="U126" s="27" t="s">
        <v>50</v>
      </c>
      <c r="V126" s="27" t="s">
        <v>50</v>
      </c>
      <c r="W126" s="27" t="s">
        <v>50</v>
      </c>
      <c r="X126" s="27" t="s">
        <v>50</v>
      </c>
      <c r="Y126" s="35"/>
    </row>
    <row r="127" spans="1:25" s="27" customFormat="1" x14ac:dyDescent="0.25">
      <c r="A127" s="26">
        <v>43097</v>
      </c>
      <c r="B127" s="27" t="s">
        <v>105</v>
      </c>
      <c r="C127" s="27" t="s">
        <v>78</v>
      </c>
      <c r="D127" s="89">
        <v>38.056789999999999</v>
      </c>
      <c r="E127" s="89">
        <v>-121.98668000000001</v>
      </c>
      <c r="F127" s="27" t="s">
        <v>6997</v>
      </c>
      <c r="G127" s="27" t="s">
        <v>27</v>
      </c>
      <c r="H127" s="27" t="s">
        <v>86</v>
      </c>
      <c r="I127" s="84">
        <v>0.4909722222222222</v>
      </c>
      <c r="J127" s="82">
        <v>11385</v>
      </c>
      <c r="K127" s="82">
        <v>9.98</v>
      </c>
      <c r="L127" s="82">
        <v>15.319999999999999</v>
      </c>
      <c r="M127" s="82">
        <v>0.63400000000000012</v>
      </c>
      <c r="N127" s="4">
        <v>7.8400000000000007</v>
      </c>
      <c r="O127" s="27" t="s">
        <v>48</v>
      </c>
      <c r="P127" s="27">
        <v>5</v>
      </c>
      <c r="Q127" s="27">
        <v>5</v>
      </c>
      <c r="R127" s="27" t="s">
        <v>49</v>
      </c>
      <c r="S127" s="27" t="s">
        <v>50</v>
      </c>
      <c r="T127" s="27" t="s">
        <v>50</v>
      </c>
      <c r="U127" s="27" t="s">
        <v>50</v>
      </c>
      <c r="V127" s="27" t="s">
        <v>50</v>
      </c>
      <c r="W127" s="27" t="s">
        <v>50</v>
      </c>
      <c r="X127" s="27" t="s">
        <v>50</v>
      </c>
      <c r="Y127" s="35"/>
    </row>
    <row r="128" spans="1:25" s="27" customFormat="1" x14ac:dyDescent="0.25">
      <c r="A128" s="26">
        <v>43097</v>
      </c>
      <c r="B128" s="27" t="s">
        <v>105</v>
      </c>
      <c r="C128" s="27" t="s">
        <v>78</v>
      </c>
      <c r="D128" s="89">
        <v>38.096499999999999</v>
      </c>
      <c r="E128" s="89">
        <v>-122.04555999999999</v>
      </c>
      <c r="F128" s="27" t="s">
        <v>6998</v>
      </c>
      <c r="G128" s="27" t="s">
        <v>27</v>
      </c>
      <c r="H128" s="27" t="s">
        <v>86</v>
      </c>
      <c r="I128" s="84">
        <v>0.44097222222222227</v>
      </c>
      <c r="J128" s="82">
        <v>16270.6</v>
      </c>
      <c r="K128" s="82">
        <v>10.179999999999998</v>
      </c>
      <c r="L128" s="82">
        <v>20.700000000000003</v>
      </c>
      <c r="M128" s="82">
        <v>0.67599999999999993</v>
      </c>
      <c r="N128" s="4">
        <v>4.04</v>
      </c>
      <c r="O128" s="27" t="s">
        <v>48</v>
      </c>
      <c r="P128" s="27">
        <v>5</v>
      </c>
      <c r="Q128" s="27">
        <v>5</v>
      </c>
      <c r="R128" s="27" t="s">
        <v>64</v>
      </c>
      <c r="S128" s="27" t="s">
        <v>31</v>
      </c>
      <c r="T128" s="27">
        <v>1</v>
      </c>
      <c r="U128" s="27">
        <v>95</v>
      </c>
      <c r="V128" s="27" t="s">
        <v>66</v>
      </c>
      <c r="W128" s="27" t="s">
        <v>50</v>
      </c>
      <c r="X128" s="27" t="s">
        <v>50</v>
      </c>
      <c r="Y128" s="35"/>
    </row>
    <row r="129" spans="1:25" s="27" customFormat="1" x14ac:dyDescent="0.25">
      <c r="A129" s="26">
        <v>43097</v>
      </c>
      <c r="B129" s="27" t="s">
        <v>105</v>
      </c>
      <c r="C129" s="27" t="s">
        <v>845</v>
      </c>
      <c r="D129" s="89">
        <v>38.251989999999999</v>
      </c>
      <c r="E129" s="89">
        <v>-121.68867</v>
      </c>
      <c r="F129" s="27" t="s">
        <v>6999</v>
      </c>
      <c r="G129" s="27" t="s">
        <v>90</v>
      </c>
      <c r="H129" s="27" t="s">
        <v>126</v>
      </c>
      <c r="I129" s="84">
        <v>0.3666666666666667</v>
      </c>
      <c r="J129" s="82">
        <v>126.66</v>
      </c>
      <c r="K129" s="82">
        <v>8.98</v>
      </c>
      <c r="L129" s="82">
        <v>11.762</v>
      </c>
      <c r="M129" s="82">
        <v>1.0699999999999998</v>
      </c>
      <c r="N129" s="4">
        <v>7.1</v>
      </c>
      <c r="O129" s="27" t="s">
        <v>48</v>
      </c>
      <c r="P129" s="27">
        <v>5</v>
      </c>
      <c r="Q129" s="27">
        <v>5</v>
      </c>
      <c r="R129" s="27" t="s">
        <v>64</v>
      </c>
      <c r="S129" s="27" t="s">
        <v>50</v>
      </c>
      <c r="T129" s="27" t="s">
        <v>50</v>
      </c>
      <c r="U129" s="27" t="s">
        <v>50</v>
      </c>
      <c r="V129" s="27" t="s">
        <v>50</v>
      </c>
      <c r="W129" s="27" t="s">
        <v>50</v>
      </c>
      <c r="X129" s="27" t="s">
        <v>50</v>
      </c>
      <c r="Y129" s="35"/>
    </row>
    <row r="130" spans="1:25" s="27" customFormat="1" x14ac:dyDescent="0.25">
      <c r="A130" s="26">
        <v>43097</v>
      </c>
      <c r="B130" s="27" t="s">
        <v>105</v>
      </c>
      <c r="C130" s="27" t="s">
        <v>845</v>
      </c>
      <c r="D130" s="89">
        <v>38.309950000000001</v>
      </c>
      <c r="E130" s="89">
        <v>-121.66722</v>
      </c>
      <c r="F130" s="27" t="s">
        <v>7000</v>
      </c>
      <c r="G130" s="27" t="s">
        <v>90</v>
      </c>
      <c r="H130" s="27" t="s">
        <v>126</v>
      </c>
      <c r="I130" s="84">
        <v>0.49583333333333335</v>
      </c>
      <c r="J130" s="82">
        <v>145.68</v>
      </c>
      <c r="K130" s="82">
        <v>8.58</v>
      </c>
      <c r="L130" s="82">
        <v>8.597999999999999</v>
      </c>
      <c r="M130" s="82">
        <v>1.258</v>
      </c>
      <c r="N130" s="4">
        <v>6.74</v>
      </c>
      <c r="O130" s="27" t="s">
        <v>48</v>
      </c>
      <c r="P130" s="27">
        <v>5</v>
      </c>
      <c r="Q130" s="27">
        <v>5</v>
      </c>
      <c r="R130" s="27" t="s">
        <v>64</v>
      </c>
      <c r="S130" s="27" t="s">
        <v>50</v>
      </c>
      <c r="T130" s="27" t="s">
        <v>50</v>
      </c>
      <c r="U130" s="27" t="s">
        <v>50</v>
      </c>
      <c r="V130" s="27" t="s">
        <v>50</v>
      </c>
      <c r="W130" s="27" t="s">
        <v>50</v>
      </c>
      <c r="X130" s="27" t="s">
        <v>50</v>
      </c>
      <c r="Y130" s="35"/>
    </row>
    <row r="131" spans="1:25" s="27" customFormat="1" x14ac:dyDescent="0.25">
      <c r="A131" s="26">
        <v>43097</v>
      </c>
      <c r="B131" s="27" t="s">
        <v>105</v>
      </c>
      <c r="C131" s="27" t="s">
        <v>845</v>
      </c>
      <c r="D131" s="89">
        <v>38.26023</v>
      </c>
      <c r="E131" s="89">
        <v>-121.74764</v>
      </c>
      <c r="F131" s="27" t="s">
        <v>7001</v>
      </c>
      <c r="G131" s="27" t="s">
        <v>90</v>
      </c>
      <c r="H131" s="27" t="s">
        <v>126</v>
      </c>
      <c r="I131" s="84">
        <v>0.43402777777777773</v>
      </c>
      <c r="J131" s="82">
        <v>133.63999999999999</v>
      </c>
      <c r="K131" s="82">
        <v>8.2800000000000011</v>
      </c>
      <c r="L131" s="82">
        <v>5.7840000000000007</v>
      </c>
      <c r="M131" s="82">
        <v>1.8</v>
      </c>
      <c r="N131" s="4">
        <v>5.24</v>
      </c>
      <c r="O131" s="27" t="s">
        <v>48</v>
      </c>
      <c r="P131" s="27">
        <v>5</v>
      </c>
      <c r="Q131" s="27">
        <v>5</v>
      </c>
      <c r="R131" s="27" t="s">
        <v>64</v>
      </c>
      <c r="S131" s="27" t="s">
        <v>50</v>
      </c>
      <c r="T131" s="27" t="s">
        <v>50</v>
      </c>
      <c r="U131" s="27" t="s">
        <v>50</v>
      </c>
      <c r="V131" s="27" t="s">
        <v>50</v>
      </c>
      <c r="W131" s="27" t="s">
        <v>50</v>
      </c>
      <c r="X131" s="27" t="s">
        <v>50</v>
      </c>
      <c r="Y131" s="35"/>
    </row>
    <row r="132" spans="1:25" s="27" customFormat="1" x14ac:dyDescent="0.25">
      <c r="A132" s="26">
        <v>43098</v>
      </c>
      <c r="B132" s="27" t="s">
        <v>125</v>
      </c>
      <c r="C132" s="27" t="s">
        <v>78</v>
      </c>
      <c r="D132" s="89">
        <v>38.052990000000001</v>
      </c>
      <c r="E132" s="89">
        <v>-122.08789</v>
      </c>
      <c r="F132" s="27" t="s">
        <v>7002</v>
      </c>
      <c r="G132" s="27" t="s">
        <v>80</v>
      </c>
      <c r="H132" s="27" t="s">
        <v>81</v>
      </c>
      <c r="I132" s="84">
        <v>0.32916666666666666</v>
      </c>
      <c r="J132" s="82">
        <v>15333.2</v>
      </c>
      <c r="K132" s="82">
        <v>10.080000000000002</v>
      </c>
      <c r="L132" s="82">
        <v>11.916</v>
      </c>
      <c r="M132" s="82">
        <v>0.76800000000000002</v>
      </c>
      <c r="N132" s="4">
        <v>9.120000000000001</v>
      </c>
      <c r="O132" s="27" t="s">
        <v>48</v>
      </c>
      <c r="P132" s="27">
        <v>5</v>
      </c>
      <c r="Q132" s="27">
        <v>5</v>
      </c>
      <c r="R132" s="27" t="s">
        <v>64</v>
      </c>
      <c r="S132" s="27" t="s">
        <v>50</v>
      </c>
      <c r="T132" s="27" t="s">
        <v>50</v>
      </c>
      <c r="U132" s="27" t="s">
        <v>50</v>
      </c>
      <c r="V132" s="27" t="s">
        <v>50</v>
      </c>
      <c r="W132" s="27" t="s">
        <v>50</v>
      </c>
      <c r="X132" s="27" t="s">
        <v>50</v>
      </c>
      <c r="Y132" s="35"/>
    </row>
    <row r="133" spans="1:25" s="27" customFormat="1" x14ac:dyDescent="0.25">
      <c r="A133" s="26">
        <v>43098</v>
      </c>
      <c r="B133" s="27" t="s">
        <v>125</v>
      </c>
      <c r="C133" s="27" t="s">
        <v>78</v>
      </c>
      <c r="D133" s="89">
        <v>38.055230000000002</v>
      </c>
      <c r="E133" s="89">
        <v>-121.97494</v>
      </c>
      <c r="F133" s="27" t="s">
        <v>7003</v>
      </c>
      <c r="G133" s="27" t="s">
        <v>27</v>
      </c>
      <c r="H133" s="27" t="s">
        <v>101</v>
      </c>
      <c r="I133" s="84">
        <v>0.39305555555555555</v>
      </c>
      <c r="J133" s="82">
        <v>5816.6</v>
      </c>
      <c r="K133" s="82">
        <v>9.5</v>
      </c>
      <c r="L133" s="82">
        <v>16.759999999999998</v>
      </c>
      <c r="M133" s="82">
        <v>0.65200000000000002</v>
      </c>
      <c r="N133" s="4">
        <v>15.760000000000002</v>
      </c>
      <c r="O133" s="27" t="s">
        <v>48</v>
      </c>
      <c r="P133" s="27">
        <v>5</v>
      </c>
      <c r="Q133" s="27">
        <v>5</v>
      </c>
      <c r="R133" s="27" t="s">
        <v>64</v>
      </c>
      <c r="S133" s="27" t="s">
        <v>50</v>
      </c>
      <c r="T133" s="27" t="s">
        <v>50</v>
      </c>
      <c r="U133" s="27" t="s">
        <v>50</v>
      </c>
      <c r="V133" s="27" t="s">
        <v>50</v>
      </c>
      <c r="W133" s="27" t="s">
        <v>50</v>
      </c>
      <c r="X133" s="27" t="s">
        <v>50</v>
      </c>
      <c r="Y133" s="35"/>
    </row>
    <row r="134" spans="1:25" s="27" customFormat="1" x14ac:dyDescent="0.25">
      <c r="A134" s="26">
        <v>43098</v>
      </c>
      <c r="B134" s="27" t="s">
        <v>125</v>
      </c>
      <c r="C134" s="27" t="s">
        <v>88</v>
      </c>
      <c r="D134" s="89">
        <v>38.162509999999997</v>
      </c>
      <c r="E134" s="89">
        <v>-121.67756</v>
      </c>
      <c r="F134" s="27" t="s">
        <v>7004</v>
      </c>
      <c r="G134" s="27" t="s">
        <v>90</v>
      </c>
      <c r="H134" s="27" t="s">
        <v>91</v>
      </c>
      <c r="I134" s="84">
        <v>0.31458333333333333</v>
      </c>
      <c r="J134" s="82">
        <v>115.97999999999999</v>
      </c>
      <c r="K134" s="82">
        <v>9.1</v>
      </c>
      <c r="L134" s="82">
        <v>7.3920000000000003</v>
      </c>
      <c r="M134" s="82">
        <v>1.4319999999999999</v>
      </c>
      <c r="N134" s="4">
        <v>6.7</v>
      </c>
      <c r="O134" s="27" t="s">
        <v>48</v>
      </c>
      <c r="P134" s="27">
        <v>5</v>
      </c>
      <c r="Q134" s="27">
        <v>5</v>
      </c>
      <c r="R134" s="27" t="s">
        <v>64</v>
      </c>
      <c r="S134" s="27" t="s">
        <v>50</v>
      </c>
      <c r="T134" s="27" t="s">
        <v>50</v>
      </c>
      <c r="U134" s="27" t="s">
        <v>50</v>
      </c>
      <c r="V134" s="27" t="s">
        <v>50</v>
      </c>
      <c r="W134" s="27" t="s">
        <v>50</v>
      </c>
      <c r="X134" s="27" t="s">
        <v>50</v>
      </c>
      <c r="Y134" s="35"/>
    </row>
    <row r="135" spans="1:25" s="27" customFormat="1" x14ac:dyDescent="0.25">
      <c r="A135" s="26">
        <v>43098</v>
      </c>
      <c r="B135" s="27" t="s">
        <v>125</v>
      </c>
      <c r="C135" s="27" t="s">
        <v>88</v>
      </c>
      <c r="D135" s="89">
        <v>38.116669999999999</v>
      </c>
      <c r="E135" s="89">
        <v>-121.70558</v>
      </c>
      <c r="F135" s="27" t="s">
        <v>7005</v>
      </c>
      <c r="G135" s="27" t="s">
        <v>90</v>
      </c>
      <c r="H135" s="27" t="s">
        <v>91</v>
      </c>
      <c r="I135" s="84">
        <v>0.40347222222222223</v>
      </c>
      <c r="J135" s="82">
        <v>147.83333333333334</v>
      </c>
      <c r="K135" s="82">
        <v>9</v>
      </c>
      <c r="L135" s="82">
        <v>9.5333333333333332</v>
      </c>
      <c r="M135" s="82">
        <v>1.3399999999999999</v>
      </c>
      <c r="N135" s="4">
        <v>9.0333333333333332</v>
      </c>
      <c r="O135" s="27" t="s">
        <v>48</v>
      </c>
      <c r="P135" s="27">
        <v>3</v>
      </c>
      <c r="Q135" s="27">
        <v>5</v>
      </c>
      <c r="R135" s="27" t="s">
        <v>64</v>
      </c>
      <c r="S135" s="27" t="s">
        <v>50</v>
      </c>
      <c r="T135" s="27" t="s">
        <v>50</v>
      </c>
      <c r="U135" s="27" t="s">
        <v>50</v>
      </c>
      <c r="V135" s="27" t="s">
        <v>50</v>
      </c>
      <c r="W135" s="27" t="s">
        <v>50</v>
      </c>
      <c r="X135" s="27" t="s">
        <v>50</v>
      </c>
      <c r="Y135" s="35" t="s">
        <v>7006</v>
      </c>
    </row>
    <row r="136" spans="1:25" s="27" customFormat="1" x14ac:dyDescent="0.25">
      <c r="A136" s="26">
        <v>43098</v>
      </c>
      <c r="B136" s="27" t="s">
        <v>125</v>
      </c>
      <c r="C136" s="27" t="s">
        <v>44</v>
      </c>
      <c r="D136" s="89">
        <v>38.032499999999999</v>
      </c>
      <c r="E136" s="89">
        <v>-121.49196000000001</v>
      </c>
      <c r="F136" s="27" t="s">
        <v>7007</v>
      </c>
      <c r="G136" s="27" t="s">
        <v>46</v>
      </c>
      <c r="H136" s="27" t="s">
        <v>6840</v>
      </c>
      <c r="I136" s="84">
        <v>0.37638888888888888</v>
      </c>
      <c r="J136" s="82">
        <v>238.36666666666667</v>
      </c>
      <c r="K136" s="82">
        <v>9.0666666666666682</v>
      </c>
      <c r="L136" s="82">
        <v>6.7433333333333323</v>
      </c>
      <c r="M136" s="82">
        <v>1.7083333333333333</v>
      </c>
      <c r="N136" s="4">
        <v>5.9833333333333343</v>
      </c>
      <c r="O136" s="27" t="s">
        <v>48</v>
      </c>
      <c r="P136" s="27">
        <v>6</v>
      </c>
      <c r="Q136" s="27">
        <v>10</v>
      </c>
      <c r="R136" s="27" t="s">
        <v>49</v>
      </c>
      <c r="S136" s="27" t="s">
        <v>50</v>
      </c>
      <c r="T136" s="27" t="s">
        <v>50</v>
      </c>
      <c r="U136" s="27" t="s">
        <v>50</v>
      </c>
      <c r="V136" s="27" t="s">
        <v>50</v>
      </c>
      <c r="W136" s="27" t="s">
        <v>50</v>
      </c>
      <c r="X136" s="27" t="s">
        <v>50</v>
      </c>
      <c r="Y136" s="35"/>
    </row>
    <row r="137" spans="1:25" s="149" customFormat="1" x14ac:dyDescent="0.25">
      <c r="A137" s="178">
        <v>43098</v>
      </c>
      <c r="B137" s="149" t="s">
        <v>125</v>
      </c>
      <c r="C137" s="149" t="s">
        <v>44</v>
      </c>
      <c r="D137" s="196">
        <v>37.980269999999997</v>
      </c>
      <c r="E137" s="150">
        <v>-121.62223</v>
      </c>
      <c r="F137" s="149" t="s">
        <v>7008</v>
      </c>
      <c r="G137" s="149" t="s">
        <v>46</v>
      </c>
      <c r="H137" s="149" t="s">
        <v>47</v>
      </c>
      <c r="I137" s="151">
        <v>0.33888888888888885</v>
      </c>
      <c r="J137" s="197" t="s">
        <v>50</v>
      </c>
      <c r="K137" s="197" t="s">
        <v>50</v>
      </c>
      <c r="L137" s="197" t="s">
        <v>50</v>
      </c>
      <c r="M137" s="197" t="s">
        <v>50</v>
      </c>
      <c r="N137" s="197" t="s">
        <v>50</v>
      </c>
      <c r="O137" s="149" t="s">
        <v>48</v>
      </c>
      <c r="P137" s="149">
        <v>0</v>
      </c>
      <c r="Q137" s="149" t="s">
        <v>50</v>
      </c>
      <c r="R137" s="149" t="s">
        <v>50</v>
      </c>
      <c r="S137" s="149" t="s">
        <v>50</v>
      </c>
      <c r="T137" s="149" t="s">
        <v>50</v>
      </c>
      <c r="U137" s="149" t="s">
        <v>50</v>
      </c>
      <c r="V137" s="149" t="s">
        <v>50</v>
      </c>
      <c r="W137" s="149" t="s">
        <v>50</v>
      </c>
      <c r="X137" s="149" t="s">
        <v>50</v>
      </c>
      <c r="Y137" s="152" t="s">
        <v>3217</v>
      </c>
    </row>
    <row r="138" spans="1:25" s="168" customFormat="1" ht="15.75" thickBot="1" x14ac:dyDescent="0.3">
      <c r="A138" s="191">
        <v>43098</v>
      </c>
      <c r="B138" s="168" t="s">
        <v>125</v>
      </c>
      <c r="C138" s="168" t="s">
        <v>44</v>
      </c>
      <c r="D138" s="169">
        <v>38.04766</v>
      </c>
      <c r="E138" s="169">
        <v>-121.60299000000001</v>
      </c>
      <c r="F138" s="168" t="s">
        <v>7009</v>
      </c>
      <c r="G138" s="168" t="s">
        <v>46</v>
      </c>
      <c r="H138" s="168" t="s">
        <v>47</v>
      </c>
      <c r="I138" s="192">
        <v>0.30624999999999997</v>
      </c>
      <c r="J138" s="193">
        <v>427</v>
      </c>
      <c r="K138" s="193">
        <v>9.1</v>
      </c>
      <c r="L138" s="193">
        <v>16.8</v>
      </c>
      <c r="M138" s="193">
        <v>0.65</v>
      </c>
      <c r="N138" s="193">
        <v>2.1</v>
      </c>
      <c r="O138" s="168" t="s">
        <v>48</v>
      </c>
      <c r="P138" s="168">
        <v>1</v>
      </c>
      <c r="Q138" s="168">
        <v>10</v>
      </c>
      <c r="R138" s="168" t="s">
        <v>64</v>
      </c>
      <c r="S138" s="168" t="s">
        <v>50</v>
      </c>
      <c r="T138" s="168" t="s">
        <v>50</v>
      </c>
      <c r="U138" s="168" t="s">
        <v>50</v>
      </c>
      <c r="V138" s="168" t="s">
        <v>50</v>
      </c>
      <c r="W138" s="168" t="s">
        <v>50</v>
      </c>
      <c r="X138" s="168" t="s">
        <v>50</v>
      </c>
      <c r="Y138" s="174" t="s">
        <v>7010</v>
      </c>
    </row>
    <row r="139" spans="1:25" s="27" customFormat="1" ht="15.75" thickTop="1" x14ac:dyDescent="0.25">
      <c r="A139" s="26">
        <v>43102</v>
      </c>
      <c r="B139" s="27" t="s">
        <v>70</v>
      </c>
      <c r="C139" s="27" t="s">
        <v>845</v>
      </c>
      <c r="D139" s="89">
        <v>38.283349999999999</v>
      </c>
      <c r="E139" s="89">
        <v>-121.66481</v>
      </c>
      <c r="F139" s="27" t="s">
        <v>7011</v>
      </c>
      <c r="G139" s="27" t="s">
        <v>90</v>
      </c>
      <c r="H139" s="27" t="s">
        <v>126</v>
      </c>
      <c r="I139" s="84">
        <v>0.32083333333333336</v>
      </c>
      <c r="J139" s="82">
        <v>140.1</v>
      </c>
      <c r="K139" s="82">
        <v>9</v>
      </c>
      <c r="L139" s="82">
        <v>4.7919999999999998</v>
      </c>
      <c r="M139" s="82">
        <v>1.6279999999999999</v>
      </c>
      <c r="N139" s="4">
        <v>7.34</v>
      </c>
      <c r="O139" s="27" t="s">
        <v>48</v>
      </c>
      <c r="P139" s="27">
        <v>5</v>
      </c>
      <c r="Q139" s="27">
        <v>5</v>
      </c>
      <c r="R139" s="27" t="s">
        <v>49</v>
      </c>
      <c r="S139" s="27" t="s">
        <v>50</v>
      </c>
      <c r="T139" s="27" t="s">
        <v>50</v>
      </c>
      <c r="U139" s="27" t="s">
        <v>50</v>
      </c>
      <c r="V139" s="27" t="s">
        <v>50</v>
      </c>
      <c r="W139" s="27" t="s">
        <v>50</v>
      </c>
      <c r="X139" s="27" t="s">
        <v>50</v>
      </c>
      <c r="Y139" s="35"/>
    </row>
    <row r="140" spans="1:25" s="27" customFormat="1" x14ac:dyDescent="0.25">
      <c r="A140" s="26">
        <v>43102</v>
      </c>
      <c r="B140" s="27" t="s">
        <v>70</v>
      </c>
      <c r="C140" s="27" t="s">
        <v>845</v>
      </c>
      <c r="D140" s="89">
        <v>38.284269999999999</v>
      </c>
      <c r="E140" s="89">
        <v>-121.71777</v>
      </c>
      <c r="F140" s="27" t="s">
        <v>7012</v>
      </c>
      <c r="G140" s="27" t="s">
        <v>90</v>
      </c>
      <c r="H140" s="27" t="s">
        <v>126</v>
      </c>
      <c r="I140" s="84">
        <v>0.37361111111111112</v>
      </c>
      <c r="J140" s="82">
        <v>264.5</v>
      </c>
      <c r="K140" s="82">
        <v>8.5</v>
      </c>
      <c r="L140" s="82">
        <v>3.2320000000000002</v>
      </c>
      <c r="M140" s="82">
        <v>1.8</v>
      </c>
      <c r="N140" s="4">
        <v>2.92</v>
      </c>
      <c r="O140" s="27" t="s">
        <v>48</v>
      </c>
      <c r="P140" s="27">
        <v>5</v>
      </c>
      <c r="Q140" s="27">
        <v>5</v>
      </c>
      <c r="R140" s="27" t="s">
        <v>49</v>
      </c>
      <c r="S140" s="27" t="s">
        <v>50</v>
      </c>
      <c r="T140" s="27" t="s">
        <v>50</v>
      </c>
      <c r="U140" s="27" t="s">
        <v>50</v>
      </c>
      <c r="V140" s="27" t="s">
        <v>50</v>
      </c>
      <c r="W140" s="27" t="s">
        <v>50</v>
      </c>
      <c r="X140" s="27" t="s">
        <v>50</v>
      </c>
      <c r="Y140" s="35"/>
    </row>
    <row r="141" spans="1:25" s="27" customFormat="1" x14ac:dyDescent="0.25">
      <c r="A141" s="26">
        <v>43102</v>
      </c>
      <c r="B141" s="27" t="s">
        <v>70</v>
      </c>
      <c r="C141" s="27" t="s">
        <v>845</v>
      </c>
      <c r="D141" s="89">
        <v>38.247819999999997</v>
      </c>
      <c r="E141" s="89">
        <v>-121.71078</v>
      </c>
      <c r="F141" s="27" t="s">
        <v>7013</v>
      </c>
      <c r="G141" s="27" t="s">
        <v>90</v>
      </c>
      <c r="H141" s="27" t="s">
        <v>126</v>
      </c>
      <c r="I141" s="84">
        <v>0.42430555555555555</v>
      </c>
      <c r="J141" s="82">
        <v>134.46</v>
      </c>
      <c r="K141" s="82">
        <v>8.92</v>
      </c>
      <c r="L141" s="82">
        <v>4.3179999999999996</v>
      </c>
      <c r="M141" s="82">
        <v>1.8</v>
      </c>
      <c r="N141" s="4">
        <v>3.88</v>
      </c>
      <c r="O141" s="27" t="s">
        <v>48</v>
      </c>
      <c r="P141" s="27">
        <v>5</v>
      </c>
      <c r="Q141" s="27">
        <v>5</v>
      </c>
      <c r="R141" s="27" t="s">
        <v>49</v>
      </c>
      <c r="S141" s="27" t="s">
        <v>50</v>
      </c>
      <c r="T141" s="27" t="s">
        <v>50</v>
      </c>
      <c r="U141" s="27" t="s">
        <v>50</v>
      </c>
      <c r="V141" s="27" t="s">
        <v>50</v>
      </c>
      <c r="W141" s="27" t="s">
        <v>50</v>
      </c>
      <c r="X141" s="27" t="s">
        <v>50</v>
      </c>
      <c r="Y141" s="35"/>
    </row>
    <row r="142" spans="1:25" s="27" customFormat="1" x14ac:dyDescent="0.25">
      <c r="A142" s="26">
        <v>43102</v>
      </c>
      <c r="B142" s="27" t="s">
        <v>70</v>
      </c>
      <c r="C142" s="27" t="s">
        <v>845</v>
      </c>
      <c r="D142" s="89">
        <v>38.237189999999998</v>
      </c>
      <c r="E142" s="89">
        <v>-121.6844</v>
      </c>
      <c r="F142" s="27" t="s">
        <v>7014</v>
      </c>
      <c r="G142" s="27" t="s">
        <v>90</v>
      </c>
      <c r="H142" s="27" t="s">
        <v>126</v>
      </c>
      <c r="I142" s="84">
        <v>0.49374999999999997</v>
      </c>
      <c r="J142" s="82">
        <v>128.97999999999999</v>
      </c>
      <c r="K142" s="82">
        <v>9.2799999999999994</v>
      </c>
      <c r="L142" s="82">
        <v>7.6959999999999997</v>
      </c>
      <c r="M142" s="82">
        <v>1.6020000000000001</v>
      </c>
      <c r="N142" s="4">
        <v>18.32</v>
      </c>
      <c r="O142" s="27" t="s">
        <v>48</v>
      </c>
      <c r="P142" s="27">
        <v>5</v>
      </c>
      <c r="Q142" s="27">
        <v>5</v>
      </c>
      <c r="R142" s="27" t="s">
        <v>64</v>
      </c>
      <c r="S142" s="27" t="s">
        <v>50</v>
      </c>
      <c r="T142" s="27" t="s">
        <v>50</v>
      </c>
      <c r="U142" s="27" t="s">
        <v>50</v>
      </c>
      <c r="V142" s="27" t="s">
        <v>50</v>
      </c>
      <c r="W142" s="27" t="s">
        <v>50</v>
      </c>
      <c r="X142" s="27" t="s">
        <v>50</v>
      </c>
      <c r="Y142" s="35"/>
    </row>
    <row r="143" spans="1:25" s="149" customFormat="1" x14ac:dyDescent="0.25">
      <c r="A143" s="178">
        <v>43102</v>
      </c>
      <c r="B143" s="149" t="s">
        <v>70</v>
      </c>
      <c r="C143" s="149" t="s">
        <v>78</v>
      </c>
      <c r="D143" s="150">
        <v>38.08155</v>
      </c>
      <c r="E143" s="150">
        <v>-122.09208</v>
      </c>
      <c r="F143" s="149" t="s">
        <v>7015</v>
      </c>
      <c r="G143" s="149" t="s">
        <v>80</v>
      </c>
      <c r="H143" s="149" t="s">
        <v>81</v>
      </c>
      <c r="I143" s="151">
        <v>0.34236111111111112</v>
      </c>
      <c r="J143" s="197" t="s">
        <v>50</v>
      </c>
      <c r="K143" s="197" t="s">
        <v>50</v>
      </c>
      <c r="L143" s="197" t="s">
        <v>50</v>
      </c>
      <c r="M143" s="197" t="s">
        <v>50</v>
      </c>
      <c r="N143" s="197" t="s">
        <v>50</v>
      </c>
      <c r="O143" s="149" t="s">
        <v>48</v>
      </c>
      <c r="P143" s="149">
        <v>0</v>
      </c>
      <c r="Q143" s="149" t="s">
        <v>50</v>
      </c>
      <c r="R143" s="149" t="s">
        <v>50</v>
      </c>
      <c r="S143" s="149" t="s">
        <v>50</v>
      </c>
      <c r="T143" s="149" t="s">
        <v>50</v>
      </c>
      <c r="U143" s="149" t="s">
        <v>50</v>
      </c>
      <c r="V143" s="149" t="s">
        <v>50</v>
      </c>
      <c r="W143" s="149" t="s">
        <v>50</v>
      </c>
      <c r="X143" s="149" t="s">
        <v>50</v>
      </c>
      <c r="Y143" s="152" t="s">
        <v>7016</v>
      </c>
    </row>
    <row r="144" spans="1:25" s="27" customFormat="1" x14ac:dyDescent="0.25">
      <c r="A144" s="26">
        <v>43102</v>
      </c>
      <c r="B144" s="27" t="s">
        <v>70</v>
      </c>
      <c r="C144" s="27" t="s">
        <v>78</v>
      </c>
      <c r="D144" s="89">
        <v>38.060110000000002</v>
      </c>
      <c r="E144" s="89">
        <v>-122.02970999999999</v>
      </c>
      <c r="F144" s="27" t="s">
        <v>7017</v>
      </c>
      <c r="G144" s="27" t="s">
        <v>27</v>
      </c>
      <c r="H144" s="27" t="s">
        <v>86</v>
      </c>
      <c r="I144" s="84">
        <v>0.35694444444444445</v>
      </c>
      <c r="J144" s="82">
        <v>11025.8</v>
      </c>
      <c r="K144" s="82">
        <v>9.6999999999999993</v>
      </c>
      <c r="L144" s="82">
        <v>12.52</v>
      </c>
      <c r="M144" s="82">
        <v>0.67800000000000005</v>
      </c>
      <c r="N144" s="4">
        <v>11.68</v>
      </c>
      <c r="O144" s="27" t="s">
        <v>48</v>
      </c>
      <c r="P144" s="27">
        <v>5</v>
      </c>
      <c r="Q144" s="27">
        <v>5</v>
      </c>
      <c r="R144" s="27" t="s">
        <v>49</v>
      </c>
      <c r="S144" s="27" t="s">
        <v>50</v>
      </c>
      <c r="T144" s="27" t="s">
        <v>50</v>
      </c>
      <c r="U144" s="27" t="s">
        <v>50</v>
      </c>
      <c r="V144" s="27" t="s">
        <v>50</v>
      </c>
      <c r="W144" s="27" t="s">
        <v>50</v>
      </c>
      <c r="X144" s="27" t="s">
        <v>50</v>
      </c>
      <c r="Y144" s="35"/>
    </row>
    <row r="145" spans="1:25" s="27" customFormat="1" x14ac:dyDescent="0.25">
      <c r="A145" s="26">
        <v>43102</v>
      </c>
      <c r="B145" s="27" t="s">
        <v>70</v>
      </c>
      <c r="C145" s="27" t="s">
        <v>78</v>
      </c>
      <c r="D145" s="89">
        <v>38.025840000000002</v>
      </c>
      <c r="E145" s="89">
        <v>-121.82201000000001</v>
      </c>
      <c r="F145" s="27" t="s">
        <v>7018</v>
      </c>
      <c r="G145" s="27" t="s">
        <v>27</v>
      </c>
      <c r="H145" s="27" t="s">
        <v>101</v>
      </c>
      <c r="I145" s="84">
        <v>0.41319444444444442</v>
      </c>
      <c r="J145" s="82">
        <v>2300.1999999999998</v>
      </c>
      <c r="K145" s="82">
        <v>9.4</v>
      </c>
      <c r="L145" s="82">
        <v>12.38</v>
      </c>
      <c r="M145" s="82">
        <v>0.78800000000000003</v>
      </c>
      <c r="N145" s="4">
        <v>8.8800000000000008</v>
      </c>
      <c r="O145" s="27" t="s">
        <v>48</v>
      </c>
      <c r="P145" s="27">
        <v>5</v>
      </c>
      <c r="Q145" s="27">
        <v>5</v>
      </c>
      <c r="R145" s="27" t="s">
        <v>49</v>
      </c>
      <c r="S145" s="27" t="s">
        <v>50</v>
      </c>
      <c r="T145" s="27" t="s">
        <v>50</v>
      </c>
      <c r="U145" s="27" t="s">
        <v>50</v>
      </c>
      <c r="V145" s="27" t="s">
        <v>50</v>
      </c>
      <c r="W145" s="27" t="s">
        <v>50</v>
      </c>
      <c r="X145" s="27" t="s">
        <v>50</v>
      </c>
      <c r="Y145" s="35"/>
    </row>
    <row r="146" spans="1:25" s="27" customFormat="1" x14ac:dyDescent="0.25">
      <c r="A146" s="26">
        <v>43102</v>
      </c>
      <c r="B146" s="27" t="s">
        <v>70</v>
      </c>
      <c r="C146" s="27" t="s">
        <v>78</v>
      </c>
      <c r="D146" s="89">
        <v>38.026510000000002</v>
      </c>
      <c r="E146" s="89">
        <v>-121.83280000000001</v>
      </c>
      <c r="F146" s="27" t="s">
        <v>7019</v>
      </c>
      <c r="G146" s="27" t="s">
        <v>27</v>
      </c>
      <c r="H146" s="27" t="s">
        <v>101</v>
      </c>
      <c r="I146" s="84">
        <v>0.45208333333333334</v>
      </c>
      <c r="J146" s="82">
        <v>3257.4</v>
      </c>
      <c r="K146" s="82">
        <v>9.48</v>
      </c>
      <c r="L146" s="82">
        <v>16.399999999999999</v>
      </c>
      <c r="M146" s="82">
        <v>0.78600000000000003</v>
      </c>
      <c r="N146" s="4">
        <v>4.08</v>
      </c>
      <c r="O146" s="27" t="s">
        <v>48</v>
      </c>
      <c r="P146" s="27">
        <v>5</v>
      </c>
      <c r="Q146" s="27">
        <v>5</v>
      </c>
      <c r="R146" s="27" t="s">
        <v>64</v>
      </c>
      <c r="S146" s="27" t="s">
        <v>50</v>
      </c>
      <c r="T146" s="27" t="s">
        <v>50</v>
      </c>
      <c r="U146" s="27" t="s">
        <v>50</v>
      </c>
      <c r="V146" s="27" t="s">
        <v>50</v>
      </c>
      <c r="W146" s="27" t="s">
        <v>50</v>
      </c>
      <c r="X146" s="27" t="s">
        <v>50</v>
      </c>
      <c r="Y146" s="35"/>
    </row>
    <row r="147" spans="1:25" s="27" customFormat="1" x14ac:dyDescent="0.25">
      <c r="A147" s="26">
        <v>43102</v>
      </c>
      <c r="B147" s="27" t="s">
        <v>70</v>
      </c>
      <c r="C147" s="27" t="s">
        <v>6879</v>
      </c>
      <c r="D147" s="89">
        <v>38.045499999999997</v>
      </c>
      <c r="E147" s="89">
        <v>-121.44692999999999</v>
      </c>
      <c r="F147" s="27" t="s">
        <v>7020</v>
      </c>
      <c r="G147" s="27" t="s">
        <v>46</v>
      </c>
      <c r="H147" s="27" t="s">
        <v>6883</v>
      </c>
      <c r="I147" s="84">
        <v>0.32430555555555557</v>
      </c>
      <c r="J147" s="82">
        <v>180.25</v>
      </c>
      <c r="K147" s="82">
        <v>9</v>
      </c>
      <c r="L147" s="82">
        <v>3.79</v>
      </c>
      <c r="M147" s="82">
        <v>1.8</v>
      </c>
      <c r="N147" s="4">
        <v>6.23</v>
      </c>
      <c r="O147" s="27" t="s">
        <v>48</v>
      </c>
      <c r="P147" s="27">
        <v>6</v>
      </c>
      <c r="Q147" s="27">
        <v>10</v>
      </c>
      <c r="R147" s="27" t="s">
        <v>49</v>
      </c>
      <c r="S147" s="27" t="s">
        <v>50</v>
      </c>
      <c r="T147" s="27" t="s">
        <v>50</v>
      </c>
      <c r="U147" s="27" t="s">
        <v>50</v>
      </c>
      <c r="V147" s="27" t="s">
        <v>50</v>
      </c>
      <c r="W147" s="27" t="s">
        <v>50</v>
      </c>
      <c r="X147" s="27" t="s">
        <v>50</v>
      </c>
      <c r="Y147" s="35"/>
    </row>
    <row r="148" spans="1:25" s="27" customFormat="1" x14ac:dyDescent="0.25">
      <c r="A148" s="26">
        <v>43102</v>
      </c>
      <c r="B148" s="27" t="s">
        <v>70</v>
      </c>
      <c r="C148" s="27" t="s">
        <v>6879</v>
      </c>
      <c r="D148" s="89">
        <v>38.07206</v>
      </c>
      <c r="E148" s="89">
        <v>-121.46514999999999</v>
      </c>
      <c r="F148" s="27" t="s">
        <v>7021</v>
      </c>
      <c r="G148" s="27" t="s">
        <v>46</v>
      </c>
      <c r="H148" s="27" t="s">
        <v>6883</v>
      </c>
      <c r="I148" s="84">
        <v>0.4201388888888889</v>
      </c>
      <c r="J148" s="82">
        <v>148.30000000000001</v>
      </c>
      <c r="K148" s="82">
        <v>9.0500000000000007</v>
      </c>
      <c r="L148" s="82">
        <v>4.1020000000000003</v>
      </c>
      <c r="M148" s="82">
        <v>1.8</v>
      </c>
      <c r="N148" s="4">
        <v>4.7300000000000004</v>
      </c>
      <c r="O148" s="27" t="s">
        <v>48</v>
      </c>
      <c r="P148" s="27">
        <v>6</v>
      </c>
      <c r="Q148" s="27">
        <v>10</v>
      </c>
      <c r="R148" s="27" t="s">
        <v>49</v>
      </c>
      <c r="S148" s="27" t="s">
        <v>50</v>
      </c>
      <c r="T148" s="27" t="s">
        <v>50</v>
      </c>
      <c r="U148" s="27" t="s">
        <v>50</v>
      </c>
      <c r="V148" s="27" t="s">
        <v>50</v>
      </c>
      <c r="W148" s="27" t="s">
        <v>50</v>
      </c>
      <c r="X148" s="27" t="s">
        <v>50</v>
      </c>
      <c r="Y148" s="35" t="s">
        <v>7022</v>
      </c>
    </row>
    <row r="149" spans="1:25" s="27" customFormat="1" x14ac:dyDescent="0.25">
      <c r="A149" s="26">
        <v>43103</v>
      </c>
      <c r="B149" s="27" t="s">
        <v>87</v>
      </c>
      <c r="C149" s="27" t="s">
        <v>44</v>
      </c>
      <c r="D149" s="89">
        <v>37.98545</v>
      </c>
      <c r="E149" s="89">
        <v>-121.58078999999999</v>
      </c>
      <c r="F149" s="27" t="s">
        <v>7023</v>
      </c>
      <c r="G149" s="27" t="s">
        <v>46</v>
      </c>
      <c r="H149" s="27" t="s">
        <v>74</v>
      </c>
      <c r="I149" s="84">
        <v>0.3215277777777778</v>
      </c>
      <c r="J149" s="82">
        <v>401.13333333333338</v>
      </c>
      <c r="K149" s="82">
        <v>9.2999999999999989</v>
      </c>
      <c r="L149" s="82">
        <v>6.68</v>
      </c>
      <c r="M149" s="82">
        <v>1.4483333333333333</v>
      </c>
      <c r="N149" s="4">
        <v>6.0666666666666664</v>
      </c>
      <c r="O149" s="27" t="s">
        <v>48</v>
      </c>
      <c r="P149" s="27">
        <v>6</v>
      </c>
      <c r="Q149" s="27">
        <v>10</v>
      </c>
      <c r="R149" s="27" t="s">
        <v>49</v>
      </c>
      <c r="S149" s="27" t="s">
        <v>50</v>
      </c>
      <c r="T149" s="27" t="s">
        <v>50</v>
      </c>
      <c r="U149" s="27" t="s">
        <v>50</v>
      </c>
      <c r="V149" s="27" t="s">
        <v>50</v>
      </c>
      <c r="W149" s="27" t="s">
        <v>50</v>
      </c>
      <c r="X149" s="27" t="s">
        <v>50</v>
      </c>
      <c r="Y149" s="35"/>
    </row>
    <row r="150" spans="1:25" s="27" customFormat="1" x14ac:dyDescent="0.25">
      <c r="A150" s="26">
        <v>43103</v>
      </c>
      <c r="B150" s="27" t="s">
        <v>87</v>
      </c>
      <c r="C150" s="27" t="s">
        <v>44</v>
      </c>
      <c r="D150" s="89">
        <v>37.990389999999998</v>
      </c>
      <c r="E150" s="89">
        <v>-121.52822999999999</v>
      </c>
      <c r="F150" s="27" t="s">
        <v>7024</v>
      </c>
      <c r="G150" s="27" t="s">
        <v>46</v>
      </c>
      <c r="H150" s="27" t="s">
        <v>6939</v>
      </c>
      <c r="I150" s="84">
        <v>0.40277777777777773</v>
      </c>
      <c r="J150" s="82">
        <v>319.7</v>
      </c>
      <c r="K150" s="82">
        <v>9.4</v>
      </c>
      <c r="L150" s="82">
        <v>5.3150000000000004</v>
      </c>
      <c r="M150" s="82">
        <v>1.8</v>
      </c>
      <c r="N150" s="4">
        <v>5.4666666666666677</v>
      </c>
      <c r="O150" s="27" t="s">
        <v>48</v>
      </c>
      <c r="P150" s="27">
        <v>6</v>
      </c>
      <c r="Q150" s="27">
        <v>10</v>
      </c>
      <c r="R150" s="27" t="s">
        <v>49</v>
      </c>
      <c r="S150" s="27" t="s">
        <v>50</v>
      </c>
      <c r="T150" s="27" t="s">
        <v>50</v>
      </c>
      <c r="U150" s="27" t="s">
        <v>50</v>
      </c>
      <c r="V150" s="27" t="s">
        <v>50</v>
      </c>
      <c r="W150" s="27" t="s">
        <v>50</v>
      </c>
      <c r="X150" s="27" t="s">
        <v>50</v>
      </c>
      <c r="Y150" s="35" t="s">
        <v>7025</v>
      </c>
    </row>
    <row r="151" spans="1:25" s="27" customFormat="1" x14ac:dyDescent="0.25">
      <c r="A151" s="26">
        <v>43103</v>
      </c>
      <c r="B151" s="27" t="s">
        <v>87</v>
      </c>
      <c r="C151" s="27" t="s">
        <v>78</v>
      </c>
      <c r="D151" s="89">
        <v>38.054560000000002</v>
      </c>
      <c r="E151" s="89">
        <v>-122.08602</v>
      </c>
      <c r="F151" s="27" t="s">
        <v>7026</v>
      </c>
      <c r="G151" s="27" t="s">
        <v>80</v>
      </c>
      <c r="H151" s="27" t="s">
        <v>81</v>
      </c>
      <c r="I151" s="84">
        <v>0.34583333333333338</v>
      </c>
      <c r="J151" s="82">
        <v>14463.2</v>
      </c>
      <c r="K151" s="82">
        <v>10</v>
      </c>
      <c r="L151" s="82">
        <v>20.219999999999995</v>
      </c>
      <c r="M151" s="82">
        <v>0.59000000000000008</v>
      </c>
      <c r="N151" s="4">
        <v>8.2799999999999994</v>
      </c>
      <c r="O151" s="27" t="s">
        <v>48</v>
      </c>
      <c r="P151" s="27">
        <v>5</v>
      </c>
      <c r="Q151" s="27">
        <v>5</v>
      </c>
      <c r="R151" s="27" t="s">
        <v>49</v>
      </c>
      <c r="S151" s="27" t="s">
        <v>50</v>
      </c>
      <c r="T151" s="27" t="s">
        <v>50</v>
      </c>
      <c r="U151" s="27" t="s">
        <v>50</v>
      </c>
      <c r="V151" s="27" t="s">
        <v>50</v>
      </c>
      <c r="W151" s="27" t="s">
        <v>50</v>
      </c>
      <c r="X151" s="27" t="s">
        <v>50</v>
      </c>
      <c r="Y151" s="35"/>
    </row>
    <row r="152" spans="1:25" s="27" customFormat="1" x14ac:dyDescent="0.25">
      <c r="A152" s="26">
        <v>43103</v>
      </c>
      <c r="B152" s="27" t="s">
        <v>87</v>
      </c>
      <c r="C152" s="27" t="s">
        <v>78</v>
      </c>
      <c r="D152" s="89">
        <v>38.09892</v>
      </c>
      <c r="E152" s="89">
        <v>-122.0304</v>
      </c>
      <c r="F152" s="27" t="s">
        <v>7027</v>
      </c>
      <c r="G152" s="27" t="s">
        <v>27</v>
      </c>
      <c r="H152" s="27" t="s">
        <v>86</v>
      </c>
      <c r="I152" s="84">
        <v>0.39652777777777781</v>
      </c>
      <c r="J152" s="82">
        <v>12242.4</v>
      </c>
      <c r="K152" s="82">
        <v>9.86</v>
      </c>
      <c r="L152" s="82">
        <v>27.640000000000004</v>
      </c>
      <c r="M152" s="82">
        <v>0.53400000000000003</v>
      </c>
      <c r="N152" s="4">
        <v>7.12</v>
      </c>
      <c r="O152" s="27" t="s">
        <v>48</v>
      </c>
      <c r="P152" s="27">
        <v>5</v>
      </c>
      <c r="Q152" s="27">
        <v>5</v>
      </c>
      <c r="R152" s="27" t="s">
        <v>49</v>
      </c>
      <c r="S152" s="27" t="s">
        <v>50</v>
      </c>
      <c r="T152" s="27" t="s">
        <v>50</v>
      </c>
      <c r="U152" s="27" t="s">
        <v>50</v>
      </c>
      <c r="V152" s="27" t="s">
        <v>50</v>
      </c>
      <c r="W152" s="27" t="s">
        <v>50</v>
      </c>
      <c r="X152" s="27" t="s">
        <v>50</v>
      </c>
      <c r="Y152" s="35"/>
    </row>
    <row r="153" spans="1:25" s="27" customFormat="1" x14ac:dyDescent="0.25">
      <c r="A153" s="26">
        <v>43103</v>
      </c>
      <c r="B153" s="27" t="s">
        <v>87</v>
      </c>
      <c r="C153" s="27" t="s">
        <v>78</v>
      </c>
      <c r="D153" s="89">
        <v>38.059060000000002</v>
      </c>
      <c r="E153" s="89">
        <v>-121.98021</v>
      </c>
      <c r="F153" s="27" t="s">
        <v>7028</v>
      </c>
      <c r="G153" s="27" t="s">
        <v>27</v>
      </c>
      <c r="H153" s="27" t="s">
        <v>86</v>
      </c>
      <c r="I153" s="84">
        <v>0.44166666666666665</v>
      </c>
      <c r="J153" s="82">
        <v>7894</v>
      </c>
      <c r="K153" s="82">
        <v>9.6999999999999993</v>
      </c>
      <c r="L153" s="82">
        <v>19.119999999999997</v>
      </c>
      <c r="M153" s="82">
        <v>0.72799999999999998</v>
      </c>
      <c r="N153" s="4">
        <v>12.280000000000001</v>
      </c>
      <c r="O153" s="27" t="s">
        <v>48</v>
      </c>
      <c r="P153" s="27">
        <v>5</v>
      </c>
      <c r="Q153" s="27">
        <v>5</v>
      </c>
      <c r="R153" s="27" t="s">
        <v>49</v>
      </c>
      <c r="S153" s="27" t="s">
        <v>50</v>
      </c>
      <c r="T153" s="27" t="s">
        <v>50</v>
      </c>
      <c r="U153" s="27" t="s">
        <v>50</v>
      </c>
      <c r="V153" s="27" t="s">
        <v>50</v>
      </c>
      <c r="W153" s="27" t="s">
        <v>50</v>
      </c>
      <c r="X153" s="27" t="s">
        <v>50</v>
      </c>
      <c r="Y153" s="35"/>
    </row>
    <row r="154" spans="1:25" s="27" customFormat="1" x14ac:dyDescent="0.25">
      <c r="A154" s="26">
        <v>43103</v>
      </c>
      <c r="B154" s="27" t="s">
        <v>87</v>
      </c>
      <c r="C154" s="27" t="s">
        <v>6849</v>
      </c>
      <c r="D154" s="89">
        <v>38.482149999999997</v>
      </c>
      <c r="E154" s="89">
        <v>-121.54786</v>
      </c>
      <c r="F154" s="27" t="s">
        <v>7029</v>
      </c>
      <c r="G154" s="27" t="s">
        <v>90</v>
      </c>
      <c r="H154" s="27" t="s">
        <v>6851</v>
      </c>
      <c r="I154" s="84">
        <v>0.38055555555555554</v>
      </c>
      <c r="J154" s="82">
        <v>101.71666666666665</v>
      </c>
      <c r="K154" s="82">
        <v>9.4833333333333325</v>
      </c>
      <c r="L154" s="82">
        <v>12.818333333333335</v>
      </c>
      <c r="M154" s="82">
        <v>1.0266666666666666</v>
      </c>
      <c r="N154" s="4">
        <v>4.4333333333333327</v>
      </c>
      <c r="O154" s="27" t="s">
        <v>48</v>
      </c>
      <c r="P154" s="27">
        <v>6</v>
      </c>
      <c r="Q154" s="27">
        <v>10</v>
      </c>
      <c r="R154" s="27" t="s">
        <v>49</v>
      </c>
      <c r="S154" s="27" t="s">
        <v>50</v>
      </c>
      <c r="T154" s="27" t="s">
        <v>50</v>
      </c>
      <c r="U154" s="27" t="s">
        <v>50</v>
      </c>
      <c r="V154" s="27" t="s">
        <v>50</v>
      </c>
      <c r="W154" s="27" t="s">
        <v>50</v>
      </c>
      <c r="X154" s="27" t="s">
        <v>50</v>
      </c>
      <c r="Y154" s="35" t="s">
        <v>7030</v>
      </c>
    </row>
    <row r="155" spans="1:25" s="27" customFormat="1" x14ac:dyDescent="0.25">
      <c r="A155" s="26">
        <v>43103</v>
      </c>
      <c r="B155" s="27" t="s">
        <v>87</v>
      </c>
      <c r="C155" s="27" t="s">
        <v>6849</v>
      </c>
      <c r="D155" s="89">
        <v>38.409829999999999</v>
      </c>
      <c r="E155" s="89">
        <v>-121.51775000000001</v>
      </c>
      <c r="F155" s="27" t="s">
        <v>7031</v>
      </c>
      <c r="G155" s="27" t="s">
        <v>90</v>
      </c>
      <c r="H155" s="27" t="s">
        <v>6851</v>
      </c>
      <c r="I155" s="84">
        <v>0.48194444444444445</v>
      </c>
      <c r="J155" s="82">
        <v>108.30000000000001</v>
      </c>
      <c r="K155" s="82">
        <v>9.6</v>
      </c>
      <c r="L155" s="82" t="s">
        <v>50</v>
      </c>
      <c r="M155" s="82">
        <v>1.0866666666666667</v>
      </c>
      <c r="N155" s="4">
        <v>5.1166666666666663</v>
      </c>
      <c r="O155" s="27" t="s">
        <v>48</v>
      </c>
      <c r="P155" s="27">
        <v>6</v>
      </c>
      <c r="Q155" s="27">
        <v>10</v>
      </c>
      <c r="R155" s="27" t="s">
        <v>49</v>
      </c>
      <c r="S155" s="27" t="s">
        <v>50</v>
      </c>
      <c r="T155" s="27" t="s">
        <v>50</v>
      </c>
      <c r="U155" s="27" t="s">
        <v>50</v>
      </c>
      <c r="V155" s="27" t="s">
        <v>50</v>
      </c>
      <c r="W155" s="27" t="s">
        <v>50</v>
      </c>
      <c r="X155" s="27" t="s">
        <v>50</v>
      </c>
      <c r="Y155" s="35" t="s">
        <v>766</v>
      </c>
    </row>
    <row r="156" spans="1:25" s="27" customFormat="1" x14ac:dyDescent="0.25">
      <c r="A156" s="26">
        <v>43104</v>
      </c>
      <c r="B156" s="27" t="s">
        <v>105</v>
      </c>
      <c r="C156" s="27" t="s">
        <v>95</v>
      </c>
      <c r="D156" s="89">
        <v>38.083860000000001</v>
      </c>
      <c r="E156" s="89">
        <v>-121.57344999999999</v>
      </c>
      <c r="F156" s="27" t="s">
        <v>7032</v>
      </c>
      <c r="G156" s="27" t="s">
        <v>46</v>
      </c>
      <c r="H156" s="27" t="s">
        <v>115</v>
      </c>
      <c r="I156" s="84">
        <v>0.3215277777777778</v>
      </c>
      <c r="J156" s="82">
        <v>324.56000000000006</v>
      </c>
      <c r="K156" s="82">
        <v>9.4599999999999991</v>
      </c>
      <c r="L156" s="82">
        <v>7.298</v>
      </c>
      <c r="M156" s="82">
        <v>1.238</v>
      </c>
      <c r="N156" s="4">
        <v>12.68</v>
      </c>
      <c r="O156" s="27" t="s">
        <v>48</v>
      </c>
      <c r="P156" s="27">
        <v>5</v>
      </c>
      <c r="Q156" s="27">
        <v>5</v>
      </c>
      <c r="R156" s="27" t="s">
        <v>64</v>
      </c>
      <c r="S156" s="27" t="s">
        <v>50</v>
      </c>
      <c r="T156" s="27" t="s">
        <v>50</v>
      </c>
      <c r="U156" s="27" t="s">
        <v>50</v>
      </c>
      <c r="V156" s="27" t="s">
        <v>50</v>
      </c>
      <c r="W156" s="27" t="s">
        <v>50</v>
      </c>
      <c r="X156" s="27" t="s">
        <v>50</v>
      </c>
      <c r="Y156" s="35"/>
    </row>
    <row r="157" spans="1:25" s="27" customFormat="1" x14ac:dyDescent="0.25">
      <c r="A157" s="26">
        <v>43104</v>
      </c>
      <c r="B157" s="27" t="s">
        <v>105</v>
      </c>
      <c r="C157" s="27" t="s">
        <v>95</v>
      </c>
      <c r="D157" s="89">
        <v>38.019150000000003</v>
      </c>
      <c r="E157" s="89">
        <v>-121.80868</v>
      </c>
      <c r="F157" s="27" t="s">
        <v>7033</v>
      </c>
      <c r="G157" s="27" t="s">
        <v>27</v>
      </c>
      <c r="H157" s="27" t="s">
        <v>863</v>
      </c>
      <c r="I157" s="84">
        <v>0.38125000000000003</v>
      </c>
      <c r="J157" s="82">
        <v>2687.2</v>
      </c>
      <c r="K157" s="82">
        <v>9.6</v>
      </c>
      <c r="L157" s="82">
        <v>10.88</v>
      </c>
      <c r="M157" s="82">
        <v>0.89800000000000002</v>
      </c>
      <c r="N157" s="4">
        <v>15.179999999999998</v>
      </c>
      <c r="O157" s="27" t="s">
        <v>48</v>
      </c>
      <c r="P157" s="27">
        <v>5</v>
      </c>
      <c r="Q157" s="27">
        <v>5</v>
      </c>
      <c r="R157" s="27" t="s">
        <v>49</v>
      </c>
      <c r="S157" s="27" t="s">
        <v>50</v>
      </c>
      <c r="T157" s="27" t="s">
        <v>50</v>
      </c>
      <c r="U157" s="27" t="s">
        <v>50</v>
      </c>
      <c r="V157" s="27" t="s">
        <v>50</v>
      </c>
      <c r="W157" s="27" t="s">
        <v>50</v>
      </c>
      <c r="X157" s="27" t="s">
        <v>50</v>
      </c>
      <c r="Y157" s="35"/>
    </row>
    <row r="158" spans="1:25" s="27" customFormat="1" x14ac:dyDescent="0.25">
      <c r="A158" s="26">
        <v>43104</v>
      </c>
      <c r="B158" s="27" t="s">
        <v>105</v>
      </c>
      <c r="C158" s="27" t="s">
        <v>95</v>
      </c>
      <c r="D158" s="89">
        <v>38.08325</v>
      </c>
      <c r="E158" s="89">
        <v>-121.68415</v>
      </c>
      <c r="F158" s="27" t="s">
        <v>7034</v>
      </c>
      <c r="G158" s="27" t="s">
        <v>46</v>
      </c>
      <c r="H158" s="27" t="s">
        <v>908</v>
      </c>
      <c r="I158" s="84">
        <v>0.4381944444444445</v>
      </c>
      <c r="J158" s="82">
        <v>648.20000000000005</v>
      </c>
      <c r="K158" s="82">
        <v>9.52</v>
      </c>
      <c r="L158" s="82">
        <v>9.7279999999999998</v>
      </c>
      <c r="M158" s="82">
        <v>1.1960000000000002</v>
      </c>
      <c r="N158" s="4">
        <v>5.5</v>
      </c>
      <c r="O158" s="27" t="s">
        <v>48</v>
      </c>
      <c r="P158" s="27">
        <v>5</v>
      </c>
      <c r="Q158" s="27">
        <v>5</v>
      </c>
      <c r="R158" s="27" t="s">
        <v>49</v>
      </c>
      <c r="S158" s="27" t="s">
        <v>50</v>
      </c>
      <c r="T158" s="27" t="s">
        <v>50</v>
      </c>
      <c r="U158" s="27" t="s">
        <v>50</v>
      </c>
      <c r="V158" s="27" t="s">
        <v>50</v>
      </c>
      <c r="W158" s="27" t="s">
        <v>50</v>
      </c>
      <c r="X158" s="27" t="s">
        <v>50</v>
      </c>
      <c r="Y158" s="35"/>
    </row>
    <row r="159" spans="1:25" s="27" customFormat="1" x14ac:dyDescent="0.25">
      <c r="A159" s="26">
        <v>43104</v>
      </c>
      <c r="B159" s="27" t="s">
        <v>105</v>
      </c>
      <c r="C159" s="27" t="s">
        <v>95</v>
      </c>
      <c r="D159" s="89">
        <v>38.08813</v>
      </c>
      <c r="E159" s="89">
        <v>-121.63169000000001</v>
      </c>
      <c r="F159" s="27" t="s">
        <v>7035</v>
      </c>
      <c r="G159" s="27" t="s">
        <v>46</v>
      </c>
      <c r="H159" s="27" t="s">
        <v>908</v>
      </c>
      <c r="I159" s="84">
        <v>0.48888888888888887</v>
      </c>
      <c r="J159" s="82">
        <v>398.62</v>
      </c>
      <c r="K159" s="82">
        <v>9.6</v>
      </c>
      <c r="L159" s="82">
        <v>7.4879999999999995</v>
      </c>
      <c r="M159" s="82">
        <v>1.3679999999999999</v>
      </c>
      <c r="N159" s="4">
        <v>8.18</v>
      </c>
      <c r="O159" s="27" t="s">
        <v>48</v>
      </c>
      <c r="P159" s="27">
        <v>5</v>
      </c>
      <c r="Q159" s="27">
        <v>5</v>
      </c>
      <c r="R159" s="27" t="s">
        <v>49</v>
      </c>
      <c r="S159" s="27" t="s">
        <v>50</v>
      </c>
      <c r="T159" s="27" t="s">
        <v>50</v>
      </c>
      <c r="U159" s="27" t="s">
        <v>50</v>
      </c>
      <c r="V159" s="27" t="s">
        <v>50</v>
      </c>
      <c r="W159" s="27" t="s">
        <v>50</v>
      </c>
      <c r="X159" s="27" t="s">
        <v>50</v>
      </c>
      <c r="Y159" s="35"/>
    </row>
    <row r="160" spans="1:25" s="27" customFormat="1" x14ac:dyDescent="0.25">
      <c r="A160" s="26">
        <v>43104</v>
      </c>
      <c r="B160" s="27" t="s">
        <v>105</v>
      </c>
      <c r="C160" s="27" t="s">
        <v>106</v>
      </c>
      <c r="D160" s="89">
        <v>38.25658</v>
      </c>
      <c r="E160" s="89">
        <v>-121.66719999999999</v>
      </c>
      <c r="F160" s="27" t="s">
        <v>7036</v>
      </c>
      <c r="G160" s="27" t="s">
        <v>90</v>
      </c>
      <c r="H160" s="27" t="s">
        <v>362</v>
      </c>
      <c r="I160" s="84">
        <v>0.55208333333333337</v>
      </c>
      <c r="J160" s="82">
        <v>195.32</v>
      </c>
      <c r="K160" s="82">
        <v>9.5800000000000018</v>
      </c>
      <c r="L160" s="82">
        <v>14.48</v>
      </c>
      <c r="M160" s="82">
        <v>0.64800000000000002</v>
      </c>
      <c r="N160" s="4">
        <v>11.08</v>
      </c>
      <c r="O160" s="27" t="s">
        <v>48</v>
      </c>
      <c r="P160" s="27">
        <v>5</v>
      </c>
      <c r="Q160" s="27">
        <v>5</v>
      </c>
      <c r="R160" s="27" t="s">
        <v>64</v>
      </c>
      <c r="S160" s="27" t="s">
        <v>50</v>
      </c>
      <c r="T160" s="27" t="s">
        <v>50</v>
      </c>
      <c r="U160" s="27" t="s">
        <v>50</v>
      </c>
      <c r="V160" s="27" t="s">
        <v>50</v>
      </c>
      <c r="W160" s="27" t="s">
        <v>50</v>
      </c>
      <c r="X160" s="27" t="s">
        <v>50</v>
      </c>
      <c r="Y160" s="35"/>
    </row>
    <row r="161" spans="1:25" s="27" customFormat="1" x14ac:dyDescent="0.25">
      <c r="A161" s="26">
        <v>43104</v>
      </c>
      <c r="B161" s="27" t="s">
        <v>105</v>
      </c>
      <c r="C161" s="27" t="s">
        <v>106</v>
      </c>
      <c r="D161" s="196">
        <v>38.357619999999997</v>
      </c>
      <c r="E161" s="89">
        <v>-121.63712</v>
      </c>
      <c r="F161" s="27" t="s">
        <v>7037</v>
      </c>
      <c r="G161" s="27" t="s">
        <v>90</v>
      </c>
      <c r="H161" s="27" t="s">
        <v>362</v>
      </c>
      <c r="I161" s="84">
        <v>0.49027777777777781</v>
      </c>
      <c r="J161" s="82">
        <v>386.44</v>
      </c>
      <c r="K161" s="82">
        <v>9.42</v>
      </c>
      <c r="L161" s="82">
        <v>94.960000000000008</v>
      </c>
      <c r="M161" s="82">
        <v>0.18</v>
      </c>
      <c r="N161" s="4">
        <v>10.28</v>
      </c>
      <c r="O161" s="27" t="s">
        <v>48</v>
      </c>
      <c r="P161" s="27">
        <v>5</v>
      </c>
      <c r="Q161" s="27">
        <v>5</v>
      </c>
      <c r="R161" s="27" t="s">
        <v>49</v>
      </c>
      <c r="S161" s="27" t="s">
        <v>50</v>
      </c>
      <c r="T161" s="27" t="s">
        <v>50</v>
      </c>
      <c r="U161" s="27" t="s">
        <v>50</v>
      </c>
      <c r="V161" s="27" t="s">
        <v>50</v>
      </c>
      <c r="W161" s="27" t="s">
        <v>50</v>
      </c>
      <c r="X161" s="27" t="s">
        <v>50</v>
      </c>
      <c r="Y161" s="35" t="s">
        <v>7038</v>
      </c>
    </row>
    <row r="162" spans="1:25" s="27" customFormat="1" x14ac:dyDescent="0.25">
      <c r="A162" s="26">
        <v>43104</v>
      </c>
      <c r="B162" s="27" t="s">
        <v>105</v>
      </c>
      <c r="C162" s="27" t="s">
        <v>106</v>
      </c>
      <c r="D162" s="89">
        <v>38.53004</v>
      </c>
      <c r="E162" s="89">
        <v>-121.58461</v>
      </c>
      <c r="F162" s="27" t="s">
        <v>7039</v>
      </c>
      <c r="G162" s="27" t="s">
        <v>90</v>
      </c>
      <c r="H162" s="27" t="s">
        <v>1787</v>
      </c>
      <c r="I162" s="84">
        <v>0.41111111111111115</v>
      </c>
      <c r="J162" s="82">
        <v>879.4</v>
      </c>
      <c r="K162" s="82">
        <v>9.9599999999999991</v>
      </c>
      <c r="L162" s="82">
        <v>22.7</v>
      </c>
      <c r="M162" s="82">
        <v>0.38399999999999995</v>
      </c>
      <c r="N162" s="4">
        <v>11.620000000000001</v>
      </c>
      <c r="O162" s="27" t="s">
        <v>48</v>
      </c>
      <c r="P162" s="27">
        <v>5</v>
      </c>
      <c r="Q162" s="27">
        <v>5</v>
      </c>
      <c r="R162" s="27" t="s">
        <v>49</v>
      </c>
      <c r="S162" s="27" t="s">
        <v>50</v>
      </c>
      <c r="T162" s="27" t="s">
        <v>50</v>
      </c>
      <c r="U162" s="27" t="s">
        <v>50</v>
      </c>
      <c r="V162" s="27" t="s">
        <v>50</v>
      </c>
      <c r="W162" s="27" t="s">
        <v>50</v>
      </c>
      <c r="X162" s="27" t="s">
        <v>50</v>
      </c>
      <c r="Y162" s="35"/>
    </row>
    <row r="163" spans="1:25" s="27" customFormat="1" x14ac:dyDescent="0.25">
      <c r="A163" s="26">
        <v>43104</v>
      </c>
      <c r="B163" s="27" t="s">
        <v>105</v>
      </c>
      <c r="C163" s="27" t="s">
        <v>106</v>
      </c>
      <c r="D163" s="89">
        <v>38.41404</v>
      </c>
      <c r="E163" s="89">
        <v>-121.61163000000001</v>
      </c>
      <c r="F163" s="27" t="s">
        <v>7040</v>
      </c>
      <c r="G163" s="27" t="s">
        <v>90</v>
      </c>
      <c r="H163" s="27" t="s">
        <v>362</v>
      </c>
      <c r="I163" s="84">
        <v>0.35694444444444445</v>
      </c>
      <c r="J163" s="82">
        <v>442.0333333333333</v>
      </c>
      <c r="K163" s="82">
        <v>9.2333333333333325</v>
      </c>
      <c r="L163" s="82">
        <v>118</v>
      </c>
      <c r="M163" s="82">
        <v>0.16333333333333333</v>
      </c>
      <c r="N163" s="4">
        <v>10.1</v>
      </c>
      <c r="O163" s="27" t="s">
        <v>48</v>
      </c>
      <c r="P163" s="27">
        <v>3</v>
      </c>
      <c r="Q163" s="27">
        <v>5</v>
      </c>
      <c r="R163" s="27" t="s">
        <v>64</v>
      </c>
      <c r="S163" s="27" t="s">
        <v>323</v>
      </c>
      <c r="T163" s="27">
        <v>1</v>
      </c>
      <c r="U163" s="27">
        <v>83</v>
      </c>
      <c r="V163" s="27" t="s">
        <v>66</v>
      </c>
      <c r="W163" s="27" t="s">
        <v>50</v>
      </c>
      <c r="X163" s="27" t="s">
        <v>50</v>
      </c>
      <c r="Y163" s="35"/>
    </row>
    <row r="164" spans="1:25" s="27" customFormat="1" x14ac:dyDescent="0.25">
      <c r="A164" s="26">
        <v>43104</v>
      </c>
      <c r="B164" s="27" t="s">
        <v>105</v>
      </c>
      <c r="C164" s="27" t="s">
        <v>62</v>
      </c>
      <c r="D164" s="89">
        <v>38.112819999999999</v>
      </c>
      <c r="E164" s="89">
        <v>-122.05574</v>
      </c>
      <c r="F164" s="27" t="s">
        <v>7041</v>
      </c>
      <c r="G164" s="27" t="s">
        <v>27</v>
      </c>
      <c r="H164" s="27" t="s">
        <v>173</v>
      </c>
      <c r="I164" s="84">
        <v>0.5131944444444444</v>
      </c>
      <c r="J164" s="82">
        <v>13063.6</v>
      </c>
      <c r="K164" s="82">
        <v>10.08</v>
      </c>
      <c r="L164" s="82">
        <v>26.839999999999996</v>
      </c>
      <c r="M164" s="82">
        <v>0.45800000000000002</v>
      </c>
      <c r="N164" s="4">
        <v>3.6399999999999997</v>
      </c>
      <c r="O164" s="27" t="s">
        <v>48</v>
      </c>
      <c r="P164" s="27">
        <v>5</v>
      </c>
      <c r="Q164" s="27">
        <v>5</v>
      </c>
      <c r="R164" s="27" t="s">
        <v>64</v>
      </c>
      <c r="S164" s="27" t="s">
        <v>50</v>
      </c>
      <c r="T164" s="27" t="s">
        <v>50</v>
      </c>
      <c r="U164" s="27" t="s">
        <v>50</v>
      </c>
      <c r="V164" s="27" t="s">
        <v>50</v>
      </c>
      <c r="W164" s="27" t="s">
        <v>50</v>
      </c>
      <c r="X164" s="27" t="s">
        <v>50</v>
      </c>
      <c r="Y164" s="35"/>
    </row>
    <row r="165" spans="1:25" s="27" customFormat="1" x14ac:dyDescent="0.25">
      <c r="A165" s="26">
        <v>43104</v>
      </c>
      <c r="B165" s="27" t="s">
        <v>105</v>
      </c>
      <c r="C165" s="27" t="s">
        <v>62</v>
      </c>
      <c r="D165" s="89">
        <v>38.153509999999997</v>
      </c>
      <c r="E165" s="89">
        <v>-122.05285000000001</v>
      </c>
      <c r="F165" s="27" t="s">
        <v>7042</v>
      </c>
      <c r="G165" s="27" t="s">
        <v>27</v>
      </c>
      <c r="H165" s="27" t="s">
        <v>62</v>
      </c>
      <c r="I165" s="84">
        <v>0.46180555555555558</v>
      </c>
      <c r="J165" s="82">
        <v>7799.4</v>
      </c>
      <c r="K165" s="82">
        <v>9.7399999999999984</v>
      </c>
      <c r="L165" s="82">
        <v>55.760000000000005</v>
      </c>
      <c r="M165" s="82">
        <v>0.29200000000000004</v>
      </c>
      <c r="N165" s="4">
        <v>8.16</v>
      </c>
      <c r="O165" s="27" t="s">
        <v>48</v>
      </c>
      <c r="P165" s="27">
        <v>5</v>
      </c>
      <c r="Q165" s="27">
        <v>5</v>
      </c>
      <c r="R165" s="27" t="s">
        <v>64</v>
      </c>
      <c r="S165" s="27" t="s">
        <v>323</v>
      </c>
      <c r="T165" s="27">
        <v>2</v>
      </c>
      <c r="U165" s="27" t="s">
        <v>7043</v>
      </c>
      <c r="V165" s="27" t="s">
        <v>66</v>
      </c>
      <c r="W165" s="27" t="s">
        <v>50</v>
      </c>
      <c r="X165" s="27" t="s">
        <v>50</v>
      </c>
      <c r="Y165" s="35"/>
    </row>
    <row r="166" spans="1:25" s="27" customFormat="1" x14ac:dyDescent="0.25">
      <c r="A166" s="26">
        <v>43104</v>
      </c>
      <c r="B166" s="27" t="s">
        <v>105</v>
      </c>
      <c r="C166" s="27" t="s">
        <v>62</v>
      </c>
      <c r="D166" s="89">
        <v>38.186819999999997</v>
      </c>
      <c r="E166" s="89">
        <v>-121.97224</v>
      </c>
      <c r="F166" s="27" t="s">
        <v>7044</v>
      </c>
      <c r="G166" s="27" t="s">
        <v>27</v>
      </c>
      <c r="H166" s="27" t="s">
        <v>62</v>
      </c>
      <c r="I166" s="84">
        <v>0.40347222222222223</v>
      </c>
      <c r="J166" s="82">
        <v>4817.8</v>
      </c>
      <c r="K166" s="82">
        <v>9.44</v>
      </c>
      <c r="L166" s="82">
        <v>69.140000000000015</v>
      </c>
      <c r="M166" s="82">
        <v>0.21400000000000002</v>
      </c>
      <c r="N166" s="4">
        <v>7.080000000000001</v>
      </c>
      <c r="O166" s="27" t="s">
        <v>48</v>
      </c>
      <c r="P166" s="27">
        <v>5</v>
      </c>
      <c r="Q166" s="27">
        <v>5</v>
      </c>
      <c r="R166" s="27" t="s">
        <v>49</v>
      </c>
      <c r="S166" s="27" t="s">
        <v>31</v>
      </c>
      <c r="T166" s="27">
        <v>4</v>
      </c>
      <c r="U166" s="27" t="s">
        <v>7045</v>
      </c>
      <c r="V166" s="27" t="s">
        <v>66</v>
      </c>
      <c r="W166" s="27" t="s">
        <v>50</v>
      </c>
      <c r="X166" s="27" t="s">
        <v>50</v>
      </c>
      <c r="Y166" s="35"/>
    </row>
    <row r="167" spans="1:25" s="27" customFormat="1" x14ac:dyDescent="0.25">
      <c r="A167" s="26">
        <v>43105</v>
      </c>
      <c r="B167" s="27" t="s">
        <v>125</v>
      </c>
      <c r="C167" s="27" t="s">
        <v>95</v>
      </c>
      <c r="D167" s="89">
        <v>38.04121</v>
      </c>
      <c r="E167" s="89">
        <v>-121.50295</v>
      </c>
      <c r="F167" s="27" t="s">
        <v>7046</v>
      </c>
      <c r="G167" s="27" t="s">
        <v>46</v>
      </c>
      <c r="H167" s="27" t="s">
        <v>115</v>
      </c>
      <c r="I167" s="84">
        <v>0.32291666666666669</v>
      </c>
      <c r="J167" s="82">
        <v>230.34</v>
      </c>
      <c r="K167" s="82">
        <v>9.6999999999999993</v>
      </c>
      <c r="L167" s="82">
        <v>6.1379999999999999</v>
      </c>
      <c r="M167" s="82">
        <v>1.6579999999999999</v>
      </c>
      <c r="N167" s="4">
        <v>10.44</v>
      </c>
      <c r="O167" s="27" t="s">
        <v>48</v>
      </c>
      <c r="P167" s="27">
        <v>5</v>
      </c>
      <c r="Q167" s="27">
        <v>5</v>
      </c>
      <c r="R167" s="27" t="s">
        <v>64</v>
      </c>
      <c r="S167" s="27" t="s">
        <v>50</v>
      </c>
      <c r="T167" s="27" t="s">
        <v>50</v>
      </c>
      <c r="U167" s="27" t="s">
        <v>50</v>
      </c>
      <c r="V167" s="27" t="s">
        <v>50</v>
      </c>
      <c r="W167" s="27" t="s">
        <v>50</v>
      </c>
      <c r="X167" s="27" t="s">
        <v>50</v>
      </c>
      <c r="Y167" s="35"/>
    </row>
    <row r="168" spans="1:25" s="27" customFormat="1" x14ac:dyDescent="0.25">
      <c r="A168" s="26">
        <v>43105</v>
      </c>
      <c r="B168" s="27" t="s">
        <v>125</v>
      </c>
      <c r="C168" s="27" t="s">
        <v>95</v>
      </c>
      <c r="D168" s="89">
        <v>38.048099999999998</v>
      </c>
      <c r="E168" s="89">
        <v>-121.69198</v>
      </c>
      <c r="F168" s="27" t="s">
        <v>7047</v>
      </c>
      <c r="G168" s="27" t="s">
        <v>27</v>
      </c>
      <c r="H168" s="27" t="s">
        <v>863</v>
      </c>
      <c r="I168" s="84">
        <v>0.37916666666666665</v>
      </c>
      <c r="J168" s="82">
        <v>1073</v>
      </c>
      <c r="K168" s="82">
        <v>9.6999999999999993</v>
      </c>
      <c r="L168" s="82">
        <v>7.7679999999999998</v>
      </c>
      <c r="M168" s="82">
        <v>1.25</v>
      </c>
      <c r="N168" s="4">
        <v>12.64</v>
      </c>
      <c r="O168" s="27" t="s">
        <v>48</v>
      </c>
      <c r="P168" s="27">
        <v>5</v>
      </c>
      <c r="Q168" s="27">
        <v>5</v>
      </c>
      <c r="R168" s="27" t="s">
        <v>49</v>
      </c>
      <c r="S168" s="27" t="s">
        <v>50</v>
      </c>
      <c r="T168" s="27" t="s">
        <v>50</v>
      </c>
      <c r="U168" s="27" t="s">
        <v>50</v>
      </c>
      <c r="V168" s="27" t="s">
        <v>50</v>
      </c>
      <c r="W168" s="27" t="s">
        <v>50</v>
      </c>
      <c r="X168" s="27" t="s">
        <v>50</v>
      </c>
      <c r="Y168" s="35"/>
    </row>
    <row r="169" spans="1:25" s="149" customFormat="1" x14ac:dyDescent="0.25">
      <c r="A169" s="178">
        <v>43105</v>
      </c>
      <c r="B169" s="149" t="s">
        <v>125</v>
      </c>
      <c r="C169" s="149" t="s">
        <v>95</v>
      </c>
      <c r="D169" s="150">
        <v>38.0867</v>
      </c>
      <c r="E169" s="150">
        <v>-121.6328</v>
      </c>
      <c r="F169" s="149" t="s">
        <v>7048</v>
      </c>
      <c r="G169" s="149" t="s">
        <v>46</v>
      </c>
      <c r="H169" s="149" t="s">
        <v>908</v>
      </c>
      <c r="I169" s="151">
        <v>0.4465277777777778</v>
      </c>
      <c r="J169" s="197" t="s">
        <v>50</v>
      </c>
      <c r="K169" s="197" t="s">
        <v>50</v>
      </c>
      <c r="L169" s="197" t="s">
        <v>50</v>
      </c>
      <c r="M169" s="197" t="s">
        <v>50</v>
      </c>
      <c r="N169" s="197" t="s">
        <v>50</v>
      </c>
      <c r="O169" s="149" t="s">
        <v>48</v>
      </c>
      <c r="P169" s="149">
        <v>0</v>
      </c>
      <c r="Q169" s="149" t="s">
        <v>50</v>
      </c>
      <c r="R169" s="149" t="s">
        <v>50</v>
      </c>
      <c r="S169" s="149" t="s">
        <v>50</v>
      </c>
      <c r="T169" s="149" t="s">
        <v>50</v>
      </c>
      <c r="U169" s="149" t="s">
        <v>50</v>
      </c>
      <c r="V169" s="149" t="s">
        <v>50</v>
      </c>
      <c r="W169" s="149" t="s">
        <v>50</v>
      </c>
      <c r="X169" s="149" t="s">
        <v>50</v>
      </c>
      <c r="Y169" s="152" t="s">
        <v>7049</v>
      </c>
    </row>
    <row r="170" spans="1:25" s="27" customFormat="1" x14ac:dyDescent="0.25">
      <c r="A170" s="26">
        <v>43105</v>
      </c>
      <c r="B170" s="27" t="s">
        <v>125</v>
      </c>
      <c r="C170" s="27" t="s">
        <v>88</v>
      </c>
      <c r="D170" s="89">
        <v>38.10192</v>
      </c>
      <c r="E170" s="89">
        <v>-121.72256</v>
      </c>
      <c r="F170" s="27" t="s">
        <v>7050</v>
      </c>
      <c r="G170" s="27" t="s">
        <v>90</v>
      </c>
      <c r="H170" s="27" t="s">
        <v>91</v>
      </c>
      <c r="I170" s="84">
        <v>0.34027777777777773</v>
      </c>
      <c r="J170" s="82">
        <v>1030.8</v>
      </c>
      <c r="K170" s="82">
        <v>9.52</v>
      </c>
      <c r="L170" s="82">
        <v>12.42</v>
      </c>
      <c r="M170" s="82">
        <v>0.78400000000000003</v>
      </c>
      <c r="N170" s="4">
        <v>8.36</v>
      </c>
      <c r="O170" s="27" t="s">
        <v>48</v>
      </c>
      <c r="P170" s="27">
        <v>5</v>
      </c>
      <c r="Q170" s="27">
        <v>5</v>
      </c>
      <c r="R170" s="27" t="s">
        <v>49</v>
      </c>
      <c r="S170" s="27" t="s">
        <v>50</v>
      </c>
      <c r="T170" s="27" t="s">
        <v>50</v>
      </c>
      <c r="U170" s="27" t="s">
        <v>50</v>
      </c>
      <c r="V170" s="27" t="s">
        <v>50</v>
      </c>
      <c r="W170" s="27" t="s">
        <v>50</v>
      </c>
      <c r="X170" s="27" t="s">
        <v>50</v>
      </c>
      <c r="Y170" s="35"/>
    </row>
    <row r="171" spans="1:25" s="27" customFormat="1" x14ac:dyDescent="0.25">
      <c r="A171" s="26">
        <v>43105</v>
      </c>
      <c r="B171" s="27" t="s">
        <v>125</v>
      </c>
      <c r="C171" s="27" t="s">
        <v>88</v>
      </c>
      <c r="D171" s="89">
        <v>38.060139999999997</v>
      </c>
      <c r="E171" s="89">
        <v>-121.79065</v>
      </c>
      <c r="F171" s="27" t="s">
        <v>7051</v>
      </c>
      <c r="G171" s="27" t="s">
        <v>27</v>
      </c>
      <c r="H171" s="27" t="s">
        <v>25</v>
      </c>
      <c r="I171" s="84">
        <v>0.39374999999999999</v>
      </c>
      <c r="J171" s="82">
        <v>3292</v>
      </c>
      <c r="K171" s="82">
        <v>9.6999999999999993</v>
      </c>
      <c r="L171" s="82">
        <v>16.86</v>
      </c>
      <c r="M171" s="82">
        <v>0.59399999999999997</v>
      </c>
      <c r="N171" s="4">
        <v>9.0399999999999991</v>
      </c>
      <c r="O171" s="27" t="s">
        <v>48</v>
      </c>
      <c r="P171" s="27">
        <v>5</v>
      </c>
      <c r="Q171" s="27">
        <v>5</v>
      </c>
      <c r="R171" s="27" t="s">
        <v>49</v>
      </c>
      <c r="S171" s="27" t="s">
        <v>50</v>
      </c>
      <c r="T171" s="27" t="s">
        <v>50</v>
      </c>
      <c r="U171" s="27" t="s">
        <v>50</v>
      </c>
      <c r="V171" s="27" t="s">
        <v>50</v>
      </c>
      <c r="W171" s="27" t="s">
        <v>50</v>
      </c>
      <c r="X171" s="27" t="s">
        <v>50</v>
      </c>
      <c r="Y171" s="35"/>
    </row>
    <row r="172" spans="1:25" s="27" customFormat="1" x14ac:dyDescent="0.25">
      <c r="A172" s="26">
        <v>43105</v>
      </c>
      <c r="B172" s="27" t="s">
        <v>125</v>
      </c>
      <c r="C172" s="27" t="s">
        <v>88</v>
      </c>
      <c r="D172" s="89">
        <v>38.069009999999999</v>
      </c>
      <c r="E172" s="89">
        <v>-121.83736</v>
      </c>
      <c r="F172" s="27" t="s">
        <v>7052</v>
      </c>
      <c r="G172" s="27" t="s">
        <v>27</v>
      </c>
      <c r="H172" s="27" t="s">
        <v>25</v>
      </c>
      <c r="I172" s="84">
        <v>0.4375</v>
      </c>
      <c r="J172" s="82">
        <v>4447.8</v>
      </c>
      <c r="K172" s="82">
        <v>9.6999999999999993</v>
      </c>
      <c r="L172" s="82">
        <v>20.74</v>
      </c>
      <c r="M172" s="82">
        <v>0.59199999999999997</v>
      </c>
      <c r="N172" s="4">
        <v>6.54</v>
      </c>
      <c r="O172" s="27" t="s">
        <v>48</v>
      </c>
      <c r="P172" s="27">
        <v>5</v>
      </c>
      <c r="Q172" s="27">
        <v>5</v>
      </c>
      <c r="R172" s="27" t="s">
        <v>49</v>
      </c>
      <c r="S172" s="27" t="s">
        <v>50</v>
      </c>
      <c r="T172" s="27" t="s">
        <v>50</v>
      </c>
      <c r="U172" s="27" t="s">
        <v>50</v>
      </c>
      <c r="V172" s="27" t="s">
        <v>50</v>
      </c>
      <c r="W172" s="27" t="s">
        <v>50</v>
      </c>
      <c r="X172" s="27" t="s">
        <v>50</v>
      </c>
      <c r="Y172" s="35"/>
    </row>
    <row r="173" spans="1:25" s="27" customFormat="1" x14ac:dyDescent="0.25">
      <c r="A173" s="194">
        <v>43105</v>
      </c>
      <c r="B173" s="27" t="s">
        <v>125</v>
      </c>
      <c r="C173" s="27" t="s">
        <v>118</v>
      </c>
      <c r="D173" s="89">
        <v>38.061639999999997</v>
      </c>
      <c r="E173" s="89">
        <v>-122.2526</v>
      </c>
      <c r="F173" s="27" t="s">
        <v>7053</v>
      </c>
      <c r="G173" s="27" t="s">
        <v>80</v>
      </c>
      <c r="H173" s="27" t="s">
        <v>120</v>
      </c>
      <c r="I173" s="84">
        <v>0.30624999999999997</v>
      </c>
      <c r="J173" s="82">
        <v>24067.83</v>
      </c>
      <c r="K173" s="82">
        <v>10.83333</v>
      </c>
      <c r="L173" s="82">
        <v>30.283329999999999</v>
      </c>
      <c r="M173" s="82">
        <v>0.468333</v>
      </c>
      <c r="N173" s="4">
        <v>14.7</v>
      </c>
      <c r="O173" s="27" t="s">
        <v>48</v>
      </c>
      <c r="P173" s="27">
        <v>6</v>
      </c>
      <c r="Q173" s="27">
        <v>10</v>
      </c>
      <c r="R173" s="27" t="s">
        <v>49</v>
      </c>
      <c r="S173" s="27" t="s">
        <v>31</v>
      </c>
      <c r="T173" s="27">
        <v>1</v>
      </c>
      <c r="U173" s="27">
        <v>70</v>
      </c>
      <c r="V173" s="27" t="s">
        <v>50</v>
      </c>
      <c r="W173" s="27" t="s">
        <v>50</v>
      </c>
      <c r="X173" s="27" t="s">
        <v>50</v>
      </c>
      <c r="Y173" s="35" t="s">
        <v>7054</v>
      </c>
    </row>
    <row r="174" spans="1:25" s="108" customFormat="1" ht="15.75" thickBot="1" x14ac:dyDescent="0.3">
      <c r="A174" s="126">
        <v>43105</v>
      </c>
      <c r="B174" s="108" t="s">
        <v>125</v>
      </c>
      <c r="C174" s="108" t="s">
        <v>118</v>
      </c>
      <c r="D174" s="109">
        <v>38.0505</v>
      </c>
      <c r="E174" s="109">
        <v>-122.31844</v>
      </c>
      <c r="F174" s="108" t="s">
        <v>7055</v>
      </c>
      <c r="G174" s="108" t="s">
        <v>80</v>
      </c>
      <c r="H174" s="108" t="s">
        <v>123</v>
      </c>
      <c r="I174" s="110">
        <v>0.40486111111111112</v>
      </c>
      <c r="J174" s="111">
        <v>23704.83</v>
      </c>
      <c r="K174" s="111">
        <v>10.866669999999999</v>
      </c>
      <c r="L174" s="111">
        <v>18.716670000000001</v>
      </c>
      <c r="M174" s="111">
        <v>0.57999999999999996</v>
      </c>
      <c r="N174" s="112">
        <v>9.516667</v>
      </c>
      <c r="O174" s="108" t="s">
        <v>48</v>
      </c>
      <c r="P174" s="108">
        <v>6</v>
      </c>
      <c r="Q174" s="108">
        <v>10</v>
      </c>
      <c r="R174" s="108" t="s">
        <v>49</v>
      </c>
      <c r="S174" s="108" t="s">
        <v>50</v>
      </c>
      <c r="T174" s="108" t="s">
        <v>50</v>
      </c>
      <c r="U174" s="108" t="s">
        <v>50</v>
      </c>
      <c r="V174" s="108" t="s">
        <v>50</v>
      </c>
      <c r="W174" s="108" t="s">
        <v>50</v>
      </c>
      <c r="X174" s="108" t="s">
        <v>50</v>
      </c>
      <c r="Y174" s="113" t="s">
        <v>7056</v>
      </c>
    </row>
    <row r="175" spans="1:25" s="27" customFormat="1" ht="15.75" thickTop="1" x14ac:dyDescent="0.25">
      <c r="A175" s="194">
        <v>43108</v>
      </c>
      <c r="B175" s="27" t="s">
        <v>43</v>
      </c>
      <c r="C175" s="27" t="s">
        <v>95</v>
      </c>
      <c r="D175" s="89">
        <v>38.076560000000001</v>
      </c>
      <c r="E175" s="89">
        <v>-121.56928000000001</v>
      </c>
      <c r="F175" s="27" t="s">
        <v>7057</v>
      </c>
      <c r="G175" s="27" t="s">
        <v>46</v>
      </c>
      <c r="H175" s="27" t="s">
        <v>115</v>
      </c>
      <c r="I175" s="84">
        <v>0.31041666666666667</v>
      </c>
      <c r="J175" s="82">
        <v>262.36</v>
      </c>
      <c r="K175" s="82">
        <v>10.02</v>
      </c>
      <c r="L175" s="82">
        <v>5.4859999999999998</v>
      </c>
      <c r="M175" s="82">
        <v>1.518</v>
      </c>
      <c r="N175" s="4">
        <v>6.14</v>
      </c>
      <c r="O175" s="27" t="s">
        <v>48</v>
      </c>
      <c r="P175" s="27">
        <v>5</v>
      </c>
      <c r="Q175" s="27">
        <v>5</v>
      </c>
      <c r="R175" s="27" t="s">
        <v>64</v>
      </c>
      <c r="S175" s="27" t="s">
        <v>50</v>
      </c>
      <c r="T175" s="27" t="s">
        <v>50</v>
      </c>
      <c r="U175" s="27" t="s">
        <v>50</v>
      </c>
      <c r="V175" s="27" t="s">
        <v>50</v>
      </c>
      <c r="W175" s="27" t="s">
        <v>50</v>
      </c>
      <c r="X175" s="27" t="s">
        <v>50</v>
      </c>
      <c r="Y175" s="35"/>
    </row>
    <row r="176" spans="1:25" s="149" customFormat="1" x14ac:dyDescent="0.25">
      <c r="A176" s="195">
        <v>43108</v>
      </c>
      <c r="B176" s="149" t="s">
        <v>43</v>
      </c>
      <c r="C176" s="149" t="s">
        <v>95</v>
      </c>
      <c r="D176" s="150">
        <v>38.037430000000001</v>
      </c>
      <c r="E176" s="150">
        <v>-121.70696</v>
      </c>
      <c r="F176" s="149" t="s">
        <v>7058</v>
      </c>
      <c r="G176" s="149" t="s">
        <v>27</v>
      </c>
      <c r="H176" s="149" t="s">
        <v>863</v>
      </c>
      <c r="I176" s="151">
        <v>0.3611111111111111</v>
      </c>
      <c r="J176" s="197" t="s">
        <v>50</v>
      </c>
      <c r="K176" s="197" t="s">
        <v>50</v>
      </c>
      <c r="L176" s="197" t="s">
        <v>50</v>
      </c>
      <c r="M176" s="197" t="s">
        <v>50</v>
      </c>
      <c r="N176" s="197" t="s">
        <v>50</v>
      </c>
      <c r="O176" s="149" t="s">
        <v>48</v>
      </c>
      <c r="P176" s="149">
        <v>0</v>
      </c>
      <c r="Q176" s="149" t="s">
        <v>50</v>
      </c>
      <c r="R176" s="149" t="s">
        <v>50</v>
      </c>
      <c r="S176" s="149" t="s">
        <v>50</v>
      </c>
      <c r="T176" s="149" t="s">
        <v>50</v>
      </c>
      <c r="U176" s="149" t="s">
        <v>50</v>
      </c>
      <c r="V176" s="149" t="s">
        <v>50</v>
      </c>
      <c r="W176" s="149" t="s">
        <v>50</v>
      </c>
      <c r="X176" s="149" t="s">
        <v>50</v>
      </c>
      <c r="Y176" s="152" t="s">
        <v>7049</v>
      </c>
    </row>
    <row r="177" spans="1:25" s="27" customFormat="1" x14ac:dyDescent="0.25">
      <c r="A177" s="194">
        <v>43108</v>
      </c>
      <c r="B177" s="27" t="s">
        <v>43</v>
      </c>
      <c r="C177" s="27" t="s">
        <v>95</v>
      </c>
      <c r="D177" s="89">
        <v>38.084490000000002</v>
      </c>
      <c r="E177" s="89">
        <v>-121.68227</v>
      </c>
      <c r="F177" s="27" t="s">
        <v>7059</v>
      </c>
      <c r="G177" s="27" t="s">
        <v>46</v>
      </c>
      <c r="H177" s="27" t="s">
        <v>908</v>
      </c>
      <c r="I177" s="84">
        <v>0.37361111111111112</v>
      </c>
      <c r="J177" s="82">
        <v>360.68</v>
      </c>
      <c r="K177" s="82">
        <v>10</v>
      </c>
      <c r="L177" s="82">
        <v>8.7560000000000002</v>
      </c>
      <c r="M177" s="82">
        <v>1.42</v>
      </c>
      <c r="N177" s="4">
        <v>5.5</v>
      </c>
      <c r="O177" s="27" t="s">
        <v>48</v>
      </c>
      <c r="P177" s="27">
        <v>5</v>
      </c>
      <c r="Q177" s="27">
        <v>5</v>
      </c>
      <c r="R177" s="27" t="s">
        <v>49</v>
      </c>
      <c r="S177" s="27" t="s">
        <v>50</v>
      </c>
      <c r="T177" s="27" t="s">
        <v>50</v>
      </c>
      <c r="U177" s="27" t="s">
        <v>50</v>
      </c>
      <c r="V177" s="27" t="s">
        <v>50</v>
      </c>
      <c r="W177" s="27" t="s">
        <v>50</v>
      </c>
      <c r="X177" s="27" t="s">
        <v>50</v>
      </c>
      <c r="Y177" s="35"/>
    </row>
    <row r="178" spans="1:25" s="27" customFormat="1" x14ac:dyDescent="0.25">
      <c r="A178" s="194">
        <v>43108</v>
      </c>
      <c r="B178" s="27" t="s">
        <v>43</v>
      </c>
      <c r="C178" s="27" t="s">
        <v>845</v>
      </c>
      <c r="D178" s="89">
        <v>38.234650000000002</v>
      </c>
      <c r="E178" s="89">
        <v>-121.68145</v>
      </c>
      <c r="F178" s="27" t="s">
        <v>7060</v>
      </c>
      <c r="G178" s="27" t="s">
        <v>90</v>
      </c>
      <c r="H178" s="27" t="s">
        <v>126</v>
      </c>
      <c r="I178" s="84">
        <v>0.34236111111111112</v>
      </c>
      <c r="J178" s="82">
        <v>135.76</v>
      </c>
      <c r="K178" s="82">
        <v>10.38</v>
      </c>
      <c r="L178" s="82">
        <v>8.94</v>
      </c>
      <c r="M178" s="82">
        <v>1.296</v>
      </c>
      <c r="N178" s="4">
        <v>12.68</v>
      </c>
      <c r="O178" s="27" t="s">
        <v>48</v>
      </c>
      <c r="P178" s="27">
        <v>5</v>
      </c>
      <c r="Q178" s="27">
        <v>5</v>
      </c>
      <c r="R178" s="27" t="s">
        <v>64</v>
      </c>
      <c r="S178" s="27" t="s">
        <v>50</v>
      </c>
      <c r="T178" s="27" t="s">
        <v>50</v>
      </c>
      <c r="U178" s="27" t="s">
        <v>50</v>
      </c>
      <c r="V178" s="27" t="s">
        <v>50</v>
      </c>
      <c r="W178" s="27" t="s">
        <v>50</v>
      </c>
      <c r="X178" s="27" t="s">
        <v>50</v>
      </c>
      <c r="Y178" s="35"/>
    </row>
    <row r="179" spans="1:25" s="27" customFormat="1" x14ac:dyDescent="0.25">
      <c r="A179" s="194">
        <v>43108</v>
      </c>
      <c r="B179" s="27" t="s">
        <v>43</v>
      </c>
      <c r="C179" s="27" t="s">
        <v>845</v>
      </c>
      <c r="D179" s="89">
        <v>38.250990000000002</v>
      </c>
      <c r="E179" s="89">
        <v>-121.67313</v>
      </c>
      <c r="F179" s="27" t="s">
        <v>7061</v>
      </c>
      <c r="G179" s="27" t="s">
        <v>90</v>
      </c>
      <c r="H179" s="27" t="s">
        <v>126</v>
      </c>
      <c r="I179" s="84">
        <v>0.3888888888888889</v>
      </c>
      <c r="J179" s="82">
        <v>135.04</v>
      </c>
      <c r="K179" s="82">
        <v>10.4</v>
      </c>
      <c r="L179" s="82">
        <v>9.3439999999999994</v>
      </c>
      <c r="M179" s="82">
        <v>1.3819999999999999</v>
      </c>
      <c r="N179" s="4">
        <v>10.82</v>
      </c>
      <c r="O179" s="27" t="s">
        <v>48</v>
      </c>
      <c r="P179" s="27">
        <v>5</v>
      </c>
      <c r="Q179" s="27">
        <v>5</v>
      </c>
      <c r="R179" s="27" t="s">
        <v>64</v>
      </c>
      <c r="S179" s="27" t="s">
        <v>50</v>
      </c>
      <c r="T179" s="27" t="s">
        <v>50</v>
      </c>
      <c r="U179" s="27" t="s">
        <v>50</v>
      </c>
      <c r="V179" s="27" t="s">
        <v>50</v>
      </c>
      <c r="W179" s="27" t="s">
        <v>50</v>
      </c>
      <c r="X179" s="27" t="s">
        <v>50</v>
      </c>
      <c r="Y179" s="35"/>
    </row>
    <row r="180" spans="1:25" s="27" customFormat="1" x14ac:dyDescent="0.25">
      <c r="A180" s="194">
        <v>43108</v>
      </c>
      <c r="B180" s="27" t="s">
        <v>43</v>
      </c>
      <c r="C180" s="27" t="s">
        <v>845</v>
      </c>
      <c r="D180" s="89">
        <v>38.284170000000003</v>
      </c>
      <c r="E180" s="89">
        <v>-121.71713</v>
      </c>
      <c r="F180" s="27" t="s">
        <v>7062</v>
      </c>
      <c r="G180" s="27" t="s">
        <v>90</v>
      </c>
      <c r="H180" s="27" t="s">
        <v>126</v>
      </c>
      <c r="I180" s="84">
        <v>0.44791666666666669</v>
      </c>
      <c r="J180" s="82">
        <v>228.62</v>
      </c>
      <c r="K180" s="82">
        <v>10</v>
      </c>
      <c r="L180" s="82">
        <v>5.2140000000000004</v>
      </c>
      <c r="M180" s="82">
        <v>1.8</v>
      </c>
      <c r="N180" s="4">
        <v>4.42</v>
      </c>
      <c r="O180" s="27" t="s">
        <v>48</v>
      </c>
      <c r="P180" s="27">
        <v>5</v>
      </c>
      <c r="Q180" s="27">
        <v>5</v>
      </c>
      <c r="R180" s="27" t="s">
        <v>64</v>
      </c>
      <c r="S180" s="27" t="s">
        <v>50</v>
      </c>
      <c r="T180" s="27" t="s">
        <v>50</v>
      </c>
      <c r="U180" s="27" t="s">
        <v>50</v>
      </c>
      <c r="V180" s="27" t="s">
        <v>50</v>
      </c>
      <c r="W180" s="27" t="s">
        <v>50</v>
      </c>
      <c r="X180" s="27" t="s">
        <v>50</v>
      </c>
      <c r="Y180" s="35" t="s">
        <v>7063</v>
      </c>
    </row>
    <row r="181" spans="1:25" s="27" customFormat="1" x14ac:dyDescent="0.25">
      <c r="A181" s="194">
        <v>43108</v>
      </c>
      <c r="B181" s="27" t="s">
        <v>43</v>
      </c>
      <c r="C181" s="27" t="s">
        <v>118</v>
      </c>
      <c r="D181" s="89">
        <v>38.040280000000003</v>
      </c>
      <c r="E181" s="89">
        <v>-122.31845</v>
      </c>
      <c r="F181" s="27" t="s">
        <v>7064</v>
      </c>
      <c r="G181" s="27" t="s">
        <v>80</v>
      </c>
      <c r="H181" s="27" t="s">
        <v>123</v>
      </c>
      <c r="I181" s="84">
        <v>0.37222222222222223</v>
      </c>
      <c r="J181" s="82">
        <v>23624.67</v>
      </c>
      <c r="K181" s="82">
        <v>10.966670000000001</v>
      </c>
      <c r="L181" s="82">
        <v>17.316669999999998</v>
      </c>
      <c r="M181" s="82">
        <v>0.54166700000000001</v>
      </c>
      <c r="N181" s="4">
        <v>7.4166670000000003</v>
      </c>
      <c r="O181" s="27" t="s">
        <v>48</v>
      </c>
      <c r="P181" s="27">
        <v>6</v>
      </c>
      <c r="Q181" s="27">
        <v>10</v>
      </c>
      <c r="R181" s="27" t="s">
        <v>49</v>
      </c>
      <c r="S181" s="27" t="s">
        <v>50</v>
      </c>
      <c r="T181" s="27" t="s">
        <v>50</v>
      </c>
      <c r="U181" s="27" t="s">
        <v>50</v>
      </c>
      <c r="V181" s="27" t="s">
        <v>50</v>
      </c>
      <c r="W181" s="27" t="s">
        <v>50</v>
      </c>
      <c r="X181" s="27" t="s">
        <v>50</v>
      </c>
      <c r="Y181" s="35"/>
    </row>
    <row r="182" spans="1:25" s="27" customFormat="1" x14ac:dyDescent="0.25">
      <c r="A182" s="194">
        <v>43108</v>
      </c>
      <c r="B182" s="27" t="s">
        <v>43</v>
      </c>
      <c r="C182" s="27" t="s">
        <v>118</v>
      </c>
      <c r="D182" s="89">
        <v>38.05247</v>
      </c>
      <c r="E182" s="89">
        <v>-122.30486000000001</v>
      </c>
      <c r="F182" s="27" t="s">
        <v>7065</v>
      </c>
      <c r="G182" s="27" t="s">
        <v>80</v>
      </c>
      <c r="H182" s="27" t="s">
        <v>123</v>
      </c>
      <c r="I182" s="84">
        <v>0.44930555555555557</v>
      </c>
      <c r="J182" s="82">
        <v>22992</v>
      </c>
      <c r="K182" s="82">
        <v>10.98333</v>
      </c>
      <c r="L182" s="82">
        <v>23.466670000000001</v>
      </c>
      <c r="M182" s="82">
        <v>0.51833300000000004</v>
      </c>
      <c r="N182" s="4">
        <v>9.9</v>
      </c>
      <c r="O182" s="27" t="s">
        <v>48</v>
      </c>
      <c r="P182" s="27">
        <v>6</v>
      </c>
      <c r="Q182" s="27">
        <v>10</v>
      </c>
      <c r="R182" s="27" t="s">
        <v>49</v>
      </c>
      <c r="S182" s="27" t="s">
        <v>50</v>
      </c>
      <c r="T182" s="27" t="s">
        <v>50</v>
      </c>
      <c r="U182" s="27" t="s">
        <v>50</v>
      </c>
      <c r="V182" s="27" t="s">
        <v>50</v>
      </c>
      <c r="W182" s="27" t="s">
        <v>50</v>
      </c>
      <c r="X182" s="27" t="s">
        <v>50</v>
      </c>
      <c r="Y182" s="35"/>
    </row>
    <row r="183" spans="1:25" s="27" customFormat="1" x14ac:dyDescent="0.25">
      <c r="A183" s="26">
        <v>43109</v>
      </c>
      <c r="B183" s="27" t="s">
        <v>70</v>
      </c>
      <c r="C183" s="27" t="s">
        <v>106</v>
      </c>
      <c r="D183" s="89">
        <v>38.502180000000003</v>
      </c>
      <c r="E183" s="89">
        <v>-121.58458</v>
      </c>
      <c r="F183" s="27" t="s">
        <v>7066</v>
      </c>
      <c r="G183" s="27" t="s">
        <v>90</v>
      </c>
      <c r="H183" s="27" t="s">
        <v>1787</v>
      </c>
      <c r="I183" s="84">
        <v>0.35000000000000003</v>
      </c>
      <c r="J183" s="82">
        <v>527</v>
      </c>
      <c r="K183" s="82">
        <v>10.1</v>
      </c>
      <c r="L183" s="82">
        <v>32.880000000000003</v>
      </c>
      <c r="M183" s="82">
        <v>0.36599999999999999</v>
      </c>
      <c r="N183" s="4">
        <v>10.74</v>
      </c>
      <c r="O183" s="27" t="s">
        <v>48</v>
      </c>
      <c r="P183" s="27">
        <v>5</v>
      </c>
      <c r="Q183" s="27">
        <v>5</v>
      </c>
      <c r="R183" s="27" t="s">
        <v>64</v>
      </c>
      <c r="S183" s="27" t="s">
        <v>50</v>
      </c>
      <c r="T183" s="27" t="s">
        <v>50</v>
      </c>
      <c r="U183" s="27" t="s">
        <v>50</v>
      </c>
      <c r="V183" s="27" t="s">
        <v>50</v>
      </c>
      <c r="W183" s="27" t="s">
        <v>50</v>
      </c>
      <c r="X183" s="27" t="s">
        <v>50</v>
      </c>
      <c r="Y183" s="35"/>
    </row>
    <row r="184" spans="1:25" s="27" customFormat="1" x14ac:dyDescent="0.25">
      <c r="A184" s="26">
        <v>43109</v>
      </c>
      <c r="B184" s="27" t="s">
        <v>70</v>
      </c>
      <c r="C184" s="27" t="s">
        <v>106</v>
      </c>
      <c r="D184" s="89">
        <v>38.538139999999999</v>
      </c>
      <c r="E184" s="89">
        <v>-121.58465</v>
      </c>
      <c r="F184" s="27" t="s">
        <v>7067</v>
      </c>
      <c r="G184" s="27" t="s">
        <v>90</v>
      </c>
      <c r="H184" s="27" t="s">
        <v>1787</v>
      </c>
      <c r="I184" s="84">
        <v>0.43541666666666662</v>
      </c>
      <c r="J184" s="82">
        <v>624.4</v>
      </c>
      <c r="K184" s="82">
        <v>10.54</v>
      </c>
      <c r="L184" s="82">
        <v>21.78</v>
      </c>
      <c r="M184" s="82">
        <v>0.54200000000000004</v>
      </c>
      <c r="N184" s="4">
        <v>12.32</v>
      </c>
      <c r="O184" s="27" t="s">
        <v>48</v>
      </c>
      <c r="P184" s="27">
        <v>5</v>
      </c>
      <c r="Q184" s="27">
        <v>5</v>
      </c>
      <c r="R184" s="27" t="s">
        <v>64</v>
      </c>
      <c r="S184" s="27" t="s">
        <v>50</v>
      </c>
      <c r="T184" s="27" t="s">
        <v>50</v>
      </c>
      <c r="U184" s="27" t="s">
        <v>50</v>
      </c>
      <c r="V184" s="27" t="s">
        <v>50</v>
      </c>
      <c r="W184" s="27" t="s">
        <v>50</v>
      </c>
      <c r="X184" s="27" t="s">
        <v>50</v>
      </c>
      <c r="Y184" s="35"/>
    </row>
    <row r="185" spans="1:25" s="27" customFormat="1" x14ac:dyDescent="0.25">
      <c r="A185" s="26">
        <v>43109</v>
      </c>
      <c r="B185" s="27" t="s">
        <v>70</v>
      </c>
      <c r="C185" s="27" t="s">
        <v>95</v>
      </c>
      <c r="D185" s="89">
        <v>38.060250000000003</v>
      </c>
      <c r="E185" s="89">
        <v>-121.55143</v>
      </c>
      <c r="F185" s="27" t="s">
        <v>7068</v>
      </c>
      <c r="G185" s="27" t="s">
        <v>46</v>
      </c>
      <c r="H185" s="27" t="s">
        <v>115</v>
      </c>
      <c r="I185" s="84">
        <v>0.30694444444444441</v>
      </c>
      <c r="J185" s="82">
        <v>261.7</v>
      </c>
      <c r="K185" s="82">
        <v>10.3</v>
      </c>
      <c r="L185" s="82">
        <v>5.774</v>
      </c>
      <c r="M185" s="82">
        <v>1.496</v>
      </c>
      <c r="N185" s="4">
        <v>4.8600000000000003</v>
      </c>
      <c r="O185" s="27" t="s">
        <v>48</v>
      </c>
      <c r="P185" s="27">
        <v>5</v>
      </c>
      <c r="Q185" s="27">
        <v>5</v>
      </c>
      <c r="R185" s="27" t="s">
        <v>64</v>
      </c>
      <c r="S185" s="27" t="s">
        <v>50</v>
      </c>
      <c r="T185" s="27" t="s">
        <v>50</v>
      </c>
      <c r="U185" s="27" t="s">
        <v>50</v>
      </c>
      <c r="V185" s="27" t="s">
        <v>50</v>
      </c>
      <c r="W185" s="27" t="s">
        <v>50</v>
      </c>
      <c r="X185" s="27" t="s">
        <v>50</v>
      </c>
      <c r="Y185" s="35"/>
    </row>
    <row r="186" spans="1:25" s="27" customFormat="1" x14ac:dyDescent="0.25">
      <c r="A186" s="26">
        <v>43109</v>
      </c>
      <c r="B186" s="27" t="s">
        <v>70</v>
      </c>
      <c r="C186" s="27" t="s">
        <v>95</v>
      </c>
      <c r="D186" s="89">
        <v>38.08728</v>
      </c>
      <c r="E186" s="89">
        <v>-121.64955</v>
      </c>
      <c r="F186" s="27" t="s">
        <v>7069</v>
      </c>
      <c r="G186" s="27" t="s">
        <v>46</v>
      </c>
      <c r="H186" s="27" t="s">
        <v>908</v>
      </c>
      <c r="I186" s="84">
        <v>0.40972222222222227</v>
      </c>
      <c r="J186" s="82">
        <v>586.6</v>
      </c>
      <c r="K186" s="82">
        <v>10.14</v>
      </c>
      <c r="L186" s="82">
        <v>8.6159999999999997</v>
      </c>
      <c r="M186" s="82">
        <v>1.3480000000000001</v>
      </c>
      <c r="N186" s="4">
        <v>13.96</v>
      </c>
      <c r="O186" s="27" t="s">
        <v>48</v>
      </c>
      <c r="P186" s="27">
        <v>5</v>
      </c>
      <c r="Q186" s="27">
        <v>5</v>
      </c>
      <c r="R186" s="27" t="s">
        <v>64</v>
      </c>
      <c r="S186" s="27" t="s">
        <v>50</v>
      </c>
      <c r="T186" s="27" t="s">
        <v>50</v>
      </c>
      <c r="U186" s="27" t="s">
        <v>50</v>
      </c>
      <c r="V186" s="27" t="s">
        <v>50</v>
      </c>
      <c r="W186" s="27" t="s">
        <v>50</v>
      </c>
      <c r="X186" s="27" t="s">
        <v>50</v>
      </c>
      <c r="Y186" s="35"/>
    </row>
    <row r="187" spans="1:25" s="27" customFormat="1" x14ac:dyDescent="0.25">
      <c r="A187" s="26">
        <v>43109</v>
      </c>
      <c r="B187" s="27" t="s">
        <v>70</v>
      </c>
      <c r="C187" s="27" t="s">
        <v>95</v>
      </c>
      <c r="D187" s="89">
        <v>38.102530000000002</v>
      </c>
      <c r="E187" s="89">
        <v>-121.62322</v>
      </c>
      <c r="F187" s="27" t="s">
        <v>7070</v>
      </c>
      <c r="G187" s="27" t="s">
        <v>46</v>
      </c>
      <c r="H187" s="27" t="s">
        <v>908</v>
      </c>
      <c r="I187" s="84">
        <v>0.45</v>
      </c>
      <c r="J187" s="82">
        <v>533.79999999999995</v>
      </c>
      <c r="K187" s="82">
        <v>10.1</v>
      </c>
      <c r="L187" s="82">
        <v>8.7240000000000002</v>
      </c>
      <c r="M187" s="82">
        <v>1.3320000000000001</v>
      </c>
      <c r="N187" s="4">
        <v>16.48</v>
      </c>
      <c r="O187" s="27" t="s">
        <v>48</v>
      </c>
      <c r="P187" s="27">
        <v>5</v>
      </c>
      <c r="Q187" s="27">
        <v>5</v>
      </c>
      <c r="R187" s="27" t="s">
        <v>64</v>
      </c>
      <c r="S187" s="27" t="s">
        <v>50</v>
      </c>
      <c r="T187" s="27" t="s">
        <v>50</v>
      </c>
      <c r="U187" s="27" t="s">
        <v>50</v>
      </c>
      <c r="V187" s="27" t="s">
        <v>50</v>
      </c>
      <c r="W187" s="27" t="s">
        <v>50</v>
      </c>
      <c r="X187" s="27" t="s">
        <v>50</v>
      </c>
      <c r="Y187" s="35"/>
    </row>
    <row r="188" spans="1:25" s="27" customFormat="1" x14ac:dyDescent="0.25">
      <c r="A188" s="26">
        <v>43109</v>
      </c>
      <c r="B188" s="27" t="s">
        <v>70</v>
      </c>
      <c r="C188" s="27" t="s">
        <v>62</v>
      </c>
      <c r="D188" s="89">
        <v>38.187019999999997</v>
      </c>
      <c r="E188" s="89">
        <v>-121.97913</v>
      </c>
      <c r="F188" s="27" t="s">
        <v>7071</v>
      </c>
      <c r="G188" s="27" t="s">
        <v>27</v>
      </c>
      <c r="H188" s="27" t="s">
        <v>62</v>
      </c>
      <c r="I188" s="84">
        <v>0.33888888888888885</v>
      </c>
      <c r="J188" s="82">
        <v>5389.75</v>
      </c>
      <c r="K188" s="82">
        <v>10.3</v>
      </c>
      <c r="L188" s="82">
        <v>35.85</v>
      </c>
      <c r="M188" s="82">
        <v>0.32250000000000001</v>
      </c>
      <c r="N188" s="4">
        <v>9.375</v>
      </c>
      <c r="O188" s="27" t="s">
        <v>48</v>
      </c>
      <c r="P188" s="27">
        <v>4</v>
      </c>
      <c r="Q188" s="27">
        <v>5</v>
      </c>
      <c r="R188" s="27" t="s">
        <v>64</v>
      </c>
      <c r="S188" s="27" t="s">
        <v>31</v>
      </c>
      <c r="T188" s="27">
        <v>1</v>
      </c>
      <c r="U188" s="27">
        <v>70</v>
      </c>
      <c r="V188" s="27" t="s">
        <v>66</v>
      </c>
      <c r="W188" s="27" t="s">
        <v>50</v>
      </c>
      <c r="X188" s="27" t="s">
        <v>50</v>
      </c>
      <c r="Y188" s="35"/>
    </row>
    <row r="189" spans="1:25" s="27" customFormat="1" x14ac:dyDescent="0.25">
      <c r="A189" s="26">
        <v>43109</v>
      </c>
      <c r="B189" s="27" t="s">
        <v>70</v>
      </c>
      <c r="C189" s="27" t="s">
        <v>62</v>
      </c>
      <c r="D189" s="89"/>
      <c r="E189" s="89"/>
      <c r="F189" s="27" t="s">
        <v>7071</v>
      </c>
      <c r="G189" s="27" t="s">
        <v>27</v>
      </c>
      <c r="H189" s="27" t="s">
        <v>62</v>
      </c>
      <c r="J189" s="82"/>
      <c r="K189" s="82"/>
      <c r="L189" s="82"/>
      <c r="M189" s="82"/>
      <c r="N189" s="4"/>
      <c r="S189" s="27" t="s">
        <v>323</v>
      </c>
      <c r="T189" s="27">
        <v>1</v>
      </c>
      <c r="U189" s="27">
        <v>63</v>
      </c>
      <c r="V189" s="27" t="s">
        <v>66</v>
      </c>
      <c r="W189" s="27" t="s">
        <v>50</v>
      </c>
      <c r="X189" s="27" t="s">
        <v>50</v>
      </c>
      <c r="Y189" s="35"/>
    </row>
    <row r="190" spans="1:25" s="27" customFormat="1" x14ac:dyDescent="0.25">
      <c r="A190" s="26">
        <v>43109</v>
      </c>
      <c r="B190" s="27" t="s">
        <v>70</v>
      </c>
      <c r="C190" s="27" t="s">
        <v>95</v>
      </c>
      <c r="D190" s="89">
        <v>38.036529999999999</v>
      </c>
      <c r="E190" s="89">
        <v>-121.72895</v>
      </c>
      <c r="F190" s="27" t="s">
        <v>7072</v>
      </c>
      <c r="G190" s="27" t="s">
        <v>27</v>
      </c>
      <c r="H190" s="27" t="s">
        <v>863</v>
      </c>
      <c r="I190" s="84">
        <v>0.36180555555555555</v>
      </c>
      <c r="J190" s="82">
        <v>1365</v>
      </c>
      <c r="K190" s="82">
        <v>10.220000000000001</v>
      </c>
      <c r="L190" s="82">
        <v>11.92</v>
      </c>
      <c r="M190" s="82">
        <v>0.87</v>
      </c>
      <c r="N190" s="4">
        <v>12.44</v>
      </c>
      <c r="O190" s="27" t="s">
        <v>48</v>
      </c>
      <c r="P190" s="27">
        <v>5</v>
      </c>
      <c r="Q190" s="27">
        <v>5</v>
      </c>
      <c r="R190" s="27" t="s">
        <v>64</v>
      </c>
      <c r="S190" s="27" t="s">
        <v>50</v>
      </c>
      <c r="T190" s="27" t="s">
        <v>50</v>
      </c>
      <c r="U190" s="27" t="s">
        <v>50</v>
      </c>
      <c r="V190" s="27" t="s">
        <v>50</v>
      </c>
      <c r="W190" s="27" t="s">
        <v>50</v>
      </c>
      <c r="X190" s="27" t="s">
        <v>50</v>
      </c>
      <c r="Y190" s="35"/>
    </row>
    <row r="191" spans="1:25" s="27" customFormat="1" x14ac:dyDescent="0.25">
      <c r="A191" s="26">
        <v>43109</v>
      </c>
      <c r="B191" s="27" t="s">
        <v>70</v>
      </c>
      <c r="C191" s="27" t="s">
        <v>62</v>
      </c>
      <c r="D191" s="89">
        <v>38.177030000000002</v>
      </c>
      <c r="E191" s="89">
        <v>-122.01048</v>
      </c>
      <c r="F191" s="27" t="s">
        <v>7073</v>
      </c>
      <c r="G191" s="27" t="s">
        <v>27</v>
      </c>
      <c r="H191" s="27" t="s">
        <v>62</v>
      </c>
      <c r="I191" s="84">
        <v>0.38263888888888892</v>
      </c>
      <c r="J191" s="82">
        <v>6668.8</v>
      </c>
      <c r="K191" s="82">
        <v>10.4</v>
      </c>
      <c r="L191" s="82">
        <v>32.979999999999997</v>
      </c>
      <c r="M191" s="82">
        <v>0.33400000000000002</v>
      </c>
      <c r="N191" s="4">
        <v>6.88</v>
      </c>
      <c r="O191" s="27" t="s">
        <v>48</v>
      </c>
      <c r="P191" s="27">
        <v>5</v>
      </c>
      <c r="Q191" s="27">
        <v>5</v>
      </c>
      <c r="R191" s="27" t="s">
        <v>64</v>
      </c>
      <c r="S191" s="27" t="s">
        <v>31</v>
      </c>
      <c r="T191" s="27">
        <v>1</v>
      </c>
      <c r="U191" s="27">
        <v>75</v>
      </c>
      <c r="V191" s="27" t="s">
        <v>66</v>
      </c>
      <c r="W191" s="27" t="s">
        <v>50</v>
      </c>
      <c r="X191" s="27" t="s">
        <v>50</v>
      </c>
      <c r="Y191" s="35"/>
    </row>
    <row r="192" spans="1:25" s="27" customFormat="1" x14ac:dyDescent="0.25">
      <c r="A192" s="26">
        <v>43109</v>
      </c>
      <c r="B192" s="27" t="s">
        <v>70</v>
      </c>
      <c r="C192" s="27" t="s">
        <v>62</v>
      </c>
      <c r="D192" s="89">
        <v>38.129510000000003</v>
      </c>
      <c r="E192" s="89">
        <v>-122.05893</v>
      </c>
      <c r="F192" s="27" t="s">
        <v>7074</v>
      </c>
      <c r="G192" s="27" t="s">
        <v>27</v>
      </c>
      <c r="H192" s="27" t="s">
        <v>62</v>
      </c>
      <c r="I192" s="84">
        <v>0.44027777777777777</v>
      </c>
      <c r="J192" s="82">
        <v>10107.4</v>
      </c>
      <c r="K192" s="82">
        <v>10.54</v>
      </c>
      <c r="L192" s="82">
        <v>19.96</v>
      </c>
      <c r="M192" s="82">
        <v>0.51</v>
      </c>
      <c r="N192" s="4">
        <v>5.72</v>
      </c>
      <c r="O192" s="27" t="s">
        <v>48</v>
      </c>
      <c r="P192" s="27">
        <v>5</v>
      </c>
      <c r="Q192" s="27">
        <v>5</v>
      </c>
      <c r="R192" s="27" t="s">
        <v>49</v>
      </c>
      <c r="S192" s="27" t="s">
        <v>50</v>
      </c>
      <c r="T192" s="27" t="s">
        <v>50</v>
      </c>
      <c r="U192" s="27" t="s">
        <v>50</v>
      </c>
      <c r="V192" s="27" t="s">
        <v>50</v>
      </c>
      <c r="W192" s="27" t="s">
        <v>50</v>
      </c>
      <c r="X192" s="27" t="s">
        <v>50</v>
      </c>
      <c r="Y192" s="35"/>
    </row>
    <row r="193" spans="1:25" s="27" customFormat="1" x14ac:dyDescent="0.25">
      <c r="A193" s="26">
        <v>43110</v>
      </c>
      <c r="B193" s="27" t="s">
        <v>87</v>
      </c>
      <c r="C193" s="27" t="s">
        <v>44</v>
      </c>
      <c r="D193" s="89">
        <v>38.015439999999998</v>
      </c>
      <c r="E193" s="89">
        <v>-121.61102</v>
      </c>
      <c r="F193" s="27" t="s">
        <v>7075</v>
      </c>
      <c r="G193" s="27" t="s">
        <v>46</v>
      </c>
      <c r="H193" s="27" t="s">
        <v>47</v>
      </c>
      <c r="I193" s="84">
        <v>0.31458333333333333</v>
      </c>
      <c r="J193" s="82">
        <v>542</v>
      </c>
      <c r="K193" s="82">
        <v>10.6</v>
      </c>
      <c r="L193" s="82">
        <v>6.876666666666666</v>
      </c>
      <c r="M193" s="82">
        <v>1.3233333333333333</v>
      </c>
      <c r="N193" s="4">
        <v>4.333333333333333</v>
      </c>
      <c r="O193" s="27" t="s">
        <v>48</v>
      </c>
      <c r="P193" s="27">
        <v>6</v>
      </c>
      <c r="Q193" s="27">
        <v>10</v>
      </c>
      <c r="R193" s="27" t="s">
        <v>49</v>
      </c>
      <c r="S193" s="27" t="s">
        <v>50</v>
      </c>
      <c r="T193" s="27" t="s">
        <v>50</v>
      </c>
      <c r="U193" s="27" t="s">
        <v>50</v>
      </c>
      <c r="V193" s="27" t="s">
        <v>50</v>
      </c>
      <c r="W193" s="27" t="s">
        <v>50</v>
      </c>
      <c r="X193" s="27" t="s">
        <v>50</v>
      </c>
      <c r="Y193" s="35"/>
    </row>
    <row r="194" spans="1:25" s="27" customFormat="1" x14ac:dyDescent="0.25">
      <c r="A194" s="26">
        <v>43110</v>
      </c>
      <c r="B194" s="27" t="s">
        <v>87</v>
      </c>
      <c r="C194" s="27" t="s">
        <v>44</v>
      </c>
      <c r="D194" s="89">
        <v>37.913739999999997</v>
      </c>
      <c r="E194" s="89">
        <v>-121.55974000000001</v>
      </c>
      <c r="F194" s="27" t="s">
        <v>7076</v>
      </c>
      <c r="G194" s="27" t="s">
        <v>46</v>
      </c>
      <c r="H194" s="27" t="s">
        <v>199</v>
      </c>
      <c r="I194" s="84">
        <v>0.43194444444444446</v>
      </c>
      <c r="J194" s="82">
        <v>350.9666666666667</v>
      </c>
      <c r="K194" s="82">
        <v>10.799999999999999</v>
      </c>
      <c r="L194" s="82">
        <v>8.0183333333333326</v>
      </c>
      <c r="M194" s="82">
        <v>1.08</v>
      </c>
      <c r="N194" s="4">
        <v>4.4333333333333327</v>
      </c>
      <c r="O194" s="27" t="s">
        <v>48</v>
      </c>
      <c r="P194" s="27">
        <v>6</v>
      </c>
      <c r="Q194" s="27">
        <v>10</v>
      </c>
      <c r="R194" s="27" t="s">
        <v>49</v>
      </c>
      <c r="S194" s="27" t="s">
        <v>50</v>
      </c>
      <c r="T194" s="27" t="s">
        <v>50</v>
      </c>
      <c r="U194" s="27" t="s">
        <v>50</v>
      </c>
      <c r="V194" s="27" t="s">
        <v>50</v>
      </c>
      <c r="W194" s="27" t="s">
        <v>50</v>
      </c>
      <c r="X194" s="27" t="s">
        <v>50</v>
      </c>
      <c r="Y194" s="35"/>
    </row>
    <row r="195" spans="1:25" s="27" customFormat="1" x14ac:dyDescent="0.25">
      <c r="A195" s="26">
        <v>43110</v>
      </c>
      <c r="B195" s="27" t="s">
        <v>87</v>
      </c>
      <c r="C195" s="27" t="s">
        <v>78</v>
      </c>
      <c r="D195" s="89">
        <v>38.049610000000001</v>
      </c>
      <c r="E195" s="89">
        <v>-121.86407</v>
      </c>
      <c r="F195" s="27" t="s">
        <v>7077</v>
      </c>
      <c r="G195" s="27" t="s">
        <v>27</v>
      </c>
      <c r="H195" s="27" t="s">
        <v>101</v>
      </c>
      <c r="I195" s="84">
        <v>0.32777777777777778</v>
      </c>
      <c r="J195" s="82">
        <v>4036.2</v>
      </c>
      <c r="K195" s="82">
        <v>10.199999999999999</v>
      </c>
      <c r="L195" s="82">
        <v>23.44</v>
      </c>
      <c r="M195" s="82">
        <v>0.58399999999999996</v>
      </c>
      <c r="N195" s="4">
        <v>4.2</v>
      </c>
      <c r="O195" s="27" t="s">
        <v>48</v>
      </c>
      <c r="P195" s="27">
        <v>5</v>
      </c>
      <c r="Q195" s="27">
        <v>5</v>
      </c>
      <c r="R195" s="27" t="s">
        <v>64</v>
      </c>
      <c r="S195" s="27" t="s">
        <v>50</v>
      </c>
      <c r="T195" s="27" t="s">
        <v>50</v>
      </c>
      <c r="U195" s="27" t="s">
        <v>50</v>
      </c>
      <c r="V195" s="27" t="s">
        <v>50</v>
      </c>
      <c r="W195" s="27" t="s">
        <v>50</v>
      </c>
      <c r="X195" s="27" t="s">
        <v>50</v>
      </c>
      <c r="Y195" s="35"/>
    </row>
    <row r="196" spans="1:25" s="27" customFormat="1" x14ac:dyDescent="0.25">
      <c r="A196" s="26">
        <v>43110</v>
      </c>
      <c r="B196" s="27" t="s">
        <v>87</v>
      </c>
      <c r="C196" s="27" t="s">
        <v>78</v>
      </c>
      <c r="D196" s="89">
        <v>38.038150000000002</v>
      </c>
      <c r="E196" s="89">
        <v>-122.11834</v>
      </c>
      <c r="F196" s="27" t="s">
        <v>7078</v>
      </c>
      <c r="G196" s="27" t="s">
        <v>80</v>
      </c>
      <c r="H196" s="27" t="s">
        <v>81</v>
      </c>
      <c r="I196" s="84">
        <v>0.41388888888888892</v>
      </c>
      <c r="J196" s="82">
        <v>20038.599999999999</v>
      </c>
      <c r="K196" s="82">
        <v>10.92</v>
      </c>
      <c r="L196" s="82">
        <v>29.22</v>
      </c>
      <c r="M196" s="82">
        <v>0.49800000000000005</v>
      </c>
      <c r="N196" s="4">
        <v>14.98</v>
      </c>
      <c r="O196" s="27" t="s">
        <v>48</v>
      </c>
      <c r="P196" s="27">
        <v>5</v>
      </c>
      <c r="Q196" s="27">
        <v>5</v>
      </c>
      <c r="R196" s="27" t="s">
        <v>64</v>
      </c>
      <c r="S196" s="27" t="s">
        <v>50</v>
      </c>
      <c r="T196" s="27" t="s">
        <v>50</v>
      </c>
      <c r="U196" s="27" t="s">
        <v>50</v>
      </c>
      <c r="V196" s="27" t="s">
        <v>50</v>
      </c>
      <c r="W196" s="27" t="s">
        <v>50</v>
      </c>
      <c r="X196" s="27" t="s">
        <v>50</v>
      </c>
      <c r="Y196" s="35"/>
    </row>
    <row r="197" spans="1:25" s="27" customFormat="1" x14ac:dyDescent="0.25">
      <c r="A197" s="26">
        <v>43110</v>
      </c>
      <c r="B197" s="27" t="s">
        <v>87</v>
      </c>
      <c r="C197" s="27" t="s">
        <v>78</v>
      </c>
      <c r="D197" s="89">
        <v>38.063020000000002</v>
      </c>
      <c r="E197" s="89">
        <v>-122.06277</v>
      </c>
      <c r="F197" s="27" t="s">
        <v>7079</v>
      </c>
      <c r="G197" s="27" t="s">
        <v>80</v>
      </c>
      <c r="H197" s="27" t="s">
        <v>81</v>
      </c>
      <c r="I197" s="84">
        <v>0.46388888888888885</v>
      </c>
      <c r="J197" s="82">
        <v>14745.4</v>
      </c>
      <c r="K197" s="82">
        <v>10.82</v>
      </c>
      <c r="L197" s="82">
        <v>26.8</v>
      </c>
      <c r="M197" s="82">
        <v>0.47799999999999992</v>
      </c>
      <c r="N197" s="4">
        <v>7.8</v>
      </c>
      <c r="O197" s="27" t="s">
        <v>48</v>
      </c>
      <c r="P197" s="27">
        <v>5</v>
      </c>
      <c r="Q197" s="27">
        <v>5</v>
      </c>
      <c r="R197" s="27" t="s">
        <v>49</v>
      </c>
      <c r="S197" s="27" t="s">
        <v>50</v>
      </c>
      <c r="T197" s="27" t="s">
        <v>50</v>
      </c>
      <c r="U197" s="27" t="s">
        <v>50</v>
      </c>
      <c r="V197" s="27" t="s">
        <v>50</v>
      </c>
      <c r="W197" s="27" t="s">
        <v>50</v>
      </c>
      <c r="X197" s="27" t="s">
        <v>50</v>
      </c>
      <c r="Y197" s="35"/>
    </row>
    <row r="198" spans="1:25" s="27" customFormat="1" x14ac:dyDescent="0.25">
      <c r="A198" s="26">
        <v>43110</v>
      </c>
      <c r="B198" s="27" t="s">
        <v>87</v>
      </c>
      <c r="C198" s="27" t="s">
        <v>6849</v>
      </c>
      <c r="D198" s="89">
        <v>38.453220000000002</v>
      </c>
      <c r="E198" s="89">
        <v>-121.50129</v>
      </c>
      <c r="F198" s="27" t="s">
        <v>7080</v>
      </c>
      <c r="G198" s="27" t="s">
        <v>90</v>
      </c>
      <c r="H198" s="27" t="s">
        <v>6851</v>
      </c>
      <c r="I198" s="84">
        <v>0.37777777777777777</v>
      </c>
      <c r="J198" s="82">
        <v>143.76666666666668</v>
      </c>
      <c r="K198" s="82">
        <v>11.483333333333334</v>
      </c>
      <c r="L198" s="82">
        <v>55.583333333333336</v>
      </c>
      <c r="M198" s="82">
        <v>0.315</v>
      </c>
      <c r="N198" s="4">
        <v>7.0500000000000007</v>
      </c>
      <c r="O198" s="27" t="s">
        <v>48</v>
      </c>
      <c r="P198" s="27">
        <v>6</v>
      </c>
      <c r="Q198" s="27">
        <v>10</v>
      </c>
      <c r="R198" s="27" t="s">
        <v>49</v>
      </c>
      <c r="S198" s="27" t="s">
        <v>702</v>
      </c>
      <c r="T198" s="27">
        <v>2</v>
      </c>
      <c r="U198" s="27" t="s">
        <v>5046</v>
      </c>
      <c r="V198" s="27" t="s">
        <v>50</v>
      </c>
      <c r="W198" s="27">
        <v>3</v>
      </c>
      <c r="X198" s="27" t="s">
        <v>50</v>
      </c>
      <c r="Y198" s="35" t="s">
        <v>7081</v>
      </c>
    </row>
    <row r="199" spans="1:25" s="27" customFormat="1" x14ac:dyDescent="0.25">
      <c r="A199" s="26">
        <v>43110</v>
      </c>
      <c r="B199" s="27" t="s">
        <v>87</v>
      </c>
      <c r="C199" s="27" t="s">
        <v>6849</v>
      </c>
      <c r="D199" s="89">
        <v>38.453220000000002</v>
      </c>
      <c r="E199" s="89">
        <v>-121.50129</v>
      </c>
      <c r="F199" s="27" t="s">
        <v>7080</v>
      </c>
      <c r="G199" s="27" t="s">
        <v>90</v>
      </c>
      <c r="H199" s="27" t="s">
        <v>6851</v>
      </c>
      <c r="I199" s="84"/>
      <c r="J199" s="82"/>
      <c r="K199" s="82"/>
      <c r="L199" s="82"/>
      <c r="M199" s="82"/>
      <c r="N199" s="4"/>
      <c r="S199" s="27" t="s">
        <v>348</v>
      </c>
      <c r="T199" s="27">
        <v>1</v>
      </c>
      <c r="U199" s="27">
        <v>165</v>
      </c>
      <c r="V199" s="27" t="s">
        <v>50</v>
      </c>
      <c r="W199" s="27">
        <v>5</v>
      </c>
      <c r="X199" s="27" t="s">
        <v>2525</v>
      </c>
      <c r="Y199" s="87"/>
    </row>
    <row r="200" spans="1:25" s="27" customFormat="1" x14ac:dyDescent="0.25">
      <c r="A200" s="26">
        <v>43110</v>
      </c>
      <c r="B200" s="27" t="s">
        <v>87</v>
      </c>
      <c r="C200" s="27" t="s">
        <v>6849</v>
      </c>
      <c r="D200" s="89">
        <v>38.422490000000003</v>
      </c>
      <c r="E200" s="89">
        <v>-121.52681</v>
      </c>
      <c r="F200" s="27" t="s">
        <v>7082</v>
      </c>
      <c r="G200" s="27" t="s">
        <v>90</v>
      </c>
      <c r="H200" s="27" t="s">
        <v>6851</v>
      </c>
      <c r="I200" s="84">
        <v>0.46666666666666662</v>
      </c>
      <c r="J200" s="82">
        <v>141.1</v>
      </c>
      <c r="K200" s="82">
        <v>11.5</v>
      </c>
      <c r="L200" s="82">
        <v>49.25</v>
      </c>
      <c r="M200" s="82">
        <v>0.34166666666666673</v>
      </c>
      <c r="N200" s="4">
        <v>6.6666666666666679</v>
      </c>
      <c r="O200" s="27" t="s">
        <v>48</v>
      </c>
      <c r="P200" s="27">
        <v>6</v>
      </c>
      <c r="Q200" s="27">
        <v>10</v>
      </c>
      <c r="R200" s="27" t="s">
        <v>49</v>
      </c>
      <c r="S200" s="27" t="s">
        <v>702</v>
      </c>
      <c r="T200" s="27">
        <v>1</v>
      </c>
      <c r="U200" s="27">
        <v>38</v>
      </c>
      <c r="V200" s="27" t="s">
        <v>50</v>
      </c>
      <c r="W200" s="27">
        <v>3</v>
      </c>
      <c r="X200" s="27" t="s">
        <v>50</v>
      </c>
      <c r="Y200" s="87"/>
    </row>
    <row r="201" spans="1:25" s="27" customFormat="1" x14ac:dyDescent="0.25">
      <c r="A201" s="26">
        <v>43110</v>
      </c>
      <c r="B201" s="27" t="s">
        <v>87</v>
      </c>
      <c r="C201" s="27" t="s">
        <v>6849</v>
      </c>
      <c r="D201" s="89">
        <v>38.422490000000003</v>
      </c>
      <c r="E201" s="89">
        <v>-121.52681</v>
      </c>
      <c r="F201" s="27" t="s">
        <v>7082</v>
      </c>
      <c r="G201" s="27" t="s">
        <v>90</v>
      </c>
      <c r="H201" s="27" t="s">
        <v>6851</v>
      </c>
      <c r="I201" s="84"/>
      <c r="J201" s="82"/>
      <c r="K201" s="82"/>
      <c r="L201" s="82"/>
      <c r="M201" s="82"/>
      <c r="N201" s="4"/>
      <c r="S201" s="27" t="s">
        <v>348</v>
      </c>
      <c r="T201" s="27">
        <v>1</v>
      </c>
      <c r="U201" s="27">
        <v>177</v>
      </c>
      <c r="V201" s="27" t="s">
        <v>50</v>
      </c>
      <c r="W201" s="27">
        <v>5</v>
      </c>
      <c r="X201" s="27" t="s">
        <v>2525</v>
      </c>
      <c r="Y201" s="87"/>
    </row>
    <row r="202" spans="1:25" s="27" customFormat="1" x14ac:dyDescent="0.25">
      <c r="A202" s="26">
        <v>43111</v>
      </c>
      <c r="B202" s="27" t="s">
        <v>105</v>
      </c>
      <c r="C202" s="27" t="s">
        <v>88</v>
      </c>
      <c r="D202" s="89">
        <v>38.144599999999997</v>
      </c>
      <c r="E202" s="89">
        <v>-121.68625</v>
      </c>
      <c r="F202" s="27" t="s">
        <v>7083</v>
      </c>
      <c r="G202" s="27" t="s">
        <v>90</v>
      </c>
      <c r="H202" s="27" t="s">
        <v>91</v>
      </c>
      <c r="I202" s="84">
        <v>0.31736111111111115</v>
      </c>
      <c r="J202" s="82">
        <v>178.3</v>
      </c>
      <c r="K202" s="82">
        <v>11.2</v>
      </c>
      <c r="L202" s="82">
        <v>19.88</v>
      </c>
      <c r="M202" s="82">
        <v>0.64800000000000002</v>
      </c>
      <c r="N202" s="4">
        <v>5.6</v>
      </c>
      <c r="O202" s="27" t="s">
        <v>48</v>
      </c>
      <c r="P202" s="27">
        <v>5</v>
      </c>
      <c r="Q202" s="27">
        <v>5</v>
      </c>
      <c r="R202" s="27" t="s">
        <v>64</v>
      </c>
      <c r="S202" s="27" t="s">
        <v>50</v>
      </c>
      <c r="T202" s="27" t="s">
        <v>50</v>
      </c>
      <c r="U202" s="27" t="s">
        <v>50</v>
      </c>
      <c r="V202" s="27" t="s">
        <v>50</v>
      </c>
      <c r="W202" s="27" t="s">
        <v>50</v>
      </c>
      <c r="X202" s="27" t="s">
        <v>50</v>
      </c>
      <c r="Y202" s="35"/>
    </row>
    <row r="203" spans="1:25" s="27" customFormat="1" x14ac:dyDescent="0.25">
      <c r="A203" s="26">
        <v>43111</v>
      </c>
      <c r="B203" s="27" t="s">
        <v>105</v>
      </c>
      <c r="C203" s="27" t="s">
        <v>88</v>
      </c>
      <c r="D203" s="89">
        <v>38.113239999999998</v>
      </c>
      <c r="E203" s="89">
        <v>-121.69906</v>
      </c>
      <c r="F203" s="27" t="s">
        <v>7084</v>
      </c>
      <c r="G203" s="27" t="s">
        <v>90</v>
      </c>
      <c r="H203" s="27" t="s">
        <v>91</v>
      </c>
      <c r="I203" s="84">
        <v>0.3743055555555555</v>
      </c>
      <c r="J203" s="82">
        <v>263.62</v>
      </c>
      <c r="K203" s="82">
        <v>10.9</v>
      </c>
      <c r="L203" s="82">
        <v>12.44</v>
      </c>
      <c r="M203" s="82">
        <v>1.1060000000000001</v>
      </c>
      <c r="N203" s="4">
        <v>4.34</v>
      </c>
      <c r="O203" s="27" t="s">
        <v>48</v>
      </c>
      <c r="P203" s="27">
        <v>5</v>
      </c>
      <c r="Q203" s="27">
        <v>5</v>
      </c>
      <c r="R203" s="27" t="s">
        <v>64</v>
      </c>
      <c r="S203" s="27" t="s">
        <v>50</v>
      </c>
      <c r="T203" s="27" t="s">
        <v>50</v>
      </c>
      <c r="U203" s="27" t="s">
        <v>50</v>
      </c>
      <c r="V203" s="27" t="s">
        <v>50</v>
      </c>
      <c r="W203" s="27" t="s">
        <v>50</v>
      </c>
      <c r="X203" s="27" t="s">
        <v>50</v>
      </c>
      <c r="Y203" s="35"/>
    </row>
    <row r="204" spans="1:25" s="27" customFormat="1" x14ac:dyDescent="0.25">
      <c r="A204" s="26">
        <v>43111</v>
      </c>
      <c r="B204" s="27" t="s">
        <v>105</v>
      </c>
      <c r="C204" s="27" t="s">
        <v>78</v>
      </c>
      <c r="D204" s="89">
        <v>38.049419999999998</v>
      </c>
      <c r="E204" s="89">
        <v>-122.12107</v>
      </c>
      <c r="F204" s="27" t="s">
        <v>7085</v>
      </c>
      <c r="G204" s="27" t="s">
        <v>80</v>
      </c>
      <c r="H204" s="27" t="s">
        <v>81</v>
      </c>
      <c r="I204" s="84">
        <v>0.36319444444444443</v>
      </c>
      <c r="J204" s="82">
        <v>16183.4</v>
      </c>
      <c r="K204" s="82">
        <v>10.8</v>
      </c>
      <c r="L204" s="82">
        <v>24.64</v>
      </c>
      <c r="M204" s="82">
        <v>0.46</v>
      </c>
      <c r="N204" s="4">
        <v>11.18</v>
      </c>
      <c r="O204" s="27" t="s">
        <v>48</v>
      </c>
      <c r="P204" s="27">
        <v>5</v>
      </c>
      <c r="Q204" s="27">
        <v>5</v>
      </c>
      <c r="R204" s="27" t="s">
        <v>64</v>
      </c>
      <c r="S204" s="27" t="s">
        <v>50</v>
      </c>
      <c r="T204" s="27" t="s">
        <v>50</v>
      </c>
      <c r="U204" s="27" t="s">
        <v>50</v>
      </c>
      <c r="V204" s="27" t="s">
        <v>50</v>
      </c>
      <c r="W204" s="27" t="s">
        <v>50</v>
      </c>
      <c r="X204" s="27" t="s">
        <v>50</v>
      </c>
      <c r="Y204" s="35"/>
    </row>
    <row r="205" spans="1:25" s="27" customFormat="1" x14ac:dyDescent="0.25">
      <c r="A205" s="26">
        <v>43111</v>
      </c>
      <c r="B205" s="27" t="s">
        <v>105</v>
      </c>
      <c r="C205" s="27" t="s">
        <v>78</v>
      </c>
      <c r="D205" s="89">
        <v>38.058990000000001</v>
      </c>
      <c r="E205" s="89">
        <v>-121.98075</v>
      </c>
      <c r="F205" s="27" t="s">
        <v>7086</v>
      </c>
      <c r="G205" s="27" t="s">
        <v>27</v>
      </c>
      <c r="H205" s="27" t="s">
        <v>86</v>
      </c>
      <c r="I205" s="84">
        <v>0.42083333333333334</v>
      </c>
      <c r="J205" s="82">
        <v>7487</v>
      </c>
      <c r="K205" s="82">
        <v>10.42</v>
      </c>
      <c r="L205" s="82">
        <v>23.1</v>
      </c>
      <c r="M205" s="82">
        <v>0.58799999999999997</v>
      </c>
      <c r="N205" s="4">
        <v>11.42</v>
      </c>
      <c r="O205" s="27" t="s">
        <v>48</v>
      </c>
      <c r="P205" s="27">
        <v>5</v>
      </c>
      <c r="Q205" s="27">
        <v>5</v>
      </c>
      <c r="R205" s="27" t="s">
        <v>64</v>
      </c>
      <c r="S205" s="27" t="s">
        <v>50</v>
      </c>
      <c r="T205" s="27" t="s">
        <v>50</v>
      </c>
      <c r="U205" s="27" t="s">
        <v>50</v>
      </c>
      <c r="V205" s="27" t="s">
        <v>50</v>
      </c>
      <c r="W205" s="27" t="s">
        <v>50</v>
      </c>
      <c r="X205" s="27" t="s">
        <v>50</v>
      </c>
      <c r="Y205" s="35"/>
    </row>
    <row r="206" spans="1:25" s="27" customFormat="1" x14ac:dyDescent="0.25">
      <c r="A206" s="26">
        <v>43111</v>
      </c>
      <c r="B206" s="27" t="s">
        <v>105</v>
      </c>
      <c r="C206" s="27" t="s">
        <v>6879</v>
      </c>
      <c r="D206" s="89">
        <v>38.08296</v>
      </c>
      <c r="E206" s="89">
        <v>-121.559</v>
      </c>
      <c r="F206" s="27" t="s">
        <v>7087</v>
      </c>
      <c r="G206" s="27" t="s">
        <v>46</v>
      </c>
      <c r="H206" s="27" t="s">
        <v>6881</v>
      </c>
      <c r="I206" s="84">
        <v>0.3125</v>
      </c>
      <c r="J206" s="82">
        <v>190.33500000000001</v>
      </c>
      <c r="K206" s="82">
        <v>10.533329999999999</v>
      </c>
      <c r="L206" s="82">
        <v>7.0866670000000003</v>
      </c>
      <c r="M206" s="82">
        <v>1.92</v>
      </c>
      <c r="N206" s="4">
        <v>8.65</v>
      </c>
      <c r="O206" s="27" t="s">
        <v>48</v>
      </c>
      <c r="P206" s="27">
        <v>6</v>
      </c>
      <c r="Q206" s="27">
        <v>10</v>
      </c>
      <c r="R206" s="27" t="s">
        <v>64</v>
      </c>
      <c r="S206" s="27" t="s">
        <v>50</v>
      </c>
      <c r="T206" s="27" t="s">
        <v>50</v>
      </c>
      <c r="U206" s="27" t="s">
        <v>50</v>
      </c>
      <c r="V206" s="27" t="s">
        <v>50</v>
      </c>
      <c r="W206" s="27" t="s">
        <v>50</v>
      </c>
      <c r="X206" s="27" t="s">
        <v>50</v>
      </c>
      <c r="Y206" s="35"/>
    </row>
    <row r="207" spans="1:25" s="108" customFormat="1" ht="15.75" thickBot="1" x14ac:dyDescent="0.3">
      <c r="A207" s="126">
        <v>43111</v>
      </c>
      <c r="B207" s="108" t="s">
        <v>105</v>
      </c>
      <c r="C207" s="108" t="s">
        <v>6879</v>
      </c>
      <c r="D207" s="109">
        <v>38.105289999999997</v>
      </c>
      <c r="E207" s="109">
        <v>-121.49326000000001</v>
      </c>
      <c r="F207" s="108" t="s">
        <v>7088</v>
      </c>
      <c r="G207" s="108" t="s">
        <v>46</v>
      </c>
      <c r="H207" s="108" t="s">
        <v>6881</v>
      </c>
      <c r="I207" s="110">
        <v>0.39027777777777778</v>
      </c>
      <c r="J207" s="111">
        <v>156.48330000000001</v>
      </c>
      <c r="K207" s="111">
        <v>11.033329999999999</v>
      </c>
      <c r="L207" s="111">
        <v>7.7283330000000001</v>
      </c>
      <c r="M207" s="111">
        <v>1.8049999999999999</v>
      </c>
      <c r="N207" s="112">
        <v>6.6666670000000003</v>
      </c>
      <c r="O207" s="108" t="s">
        <v>48</v>
      </c>
      <c r="P207" s="108">
        <v>6</v>
      </c>
      <c r="Q207" s="108">
        <v>10</v>
      </c>
      <c r="R207" s="108" t="s">
        <v>64</v>
      </c>
      <c r="S207" s="108" t="s">
        <v>50</v>
      </c>
      <c r="T207" s="108" t="s">
        <v>50</v>
      </c>
      <c r="U207" s="108" t="s">
        <v>50</v>
      </c>
      <c r="V207" s="108" t="s">
        <v>50</v>
      </c>
      <c r="W207" s="108" t="s">
        <v>50</v>
      </c>
      <c r="X207" s="108" t="s">
        <v>50</v>
      </c>
      <c r="Y207" s="113"/>
    </row>
    <row r="208" spans="1:25" s="27" customFormat="1" ht="15.75" thickTop="1" x14ac:dyDescent="0.25">
      <c r="A208" s="26">
        <v>43116</v>
      </c>
      <c r="B208" s="27" t="s">
        <v>70</v>
      </c>
      <c r="C208" s="27" t="s">
        <v>78</v>
      </c>
      <c r="D208" s="89">
        <v>38.066569999999999</v>
      </c>
      <c r="E208" s="89">
        <v>-121.85993000000001</v>
      </c>
      <c r="F208" s="27" t="s">
        <v>7089</v>
      </c>
      <c r="G208" s="27" t="s">
        <v>27</v>
      </c>
      <c r="H208" s="27" t="s">
        <v>101</v>
      </c>
      <c r="I208" s="84">
        <v>0.34097222222222223</v>
      </c>
      <c r="J208" s="82">
        <v>842.2</v>
      </c>
      <c r="K208" s="82">
        <v>10.860000000000001</v>
      </c>
      <c r="L208" s="82">
        <v>21.78</v>
      </c>
      <c r="M208" s="82">
        <v>0.63600000000000001</v>
      </c>
      <c r="N208" s="4">
        <v>9.2200000000000006</v>
      </c>
      <c r="O208" s="27" t="s">
        <v>48</v>
      </c>
      <c r="P208" s="27">
        <v>5</v>
      </c>
      <c r="Q208" s="27">
        <v>5</v>
      </c>
      <c r="R208" s="27" t="s">
        <v>49</v>
      </c>
      <c r="S208" s="27" t="s">
        <v>50</v>
      </c>
      <c r="T208" s="27" t="s">
        <v>50</v>
      </c>
      <c r="U208" s="27" t="s">
        <v>50</v>
      </c>
      <c r="V208" s="27" t="s">
        <v>50</v>
      </c>
      <c r="W208" s="27" t="s">
        <v>50</v>
      </c>
      <c r="X208" s="27" t="s">
        <v>50</v>
      </c>
      <c r="Y208" s="35"/>
    </row>
    <row r="209" spans="1:25" s="27" customFormat="1" x14ac:dyDescent="0.25">
      <c r="A209" s="26">
        <v>43116</v>
      </c>
      <c r="B209" s="27" t="s">
        <v>70</v>
      </c>
      <c r="C209" s="27" t="s">
        <v>78</v>
      </c>
      <c r="D209" s="89">
        <v>38.072409999999998</v>
      </c>
      <c r="E209" s="89">
        <v>-122.00833</v>
      </c>
      <c r="F209" s="27" t="s">
        <v>7090</v>
      </c>
      <c r="G209" s="27" t="s">
        <v>27</v>
      </c>
      <c r="H209" s="27" t="s">
        <v>86</v>
      </c>
      <c r="I209" s="84">
        <v>0.39374999999999999</v>
      </c>
      <c r="J209" s="82">
        <v>4677.8</v>
      </c>
      <c r="K209" s="82">
        <v>10.64</v>
      </c>
      <c r="L209" s="82">
        <v>19.119999999999997</v>
      </c>
      <c r="M209" s="82">
        <v>0.60799999999999998</v>
      </c>
      <c r="N209" s="4">
        <v>6.4599999999999991</v>
      </c>
      <c r="O209" s="27" t="s">
        <v>48</v>
      </c>
      <c r="P209" s="27">
        <v>5</v>
      </c>
      <c r="Q209" s="27">
        <v>5</v>
      </c>
      <c r="R209" s="27" t="s">
        <v>49</v>
      </c>
      <c r="S209" s="27" t="s">
        <v>50</v>
      </c>
      <c r="T209" s="27" t="s">
        <v>50</v>
      </c>
      <c r="U209" s="27" t="s">
        <v>50</v>
      </c>
      <c r="V209" s="27" t="s">
        <v>50</v>
      </c>
      <c r="W209" s="27" t="s">
        <v>50</v>
      </c>
      <c r="X209" s="27" t="s">
        <v>50</v>
      </c>
      <c r="Y209" s="35"/>
    </row>
    <row r="210" spans="1:25" s="27" customFormat="1" x14ac:dyDescent="0.25">
      <c r="A210" s="26">
        <v>43116</v>
      </c>
      <c r="B210" s="27" t="s">
        <v>70</v>
      </c>
      <c r="C210" s="27" t="s">
        <v>106</v>
      </c>
      <c r="D210" s="89">
        <v>38.555770000000003</v>
      </c>
      <c r="E210" s="89">
        <v>-121.57465999999999</v>
      </c>
      <c r="F210" s="27" t="s">
        <v>7091</v>
      </c>
      <c r="G210" s="27" t="s">
        <v>90</v>
      </c>
      <c r="H210" s="27" t="s">
        <v>1787</v>
      </c>
      <c r="I210" s="84">
        <v>0.3527777777777778</v>
      </c>
      <c r="J210" s="82">
        <v>735.4</v>
      </c>
      <c r="K210" s="82">
        <v>11</v>
      </c>
      <c r="L210" s="82">
        <v>12.080000000000002</v>
      </c>
      <c r="M210" s="82">
        <v>1.3660000000000001</v>
      </c>
      <c r="N210" s="4">
        <v>11.46</v>
      </c>
      <c r="O210" s="27" t="s">
        <v>48</v>
      </c>
      <c r="P210" s="27">
        <v>5</v>
      </c>
      <c r="Q210" s="27">
        <v>5</v>
      </c>
      <c r="R210" s="27" t="s">
        <v>49</v>
      </c>
      <c r="S210" s="27" t="s">
        <v>50</v>
      </c>
      <c r="T210" s="27" t="s">
        <v>50</v>
      </c>
      <c r="U210" s="27" t="s">
        <v>50</v>
      </c>
      <c r="V210" s="27" t="s">
        <v>50</v>
      </c>
      <c r="W210" s="27" t="s">
        <v>50</v>
      </c>
      <c r="X210" s="27" t="s">
        <v>50</v>
      </c>
      <c r="Y210" s="35"/>
    </row>
    <row r="211" spans="1:25" s="27" customFormat="1" x14ac:dyDescent="0.25">
      <c r="A211" s="26">
        <v>43116</v>
      </c>
      <c r="B211" s="27" t="s">
        <v>70</v>
      </c>
      <c r="C211" s="27" t="s">
        <v>106</v>
      </c>
      <c r="D211" s="89">
        <v>38.461799999999997</v>
      </c>
      <c r="E211" s="89">
        <v>-121.58862999999999</v>
      </c>
      <c r="F211" s="27" t="s">
        <v>7092</v>
      </c>
      <c r="G211" s="27" t="s">
        <v>90</v>
      </c>
      <c r="H211" s="27" t="s">
        <v>362</v>
      </c>
      <c r="I211" s="84">
        <v>0.39861111111111108</v>
      </c>
      <c r="J211" s="82">
        <v>484.8</v>
      </c>
      <c r="K211" s="82">
        <v>10.4</v>
      </c>
      <c r="L211" s="82">
        <v>90.8</v>
      </c>
      <c r="M211" s="82">
        <v>0.28800000000000003</v>
      </c>
      <c r="N211" s="4">
        <v>9.4199999999999982</v>
      </c>
      <c r="O211" s="27" t="s">
        <v>48</v>
      </c>
      <c r="P211" s="27">
        <v>5</v>
      </c>
      <c r="Q211" s="27">
        <v>5</v>
      </c>
      <c r="R211" s="27" t="s">
        <v>49</v>
      </c>
      <c r="S211" s="27" t="s">
        <v>50</v>
      </c>
      <c r="T211" s="27" t="s">
        <v>50</v>
      </c>
      <c r="U211" s="27" t="s">
        <v>50</v>
      </c>
      <c r="V211" s="27" t="s">
        <v>50</v>
      </c>
      <c r="W211" s="27" t="s">
        <v>50</v>
      </c>
      <c r="X211" s="27" t="s">
        <v>50</v>
      </c>
      <c r="Y211" s="35"/>
    </row>
    <row r="212" spans="1:25" s="27" customFormat="1" x14ac:dyDescent="0.25">
      <c r="A212" s="26">
        <v>43116</v>
      </c>
      <c r="B212" s="27" t="s">
        <v>70</v>
      </c>
      <c r="C212" s="27" t="s">
        <v>106</v>
      </c>
      <c r="D212" s="89">
        <v>38.279940000000003</v>
      </c>
      <c r="E212" s="89">
        <v>-121.66092</v>
      </c>
      <c r="F212" s="27" t="s">
        <v>7093</v>
      </c>
      <c r="G212" s="27" t="s">
        <v>90</v>
      </c>
      <c r="H212" s="27" t="s">
        <v>362</v>
      </c>
      <c r="I212" s="84">
        <v>0.47916666666666669</v>
      </c>
      <c r="J212" s="82">
        <v>180.08</v>
      </c>
      <c r="K212" s="82">
        <v>10.739999999999998</v>
      </c>
      <c r="L212" s="82">
        <v>43.34</v>
      </c>
      <c r="M212" s="82">
        <v>0.65200000000000002</v>
      </c>
      <c r="N212" s="4">
        <v>9.42</v>
      </c>
      <c r="O212" s="27" t="s">
        <v>48</v>
      </c>
      <c r="P212" s="27">
        <v>5</v>
      </c>
      <c r="Q212" s="27">
        <v>5</v>
      </c>
      <c r="R212" s="27" t="s">
        <v>64</v>
      </c>
      <c r="S212" s="27" t="s">
        <v>50</v>
      </c>
      <c r="T212" s="27" t="s">
        <v>50</v>
      </c>
      <c r="U212" s="27" t="s">
        <v>50</v>
      </c>
      <c r="V212" s="27" t="s">
        <v>50</v>
      </c>
      <c r="W212" s="27" t="s">
        <v>50</v>
      </c>
      <c r="X212" s="27" t="s">
        <v>50</v>
      </c>
      <c r="Y212" s="35"/>
    </row>
    <row r="213" spans="1:25" s="149" customFormat="1" x14ac:dyDescent="0.25">
      <c r="A213" s="178">
        <v>43116</v>
      </c>
      <c r="B213" s="149" t="s">
        <v>70</v>
      </c>
      <c r="C213" s="149" t="s">
        <v>6879</v>
      </c>
      <c r="D213" s="150">
        <v>38.035879999999999</v>
      </c>
      <c r="E213" s="150">
        <v>-121.38209999999999</v>
      </c>
      <c r="F213" s="149" t="s">
        <v>7094</v>
      </c>
      <c r="G213" s="149" t="s">
        <v>46</v>
      </c>
      <c r="H213" s="149" t="s">
        <v>6883</v>
      </c>
      <c r="I213" s="151">
        <v>0.33888888888888885</v>
      </c>
      <c r="J213" s="197">
        <v>1207</v>
      </c>
      <c r="K213" s="197">
        <v>11.4</v>
      </c>
      <c r="L213" s="197" t="s">
        <v>50</v>
      </c>
      <c r="M213" s="197">
        <v>0.67</v>
      </c>
      <c r="N213" s="197">
        <v>3.1</v>
      </c>
      <c r="O213" s="149" t="s">
        <v>48</v>
      </c>
      <c r="P213" s="149">
        <v>1</v>
      </c>
      <c r="Q213" s="149">
        <v>10</v>
      </c>
      <c r="R213" s="149" t="s">
        <v>49</v>
      </c>
      <c r="S213" s="149" t="s">
        <v>50</v>
      </c>
      <c r="T213" s="149" t="s">
        <v>50</v>
      </c>
      <c r="U213" s="149" t="s">
        <v>50</v>
      </c>
      <c r="V213" s="149" t="s">
        <v>50</v>
      </c>
      <c r="W213" s="149" t="s">
        <v>50</v>
      </c>
      <c r="X213" s="149" t="s">
        <v>50</v>
      </c>
      <c r="Y213" s="35" t="s">
        <v>7095</v>
      </c>
    </row>
    <row r="214" spans="1:25" s="149" customFormat="1" x14ac:dyDescent="0.25">
      <c r="A214" s="178">
        <v>43116</v>
      </c>
      <c r="B214" s="149" t="s">
        <v>70</v>
      </c>
      <c r="C214" s="149" t="s">
        <v>6879</v>
      </c>
      <c r="D214" s="150">
        <v>38.070920000000001</v>
      </c>
      <c r="E214" s="150">
        <v>-121.50291</v>
      </c>
      <c r="F214" s="149" t="s">
        <v>7096</v>
      </c>
      <c r="G214" s="149" t="s">
        <v>46</v>
      </c>
      <c r="H214" s="149" t="s">
        <v>6881</v>
      </c>
      <c r="I214" s="151">
        <v>0.42152777777777778</v>
      </c>
      <c r="J214" s="197">
        <v>145.43333333333334</v>
      </c>
      <c r="K214" s="197">
        <v>11.233333333333333</v>
      </c>
      <c r="L214" s="197" t="s">
        <v>50</v>
      </c>
      <c r="M214" s="197">
        <v>1.5250000000000001</v>
      </c>
      <c r="N214" s="197">
        <v>7.0333333333333341</v>
      </c>
      <c r="O214" s="149" t="s">
        <v>48</v>
      </c>
      <c r="P214" s="149">
        <v>6</v>
      </c>
      <c r="Q214" s="149">
        <v>10</v>
      </c>
      <c r="R214" s="149" t="s">
        <v>49</v>
      </c>
      <c r="S214" s="149" t="s">
        <v>50</v>
      </c>
      <c r="T214" s="149" t="s">
        <v>50</v>
      </c>
      <c r="U214" s="149" t="s">
        <v>50</v>
      </c>
      <c r="V214" s="149" t="s">
        <v>50</v>
      </c>
      <c r="W214" s="149" t="s">
        <v>50</v>
      </c>
      <c r="X214" s="149" t="s">
        <v>50</v>
      </c>
      <c r="Y214" s="35" t="s">
        <v>7097</v>
      </c>
    </row>
    <row r="215" spans="1:25" s="27" customFormat="1" x14ac:dyDescent="0.25">
      <c r="A215" s="26">
        <v>43116</v>
      </c>
      <c r="B215" s="27" t="s">
        <v>70</v>
      </c>
      <c r="C215" s="27" t="s">
        <v>6879</v>
      </c>
      <c r="D215" s="89">
        <v>38.119109999999999</v>
      </c>
      <c r="E215" s="89">
        <v>-121.51109</v>
      </c>
      <c r="F215" s="27" t="s">
        <v>7098</v>
      </c>
      <c r="G215" s="27" t="s">
        <v>46</v>
      </c>
      <c r="H215" s="27" t="s">
        <v>6881</v>
      </c>
      <c r="I215" s="84">
        <v>0.51111111111111118</v>
      </c>
      <c r="J215" s="82">
        <v>133.35</v>
      </c>
      <c r="K215" s="82">
        <v>11.483333333333334</v>
      </c>
      <c r="L215" s="82" t="s">
        <v>50</v>
      </c>
      <c r="M215" s="82">
        <v>0.98833333333333329</v>
      </c>
      <c r="N215" s="4">
        <v>3.5</v>
      </c>
      <c r="O215" s="27" t="s">
        <v>48</v>
      </c>
      <c r="P215" s="27">
        <v>6</v>
      </c>
      <c r="Q215" s="27">
        <v>10</v>
      </c>
      <c r="R215" s="27" t="s">
        <v>49</v>
      </c>
      <c r="S215" s="27" t="s">
        <v>50</v>
      </c>
      <c r="T215" s="27" t="s">
        <v>50</v>
      </c>
      <c r="U215" s="27" t="s">
        <v>50</v>
      </c>
      <c r="V215" s="27" t="s">
        <v>50</v>
      </c>
      <c r="W215" s="27" t="s">
        <v>50</v>
      </c>
      <c r="X215" s="27" t="s">
        <v>50</v>
      </c>
      <c r="Y215" s="35" t="s">
        <v>7099</v>
      </c>
    </row>
    <row r="216" spans="1:25" s="27" customFormat="1" x14ac:dyDescent="0.25">
      <c r="A216" s="26">
        <v>43117</v>
      </c>
      <c r="B216" s="27" t="s">
        <v>87</v>
      </c>
      <c r="C216" s="27" t="s">
        <v>95</v>
      </c>
      <c r="D216" s="89">
        <v>38.06456</v>
      </c>
      <c r="E216" s="89">
        <v>-121.54040000000001</v>
      </c>
      <c r="F216" s="27" t="s">
        <v>7100</v>
      </c>
      <c r="G216" s="27" t="s">
        <v>46</v>
      </c>
      <c r="H216" s="27" t="s">
        <v>115</v>
      </c>
      <c r="I216" s="84">
        <v>0.31875000000000003</v>
      </c>
      <c r="J216" s="82">
        <v>209.08</v>
      </c>
      <c r="K216" s="82">
        <v>10.96</v>
      </c>
      <c r="L216" s="82">
        <v>17.420000000000002</v>
      </c>
      <c r="M216" s="82">
        <v>1.4319999999999999</v>
      </c>
      <c r="N216" s="4">
        <v>7.3</v>
      </c>
      <c r="O216" s="27" t="s">
        <v>48</v>
      </c>
      <c r="P216" s="27">
        <v>5</v>
      </c>
      <c r="Q216" s="27">
        <v>5</v>
      </c>
      <c r="R216" s="27" t="s">
        <v>49</v>
      </c>
      <c r="S216" s="27" t="s">
        <v>50</v>
      </c>
      <c r="T216" s="27" t="s">
        <v>50</v>
      </c>
      <c r="U216" s="27" t="s">
        <v>50</v>
      </c>
      <c r="V216" s="27" t="s">
        <v>50</v>
      </c>
      <c r="W216" s="27" t="s">
        <v>50</v>
      </c>
      <c r="X216" s="27" t="s">
        <v>50</v>
      </c>
      <c r="Y216" s="35"/>
    </row>
    <row r="217" spans="1:25" s="27" customFormat="1" x14ac:dyDescent="0.25">
      <c r="A217" s="26">
        <v>43117</v>
      </c>
      <c r="B217" s="27" t="s">
        <v>87</v>
      </c>
      <c r="C217" s="27" t="s">
        <v>95</v>
      </c>
      <c r="D217" s="89">
        <v>38.021630000000002</v>
      </c>
      <c r="E217" s="89">
        <v>-121.76488000000001</v>
      </c>
      <c r="F217" s="27" t="s">
        <v>7101</v>
      </c>
      <c r="G217" s="27" t="s">
        <v>27</v>
      </c>
      <c r="H217" s="27" t="s">
        <v>863</v>
      </c>
      <c r="I217" s="84">
        <v>0.39444444444444443</v>
      </c>
      <c r="J217" s="82">
        <v>456.72</v>
      </c>
      <c r="K217" s="82">
        <v>10.7</v>
      </c>
      <c r="L217" s="82">
        <v>19.86</v>
      </c>
      <c r="M217" s="82">
        <v>1.3959999999999999</v>
      </c>
      <c r="N217" s="4">
        <v>10.78</v>
      </c>
      <c r="O217" s="27" t="s">
        <v>48</v>
      </c>
      <c r="P217" s="27">
        <v>5</v>
      </c>
      <c r="Q217" s="27">
        <v>5</v>
      </c>
      <c r="R217" s="27" t="s">
        <v>49</v>
      </c>
      <c r="S217" s="27" t="s">
        <v>449</v>
      </c>
      <c r="T217" s="27">
        <v>1</v>
      </c>
      <c r="U217" s="27">
        <v>216</v>
      </c>
      <c r="V217" s="27" t="s">
        <v>50</v>
      </c>
      <c r="W217" s="27">
        <v>5</v>
      </c>
      <c r="X217" s="27" t="s">
        <v>2525</v>
      </c>
      <c r="Y217" s="35" t="s">
        <v>7102</v>
      </c>
    </row>
    <row r="218" spans="1:25" s="27" customFormat="1" x14ac:dyDescent="0.25">
      <c r="A218" s="26">
        <v>43117</v>
      </c>
      <c r="B218" s="27" t="s">
        <v>87</v>
      </c>
      <c r="C218" s="27" t="s">
        <v>95</v>
      </c>
      <c r="D218" s="89">
        <v>38.099229999999999</v>
      </c>
      <c r="E218" s="89">
        <v>-121.58745999999999</v>
      </c>
      <c r="F218" s="27" t="s">
        <v>7103</v>
      </c>
      <c r="G218" s="27" t="s">
        <v>46</v>
      </c>
      <c r="H218" s="27" t="s">
        <v>115</v>
      </c>
      <c r="I218" s="84">
        <v>0.47222222222222227</v>
      </c>
      <c r="J218" s="82">
        <v>182.46</v>
      </c>
      <c r="K218" s="82">
        <v>11.12</v>
      </c>
      <c r="L218" s="82">
        <v>23.04</v>
      </c>
      <c r="M218" s="82">
        <v>1.3560000000000001</v>
      </c>
      <c r="N218" s="4">
        <v>13.54</v>
      </c>
      <c r="O218" s="27" t="s">
        <v>48</v>
      </c>
      <c r="P218" s="27">
        <v>5</v>
      </c>
      <c r="Q218" s="27">
        <v>5</v>
      </c>
      <c r="R218" s="27" t="s">
        <v>49</v>
      </c>
      <c r="S218" s="27" t="s">
        <v>50</v>
      </c>
      <c r="T218" s="27" t="s">
        <v>50</v>
      </c>
      <c r="U218" s="27" t="s">
        <v>50</v>
      </c>
      <c r="V218" s="27" t="s">
        <v>50</v>
      </c>
      <c r="W218" s="27" t="s">
        <v>50</v>
      </c>
      <c r="X218" s="27" t="s">
        <v>50</v>
      </c>
      <c r="Y218" s="35"/>
    </row>
    <row r="219" spans="1:25" s="27" customFormat="1" x14ac:dyDescent="0.25">
      <c r="A219" s="26">
        <v>43117</v>
      </c>
      <c r="B219" s="27" t="s">
        <v>87</v>
      </c>
      <c r="C219" s="27" t="s">
        <v>88</v>
      </c>
      <c r="D219" s="89">
        <v>38.101700000000001</v>
      </c>
      <c r="E219" s="89">
        <v>-121.72099</v>
      </c>
      <c r="F219" s="27" t="s">
        <v>7104</v>
      </c>
      <c r="G219" s="27" t="s">
        <v>90</v>
      </c>
      <c r="H219" s="27" t="s">
        <v>91</v>
      </c>
      <c r="I219" s="84">
        <v>0.34791666666666665</v>
      </c>
      <c r="J219" s="82">
        <v>151.66</v>
      </c>
      <c r="K219" s="82">
        <v>11.42</v>
      </c>
      <c r="L219" s="82">
        <v>19.22</v>
      </c>
      <c r="M219" s="82">
        <v>0.78800000000000003</v>
      </c>
      <c r="N219" s="4">
        <v>4.46</v>
      </c>
      <c r="O219" s="27" t="s">
        <v>48</v>
      </c>
      <c r="P219" s="27">
        <v>5</v>
      </c>
      <c r="Q219" s="27">
        <v>5</v>
      </c>
      <c r="R219" s="27" t="s">
        <v>49</v>
      </c>
      <c r="S219" s="27" t="s">
        <v>348</v>
      </c>
      <c r="T219" s="27">
        <v>1</v>
      </c>
      <c r="U219" s="27">
        <v>142</v>
      </c>
      <c r="V219" s="27" t="s">
        <v>50</v>
      </c>
      <c r="W219" s="27">
        <v>5</v>
      </c>
      <c r="X219" s="27" t="s">
        <v>2525</v>
      </c>
      <c r="Y219" s="35" t="s">
        <v>7105</v>
      </c>
    </row>
    <row r="220" spans="1:25" s="27" customFormat="1" x14ac:dyDescent="0.25">
      <c r="A220" s="26">
        <v>43117</v>
      </c>
      <c r="B220" s="27" t="s">
        <v>87</v>
      </c>
      <c r="C220" s="27" t="s">
        <v>88</v>
      </c>
      <c r="D220" s="89">
        <v>38.060679999999998</v>
      </c>
      <c r="E220" s="89">
        <v>-121.81954</v>
      </c>
      <c r="F220" s="27" t="s">
        <v>7106</v>
      </c>
      <c r="G220" s="27" t="s">
        <v>27</v>
      </c>
      <c r="H220" s="27" t="s">
        <v>25</v>
      </c>
      <c r="I220" s="84">
        <v>0.40416666666666662</v>
      </c>
      <c r="J220" s="82">
        <v>383.88</v>
      </c>
      <c r="K220" s="82">
        <v>11.12</v>
      </c>
      <c r="L220" s="82">
        <v>17.2</v>
      </c>
      <c r="M220" s="82">
        <v>0.81200000000000006</v>
      </c>
      <c r="N220" s="4">
        <v>9.3800000000000008</v>
      </c>
      <c r="O220" s="27" t="s">
        <v>48</v>
      </c>
      <c r="P220" s="27">
        <v>5</v>
      </c>
      <c r="Q220" s="27">
        <v>5</v>
      </c>
      <c r="R220" s="27" t="s">
        <v>49</v>
      </c>
      <c r="S220" s="27" t="s">
        <v>50</v>
      </c>
      <c r="T220" s="27" t="s">
        <v>50</v>
      </c>
      <c r="U220" s="27" t="s">
        <v>50</v>
      </c>
      <c r="V220" s="27" t="s">
        <v>50</v>
      </c>
      <c r="W220" s="27" t="s">
        <v>50</v>
      </c>
      <c r="X220" s="27" t="s">
        <v>50</v>
      </c>
      <c r="Y220" s="35" t="s">
        <v>7105</v>
      </c>
    </row>
    <row r="221" spans="1:25" s="27" customFormat="1" x14ac:dyDescent="0.25">
      <c r="A221" s="26">
        <v>43117</v>
      </c>
      <c r="B221" s="27" t="s">
        <v>87</v>
      </c>
      <c r="C221" s="27" t="s">
        <v>88</v>
      </c>
      <c r="D221" s="89">
        <v>38.063339999999997</v>
      </c>
      <c r="E221" s="89">
        <v>-121.82617999999999</v>
      </c>
      <c r="F221" s="27" t="s">
        <v>7107</v>
      </c>
      <c r="G221" s="27" t="s">
        <v>27</v>
      </c>
      <c r="H221" s="27" t="s">
        <v>25</v>
      </c>
      <c r="I221" s="84">
        <v>0.45208333333333334</v>
      </c>
      <c r="J221" s="82">
        <v>419.88</v>
      </c>
      <c r="K221" s="82">
        <v>11.1</v>
      </c>
      <c r="L221" s="82">
        <v>15.42</v>
      </c>
      <c r="M221" s="82">
        <v>0.76200000000000001</v>
      </c>
      <c r="N221" s="4">
        <v>11.34</v>
      </c>
      <c r="O221" s="27" t="s">
        <v>48</v>
      </c>
      <c r="P221" s="27">
        <v>5</v>
      </c>
      <c r="Q221" s="27">
        <v>5</v>
      </c>
      <c r="R221" s="27" t="s">
        <v>64</v>
      </c>
      <c r="S221" s="27" t="s">
        <v>50</v>
      </c>
      <c r="T221" s="27" t="s">
        <v>50</v>
      </c>
      <c r="U221" s="27" t="s">
        <v>50</v>
      </c>
      <c r="V221" s="27" t="s">
        <v>50</v>
      </c>
      <c r="W221" s="27" t="s">
        <v>50</v>
      </c>
      <c r="X221" s="27" t="s">
        <v>50</v>
      </c>
      <c r="Y221" s="35" t="s">
        <v>7105</v>
      </c>
    </row>
    <row r="222" spans="1:25" s="27" customFormat="1" x14ac:dyDescent="0.25">
      <c r="A222" s="26">
        <v>43117</v>
      </c>
      <c r="B222" s="27" t="s">
        <v>87</v>
      </c>
      <c r="C222" s="27" t="s">
        <v>78</v>
      </c>
      <c r="D222" s="89">
        <v>38.089889999999997</v>
      </c>
      <c r="E222" s="89">
        <v>-122.08913</v>
      </c>
      <c r="F222" s="27" t="s">
        <v>7108</v>
      </c>
      <c r="G222" s="27" t="s">
        <v>80</v>
      </c>
      <c r="H222" s="27" t="s">
        <v>81</v>
      </c>
      <c r="I222" s="84">
        <v>0.35069444444444442</v>
      </c>
      <c r="J222" s="82">
        <v>6592.8</v>
      </c>
      <c r="K222" s="82">
        <v>10.72</v>
      </c>
      <c r="L222" s="82">
        <v>34.200000000000003</v>
      </c>
      <c r="M222" s="82">
        <v>0.37</v>
      </c>
      <c r="N222" s="4">
        <v>3.18</v>
      </c>
      <c r="O222" s="27" t="s">
        <v>48</v>
      </c>
      <c r="P222" s="27">
        <v>5</v>
      </c>
      <c r="Q222" s="27">
        <v>5</v>
      </c>
      <c r="R222" s="27" t="s">
        <v>49</v>
      </c>
      <c r="S222" s="27" t="s">
        <v>31</v>
      </c>
      <c r="T222" s="27">
        <v>1</v>
      </c>
      <c r="U222" s="27">
        <v>86</v>
      </c>
      <c r="V222" s="27" t="s">
        <v>66</v>
      </c>
      <c r="W222" s="27" t="s">
        <v>50</v>
      </c>
      <c r="X222" s="27" t="s">
        <v>50</v>
      </c>
      <c r="Y222" s="35"/>
    </row>
    <row r="223" spans="1:25" s="27" customFormat="1" x14ac:dyDescent="0.25">
      <c r="A223" s="26">
        <v>43117</v>
      </c>
      <c r="B223" s="27" t="s">
        <v>87</v>
      </c>
      <c r="C223" s="27" t="s">
        <v>78</v>
      </c>
      <c r="D223" s="89">
        <v>38.033859999999997</v>
      </c>
      <c r="E223" s="89">
        <v>-122.13594000000001</v>
      </c>
      <c r="F223" s="27" t="s">
        <v>7109</v>
      </c>
      <c r="G223" s="27" t="s">
        <v>80</v>
      </c>
      <c r="H223" s="27" t="s">
        <v>81</v>
      </c>
      <c r="I223" s="84">
        <v>0.4069444444444445</v>
      </c>
      <c r="J223" s="82">
        <v>10085</v>
      </c>
      <c r="K223" s="82">
        <v>10.68</v>
      </c>
      <c r="L223" s="82">
        <v>21.26</v>
      </c>
      <c r="M223" s="82">
        <v>0.6</v>
      </c>
      <c r="N223" s="4">
        <v>18.16</v>
      </c>
      <c r="O223" s="27" t="s">
        <v>48</v>
      </c>
      <c r="P223" s="27">
        <v>5</v>
      </c>
      <c r="Q223" s="27">
        <v>5</v>
      </c>
      <c r="R223" s="27" t="s">
        <v>64</v>
      </c>
      <c r="S223" s="27" t="s">
        <v>50</v>
      </c>
      <c r="T223" s="27" t="s">
        <v>50</v>
      </c>
      <c r="U223" s="27" t="s">
        <v>50</v>
      </c>
      <c r="V223" s="27" t="s">
        <v>50</v>
      </c>
      <c r="W223" s="27" t="s">
        <v>50</v>
      </c>
      <c r="X223" s="27" t="s">
        <v>50</v>
      </c>
      <c r="Y223" s="35" t="s">
        <v>7110</v>
      </c>
    </row>
    <row r="224" spans="1:25" s="27" customFormat="1" x14ac:dyDescent="0.25">
      <c r="A224" s="26">
        <v>43117</v>
      </c>
      <c r="B224" s="27" t="s">
        <v>87</v>
      </c>
      <c r="C224" s="27" t="s">
        <v>78</v>
      </c>
      <c r="D224" s="89">
        <v>38.051540000000003</v>
      </c>
      <c r="E224" s="89">
        <v>-121.84520000000001</v>
      </c>
      <c r="F224" s="27" t="s">
        <v>7111</v>
      </c>
      <c r="G224" s="27" t="s">
        <v>27</v>
      </c>
      <c r="H224" s="27" t="s">
        <v>101</v>
      </c>
      <c r="I224" s="84">
        <v>0.49861111111111112</v>
      </c>
      <c r="J224" s="82">
        <v>769.4</v>
      </c>
      <c r="K224" s="82">
        <v>11</v>
      </c>
      <c r="L224" s="82">
        <v>17.574999999999999</v>
      </c>
      <c r="M224" s="82">
        <v>0.70199999999999996</v>
      </c>
      <c r="N224" s="4">
        <v>7.4</v>
      </c>
      <c r="O224" s="27" t="s">
        <v>48</v>
      </c>
      <c r="P224" s="27">
        <v>5</v>
      </c>
      <c r="Q224" s="27">
        <v>5</v>
      </c>
      <c r="R224" s="27" t="s">
        <v>64</v>
      </c>
      <c r="S224" s="27" t="s">
        <v>50</v>
      </c>
      <c r="T224" s="27" t="s">
        <v>50</v>
      </c>
      <c r="U224" s="27" t="s">
        <v>50</v>
      </c>
      <c r="V224" s="27" t="s">
        <v>50</v>
      </c>
      <c r="W224" s="27" t="s">
        <v>50</v>
      </c>
      <c r="X224" s="27" t="s">
        <v>50</v>
      </c>
      <c r="Y224" s="35"/>
    </row>
    <row r="225" spans="1:25" s="27" customFormat="1" x14ac:dyDescent="0.25">
      <c r="A225" s="26">
        <v>43118</v>
      </c>
      <c r="B225" s="27" t="s">
        <v>105</v>
      </c>
      <c r="C225" s="27" t="s">
        <v>95</v>
      </c>
      <c r="D225" s="89">
        <v>38.070180000000001</v>
      </c>
      <c r="E225" s="89">
        <v>-121.55382</v>
      </c>
      <c r="F225" s="27" t="s">
        <v>7112</v>
      </c>
      <c r="G225" s="27" t="s">
        <v>46</v>
      </c>
      <c r="H225" s="27" t="s">
        <v>115</v>
      </c>
      <c r="I225" s="84">
        <v>0.31944444444444448</v>
      </c>
      <c r="J225" s="82">
        <v>199.94</v>
      </c>
      <c r="K225" s="82">
        <v>11.06</v>
      </c>
      <c r="L225" s="82">
        <v>22.34</v>
      </c>
      <c r="M225" s="82">
        <v>1.3380000000000001</v>
      </c>
      <c r="N225" s="4">
        <v>4.12</v>
      </c>
      <c r="O225" s="27" t="s">
        <v>48</v>
      </c>
      <c r="P225" s="27">
        <v>5</v>
      </c>
      <c r="Q225" s="27">
        <v>5</v>
      </c>
      <c r="R225" s="27" t="s">
        <v>49</v>
      </c>
      <c r="S225" s="27" t="s">
        <v>50</v>
      </c>
      <c r="T225" s="27" t="s">
        <v>50</v>
      </c>
      <c r="U225" s="27" t="s">
        <v>50</v>
      </c>
      <c r="V225" s="27" t="s">
        <v>50</v>
      </c>
      <c r="W225" s="27" t="s">
        <v>50</v>
      </c>
      <c r="X225" s="27" t="s">
        <v>50</v>
      </c>
      <c r="Y225" s="35"/>
    </row>
    <row r="226" spans="1:25" s="27" customFormat="1" x14ac:dyDescent="0.25">
      <c r="A226" s="26">
        <v>43118</v>
      </c>
      <c r="B226" s="27" t="s">
        <v>105</v>
      </c>
      <c r="C226" s="27" t="s">
        <v>95</v>
      </c>
      <c r="D226" s="89">
        <v>38.030369999999998</v>
      </c>
      <c r="E226" s="89">
        <v>-121.73600999999999</v>
      </c>
      <c r="F226" s="27" t="s">
        <v>7113</v>
      </c>
      <c r="G226" s="27" t="s">
        <v>27</v>
      </c>
      <c r="H226" s="27" t="s">
        <v>863</v>
      </c>
      <c r="I226" s="84">
        <v>0.38958333333333334</v>
      </c>
      <c r="J226" s="82">
        <v>438.46</v>
      </c>
      <c r="K226" s="82">
        <v>10.8</v>
      </c>
      <c r="L226" s="82">
        <v>25.74</v>
      </c>
      <c r="M226" s="82">
        <v>1.208</v>
      </c>
      <c r="N226" s="4">
        <v>8.7799999999999994</v>
      </c>
      <c r="O226" s="27" t="s">
        <v>48</v>
      </c>
      <c r="P226" s="27">
        <v>5</v>
      </c>
      <c r="Q226" s="27">
        <v>5</v>
      </c>
      <c r="R226" s="27" t="s">
        <v>49</v>
      </c>
      <c r="S226" s="27" t="s">
        <v>50</v>
      </c>
      <c r="T226" s="27" t="s">
        <v>50</v>
      </c>
      <c r="U226" s="27" t="s">
        <v>50</v>
      </c>
      <c r="V226" s="27" t="s">
        <v>50</v>
      </c>
      <c r="W226" s="27" t="s">
        <v>50</v>
      </c>
      <c r="X226" s="27" t="s">
        <v>50</v>
      </c>
      <c r="Y226" s="35"/>
    </row>
    <row r="227" spans="1:25" s="27" customFormat="1" x14ac:dyDescent="0.25">
      <c r="A227" s="26">
        <v>43118</v>
      </c>
      <c r="B227" s="27" t="s">
        <v>105</v>
      </c>
      <c r="C227" s="27" t="s">
        <v>95</v>
      </c>
      <c r="D227" s="89">
        <v>38.019669999999998</v>
      </c>
      <c r="E227" s="89">
        <v>-121.81543000000001</v>
      </c>
      <c r="F227" s="27" t="s">
        <v>7114</v>
      </c>
      <c r="G227" s="27" t="s">
        <v>27</v>
      </c>
      <c r="H227" s="27" t="s">
        <v>863</v>
      </c>
      <c r="I227" s="84">
        <v>0.4368055555555555</v>
      </c>
      <c r="J227" s="82">
        <v>468.62</v>
      </c>
      <c r="K227" s="82">
        <v>11</v>
      </c>
      <c r="L227" s="82">
        <v>31.42</v>
      </c>
      <c r="M227" s="82">
        <v>0.878</v>
      </c>
      <c r="N227" s="4">
        <v>16</v>
      </c>
      <c r="O227" s="27" t="s">
        <v>48</v>
      </c>
      <c r="P227" s="27">
        <v>5</v>
      </c>
      <c r="Q227" s="27">
        <v>5</v>
      </c>
      <c r="R227" s="27" t="s">
        <v>49</v>
      </c>
      <c r="S227" s="27" t="s">
        <v>50</v>
      </c>
      <c r="T227" s="27" t="s">
        <v>50</v>
      </c>
      <c r="U227" s="27" t="s">
        <v>50</v>
      </c>
      <c r="V227" s="27" t="s">
        <v>50</v>
      </c>
      <c r="W227" s="27" t="s">
        <v>50</v>
      </c>
      <c r="X227" s="27" t="s">
        <v>50</v>
      </c>
      <c r="Y227" s="35"/>
    </row>
    <row r="228" spans="1:25" s="27" customFormat="1" x14ac:dyDescent="0.25">
      <c r="A228" s="26">
        <v>43118</v>
      </c>
      <c r="B228" s="27" t="s">
        <v>105</v>
      </c>
      <c r="C228" s="27" t="s">
        <v>845</v>
      </c>
      <c r="D228" s="89">
        <v>38.256880000000002</v>
      </c>
      <c r="E228" s="89">
        <v>-121.72987000000001</v>
      </c>
      <c r="F228" s="27" t="s">
        <v>7115</v>
      </c>
      <c r="G228" s="27" t="s">
        <v>90</v>
      </c>
      <c r="H228" s="27" t="s">
        <v>126</v>
      </c>
      <c r="I228" s="84">
        <v>0.34791666666666665</v>
      </c>
      <c r="J228" s="82">
        <v>185.84</v>
      </c>
      <c r="K228" s="82">
        <v>10.72</v>
      </c>
      <c r="L228" s="82" t="s">
        <v>50</v>
      </c>
      <c r="M228" s="82">
        <v>1.8</v>
      </c>
      <c r="N228" s="4">
        <v>5.84</v>
      </c>
      <c r="O228" s="27" t="s">
        <v>48</v>
      </c>
      <c r="P228" s="27">
        <v>5</v>
      </c>
      <c r="Q228" s="27">
        <v>5</v>
      </c>
      <c r="R228" s="27" t="s">
        <v>49</v>
      </c>
      <c r="S228" s="27" t="s">
        <v>50</v>
      </c>
      <c r="T228" s="27" t="s">
        <v>50</v>
      </c>
      <c r="U228" s="27" t="s">
        <v>50</v>
      </c>
      <c r="V228" s="27" t="s">
        <v>50</v>
      </c>
      <c r="W228" s="27" t="s">
        <v>50</v>
      </c>
      <c r="X228" s="27" t="s">
        <v>50</v>
      </c>
      <c r="Y228" s="35" t="s">
        <v>7116</v>
      </c>
    </row>
    <row r="229" spans="1:25" s="27" customFormat="1" x14ac:dyDescent="0.25">
      <c r="A229" s="26">
        <v>43118</v>
      </c>
      <c r="B229" s="27" t="s">
        <v>105</v>
      </c>
      <c r="C229" s="27" t="s">
        <v>845</v>
      </c>
      <c r="D229" s="89">
        <v>38.308190000000003</v>
      </c>
      <c r="E229" s="89">
        <v>-121.66705</v>
      </c>
      <c r="F229" s="27" t="s">
        <v>7117</v>
      </c>
      <c r="G229" s="27" t="s">
        <v>90</v>
      </c>
      <c r="H229" s="27" t="s">
        <v>126</v>
      </c>
      <c r="I229" s="84">
        <v>0.41111111111111115</v>
      </c>
      <c r="J229" s="82">
        <v>348.42</v>
      </c>
      <c r="K229" s="82">
        <v>11.16</v>
      </c>
      <c r="L229" s="82" t="s">
        <v>50</v>
      </c>
      <c r="M229" s="82">
        <v>1.1339999999999999</v>
      </c>
      <c r="N229" s="4">
        <v>6.08</v>
      </c>
      <c r="O229" s="27" t="s">
        <v>48</v>
      </c>
      <c r="P229" s="27">
        <v>5</v>
      </c>
      <c r="Q229" s="27">
        <v>5</v>
      </c>
      <c r="R229" s="27" t="s">
        <v>49</v>
      </c>
      <c r="S229" s="27" t="s">
        <v>50</v>
      </c>
      <c r="T229" s="27" t="s">
        <v>50</v>
      </c>
      <c r="U229" s="27" t="s">
        <v>50</v>
      </c>
      <c r="V229" s="27" t="s">
        <v>50</v>
      </c>
      <c r="W229" s="27" t="s">
        <v>50</v>
      </c>
      <c r="X229" s="27" t="s">
        <v>50</v>
      </c>
      <c r="Y229" s="35" t="s">
        <v>7116</v>
      </c>
    </row>
    <row r="230" spans="1:25" s="27" customFormat="1" x14ac:dyDescent="0.25">
      <c r="A230" s="26">
        <v>43118</v>
      </c>
      <c r="B230" s="27" t="s">
        <v>105</v>
      </c>
      <c r="C230" s="27" t="s">
        <v>118</v>
      </c>
      <c r="D230" s="89">
        <v>38.056930000000001</v>
      </c>
      <c r="E230" s="89">
        <v>-122.30277</v>
      </c>
      <c r="F230" s="27" t="s">
        <v>7118</v>
      </c>
      <c r="G230" s="27" t="s">
        <v>80</v>
      </c>
      <c r="H230" s="27" t="s">
        <v>123</v>
      </c>
      <c r="I230" s="84">
        <v>0.39097222222222222</v>
      </c>
      <c r="J230" s="82">
        <v>18205</v>
      </c>
      <c r="K230" s="82">
        <v>11.26667</v>
      </c>
      <c r="L230" s="82">
        <v>18.283329999999999</v>
      </c>
      <c r="M230" s="82">
        <v>0.66166700000000001</v>
      </c>
      <c r="N230" s="4">
        <v>10.35</v>
      </c>
      <c r="O230" s="27" t="s">
        <v>48</v>
      </c>
      <c r="P230" s="27">
        <v>6</v>
      </c>
      <c r="Q230" s="27">
        <v>10</v>
      </c>
      <c r="R230" s="27" t="s">
        <v>49</v>
      </c>
      <c r="S230" s="27" t="s">
        <v>50</v>
      </c>
      <c r="T230" s="27" t="s">
        <v>50</v>
      </c>
      <c r="U230" s="27" t="s">
        <v>50</v>
      </c>
      <c r="V230" s="27" t="s">
        <v>50</v>
      </c>
      <c r="W230" s="27" t="s">
        <v>50</v>
      </c>
      <c r="X230" s="27" t="s">
        <v>50</v>
      </c>
      <c r="Y230" s="35"/>
    </row>
    <row r="231" spans="1:25" s="27" customFormat="1" x14ac:dyDescent="0.25">
      <c r="A231" s="26">
        <v>43118</v>
      </c>
      <c r="B231" s="27" t="s">
        <v>105</v>
      </c>
      <c r="C231" s="27" t="s">
        <v>118</v>
      </c>
      <c r="D231" s="89">
        <v>38.033029999999997</v>
      </c>
      <c r="E231" s="89">
        <v>-122.28816999999999</v>
      </c>
      <c r="F231" s="27" t="s">
        <v>7119</v>
      </c>
      <c r="G231" s="27" t="s">
        <v>80</v>
      </c>
      <c r="H231" s="27" t="s">
        <v>123</v>
      </c>
      <c r="I231" s="84">
        <v>0.5083333333333333</v>
      </c>
      <c r="J231" s="82">
        <v>25033.14</v>
      </c>
      <c r="K231" s="82">
        <v>11.671430000000001</v>
      </c>
      <c r="L231" s="82">
        <v>26.271429999999999</v>
      </c>
      <c r="M231" s="82">
        <v>0.69857100000000005</v>
      </c>
      <c r="N231" s="4">
        <v>4.0999999999999996</v>
      </c>
      <c r="O231" s="27" t="s">
        <v>48</v>
      </c>
      <c r="P231" s="27">
        <v>7</v>
      </c>
      <c r="Q231" s="27">
        <v>10</v>
      </c>
      <c r="R231" s="27" t="s">
        <v>64</v>
      </c>
      <c r="S231" s="27" t="s">
        <v>50</v>
      </c>
      <c r="T231" s="27" t="s">
        <v>50</v>
      </c>
      <c r="U231" s="27" t="s">
        <v>50</v>
      </c>
      <c r="V231" s="27" t="s">
        <v>50</v>
      </c>
      <c r="W231" s="27" t="s">
        <v>50</v>
      </c>
      <c r="X231" s="27" t="s">
        <v>50</v>
      </c>
      <c r="Y231" s="35" t="s">
        <v>7120</v>
      </c>
    </row>
    <row r="232" spans="1:25" s="27" customFormat="1" x14ac:dyDescent="0.25">
      <c r="A232" s="26">
        <v>43119</v>
      </c>
      <c r="B232" s="27" t="s">
        <v>125</v>
      </c>
      <c r="C232" s="27" t="s">
        <v>6849</v>
      </c>
      <c r="D232" s="89">
        <v>38.175159999999998</v>
      </c>
      <c r="E232" s="89">
        <v>-121.59181</v>
      </c>
      <c r="F232" s="27" t="s">
        <v>7121</v>
      </c>
      <c r="G232" s="27" t="s">
        <v>90</v>
      </c>
      <c r="H232" s="27" t="s">
        <v>6892</v>
      </c>
      <c r="I232" s="84">
        <v>0.32361111111111113</v>
      </c>
      <c r="J232" s="82">
        <v>146.53</v>
      </c>
      <c r="K232" s="82">
        <v>11.4</v>
      </c>
      <c r="L232" s="82">
        <v>15.05</v>
      </c>
      <c r="M232" s="82">
        <v>0.88</v>
      </c>
      <c r="N232" s="82">
        <v>4.28</v>
      </c>
      <c r="O232" s="27" t="s">
        <v>48</v>
      </c>
      <c r="P232" s="27">
        <v>6</v>
      </c>
      <c r="Q232" s="27">
        <v>10</v>
      </c>
      <c r="R232" s="27" t="s">
        <v>49</v>
      </c>
      <c r="S232" s="27" t="s">
        <v>50</v>
      </c>
      <c r="T232" s="27" t="s">
        <v>50</v>
      </c>
      <c r="U232" s="27" t="s">
        <v>50</v>
      </c>
      <c r="V232" s="27" t="s">
        <v>50</v>
      </c>
      <c r="W232" s="27" t="s">
        <v>50</v>
      </c>
      <c r="X232" s="27" t="s">
        <v>50</v>
      </c>
      <c r="Y232" s="35"/>
    </row>
    <row r="233" spans="1:25" s="27" customFormat="1" x14ac:dyDescent="0.25">
      <c r="A233" s="26">
        <v>43119</v>
      </c>
      <c r="B233" s="27" t="s">
        <v>125</v>
      </c>
      <c r="C233" s="27" t="s">
        <v>6849</v>
      </c>
      <c r="D233" s="89">
        <v>38.229570000000002</v>
      </c>
      <c r="E233" s="89">
        <v>-121.60209999999999</v>
      </c>
      <c r="F233" s="27" t="s">
        <v>7122</v>
      </c>
      <c r="G233" s="27" t="s">
        <v>90</v>
      </c>
      <c r="H233" s="27" t="s">
        <v>7123</v>
      </c>
      <c r="I233" s="84">
        <v>0.40972222222222227</v>
      </c>
      <c r="J233" s="82">
        <v>146.69999999999999</v>
      </c>
      <c r="K233" s="82">
        <v>11.38</v>
      </c>
      <c r="L233" s="82">
        <v>20.5</v>
      </c>
      <c r="M233" s="82">
        <v>0.9</v>
      </c>
      <c r="N233" s="82">
        <v>4.28</v>
      </c>
      <c r="O233" s="27" t="s">
        <v>48</v>
      </c>
      <c r="P233" s="27">
        <v>6</v>
      </c>
      <c r="Q233" s="27">
        <v>10</v>
      </c>
      <c r="R233" s="27" t="s">
        <v>49</v>
      </c>
      <c r="S233" s="27" t="s">
        <v>50</v>
      </c>
      <c r="T233" s="27" t="s">
        <v>50</v>
      </c>
      <c r="U233" s="27" t="s">
        <v>50</v>
      </c>
      <c r="V233" s="27" t="s">
        <v>50</v>
      </c>
      <c r="W233" s="27" t="s">
        <v>50</v>
      </c>
      <c r="X233" s="27" t="s">
        <v>50</v>
      </c>
      <c r="Y233" s="35"/>
    </row>
    <row r="234" spans="1:25" s="27" customFormat="1" x14ac:dyDescent="0.25">
      <c r="A234" s="26">
        <v>43119</v>
      </c>
      <c r="B234" s="27" t="s">
        <v>125</v>
      </c>
      <c r="C234" s="27" t="s">
        <v>44</v>
      </c>
      <c r="D234" s="89">
        <v>37.994909999999997</v>
      </c>
      <c r="E234" s="89">
        <v>-121.51551000000001</v>
      </c>
      <c r="F234" s="27" t="s">
        <v>7124</v>
      </c>
      <c r="G234" s="27" t="s">
        <v>46</v>
      </c>
      <c r="H234" s="27" t="s">
        <v>6939</v>
      </c>
      <c r="I234" s="84">
        <v>0.32291666666666669</v>
      </c>
      <c r="J234" s="82">
        <v>260.3</v>
      </c>
      <c r="K234" s="82">
        <v>10.93</v>
      </c>
      <c r="L234" s="82">
        <v>16.63</v>
      </c>
      <c r="M234" s="82">
        <v>1.7</v>
      </c>
      <c r="N234" s="82">
        <v>4.32</v>
      </c>
      <c r="O234" s="27" t="s">
        <v>48</v>
      </c>
      <c r="P234" s="27">
        <v>6</v>
      </c>
      <c r="Q234" s="27">
        <v>10</v>
      </c>
      <c r="R234" s="27" t="s">
        <v>49</v>
      </c>
      <c r="S234" s="27" t="s">
        <v>50</v>
      </c>
      <c r="T234" s="27" t="s">
        <v>50</v>
      </c>
      <c r="U234" s="27" t="s">
        <v>50</v>
      </c>
      <c r="V234" s="27" t="s">
        <v>50</v>
      </c>
      <c r="W234" s="27" t="s">
        <v>50</v>
      </c>
      <c r="X234" s="27" t="s">
        <v>50</v>
      </c>
      <c r="Y234" s="35"/>
    </row>
    <row r="235" spans="1:25" s="27" customFormat="1" x14ac:dyDescent="0.25">
      <c r="A235" s="26">
        <v>43119</v>
      </c>
      <c r="B235" s="27" t="s">
        <v>125</v>
      </c>
      <c r="C235" s="27" t="s">
        <v>44</v>
      </c>
      <c r="D235" s="89">
        <v>38.007849999999998</v>
      </c>
      <c r="E235" s="89">
        <v>-121.55826999999999</v>
      </c>
      <c r="F235" s="27" t="s">
        <v>7125</v>
      </c>
      <c r="G235" s="27" t="s">
        <v>46</v>
      </c>
      <c r="H235" s="27" t="s">
        <v>74</v>
      </c>
      <c r="I235" s="84">
        <v>0.43124999999999997</v>
      </c>
      <c r="J235" s="82">
        <v>284.98</v>
      </c>
      <c r="K235" s="82">
        <v>11.05</v>
      </c>
      <c r="L235" s="82">
        <v>18.25</v>
      </c>
      <c r="M235" s="82">
        <v>1.31</v>
      </c>
      <c r="N235" s="82">
        <v>3.63</v>
      </c>
      <c r="O235" s="27" t="s">
        <v>48</v>
      </c>
      <c r="P235" s="27">
        <v>4</v>
      </c>
      <c r="Q235" s="27">
        <v>10</v>
      </c>
      <c r="R235" s="27" t="s">
        <v>64</v>
      </c>
      <c r="S235" s="27" t="s">
        <v>50</v>
      </c>
      <c r="T235" s="27" t="s">
        <v>50</v>
      </c>
      <c r="U235" s="27" t="s">
        <v>50</v>
      </c>
      <c r="V235" s="27" t="s">
        <v>50</v>
      </c>
      <c r="W235" s="27" t="s">
        <v>50</v>
      </c>
      <c r="X235" s="27" t="s">
        <v>50</v>
      </c>
      <c r="Y235" s="35" t="s">
        <v>7126</v>
      </c>
    </row>
    <row r="236" spans="1:25" s="27" customFormat="1" x14ac:dyDescent="0.25">
      <c r="A236" s="26">
        <v>43119</v>
      </c>
      <c r="B236" s="27" t="s">
        <v>125</v>
      </c>
      <c r="C236" s="27" t="s">
        <v>62</v>
      </c>
      <c r="D236" s="89">
        <v>38.179349999999999</v>
      </c>
      <c r="E236" s="89">
        <v>-122.00735</v>
      </c>
      <c r="F236" s="27" t="s">
        <v>7127</v>
      </c>
      <c r="G236" s="27" t="s">
        <v>27</v>
      </c>
      <c r="H236" s="27" t="s">
        <v>62</v>
      </c>
      <c r="I236" s="84">
        <v>0.4513888888888889</v>
      </c>
      <c r="J236" s="82">
        <v>1525.67</v>
      </c>
      <c r="K236" s="82">
        <v>11.27</v>
      </c>
      <c r="L236" s="82">
        <v>42.77</v>
      </c>
      <c r="M236" s="82">
        <v>0.31</v>
      </c>
      <c r="N236" s="82">
        <v>5.97</v>
      </c>
      <c r="O236" s="27" t="s">
        <v>48</v>
      </c>
      <c r="P236" s="27">
        <v>3</v>
      </c>
      <c r="Q236" s="27">
        <v>5</v>
      </c>
      <c r="R236" s="27" t="s">
        <v>64</v>
      </c>
      <c r="S236" s="27" t="s">
        <v>323</v>
      </c>
      <c r="T236" s="27">
        <v>3</v>
      </c>
      <c r="U236" s="27" t="s">
        <v>7128</v>
      </c>
      <c r="V236" s="27" t="s">
        <v>66</v>
      </c>
      <c r="W236" s="27" t="s">
        <v>50</v>
      </c>
      <c r="X236" s="27" t="s">
        <v>50</v>
      </c>
      <c r="Y236" s="35" t="s">
        <v>7129</v>
      </c>
    </row>
    <row r="237" spans="1:25" s="27" customFormat="1" x14ac:dyDescent="0.25">
      <c r="A237" s="194">
        <v>43119</v>
      </c>
      <c r="B237" s="27" t="s">
        <v>125</v>
      </c>
      <c r="C237" s="27" t="s">
        <v>62</v>
      </c>
      <c r="D237" s="89">
        <v>38.179349999999999</v>
      </c>
      <c r="E237" s="89">
        <v>-122.00735</v>
      </c>
      <c r="F237" s="27" t="s">
        <v>7127</v>
      </c>
      <c r="G237" s="27" t="s">
        <v>27</v>
      </c>
      <c r="H237" s="27" t="s">
        <v>62</v>
      </c>
      <c r="J237" s="82"/>
      <c r="K237" s="82"/>
      <c r="L237" s="82"/>
      <c r="M237" s="82"/>
      <c r="N237" s="82"/>
      <c r="S237" s="27" t="s">
        <v>31</v>
      </c>
      <c r="T237" s="27">
        <v>1</v>
      </c>
      <c r="U237" s="27">
        <v>71</v>
      </c>
      <c r="V237" s="27" t="s">
        <v>66</v>
      </c>
      <c r="W237" s="27" t="s">
        <v>50</v>
      </c>
      <c r="X237" s="27" t="s">
        <v>50</v>
      </c>
      <c r="Y237" s="35"/>
    </row>
    <row r="238" spans="1:25" s="108" customFormat="1" ht="15.75" thickBot="1" x14ac:dyDescent="0.3">
      <c r="A238" s="126">
        <v>43119</v>
      </c>
      <c r="B238" s="108" t="s">
        <v>125</v>
      </c>
      <c r="C238" s="108" t="s">
        <v>62</v>
      </c>
      <c r="D238" s="109">
        <v>38.186999999999998</v>
      </c>
      <c r="E238" s="109">
        <v>-121.97323</v>
      </c>
      <c r="F238" s="108" t="s">
        <v>7130</v>
      </c>
      <c r="G238" s="108" t="s">
        <v>27</v>
      </c>
      <c r="H238" s="108" t="s">
        <v>62</v>
      </c>
      <c r="I238" s="110">
        <v>0.38611111111111113</v>
      </c>
      <c r="J238" s="111">
        <v>1322</v>
      </c>
      <c r="K238" s="111">
        <v>11.1</v>
      </c>
      <c r="L238" s="111">
        <v>41.64</v>
      </c>
      <c r="M238" s="111">
        <v>0.33</v>
      </c>
      <c r="N238" s="111">
        <v>8.1999999999999993</v>
      </c>
      <c r="O238" s="108" t="s">
        <v>48</v>
      </c>
      <c r="P238" s="108">
        <v>5</v>
      </c>
      <c r="Q238" s="108">
        <v>5</v>
      </c>
      <c r="R238" s="108" t="s">
        <v>49</v>
      </c>
      <c r="S238" s="108" t="s">
        <v>50</v>
      </c>
      <c r="T238" s="108" t="s">
        <v>50</v>
      </c>
      <c r="U238" s="108" t="s">
        <v>50</v>
      </c>
      <c r="V238" s="108" t="s">
        <v>50</v>
      </c>
      <c r="W238" s="108" t="s">
        <v>50</v>
      </c>
      <c r="X238" s="108" t="s">
        <v>50</v>
      </c>
      <c r="Y238" s="113" t="s">
        <v>7105</v>
      </c>
    </row>
    <row r="239" spans="1:25" s="27" customFormat="1" ht="15.75" thickTop="1" x14ac:dyDescent="0.25">
      <c r="A239" s="194">
        <v>43122</v>
      </c>
      <c r="B239" s="27" t="s">
        <v>43</v>
      </c>
      <c r="C239" s="27" t="s">
        <v>6879</v>
      </c>
      <c r="D239" s="89">
        <v>38.083269999999999</v>
      </c>
      <c r="E239" s="89">
        <v>-121.55495999999999</v>
      </c>
      <c r="F239" s="27" t="s">
        <v>7131</v>
      </c>
      <c r="G239" s="27" t="s">
        <v>46</v>
      </c>
      <c r="H239" s="27" t="s">
        <v>6881</v>
      </c>
      <c r="I239" s="84">
        <v>0.32847222222222222</v>
      </c>
      <c r="J239" s="82">
        <v>187.12860000000001</v>
      </c>
      <c r="K239" s="82">
        <v>10.928570000000001</v>
      </c>
      <c r="L239" s="82">
        <v>7.8328569999999997</v>
      </c>
      <c r="M239" s="82">
        <v>1.4271430000000001</v>
      </c>
      <c r="N239" s="4">
        <v>7.1857139999999999</v>
      </c>
      <c r="O239" s="27" t="s">
        <v>48</v>
      </c>
      <c r="P239" s="27">
        <v>7</v>
      </c>
      <c r="Q239" s="27">
        <v>10</v>
      </c>
      <c r="R239" s="27" t="s">
        <v>64</v>
      </c>
      <c r="S239" s="27" t="s">
        <v>50</v>
      </c>
      <c r="T239" s="27" t="s">
        <v>50</v>
      </c>
      <c r="U239" s="27" t="s">
        <v>50</v>
      </c>
      <c r="V239" s="27" t="s">
        <v>50</v>
      </c>
      <c r="W239" s="27" t="s">
        <v>50</v>
      </c>
      <c r="X239" s="27" t="s">
        <v>50</v>
      </c>
      <c r="Y239" s="35" t="s">
        <v>7132</v>
      </c>
    </row>
    <row r="240" spans="1:25" s="27" customFormat="1" x14ac:dyDescent="0.25">
      <c r="A240" s="194">
        <v>43122</v>
      </c>
      <c r="B240" s="27" t="s">
        <v>43</v>
      </c>
      <c r="C240" s="27" t="s">
        <v>6879</v>
      </c>
      <c r="D240" s="89">
        <v>38.096989999999998</v>
      </c>
      <c r="E240" s="89">
        <v>-121.56487</v>
      </c>
      <c r="F240" s="27" t="s">
        <v>7133</v>
      </c>
      <c r="G240" s="27" t="s">
        <v>46</v>
      </c>
      <c r="H240" s="27" t="s">
        <v>6881</v>
      </c>
      <c r="I240" s="84">
        <v>0.46249999999999997</v>
      </c>
      <c r="J240" s="82">
        <v>172.61670000000001</v>
      </c>
      <c r="K240" s="82">
        <v>10.98333</v>
      </c>
      <c r="L240" s="82">
        <v>7.3033330000000003</v>
      </c>
      <c r="M240" s="82">
        <v>1.2749999999999999</v>
      </c>
      <c r="N240" s="4">
        <v>6.0333329999999998</v>
      </c>
      <c r="O240" s="27" t="s">
        <v>48</v>
      </c>
      <c r="P240" s="27">
        <v>6</v>
      </c>
      <c r="Q240" s="27">
        <v>10</v>
      </c>
      <c r="R240" s="27" t="s">
        <v>49</v>
      </c>
      <c r="S240" s="27" t="s">
        <v>50</v>
      </c>
      <c r="T240" s="27" t="s">
        <v>50</v>
      </c>
      <c r="U240" s="27" t="s">
        <v>50</v>
      </c>
      <c r="V240" s="27" t="s">
        <v>50</v>
      </c>
      <c r="W240" s="27" t="s">
        <v>50</v>
      </c>
      <c r="X240" s="27" t="s">
        <v>50</v>
      </c>
      <c r="Y240" s="35"/>
    </row>
    <row r="241" spans="1:25" s="149" customFormat="1" x14ac:dyDescent="0.25">
      <c r="A241" s="195">
        <v>43122</v>
      </c>
      <c r="B241" s="149" t="s">
        <v>43</v>
      </c>
      <c r="C241" s="149" t="s">
        <v>62</v>
      </c>
      <c r="D241" s="150">
        <v>38.195349999999998</v>
      </c>
      <c r="E241" s="150">
        <v>-122.04304999999999</v>
      </c>
      <c r="F241" s="149" t="s">
        <v>7134</v>
      </c>
      <c r="G241" s="149" t="s">
        <v>27</v>
      </c>
      <c r="H241" s="149" t="s">
        <v>62</v>
      </c>
      <c r="I241" s="151">
        <v>0.3576388888888889</v>
      </c>
      <c r="J241" s="197" t="s">
        <v>50</v>
      </c>
      <c r="K241" s="197" t="s">
        <v>50</v>
      </c>
      <c r="L241" s="197" t="s">
        <v>50</v>
      </c>
      <c r="M241" s="197" t="s">
        <v>50</v>
      </c>
      <c r="N241" s="197" t="s">
        <v>50</v>
      </c>
      <c r="O241" s="149" t="s">
        <v>48</v>
      </c>
      <c r="P241" s="149">
        <v>0</v>
      </c>
      <c r="Q241" s="149" t="s">
        <v>50</v>
      </c>
      <c r="R241" s="149" t="s">
        <v>50</v>
      </c>
      <c r="S241" s="149" t="s">
        <v>50</v>
      </c>
      <c r="T241" s="149" t="s">
        <v>50</v>
      </c>
      <c r="U241" s="149" t="s">
        <v>50</v>
      </c>
      <c r="V241" s="149" t="s">
        <v>50</v>
      </c>
      <c r="W241" s="149" t="s">
        <v>50</v>
      </c>
      <c r="X241" s="149" t="s">
        <v>50</v>
      </c>
      <c r="Y241" s="152" t="s">
        <v>7135</v>
      </c>
    </row>
    <row r="242" spans="1:25" s="27" customFormat="1" x14ac:dyDescent="0.25">
      <c r="A242" s="194">
        <v>43122</v>
      </c>
      <c r="B242" s="27" t="s">
        <v>43</v>
      </c>
      <c r="C242" s="27" t="s">
        <v>62</v>
      </c>
      <c r="D242" s="89">
        <v>38.167070000000002</v>
      </c>
      <c r="E242" s="89">
        <v>-122.04299</v>
      </c>
      <c r="F242" s="27" t="s">
        <v>7136</v>
      </c>
      <c r="G242" s="27" t="s">
        <v>27</v>
      </c>
      <c r="H242" s="27" t="s">
        <v>62</v>
      </c>
      <c r="I242" s="84">
        <v>0.37986111111111115</v>
      </c>
      <c r="J242" s="82">
        <v>2038.6669999999999</v>
      </c>
      <c r="K242" s="82">
        <v>10.7</v>
      </c>
      <c r="L242" s="82">
        <v>71.366669999999999</v>
      </c>
      <c r="M242" s="82">
        <v>0.25333299999999997</v>
      </c>
      <c r="N242" s="82">
        <v>7.233333</v>
      </c>
      <c r="O242" s="27" t="s">
        <v>48</v>
      </c>
      <c r="P242" s="27">
        <v>3</v>
      </c>
      <c r="Q242" s="27">
        <v>5</v>
      </c>
      <c r="R242" s="27" t="s">
        <v>49</v>
      </c>
      <c r="S242" s="27" t="s">
        <v>31</v>
      </c>
      <c r="T242" s="27">
        <v>4</v>
      </c>
      <c r="U242" s="27" t="s">
        <v>5512</v>
      </c>
      <c r="V242" s="27" t="s">
        <v>66</v>
      </c>
      <c r="W242" s="27" t="s">
        <v>50</v>
      </c>
      <c r="X242" s="27" t="s">
        <v>50</v>
      </c>
      <c r="Y242" s="35" t="s">
        <v>7105</v>
      </c>
    </row>
    <row r="243" spans="1:25" s="27" customFormat="1" x14ac:dyDescent="0.25">
      <c r="A243" s="194">
        <v>43122</v>
      </c>
      <c r="B243" s="27" t="s">
        <v>43</v>
      </c>
      <c r="C243" s="27" t="s">
        <v>62</v>
      </c>
      <c r="D243" s="89">
        <v>38.167070000000002</v>
      </c>
      <c r="E243" s="89">
        <v>-122.04299</v>
      </c>
      <c r="F243" s="27" t="s">
        <v>7136</v>
      </c>
      <c r="G243" s="27" t="s">
        <v>27</v>
      </c>
      <c r="H243" s="27" t="s">
        <v>62</v>
      </c>
      <c r="J243" s="82"/>
      <c r="K243" s="82"/>
      <c r="L243" s="82"/>
      <c r="M243" s="82"/>
      <c r="N243" s="4"/>
      <c r="S243" s="27" t="s">
        <v>323</v>
      </c>
      <c r="T243" s="27">
        <v>1</v>
      </c>
      <c r="U243" s="27">
        <v>68</v>
      </c>
      <c r="V243" s="27" t="s">
        <v>66</v>
      </c>
      <c r="W243" s="27" t="s">
        <v>50</v>
      </c>
      <c r="X243" s="27" t="s">
        <v>50</v>
      </c>
      <c r="Y243" s="35"/>
    </row>
    <row r="244" spans="1:25" s="27" customFormat="1" x14ac:dyDescent="0.25">
      <c r="A244" s="194">
        <v>43122</v>
      </c>
      <c r="B244" s="27" t="s">
        <v>43</v>
      </c>
      <c r="C244" s="27" t="s">
        <v>62</v>
      </c>
      <c r="D244" s="89">
        <v>38.136949999999999</v>
      </c>
      <c r="E244" s="89">
        <v>-121.91211</v>
      </c>
      <c r="F244" s="27" t="s">
        <v>7137</v>
      </c>
      <c r="G244" s="27" t="s">
        <v>27</v>
      </c>
      <c r="H244" s="27" t="s">
        <v>62</v>
      </c>
      <c r="I244" s="84">
        <v>0.44513888888888892</v>
      </c>
      <c r="J244" s="82">
        <v>735.8</v>
      </c>
      <c r="K244" s="82">
        <v>11.3</v>
      </c>
      <c r="L244" s="82">
        <v>43.54</v>
      </c>
      <c r="M244" s="82">
        <v>0.42399999999999999</v>
      </c>
      <c r="N244" s="4">
        <v>6.2</v>
      </c>
      <c r="O244" s="27" t="s">
        <v>48</v>
      </c>
      <c r="P244" s="27">
        <v>5</v>
      </c>
      <c r="Q244" s="27">
        <v>5</v>
      </c>
      <c r="R244" s="27" t="s">
        <v>49</v>
      </c>
      <c r="S244" s="27" t="s">
        <v>50</v>
      </c>
      <c r="T244" s="27" t="s">
        <v>50</v>
      </c>
      <c r="U244" s="27" t="s">
        <v>50</v>
      </c>
      <c r="V244" s="27" t="s">
        <v>50</v>
      </c>
      <c r="W244" s="27" t="s">
        <v>50</v>
      </c>
      <c r="X244" s="27" t="s">
        <v>50</v>
      </c>
      <c r="Y244" s="35" t="s">
        <v>7105</v>
      </c>
    </row>
    <row r="245" spans="1:25" s="27" customFormat="1" x14ac:dyDescent="0.25">
      <c r="A245" s="194">
        <v>43122</v>
      </c>
      <c r="B245" s="27" t="s">
        <v>43</v>
      </c>
      <c r="C245" s="27" t="s">
        <v>106</v>
      </c>
      <c r="D245" s="89">
        <v>38.563079999999999</v>
      </c>
      <c r="E245" s="89">
        <v>-121.5491</v>
      </c>
      <c r="F245" s="27" t="s">
        <v>7138</v>
      </c>
      <c r="G245" s="27" t="s">
        <v>90</v>
      </c>
      <c r="H245" s="27" t="s">
        <v>1787</v>
      </c>
      <c r="I245" s="84">
        <v>0.34930555555555554</v>
      </c>
      <c r="J245" s="82">
        <v>744.6</v>
      </c>
      <c r="K245" s="82">
        <v>11</v>
      </c>
      <c r="L245" s="82">
        <v>4.8079999999999998</v>
      </c>
      <c r="M245" s="82">
        <v>1.8</v>
      </c>
      <c r="N245" s="4">
        <v>10.52</v>
      </c>
      <c r="O245" s="27" t="s">
        <v>48</v>
      </c>
      <c r="P245" s="27">
        <v>5</v>
      </c>
      <c r="Q245" s="27">
        <v>5</v>
      </c>
      <c r="R245" s="27" t="s">
        <v>49</v>
      </c>
      <c r="S245" s="27" t="s">
        <v>50</v>
      </c>
      <c r="T245" s="27" t="s">
        <v>50</v>
      </c>
      <c r="U245" s="27" t="s">
        <v>50</v>
      </c>
      <c r="V245" s="27" t="s">
        <v>50</v>
      </c>
      <c r="W245" s="27" t="s">
        <v>50</v>
      </c>
      <c r="X245" s="27" t="s">
        <v>50</v>
      </c>
      <c r="Y245" s="35"/>
    </row>
    <row r="246" spans="1:25" s="27" customFormat="1" x14ac:dyDescent="0.25">
      <c r="A246" s="194">
        <v>43122</v>
      </c>
      <c r="B246" s="27" t="s">
        <v>43</v>
      </c>
      <c r="C246" s="27" t="s">
        <v>106</v>
      </c>
      <c r="D246" s="89">
        <v>38.422310000000003</v>
      </c>
      <c r="E246" s="89">
        <v>-121.60795</v>
      </c>
      <c r="F246" s="27" t="s">
        <v>7139</v>
      </c>
      <c r="G246" s="27" t="s">
        <v>90</v>
      </c>
      <c r="H246" s="27" t="s">
        <v>362</v>
      </c>
      <c r="I246" s="84">
        <v>0.41250000000000003</v>
      </c>
      <c r="J246" s="82">
        <v>356.32</v>
      </c>
      <c r="K246" s="82">
        <v>10.199999999999999</v>
      </c>
      <c r="L246" s="82">
        <v>79.22</v>
      </c>
      <c r="M246" s="82">
        <v>0.23400000000000001</v>
      </c>
      <c r="N246" s="4">
        <v>9.1999999999999993</v>
      </c>
      <c r="O246" s="27" t="s">
        <v>48</v>
      </c>
      <c r="P246" s="27">
        <v>5</v>
      </c>
      <c r="Q246" s="27">
        <v>5</v>
      </c>
      <c r="R246" s="27" t="s">
        <v>64</v>
      </c>
      <c r="S246" s="27" t="s">
        <v>323</v>
      </c>
      <c r="T246" s="27">
        <v>1</v>
      </c>
      <c r="U246" s="27">
        <v>75</v>
      </c>
      <c r="V246" s="27" t="s">
        <v>66</v>
      </c>
      <c r="W246" s="27" t="s">
        <v>50</v>
      </c>
      <c r="X246" s="27" t="s">
        <v>50</v>
      </c>
      <c r="Y246" s="35" t="s">
        <v>7140</v>
      </c>
    </row>
    <row r="247" spans="1:25" s="27" customFormat="1" x14ac:dyDescent="0.25">
      <c r="A247" s="194">
        <v>43122</v>
      </c>
      <c r="B247" s="27" t="s">
        <v>43</v>
      </c>
      <c r="C247" s="27" t="s">
        <v>106</v>
      </c>
      <c r="D247" s="89">
        <v>38.219549999999998</v>
      </c>
      <c r="E247" s="89">
        <v>-121.67165</v>
      </c>
      <c r="F247" s="27" t="s">
        <v>7141</v>
      </c>
      <c r="G247" s="27" t="s">
        <v>90</v>
      </c>
      <c r="H247" s="27" t="s">
        <v>362</v>
      </c>
      <c r="I247" s="84">
        <v>0.4916666666666667</v>
      </c>
      <c r="J247" s="82">
        <v>157.96</v>
      </c>
      <c r="K247" s="82">
        <v>11</v>
      </c>
      <c r="L247" s="82">
        <v>19.34</v>
      </c>
      <c r="M247" s="82">
        <v>1.1100000000000001</v>
      </c>
      <c r="N247" s="4">
        <v>12.28</v>
      </c>
      <c r="O247" s="27" t="s">
        <v>48</v>
      </c>
      <c r="P247" s="27">
        <v>5</v>
      </c>
      <c r="Q247" s="27">
        <v>5</v>
      </c>
      <c r="R247" s="27" t="s">
        <v>49</v>
      </c>
      <c r="S247" s="27" t="s">
        <v>50</v>
      </c>
      <c r="T247" s="27" t="s">
        <v>50</v>
      </c>
      <c r="U247" s="27" t="s">
        <v>50</v>
      </c>
      <c r="V247" s="27" t="s">
        <v>50</v>
      </c>
      <c r="W247" s="27" t="s">
        <v>50</v>
      </c>
      <c r="X247" s="27" t="s">
        <v>50</v>
      </c>
      <c r="Y247" s="35"/>
    </row>
    <row r="248" spans="1:25" s="27" customFormat="1" x14ac:dyDescent="0.25">
      <c r="A248" s="194">
        <v>43123</v>
      </c>
      <c r="B248" s="27" t="s">
        <v>70</v>
      </c>
      <c r="C248" s="27" t="s">
        <v>95</v>
      </c>
      <c r="D248" s="89">
        <v>38.023139999999998</v>
      </c>
      <c r="E248" s="89">
        <v>-121.80395</v>
      </c>
      <c r="F248" s="27" t="s">
        <v>7142</v>
      </c>
      <c r="G248" s="27" t="s">
        <v>27</v>
      </c>
      <c r="H248" s="27" t="s">
        <v>863</v>
      </c>
      <c r="I248" s="84">
        <v>0.3347222222222222</v>
      </c>
      <c r="J248" s="82">
        <v>385.52</v>
      </c>
      <c r="K248" s="82">
        <v>10.88</v>
      </c>
      <c r="L248" s="82">
        <v>19.88</v>
      </c>
      <c r="M248" s="82">
        <v>0.64400000000000002</v>
      </c>
      <c r="N248" s="4">
        <v>10.48</v>
      </c>
      <c r="O248" s="27" t="s">
        <v>48</v>
      </c>
      <c r="P248" s="27">
        <v>5</v>
      </c>
      <c r="Q248" s="27">
        <v>5</v>
      </c>
      <c r="R248" s="27" t="s">
        <v>64</v>
      </c>
      <c r="S248" s="27" t="s">
        <v>50</v>
      </c>
      <c r="T248" s="27" t="s">
        <v>50</v>
      </c>
      <c r="U248" s="27" t="s">
        <v>50</v>
      </c>
      <c r="V248" s="27" t="s">
        <v>50</v>
      </c>
      <c r="W248" s="27" t="s">
        <v>50</v>
      </c>
      <c r="X248" s="27" t="s">
        <v>50</v>
      </c>
      <c r="Y248" s="35"/>
    </row>
    <row r="249" spans="1:25" s="27" customFormat="1" x14ac:dyDescent="0.25">
      <c r="A249" s="194">
        <v>43123</v>
      </c>
      <c r="B249" s="27" t="s">
        <v>70</v>
      </c>
      <c r="C249" s="27" t="s">
        <v>95</v>
      </c>
      <c r="D249" s="89">
        <v>38.024630000000002</v>
      </c>
      <c r="E249" s="89">
        <v>-121.74941</v>
      </c>
      <c r="F249" s="27" t="s">
        <v>7143</v>
      </c>
      <c r="G249" s="27" t="s">
        <v>27</v>
      </c>
      <c r="H249" s="27" t="s">
        <v>863</v>
      </c>
      <c r="I249" s="84">
        <v>0.37847222222222227</v>
      </c>
      <c r="J249" s="82">
        <v>458.1</v>
      </c>
      <c r="K249" s="82">
        <v>10.86</v>
      </c>
      <c r="L249" s="82">
        <v>15</v>
      </c>
      <c r="M249" s="82">
        <v>0.86199999999999999</v>
      </c>
      <c r="N249" s="4">
        <v>7.76</v>
      </c>
      <c r="O249" s="27" t="s">
        <v>48</v>
      </c>
      <c r="P249" s="27">
        <v>5</v>
      </c>
      <c r="Q249" s="27">
        <v>5</v>
      </c>
      <c r="R249" s="27" t="s">
        <v>64</v>
      </c>
      <c r="S249" s="27" t="s">
        <v>50</v>
      </c>
      <c r="T249" s="27" t="s">
        <v>50</v>
      </c>
      <c r="U249" s="27" t="s">
        <v>50</v>
      </c>
      <c r="V249" s="27" t="s">
        <v>50</v>
      </c>
      <c r="W249" s="27" t="s">
        <v>50</v>
      </c>
      <c r="X249" s="27" t="s">
        <v>50</v>
      </c>
      <c r="Y249" s="35"/>
    </row>
    <row r="250" spans="1:25" s="27" customFormat="1" x14ac:dyDescent="0.25">
      <c r="A250" s="194">
        <v>43123</v>
      </c>
      <c r="B250" s="27" t="s">
        <v>70</v>
      </c>
      <c r="C250" s="27" t="s">
        <v>95</v>
      </c>
      <c r="D250" s="89">
        <v>38.027070000000002</v>
      </c>
      <c r="E250" s="89">
        <v>-121.75735</v>
      </c>
      <c r="F250" s="27" t="s">
        <v>7144</v>
      </c>
      <c r="G250" s="27" t="s">
        <v>27</v>
      </c>
      <c r="H250" s="27" t="s">
        <v>863</v>
      </c>
      <c r="I250" s="84">
        <v>0.4201388888888889</v>
      </c>
      <c r="J250" s="82">
        <v>353.22</v>
      </c>
      <c r="K250" s="82">
        <v>10.9</v>
      </c>
      <c r="L250" s="82">
        <v>13.074999999999999</v>
      </c>
      <c r="M250" s="82">
        <v>0.84</v>
      </c>
      <c r="N250" s="4">
        <v>12.4</v>
      </c>
      <c r="O250" s="27" t="s">
        <v>48</v>
      </c>
      <c r="P250" s="27">
        <v>5</v>
      </c>
      <c r="Q250" s="27">
        <v>5</v>
      </c>
      <c r="R250" s="27" t="s">
        <v>49</v>
      </c>
      <c r="S250" s="27" t="s">
        <v>50</v>
      </c>
      <c r="T250" s="27" t="s">
        <v>50</v>
      </c>
      <c r="U250" s="27" t="s">
        <v>50</v>
      </c>
      <c r="V250" s="27" t="s">
        <v>50</v>
      </c>
      <c r="W250" s="27" t="s">
        <v>50</v>
      </c>
      <c r="X250" s="27" t="s">
        <v>50</v>
      </c>
      <c r="Y250" s="35"/>
    </row>
    <row r="251" spans="1:25" s="27" customFormat="1" x14ac:dyDescent="0.25">
      <c r="A251" s="194">
        <v>43123</v>
      </c>
      <c r="B251" s="27" t="s">
        <v>70</v>
      </c>
      <c r="C251" s="27" t="s">
        <v>78</v>
      </c>
      <c r="D251" s="89">
        <v>38.074480000000001</v>
      </c>
      <c r="E251" s="89">
        <v>-122.08292</v>
      </c>
      <c r="F251" s="27" t="s">
        <v>7145</v>
      </c>
      <c r="G251" s="27" t="s">
        <v>80</v>
      </c>
      <c r="H251" s="27" t="s">
        <v>81</v>
      </c>
      <c r="I251" s="84">
        <v>0.34861111111111115</v>
      </c>
      <c r="J251" s="82">
        <v>10479</v>
      </c>
      <c r="K251" s="82">
        <v>10.74</v>
      </c>
      <c r="L251" s="82">
        <v>23.78</v>
      </c>
      <c r="M251" s="82">
        <v>0.496</v>
      </c>
      <c r="N251" s="4">
        <v>3.86</v>
      </c>
      <c r="O251" s="27" t="s">
        <v>48</v>
      </c>
      <c r="P251" s="27">
        <v>5</v>
      </c>
      <c r="Q251" s="27">
        <v>5</v>
      </c>
      <c r="R251" s="27" t="s">
        <v>49</v>
      </c>
      <c r="S251" s="27" t="s">
        <v>50</v>
      </c>
      <c r="T251" s="27" t="s">
        <v>50</v>
      </c>
      <c r="U251" s="27" t="s">
        <v>50</v>
      </c>
      <c r="V251" s="27" t="s">
        <v>50</v>
      </c>
      <c r="W251" s="27" t="s">
        <v>50</v>
      </c>
      <c r="X251" s="27" t="s">
        <v>50</v>
      </c>
      <c r="Y251" s="35"/>
    </row>
    <row r="252" spans="1:25" s="27" customFormat="1" x14ac:dyDescent="0.25">
      <c r="A252" s="194">
        <v>43123</v>
      </c>
      <c r="B252" s="27" t="s">
        <v>70</v>
      </c>
      <c r="C252" s="27" t="s">
        <v>78</v>
      </c>
      <c r="D252" s="89">
        <v>38.045569999999998</v>
      </c>
      <c r="E252" s="89">
        <v>-121.91466</v>
      </c>
      <c r="F252" s="27" t="s">
        <v>7146</v>
      </c>
      <c r="G252" s="27" t="s">
        <v>27</v>
      </c>
      <c r="H252" s="27" t="s">
        <v>101</v>
      </c>
      <c r="I252" s="84">
        <v>0.40347222222222223</v>
      </c>
      <c r="J252" s="82">
        <v>2282.8000000000002</v>
      </c>
      <c r="K252" s="82">
        <v>10.84</v>
      </c>
      <c r="L252" s="82">
        <v>35.659999999999997</v>
      </c>
      <c r="M252" s="82">
        <v>0.39400000000000002</v>
      </c>
      <c r="N252" s="4">
        <v>15.06</v>
      </c>
      <c r="O252" s="27" t="s">
        <v>48</v>
      </c>
      <c r="P252" s="27">
        <v>5</v>
      </c>
      <c r="Q252" s="27">
        <v>5</v>
      </c>
      <c r="R252" s="27" t="s">
        <v>49</v>
      </c>
      <c r="S252" s="27" t="s">
        <v>50</v>
      </c>
      <c r="T252" s="27" t="s">
        <v>50</v>
      </c>
      <c r="U252" s="27" t="s">
        <v>50</v>
      </c>
      <c r="V252" s="27" t="s">
        <v>50</v>
      </c>
      <c r="W252" s="27" t="s">
        <v>50</v>
      </c>
      <c r="X252" s="27" t="s">
        <v>50</v>
      </c>
      <c r="Y252" s="35"/>
    </row>
    <row r="253" spans="1:25" s="27" customFormat="1" x14ac:dyDescent="0.25">
      <c r="A253" s="194">
        <v>43123</v>
      </c>
      <c r="B253" s="27" t="s">
        <v>70</v>
      </c>
      <c r="C253" s="27" t="s">
        <v>78</v>
      </c>
      <c r="D253" s="89">
        <v>38.026719999999997</v>
      </c>
      <c r="E253" s="89">
        <v>-121.82329</v>
      </c>
      <c r="F253" s="27" t="s">
        <v>7147</v>
      </c>
      <c r="G253" s="27" t="s">
        <v>27</v>
      </c>
      <c r="H253" s="27" t="s">
        <v>101</v>
      </c>
      <c r="I253" s="84">
        <v>0.47013888888888888</v>
      </c>
      <c r="J253" s="82">
        <v>397.16</v>
      </c>
      <c r="K253" s="82">
        <v>10.98</v>
      </c>
      <c r="L253" s="82">
        <v>22.74</v>
      </c>
      <c r="M253" s="82">
        <v>0.54600000000000004</v>
      </c>
      <c r="N253" s="4">
        <v>12.66</v>
      </c>
      <c r="O253" s="27" t="s">
        <v>48</v>
      </c>
      <c r="P253" s="27">
        <v>5</v>
      </c>
      <c r="Q253" s="27">
        <v>5</v>
      </c>
      <c r="R253" s="27" t="s">
        <v>49</v>
      </c>
      <c r="S253" s="27" t="s">
        <v>50</v>
      </c>
      <c r="T253" s="27" t="s">
        <v>50</v>
      </c>
      <c r="U253" s="27" t="s">
        <v>50</v>
      </c>
      <c r="V253" s="27" t="s">
        <v>50</v>
      </c>
      <c r="W253" s="27" t="s">
        <v>50</v>
      </c>
      <c r="X253" s="27" t="s">
        <v>50</v>
      </c>
      <c r="Y253" s="35"/>
    </row>
    <row r="254" spans="1:25" s="27" customFormat="1" x14ac:dyDescent="0.25">
      <c r="A254" s="194">
        <v>43123</v>
      </c>
      <c r="B254" s="27" t="s">
        <v>70</v>
      </c>
      <c r="C254" s="27" t="s">
        <v>6849</v>
      </c>
      <c r="D254" s="89">
        <v>38.190080000000002</v>
      </c>
      <c r="E254" s="89">
        <v>-121.55665999999999</v>
      </c>
      <c r="F254" s="27" t="s">
        <v>7148</v>
      </c>
      <c r="G254" s="27" t="s">
        <v>90</v>
      </c>
      <c r="H254" s="27" t="s">
        <v>6892</v>
      </c>
      <c r="I254" s="84">
        <v>0.36874999999999997</v>
      </c>
      <c r="J254" s="82">
        <v>135.8167</v>
      </c>
      <c r="K254" s="82">
        <v>10.6</v>
      </c>
      <c r="L254" s="82" t="s">
        <v>50</v>
      </c>
      <c r="M254" s="82">
        <v>0.68500000000000005</v>
      </c>
      <c r="N254" s="4">
        <v>5.8833330000000004</v>
      </c>
      <c r="O254" s="27" t="s">
        <v>48</v>
      </c>
      <c r="P254" s="27">
        <v>6</v>
      </c>
      <c r="Q254" s="27">
        <v>10</v>
      </c>
      <c r="R254" s="27" t="s">
        <v>49</v>
      </c>
      <c r="S254" s="27" t="s">
        <v>50</v>
      </c>
      <c r="T254" s="27" t="s">
        <v>50</v>
      </c>
      <c r="U254" s="27" t="s">
        <v>50</v>
      </c>
      <c r="V254" s="27" t="s">
        <v>50</v>
      </c>
      <c r="W254" s="27" t="s">
        <v>50</v>
      </c>
      <c r="X254" s="27" t="s">
        <v>50</v>
      </c>
      <c r="Y254" s="35" t="s">
        <v>7149</v>
      </c>
    </row>
    <row r="255" spans="1:25" s="27" customFormat="1" x14ac:dyDescent="0.25">
      <c r="A255" s="194">
        <v>43123</v>
      </c>
      <c r="B255" s="27" t="s">
        <v>70</v>
      </c>
      <c r="C255" s="27" t="s">
        <v>6849</v>
      </c>
      <c r="D255" s="89">
        <v>38.305149999999998</v>
      </c>
      <c r="E255" s="89">
        <v>-121.59943</v>
      </c>
      <c r="F255" s="27" t="s">
        <v>7150</v>
      </c>
      <c r="G255" s="27" t="s">
        <v>90</v>
      </c>
      <c r="H255" s="27" t="s">
        <v>6851</v>
      </c>
      <c r="I255" s="84">
        <v>0.4916666666666667</v>
      </c>
      <c r="J255" s="82">
        <v>131.36670000000001</v>
      </c>
      <c r="K255" s="82">
        <v>10.6</v>
      </c>
      <c r="L255" s="82" t="s">
        <v>50</v>
      </c>
      <c r="M255" s="82">
        <v>0.78333299999999995</v>
      </c>
      <c r="N255" s="4">
        <v>5.8166669999999998</v>
      </c>
      <c r="O255" s="27" t="s">
        <v>48</v>
      </c>
      <c r="P255" s="27">
        <v>6</v>
      </c>
      <c r="Q255" s="27">
        <v>10</v>
      </c>
      <c r="R255" s="27" t="s">
        <v>49</v>
      </c>
      <c r="S255" s="27" t="s">
        <v>702</v>
      </c>
      <c r="T255" s="27">
        <v>1</v>
      </c>
      <c r="U255" s="27">
        <v>38</v>
      </c>
      <c r="V255" s="27" t="s">
        <v>50</v>
      </c>
      <c r="W255" s="27">
        <v>3</v>
      </c>
      <c r="X255" s="27" t="s">
        <v>50</v>
      </c>
      <c r="Y255" s="35" t="s">
        <v>7149</v>
      </c>
    </row>
    <row r="256" spans="1:25" s="27" customFormat="1" x14ac:dyDescent="0.25">
      <c r="A256" s="194">
        <v>43124</v>
      </c>
      <c r="B256" s="27" t="s">
        <v>87</v>
      </c>
      <c r="C256" s="27" t="s">
        <v>88</v>
      </c>
      <c r="D256" s="89">
        <v>38.166530000000002</v>
      </c>
      <c r="E256" s="89">
        <v>-121.67734</v>
      </c>
      <c r="F256" s="27" t="s">
        <v>7151</v>
      </c>
      <c r="G256" s="27" t="s">
        <v>90</v>
      </c>
      <c r="H256" s="27" t="s">
        <v>91</v>
      </c>
      <c r="I256" s="84">
        <v>0.32847222222222222</v>
      </c>
      <c r="J256" s="82">
        <v>145.68</v>
      </c>
      <c r="K256" s="82">
        <v>10.8</v>
      </c>
      <c r="L256" s="82">
        <v>11.231999999999999</v>
      </c>
      <c r="M256" s="82">
        <v>1.1499999999999999</v>
      </c>
      <c r="N256" s="4">
        <v>10.7</v>
      </c>
      <c r="O256" s="27" t="s">
        <v>48</v>
      </c>
      <c r="P256" s="27">
        <v>5</v>
      </c>
      <c r="Q256" s="27">
        <v>5</v>
      </c>
      <c r="R256" s="27" t="s">
        <v>64</v>
      </c>
      <c r="S256" s="27" t="s">
        <v>50</v>
      </c>
      <c r="T256" s="27" t="s">
        <v>50</v>
      </c>
      <c r="U256" s="27" t="s">
        <v>50</v>
      </c>
      <c r="V256" s="27" t="s">
        <v>50</v>
      </c>
      <c r="W256" s="27" t="s">
        <v>50</v>
      </c>
      <c r="X256" s="27" t="s">
        <v>50</v>
      </c>
      <c r="Y256" s="35" t="s">
        <v>7105</v>
      </c>
    </row>
    <row r="257" spans="1:25" s="27" customFormat="1" x14ac:dyDescent="0.25">
      <c r="A257" s="194">
        <v>43124</v>
      </c>
      <c r="B257" s="27" t="s">
        <v>87</v>
      </c>
      <c r="C257" s="27" t="s">
        <v>88</v>
      </c>
      <c r="D257" s="89">
        <v>38.178289999999997</v>
      </c>
      <c r="E257" s="89">
        <v>-121.66437000000001</v>
      </c>
      <c r="F257" s="27" t="s">
        <v>7152</v>
      </c>
      <c r="G257" s="27" t="s">
        <v>90</v>
      </c>
      <c r="H257" s="27" t="s">
        <v>91</v>
      </c>
      <c r="I257" s="84">
        <v>0.38125000000000003</v>
      </c>
      <c r="J257" s="82">
        <v>146.66</v>
      </c>
      <c r="K257" s="82">
        <v>10.76</v>
      </c>
      <c r="L257" s="82">
        <v>9.8699999999999992</v>
      </c>
      <c r="M257" s="82">
        <v>1.1759999999999999</v>
      </c>
      <c r="N257" s="4">
        <v>11.34</v>
      </c>
      <c r="O257" s="27" t="s">
        <v>48</v>
      </c>
      <c r="P257" s="27">
        <v>5</v>
      </c>
      <c r="Q257" s="27">
        <v>5</v>
      </c>
      <c r="R257" s="27" t="s">
        <v>64</v>
      </c>
      <c r="S257" s="27" t="s">
        <v>50</v>
      </c>
      <c r="T257" s="27" t="s">
        <v>50</v>
      </c>
      <c r="U257" s="27" t="s">
        <v>50</v>
      </c>
      <c r="V257" s="27" t="s">
        <v>50</v>
      </c>
      <c r="W257" s="27" t="s">
        <v>50</v>
      </c>
      <c r="X257" s="27" t="s">
        <v>50</v>
      </c>
      <c r="Y257" s="35" t="s">
        <v>7105</v>
      </c>
    </row>
    <row r="258" spans="1:25" s="27" customFormat="1" x14ac:dyDescent="0.25">
      <c r="A258" s="194">
        <v>43124</v>
      </c>
      <c r="B258" s="27" t="s">
        <v>87</v>
      </c>
      <c r="C258" s="27" t="s">
        <v>95</v>
      </c>
      <c r="D258" s="89">
        <v>38.057810000000003</v>
      </c>
      <c r="E258" s="89">
        <v>-121.53073999999999</v>
      </c>
      <c r="F258" s="27" t="s">
        <v>7153</v>
      </c>
      <c r="G258" s="27" t="s">
        <v>46</v>
      </c>
      <c r="H258" s="27" t="s">
        <v>115</v>
      </c>
      <c r="I258" s="84">
        <v>0.43958333333333338</v>
      </c>
      <c r="J258" s="82">
        <v>219.2</v>
      </c>
      <c r="K258" s="82">
        <v>10.88</v>
      </c>
      <c r="L258" s="82">
        <v>5.9240000000000004</v>
      </c>
      <c r="M258" s="82">
        <v>1.5940000000000001</v>
      </c>
      <c r="N258" s="4">
        <v>8.9</v>
      </c>
      <c r="O258" s="27" t="s">
        <v>48</v>
      </c>
      <c r="P258" s="27">
        <v>5</v>
      </c>
      <c r="Q258" s="27">
        <v>5</v>
      </c>
      <c r="R258" s="27" t="s">
        <v>49</v>
      </c>
      <c r="S258" s="27" t="s">
        <v>50</v>
      </c>
      <c r="T258" s="27" t="s">
        <v>50</v>
      </c>
      <c r="U258" s="27" t="s">
        <v>50</v>
      </c>
      <c r="V258" s="27" t="s">
        <v>50</v>
      </c>
      <c r="W258" s="27" t="s">
        <v>50</v>
      </c>
      <c r="X258" s="27" t="s">
        <v>50</v>
      </c>
      <c r="Y258" s="35"/>
    </row>
    <row r="259" spans="1:25" s="27" customFormat="1" x14ac:dyDescent="0.25">
      <c r="A259" s="194">
        <v>43124</v>
      </c>
      <c r="B259" s="27" t="s">
        <v>87</v>
      </c>
      <c r="C259" s="27" t="s">
        <v>95</v>
      </c>
      <c r="D259" s="89">
        <v>38.096919999999997</v>
      </c>
      <c r="E259" s="89">
        <v>-121.65852</v>
      </c>
      <c r="F259" s="27" t="s">
        <v>7154</v>
      </c>
      <c r="G259" s="27" t="s">
        <v>46</v>
      </c>
      <c r="H259" s="27" t="s">
        <v>908</v>
      </c>
      <c r="I259" s="84">
        <v>0.50347222222222221</v>
      </c>
      <c r="J259" s="82">
        <v>250.48</v>
      </c>
      <c r="K259" s="82">
        <v>10.9</v>
      </c>
      <c r="L259" s="82">
        <v>7.9640000000000004</v>
      </c>
      <c r="M259" s="82">
        <v>1.45</v>
      </c>
      <c r="N259" s="4">
        <v>11.46</v>
      </c>
      <c r="O259" s="27" t="s">
        <v>48</v>
      </c>
      <c r="P259" s="27">
        <v>5</v>
      </c>
      <c r="Q259" s="27">
        <v>5</v>
      </c>
      <c r="R259" s="27" t="s">
        <v>49</v>
      </c>
      <c r="S259" s="27" t="s">
        <v>50</v>
      </c>
      <c r="T259" s="27" t="s">
        <v>50</v>
      </c>
      <c r="U259" s="27" t="s">
        <v>50</v>
      </c>
      <c r="V259" s="27" t="s">
        <v>50</v>
      </c>
      <c r="W259" s="27" t="s">
        <v>50</v>
      </c>
      <c r="X259" s="27" t="s">
        <v>50</v>
      </c>
      <c r="Y259" s="35"/>
    </row>
    <row r="260" spans="1:25" s="27" customFormat="1" x14ac:dyDescent="0.25">
      <c r="A260" s="194">
        <v>43124</v>
      </c>
      <c r="B260" s="27" t="s">
        <v>87</v>
      </c>
      <c r="C260" s="27" t="s">
        <v>118</v>
      </c>
      <c r="D260" s="89">
        <v>38.169539999999998</v>
      </c>
      <c r="E260" s="89">
        <v>-122.29356</v>
      </c>
      <c r="F260" s="27" t="s">
        <v>7155</v>
      </c>
      <c r="G260" s="27" t="s">
        <v>80</v>
      </c>
      <c r="H260" s="27" t="s">
        <v>191</v>
      </c>
      <c r="I260" s="84">
        <v>0.45763888888888887</v>
      </c>
      <c r="J260" s="82">
        <v>14210.83</v>
      </c>
      <c r="K260" s="82">
        <v>11.033329999999999</v>
      </c>
      <c r="L260" s="82">
        <v>36.416670000000003</v>
      </c>
      <c r="M260" s="82">
        <v>0.43</v>
      </c>
      <c r="N260" s="4">
        <v>5.4333330000000002</v>
      </c>
      <c r="O260" s="27" t="s">
        <v>48</v>
      </c>
      <c r="P260" s="27">
        <v>6</v>
      </c>
      <c r="Q260" s="27">
        <v>10</v>
      </c>
      <c r="R260" s="27" t="s">
        <v>49</v>
      </c>
      <c r="S260" s="27" t="s">
        <v>50</v>
      </c>
      <c r="T260" s="27" t="s">
        <v>50</v>
      </c>
      <c r="U260" s="27" t="s">
        <v>50</v>
      </c>
      <c r="V260" s="27" t="s">
        <v>50</v>
      </c>
      <c r="W260" s="27" t="s">
        <v>50</v>
      </c>
      <c r="X260" s="27" t="s">
        <v>50</v>
      </c>
      <c r="Y260" s="35" t="s">
        <v>4929</v>
      </c>
    </row>
    <row r="261" spans="1:25" s="27" customFormat="1" x14ac:dyDescent="0.25">
      <c r="A261" s="194">
        <v>43124</v>
      </c>
      <c r="B261" s="27" t="s">
        <v>87</v>
      </c>
      <c r="C261" s="27" t="s">
        <v>118</v>
      </c>
      <c r="D261" s="89">
        <v>38.058900000000001</v>
      </c>
      <c r="E261" s="89">
        <v>-122.18809</v>
      </c>
      <c r="F261" s="27" t="s">
        <v>7156</v>
      </c>
      <c r="G261" s="27" t="s">
        <v>80</v>
      </c>
      <c r="H261" s="27" t="s">
        <v>120</v>
      </c>
      <c r="I261" s="84">
        <v>0.5493055555555556</v>
      </c>
      <c r="J261" s="82">
        <v>11247.83</v>
      </c>
      <c r="K261" s="82">
        <v>11.2</v>
      </c>
      <c r="L261" s="82">
        <v>25.25</v>
      </c>
      <c r="M261" s="82">
        <v>0.54</v>
      </c>
      <c r="N261" s="4">
        <v>28.383330000000001</v>
      </c>
      <c r="O261" s="27" t="s">
        <v>48</v>
      </c>
      <c r="P261" s="27">
        <v>6</v>
      </c>
      <c r="Q261" s="27">
        <v>10</v>
      </c>
      <c r="R261" s="27" t="s">
        <v>49</v>
      </c>
      <c r="S261" s="27" t="s">
        <v>50</v>
      </c>
      <c r="T261" s="27" t="s">
        <v>50</v>
      </c>
      <c r="U261" s="27" t="s">
        <v>50</v>
      </c>
      <c r="V261" s="27" t="s">
        <v>50</v>
      </c>
      <c r="W261" s="27" t="s">
        <v>50</v>
      </c>
      <c r="X261" s="27" t="s">
        <v>50</v>
      </c>
      <c r="Y261" s="35"/>
    </row>
    <row r="262" spans="1:25" s="27" customFormat="1" x14ac:dyDescent="0.25">
      <c r="A262" s="194">
        <v>43125</v>
      </c>
      <c r="B262" s="27" t="s">
        <v>105</v>
      </c>
      <c r="C262" s="27" t="s">
        <v>78</v>
      </c>
      <c r="D262" s="89">
        <v>38.081429999999997</v>
      </c>
      <c r="E262" s="89">
        <v>-122.04131</v>
      </c>
      <c r="F262" s="27" t="s">
        <v>7157</v>
      </c>
      <c r="G262" s="27" t="s">
        <v>27</v>
      </c>
      <c r="H262" s="27" t="s">
        <v>86</v>
      </c>
      <c r="I262" s="84">
        <v>0.38194444444444442</v>
      </c>
      <c r="J262" s="82">
        <v>8525.4</v>
      </c>
      <c r="K262" s="82">
        <v>10.780000000000001</v>
      </c>
      <c r="L262" s="82">
        <v>27.880000000000003</v>
      </c>
      <c r="M262" s="82">
        <v>0.5</v>
      </c>
      <c r="N262" s="4">
        <v>6.4</v>
      </c>
      <c r="O262" s="27" t="s">
        <v>48</v>
      </c>
      <c r="P262" s="27">
        <v>5</v>
      </c>
      <c r="Q262" s="27">
        <v>5</v>
      </c>
      <c r="R262" s="27" t="s">
        <v>64</v>
      </c>
      <c r="S262" s="27" t="s">
        <v>50</v>
      </c>
      <c r="T262" s="27" t="s">
        <v>50</v>
      </c>
      <c r="U262" s="27" t="s">
        <v>50</v>
      </c>
      <c r="V262" s="27" t="s">
        <v>50</v>
      </c>
      <c r="W262" s="27" t="s">
        <v>50</v>
      </c>
      <c r="X262" s="27" t="s">
        <v>50</v>
      </c>
      <c r="Y262" s="35"/>
    </row>
    <row r="263" spans="1:25" s="27" customFormat="1" x14ac:dyDescent="0.25">
      <c r="A263" s="194">
        <v>43125</v>
      </c>
      <c r="B263" s="27" t="s">
        <v>105</v>
      </c>
      <c r="C263" s="27" t="s">
        <v>78</v>
      </c>
      <c r="D263" s="89">
        <v>38.050080000000001</v>
      </c>
      <c r="E263" s="89">
        <v>-121.97266999999999</v>
      </c>
      <c r="F263" s="27" t="s">
        <v>7158</v>
      </c>
      <c r="G263" s="27" t="s">
        <v>27</v>
      </c>
      <c r="H263" s="27" t="s">
        <v>86</v>
      </c>
      <c r="I263" s="84">
        <v>0.4368055555555555</v>
      </c>
      <c r="J263" s="82">
        <v>6323</v>
      </c>
      <c r="K263" s="82">
        <v>10.879999999999999</v>
      </c>
      <c r="L263" s="82">
        <v>23.02</v>
      </c>
      <c r="M263" s="82">
        <v>0.55600000000000005</v>
      </c>
      <c r="N263" s="4">
        <v>4.46</v>
      </c>
      <c r="O263" s="27" t="s">
        <v>48</v>
      </c>
      <c r="P263" s="27">
        <v>5</v>
      </c>
      <c r="Q263" s="27">
        <v>5</v>
      </c>
      <c r="R263" s="27" t="s">
        <v>49</v>
      </c>
      <c r="S263" s="27" t="s">
        <v>50</v>
      </c>
      <c r="T263" s="27" t="s">
        <v>50</v>
      </c>
      <c r="U263" s="27" t="s">
        <v>50</v>
      </c>
      <c r="V263" s="27" t="s">
        <v>50</v>
      </c>
      <c r="W263" s="27" t="s">
        <v>50</v>
      </c>
      <c r="X263" s="27" t="s">
        <v>50</v>
      </c>
      <c r="Y263" s="35"/>
    </row>
    <row r="264" spans="1:25" s="27" customFormat="1" x14ac:dyDescent="0.25">
      <c r="A264" s="194">
        <v>43125</v>
      </c>
      <c r="B264" s="27" t="s">
        <v>105</v>
      </c>
      <c r="C264" s="27" t="s">
        <v>845</v>
      </c>
      <c r="D264" s="89">
        <v>38.244999999999997</v>
      </c>
      <c r="E264" s="89">
        <v>-121.68169</v>
      </c>
      <c r="F264" s="27" t="s">
        <v>7159</v>
      </c>
      <c r="G264" s="27" t="s">
        <v>90</v>
      </c>
      <c r="H264" s="27" t="s">
        <v>126</v>
      </c>
      <c r="I264" s="84">
        <v>0.32916666666666666</v>
      </c>
      <c r="J264" s="82">
        <v>208.38000000000002</v>
      </c>
      <c r="K264" s="82">
        <v>10.48</v>
      </c>
      <c r="L264" s="82">
        <v>11.722</v>
      </c>
      <c r="M264" s="82">
        <v>1.218</v>
      </c>
      <c r="N264" s="4">
        <v>2.8600000000000003</v>
      </c>
      <c r="O264" s="27" t="s">
        <v>48</v>
      </c>
      <c r="P264" s="27">
        <v>5</v>
      </c>
      <c r="Q264" s="27">
        <v>5</v>
      </c>
      <c r="R264" s="27" t="s">
        <v>64</v>
      </c>
      <c r="S264" s="27" t="s">
        <v>50</v>
      </c>
      <c r="T264" s="27" t="s">
        <v>50</v>
      </c>
      <c r="U264" s="27" t="s">
        <v>50</v>
      </c>
      <c r="V264" s="27" t="s">
        <v>50</v>
      </c>
      <c r="W264" s="27" t="s">
        <v>50</v>
      </c>
      <c r="X264" s="27" t="s">
        <v>50</v>
      </c>
      <c r="Y264" s="35" t="s">
        <v>7160</v>
      </c>
    </row>
    <row r="265" spans="1:25" s="27" customFormat="1" x14ac:dyDescent="0.25">
      <c r="A265" s="194">
        <v>43125</v>
      </c>
      <c r="B265" s="27" t="s">
        <v>105</v>
      </c>
      <c r="C265" s="27" t="s">
        <v>845</v>
      </c>
      <c r="D265" s="89">
        <v>38.245170000000002</v>
      </c>
      <c r="E265" s="89">
        <v>-121.69633</v>
      </c>
      <c r="F265" s="27" t="s">
        <v>7161</v>
      </c>
      <c r="G265" s="27" t="s">
        <v>90</v>
      </c>
      <c r="H265" s="27" t="s">
        <v>126</v>
      </c>
      <c r="I265" s="84">
        <v>0.37708333333333338</v>
      </c>
      <c r="J265" s="82">
        <v>214.37999999999997</v>
      </c>
      <c r="K265" s="82">
        <v>10.48</v>
      </c>
      <c r="L265" s="82">
        <v>9.3680000000000003</v>
      </c>
      <c r="M265" s="82">
        <v>1.238</v>
      </c>
      <c r="N265" s="4">
        <v>6.0600000000000005</v>
      </c>
      <c r="O265" s="27" t="s">
        <v>48</v>
      </c>
      <c r="P265" s="27">
        <v>5</v>
      </c>
      <c r="Q265" s="27">
        <v>5</v>
      </c>
      <c r="R265" s="27" t="s">
        <v>64</v>
      </c>
      <c r="S265" s="27" t="s">
        <v>50</v>
      </c>
      <c r="T265" s="27" t="s">
        <v>50</v>
      </c>
      <c r="U265" s="27" t="s">
        <v>50</v>
      </c>
      <c r="V265" s="27" t="s">
        <v>50</v>
      </c>
      <c r="W265" s="27" t="s">
        <v>50</v>
      </c>
      <c r="X265" s="27" t="s">
        <v>50</v>
      </c>
      <c r="Y265" s="35" t="s">
        <v>7105</v>
      </c>
    </row>
    <row r="266" spans="1:25" s="27" customFormat="1" x14ac:dyDescent="0.25">
      <c r="A266" s="194">
        <v>43125</v>
      </c>
      <c r="B266" s="27" t="s">
        <v>105</v>
      </c>
      <c r="C266" s="27" t="s">
        <v>845</v>
      </c>
      <c r="D266" s="89">
        <v>38.259120000000003</v>
      </c>
      <c r="E266" s="89">
        <v>-121.67106</v>
      </c>
      <c r="F266" s="27" t="s">
        <v>7162</v>
      </c>
      <c r="G266" s="27" t="s">
        <v>90</v>
      </c>
      <c r="H266" s="27" t="s">
        <v>126</v>
      </c>
      <c r="I266" s="84">
        <v>0.42708333333333331</v>
      </c>
      <c r="J266" s="82">
        <v>199.42</v>
      </c>
      <c r="K266" s="82">
        <v>10.419999999999998</v>
      </c>
      <c r="L266" s="82">
        <v>8.35</v>
      </c>
      <c r="M266" s="82">
        <v>1.1539999999999999</v>
      </c>
      <c r="N266" s="4">
        <v>10.400000000000002</v>
      </c>
      <c r="O266" s="27" t="s">
        <v>48</v>
      </c>
      <c r="P266" s="27">
        <v>5</v>
      </c>
      <c r="Q266" s="27">
        <v>5</v>
      </c>
      <c r="R266" s="27" t="s">
        <v>64</v>
      </c>
      <c r="S266" s="27" t="s">
        <v>50</v>
      </c>
      <c r="T266" s="27" t="s">
        <v>50</v>
      </c>
      <c r="U266" s="27" t="s">
        <v>50</v>
      </c>
      <c r="V266" s="27" t="s">
        <v>50</v>
      </c>
      <c r="W266" s="27" t="s">
        <v>50</v>
      </c>
      <c r="X266" s="27" t="s">
        <v>50</v>
      </c>
      <c r="Y266" s="35" t="s">
        <v>7105</v>
      </c>
    </row>
    <row r="267" spans="1:25" s="149" customFormat="1" x14ac:dyDescent="0.25">
      <c r="A267" s="195">
        <v>43125</v>
      </c>
      <c r="B267" s="149" t="s">
        <v>105</v>
      </c>
      <c r="C267" s="149" t="s">
        <v>44</v>
      </c>
      <c r="D267" s="150">
        <v>37.819029999999998</v>
      </c>
      <c r="E267" s="150">
        <v>-121.53328</v>
      </c>
      <c r="F267" s="149" t="s">
        <v>7163</v>
      </c>
      <c r="G267" s="149" t="s">
        <v>46</v>
      </c>
      <c r="H267" s="149" t="s">
        <v>7164</v>
      </c>
      <c r="I267" s="151">
        <v>0.36458333333333331</v>
      </c>
      <c r="J267" s="197" t="s">
        <v>50</v>
      </c>
      <c r="K267" s="197" t="s">
        <v>50</v>
      </c>
      <c r="L267" s="197" t="s">
        <v>50</v>
      </c>
      <c r="M267" s="197" t="s">
        <v>50</v>
      </c>
      <c r="N267" s="197" t="s">
        <v>50</v>
      </c>
      <c r="O267" s="149" t="s">
        <v>48</v>
      </c>
      <c r="P267" s="149">
        <v>0</v>
      </c>
      <c r="Q267" s="149" t="s">
        <v>50</v>
      </c>
      <c r="R267" s="149" t="s">
        <v>50</v>
      </c>
      <c r="S267" s="149" t="s">
        <v>50</v>
      </c>
      <c r="T267" s="149" t="s">
        <v>50</v>
      </c>
      <c r="U267" s="149" t="s">
        <v>50</v>
      </c>
      <c r="V267" s="149" t="s">
        <v>50</v>
      </c>
      <c r="W267" s="149" t="s">
        <v>50</v>
      </c>
      <c r="X267" s="149" t="s">
        <v>50</v>
      </c>
      <c r="Y267" s="152" t="s">
        <v>3595</v>
      </c>
    </row>
    <row r="268" spans="1:25" s="27" customFormat="1" x14ac:dyDescent="0.25">
      <c r="A268" s="194">
        <v>43125</v>
      </c>
      <c r="B268" s="27" t="s">
        <v>105</v>
      </c>
      <c r="C268" s="27" t="s">
        <v>44</v>
      </c>
      <c r="D268" s="89">
        <v>37.920839999999998</v>
      </c>
      <c r="E268" s="89">
        <v>-121.56021</v>
      </c>
      <c r="F268" s="27" t="s">
        <v>7165</v>
      </c>
      <c r="G268" s="27" t="s">
        <v>46</v>
      </c>
      <c r="H268" s="27" t="s">
        <v>199</v>
      </c>
      <c r="I268" s="84">
        <v>0.39374999999999999</v>
      </c>
      <c r="J268" s="82">
        <v>321.33333333333331</v>
      </c>
      <c r="K268" s="82">
        <v>10.5</v>
      </c>
      <c r="L268" s="82">
        <v>5.626666666666666</v>
      </c>
      <c r="M268" s="82">
        <v>1.6100000000000003</v>
      </c>
      <c r="N268" s="4">
        <v>4.833333333333333</v>
      </c>
      <c r="O268" s="27" t="s">
        <v>48</v>
      </c>
      <c r="P268" s="27">
        <v>6</v>
      </c>
      <c r="Q268" s="27">
        <v>10</v>
      </c>
      <c r="R268" s="27" t="s">
        <v>64</v>
      </c>
      <c r="S268" s="27" t="s">
        <v>50</v>
      </c>
      <c r="T268" s="27" t="s">
        <v>50</v>
      </c>
      <c r="U268" s="27" t="s">
        <v>50</v>
      </c>
      <c r="V268" s="27" t="s">
        <v>50</v>
      </c>
      <c r="W268" s="27" t="s">
        <v>50</v>
      </c>
      <c r="X268" s="27" t="s">
        <v>50</v>
      </c>
      <c r="Y268" s="35"/>
    </row>
    <row r="269" spans="1:25" s="108" customFormat="1" ht="15.75" thickBot="1" x14ac:dyDescent="0.3">
      <c r="A269" s="126">
        <v>43125</v>
      </c>
      <c r="B269" s="108" t="s">
        <v>105</v>
      </c>
      <c r="C269" s="108" t="s">
        <v>44</v>
      </c>
      <c r="D269" s="109">
        <v>38.008119999999998</v>
      </c>
      <c r="E269" s="109">
        <v>-121.62836</v>
      </c>
      <c r="F269" s="108" t="s">
        <v>7166</v>
      </c>
      <c r="G269" s="108" t="s">
        <v>46</v>
      </c>
      <c r="H269" s="108" t="s">
        <v>47</v>
      </c>
      <c r="I269" s="110">
        <v>0.51180555555555551</v>
      </c>
      <c r="J269" s="111">
        <v>416.09999999999997</v>
      </c>
      <c r="K269" s="111">
        <v>10.666666666666666</v>
      </c>
      <c r="L269" s="111">
        <v>6.5333333333333341</v>
      </c>
      <c r="M269" s="111">
        <v>1.4233333333333331</v>
      </c>
      <c r="N269" s="112">
        <v>4.7</v>
      </c>
      <c r="O269" s="108" t="s">
        <v>48</v>
      </c>
      <c r="P269" s="108">
        <v>6</v>
      </c>
      <c r="Q269" s="108">
        <v>10</v>
      </c>
      <c r="R269" s="108" t="s">
        <v>49</v>
      </c>
      <c r="S269" s="108" t="s">
        <v>50</v>
      </c>
      <c r="T269" s="108" t="s">
        <v>50</v>
      </c>
      <c r="U269" s="108" t="s">
        <v>50</v>
      </c>
      <c r="V269" s="108" t="s">
        <v>50</v>
      </c>
      <c r="W269" s="108" t="s">
        <v>50</v>
      </c>
      <c r="X269" s="108" t="s">
        <v>50</v>
      </c>
      <c r="Y269" s="113"/>
    </row>
    <row r="270" spans="1:25" s="27" customFormat="1" ht="15.75" thickTop="1" x14ac:dyDescent="0.25">
      <c r="A270" s="26">
        <v>43129</v>
      </c>
      <c r="B270" s="27" t="s">
        <v>43</v>
      </c>
      <c r="C270" s="27" t="s">
        <v>95</v>
      </c>
      <c r="D270" s="89">
        <v>38.080480000000001</v>
      </c>
      <c r="E270" s="89">
        <v>-121.56995999999999</v>
      </c>
      <c r="F270" s="27" t="s">
        <v>7167</v>
      </c>
      <c r="G270" s="27" t="s">
        <v>46</v>
      </c>
      <c r="H270" s="27" t="s">
        <v>115</v>
      </c>
      <c r="I270" s="84">
        <v>0.3034722222222222</v>
      </c>
      <c r="J270" s="82">
        <v>184.6</v>
      </c>
      <c r="K270" s="82">
        <v>10.82</v>
      </c>
      <c r="L270" s="82">
        <v>5.2859999999999996</v>
      </c>
      <c r="M270" s="82">
        <v>1.4259999999999999</v>
      </c>
      <c r="N270" s="4">
        <v>10.32</v>
      </c>
      <c r="O270" s="27" t="s">
        <v>48</v>
      </c>
      <c r="P270" s="27">
        <v>5</v>
      </c>
      <c r="Q270" s="27">
        <v>5</v>
      </c>
      <c r="R270" s="27" t="s">
        <v>49</v>
      </c>
      <c r="S270" s="27" t="s">
        <v>50</v>
      </c>
      <c r="T270" s="27" t="s">
        <v>50</v>
      </c>
      <c r="U270" s="27" t="s">
        <v>50</v>
      </c>
      <c r="V270" s="27" t="s">
        <v>50</v>
      </c>
      <c r="W270" s="27" t="s">
        <v>50</v>
      </c>
      <c r="X270" s="27" t="s">
        <v>50</v>
      </c>
      <c r="Y270" s="35"/>
    </row>
    <row r="271" spans="1:25" s="27" customFormat="1" x14ac:dyDescent="0.25">
      <c r="A271" s="26">
        <v>43129</v>
      </c>
      <c r="B271" s="27" t="s">
        <v>43</v>
      </c>
      <c r="C271" s="27" t="s">
        <v>88</v>
      </c>
      <c r="D271" s="89">
        <v>38.139060000000001</v>
      </c>
      <c r="E271" s="89">
        <v>-121.69053</v>
      </c>
      <c r="F271" s="27" t="s">
        <v>7168</v>
      </c>
      <c r="G271" s="27" t="s">
        <v>90</v>
      </c>
      <c r="H271" s="27" t="s">
        <v>91</v>
      </c>
      <c r="I271" s="84">
        <v>0.31944444444444448</v>
      </c>
      <c r="J271" s="82">
        <v>128.68</v>
      </c>
      <c r="K271" s="82">
        <v>9.9600000000000009</v>
      </c>
      <c r="L271" s="82">
        <v>15.42</v>
      </c>
      <c r="M271" s="82">
        <v>0.81</v>
      </c>
      <c r="N271" s="4">
        <v>5.96</v>
      </c>
      <c r="O271" s="27" t="s">
        <v>48</v>
      </c>
      <c r="P271" s="27">
        <v>5</v>
      </c>
      <c r="Q271" s="27">
        <v>5</v>
      </c>
      <c r="R271" s="27" t="s">
        <v>49</v>
      </c>
      <c r="S271" s="27" t="s">
        <v>50</v>
      </c>
      <c r="T271" s="27" t="s">
        <v>50</v>
      </c>
      <c r="U271" s="27" t="s">
        <v>50</v>
      </c>
      <c r="V271" s="27" t="s">
        <v>50</v>
      </c>
      <c r="W271" s="27" t="s">
        <v>50</v>
      </c>
      <c r="X271" s="27" t="s">
        <v>50</v>
      </c>
      <c r="Y271" s="35" t="s">
        <v>7105</v>
      </c>
    </row>
    <row r="272" spans="1:25" s="27" customFormat="1" x14ac:dyDescent="0.25">
      <c r="A272" s="26">
        <v>43129</v>
      </c>
      <c r="B272" s="27" t="s">
        <v>43</v>
      </c>
      <c r="C272" s="27" t="s">
        <v>88</v>
      </c>
      <c r="D272" s="89">
        <v>38.070270000000001</v>
      </c>
      <c r="E272" s="89">
        <v>-121.83342</v>
      </c>
      <c r="F272" s="27" t="s">
        <v>7169</v>
      </c>
      <c r="G272" s="27" t="s">
        <v>27</v>
      </c>
      <c r="H272" s="27" t="s">
        <v>25</v>
      </c>
      <c r="I272" s="84">
        <v>0.38472222222222219</v>
      </c>
      <c r="J272" s="82">
        <v>195.48</v>
      </c>
      <c r="K272" s="82">
        <v>10.66</v>
      </c>
      <c r="L272" s="82">
        <v>16.059999999999999</v>
      </c>
      <c r="M272" s="82">
        <v>0.86799999999999999</v>
      </c>
      <c r="N272" s="4">
        <v>8.18</v>
      </c>
      <c r="O272" s="27" t="s">
        <v>48</v>
      </c>
      <c r="P272" s="27">
        <v>5</v>
      </c>
      <c r="Q272" s="27">
        <v>5</v>
      </c>
      <c r="R272" s="27" t="s">
        <v>64</v>
      </c>
      <c r="S272" s="27" t="s">
        <v>323</v>
      </c>
      <c r="T272" s="27">
        <v>1</v>
      </c>
      <c r="U272" s="27">
        <v>66</v>
      </c>
      <c r="V272" s="27" t="s">
        <v>66</v>
      </c>
      <c r="W272" s="27" t="s">
        <v>50</v>
      </c>
      <c r="X272" s="27" t="s">
        <v>50</v>
      </c>
      <c r="Y272" s="35" t="s">
        <v>7105</v>
      </c>
    </row>
    <row r="273" spans="1:25" s="27" customFormat="1" x14ac:dyDescent="0.25">
      <c r="A273" s="26">
        <v>43129</v>
      </c>
      <c r="B273" s="27" t="s">
        <v>43</v>
      </c>
      <c r="C273" s="27" t="s">
        <v>88</v>
      </c>
      <c r="D273" s="89">
        <v>38.096040000000002</v>
      </c>
      <c r="E273" s="89">
        <v>-121.73227</v>
      </c>
      <c r="F273" s="27" t="s">
        <v>7170</v>
      </c>
      <c r="G273" s="27" t="s">
        <v>90</v>
      </c>
      <c r="H273" s="27" t="s">
        <v>91</v>
      </c>
      <c r="I273" s="84">
        <v>0.44097222222222227</v>
      </c>
      <c r="J273" s="82">
        <v>133.96</v>
      </c>
      <c r="K273" s="82">
        <v>10.199999999999999</v>
      </c>
      <c r="L273" s="82">
        <v>15.18</v>
      </c>
      <c r="M273" s="82">
        <v>0.97</v>
      </c>
      <c r="N273" s="4">
        <v>10.72</v>
      </c>
      <c r="O273" s="27" t="s">
        <v>48</v>
      </c>
      <c r="P273" s="27">
        <v>5</v>
      </c>
      <c r="Q273" s="27">
        <v>5</v>
      </c>
      <c r="R273" s="27" t="s">
        <v>64</v>
      </c>
      <c r="S273" s="27" t="s">
        <v>50</v>
      </c>
      <c r="T273" s="27" t="s">
        <v>50</v>
      </c>
      <c r="U273" s="27" t="s">
        <v>50</v>
      </c>
      <c r="V273" s="27" t="s">
        <v>50</v>
      </c>
      <c r="W273" s="27" t="s">
        <v>50</v>
      </c>
      <c r="X273" s="27" t="s">
        <v>50</v>
      </c>
      <c r="Y273" s="35" t="s">
        <v>7105</v>
      </c>
    </row>
    <row r="274" spans="1:25" s="27" customFormat="1" x14ac:dyDescent="0.25">
      <c r="A274" s="26">
        <v>43129</v>
      </c>
      <c r="B274" s="27" t="s">
        <v>43</v>
      </c>
      <c r="C274" s="27" t="s">
        <v>95</v>
      </c>
      <c r="D274" s="89">
        <v>38.051580000000001</v>
      </c>
      <c r="E274" s="89">
        <v>-121.69061000000001</v>
      </c>
      <c r="F274" s="27" t="s">
        <v>7171</v>
      </c>
      <c r="G274" s="27" t="s">
        <v>46</v>
      </c>
      <c r="H274" s="27" t="s">
        <v>908</v>
      </c>
      <c r="I274" s="84">
        <v>0.36458333333333331</v>
      </c>
      <c r="J274" s="82">
        <v>262.08</v>
      </c>
      <c r="K274" s="82">
        <v>10.96</v>
      </c>
      <c r="L274" s="82">
        <v>5.1840000000000002</v>
      </c>
      <c r="M274" s="82">
        <v>1.57</v>
      </c>
      <c r="N274" s="4">
        <v>12.94</v>
      </c>
      <c r="O274" s="27" t="s">
        <v>48</v>
      </c>
      <c r="P274" s="27">
        <v>5</v>
      </c>
      <c r="Q274" s="27">
        <v>5</v>
      </c>
      <c r="R274" s="27" t="s">
        <v>64</v>
      </c>
      <c r="S274" s="27" t="s">
        <v>50</v>
      </c>
      <c r="T274" s="27" t="s">
        <v>50</v>
      </c>
      <c r="U274" s="27" t="s">
        <v>50</v>
      </c>
      <c r="V274" s="27" t="s">
        <v>50</v>
      </c>
      <c r="W274" s="27" t="s">
        <v>50</v>
      </c>
      <c r="X274" s="27" t="s">
        <v>50</v>
      </c>
      <c r="Y274" s="35"/>
    </row>
    <row r="275" spans="1:25" s="27" customFormat="1" x14ac:dyDescent="0.25">
      <c r="A275" s="26">
        <v>43129</v>
      </c>
      <c r="B275" s="27" t="s">
        <v>43</v>
      </c>
      <c r="C275" s="27" t="s">
        <v>95</v>
      </c>
      <c r="D275" s="89">
        <v>38.092910000000003</v>
      </c>
      <c r="E275" s="89">
        <v>-121.64628</v>
      </c>
      <c r="F275" s="27" t="s">
        <v>7172</v>
      </c>
      <c r="G275" s="27" t="s">
        <v>46</v>
      </c>
      <c r="H275" s="27" t="s">
        <v>908</v>
      </c>
      <c r="I275" s="84">
        <v>0.41180555555555554</v>
      </c>
      <c r="J275" s="82">
        <v>219.94</v>
      </c>
      <c r="K275" s="82">
        <v>11</v>
      </c>
      <c r="L275" s="82">
        <v>5.8460000000000001</v>
      </c>
      <c r="M275" s="82">
        <v>1.47</v>
      </c>
      <c r="N275" s="4">
        <v>7.38</v>
      </c>
      <c r="O275" s="27" t="s">
        <v>48</v>
      </c>
      <c r="P275" s="27">
        <v>5</v>
      </c>
      <c r="Q275" s="27">
        <v>5</v>
      </c>
      <c r="R275" s="27" t="s">
        <v>64</v>
      </c>
      <c r="S275" s="27" t="s">
        <v>50</v>
      </c>
      <c r="T275" s="27" t="s">
        <v>50</v>
      </c>
      <c r="U275" s="27" t="s">
        <v>50</v>
      </c>
      <c r="V275" s="27" t="s">
        <v>50</v>
      </c>
      <c r="W275" s="27" t="s">
        <v>50</v>
      </c>
      <c r="X275" s="27" t="s">
        <v>50</v>
      </c>
      <c r="Y275" s="35"/>
    </row>
    <row r="276" spans="1:25" s="27" customFormat="1" x14ac:dyDescent="0.25">
      <c r="A276" s="26">
        <v>43129</v>
      </c>
      <c r="B276" s="27" t="s">
        <v>43</v>
      </c>
      <c r="C276" s="27" t="s">
        <v>78</v>
      </c>
      <c r="D276" s="89">
        <v>38.091380000000001</v>
      </c>
      <c r="E276" s="89">
        <v>-122.07312</v>
      </c>
      <c r="F276" s="27" t="s">
        <v>7173</v>
      </c>
      <c r="G276" s="27" t="s">
        <v>80</v>
      </c>
      <c r="H276" s="27" t="s">
        <v>81</v>
      </c>
      <c r="I276" s="84">
        <v>0.3611111111111111</v>
      </c>
      <c r="J276" s="82">
        <v>6434</v>
      </c>
      <c r="K276" s="82">
        <v>11.08</v>
      </c>
      <c r="L276" s="82">
        <v>23.78</v>
      </c>
      <c r="M276" s="82">
        <v>0.47399999999999998</v>
      </c>
      <c r="N276" s="4">
        <v>10.72</v>
      </c>
      <c r="O276" s="27" t="s">
        <v>48</v>
      </c>
      <c r="P276" s="27">
        <v>5</v>
      </c>
      <c r="Q276" s="27">
        <v>5</v>
      </c>
      <c r="R276" s="27" t="s">
        <v>64</v>
      </c>
      <c r="S276" s="27" t="s">
        <v>50</v>
      </c>
      <c r="T276" s="27" t="s">
        <v>50</v>
      </c>
      <c r="U276" s="27" t="s">
        <v>50</v>
      </c>
      <c r="V276" s="27" t="s">
        <v>50</v>
      </c>
      <c r="W276" s="27" t="s">
        <v>50</v>
      </c>
      <c r="X276" s="27" t="s">
        <v>50</v>
      </c>
      <c r="Y276" s="35"/>
    </row>
    <row r="277" spans="1:25" s="27" customFormat="1" x14ac:dyDescent="0.25">
      <c r="A277" s="26">
        <v>43129</v>
      </c>
      <c r="B277" s="27" t="s">
        <v>43</v>
      </c>
      <c r="C277" s="27" t="s">
        <v>78</v>
      </c>
      <c r="D277" s="89">
        <v>38.077190000000002</v>
      </c>
      <c r="E277" s="89">
        <v>-122.08523</v>
      </c>
      <c r="F277" s="27" t="s">
        <v>7174</v>
      </c>
      <c r="G277" s="27" t="s">
        <v>80</v>
      </c>
      <c r="H277" s="27" t="s">
        <v>81</v>
      </c>
      <c r="I277" s="84">
        <v>0.40138888888888885</v>
      </c>
      <c r="J277" s="82">
        <v>9294</v>
      </c>
      <c r="K277" s="82">
        <v>11.34</v>
      </c>
      <c r="L277" s="82">
        <v>20.14</v>
      </c>
      <c r="M277" s="82">
        <v>0.57399999999999995</v>
      </c>
      <c r="N277" s="4">
        <v>9.84</v>
      </c>
      <c r="O277" s="27" t="s">
        <v>48</v>
      </c>
      <c r="P277" s="27">
        <v>5</v>
      </c>
      <c r="Q277" s="27">
        <v>5</v>
      </c>
      <c r="R277" s="27" t="s">
        <v>64</v>
      </c>
      <c r="S277" s="27" t="s">
        <v>50</v>
      </c>
      <c r="T277" s="27" t="s">
        <v>50</v>
      </c>
      <c r="U277" s="27" t="s">
        <v>50</v>
      </c>
      <c r="V277" s="27" t="s">
        <v>50</v>
      </c>
      <c r="W277" s="27" t="s">
        <v>50</v>
      </c>
      <c r="X277" s="27" t="s">
        <v>50</v>
      </c>
      <c r="Y277" s="35"/>
    </row>
    <row r="278" spans="1:25" s="27" customFormat="1" x14ac:dyDescent="0.25">
      <c r="A278" s="26">
        <v>43129</v>
      </c>
      <c r="B278" s="27" t="s">
        <v>43</v>
      </c>
      <c r="C278" s="27" t="s">
        <v>78</v>
      </c>
      <c r="D278" s="89">
        <v>38.054900000000004</v>
      </c>
      <c r="E278" s="89">
        <v>-121.9666</v>
      </c>
      <c r="F278" s="27" t="s">
        <v>7175</v>
      </c>
      <c r="G278" s="27" t="s">
        <v>27</v>
      </c>
      <c r="H278" s="27" t="s">
        <v>170</v>
      </c>
      <c r="I278" s="84">
        <v>0.47291666666666665</v>
      </c>
      <c r="J278" s="82">
        <v>5054.2</v>
      </c>
      <c r="K278" s="82">
        <v>11.16</v>
      </c>
      <c r="L278" s="82">
        <v>21.98</v>
      </c>
      <c r="M278" s="82">
        <v>0.55000000000000004</v>
      </c>
      <c r="N278" s="4">
        <v>9.48</v>
      </c>
      <c r="O278" s="27" t="s">
        <v>48</v>
      </c>
      <c r="P278" s="27">
        <v>5</v>
      </c>
      <c r="Q278" s="27">
        <v>5</v>
      </c>
      <c r="R278" s="27" t="s">
        <v>64</v>
      </c>
      <c r="S278" s="27" t="s">
        <v>50</v>
      </c>
      <c r="T278" s="27" t="s">
        <v>50</v>
      </c>
      <c r="U278" s="27" t="s">
        <v>50</v>
      </c>
      <c r="V278" s="27" t="s">
        <v>50</v>
      </c>
      <c r="W278" s="27" t="s">
        <v>50</v>
      </c>
      <c r="X278" s="27" t="s">
        <v>50</v>
      </c>
      <c r="Y278" s="35"/>
    </row>
    <row r="279" spans="1:25" s="27" customFormat="1" x14ac:dyDescent="0.25">
      <c r="A279" s="26">
        <v>43130</v>
      </c>
      <c r="B279" s="27" t="s">
        <v>849</v>
      </c>
      <c r="C279" s="27" t="s">
        <v>95</v>
      </c>
      <c r="D279" s="89">
        <v>38.101309999999998</v>
      </c>
      <c r="E279" s="89">
        <v>-121.58767</v>
      </c>
      <c r="F279" s="27" t="s">
        <v>7176</v>
      </c>
      <c r="G279" s="27" t="s">
        <v>46</v>
      </c>
      <c r="H279" s="27" t="s">
        <v>115</v>
      </c>
      <c r="I279" s="84">
        <v>0.30972222222222223</v>
      </c>
      <c r="J279" s="82">
        <v>165.6</v>
      </c>
      <c r="K279" s="82">
        <v>10.62</v>
      </c>
      <c r="L279" s="82">
        <v>7.3719999999999999</v>
      </c>
      <c r="M279" s="82">
        <v>1.1839999999999999</v>
      </c>
      <c r="N279" s="4">
        <v>5.12</v>
      </c>
      <c r="O279" s="27" t="s">
        <v>48</v>
      </c>
      <c r="P279" s="27">
        <v>5</v>
      </c>
      <c r="Q279" s="27">
        <v>5</v>
      </c>
      <c r="R279" s="27" t="s">
        <v>49</v>
      </c>
      <c r="S279" s="27" t="s">
        <v>50</v>
      </c>
      <c r="T279" s="27" t="s">
        <v>50</v>
      </c>
      <c r="U279" s="27" t="s">
        <v>50</v>
      </c>
      <c r="V279" s="27" t="s">
        <v>50</v>
      </c>
      <c r="W279" s="27" t="s">
        <v>50</v>
      </c>
      <c r="X279" s="27" t="s">
        <v>50</v>
      </c>
      <c r="Y279" s="35"/>
    </row>
    <row r="280" spans="1:25" s="27" customFormat="1" x14ac:dyDescent="0.25">
      <c r="A280" s="26">
        <v>43130</v>
      </c>
      <c r="B280" s="27" t="s">
        <v>849</v>
      </c>
      <c r="C280" s="27" t="s">
        <v>62</v>
      </c>
      <c r="D280" s="89">
        <v>38.170360000000002</v>
      </c>
      <c r="E280" s="89">
        <v>-122.02207</v>
      </c>
      <c r="F280" s="27" t="s">
        <v>7177</v>
      </c>
      <c r="G280" s="27" t="s">
        <v>27</v>
      </c>
      <c r="H280" s="27" t="s">
        <v>62</v>
      </c>
      <c r="I280" s="84">
        <v>0.3833333333333333</v>
      </c>
      <c r="J280" s="82">
        <v>1829.8</v>
      </c>
      <c r="K280" s="82">
        <v>11.18</v>
      </c>
      <c r="L280" s="82">
        <v>79.72</v>
      </c>
      <c r="M280" s="82">
        <v>0.20200000000000001</v>
      </c>
      <c r="N280" s="4">
        <v>6.64</v>
      </c>
      <c r="O280" s="27" t="s">
        <v>48</v>
      </c>
      <c r="P280" s="27">
        <v>5</v>
      </c>
      <c r="Q280" s="27">
        <v>5</v>
      </c>
      <c r="R280" s="27" t="s">
        <v>64</v>
      </c>
      <c r="S280" s="27" t="s">
        <v>31</v>
      </c>
      <c r="T280" s="27">
        <v>1</v>
      </c>
      <c r="U280" s="27">
        <v>79</v>
      </c>
      <c r="V280" s="27" t="s">
        <v>66</v>
      </c>
      <c r="W280" s="27" t="s">
        <v>50</v>
      </c>
      <c r="X280" s="27" t="s">
        <v>50</v>
      </c>
      <c r="Y280" s="35" t="s">
        <v>7178</v>
      </c>
    </row>
    <row r="281" spans="1:25" s="27" customFormat="1" x14ac:dyDescent="0.25">
      <c r="A281" s="26">
        <v>43130</v>
      </c>
      <c r="B281" s="27" t="s">
        <v>849</v>
      </c>
      <c r="C281" s="27" t="s">
        <v>62</v>
      </c>
      <c r="D281" s="89">
        <v>38.10427</v>
      </c>
      <c r="E281" s="89">
        <v>-122.06045</v>
      </c>
      <c r="F281" s="27" t="s">
        <v>7179</v>
      </c>
      <c r="G281" s="27" t="s">
        <v>27</v>
      </c>
      <c r="H281" s="27" t="s">
        <v>173</v>
      </c>
      <c r="I281" s="84">
        <v>0.4548611111111111</v>
      </c>
      <c r="J281" s="82">
        <v>7989.2</v>
      </c>
      <c r="K281" s="82">
        <v>11.48</v>
      </c>
      <c r="L281" s="82">
        <v>47.96</v>
      </c>
      <c r="M281" s="82">
        <v>0.24</v>
      </c>
      <c r="N281" s="4">
        <v>4.24</v>
      </c>
      <c r="O281" s="27" t="s">
        <v>48</v>
      </c>
      <c r="P281" s="27">
        <v>5</v>
      </c>
      <c r="Q281" s="27">
        <v>5</v>
      </c>
      <c r="R281" s="27" t="s">
        <v>64</v>
      </c>
      <c r="S281" s="27" t="s">
        <v>31</v>
      </c>
      <c r="T281" s="27">
        <v>7</v>
      </c>
      <c r="U281" s="27" t="s">
        <v>7180</v>
      </c>
      <c r="V281" s="27" t="s">
        <v>66</v>
      </c>
      <c r="W281" s="27" t="s">
        <v>50</v>
      </c>
      <c r="X281" s="27" t="s">
        <v>50</v>
      </c>
      <c r="Y281" s="35" t="s">
        <v>7105</v>
      </c>
    </row>
    <row r="282" spans="1:25" s="27" customFormat="1" x14ac:dyDescent="0.25">
      <c r="A282" s="26">
        <v>43130</v>
      </c>
      <c r="B282" s="27" t="s">
        <v>849</v>
      </c>
      <c r="C282" s="27" t="s">
        <v>106</v>
      </c>
      <c r="D282" s="89">
        <v>38.184919999999998</v>
      </c>
      <c r="E282" s="89">
        <v>-121.66012000000001</v>
      </c>
      <c r="F282" s="27" t="s">
        <v>7181</v>
      </c>
      <c r="G282" s="27" t="s">
        <v>90</v>
      </c>
      <c r="H282" s="27" t="s">
        <v>362</v>
      </c>
      <c r="I282" s="84">
        <v>0.44513888888888892</v>
      </c>
      <c r="J282" s="82">
        <v>132.47999999999999</v>
      </c>
      <c r="K282" s="82">
        <v>10.18</v>
      </c>
      <c r="L282" s="82">
        <v>14.36</v>
      </c>
      <c r="M282" s="82">
        <v>0.96199999999999997</v>
      </c>
      <c r="N282" s="4">
        <v>15.52</v>
      </c>
      <c r="O282" s="27" t="s">
        <v>48</v>
      </c>
      <c r="P282" s="27">
        <v>5</v>
      </c>
      <c r="Q282" s="27">
        <v>5</v>
      </c>
      <c r="R282" s="27" t="s">
        <v>64</v>
      </c>
      <c r="S282" s="27" t="s">
        <v>50</v>
      </c>
      <c r="T282" s="27" t="s">
        <v>50</v>
      </c>
      <c r="U282" s="27" t="s">
        <v>50</v>
      </c>
      <c r="V282" s="27" t="s">
        <v>50</v>
      </c>
      <c r="W282" s="27" t="s">
        <v>50</v>
      </c>
      <c r="X282" s="27" t="s">
        <v>50</v>
      </c>
      <c r="Y282" s="35"/>
    </row>
    <row r="283" spans="1:25" s="27" customFormat="1" x14ac:dyDescent="0.25">
      <c r="A283" s="26">
        <v>43130</v>
      </c>
      <c r="B283" s="27" t="s">
        <v>849</v>
      </c>
      <c r="C283" s="27" t="s">
        <v>106</v>
      </c>
      <c r="D283" s="89">
        <v>38.200859999999999</v>
      </c>
      <c r="E283" s="89">
        <v>-121.65819</v>
      </c>
      <c r="F283" s="27" t="s">
        <v>7182</v>
      </c>
      <c r="G283" s="27" t="s">
        <v>90</v>
      </c>
      <c r="H283" s="27" t="s">
        <v>362</v>
      </c>
      <c r="I283" s="84">
        <v>0.4909722222222222</v>
      </c>
      <c r="J283" s="82">
        <v>137.19999999999999</v>
      </c>
      <c r="K283" s="82">
        <v>10.220000000000001</v>
      </c>
      <c r="L283" s="82">
        <v>20.88</v>
      </c>
      <c r="M283" s="82">
        <v>0.90800000000000003</v>
      </c>
      <c r="N283" s="4">
        <v>11.48</v>
      </c>
      <c r="O283" s="27" t="s">
        <v>48</v>
      </c>
      <c r="P283" s="27">
        <v>5</v>
      </c>
      <c r="Q283" s="27">
        <v>5</v>
      </c>
      <c r="R283" s="27" t="s">
        <v>64</v>
      </c>
      <c r="S283" s="27" t="s">
        <v>50</v>
      </c>
      <c r="T283" s="27" t="s">
        <v>50</v>
      </c>
      <c r="U283" s="27" t="s">
        <v>50</v>
      </c>
      <c r="V283" s="27" t="s">
        <v>50</v>
      </c>
      <c r="W283" s="27" t="s">
        <v>50</v>
      </c>
      <c r="X283" s="27" t="s">
        <v>50</v>
      </c>
      <c r="Y283" s="35"/>
    </row>
    <row r="284" spans="1:25" s="27" customFormat="1" x14ac:dyDescent="0.25">
      <c r="A284" s="26">
        <v>43131</v>
      </c>
      <c r="B284" s="27" t="s">
        <v>87</v>
      </c>
      <c r="C284" s="27" t="s">
        <v>44</v>
      </c>
      <c r="D284" s="89">
        <v>37.869349999999997</v>
      </c>
      <c r="E284" s="89">
        <v>-121.53643</v>
      </c>
      <c r="F284" s="27" t="s">
        <v>7183</v>
      </c>
      <c r="G284" s="27" t="s">
        <v>46</v>
      </c>
      <c r="H284" s="27" t="s">
        <v>202</v>
      </c>
      <c r="I284" s="84">
        <v>0.33888888888888885</v>
      </c>
      <c r="J284" s="82">
        <v>287.45</v>
      </c>
      <c r="K284" s="82">
        <v>11</v>
      </c>
      <c r="L284" s="82">
        <v>4.8899999999999997</v>
      </c>
      <c r="M284" s="82">
        <v>1.55</v>
      </c>
      <c r="N284" s="4" t="s">
        <v>50</v>
      </c>
      <c r="O284" s="27" t="s">
        <v>48</v>
      </c>
      <c r="P284" s="27">
        <v>6</v>
      </c>
      <c r="Q284" s="27">
        <v>10</v>
      </c>
      <c r="R284" s="27" t="s">
        <v>49</v>
      </c>
      <c r="S284" s="27" t="s">
        <v>50</v>
      </c>
      <c r="T284" s="27" t="s">
        <v>50</v>
      </c>
      <c r="U284" s="27" t="s">
        <v>50</v>
      </c>
      <c r="V284" s="27" t="s">
        <v>50</v>
      </c>
      <c r="W284" s="27" t="s">
        <v>50</v>
      </c>
      <c r="X284" s="27" t="s">
        <v>50</v>
      </c>
      <c r="Y284" s="35"/>
    </row>
    <row r="285" spans="1:25" s="27" customFormat="1" x14ac:dyDescent="0.25">
      <c r="A285" s="26">
        <v>43131</v>
      </c>
      <c r="B285" s="27" t="s">
        <v>87</v>
      </c>
      <c r="C285" s="27" t="s">
        <v>44</v>
      </c>
      <c r="D285" s="89">
        <v>38.048029999999997</v>
      </c>
      <c r="E285" s="89">
        <v>-121.62039</v>
      </c>
      <c r="F285" s="27" t="s">
        <v>7184</v>
      </c>
      <c r="G285" s="27" t="s">
        <v>46</v>
      </c>
      <c r="H285" s="27" t="s">
        <v>47</v>
      </c>
      <c r="I285" s="84">
        <v>0.44236111111111115</v>
      </c>
      <c r="J285" s="82">
        <v>237.33</v>
      </c>
      <c r="K285" s="82">
        <v>11.2</v>
      </c>
      <c r="L285" s="82">
        <v>5.31</v>
      </c>
      <c r="M285" s="82">
        <v>1.37</v>
      </c>
      <c r="N285" s="4">
        <v>4.5999999999999996</v>
      </c>
      <c r="O285" s="27" t="s">
        <v>48</v>
      </c>
      <c r="P285" s="27">
        <v>6</v>
      </c>
      <c r="Q285" s="27">
        <v>10</v>
      </c>
      <c r="R285" s="27" t="s">
        <v>64</v>
      </c>
      <c r="S285" s="27" t="s">
        <v>50</v>
      </c>
      <c r="T285" s="27" t="s">
        <v>50</v>
      </c>
      <c r="U285" s="27" t="s">
        <v>50</v>
      </c>
      <c r="V285" s="27" t="s">
        <v>50</v>
      </c>
      <c r="W285" s="27" t="s">
        <v>50</v>
      </c>
      <c r="X285" s="27" t="s">
        <v>50</v>
      </c>
      <c r="Y285" s="35"/>
    </row>
    <row r="286" spans="1:25" s="27" customFormat="1" x14ac:dyDescent="0.25">
      <c r="A286" s="26">
        <v>43131</v>
      </c>
      <c r="B286" s="27" t="s">
        <v>87</v>
      </c>
      <c r="C286" s="27" t="s">
        <v>6849</v>
      </c>
      <c r="D286" s="89">
        <v>38.400970000000001</v>
      </c>
      <c r="E286" s="89">
        <v>-121.51333</v>
      </c>
      <c r="F286" s="27" t="s">
        <v>7185</v>
      </c>
      <c r="G286" s="27" t="s">
        <v>90</v>
      </c>
      <c r="H286" s="27" t="s">
        <v>6851</v>
      </c>
      <c r="I286" s="84">
        <v>0.37222222222222223</v>
      </c>
      <c r="J286" s="82">
        <v>124.5</v>
      </c>
      <c r="K286" s="82">
        <v>10.18</v>
      </c>
      <c r="L286" s="82" t="s">
        <v>50</v>
      </c>
      <c r="M286" s="82">
        <v>0.748</v>
      </c>
      <c r="N286" s="4">
        <v>6.22</v>
      </c>
      <c r="O286" s="27" t="s">
        <v>48</v>
      </c>
      <c r="P286" s="27">
        <v>5</v>
      </c>
      <c r="Q286" s="27">
        <v>10</v>
      </c>
      <c r="R286" s="27" t="s">
        <v>49</v>
      </c>
      <c r="S286" s="27" t="s">
        <v>50</v>
      </c>
      <c r="T286" s="27" t="s">
        <v>50</v>
      </c>
      <c r="U286" s="27" t="s">
        <v>50</v>
      </c>
      <c r="V286" s="27" t="s">
        <v>50</v>
      </c>
      <c r="W286" s="27" t="s">
        <v>50</v>
      </c>
      <c r="X286" s="27" t="s">
        <v>50</v>
      </c>
      <c r="Y286" s="35"/>
    </row>
    <row r="287" spans="1:25" s="27" customFormat="1" x14ac:dyDescent="0.25">
      <c r="A287" s="26">
        <v>43131</v>
      </c>
      <c r="B287" s="27" t="s">
        <v>87</v>
      </c>
      <c r="C287" s="27" t="s">
        <v>6849</v>
      </c>
      <c r="D287" s="89">
        <v>38.577080000000002</v>
      </c>
      <c r="E287" s="89">
        <v>-121.51002</v>
      </c>
      <c r="F287" s="27" t="s">
        <v>7186</v>
      </c>
      <c r="G287" s="27" t="s">
        <v>90</v>
      </c>
      <c r="H287" s="27" t="s">
        <v>6851</v>
      </c>
      <c r="I287" s="84">
        <v>0.47569444444444442</v>
      </c>
      <c r="J287" s="82">
        <v>114.53</v>
      </c>
      <c r="K287" s="82">
        <v>10.3</v>
      </c>
      <c r="L287" s="82" t="s">
        <v>50</v>
      </c>
      <c r="M287" s="82">
        <v>0.68200000000000005</v>
      </c>
      <c r="N287" s="4">
        <v>4.53</v>
      </c>
      <c r="O287" s="27" t="s">
        <v>48</v>
      </c>
      <c r="P287" s="27">
        <v>6</v>
      </c>
      <c r="Q287" s="27">
        <v>10</v>
      </c>
      <c r="R287" s="27" t="s">
        <v>49</v>
      </c>
      <c r="S287" s="27" t="s">
        <v>50</v>
      </c>
      <c r="T287" s="27" t="s">
        <v>50</v>
      </c>
      <c r="U287" s="27" t="s">
        <v>50</v>
      </c>
      <c r="V287" s="27" t="s">
        <v>50</v>
      </c>
      <c r="W287" s="27" t="s">
        <v>50</v>
      </c>
      <c r="X287" s="27" t="s">
        <v>50</v>
      </c>
      <c r="Y287" s="35"/>
    </row>
    <row r="288" spans="1:25" s="27" customFormat="1" x14ac:dyDescent="0.25">
      <c r="A288" s="26">
        <v>43131</v>
      </c>
      <c r="B288" s="27" t="s">
        <v>87</v>
      </c>
      <c r="C288" s="27" t="s">
        <v>78</v>
      </c>
      <c r="D288" s="89">
        <v>38.051389999999998</v>
      </c>
      <c r="E288" s="89">
        <v>-121.83526999999999</v>
      </c>
      <c r="F288" s="27" t="s">
        <v>7187</v>
      </c>
      <c r="G288" s="27" t="s">
        <v>27</v>
      </c>
      <c r="H288" s="27" t="s">
        <v>101</v>
      </c>
      <c r="I288" s="84">
        <v>0.35625000000000001</v>
      </c>
      <c r="J288" s="82">
        <v>446.2</v>
      </c>
      <c r="K288" s="82">
        <v>10.64</v>
      </c>
      <c r="L288" s="82">
        <v>19.16</v>
      </c>
      <c r="M288" s="82">
        <v>0.64</v>
      </c>
      <c r="N288" s="4">
        <v>7.74</v>
      </c>
      <c r="O288" s="27" t="s">
        <v>48</v>
      </c>
      <c r="P288" s="27">
        <v>5</v>
      </c>
      <c r="Q288" s="27">
        <v>5</v>
      </c>
      <c r="R288" s="27" t="s">
        <v>49</v>
      </c>
      <c r="S288" s="27" t="s">
        <v>50</v>
      </c>
      <c r="T288" s="27" t="s">
        <v>50</v>
      </c>
      <c r="U288" s="27" t="s">
        <v>50</v>
      </c>
      <c r="V288" s="27" t="s">
        <v>50</v>
      </c>
      <c r="W288" s="27" t="s">
        <v>50</v>
      </c>
      <c r="X288" s="27" t="s">
        <v>50</v>
      </c>
      <c r="Y288" s="35"/>
    </row>
    <row r="289" spans="1:25" s="27" customFormat="1" x14ac:dyDescent="0.25">
      <c r="A289" s="26">
        <v>43131</v>
      </c>
      <c r="B289" s="27" t="s">
        <v>87</v>
      </c>
      <c r="C289" s="27" t="s">
        <v>78</v>
      </c>
      <c r="D289" s="89">
        <v>38.05977</v>
      </c>
      <c r="E289" s="89">
        <v>-121.99831</v>
      </c>
      <c r="F289" s="27" t="s">
        <v>7188</v>
      </c>
      <c r="G289" s="27" t="s">
        <v>27</v>
      </c>
      <c r="H289" s="27" t="s">
        <v>86</v>
      </c>
      <c r="I289" s="84">
        <v>0.55763888888888891</v>
      </c>
      <c r="J289" s="82">
        <v>9102.7999999999993</v>
      </c>
      <c r="K289" s="82">
        <v>11.78</v>
      </c>
      <c r="L289" s="82">
        <v>42.86</v>
      </c>
      <c r="M289" s="82">
        <v>0.38800000000000001</v>
      </c>
      <c r="N289" s="4">
        <v>15.14</v>
      </c>
      <c r="O289" s="27" t="s">
        <v>48</v>
      </c>
      <c r="P289" s="27">
        <v>5</v>
      </c>
      <c r="Q289" s="27">
        <v>5</v>
      </c>
      <c r="R289" s="27" t="s">
        <v>49</v>
      </c>
      <c r="S289" s="27" t="s">
        <v>50</v>
      </c>
      <c r="T289" s="27" t="s">
        <v>50</v>
      </c>
      <c r="U289" s="27" t="s">
        <v>50</v>
      </c>
      <c r="V289" s="27" t="s">
        <v>50</v>
      </c>
      <c r="W289" s="27" t="s">
        <v>50</v>
      </c>
      <c r="X289" s="27" t="s">
        <v>50</v>
      </c>
      <c r="Y289" s="35"/>
    </row>
    <row r="290" spans="1:25" s="27" customFormat="1" x14ac:dyDescent="0.25">
      <c r="A290" s="26">
        <v>43131</v>
      </c>
      <c r="B290" s="27" t="s">
        <v>87</v>
      </c>
      <c r="C290" s="27" t="s">
        <v>78</v>
      </c>
      <c r="D290" s="89">
        <v>38.066470000000002</v>
      </c>
      <c r="E290" s="89">
        <v>-122.02924</v>
      </c>
      <c r="F290" s="27" t="s">
        <v>7189</v>
      </c>
      <c r="G290" s="27" t="s">
        <v>27</v>
      </c>
      <c r="H290" s="27" t="s">
        <v>86</v>
      </c>
      <c r="I290" s="84">
        <v>0.45347222222222222</v>
      </c>
      <c r="J290" s="82">
        <v>5589.4</v>
      </c>
      <c r="K290" s="82">
        <v>11.28</v>
      </c>
      <c r="L290" s="82">
        <v>30.06</v>
      </c>
      <c r="M290" s="82">
        <v>0.47</v>
      </c>
      <c r="N290" s="82">
        <v>7.44</v>
      </c>
      <c r="O290" s="27" t="s">
        <v>48</v>
      </c>
      <c r="P290" s="27">
        <v>5</v>
      </c>
      <c r="Q290" s="27">
        <v>5</v>
      </c>
      <c r="R290" s="27" t="s">
        <v>64</v>
      </c>
      <c r="S290" s="27" t="s">
        <v>50</v>
      </c>
      <c r="T290" s="27" t="s">
        <v>50</v>
      </c>
      <c r="U290" s="27" t="s">
        <v>50</v>
      </c>
      <c r="V290" s="27" t="s">
        <v>50</v>
      </c>
      <c r="W290" s="27" t="s">
        <v>50</v>
      </c>
      <c r="X290" s="27" t="s">
        <v>50</v>
      </c>
      <c r="Y290" s="35"/>
    </row>
    <row r="291" spans="1:25" s="149" customFormat="1" x14ac:dyDescent="0.25">
      <c r="A291" s="178">
        <v>43131</v>
      </c>
      <c r="B291" s="149" t="s">
        <v>87</v>
      </c>
      <c r="C291" s="149" t="s">
        <v>78</v>
      </c>
      <c r="D291" s="150">
        <v>38.047220000000003</v>
      </c>
      <c r="E291" s="150">
        <v>-122.09395000000001</v>
      </c>
      <c r="F291" s="149" t="s">
        <v>7190</v>
      </c>
      <c r="G291" s="149" t="s">
        <v>80</v>
      </c>
      <c r="H291" s="149" t="s">
        <v>81</v>
      </c>
      <c r="I291" s="151">
        <v>0.4861111111111111</v>
      </c>
      <c r="J291" s="197" t="s">
        <v>50</v>
      </c>
      <c r="K291" s="197" t="s">
        <v>50</v>
      </c>
      <c r="L291" s="197" t="s">
        <v>50</v>
      </c>
      <c r="M291" s="197" t="s">
        <v>50</v>
      </c>
      <c r="N291" s="197" t="s">
        <v>50</v>
      </c>
      <c r="O291" s="149" t="s">
        <v>48</v>
      </c>
      <c r="P291" s="149">
        <v>0</v>
      </c>
      <c r="Q291" s="149" t="s">
        <v>50</v>
      </c>
      <c r="R291" s="149" t="s">
        <v>50</v>
      </c>
      <c r="S291" s="149" t="s">
        <v>50</v>
      </c>
      <c r="T291" s="149" t="s">
        <v>50</v>
      </c>
      <c r="U291" s="149" t="s">
        <v>50</v>
      </c>
      <c r="V291" s="149" t="s">
        <v>50</v>
      </c>
      <c r="W291" s="149" t="s">
        <v>50</v>
      </c>
      <c r="X291" s="149" t="s">
        <v>50</v>
      </c>
      <c r="Y291" s="152" t="s">
        <v>7191</v>
      </c>
    </row>
    <row r="292" spans="1:25" s="27" customFormat="1" x14ac:dyDescent="0.25">
      <c r="A292" s="26">
        <v>43132</v>
      </c>
      <c r="B292" s="27" t="s">
        <v>105</v>
      </c>
      <c r="C292" s="27" t="s">
        <v>845</v>
      </c>
      <c r="D292" s="89">
        <v>38.298850000000002</v>
      </c>
      <c r="E292" s="89">
        <v>-121.72959</v>
      </c>
      <c r="F292" s="27" t="s">
        <v>7192</v>
      </c>
      <c r="G292" s="27" t="s">
        <v>90</v>
      </c>
      <c r="H292" s="27" t="s">
        <v>126</v>
      </c>
      <c r="I292" s="84">
        <v>0.32847222222222222</v>
      </c>
      <c r="J292" s="82">
        <v>444.04</v>
      </c>
      <c r="K292" s="82">
        <v>10.88</v>
      </c>
      <c r="L292" s="82">
        <v>11.06</v>
      </c>
      <c r="M292" s="82">
        <v>0.98</v>
      </c>
      <c r="N292" s="4">
        <v>3.58</v>
      </c>
      <c r="O292" s="27" t="s">
        <v>48</v>
      </c>
      <c r="P292" s="27">
        <v>5</v>
      </c>
      <c r="Q292" s="27">
        <v>5</v>
      </c>
      <c r="R292" s="27" t="s">
        <v>49</v>
      </c>
      <c r="S292" s="27" t="s">
        <v>50</v>
      </c>
      <c r="T292" s="27" t="s">
        <v>50</v>
      </c>
      <c r="U292" s="27" t="s">
        <v>50</v>
      </c>
      <c r="V292" s="27" t="s">
        <v>50</v>
      </c>
      <c r="W292" s="27" t="s">
        <v>50</v>
      </c>
      <c r="X292" s="27" t="s">
        <v>50</v>
      </c>
      <c r="Y292" s="35"/>
    </row>
    <row r="293" spans="1:25" s="27" customFormat="1" x14ac:dyDescent="0.25">
      <c r="A293" s="26">
        <v>43132</v>
      </c>
      <c r="B293" s="27" t="s">
        <v>105</v>
      </c>
      <c r="C293" s="27" t="s">
        <v>845</v>
      </c>
      <c r="D293" s="89">
        <v>38.257750000000001</v>
      </c>
      <c r="E293" s="89">
        <v>-121.73752</v>
      </c>
      <c r="F293" s="27" t="s">
        <v>7193</v>
      </c>
      <c r="G293" s="27" t="s">
        <v>90</v>
      </c>
      <c r="H293" s="27" t="s">
        <v>126</v>
      </c>
      <c r="I293" s="84">
        <v>0.4145833333333333</v>
      </c>
      <c r="J293" s="82">
        <v>210.47</v>
      </c>
      <c r="K293" s="82">
        <v>11</v>
      </c>
      <c r="L293" s="82">
        <v>5.54</v>
      </c>
      <c r="M293" s="82">
        <v>1.8</v>
      </c>
      <c r="N293" s="4">
        <v>4.8</v>
      </c>
      <c r="O293" s="27" t="s">
        <v>48</v>
      </c>
      <c r="P293" s="27">
        <v>6</v>
      </c>
      <c r="Q293" s="27">
        <v>5</v>
      </c>
      <c r="R293" s="27" t="s">
        <v>49</v>
      </c>
      <c r="S293" s="27" t="s">
        <v>50</v>
      </c>
      <c r="T293" s="27" t="s">
        <v>50</v>
      </c>
      <c r="U293" s="27" t="s">
        <v>50</v>
      </c>
      <c r="V293" s="27" t="s">
        <v>50</v>
      </c>
      <c r="W293" s="27" t="s">
        <v>50</v>
      </c>
      <c r="X293" s="27" t="s">
        <v>50</v>
      </c>
      <c r="Y293" s="35" t="s">
        <v>7194</v>
      </c>
    </row>
    <row r="294" spans="1:25" s="27" customFormat="1" x14ac:dyDescent="0.25">
      <c r="A294" s="26">
        <v>43132</v>
      </c>
      <c r="B294" s="27" t="s">
        <v>105</v>
      </c>
      <c r="C294" s="27" t="s">
        <v>845</v>
      </c>
      <c r="D294" s="89">
        <v>38.246519999999997</v>
      </c>
      <c r="E294" s="89">
        <v>-121.70126999999999</v>
      </c>
      <c r="F294" s="27" t="s">
        <v>7195</v>
      </c>
      <c r="G294" s="27" t="s">
        <v>90</v>
      </c>
      <c r="H294" s="27" t="s">
        <v>126</v>
      </c>
      <c r="I294" s="84">
        <v>0.48194444444444445</v>
      </c>
      <c r="J294" s="82">
        <v>188.64</v>
      </c>
      <c r="K294" s="82">
        <v>11.12</v>
      </c>
      <c r="L294" s="82">
        <v>7.8540000000000001</v>
      </c>
      <c r="M294" s="82">
        <v>1.76</v>
      </c>
      <c r="N294" s="4">
        <v>5.42</v>
      </c>
      <c r="O294" s="27" t="s">
        <v>48</v>
      </c>
      <c r="P294" s="27">
        <v>5</v>
      </c>
      <c r="Q294" s="27">
        <v>5</v>
      </c>
      <c r="R294" s="27" t="s">
        <v>49</v>
      </c>
      <c r="S294" s="27" t="s">
        <v>50</v>
      </c>
      <c r="T294" s="27" t="s">
        <v>50</v>
      </c>
      <c r="U294" s="27" t="s">
        <v>50</v>
      </c>
      <c r="V294" s="27" t="s">
        <v>50</v>
      </c>
      <c r="W294" s="27" t="s">
        <v>50</v>
      </c>
      <c r="X294" s="27" t="s">
        <v>50</v>
      </c>
      <c r="Y294" s="35"/>
    </row>
    <row r="295" spans="1:25" s="27" customFormat="1" x14ac:dyDescent="0.25">
      <c r="A295" s="26">
        <v>43132</v>
      </c>
      <c r="B295" s="27" t="s">
        <v>105</v>
      </c>
      <c r="C295" s="27" t="s">
        <v>6879</v>
      </c>
      <c r="D295" s="89">
        <v>38.134630000000001</v>
      </c>
      <c r="E295" s="89">
        <v>-121.50662</v>
      </c>
      <c r="F295" s="27" t="s">
        <v>7196</v>
      </c>
      <c r="G295" s="27" t="s">
        <v>46</v>
      </c>
      <c r="H295" s="27" t="s">
        <v>6881</v>
      </c>
      <c r="I295" s="84">
        <v>0.31666666666666665</v>
      </c>
      <c r="J295" s="82">
        <v>211.83</v>
      </c>
      <c r="K295" s="82">
        <v>10.65</v>
      </c>
      <c r="L295" s="82" t="s">
        <v>50</v>
      </c>
      <c r="M295" s="82">
        <v>1.7</v>
      </c>
      <c r="N295" s="4">
        <v>7.23</v>
      </c>
      <c r="O295" s="27" t="s">
        <v>48</v>
      </c>
      <c r="P295" s="27">
        <v>6</v>
      </c>
      <c r="Q295" s="27">
        <v>10</v>
      </c>
      <c r="R295" s="27" t="s">
        <v>49</v>
      </c>
      <c r="S295" s="27" t="s">
        <v>50</v>
      </c>
      <c r="T295" s="27" t="s">
        <v>50</v>
      </c>
      <c r="U295" s="27" t="s">
        <v>50</v>
      </c>
      <c r="V295" s="27" t="s">
        <v>50</v>
      </c>
      <c r="W295" s="27" t="s">
        <v>50</v>
      </c>
      <c r="X295" s="27" t="s">
        <v>50</v>
      </c>
      <c r="Y295" s="35"/>
    </row>
    <row r="296" spans="1:25" s="27" customFormat="1" x14ac:dyDescent="0.25">
      <c r="A296" s="26">
        <v>43132</v>
      </c>
      <c r="B296" s="27" t="s">
        <v>105</v>
      </c>
      <c r="C296" s="27" t="s">
        <v>6879</v>
      </c>
      <c r="D296" s="89">
        <v>38.087090000000003</v>
      </c>
      <c r="E296" s="89">
        <v>-121.55067</v>
      </c>
      <c r="F296" s="27" t="s">
        <v>7197</v>
      </c>
      <c r="G296" s="27" t="s">
        <v>46</v>
      </c>
      <c r="H296" s="27" t="s">
        <v>6881</v>
      </c>
      <c r="I296" s="84">
        <v>0.49652777777777773</v>
      </c>
      <c r="J296" s="82">
        <v>238.39</v>
      </c>
      <c r="K296" s="82">
        <v>11.01</v>
      </c>
      <c r="L296" s="82" t="s">
        <v>50</v>
      </c>
      <c r="M296" s="82">
        <v>1.49</v>
      </c>
      <c r="N296" s="4">
        <v>11.77</v>
      </c>
      <c r="O296" s="27" t="s">
        <v>48</v>
      </c>
      <c r="P296" s="27">
        <v>7</v>
      </c>
      <c r="Q296" s="27">
        <v>10</v>
      </c>
      <c r="R296" s="27" t="s">
        <v>64</v>
      </c>
      <c r="S296" s="27" t="s">
        <v>50</v>
      </c>
      <c r="T296" s="27" t="s">
        <v>50</v>
      </c>
      <c r="U296" s="27" t="s">
        <v>50</v>
      </c>
      <c r="V296" s="27" t="s">
        <v>50</v>
      </c>
      <c r="W296" s="27" t="s">
        <v>50</v>
      </c>
      <c r="X296" s="27" t="s">
        <v>50</v>
      </c>
      <c r="Y296" s="35" t="s">
        <v>7198</v>
      </c>
    </row>
    <row r="297" spans="1:25" s="27" customFormat="1" x14ac:dyDescent="0.25">
      <c r="A297" s="26">
        <v>43132</v>
      </c>
      <c r="B297" s="27" t="s">
        <v>105</v>
      </c>
      <c r="C297" s="27" t="s">
        <v>6879</v>
      </c>
      <c r="D297" s="89">
        <v>38.082360000000001</v>
      </c>
      <c r="E297" s="89">
        <v>-121.46965</v>
      </c>
      <c r="F297" s="27" t="s">
        <v>7199</v>
      </c>
      <c r="G297" s="27" t="s">
        <v>46</v>
      </c>
      <c r="H297" s="27" t="s">
        <v>6883</v>
      </c>
      <c r="I297" s="84">
        <v>0.40902777777777777</v>
      </c>
      <c r="J297" s="82">
        <v>239.6</v>
      </c>
      <c r="K297" s="82">
        <v>10.97</v>
      </c>
      <c r="L297" s="82" t="s">
        <v>50</v>
      </c>
      <c r="M297" s="82">
        <v>1.95</v>
      </c>
      <c r="N297" s="4">
        <v>5.67</v>
      </c>
      <c r="O297" s="27" t="s">
        <v>48</v>
      </c>
      <c r="P297" s="27">
        <v>6</v>
      </c>
      <c r="Q297" s="27">
        <v>10</v>
      </c>
      <c r="R297" s="27" t="s">
        <v>49</v>
      </c>
      <c r="S297" s="27" t="s">
        <v>50</v>
      </c>
      <c r="T297" s="27" t="s">
        <v>50</v>
      </c>
      <c r="U297" s="27" t="s">
        <v>50</v>
      </c>
      <c r="V297" s="27" t="s">
        <v>50</v>
      </c>
      <c r="W297" s="27" t="s">
        <v>50</v>
      </c>
      <c r="X297" s="27" t="s">
        <v>50</v>
      </c>
      <c r="Y297" s="35"/>
    </row>
    <row r="298" spans="1:25" s="27" customFormat="1" x14ac:dyDescent="0.25">
      <c r="A298" s="26">
        <v>43132</v>
      </c>
      <c r="B298" s="27" t="s">
        <v>105</v>
      </c>
      <c r="C298" s="27" t="s">
        <v>118</v>
      </c>
      <c r="D298" s="89">
        <v>38.050829999999998</v>
      </c>
      <c r="E298" s="89">
        <v>-122.17928999999999</v>
      </c>
      <c r="F298" s="27" t="s">
        <v>7200</v>
      </c>
      <c r="G298" s="27" t="s">
        <v>80</v>
      </c>
      <c r="H298" s="27" t="s">
        <v>120</v>
      </c>
      <c r="I298" s="84">
        <v>0.31388888888888888</v>
      </c>
      <c r="J298" s="82">
        <v>12981.17</v>
      </c>
      <c r="K298" s="82">
        <v>11.57</v>
      </c>
      <c r="L298" s="82">
        <v>27.63</v>
      </c>
      <c r="M298" s="82">
        <v>0.5</v>
      </c>
      <c r="N298" s="4">
        <v>24.85</v>
      </c>
      <c r="O298" s="27" t="s">
        <v>48</v>
      </c>
      <c r="P298" s="27">
        <v>6</v>
      </c>
      <c r="Q298" s="27">
        <v>10</v>
      </c>
      <c r="R298" s="27" t="s">
        <v>49</v>
      </c>
      <c r="S298" s="27" t="s">
        <v>50</v>
      </c>
      <c r="T298" s="27" t="s">
        <v>50</v>
      </c>
      <c r="U298" s="27" t="s">
        <v>50</v>
      </c>
      <c r="V298" s="27" t="s">
        <v>50</v>
      </c>
      <c r="W298" s="27" t="s">
        <v>50</v>
      </c>
      <c r="X298" s="27" t="s">
        <v>50</v>
      </c>
      <c r="Y298" s="35"/>
    </row>
    <row r="299" spans="1:25" s="108" customFormat="1" ht="15.75" thickBot="1" x14ac:dyDescent="0.3">
      <c r="A299" s="126">
        <v>43132</v>
      </c>
      <c r="B299" s="108" t="s">
        <v>105</v>
      </c>
      <c r="C299" s="108" t="s">
        <v>118</v>
      </c>
      <c r="D299" s="109">
        <v>38.067830000000001</v>
      </c>
      <c r="E299" s="109">
        <v>-122.25547</v>
      </c>
      <c r="F299" s="108" t="s">
        <v>7201</v>
      </c>
      <c r="G299" s="108" t="s">
        <v>80</v>
      </c>
      <c r="H299" s="108" t="s">
        <v>120</v>
      </c>
      <c r="I299" s="110">
        <v>0.41597222222222219</v>
      </c>
      <c r="J299" s="111">
        <v>16815.330000000002</v>
      </c>
      <c r="K299" s="111">
        <v>11.88</v>
      </c>
      <c r="L299" s="111">
        <v>23.17</v>
      </c>
      <c r="M299" s="111">
        <v>0.51</v>
      </c>
      <c r="N299" s="112">
        <v>9.7799999999999994</v>
      </c>
      <c r="O299" s="108" t="s">
        <v>48</v>
      </c>
      <c r="P299" s="108">
        <v>6</v>
      </c>
      <c r="Q299" s="108">
        <v>10</v>
      </c>
      <c r="R299" s="108" t="s">
        <v>64</v>
      </c>
      <c r="S299" s="108" t="s">
        <v>50</v>
      </c>
      <c r="T299" s="108" t="s">
        <v>50</v>
      </c>
      <c r="U299" s="108" t="s">
        <v>50</v>
      </c>
      <c r="V299" s="108" t="s">
        <v>50</v>
      </c>
      <c r="W299" s="108" t="s">
        <v>50</v>
      </c>
      <c r="X299" s="108" t="s">
        <v>50</v>
      </c>
      <c r="Y299" s="113"/>
    </row>
    <row r="300" spans="1:25" s="27" customFormat="1" ht="15.75" thickTop="1" x14ac:dyDescent="0.25">
      <c r="A300" s="26">
        <v>43136</v>
      </c>
      <c r="B300" s="27" t="s">
        <v>43</v>
      </c>
      <c r="C300" s="27" t="s">
        <v>44</v>
      </c>
      <c r="D300" s="89">
        <v>37.999650000000003</v>
      </c>
      <c r="E300" s="89">
        <v>-121.56927</v>
      </c>
      <c r="F300" s="27" t="s">
        <v>7202</v>
      </c>
      <c r="G300" s="27" t="s">
        <v>46</v>
      </c>
      <c r="H300" s="27" t="s">
        <v>74</v>
      </c>
      <c r="I300" s="84">
        <v>0.30972222222222223</v>
      </c>
      <c r="J300" s="82">
        <v>233.87</v>
      </c>
      <c r="K300" s="82">
        <v>12.25</v>
      </c>
      <c r="L300" s="82">
        <v>4.75</v>
      </c>
      <c r="M300" s="82">
        <v>1.7</v>
      </c>
      <c r="N300" s="82">
        <v>6.98</v>
      </c>
      <c r="O300" s="27" t="s">
        <v>48</v>
      </c>
      <c r="P300" s="27">
        <v>6</v>
      </c>
      <c r="Q300" s="27">
        <v>10</v>
      </c>
      <c r="R300" s="27" t="s">
        <v>64</v>
      </c>
      <c r="S300" s="27" t="s">
        <v>50</v>
      </c>
      <c r="T300" s="27" t="s">
        <v>50</v>
      </c>
      <c r="U300" s="27" t="s">
        <v>50</v>
      </c>
      <c r="V300" s="27" t="s">
        <v>50</v>
      </c>
      <c r="W300" s="27" t="s">
        <v>50</v>
      </c>
      <c r="X300" s="27" t="s">
        <v>50</v>
      </c>
      <c r="Y300" s="35"/>
    </row>
    <row r="301" spans="1:25" s="149" customFormat="1" x14ac:dyDescent="0.25">
      <c r="A301" s="178">
        <v>43136</v>
      </c>
      <c r="B301" s="149" t="s">
        <v>43</v>
      </c>
      <c r="C301" s="149" t="s">
        <v>44</v>
      </c>
      <c r="D301" s="150">
        <v>38.023890000000002</v>
      </c>
      <c r="E301" s="150">
        <v>-121.57191</v>
      </c>
      <c r="F301" s="149" t="s">
        <v>7203</v>
      </c>
      <c r="G301" s="149" t="s">
        <v>46</v>
      </c>
      <c r="H301" s="149" t="s">
        <v>74</v>
      </c>
      <c r="I301" s="151">
        <v>0.38194444444444442</v>
      </c>
      <c r="J301" s="197" t="s">
        <v>50</v>
      </c>
      <c r="K301" s="197" t="s">
        <v>50</v>
      </c>
      <c r="L301" s="197" t="s">
        <v>50</v>
      </c>
      <c r="M301" s="197" t="s">
        <v>50</v>
      </c>
      <c r="N301" s="197" t="s">
        <v>50</v>
      </c>
      <c r="O301" s="149" t="s">
        <v>48</v>
      </c>
      <c r="P301" s="149">
        <v>0</v>
      </c>
      <c r="Q301" s="149" t="s">
        <v>50</v>
      </c>
      <c r="R301" s="149" t="s">
        <v>50</v>
      </c>
      <c r="S301" s="149" t="s">
        <v>50</v>
      </c>
      <c r="T301" s="149" t="s">
        <v>50</v>
      </c>
      <c r="U301" s="149" t="s">
        <v>50</v>
      </c>
      <c r="V301" s="149" t="s">
        <v>50</v>
      </c>
      <c r="W301" s="149" t="s">
        <v>50</v>
      </c>
      <c r="X301" s="149" t="s">
        <v>50</v>
      </c>
      <c r="Y301" s="152" t="s">
        <v>7204</v>
      </c>
    </row>
    <row r="302" spans="1:25" s="27" customFormat="1" x14ac:dyDescent="0.25">
      <c r="A302" s="26">
        <v>43136</v>
      </c>
      <c r="B302" s="27" t="s">
        <v>43</v>
      </c>
      <c r="C302" s="27" t="s">
        <v>44</v>
      </c>
      <c r="D302" s="89">
        <v>37.956159999999997</v>
      </c>
      <c r="E302" s="89">
        <v>-121.52657000000001</v>
      </c>
      <c r="F302" s="27" t="s">
        <v>7205</v>
      </c>
      <c r="G302" s="27" t="s">
        <v>46</v>
      </c>
      <c r="H302" s="27" t="s">
        <v>6926</v>
      </c>
      <c r="I302" s="84">
        <v>0.39999999999999997</v>
      </c>
      <c r="J302" s="82">
        <v>295.39999999999998</v>
      </c>
      <c r="K302" s="82">
        <v>12.27</v>
      </c>
      <c r="L302" s="82">
        <v>3.33</v>
      </c>
      <c r="M302" s="82">
        <v>1.8</v>
      </c>
      <c r="N302" s="82">
        <v>10.78</v>
      </c>
      <c r="O302" s="27" t="s">
        <v>48</v>
      </c>
      <c r="P302" s="27">
        <v>6</v>
      </c>
      <c r="Q302" s="27">
        <v>10</v>
      </c>
      <c r="R302" s="27" t="s">
        <v>64</v>
      </c>
      <c r="S302" s="27" t="s">
        <v>50</v>
      </c>
      <c r="T302" s="27" t="s">
        <v>50</v>
      </c>
      <c r="U302" s="27" t="s">
        <v>50</v>
      </c>
      <c r="V302" s="27" t="s">
        <v>50</v>
      </c>
      <c r="W302" s="27" t="s">
        <v>50</v>
      </c>
      <c r="X302" s="27" t="s">
        <v>50</v>
      </c>
      <c r="Y302" s="35"/>
    </row>
    <row r="303" spans="1:25" s="27" customFormat="1" x14ac:dyDescent="0.25">
      <c r="A303" s="26">
        <v>43136</v>
      </c>
      <c r="B303" s="27" t="s">
        <v>43</v>
      </c>
      <c r="C303" s="27" t="s">
        <v>78</v>
      </c>
      <c r="D303" s="89">
        <v>38.072870000000002</v>
      </c>
      <c r="E303" s="89">
        <v>-122.07478999999999</v>
      </c>
      <c r="F303" s="27" t="s">
        <v>7206</v>
      </c>
      <c r="G303" s="27" t="s">
        <v>80</v>
      </c>
      <c r="H303" s="27" t="s">
        <v>81</v>
      </c>
      <c r="I303" s="84">
        <v>0.34236111111111112</v>
      </c>
      <c r="J303" s="82">
        <v>13522.4</v>
      </c>
      <c r="K303" s="82">
        <v>12.18</v>
      </c>
      <c r="L303" s="82">
        <v>26.1</v>
      </c>
      <c r="M303" s="82">
        <v>0.45</v>
      </c>
      <c r="N303" s="82">
        <v>4.8600000000000003</v>
      </c>
      <c r="O303" s="27" t="s">
        <v>48</v>
      </c>
      <c r="P303" s="27">
        <v>5</v>
      </c>
      <c r="Q303" s="27">
        <v>5</v>
      </c>
      <c r="R303" s="27" t="s">
        <v>64</v>
      </c>
      <c r="S303" s="27" t="s">
        <v>50</v>
      </c>
      <c r="T303" s="27" t="s">
        <v>50</v>
      </c>
      <c r="U303" s="27" t="s">
        <v>50</v>
      </c>
      <c r="V303" s="27" t="s">
        <v>50</v>
      </c>
      <c r="W303" s="27" t="s">
        <v>50</v>
      </c>
      <c r="X303" s="27" t="s">
        <v>50</v>
      </c>
      <c r="Y303" s="35"/>
    </row>
    <row r="304" spans="1:25" s="27" customFormat="1" x14ac:dyDescent="0.25">
      <c r="A304" s="26">
        <v>43136</v>
      </c>
      <c r="B304" s="27" t="s">
        <v>43</v>
      </c>
      <c r="C304" s="27" t="s">
        <v>78</v>
      </c>
      <c r="D304" s="89">
        <v>38.059939999999997</v>
      </c>
      <c r="E304" s="89">
        <v>-122.10966999999999</v>
      </c>
      <c r="F304" s="27" t="s">
        <v>7207</v>
      </c>
      <c r="G304" s="27" t="s">
        <v>80</v>
      </c>
      <c r="H304" s="27" t="s">
        <v>81</v>
      </c>
      <c r="I304" s="84">
        <v>0.38958333333333334</v>
      </c>
      <c r="J304" s="82">
        <v>13834</v>
      </c>
      <c r="K304" s="82">
        <v>12.28</v>
      </c>
      <c r="L304" s="82">
        <v>20.239999999999998</v>
      </c>
      <c r="M304" s="82">
        <v>0.5</v>
      </c>
      <c r="N304" s="82">
        <v>9.06</v>
      </c>
      <c r="O304" s="27" t="s">
        <v>48</v>
      </c>
      <c r="P304" s="27">
        <v>5</v>
      </c>
      <c r="Q304" s="27">
        <v>5</v>
      </c>
      <c r="R304" s="27" t="s">
        <v>49</v>
      </c>
      <c r="S304" s="27" t="s">
        <v>50</v>
      </c>
      <c r="T304" s="27" t="s">
        <v>50</v>
      </c>
      <c r="U304" s="27" t="s">
        <v>50</v>
      </c>
      <c r="V304" s="27" t="s">
        <v>50</v>
      </c>
      <c r="W304" s="27" t="s">
        <v>50</v>
      </c>
      <c r="X304" s="27" t="s">
        <v>50</v>
      </c>
      <c r="Y304" s="35" t="s">
        <v>7208</v>
      </c>
    </row>
    <row r="305" spans="1:25" s="149" customFormat="1" x14ac:dyDescent="0.25">
      <c r="A305" s="178">
        <v>43136</v>
      </c>
      <c r="B305" s="149" t="s">
        <v>43</v>
      </c>
      <c r="C305" s="149" t="s">
        <v>78</v>
      </c>
      <c r="D305" s="150">
        <v>38.057810000000003</v>
      </c>
      <c r="E305" s="150">
        <v>-122.00796</v>
      </c>
      <c r="F305" s="149" t="s">
        <v>7209</v>
      </c>
      <c r="G305" s="149" t="s">
        <v>27</v>
      </c>
      <c r="H305" s="149" t="s">
        <v>86</v>
      </c>
      <c r="I305" s="151">
        <v>0.44236111111111115</v>
      </c>
      <c r="J305" s="197" t="s">
        <v>50</v>
      </c>
      <c r="K305" s="197" t="s">
        <v>50</v>
      </c>
      <c r="L305" s="197" t="s">
        <v>50</v>
      </c>
      <c r="M305" s="197" t="s">
        <v>50</v>
      </c>
      <c r="N305" s="197" t="s">
        <v>50</v>
      </c>
      <c r="O305" s="149" t="s">
        <v>48</v>
      </c>
      <c r="P305" s="149">
        <v>0</v>
      </c>
      <c r="Q305" s="149" t="s">
        <v>50</v>
      </c>
      <c r="R305" s="149" t="s">
        <v>50</v>
      </c>
      <c r="S305" s="149" t="s">
        <v>50</v>
      </c>
      <c r="T305" s="149" t="s">
        <v>50</v>
      </c>
      <c r="U305" s="149" t="s">
        <v>50</v>
      </c>
      <c r="V305" s="149" t="s">
        <v>50</v>
      </c>
      <c r="W305" s="149" t="s">
        <v>50</v>
      </c>
      <c r="X305" s="149" t="s">
        <v>50</v>
      </c>
      <c r="Y305" s="152" t="s">
        <v>7210</v>
      </c>
    </row>
    <row r="306" spans="1:25" s="27" customFormat="1" x14ac:dyDescent="0.25">
      <c r="A306" s="26">
        <v>43136</v>
      </c>
      <c r="B306" s="27" t="s">
        <v>43</v>
      </c>
      <c r="C306" s="27" t="s">
        <v>78</v>
      </c>
      <c r="D306" s="89">
        <v>38.033720000000002</v>
      </c>
      <c r="E306" s="89">
        <v>-121.87223</v>
      </c>
      <c r="F306" s="27" t="s">
        <v>7211</v>
      </c>
      <c r="G306" s="27" t="s">
        <v>27</v>
      </c>
      <c r="H306" s="27" t="s">
        <v>101</v>
      </c>
      <c r="I306" s="84">
        <v>0.4597222222222222</v>
      </c>
      <c r="J306" s="82">
        <v>1016.8</v>
      </c>
      <c r="K306" s="82">
        <v>11.6</v>
      </c>
      <c r="L306" s="82">
        <v>20.9</v>
      </c>
      <c r="M306" s="82">
        <v>0.53400000000000003</v>
      </c>
      <c r="N306" s="4">
        <v>12</v>
      </c>
      <c r="O306" s="27" t="s">
        <v>48</v>
      </c>
      <c r="P306" s="27">
        <v>5</v>
      </c>
      <c r="Q306" s="27">
        <v>5</v>
      </c>
      <c r="R306" s="27" t="s">
        <v>49</v>
      </c>
      <c r="S306" s="27" t="s">
        <v>50</v>
      </c>
      <c r="T306" s="27" t="s">
        <v>50</v>
      </c>
      <c r="U306" s="27" t="s">
        <v>50</v>
      </c>
      <c r="V306" s="27" t="s">
        <v>50</v>
      </c>
      <c r="W306" s="27" t="s">
        <v>50</v>
      </c>
      <c r="X306" s="27" t="s">
        <v>50</v>
      </c>
      <c r="Y306" s="35"/>
    </row>
    <row r="307" spans="1:25" s="27" customFormat="1" x14ac:dyDescent="0.25">
      <c r="A307" s="26">
        <v>43136</v>
      </c>
      <c r="B307" s="27" t="s">
        <v>43</v>
      </c>
      <c r="C307" s="27" t="s">
        <v>6849</v>
      </c>
      <c r="D307" s="89">
        <v>38.474829999999997</v>
      </c>
      <c r="E307" s="89">
        <v>-121.53907</v>
      </c>
      <c r="F307" s="27" t="s">
        <v>7212</v>
      </c>
      <c r="G307" s="27" t="s">
        <v>90</v>
      </c>
      <c r="H307" s="27" t="s">
        <v>6851</v>
      </c>
      <c r="I307" s="84">
        <v>0.45624999999999999</v>
      </c>
      <c r="J307" s="82">
        <v>144.35</v>
      </c>
      <c r="K307" s="82">
        <v>12.149999999999999</v>
      </c>
      <c r="L307" s="82" t="s">
        <v>50</v>
      </c>
      <c r="M307" s="82">
        <v>0.63833333333333331</v>
      </c>
      <c r="N307" s="4">
        <v>6.1499999999999995</v>
      </c>
      <c r="O307" s="27" t="s">
        <v>48</v>
      </c>
      <c r="P307" s="27">
        <v>6</v>
      </c>
      <c r="Q307" s="27">
        <v>10</v>
      </c>
      <c r="R307" s="27" t="s">
        <v>49</v>
      </c>
      <c r="S307" s="27" t="s">
        <v>50</v>
      </c>
      <c r="T307" s="27" t="s">
        <v>50</v>
      </c>
      <c r="U307" s="27" t="s">
        <v>50</v>
      </c>
      <c r="V307" s="27" t="s">
        <v>50</v>
      </c>
      <c r="W307" s="27" t="s">
        <v>50</v>
      </c>
      <c r="X307" s="27" t="s">
        <v>50</v>
      </c>
      <c r="Y307" s="35" t="s">
        <v>766</v>
      </c>
    </row>
    <row r="308" spans="1:25" s="27" customFormat="1" x14ac:dyDescent="0.25">
      <c r="A308" s="26">
        <v>43136</v>
      </c>
      <c r="B308" s="27" t="s">
        <v>43</v>
      </c>
      <c r="C308" s="27" t="s">
        <v>6849</v>
      </c>
      <c r="D308" s="89">
        <v>38.469180000000001</v>
      </c>
      <c r="E308" s="89">
        <v>-121.50528</v>
      </c>
      <c r="F308" s="27" t="s">
        <v>7213</v>
      </c>
      <c r="G308" s="27" t="s">
        <v>90</v>
      </c>
      <c r="H308" s="27" t="s">
        <v>6851</v>
      </c>
      <c r="I308" s="84">
        <v>0.52222222222222225</v>
      </c>
      <c r="J308" s="82">
        <v>143.91666666666666</v>
      </c>
      <c r="K308" s="82">
        <v>12.266666666666666</v>
      </c>
      <c r="L308" s="82" t="s">
        <v>50</v>
      </c>
      <c r="M308" s="82">
        <v>0.72000000000000008</v>
      </c>
      <c r="N308" s="4">
        <v>7.45</v>
      </c>
      <c r="O308" s="27" t="s">
        <v>48</v>
      </c>
      <c r="P308" s="27">
        <v>6</v>
      </c>
      <c r="Q308" s="27">
        <v>10</v>
      </c>
      <c r="R308" s="27" t="s">
        <v>49</v>
      </c>
      <c r="S308" s="27" t="s">
        <v>50</v>
      </c>
      <c r="T308" s="27" t="s">
        <v>50</v>
      </c>
      <c r="U308" s="27" t="s">
        <v>50</v>
      </c>
      <c r="V308" s="27" t="s">
        <v>50</v>
      </c>
      <c r="W308" s="27" t="s">
        <v>50</v>
      </c>
      <c r="X308" s="27" t="s">
        <v>50</v>
      </c>
      <c r="Y308" s="35" t="s">
        <v>766</v>
      </c>
    </row>
    <row r="309" spans="1:25" s="27" customFormat="1" x14ac:dyDescent="0.25">
      <c r="A309" s="26">
        <v>43137</v>
      </c>
      <c r="B309" s="27" t="s">
        <v>849</v>
      </c>
      <c r="C309" s="27" t="s">
        <v>95</v>
      </c>
      <c r="D309" s="89">
        <v>38.098990000000001</v>
      </c>
      <c r="E309" s="89">
        <v>-121.58662</v>
      </c>
      <c r="F309" s="27" t="s">
        <v>7214</v>
      </c>
      <c r="G309" s="27" t="s">
        <v>46</v>
      </c>
      <c r="H309" s="27" t="s">
        <v>115</v>
      </c>
      <c r="I309" s="84">
        <v>0.30486111111111108</v>
      </c>
      <c r="J309" s="82">
        <v>174.76</v>
      </c>
      <c r="K309" s="82">
        <v>11.82</v>
      </c>
      <c r="L309" s="82">
        <v>8.3580000000000005</v>
      </c>
      <c r="M309" s="82">
        <v>1.304</v>
      </c>
      <c r="N309" s="4">
        <v>12.4</v>
      </c>
      <c r="O309" s="27" t="s">
        <v>48</v>
      </c>
      <c r="P309" s="27">
        <v>5</v>
      </c>
      <c r="Q309" s="27">
        <v>5</v>
      </c>
      <c r="R309" s="27" t="s">
        <v>64</v>
      </c>
      <c r="S309" s="27" t="s">
        <v>50</v>
      </c>
      <c r="T309" s="27" t="s">
        <v>50</v>
      </c>
      <c r="U309" s="27" t="s">
        <v>50</v>
      </c>
      <c r="V309" s="27" t="s">
        <v>50</v>
      </c>
      <c r="W309" s="27" t="s">
        <v>50</v>
      </c>
      <c r="X309" s="27" t="s">
        <v>50</v>
      </c>
      <c r="Y309" s="35"/>
    </row>
    <row r="310" spans="1:25" s="27" customFormat="1" x14ac:dyDescent="0.25">
      <c r="A310" s="26">
        <v>43137</v>
      </c>
      <c r="B310" s="27" t="s">
        <v>849</v>
      </c>
      <c r="C310" s="27" t="s">
        <v>95</v>
      </c>
      <c r="D310" s="89">
        <v>38.057409999999997</v>
      </c>
      <c r="E310" s="89">
        <v>-121.53473</v>
      </c>
      <c r="F310" s="27" t="s">
        <v>7215</v>
      </c>
      <c r="G310" s="27" t="s">
        <v>46</v>
      </c>
      <c r="H310" s="27" t="s">
        <v>115</v>
      </c>
      <c r="I310" s="84">
        <v>0.35069444444444442</v>
      </c>
      <c r="J310" s="82">
        <v>187.18</v>
      </c>
      <c r="K310" s="82">
        <v>12</v>
      </c>
      <c r="L310" s="82">
        <v>7.3339999999999996</v>
      </c>
      <c r="M310" s="82">
        <v>1.488</v>
      </c>
      <c r="N310" s="4">
        <v>12.14</v>
      </c>
      <c r="O310" s="27" t="s">
        <v>48</v>
      </c>
      <c r="P310" s="27">
        <v>5</v>
      </c>
      <c r="Q310" s="27">
        <v>5</v>
      </c>
      <c r="R310" s="27" t="s">
        <v>64</v>
      </c>
      <c r="S310" s="27" t="s">
        <v>50</v>
      </c>
      <c r="T310" s="27" t="s">
        <v>50</v>
      </c>
      <c r="U310" s="27" t="s">
        <v>50</v>
      </c>
      <c r="V310" s="27" t="s">
        <v>50</v>
      </c>
      <c r="W310" s="27" t="s">
        <v>50</v>
      </c>
      <c r="X310" s="27" t="s">
        <v>50</v>
      </c>
      <c r="Y310" s="35"/>
    </row>
    <row r="311" spans="1:25" s="27" customFormat="1" x14ac:dyDescent="0.25">
      <c r="A311" s="26">
        <v>43137</v>
      </c>
      <c r="B311" s="27" t="s">
        <v>849</v>
      </c>
      <c r="C311" s="27" t="s">
        <v>106</v>
      </c>
      <c r="D311" s="89">
        <v>38.269599999999997</v>
      </c>
      <c r="E311" s="89">
        <v>-121.66303000000001</v>
      </c>
      <c r="F311" s="27" t="s">
        <v>7216</v>
      </c>
      <c r="G311" s="27" t="s">
        <v>90</v>
      </c>
      <c r="H311" s="27" t="s">
        <v>362</v>
      </c>
      <c r="I311" s="84">
        <v>0.3215277777777778</v>
      </c>
      <c r="J311" s="82">
        <v>174.26</v>
      </c>
      <c r="K311" s="82">
        <v>12.1</v>
      </c>
      <c r="L311" s="82">
        <v>9.8000000000000007</v>
      </c>
      <c r="M311" s="82">
        <v>1.028</v>
      </c>
      <c r="N311" s="4">
        <v>11.6</v>
      </c>
      <c r="O311" s="27" t="s">
        <v>48</v>
      </c>
      <c r="P311" s="27">
        <v>5</v>
      </c>
      <c r="Q311" s="27">
        <v>5</v>
      </c>
      <c r="R311" s="27" t="s">
        <v>64</v>
      </c>
      <c r="S311" s="27" t="s">
        <v>50</v>
      </c>
      <c r="T311" s="27" t="s">
        <v>50</v>
      </c>
      <c r="U311" s="27" t="s">
        <v>50</v>
      </c>
      <c r="V311" s="27" t="s">
        <v>50</v>
      </c>
      <c r="W311" s="27" t="s">
        <v>50</v>
      </c>
      <c r="X311" s="27" t="s">
        <v>50</v>
      </c>
      <c r="Y311" s="35"/>
    </row>
    <row r="312" spans="1:25" s="27" customFormat="1" x14ac:dyDescent="0.25">
      <c r="A312" s="26">
        <v>43137</v>
      </c>
      <c r="B312" s="27" t="s">
        <v>849</v>
      </c>
      <c r="C312" s="27" t="s">
        <v>106</v>
      </c>
      <c r="D312" s="89">
        <v>38.397329999999997</v>
      </c>
      <c r="E312" s="89">
        <v>-121.6186</v>
      </c>
      <c r="F312" s="27" t="s">
        <v>7217</v>
      </c>
      <c r="G312" s="27" t="s">
        <v>90</v>
      </c>
      <c r="H312" s="27" t="s">
        <v>362</v>
      </c>
      <c r="I312" s="84">
        <v>0.37152777777777773</v>
      </c>
      <c r="J312" s="82">
        <v>318.62</v>
      </c>
      <c r="K312" s="82">
        <v>11.54</v>
      </c>
      <c r="L312" s="82">
        <v>69.900000000000006</v>
      </c>
      <c r="M312" s="82">
        <v>0.22600000000000001</v>
      </c>
      <c r="N312" s="4">
        <v>10.220000000000001</v>
      </c>
      <c r="O312" s="27" t="s">
        <v>48</v>
      </c>
      <c r="P312" s="27">
        <v>5</v>
      </c>
      <c r="Q312" s="27">
        <v>5</v>
      </c>
      <c r="R312" s="27" t="s">
        <v>64</v>
      </c>
      <c r="S312" s="27" t="s">
        <v>50</v>
      </c>
      <c r="T312" s="27" t="s">
        <v>50</v>
      </c>
      <c r="U312" s="27" t="s">
        <v>50</v>
      </c>
      <c r="V312" s="27" t="s">
        <v>50</v>
      </c>
      <c r="W312" s="27" t="s">
        <v>50</v>
      </c>
      <c r="X312" s="27" t="s">
        <v>50</v>
      </c>
      <c r="Y312" s="35"/>
    </row>
    <row r="313" spans="1:25" s="27" customFormat="1" x14ac:dyDescent="0.25">
      <c r="A313" s="26">
        <v>43137</v>
      </c>
      <c r="B313" s="27" t="s">
        <v>849</v>
      </c>
      <c r="C313" s="27" t="s">
        <v>106</v>
      </c>
      <c r="D313" s="89">
        <v>38.524979999999999</v>
      </c>
      <c r="E313" s="89">
        <v>-121.58423999999999</v>
      </c>
      <c r="F313" s="27" t="s">
        <v>7218</v>
      </c>
      <c r="G313" s="27" t="s">
        <v>90</v>
      </c>
      <c r="H313" s="27" t="s">
        <v>1787</v>
      </c>
      <c r="I313" s="84">
        <v>0.44236111111111115</v>
      </c>
      <c r="J313" s="82">
        <v>689.6</v>
      </c>
      <c r="K313" s="82">
        <v>11.64</v>
      </c>
      <c r="L313" s="82">
        <v>14.74</v>
      </c>
      <c r="M313" s="82">
        <v>0.53200000000000003</v>
      </c>
      <c r="N313" s="4">
        <v>9.9</v>
      </c>
      <c r="O313" s="27" t="s">
        <v>48</v>
      </c>
      <c r="P313" s="27">
        <v>5</v>
      </c>
      <c r="Q313" s="27">
        <v>5</v>
      </c>
      <c r="R313" s="27" t="s">
        <v>49</v>
      </c>
      <c r="S313" s="27" t="s">
        <v>50</v>
      </c>
      <c r="T313" s="27" t="s">
        <v>50</v>
      </c>
      <c r="U313" s="27" t="s">
        <v>50</v>
      </c>
      <c r="V313" s="27" t="s">
        <v>50</v>
      </c>
      <c r="W313" s="27" t="s">
        <v>50</v>
      </c>
      <c r="X313" s="27" t="s">
        <v>50</v>
      </c>
      <c r="Y313" s="35"/>
    </row>
    <row r="314" spans="1:25" s="27" customFormat="1" x14ac:dyDescent="0.25">
      <c r="A314" s="26">
        <v>43137</v>
      </c>
      <c r="B314" s="27" t="s">
        <v>849</v>
      </c>
      <c r="C314" s="27" t="s">
        <v>78</v>
      </c>
      <c r="D314" s="89">
        <v>38.060090000000002</v>
      </c>
      <c r="E314" s="89">
        <v>-122.05665</v>
      </c>
      <c r="F314" s="27" t="s">
        <v>7219</v>
      </c>
      <c r="G314" s="27" t="s">
        <v>80</v>
      </c>
      <c r="H314" s="27" t="s">
        <v>81</v>
      </c>
      <c r="I314" s="84">
        <v>0.34236111111111112</v>
      </c>
      <c r="J314" s="82">
        <v>11822.6</v>
      </c>
      <c r="K314" s="82">
        <v>12.2</v>
      </c>
      <c r="L314" s="82">
        <v>23.5</v>
      </c>
      <c r="M314" s="82">
        <v>0.46</v>
      </c>
      <c r="N314" s="4">
        <v>8.1</v>
      </c>
      <c r="O314" s="27" t="s">
        <v>48</v>
      </c>
      <c r="P314" s="27">
        <v>5</v>
      </c>
      <c r="Q314" s="27">
        <v>5</v>
      </c>
      <c r="R314" s="27" t="s">
        <v>49</v>
      </c>
      <c r="S314" s="27" t="s">
        <v>50</v>
      </c>
      <c r="T314" s="27" t="s">
        <v>50</v>
      </c>
      <c r="U314" s="27" t="s">
        <v>50</v>
      </c>
      <c r="V314" s="27" t="s">
        <v>50</v>
      </c>
      <c r="W314" s="27" t="s">
        <v>50</v>
      </c>
      <c r="X314" s="27" t="s">
        <v>50</v>
      </c>
      <c r="Y314" s="35"/>
    </row>
    <row r="315" spans="1:25" s="27" customFormat="1" x14ac:dyDescent="0.25">
      <c r="A315" s="26">
        <v>43137</v>
      </c>
      <c r="B315" s="27" t="s">
        <v>849</v>
      </c>
      <c r="C315" s="27" t="s">
        <v>78</v>
      </c>
      <c r="D315" s="89">
        <v>38.097670000000001</v>
      </c>
      <c r="E315" s="89">
        <v>-122.07049000000001</v>
      </c>
      <c r="F315" s="27" t="s">
        <v>7220</v>
      </c>
      <c r="G315" s="27" t="s">
        <v>80</v>
      </c>
      <c r="H315" s="27" t="s">
        <v>81</v>
      </c>
      <c r="I315" s="84">
        <v>0.3972222222222222</v>
      </c>
      <c r="J315" s="82">
        <v>10184.799999999999</v>
      </c>
      <c r="K315" s="82">
        <v>12.62</v>
      </c>
      <c r="L315" s="82">
        <v>57.58</v>
      </c>
      <c r="M315" s="82">
        <v>0.28199999999999997</v>
      </c>
      <c r="N315" s="4">
        <v>3.6</v>
      </c>
      <c r="O315" s="27" t="s">
        <v>48</v>
      </c>
      <c r="P315" s="27">
        <v>5</v>
      </c>
      <c r="Q315" s="27">
        <v>5</v>
      </c>
      <c r="R315" s="27" t="s">
        <v>49</v>
      </c>
      <c r="S315" s="27" t="s">
        <v>31</v>
      </c>
      <c r="T315" s="16">
        <v>33</v>
      </c>
      <c r="U315" s="27" t="s">
        <v>7221</v>
      </c>
      <c r="V315" s="27" t="s">
        <v>355</v>
      </c>
      <c r="W315" s="27" t="s">
        <v>50</v>
      </c>
      <c r="X315" s="27" t="s">
        <v>50</v>
      </c>
      <c r="Y315" s="87" t="s">
        <v>7222</v>
      </c>
    </row>
    <row r="316" spans="1:25" s="27" customFormat="1" x14ac:dyDescent="0.25">
      <c r="A316" s="26">
        <v>43137</v>
      </c>
      <c r="B316" s="27" t="s">
        <v>849</v>
      </c>
      <c r="C316" s="27" t="s">
        <v>95</v>
      </c>
      <c r="D316" s="89">
        <v>38.0274</v>
      </c>
      <c r="E316" s="89">
        <v>-121.77244</v>
      </c>
      <c r="F316" s="27" t="s">
        <v>7223</v>
      </c>
      <c r="G316" s="27" t="s">
        <v>27</v>
      </c>
      <c r="H316" s="27" t="s">
        <v>863</v>
      </c>
      <c r="I316" s="84">
        <v>0.4152777777777778</v>
      </c>
      <c r="J316" s="82">
        <v>381.84</v>
      </c>
      <c r="K316" s="82">
        <v>11.9</v>
      </c>
      <c r="L316" s="82">
        <v>12.9</v>
      </c>
      <c r="M316" s="82">
        <v>0.61799999999999999</v>
      </c>
      <c r="N316" s="4">
        <v>12.5</v>
      </c>
      <c r="O316" s="27" t="s">
        <v>48</v>
      </c>
      <c r="P316" s="27">
        <v>5</v>
      </c>
      <c r="Q316" s="27">
        <v>5</v>
      </c>
      <c r="R316" s="27" t="s">
        <v>49</v>
      </c>
      <c r="S316" s="27" t="s">
        <v>50</v>
      </c>
      <c r="T316" s="27" t="s">
        <v>50</v>
      </c>
      <c r="U316" s="27" t="s">
        <v>50</v>
      </c>
      <c r="V316" s="27" t="s">
        <v>50</v>
      </c>
      <c r="W316" s="27" t="s">
        <v>50</v>
      </c>
      <c r="X316" s="27" t="s">
        <v>50</v>
      </c>
      <c r="Y316" s="35"/>
    </row>
    <row r="317" spans="1:25" s="27" customFormat="1" x14ac:dyDescent="0.25">
      <c r="A317" s="26">
        <v>43137</v>
      </c>
      <c r="B317" s="27" t="s">
        <v>849</v>
      </c>
      <c r="C317" s="27" t="s">
        <v>78</v>
      </c>
      <c r="D317" s="89">
        <v>38.051900000000003</v>
      </c>
      <c r="E317" s="89">
        <v>-121.96917000000001</v>
      </c>
      <c r="F317" s="27" t="s">
        <v>7224</v>
      </c>
      <c r="G317" s="27" t="s">
        <v>27</v>
      </c>
      <c r="H317" s="27" t="s">
        <v>170</v>
      </c>
      <c r="I317" s="84">
        <v>0.46180555555555558</v>
      </c>
      <c r="J317" s="82">
        <v>6801.2</v>
      </c>
      <c r="K317" s="82">
        <v>12.22</v>
      </c>
      <c r="L317" s="82">
        <v>29.36</v>
      </c>
      <c r="M317" s="82">
        <v>0.438</v>
      </c>
      <c r="N317" s="4">
        <v>3.3</v>
      </c>
      <c r="O317" s="27" t="s">
        <v>48</v>
      </c>
      <c r="P317" s="27">
        <v>5</v>
      </c>
      <c r="Q317" s="27">
        <v>5</v>
      </c>
      <c r="R317" s="27" t="s">
        <v>49</v>
      </c>
      <c r="S317" s="27" t="s">
        <v>31</v>
      </c>
      <c r="T317" s="27">
        <v>1</v>
      </c>
      <c r="U317" s="27">
        <v>80</v>
      </c>
      <c r="V317" s="27" t="s">
        <v>66</v>
      </c>
      <c r="W317" s="27" t="s">
        <v>50</v>
      </c>
      <c r="X317" s="27" t="s">
        <v>50</v>
      </c>
      <c r="Y317" s="35"/>
    </row>
    <row r="318" spans="1:25" s="27" customFormat="1" x14ac:dyDescent="0.25">
      <c r="A318" s="26">
        <v>43138</v>
      </c>
      <c r="B318" s="27" t="s">
        <v>87</v>
      </c>
      <c r="C318" s="27" t="s">
        <v>95</v>
      </c>
      <c r="D318" s="89">
        <v>38.042409999999997</v>
      </c>
      <c r="E318" s="89">
        <v>-121.50596</v>
      </c>
      <c r="F318" s="27" t="s">
        <v>7225</v>
      </c>
      <c r="G318" s="27" t="s">
        <v>46</v>
      </c>
      <c r="H318" s="27" t="s">
        <v>115</v>
      </c>
      <c r="I318" s="84">
        <v>0.32777777777777778</v>
      </c>
      <c r="J318" s="82">
        <v>209.5</v>
      </c>
      <c r="K318" s="82">
        <v>12.34</v>
      </c>
      <c r="L318" s="82">
        <v>3.66</v>
      </c>
      <c r="M318" s="82">
        <v>1.704</v>
      </c>
      <c r="N318" s="4">
        <v>6.04</v>
      </c>
      <c r="O318" s="27" t="s">
        <v>48</v>
      </c>
      <c r="P318" s="27">
        <v>5</v>
      </c>
      <c r="Q318" s="27">
        <v>5</v>
      </c>
      <c r="R318" s="27" t="s">
        <v>64</v>
      </c>
      <c r="S318" s="27" t="s">
        <v>50</v>
      </c>
      <c r="T318" s="27" t="s">
        <v>50</v>
      </c>
      <c r="U318" s="27" t="s">
        <v>50</v>
      </c>
      <c r="V318" s="27" t="s">
        <v>50</v>
      </c>
      <c r="W318" s="27" t="s">
        <v>50</v>
      </c>
      <c r="X318" s="27" t="s">
        <v>50</v>
      </c>
      <c r="Y318" s="35"/>
    </row>
    <row r="319" spans="1:25" s="27" customFormat="1" x14ac:dyDescent="0.25">
      <c r="A319" s="26">
        <v>43138</v>
      </c>
      <c r="B319" s="27" t="s">
        <v>87</v>
      </c>
      <c r="C319" s="27" t="s">
        <v>95</v>
      </c>
      <c r="D319" s="89">
        <v>38.0852</v>
      </c>
      <c r="E319" s="89">
        <v>-121.68485</v>
      </c>
      <c r="F319" s="27" t="s">
        <v>7226</v>
      </c>
      <c r="G319" s="27" t="s">
        <v>46</v>
      </c>
      <c r="H319" s="27" t="s">
        <v>908</v>
      </c>
      <c r="I319" s="84">
        <v>0.3840277777777778</v>
      </c>
      <c r="J319" s="82">
        <v>163.62</v>
      </c>
      <c r="K319" s="82">
        <v>11.92</v>
      </c>
      <c r="L319" s="82">
        <v>5.8860000000000001</v>
      </c>
      <c r="M319" s="82">
        <v>1.3540000000000001</v>
      </c>
      <c r="N319" s="4">
        <v>5.26</v>
      </c>
      <c r="O319" s="27" t="s">
        <v>48</v>
      </c>
      <c r="P319" s="27">
        <v>5</v>
      </c>
      <c r="Q319" s="27">
        <v>5</v>
      </c>
      <c r="R319" s="27" t="s">
        <v>49</v>
      </c>
      <c r="S319" s="27" t="s">
        <v>50</v>
      </c>
      <c r="T319" s="27" t="s">
        <v>50</v>
      </c>
      <c r="U319" s="27" t="s">
        <v>50</v>
      </c>
      <c r="V319" s="27" t="s">
        <v>50</v>
      </c>
      <c r="W319" s="27" t="s">
        <v>50</v>
      </c>
      <c r="X319" s="27" t="s">
        <v>50</v>
      </c>
      <c r="Y319" s="35"/>
    </row>
    <row r="320" spans="1:25" s="27" customFormat="1" x14ac:dyDescent="0.25">
      <c r="A320" s="26">
        <v>43138</v>
      </c>
      <c r="B320" s="27" t="s">
        <v>87</v>
      </c>
      <c r="C320" s="27" t="s">
        <v>95</v>
      </c>
      <c r="D320" s="89">
        <v>38.097610000000003</v>
      </c>
      <c r="E320" s="89">
        <v>-121.65924</v>
      </c>
      <c r="F320" s="27" t="s">
        <v>7227</v>
      </c>
      <c r="G320" s="27" t="s">
        <v>46</v>
      </c>
      <c r="H320" s="27" t="s">
        <v>908</v>
      </c>
      <c r="I320" s="84">
        <v>0.42569444444444443</v>
      </c>
      <c r="J320" s="82">
        <v>204.38</v>
      </c>
      <c r="K320" s="82">
        <v>12.02</v>
      </c>
      <c r="L320" s="82">
        <v>5.4080000000000004</v>
      </c>
      <c r="M320" s="82">
        <v>1.446</v>
      </c>
      <c r="N320" s="4">
        <v>12.18</v>
      </c>
      <c r="O320" s="27" t="s">
        <v>48</v>
      </c>
      <c r="P320" s="27">
        <v>5</v>
      </c>
      <c r="Q320" s="27">
        <v>5</v>
      </c>
      <c r="R320" s="27" t="s">
        <v>49</v>
      </c>
      <c r="S320" s="27" t="s">
        <v>50</v>
      </c>
      <c r="T320" s="27" t="s">
        <v>50</v>
      </c>
      <c r="U320" s="27" t="s">
        <v>50</v>
      </c>
      <c r="V320" s="27" t="s">
        <v>50</v>
      </c>
      <c r="W320" s="27" t="s">
        <v>50</v>
      </c>
      <c r="X320" s="27" t="s">
        <v>50</v>
      </c>
      <c r="Y320" s="35"/>
    </row>
    <row r="321" spans="1:25" s="27" customFormat="1" x14ac:dyDescent="0.25">
      <c r="A321" s="26">
        <v>43138</v>
      </c>
      <c r="B321" s="27" t="s">
        <v>87</v>
      </c>
      <c r="C321" s="27" t="s">
        <v>845</v>
      </c>
      <c r="D321" s="89">
        <v>38.295439999999999</v>
      </c>
      <c r="E321" s="89">
        <v>-121.72707</v>
      </c>
      <c r="F321" s="27" t="s">
        <v>7228</v>
      </c>
      <c r="G321" s="27" t="s">
        <v>90</v>
      </c>
      <c r="H321" s="27" t="s">
        <v>126</v>
      </c>
      <c r="I321" s="84">
        <v>0.33749999999999997</v>
      </c>
      <c r="J321" s="82">
        <v>398.16</v>
      </c>
      <c r="K321" s="82">
        <v>12.74</v>
      </c>
      <c r="L321" s="82">
        <v>5.4939999999999998</v>
      </c>
      <c r="M321" s="82">
        <v>1.516</v>
      </c>
      <c r="N321" s="4">
        <v>3.56</v>
      </c>
      <c r="O321" s="27" t="s">
        <v>48</v>
      </c>
      <c r="P321" s="27">
        <v>5</v>
      </c>
      <c r="Q321" s="27">
        <v>5</v>
      </c>
      <c r="R321" s="27" t="s">
        <v>64</v>
      </c>
      <c r="S321" s="27" t="s">
        <v>50</v>
      </c>
      <c r="T321" s="27" t="s">
        <v>50</v>
      </c>
      <c r="U321" s="27" t="s">
        <v>50</v>
      </c>
      <c r="V321" s="27" t="s">
        <v>50</v>
      </c>
      <c r="W321" s="27" t="s">
        <v>50</v>
      </c>
      <c r="X321" s="27" t="s">
        <v>50</v>
      </c>
      <c r="Y321" s="35"/>
    </row>
    <row r="322" spans="1:25" s="27" customFormat="1" x14ac:dyDescent="0.25">
      <c r="A322" s="26">
        <v>43138</v>
      </c>
      <c r="B322" s="27" t="s">
        <v>87</v>
      </c>
      <c r="C322" s="27" t="s">
        <v>845</v>
      </c>
      <c r="D322" s="89">
        <v>38.28445</v>
      </c>
      <c r="E322" s="89">
        <v>-121.69288</v>
      </c>
      <c r="F322" s="27" t="s">
        <v>7229</v>
      </c>
      <c r="G322" s="27" t="s">
        <v>90</v>
      </c>
      <c r="H322" s="27" t="s">
        <v>126</v>
      </c>
      <c r="I322" s="84">
        <v>0.38055555555555554</v>
      </c>
      <c r="J322" s="82">
        <v>209.25</v>
      </c>
      <c r="K322" s="82">
        <v>12.7</v>
      </c>
      <c r="L322" s="82">
        <v>7.6749999999999998</v>
      </c>
      <c r="M322" s="82">
        <v>1.22</v>
      </c>
      <c r="N322" s="4">
        <v>8.1</v>
      </c>
      <c r="O322" s="27" t="s">
        <v>48</v>
      </c>
      <c r="P322" s="27">
        <v>2</v>
      </c>
      <c r="Q322" s="27">
        <v>5</v>
      </c>
      <c r="R322" s="27" t="s">
        <v>64</v>
      </c>
      <c r="S322" s="27" t="s">
        <v>50</v>
      </c>
      <c r="T322" s="27" t="s">
        <v>50</v>
      </c>
      <c r="U322" s="27" t="s">
        <v>50</v>
      </c>
      <c r="V322" s="27" t="s">
        <v>50</v>
      </c>
      <c r="W322" s="27" t="s">
        <v>50</v>
      </c>
      <c r="X322" s="27" t="s">
        <v>50</v>
      </c>
      <c r="Y322" s="35" t="s">
        <v>7230</v>
      </c>
    </row>
    <row r="323" spans="1:25" s="27" customFormat="1" x14ac:dyDescent="0.25">
      <c r="A323" s="26">
        <v>43138</v>
      </c>
      <c r="B323" s="27" t="s">
        <v>87</v>
      </c>
      <c r="C323" s="27" t="s">
        <v>845</v>
      </c>
      <c r="D323" s="89">
        <v>38.242089999999997</v>
      </c>
      <c r="E323" s="89">
        <v>-121.68876</v>
      </c>
      <c r="F323" s="27" t="s">
        <v>7231</v>
      </c>
      <c r="G323" s="27" t="s">
        <v>90</v>
      </c>
      <c r="H323" s="27" t="s">
        <v>126</v>
      </c>
      <c r="I323" s="84">
        <v>0.40902777777777777</v>
      </c>
      <c r="J323" s="82">
        <v>168.42</v>
      </c>
      <c r="K323" s="82">
        <v>12.42</v>
      </c>
      <c r="L323" s="82">
        <v>10.348000000000001</v>
      </c>
      <c r="M323" s="82">
        <v>1.0660000000000001</v>
      </c>
      <c r="N323" s="4">
        <v>5.88</v>
      </c>
      <c r="O323" s="27" t="s">
        <v>48</v>
      </c>
      <c r="P323" s="27">
        <v>5</v>
      </c>
      <c r="Q323" s="27">
        <v>5</v>
      </c>
      <c r="R323" s="27" t="s">
        <v>49</v>
      </c>
      <c r="S323" s="27" t="s">
        <v>50</v>
      </c>
      <c r="T323" s="27" t="s">
        <v>50</v>
      </c>
      <c r="U323" s="27" t="s">
        <v>50</v>
      </c>
      <c r="V323" s="27" t="s">
        <v>50</v>
      </c>
      <c r="W323" s="27" t="s">
        <v>50</v>
      </c>
      <c r="X323" s="27" t="s">
        <v>50</v>
      </c>
      <c r="Y323" s="35"/>
    </row>
    <row r="324" spans="1:25" s="27" customFormat="1" x14ac:dyDescent="0.25">
      <c r="A324" s="26">
        <v>43138</v>
      </c>
      <c r="B324" s="27" t="s">
        <v>87</v>
      </c>
      <c r="C324" s="27" t="s">
        <v>845</v>
      </c>
      <c r="D324" s="89">
        <v>38.292720000000003</v>
      </c>
      <c r="E324" s="89">
        <v>-121.66048000000001</v>
      </c>
      <c r="F324" s="27" t="s">
        <v>7232</v>
      </c>
      <c r="G324" s="27" t="s">
        <v>90</v>
      </c>
      <c r="H324" s="27" t="s">
        <v>126</v>
      </c>
      <c r="I324" s="84">
        <v>0.45277777777777778</v>
      </c>
      <c r="J324" s="82">
        <v>243</v>
      </c>
      <c r="K324" s="82">
        <v>13.1</v>
      </c>
      <c r="L324" s="82">
        <v>8.9320000000000004</v>
      </c>
      <c r="M324" s="82">
        <v>1.1439999999999999</v>
      </c>
      <c r="N324" s="4">
        <v>5.42</v>
      </c>
      <c r="O324" s="27" t="s">
        <v>48</v>
      </c>
      <c r="P324" s="27">
        <v>5</v>
      </c>
      <c r="Q324" s="27">
        <v>5</v>
      </c>
      <c r="R324" s="27" t="s">
        <v>49</v>
      </c>
      <c r="S324" s="27" t="s">
        <v>50</v>
      </c>
      <c r="T324" s="27" t="s">
        <v>50</v>
      </c>
      <c r="U324" s="27" t="s">
        <v>50</v>
      </c>
      <c r="V324" s="27" t="s">
        <v>50</v>
      </c>
      <c r="W324" s="27" t="s">
        <v>50</v>
      </c>
      <c r="X324" s="27" t="s">
        <v>50</v>
      </c>
      <c r="Y324" s="35"/>
    </row>
    <row r="325" spans="1:25" s="27" customFormat="1" x14ac:dyDescent="0.25">
      <c r="A325" s="26">
        <v>43138</v>
      </c>
      <c r="B325" s="27" t="s">
        <v>87</v>
      </c>
      <c r="C325" s="27" t="s">
        <v>118</v>
      </c>
      <c r="D325" s="89">
        <v>38.046210000000002</v>
      </c>
      <c r="E325" s="89">
        <v>-122.31728</v>
      </c>
      <c r="F325" s="27" t="s">
        <v>7233</v>
      </c>
      <c r="G325" s="27" t="s">
        <v>80</v>
      </c>
      <c r="H325" s="27" t="s">
        <v>123</v>
      </c>
      <c r="I325" s="84">
        <v>0.38958333333333334</v>
      </c>
      <c r="J325" s="82">
        <v>28773</v>
      </c>
      <c r="K325" s="82">
        <v>12.9</v>
      </c>
      <c r="L325" s="82">
        <v>13.31</v>
      </c>
      <c r="M325" s="82">
        <v>0.67</v>
      </c>
      <c r="N325" s="4">
        <v>9.0500000000000007</v>
      </c>
      <c r="O325" s="27" t="s">
        <v>48</v>
      </c>
      <c r="P325" s="27">
        <v>6</v>
      </c>
      <c r="Q325" s="27">
        <v>10</v>
      </c>
      <c r="R325" s="27" t="s">
        <v>49</v>
      </c>
      <c r="S325" s="27" t="s">
        <v>50</v>
      </c>
      <c r="T325" s="27" t="s">
        <v>50</v>
      </c>
      <c r="U325" s="27" t="s">
        <v>50</v>
      </c>
      <c r="V325" s="27" t="s">
        <v>50</v>
      </c>
      <c r="W325" s="27" t="s">
        <v>50</v>
      </c>
      <c r="X325" s="27" t="s">
        <v>50</v>
      </c>
      <c r="Y325" s="35" t="s">
        <v>7234</v>
      </c>
    </row>
    <row r="326" spans="1:25" s="27" customFormat="1" x14ac:dyDescent="0.25">
      <c r="A326" s="26">
        <v>43138</v>
      </c>
      <c r="B326" s="27" t="s">
        <v>87</v>
      </c>
      <c r="C326" s="27" t="s">
        <v>118</v>
      </c>
      <c r="D326" s="89">
        <v>38.041960000000003</v>
      </c>
      <c r="E326" s="89">
        <v>-122.30761</v>
      </c>
      <c r="F326" s="27" t="s">
        <v>7235</v>
      </c>
      <c r="G326" s="27" t="s">
        <v>80</v>
      </c>
      <c r="H326" s="27" t="s">
        <v>123</v>
      </c>
      <c r="I326" s="84">
        <v>0.50486111111111109</v>
      </c>
      <c r="J326" s="82">
        <v>31001.17</v>
      </c>
      <c r="K326" s="82">
        <v>13.016999999999999</v>
      </c>
      <c r="L326" s="82">
        <v>24.65</v>
      </c>
      <c r="M326" s="82">
        <v>0.59</v>
      </c>
      <c r="N326" s="82">
        <v>6.13</v>
      </c>
      <c r="O326" s="27" t="s">
        <v>48</v>
      </c>
      <c r="P326" s="27">
        <v>6</v>
      </c>
      <c r="Q326" s="27">
        <v>10</v>
      </c>
      <c r="R326" s="27" t="s">
        <v>49</v>
      </c>
      <c r="S326" s="27" t="s">
        <v>50</v>
      </c>
      <c r="T326" s="27" t="s">
        <v>50</v>
      </c>
      <c r="U326" s="27" t="s">
        <v>50</v>
      </c>
      <c r="V326" s="27" t="s">
        <v>50</v>
      </c>
      <c r="W326" s="27" t="s">
        <v>50</v>
      </c>
      <c r="X326" s="27" t="s">
        <v>50</v>
      </c>
      <c r="Y326" s="35"/>
    </row>
    <row r="327" spans="1:25" s="27" customFormat="1" x14ac:dyDescent="0.25">
      <c r="A327" s="26">
        <v>43139</v>
      </c>
      <c r="B327" s="27" t="s">
        <v>105</v>
      </c>
      <c r="C327" s="27" t="s">
        <v>88</v>
      </c>
      <c r="D327" s="89">
        <v>38.153950000000002</v>
      </c>
      <c r="E327" s="89">
        <v>-121.68962000000001</v>
      </c>
      <c r="F327" s="27" t="s">
        <v>7236</v>
      </c>
      <c r="G327" s="27" t="s">
        <v>90</v>
      </c>
      <c r="H327" s="27" t="s">
        <v>91</v>
      </c>
      <c r="I327" s="84">
        <v>0.30694444444444441</v>
      </c>
      <c r="J327" s="82">
        <v>157.91999999999999</v>
      </c>
      <c r="K327" s="82">
        <v>12.5</v>
      </c>
      <c r="L327" s="82">
        <v>12.9</v>
      </c>
      <c r="M327" s="82">
        <v>1.4039999999999999</v>
      </c>
      <c r="N327" s="4">
        <v>8.56</v>
      </c>
      <c r="O327" s="27" t="s">
        <v>48</v>
      </c>
      <c r="P327" s="27">
        <v>5</v>
      </c>
      <c r="Q327" s="27">
        <v>5</v>
      </c>
      <c r="R327" s="27" t="s">
        <v>64</v>
      </c>
      <c r="S327" s="27" t="s">
        <v>702</v>
      </c>
      <c r="T327" s="27">
        <v>1</v>
      </c>
      <c r="U327" s="27">
        <v>40</v>
      </c>
      <c r="V327" s="27" t="s">
        <v>50</v>
      </c>
      <c r="W327" s="27">
        <v>3</v>
      </c>
      <c r="X327" s="27" t="s">
        <v>50</v>
      </c>
      <c r="Y327" s="35" t="s">
        <v>7237</v>
      </c>
    </row>
    <row r="328" spans="1:25" s="27" customFormat="1" x14ac:dyDescent="0.25">
      <c r="A328" s="26">
        <v>43139</v>
      </c>
      <c r="B328" s="27" t="s">
        <v>105</v>
      </c>
      <c r="C328" s="27" t="s">
        <v>88</v>
      </c>
      <c r="D328" s="89">
        <v>38.065249999999999</v>
      </c>
      <c r="E328" s="89">
        <v>-121.83613</v>
      </c>
      <c r="F328" s="27" t="s">
        <v>7238</v>
      </c>
      <c r="G328" s="27" t="s">
        <v>27</v>
      </c>
      <c r="H328" s="27" t="s">
        <v>25</v>
      </c>
      <c r="I328" s="84">
        <v>0.36041666666666666</v>
      </c>
      <c r="J328" s="82">
        <v>855.6</v>
      </c>
      <c r="K328" s="82">
        <v>12.08</v>
      </c>
      <c r="L328" s="82">
        <v>41.02</v>
      </c>
      <c r="M328" s="82">
        <v>0.54600000000000004</v>
      </c>
      <c r="N328" s="4">
        <v>12.04</v>
      </c>
      <c r="O328" s="27" t="s">
        <v>48</v>
      </c>
      <c r="P328" s="27">
        <v>5</v>
      </c>
      <c r="Q328" s="27">
        <v>5</v>
      </c>
      <c r="R328" s="27" t="s">
        <v>64</v>
      </c>
      <c r="S328" s="27" t="s">
        <v>50</v>
      </c>
      <c r="T328" s="27" t="s">
        <v>50</v>
      </c>
      <c r="U328" s="27" t="s">
        <v>50</v>
      </c>
      <c r="V328" s="27" t="s">
        <v>50</v>
      </c>
      <c r="W328" s="27" t="s">
        <v>50</v>
      </c>
      <c r="X328" s="27" t="s">
        <v>50</v>
      </c>
      <c r="Y328" s="35"/>
    </row>
    <row r="329" spans="1:25" s="27" customFormat="1" x14ac:dyDescent="0.25">
      <c r="A329" s="26">
        <v>43139</v>
      </c>
      <c r="B329" s="27" t="s">
        <v>105</v>
      </c>
      <c r="C329" s="27" t="s">
        <v>88</v>
      </c>
      <c r="D329" s="89">
        <v>38.085549999999998</v>
      </c>
      <c r="E329" s="89">
        <v>-121.7435</v>
      </c>
      <c r="F329" s="27" t="s">
        <v>7239</v>
      </c>
      <c r="G329" s="27" t="s">
        <v>27</v>
      </c>
      <c r="H329" s="27" t="s">
        <v>25</v>
      </c>
      <c r="I329" s="84">
        <v>0.40138888888888885</v>
      </c>
      <c r="J329" s="82">
        <v>159.91999999999999</v>
      </c>
      <c r="K329" s="82">
        <v>11.94</v>
      </c>
      <c r="L329" s="82">
        <v>12.78</v>
      </c>
      <c r="M329" s="82">
        <v>1.1299999999999999</v>
      </c>
      <c r="N329" s="4">
        <v>10.28</v>
      </c>
      <c r="O329" s="27" t="s">
        <v>48</v>
      </c>
      <c r="P329" s="27">
        <v>5</v>
      </c>
      <c r="Q329" s="27">
        <v>5</v>
      </c>
      <c r="R329" s="27" t="s">
        <v>64</v>
      </c>
      <c r="S329" s="27" t="s">
        <v>50</v>
      </c>
      <c r="T329" s="27" t="s">
        <v>50</v>
      </c>
      <c r="U329" s="27" t="s">
        <v>50</v>
      </c>
      <c r="V329" s="27" t="s">
        <v>50</v>
      </c>
      <c r="W329" s="27" t="s">
        <v>50</v>
      </c>
      <c r="X329" s="27" t="s">
        <v>50</v>
      </c>
      <c r="Y329" s="35"/>
    </row>
    <row r="330" spans="1:25" s="27" customFormat="1" x14ac:dyDescent="0.25">
      <c r="A330" s="26">
        <v>43139</v>
      </c>
      <c r="B330" s="27" t="s">
        <v>105</v>
      </c>
      <c r="C330" s="27" t="s">
        <v>88</v>
      </c>
      <c r="D330" s="89">
        <v>38.119599999999998</v>
      </c>
      <c r="E330" s="89">
        <v>-121.70229</v>
      </c>
      <c r="F330" s="27" t="s">
        <v>7240</v>
      </c>
      <c r="G330" s="27" t="s">
        <v>90</v>
      </c>
      <c r="H330" s="27" t="s">
        <v>91</v>
      </c>
      <c r="I330" s="84">
        <v>0.44097222222222227</v>
      </c>
      <c r="J330" s="82">
        <v>155.97999999999999</v>
      </c>
      <c r="K330" s="82">
        <v>12.2</v>
      </c>
      <c r="L330" s="82">
        <v>11.84</v>
      </c>
      <c r="M330" s="82">
        <v>1.1180000000000001</v>
      </c>
      <c r="N330" s="4">
        <v>10.44</v>
      </c>
      <c r="O330" s="27" t="s">
        <v>48</v>
      </c>
      <c r="P330" s="27">
        <v>5</v>
      </c>
      <c r="Q330" s="27">
        <v>5</v>
      </c>
      <c r="R330" s="27" t="s">
        <v>64</v>
      </c>
      <c r="S330" s="27" t="s">
        <v>50</v>
      </c>
      <c r="T330" s="27" t="s">
        <v>50</v>
      </c>
      <c r="U330" s="27" t="s">
        <v>50</v>
      </c>
      <c r="V330" s="27" t="s">
        <v>50</v>
      </c>
      <c r="W330" s="27" t="s">
        <v>50</v>
      </c>
      <c r="X330" s="27" t="s">
        <v>50</v>
      </c>
      <c r="Y330" s="35"/>
    </row>
    <row r="331" spans="1:25" s="27" customFormat="1" x14ac:dyDescent="0.25">
      <c r="A331" s="26">
        <v>43139</v>
      </c>
      <c r="B331" s="27" t="s">
        <v>105</v>
      </c>
      <c r="C331" s="27" t="s">
        <v>62</v>
      </c>
      <c r="D331" s="89">
        <v>38.14978</v>
      </c>
      <c r="E331" s="89">
        <v>-122.07003</v>
      </c>
      <c r="F331" s="27" t="s">
        <v>7241</v>
      </c>
      <c r="G331" s="27" t="s">
        <v>27</v>
      </c>
      <c r="H331" s="27" t="s">
        <v>62</v>
      </c>
      <c r="I331" s="84">
        <v>0.32916666666666666</v>
      </c>
      <c r="J331" s="82">
        <v>7046.2</v>
      </c>
      <c r="K331" s="82">
        <v>13.82</v>
      </c>
      <c r="L331" s="82">
        <v>59.2</v>
      </c>
      <c r="M331" s="82">
        <v>0.27</v>
      </c>
      <c r="N331" s="4">
        <v>2.94</v>
      </c>
      <c r="O331" s="27" t="s">
        <v>48</v>
      </c>
      <c r="P331" s="27">
        <v>5</v>
      </c>
      <c r="Q331" s="27">
        <v>5</v>
      </c>
      <c r="R331" s="27" t="s">
        <v>64</v>
      </c>
      <c r="S331" s="27" t="s">
        <v>31</v>
      </c>
      <c r="T331" s="27">
        <v>1</v>
      </c>
      <c r="U331" s="27">
        <v>79</v>
      </c>
      <c r="V331" s="27" t="s">
        <v>50</v>
      </c>
      <c r="W331" s="27" t="s">
        <v>50</v>
      </c>
      <c r="X331" s="27" t="s">
        <v>50</v>
      </c>
      <c r="Y331" s="35" t="s">
        <v>7242</v>
      </c>
    </row>
    <row r="332" spans="1:25" s="27" customFormat="1" x14ac:dyDescent="0.25">
      <c r="A332" s="26">
        <v>43139</v>
      </c>
      <c r="B332" s="27" t="s">
        <v>105</v>
      </c>
      <c r="C332" s="27" t="s">
        <v>62</v>
      </c>
      <c r="D332" s="89">
        <v>38.117040000000003</v>
      </c>
      <c r="E332" s="89">
        <v>-122.05785</v>
      </c>
      <c r="F332" s="27" t="s">
        <v>7243</v>
      </c>
      <c r="G332" s="27" t="s">
        <v>27</v>
      </c>
      <c r="H332" s="27" t="s">
        <v>173</v>
      </c>
      <c r="I332" s="84">
        <v>0.38958333333333334</v>
      </c>
      <c r="J332" s="82">
        <v>8571.7999999999993</v>
      </c>
      <c r="K332" s="82">
        <v>12.7</v>
      </c>
      <c r="L332" s="82">
        <v>28.98</v>
      </c>
      <c r="M332" s="82">
        <v>0.436</v>
      </c>
      <c r="N332" s="4">
        <v>3</v>
      </c>
      <c r="O332" s="27" t="s">
        <v>48</v>
      </c>
      <c r="P332" s="27">
        <v>5</v>
      </c>
      <c r="Q332" s="27">
        <v>5</v>
      </c>
      <c r="R332" s="27" t="s">
        <v>49</v>
      </c>
      <c r="S332" s="27" t="s">
        <v>31</v>
      </c>
      <c r="T332" s="27">
        <v>1</v>
      </c>
      <c r="U332" s="27">
        <v>75</v>
      </c>
      <c r="V332" s="27" t="s">
        <v>66</v>
      </c>
      <c r="W332" s="27" t="s">
        <v>50</v>
      </c>
      <c r="X332" s="27" t="s">
        <v>50</v>
      </c>
      <c r="Y332" s="35"/>
    </row>
    <row r="333" spans="1:25" s="27" customFormat="1" x14ac:dyDescent="0.25">
      <c r="A333" s="26">
        <v>43139</v>
      </c>
      <c r="B333" s="27" t="s">
        <v>105</v>
      </c>
      <c r="C333" s="27" t="s">
        <v>62</v>
      </c>
      <c r="D333" s="89">
        <v>38.108240000000002</v>
      </c>
      <c r="E333" s="89">
        <v>-122.05508</v>
      </c>
      <c r="F333" s="27" t="s">
        <v>7244</v>
      </c>
      <c r="G333" s="27" t="s">
        <v>27</v>
      </c>
      <c r="H333" s="27" t="s">
        <v>173</v>
      </c>
      <c r="I333" s="84">
        <v>0.43333333333333335</v>
      </c>
      <c r="J333" s="82">
        <v>10049.200000000001</v>
      </c>
      <c r="K333" s="82">
        <v>12.88</v>
      </c>
      <c r="L333" s="82">
        <v>21.84</v>
      </c>
      <c r="M333" s="82">
        <v>0.48399999999999999</v>
      </c>
      <c r="N333" s="4">
        <v>3.3</v>
      </c>
      <c r="O333" s="27" t="s">
        <v>48</v>
      </c>
      <c r="P333" s="27">
        <v>5</v>
      </c>
      <c r="Q333" s="27">
        <v>5</v>
      </c>
      <c r="R333" s="27" t="s">
        <v>49</v>
      </c>
      <c r="S333" s="27" t="s">
        <v>31</v>
      </c>
      <c r="T333" s="27">
        <v>1</v>
      </c>
      <c r="U333" s="27">
        <v>80</v>
      </c>
      <c r="V333" s="27" t="s">
        <v>66</v>
      </c>
      <c r="W333" s="27" t="s">
        <v>50</v>
      </c>
      <c r="X333" s="27" t="s">
        <v>50</v>
      </c>
      <c r="Y333" s="35"/>
    </row>
    <row r="334" spans="1:25" s="27" customFormat="1" x14ac:dyDescent="0.25">
      <c r="A334" s="26">
        <v>43139</v>
      </c>
      <c r="B334" s="27" t="s">
        <v>105</v>
      </c>
      <c r="C334" s="27" t="s">
        <v>6879</v>
      </c>
      <c r="D334" s="89">
        <v>38.147260000000003</v>
      </c>
      <c r="E334" s="89">
        <v>-121.54422</v>
      </c>
      <c r="F334" s="27" t="s">
        <v>7245</v>
      </c>
      <c r="G334" s="27" t="s">
        <v>46</v>
      </c>
      <c r="H334" s="27" t="s">
        <v>6881</v>
      </c>
      <c r="I334" s="84">
        <v>0.32500000000000001</v>
      </c>
      <c r="J334" s="82">
        <v>117.1</v>
      </c>
      <c r="K334" s="82">
        <v>12.51667</v>
      </c>
      <c r="L334" s="82">
        <v>5.3616669999999997</v>
      </c>
      <c r="M334" s="82">
        <v>1.0833330000000001</v>
      </c>
      <c r="N334" s="4">
        <v>8.4166670000000003</v>
      </c>
      <c r="O334" s="27" t="s">
        <v>48</v>
      </c>
      <c r="P334" s="27">
        <v>6</v>
      </c>
      <c r="Q334" s="27">
        <v>10</v>
      </c>
      <c r="R334" s="27" t="s">
        <v>64</v>
      </c>
      <c r="S334" s="27" t="s">
        <v>50</v>
      </c>
      <c r="T334" s="27" t="s">
        <v>50</v>
      </c>
      <c r="U334" s="27" t="s">
        <v>50</v>
      </c>
      <c r="V334" s="27" t="s">
        <v>50</v>
      </c>
      <c r="W334" s="27" t="s">
        <v>50</v>
      </c>
      <c r="X334" s="27" t="s">
        <v>50</v>
      </c>
      <c r="Y334" s="35"/>
    </row>
    <row r="335" spans="1:25" s="108" customFormat="1" ht="15.75" thickBot="1" x14ac:dyDescent="0.3">
      <c r="A335" s="126">
        <v>43139</v>
      </c>
      <c r="B335" s="108" t="s">
        <v>105</v>
      </c>
      <c r="C335" s="108" t="s">
        <v>6879</v>
      </c>
      <c r="D335" s="109">
        <v>38.142940000000003</v>
      </c>
      <c r="E335" s="109">
        <v>-121.49189</v>
      </c>
      <c r="F335" s="108" t="s">
        <v>7246</v>
      </c>
      <c r="G335" s="108" t="s">
        <v>46</v>
      </c>
      <c r="H335" s="108" t="s">
        <v>6881</v>
      </c>
      <c r="I335" s="110">
        <v>0.41111111111111115</v>
      </c>
      <c r="J335" s="111">
        <v>184</v>
      </c>
      <c r="K335" s="111">
        <v>13.18</v>
      </c>
      <c r="L335" s="111">
        <v>4.6360000000000001</v>
      </c>
      <c r="M335" s="111">
        <v>1.8</v>
      </c>
      <c r="N335" s="112">
        <v>6.06</v>
      </c>
      <c r="O335" s="108" t="s">
        <v>48</v>
      </c>
      <c r="P335" s="108">
        <v>5</v>
      </c>
      <c r="Q335" s="108">
        <v>10</v>
      </c>
      <c r="R335" s="108" t="s">
        <v>64</v>
      </c>
      <c r="S335" s="108" t="s">
        <v>50</v>
      </c>
      <c r="T335" s="108" t="s">
        <v>50</v>
      </c>
      <c r="U335" s="108" t="s">
        <v>50</v>
      </c>
      <c r="V335" s="108" t="s">
        <v>50</v>
      </c>
      <c r="W335" s="108" t="s">
        <v>50</v>
      </c>
      <c r="X335" s="108" t="s">
        <v>50</v>
      </c>
      <c r="Y335" s="113" t="s">
        <v>7247</v>
      </c>
    </row>
    <row r="336" spans="1:25" s="27" customFormat="1" ht="15.75" thickTop="1" x14ac:dyDescent="0.25">
      <c r="A336" s="26">
        <v>43143</v>
      </c>
      <c r="B336" s="27" t="s">
        <v>43</v>
      </c>
      <c r="C336" s="27" t="s">
        <v>44</v>
      </c>
      <c r="D336" s="89">
        <v>37.984830000000002</v>
      </c>
      <c r="E336" s="89">
        <v>-121.51935</v>
      </c>
      <c r="F336" s="27" t="s">
        <v>7248</v>
      </c>
      <c r="G336" s="27" t="s">
        <v>46</v>
      </c>
      <c r="H336" s="27" t="s">
        <v>6939</v>
      </c>
      <c r="I336" s="84">
        <v>0.32847222222222222</v>
      </c>
      <c r="J336" s="82">
        <v>275.3</v>
      </c>
      <c r="K336" s="82">
        <v>12.266666666666666</v>
      </c>
      <c r="L336" s="82">
        <v>6.68</v>
      </c>
      <c r="M336" s="82">
        <v>1.9833333333333334</v>
      </c>
      <c r="N336" s="4">
        <v>4.6166666666666663</v>
      </c>
      <c r="O336" s="27" t="s">
        <v>48</v>
      </c>
      <c r="P336" s="27">
        <v>6</v>
      </c>
      <c r="Q336" s="27">
        <v>10</v>
      </c>
      <c r="R336" s="27" t="s">
        <v>49</v>
      </c>
      <c r="S336" s="27" t="s">
        <v>50</v>
      </c>
      <c r="T336" s="27" t="s">
        <v>50</v>
      </c>
      <c r="U336" s="27" t="s">
        <v>50</v>
      </c>
      <c r="V336" s="27" t="s">
        <v>50</v>
      </c>
      <c r="W336" s="27" t="s">
        <v>50</v>
      </c>
      <c r="X336" s="27" t="s">
        <v>50</v>
      </c>
      <c r="Y336" s="35"/>
    </row>
    <row r="337" spans="1:25" s="27" customFormat="1" x14ac:dyDescent="0.25">
      <c r="A337" s="26">
        <v>43143</v>
      </c>
      <c r="B337" s="27" t="s">
        <v>43</v>
      </c>
      <c r="C337" s="27" t="s">
        <v>44</v>
      </c>
      <c r="D337" s="89">
        <v>37.930300000000003</v>
      </c>
      <c r="E337" s="89">
        <v>-121.52677</v>
      </c>
      <c r="F337" s="27" t="s">
        <v>7249</v>
      </c>
      <c r="G337" s="27" t="s">
        <v>46</v>
      </c>
      <c r="H337" s="27" t="s">
        <v>6926</v>
      </c>
      <c r="I337" s="84">
        <v>0.41041666666666665</v>
      </c>
      <c r="J337" s="82">
        <v>286.58333333333331</v>
      </c>
      <c r="K337" s="82">
        <v>12.449999999999998</v>
      </c>
      <c r="L337" s="82">
        <v>7.0266666666666673</v>
      </c>
      <c r="M337" s="82">
        <v>1.9400000000000002</v>
      </c>
      <c r="N337" s="4">
        <v>8.1166666666666671</v>
      </c>
      <c r="O337" s="27" t="s">
        <v>48</v>
      </c>
      <c r="P337" s="27">
        <v>6</v>
      </c>
      <c r="Q337" s="27">
        <v>10</v>
      </c>
      <c r="R337" s="27" t="s">
        <v>64</v>
      </c>
      <c r="S337" s="27" t="s">
        <v>50</v>
      </c>
      <c r="T337" s="27" t="s">
        <v>50</v>
      </c>
      <c r="U337" s="27" t="s">
        <v>50</v>
      </c>
      <c r="V337" s="27" t="s">
        <v>50</v>
      </c>
      <c r="W337" s="27" t="s">
        <v>50</v>
      </c>
      <c r="X337" s="27" t="s">
        <v>50</v>
      </c>
      <c r="Y337" s="35"/>
    </row>
    <row r="338" spans="1:25" s="27" customFormat="1" x14ac:dyDescent="0.25">
      <c r="A338" s="26">
        <v>43143</v>
      </c>
      <c r="B338" s="27" t="s">
        <v>43</v>
      </c>
      <c r="C338" s="27" t="s">
        <v>44</v>
      </c>
      <c r="D338" s="89">
        <v>37.865769999999998</v>
      </c>
      <c r="E338" s="89">
        <v>-121.57334</v>
      </c>
      <c r="F338" s="27" t="s">
        <v>7250</v>
      </c>
      <c r="G338" s="27" t="s">
        <v>46</v>
      </c>
      <c r="H338" s="27" t="s">
        <v>202</v>
      </c>
      <c r="I338" s="84">
        <v>0.52361111111111114</v>
      </c>
      <c r="J338" s="82">
        <v>280.95</v>
      </c>
      <c r="K338" s="82">
        <v>12.649999999999999</v>
      </c>
      <c r="L338" s="82">
        <v>9.6616666666666671</v>
      </c>
      <c r="M338" s="82">
        <v>1.9333333333333333</v>
      </c>
      <c r="N338" s="4">
        <v>6</v>
      </c>
      <c r="O338" s="27" t="s">
        <v>48</v>
      </c>
      <c r="P338" s="27">
        <v>6</v>
      </c>
      <c r="Q338" s="27">
        <v>10</v>
      </c>
      <c r="R338" s="27" t="s">
        <v>64</v>
      </c>
      <c r="S338" s="27" t="s">
        <v>50</v>
      </c>
      <c r="T338" s="27" t="s">
        <v>50</v>
      </c>
      <c r="U338" s="27" t="s">
        <v>50</v>
      </c>
      <c r="V338" s="27" t="s">
        <v>50</v>
      </c>
      <c r="W338" s="27" t="s">
        <v>50</v>
      </c>
      <c r="X338" s="27" t="s">
        <v>50</v>
      </c>
      <c r="Y338" s="35"/>
    </row>
    <row r="339" spans="1:25" s="27" customFormat="1" x14ac:dyDescent="0.25">
      <c r="A339" s="26">
        <v>43143</v>
      </c>
      <c r="B339" s="27" t="s">
        <v>43</v>
      </c>
      <c r="C339" s="27" t="s">
        <v>6849</v>
      </c>
      <c r="D339" s="89">
        <v>38.189619999999998</v>
      </c>
      <c r="E339" s="89">
        <v>-121.57364</v>
      </c>
      <c r="F339" s="27" t="s">
        <v>7251</v>
      </c>
      <c r="G339" s="27" t="s">
        <v>90</v>
      </c>
      <c r="H339" s="27" t="s">
        <v>6892</v>
      </c>
      <c r="I339" s="84">
        <v>0.34652777777777777</v>
      </c>
      <c r="J339" s="82">
        <v>155.48333333333335</v>
      </c>
      <c r="K339" s="82">
        <v>12.333333333333334</v>
      </c>
      <c r="L339" s="82">
        <v>14.700000000000001</v>
      </c>
      <c r="M339" s="82">
        <v>0.87666666666666659</v>
      </c>
      <c r="N339" s="4">
        <v>2.9333333333333336</v>
      </c>
      <c r="O339" s="27" t="s">
        <v>48</v>
      </c>
      <c r="P339" s="27">
        <v>6</v>
      </c>
      <c r="Q339" s="27">
        <v>10</v>
      </c>
      <c r="R339" s="27" t="s">
        <v>49</v>
      </c>
      <c r="S339" s="27" t="s">
        <v>702</v>
      </c>
      <c r="T339" s="27">
        <v>1</v>
      </c>
      <c r="U339" s="27">
        <v>37</v>
      </c>
      <c r="V339" s="27" t="s">
        <v>50</v>
      </c>
      <c r="W339" s="27">
        <v>2</v>
      </c>
      <c r="X339" s="27" t="s">
        <v>50</v>
      </c>
      <c r="Y339" s="35"/>
    </row>
    <row r="340" spans="1:25" s="27" customFormat="1" x14ac:dyDescent="0.25">
      <c r="A340" s="26">
        <v>43143</v>
      </c>
      <c r="B340" s="27" t="s">
        <v>43</v>
      </c>
      <c r="C340" s="27" t="s">
        <v>6849</v>
      </c>
      <c r="D340" s="196">
        <v>38.235480000000003</v>
      </c>
      <c r="E340" s="89">
        <v>-121.66589</v>
      </c>
      <c r="F340" s="27" t="s">
        <v>7252</v>
      </c>
      <c r="G340" s="27" t="s">
        <v>90</v>
      </c>
      <c r="H340" s="27" t="s">
        <v>6851</v>
      </c>
      <c r="I340" s="84">
        <v>0.43194444444444446</v>
      </c>
      <c r="J340" s="82">
        <v>150.61666666666665</v>
      </c>
      <c r="K340" s="82">
        <v>12.350000000000001</v>
      </c>
      <c r="L340" s="82">
        <v>11.031666666666666</v>
      </c>
      <c r="M340" s="82">
        <v>1.0333333333333332</v>
      </c>
      <c r="N340" s="4">
        <v>6.166666666666667</v>
      </c>
      <c r="O340" s="27" t="s">
        <v>48</v>
      </c>
      <c r="P340" s="27">
        <v>6</v>
      </c>
      <c r="Q340" s="27">
        <v>10</v>
      </c>
      <c r="R340" s="27" t="s">
        <v>49</v>
      </c>
      <c r="S340" s="27" t="s">
        <v>50</v>
      </c>
      <c r="T340" s="27" t="s">
        <v>50</v>
      </c>
      <c r="U340" s="27" t="s">
        <v>50</v>
      </c>
      <c r="V340" s="27" t="s">
        <v>50</v>
      </c>
      <c r="W340" s="27" t="s">
        <v>50</v>
      </c>
      <c r="X340" s="27" t="s">
        <v>50</v>
      </c>
      <c r="Y340" s="35"/>
    </row>
    <row r="341" spans="1:25" s="27" customFormat="1" x14ac:dyDescent="0.25">
      <c r="A341" s="26">
        <v>43143</v>
      </c>
      <c r="B341" s="27" t="s">
        <v>43</v>
      </c>
      <c r="C341" s="27" t="s">
        <v>118</v>
      </c>
      <c r="D341" s="89">
        <v>38.127839999999999</v>
      </c>
      <c r="E341" s="89">
        <v>-122.28098</v>
      </c>
      <c r="F341" s="27" t="s">
        <v>7253</v>
      </c>
      <c r="G341" s="27" t="s">
        <v>80</v>
      </c>
      <c r="H341" s="27" t="s">
        <v>191</v>
      </c>
      <c r="I341" s="84">
        <v>0.35902777777777778</v>
      </c>
      <c r="J341" s="82">
        <v>19026.166666666668</v>
      </c>
      <c r="K341" s="82">
        <v>12.966666666666667</v>
      </c>
      <c r="L341" s="82">
        <v>48.233333333333341</v>
      </c>
      <c r="M341" s="82">
        <v>0.36833333333333335</v>
      </c>
      <c r="N341" s="4">
        <v>9.15</v>
      </c>
      <c r="O341" s="27" t="s">
        <v>48</v>
      </c>
      <c r="P341" s="27">
        <v>6</v>
      </c>
      <c r="Q341" s="27">
        <v>10</v>
      </c>
      <c r="R341" s="27" t="s">
        <v>64</v>
      </c>
      <c r="S341" s="27" t="s">
        <v>50</v>
      </c>
      <c r="T341" s="27" t="s">
        <v>50</v>
      </c>
      <c r="U341" s="27" t="s">
        <v>50</v>
      </c>
      <c r="V341" s="27" t="s">
        <v>50</v>
      </c>
      <c r="W341" s="27" t="s">
        <v>50</v>
      </c>
      <c r="X341" s="27" t="s">
        <v>50</v>
      </c>
      <c r="Y341" s="35"/>
    </row>
    <row r="342" spans="1:25" s="27" customFormat="1" x14ac:dyDescent="0.25">
      <c r="A342" s="26">
        <v>43143</v>
      </c>
      <c r="B342" s="27" t="s">
        <v>43</v>
      </c>
      <c r="C342" s="27" t="s">
        <v>118</v>
      </c>
      <c r="D342" s="89">
        <v>38.051189999999998</v>
      </c>
      <c r="E342" s="89">
        <v>-122.18235</v>
      </c>
      <c r="F342" s="27" t="s">
        <v>7254</v>
      </c>
      <c r="G342" s="27" t="s">
        <v>80</v>
      </c>
      <c r="H342" s="27" t="s">
        <v>120</v>
      </c>
      <c r="I342" s="84">
        <v>0.4465277777777778</v>
      </c>
      <c r="J342" s="82">
        <v>21311</v>
      </c>
      <c r="K342" s="82">
        <v>12.9</v>
      </c>
      <c r="L342" s="82">
        <v>21.45</v>
      </c>
      <c r="M342" s="82">
        <v>0.68333333333333324</v>
      </c>
      <c r="N342" s="4">
        <v>24.983333333333334</v>
      </c>
      <c r="O342" s="27" t="s">
        <v>48</v>
      </c>
      <c r="P342" s="27">
        <v>6</v>
      </c>
      <c r="Q342" s="27">
        <v>10</v>
      </c>
      <c r="R342" s="27" t="s">
        <v>64</v>
      </c>
      <c r="S342" s="27" t="s">
        <v>50</v>
      </c>
      <c r="T342" s="27" t="s">
        <v>50</v>
      </c>
      <c r="U342" s="27" t="s">
        <v>50</v>
      </c>
      <c r="V342" s="27" t="s">
        <v>50</v>
      </c>
      <c r="W342" s="27" t="s">
        <v>50</v>
      </c>
      <c r="X342" s="27" t="s">
        <v>50</v>
      </c>
      <c r="Y342" s="35"/>
    </row>
    <row r="343" spans="1:25" s="27" customFormat="1" x14ac:dyDescent="0.25">
      <c r="A343" s="26">
        <v>43144</v>
      </c>
      <c r="B343" s="27" t="s">
        <v>70</v>
      </c>
      <c r="C343" s="27" t="s">
        <v>88</v>
      </c>
      <c r="D343" s="89">
        <v>38.135730000000002</v>
      </c>
      <c r="E343" s="89">
        <v>-121.69454</v>
      </c>
      <c r="F343" s="27" t="s">
        <v>7255</v>
      </c>
      <c r="G343" s="27" t="s">
        <v>90</v>
      </c>
      <c r="H343" s="27" t="s">
        <v>91</v>
      </c>
      <c r="I343" s="84">
        <v>0.31319444444444444</v>
      </c>
      <c r="J343" s="82">
        <v>164.78</v>
      </c>
      <c r="K343" s="82">
        <v>12.26</v>
      </c>
      <c r="L343" s="82">
        <v>14.02</v>
      </c>
      <c r="M343" s="82">
        <v>0.88800000000000001</v>
      </c>
      <c r="N343" s="4">
        <v>9.5399999999999991</v>
      </c>
      <c r="O343" s="27" t="s">
        <v>48</v>
      </c>
      <c r="P343" s="27">
        <v>5</v>
      </c>
      <c r="Q343" s="27">
        <v>5</v>
      </c>
      <c r="R343" s="27" t="s">
        <v>49</v>
      </c>
      <c r="S343" s="27" t="s">
        <v>50</v>
      </c>
      <c r="T343" s="27" t="s">
        <v>50</v>
      </c>
      <c r="U343" s="27" t="s">
        <v>50</v>
      </c>
      <c r="V343" s="27" t="s">
        <v>50</v>
      </c>
      <c r="W343" s="27" t="s">
        <v>50</v>
      </c>
      <c r="X343" s="27" t="s">
        <v>50</v>
      </c>
      <c r="Y343" s="35"/>
    </row>
    <row r="344" spans="1:25" s="149" customFormat="1" x14ac:dyDescent="0.25">
      <c r="A344" s="178">
        <v>43144</v>
      </c>
      <c r="B344" s="149" t="s">
        <v>70</v>
      </c>
      <c r="C344" s="149" t="s">
        <v>88</v>
      </c>
      <c r="D344" s="150">
        <v>38.0608</v>
      </c>
      <c r="E344" s="150">
        <v>-121.795</v>
      </c>
      <c r="F344" s="149" t="s">
        <v>7256</v>
      </c>
      <c r="G344" s="149" t="s">
        <v>27</v>
      </c>
      <c r="H344" s="149" t="s">
        <v>25</v>
      </c>
      <c r="I344" s="151">
        <v>0.36805555555555558</v>
      </c>
      <c r="J344" s="197" t="s">
        <v>50</v>
      </c>
      <c r="K344" s="197" t="s">
        <v>50</v>
      </c>
      <c r="L344" s="197" t="s">
        <v>50</v>
      </c>
      <c r="M344" s="197" t="s">
        <v>50</v>
      </c>
      <c r="N344" s="197" t="s">
        <v>50</v>
      </c>
      <c r="O344" s="149" t="s">
        <v>48</v>
      </c>
      <c r="P344" s="149">
        <v>0</v>
      </c>
      <c r="Q344" s="149" t="s">
        <v>50</v>
      </c>
      <c r="R344" s="149" t="s">
        <v>50</v>
      </c>
      <c r="S344" s="149" t="s">
        <v>50</v>
      </c>
      <c r="T344" s="149" t="s">
        <v>50</v>
      </c>
      <c r="U344" s="149" t="s">
        <v>50</v>
      </c>
      <c r="V344" s="149" t="s">
        <v>50</v>
      </c>
      <c r="W344" s="149" t="s">
        <v>50</v>
      </c>
      <c r="X344" s="149" t="s">
        <v>50</v>
      </c>
      <c r="Y344" s="152" t="s">
        <v>7257</v>
      </c>
    </row>
    <row r="345" spans="1:25" s="27" customFormat="1" x14ac:dyDescent="0.25">
      <c r="A345" s="26">
        <v>43144</v>
      </c>
      <c r="B345" s="27" t="s">
        <v>70</v>
      </c>
      <c r="C345" s="27" t="s">
        <v>78</v>
      </c>
      <c r="D345" s="89">
        <v>38.048909999999999</v>
      </c>
      <c r="E345" s="89">
        <v>-121.97101000000001</v>
      </c>
      <c r="F345" s="27" t="s">
        <v>7258</v>
      </c>
      <c r="G345" s="27" t="s">
        <v>27</v>
      </c>
      <c r="H345" s="27" t="s">
        <v>86</v>
      </c>
      <c r="I345" s="84">
        <v>0.3527777777777778</v>
      </c>
      <c r="J345" s="82">
        <v>4446</v>
      </c>
      <c r="K345" s="82">
        <v>11.86</v>
      </c>
      <c r="L345" s="82">
        <v>32.119999999999997</v>
      </c>
      <c r="M345" s="82">
        <v>0.40400000000000003</v>
      </c>
      <c r="N345" s="4">
        <v>4.4000000000000004</v>
      </c>
      <c r="O345" s="27" t="s">
        <v>48</v>
      </c>
      <c r="P345" s="27">
        <v>5</v>
      </c>
      <c r="Q345" s="27">
        <v>5</v>
      </c>
      <c r="R345" s="27" t="s">
        <v>49</v>
      </c>
      <c r="S345" s="27" t="s">
        <v>50</v>
      </c>
      <c r="T345" s="27" t="s">
        <v>50</v>
      </c>
      <c r="U345" s="27" t="s">
        <v>50</v>
      </c>
      <c r="V345" s="27" t="s">
        <v>50</v>
      </c>
      <c r="W345" s="27" t="s">
        <v>50</v>
      </c>
      <c r="X345" s="27" t="s">
        <v>50</v>
      </c>
      <c r="Y345" s="35"/>
    </row>
    <row r="346" spans="1:25" s="27" customFormat="1" x14ac:dyDescent="0.25">
      <c r="A346" s="26">
        <v>43144</v>
      </c>
      <c r="B346" s="27" t="s">
        <v>70</v>
      </c>
      <c r="C346" s="27" t="s">
        <v>78</v>
      </c>
      <c r="D346" s="89">
        <v>38.040120000000002</v>
      </c>
      <c r="E346" s="89">
        <v>-121.83448</v>
      </c>
      <c r="F346" s="27" t="s">
        <v>7259</v>
      </c>
      <c r="G346" s="27" t="s">
        <v>27</v>
      </c>
      <c r="H346" s="27" t="s">
        <v>101</v>
      </c>
      <c r="I346" s="84">
        <v>0.41250000000000003</v>
      </c>
      <c r="J346" s="82">
        <v>568.6</v>
      </c>
      <c r="K346" s="82">
        <v>11.84</v>
      </c>
      <c r="L346" s="82">
        <v>20.66</v>
      </c>
      <c r="M346" s="82">
        <v>0.56399999999999995</v>
      </c>
      <c r="N346" s="4">
        <v>6.34</v>
      </c>
      <c r="O346" s="27" t="s">
        <v>48</v>
      </c>
      <c r="P346" s="27">
        <v>5</v>
      </c>
      <c r="Q346" s="27">
        <v>5</v>
      </c>
      <c r="R346" s="27" t="s">
        <v>64</v>
      </c>
      <c r="S346" s="27" t="s">
        <v>50</v>
      </c>
      <c r="T346" s="27" t="s">
        <v>50</v>
      </c>
      <c r="U346" s="27" t="s">
        <v>50</v>
      </c>
      <c r="V346" s="27" t="s">
        <v>50</v>
      </c>
      <c r="W346" s="27" t="s">
        <v>50</v>
      </c>
      <c r="X346" s="27" t="s">
        <v>50</v>
      </c>
      <c r="Y346" s="35"/>
    </row>
    <row r="347" spans="1:25" s="27" customFormat="1" x14ac:dyDescent="0.25">
      <c r="A347" s="26">
        <v>43144</v>
      </c>
      <c r="B347" s="27" t="s">
        <v>70</v>
      </c>
      <c r="C347" s="27" t="s">
        <v>6879</v>
      </c>
      <c r="D347" s="89">
        <v>38.131880000000002</v>
      </c>
      <c r="E347" s="89">
        <v>-121.57332</v>
      </c>
      <c r="F347" s="27" t="s">
        <v>7260</v>
      </c>
      <c r="G347" s="27" t="s">
        <v>46</v>
      </c>
      <c r="H347" s="27" t="s">
        <v>6881</v>
      </c>
      <c r="I347" s="84">
        <v>0.31388888888888888</v>
      </c>
      <c r="J347" s="82">
        <v>154.2167</v>
      </c>
      <c r="K347" s="82">
        <v>11.98333</v>
      </c>
      <c r="L347" s="82">
        <v>10.966670000000001</v>
      </c>
      <c r="M347" s="82">
        <v>1.46</v>
      </c>
      <c r="N347" s="4">
        <v>5.2833329999999998</v>
      </c>
      <c r="O347" s="27" t="s">
        <v>48</v>
      </c>
      <c r="P347" s="27">
        <v>6</v>
      </c>
      <c r="Q347" s="27">
        <v>10</v>
      </c>
      <c r="R347" s="27" t="s">
        <v>49</v>
      </c>
      <c r="S347" s="27" t="s">
        <v>50</v>
      </c>
      <c r="T347" s="27" t="s">
        <v>50</v>
      </c>
      <c r="U347" s="27" t="s">
        <v>50</v>
      </c>
      <c r="V347" s="27" t="s">
        <v>50</v>
      </c>
      <c r="W347" s="27" t="s">
        <v>50</v>
      </c>
      <c r="X347" s="27" t="s">
        <v>50</v>
      </c>
      <c r="Y347" s="35"/>
    </row>
    <row r="348" spans="1:25" s="27" customFormat="1" x14ac:dyDescent="0.25">
      <c r="A348" s="26">
        <v>43144</v>
      </c>
      <c r="B348" s="27" t="s">
        <v>70</v>
      </c>
      <c r="C348" s="27" t="s">
        <v>6879</v>
      </c>
      <c r="D348" s="89">
        <v>38.087600000000002</v>
      </c>
      <c r="E348" s="89">
        <v>-121.56227</v>
      </c>
      <c r="F348" s="27" t="s">
        <v>7261</v>
      </c>
      <c r="G348" s="27" t="s">
        <v>46</v>
      </c>
      <c r="H348" s="27" t="s">
        <v>6881</v>
      </c>
      <c r="I348" s="84">
        <v>0.40902777777777777</v>
      </c>
      <c r="J348" s="82">
        <v>192.4</v>
      </c>
      <c r="K348" s="82">
        <v>12.08333</v>
      </c>
      <c r="L348" s="82">
        <v>9.3149999999999995</v>
      </c>
      <c r="M348" s="82">
        <v>1.611667</v>
      </c>
      <c r="N348" s="4">
        <v>7.85</v>
      </c>
      <c r="O348" s="27" t="s">
        <v>48</v>
      </c>
      <c r="P348" s="27">
        <v>6</v>
      </c>
      <c r="Q348" s="27">
        <v>10</v>
      </c>
      <c r="R348" s="27" t="s">
        <v>49</v>
      </c>
      <c r="S348" s="27" t="s">
        <v>50</v>
      </c>
      <c r="T348" s="27" t="s">
        <v>50</v>
      </c>
      <c r="U348" s="27" t="s">
        <v>50</v>
      </c>
      <c r="V348" s="27" t="s">
        <v>50</v>
      </c>
      <c r="W348" s="27" t="s">
        <v>50</v>
      </c>
      <c r="X348" s="27" t="s">
        <v>50</v>
      </c>
      <c r="Y348" s="35"/>
    </row>
    <row r="349" spans="1:25" s="149" customFormat="1" x14ac:dyDescent="0.25">
      <c r="A349" s="178">
        <v>43145</v>
      </c>
      <c r="B349" s="149" t="s">
        <v>87</v>
      </c>
      <c r="C349" s="149" t="s">
        <v>78</v>
      </c>
      <c r="D349" s="150">
        <v>38.048270000000002</v>
      </c>
      <c r="E349" s="150">
        <v>-122.09211000000001</v>
      </c>
      <c r="F349" s="149" t="s">
        <v>7262</v>
      </c>
      <c r="G349" s="149" t="s">
        <v>80</v>
      </c>
      <c r="H349" s="149" t="s">
        <v>81</v>
      </c>
      <c r="I349" s="151">
        <v>0.3347222222222222</v>
      </c>
      <c r="J349" s="197" t="s">
        <v>50</v>
      </c>
      <c r="K349" s="197" t="s">
        <v>50</v>
      </c>
      <c r="L349" s="197" t="s">
        <v>50</v>
      </c>
      <c r="M349" s="197" t="s">
        <v>50</v>
      </c>
      <c r="N349" s="197" t="s">
        <v>50</v>
      </c>
      <c r="O349" s="149" t="s">
        <v>48</v>
      </c>
      <c r="P349" s="149">
        <v>0</v>
      </c>
      <c r="Q349" s="149" t="s">
        <v>50</v>
      </c>
      <c r="R349" s="149" t="s">
        <v>50</v>
      </c>
      <c r="S349" s="149" t="s">
        <v>50</v>
      </c>
      <c r="T349" s="149" t="s">
        <v>50</v>
      </c>
      <c r="U349" s="149" t="s">
        <v>50</v>
      </c>
      <c r="V349" s="149" t="s">
        <v>50</v>
      </c>
      <c r="W349" s="149" t="s">
        <v>50</v>
      </c>
      <c r="X349" s="149" t="s">
        <v>50</v>
      </c>
      <c r="Y349" s="152" t="s">
        <v>7263</v>
      </c>
    </row>
    <row r="350" spans="1:25" s="27" customFormat="1" x14ac:dyDescent="0.25">
      <c r="A350" s="26">
        <v>43145</v>
      </c>
      <c r="B350" s="27" t="s">
        <v>87</v>
      </c>
      <c r="C350" s="27" t="s">
        <v>78</v>
      </c>
      <c r="D350" s="89">
        <v>38.0518</v>
      </c>
      <c r="E350" s="89">
        <v>-122.10975000000001</v>
      </c>
      <c r="F350" s="27" t="s">
        <v>7264</v>
      </c>
      <c r="G350" s="27" t="s">
        <v>80</v>
      </c>
      <c r="H350" s="27" t="s">
        <v>81</v>
      </c>
      <c r="I350" s="84">
        <v>0.3430555555555555</v>
      </c>
      <c r="J350" s="82">
        <v>8894</v>
      </c>
      <c r="K350" s="82">
        <v>11.819999999999999</v>
      </c>
      <c r="L350" s="82">
        <v>18.32</v>
      </c>
      <c r="M350" s="82">
        <v>0.48200000000000004</v>
      </c>
      <c r="N350" s="4">
        <v>9.379999999999999</v>
      </c>
      <c r="O350" s="27" t="s">
        <v>48</v>
      </c>
      <c r="P350" s="27">
        <v>5</v>
      </c>
      <c r="Q350" s="27">
        <v>5</v>
      </c>
      <c r="R350" s="27" t="s">
        <v>64</v>
      </c>
      <c r="S350" s="27" t="s">
        <v>50</v>
      </c>
      <c r="T350" s="27" t="s">
        <v>50</v>
      </c>
      <c r="U350" s="27" t="s">
        <v>50</v>
      </c>
      <c r="V350" s="27" t="s">
        <v>50</v>
      </c>
      <c r="W350" s="27" t="s">
        <v>50</v>
      </c>
      <c r="X350" s="27" t="s">
        <v>50</v>
      </c>
      <c r="Y350" s="35"/>
    </row>
    <row r="351" spans="1:25" s="27" customFormat="1" x14ac:dyDescent="0.25">
      <c r="A351" s="26">
        <v>43145</v>
      </c>
      <c r="B351" s="27" t="s">
        <v>87</v>
      </c>
      <c r="C351" s="27" t="s">
        <v>78</v>
      </c>
      <c r="D351" s="89">
        <v>38.062669999999997</v>
      </c>
      <c r="E351" s="89">
        <v>-121.97908</v>
      </c>
      <c r="F351" s="27" t="s">
        <v>7265</v>
      </c>
      <c r="G351" s="27" t="s">
        <v>27</v>
      </c>
      <c r="H351" s="27" t="s">
        <v>86</v>
      </c>
      <c r="I351" s="84">
        <v>0.40208333333333335</v>
      </c>
      <c r="J351" s="82">
        <v>2951.2</v>
      </c>
      <c r="K351" s="82">
        <v>11.959999999999999</v>
      </c>
      <c r="L351" s="82">
        <v>17.419999999999998</v>
      </c>
      <c r="M351" s="82">
        <v>0.49199999999999999</v>
      </c>
      <c r="N351" s="4">
        <v>6.4</v>
      </c>
      <c r="O351" s="27" t="s">
        <v>48</v>
      </c>
      <c r="P351" s="27">
        <v>5</v>
      </c>
      <c r="Q351" s="27">
        <v>5</v>
      </c>
      <c r="R351" s="27" t="s">
        <v>64</v>
      </c>
      <c r="S351" s="27" t="s">
        <v>50</v>
      </c>
      <c r="T351" s="27" t="s">
        <v>50</v>
      </c>
      <c r="U351" s="27" t="s">
        <v>50</v>
      </c>
      <c r="V351" s="27" t="s">
        <v>50</v>
      </c>
      <c r="W351" s="27" t="s">
        <v>50</v>
      </c>
      <c r="X351" s="27" t="s">
        <v>50</v>
      </c>
      <c r="Y351" s="35"/>
    </row>
    <row r="352" spans="1:25" s="27" customFormat="1" x14ac:dyDescent="0.25">
      <c r="A352" s="26">
        <v>43145</v>
      </c>
      <c r="B352" s="27" t="s">
        <v>87</v>
      </c>
      <c r="C352" s="27" t="s">
        <v>95</v>
      </c>
      <c r="D352" s="89">
        <v>38.104550000000003</v>
      </c>
      <c r="E352" s="89">
        <v>-121.59556000000001</v>
      </c>
      <c r="F352" s="27" t="s">
        <v>7266</v>
      </c>
      <c r="G352" s="27" t="s">
        <v>46</v>
      </c>
      <c r="H352" s="27" t="s">
        <v>115</v>
      </c>
      <c r="I352" s="84">
        <v>0.33263888888888887</v>
      </c>
      <c r="J352" s="82">
        <v>191.38</v>
      </c>
      <c r="K352" s="82">
        <v>12.040000000000001</v>
      </c>
      <c r="L352" s="82">
        <v>11.352</v>
      </c>
      <c r="M352" s="82">
        <v>1.4039999999999999</v>
      </c>
      <c r="N352" s="4">
        <v>7.1</v>
      </c>
      <c r="O352" s="27" t="s">
        <v>48</v>
      </c>
      <c r="P352" s="27">
        <v>5</v>
      </c>
      <c r="Q352" s="27">
        <v>5</v>
      </c>
      <c r="R352" s="27" t="s">
        <v>49</v>
      </c>
      <c r="S352" s="27" t="s">
        <v>50</v>
      </c>
      <c r="T352" s="27" t="s">
        <v>50</v>
      </c>
      <c r="U352" s="27" t="s">
        <v>50</v>
      </c>
      <c r="V352" s="27" t="s">
        <v>50</v>
      </c>
      <c r="W352" s="27" t="s">
        <v>50</v>
      </c>
      <c r="X352" s="27" t="s">
        <v>50</v>
      </c>
      <c r="Y352" s="35"/>
    </row>
    <row r="353" spans="1:25" s="27" customFormat="1" x14ac:dyDescent="0.25">
      <c r="A353" s="26">
        <v>43145</v>
      </c>
      <c r="B353" s="27" t="s">
        <v>87</v>
      </c>
      <c r="C353" s="27" t="s">
        <v>95</v>
      </c>
      <c r="D353" s="89">
        <v>38.06297</v>
      </c>
      <c r="E353" s="89">
        <v>-121.67883999999999</v>
      </c>
      <c r="F353" s="27" t="s">
        <v>7267</v>
      </c>
      <c r="G353" s="27" t="s">
        <v>46</v>
      </c>
      <c r="H353" s="27" t="s">
        <v>908</v>
      </c>
      <c r="I353" s="84">
        <v>0.37916666666666665</v>
      </c>
      <c r="J353" s="82">
        <v>228.85999999999999</v>
      </c>
      <c r="K353" s="82">
        <v>11.92</v>
      </c>
      <c r="L353" s="82">
        <v>13.919999999999998</v>
      </c>
      <c r="M353" s="82">
        <v>1.22</v>
      </c>
      <c r="N353" s="4">
        <v>10.959999999999999</v>
      </c>
      <c r="O353" s="27" t="s">
        <v>48</v>
      </c>
      <c r="P353" s="27">
        <v>5</v>
      </c>
      <c r="Q353" s="27">
        <v>5</v>
      </c>
      <c r="R353" s="27" t="s">
        <v>49</v>
      </c>
      <c r="S353" s="27" t="s">
        <v>50</v>
      </c>
      <c r="T353" s="27" t="s">
        <v>50</v>
      </c>
      <c r="U353" s="27" t="s">
        <v>50</v>
      </c>
      <c r="V353" s="27" t="s">
        <v>50</v>
      </c>
      <c r="W353" s="27" t="s">
        <v>50</v>
      </c>
      <c r="X353" s="27" t="s">
        <v>50</v>
      </c>
      <c r="Y353" s="35"/>
    </row>
    <row r="354" spans="1:25" s="27" customFormat="1" x14ac:dyDescent="0.25">
      <c r="A354" s="26">
        <v>43145</v>
      </c>
      <c r="B354" s="27" t="s">
        <v>87</v>
      </c>
      <c r="C354" s="27" t="s">
        <v>95</v>
      </c>
      <c r="D354" s="89">
        <v>38.029940000000003</v>
      </c>
      <c r="E354" s="89">
        <v>-121.72572</v>
      </c>
      <c r="F354" s="27" t="s">
        <v>7268</v>
      </c>
      <c r="G354" s="27" t="s">
        <v>27</v>
      </c>
      <c r="H354" s="27" t="s">
        <v>863</v>
      </c>
      <c r="I354" s="84">
        <v>0.42291666666666666</v>
      </c>
      <c r="J354" s="82">
        <v>256.04000000000002</v>
      </c>
      <c r="K354" s="82">
        <v>11.94</v>
      </c>
      <c r="L354" s="82">
        <v>11.66</v>
      </c>
      <c r="M354" s="82">
        <v>1.3339999999999999</v>
      </c>
      <c r="N354" s="4">
        <v>10.16</v>
      </c>
      <c r="O354" s="27" t="s">
        <v>48</v>
      </c>
      <c r="P354" s="27">
        <v>5</v>
      </c>
      <c r="Q354" s="27">
        <v>5</v>
      </c>
      <c r="R354" s="27" t="s">
        <v>49</v>
      </c>
      <c r="S354" s="27" t="s">
        <v>50</v>
      </c>
      <c r="T354" s="27" t="s">
        <v>50</v>
      </c>
      <c r="U354" s="27" t="s">
        <v>50</v>
      </c>
      <c r="V354" s="27" t="s">
        <v>50</v>
      </c>
      <c r="W354" s="27" t="s">
        <v>50</v>
      </c>
      <c r="X354" s="27" t="s">
        <v>50</v>
      </c>
      <c r="Y354" s="35"/>
    </row>
    <row r="355" spans="1:25" s="149" customFormat="1" x14ac:dyDescent="0.25">
      <c r="A355" s="178">
        <v>43145</v>
      </c>
      <c r="B355" s="149" t="s">
        <v>87</v>
      </c>
      <c r="C355" s="149" t="s">
        <v>845</v>
      </c>
      <c r="D355" s="150">
        <v>38.29824</v>
      </c>
      <c r="E355" s="150">
        <v>-121.72973</v>
      </c>
      <c r="F355" s="149" t="s">
        <v>7269</v>
      </c>
      <c r="G355" s="149" t="s">
        <v>90</v>
      </c>
      <c r="H355" s="149" t="s">
        <v>126</v>
      </c>
      <c r="I355" s="151">
        <v>0.37152777777777773</v>
      </c>
      <c r="J355" s="197" t="s">
        <v>50</v>
      </c>
      <c r="K355" s="197" t="s">
        <v>50</v>
      </c>
      <c r="L355" s="197" t="s">
        <v>50</v>
      </c>
      <c r="M355" s="197" t="s">
        <v>50</v>
      </c>
      <c r="N355" s="197" t="s">
        <v>50</v>
      </c>
      <c r="O355" s="149" t="s">
        <v>48</v>
      </c>
      <c r="P355" s="149">
        <v>0</v>
      </c>
      <c r="Q355" s="149" t="s">
        <v>50</v>
      </c>
      <c r="R355" s="149" t="s">
        <v>50</v>
      </c>
      <c r="S355" s="149" t="s">
        <v>50</v>
      </c>
      <c r="T355" s="149" t="s">
        <v>50</v>
      </c>
      <c r="U355" s="149" t="s">
        <v>50</v>
      </c>
      <c r="V355" s="149" t="s">
        <v>50</v>
      </c>
      <c r="W355" s="149" t="s">
        <v>50</v>
      </c>
      <c r="X355" s="149" t="s">
        <v>50</v>
      </c>
      <c r="Y355" s="152" t="s">
        <v>7270</v>
      </c>
    </row>
    <row r="356" spans="1:25" s="149" customFormat="1" x14ac:dyDescent="0.25">
      <c r="A356" s="178">
        <v>43145</v>
      </c>
      <c r="B356" s="149" t="s">
        <v>87</v>
      </c>
      <c r="C356" s="149" t="s">
        <v>845</v>
      </c>
      <c r="D356" s="150">
        <v>38.286859999999997</v>
      </c>
      <c r="E356" s="150">
        <v>-121.72235000000001</v>
      </c>
      <c r="F356" s="149" t="s">
        <v>7271</v>
      </c>
      <c r="G356" s="149" t="s">
        <v>90</v>
      </c>
      <c r="H356" s="149" t="s">
        <v>126</v>
      </c>
      <c r="I356" s="151">
        <v>0.37291666666666662</v>
      </c>
      <c r="J356" s="197" t="s">
        <v>50</v>
      </c>
      <c r="K356" s="197" t="s">
        <v>50</v>
      </c>
      <c r="L356" s="197" t="s">
        <v>50</v>
      </c>
      <c r="M356" s="197" t="s">
        <v>50</v>
      </c>
      <c r="N356" s="197" t="s">
        <v>50</v>
      </c>
      <c r="O356" s="149" t="s">
        <v>48</v>
      </c>
      <c r="P356" s="149">
        <v>0</v>
      </c>
      <c r="Q356" s="149" t="s">
        <v>50</v>
      </c>
      <c r="R356" s="149" t="s">
        <v>50</v>
      </c>
      <c r="S356" s="149" t="s">
        <v>50</v>
      </c>
      <c r="T356" s="149" t="s">
        <v>50</v>
      </c>
      <c r="U356" s="149" t="s">
        <v>50</v>
      </c>
      <c r="V356" s="149" t="s">
        <v>50</v>
      </c>
      <c r="W356" s="149" t="s">
        <v>50</v>
      </c>
      <c r="X356" s="149" t="s">
        <v>50</v>
      </c>
      <c r="Y356" s="152" t="s">
        <v>7270</v>
      </c>
    </row>
    <row r="357" spans="1:25" s="149" customFormat="1" x14ac:dyDescent="0.25">
      <c r="A357" s="178">
        <v>43145</v>
      </c>
      <c r="B357" s="149" t="s">
        <v>87</v>
      </c>
      <c r="C357" s="149" t="s">
        <v>845</v>
      </c>
      <c r="D357" s="150">
        <v>38.238239999999998</v>
      </c>
      <c r="E357" s="150">
        <v>-121.6818</v>
      </c>
      <c r="F357" s="149" t="s">
        <v>7272</v>
      </c>
      <c r="G357" s="149" t="s">
        <v>90</v>
      </c>
      <c r="H357" s="149" t="s">
        <v>126</v>
      </c>
      <c r="I357" s="151">
        <v>0.38055555555555554</v>
      </c>
      <c r="J357" s="197" t="s">
        <v>50</v>
      </c>
      <c r="K357" s="197" t="s">
        <v>50</v>
      </c>
      <c r="L357" s="197" t="s">
        <v>50</v>
      </c>
      <c r="M357" s="197" t="s">
        <v>50</v>
      </c>
      <c r="N357" s="197" t="s">
        <v>50</v>
      </c>
      <c r="O357" s="149" t="s">
        <v>48</v>
      </c>
      <c r="P357" s="149">
        <v>0</v>
      </c>
      <c r="Q357" s="149" t="s">
        <v>50</v>
      </c>
      <c r="R357" s="149" t="s">
        <v>50</v>
      </c>
      <c r="S357" s="149" t="s">
        <v>50</v>
      </c>
      <c r="T357" s="149" t="s">
        <v>50</v>
      </c>
      <c r="U357" s="149" t="s">
        <v>50</v>
      </c>
      <c r="V357" s="149" t="s">
        <v>50</v>
      </c>
      <c r="W357" s="149" t="s">
        <v>50</v>
      </c>
      <c r="X357" s="149" t="s">
        <v>50</v>
      </c>
      <c r="Y357" s="152" t="s">
        <v>7273</v>
      </c>
    </row>
    <row r="358" spans="1:25" s="27" customFormat="1" x14ac:dyDescent="0.25">
      <c r="A358" s="26">
        <v>43145</v>
      </c>
      <c r="B358" s="27" t="s">
        <v>87</v>
      </c>
      <c r="C358" s="27" t="s">
        <v>845</v>
      </c>
      <c r="D358" s="89">
        <v>38.255499999999998</v>
      </c>
      <c r="E358" s="89">
        <v>-121.67152</v>
      </c>
      <c r="F358" s="27" t="s">
        <v>7274</v>
      </c>
      <c r="G358" s="27" t="s">
        <v>90</v>
      </c>
      <c r="H358" s="27" t="s">
        <v>126</v>
      </c>
      <c r="I358" s="84">
        <v>0.39027777777777778</v>
      </c>
      <c r="J358" s="82">
        <v>244.7</v>
      </c>
      <c r="K358" s="82">
        <v>11.320000000000002</v>
      </c>
      <c r="L358" s="82">
        <v>15.1</v>
      </c>
      <c r="M358" s="82">
        <v>0.95</v>
      </c>
      <c r="N358" s="4">
        <v>8.9</v>
      </c>
      <c r="O358" s="27" t="s">
        <v>48</v>
      </c>
      <c r="P358" s="27">
        <v>5</v>
      </c>
      <c r="Q358" s="27">
        <v>5</v>
      </c>
      <c r="R358" s="27" t="s">
        <v>49</v>
      </c>
      <c r="S358" s="27" t="s">
        <v>50</v>
      </c>
      <c r="T358" s="27" t="s">
        <v>50</v>
      </c>
      <c r="U358" s="27" t="s">
        <v>50</v>
      </c>
      <c r="V358" s="27" t="s">
        <v>50</v>
      </c>
      <c r="W358" s="27" t="s">
        <v>50</v>
      </c>
      <c r="X358" s="27" t="s">
        <v>50</v>
      </c>
      <c r="Y358" s="35"/>
    </row>
    <row r="359" spans="1:25" s="27" customFormat="1" x14ac:dyDescent="0.25">
      <c r="A359" s="26">
        <v>43145</v>
      </c>
      <c r="B359" s="27" t="s">
        <v>87</v>
      </c>
      <c r="C359" s="27" t="s">
        <v>845</v>
      </c>
      <c r="D359" s="89">
        <v>38.250999999999998</v>
      </c>
      <c r="E359" s="89">
        <v>-121.71895000000001</v>
      </c>
      <c r="F359" s="27" t="s">
        <v>7275</v>
      </c>
      <c r="G359" s="27" t="s">
        <v>90</v>
      </c>
      <c r="H359" s="27" t="s">
        <v>126</v>
      </c>
      <c r="I359" s="84">
        <v>0.43472222222222223</v>
      </c>
      <c r="J359" s="82">
        <v>204.92</v>
      </c>
      <c r="K359" s="82">
        <v>11.479999999999999</v>
      </c>
      <c r="L359" s="82">
        <v>5.7380000000000013</v>
      </c>
      <c r="M359" s="82">
        <v>1.778</v>
      </c>
      <c r="N359" s="4">
        <v>4.4599999999999991</v>
      </c>
      <c r="O359" s="27" t="s">
        <v>48</v>
      </c>
      <c r="P359" s="27">
        <v>5</v>
      </c>
      <c r="Q359" s="27">
        <v>5</v>
      </c>
      <c r="R359" s="27" t="s">
        <v>49</v>
      </c>
      <c r="S359" s="27" t="s">
        <v>50</v>
      </c>
      <c r="T359" s="27" t="s">
        <v>50</v>
      </c>
      <c r="U359" s="27" t="s">
        <v>50</v>
      </c>
      <c r="V359" s="27" t="s">
        <v>50</v>
      </c>
      <c r="W359" s="27" t="s">
        <v>50</v>
      </c>
      <c r="X359" s="27" t="s">
        <v>50</v>
      </c>
      <c r="Y359" s="35"/>
    </row>
    <row r="360" spans="1:25" s="27" customFormat="1" x14ac:dyDescent="0.25">
      <c r="A360" s="26">
        <v>43145</v>
      </c>
      <c r="B360" s="27" t="s">
        <v>87</v>
      </c>
      <c r="C360" s="27" t="s">
        <v>88</v>
      </c>
      <c r="D360" s="89">
        <v>38.091209999999997</v>
      </c>
      <c r="E360" s="89">
        <v>-121.74182</v>
      </c>
      <c r="F360" s="631" t="s">
        <v>7276</v>
      </c>
      <c r="G360" s="27" t="s">
        <v>90</v>
      </c>
      <c r="H360" s="27" t="s">
        <v>91</v>
      </c>
      <c r="I360" s="84">
        <v>0.31527777777777777</v>
      </c>
      <c r="J360" s="82">
        <v>165.125</v>
      </c>
      <c r="K360" s="82">
        <v>12.075000000000001</v>
      </c>
      <c r="L360" s="82">
        <v>15.95</v>
      </c>
      <c r="M360" s="82">
        <v>0.8274999999999999</v>
      </c>
      <c r="N360" s="4">
        <v>8.5250000000000004</v>
      </c>
      <c r="O360" s="27" t="s">
        <v>48</v>
      </c>
      <c r="P360" s="27">
        <v>4</v>
      </c>
      <c r="Q360" s="27">
        <v>5</v>
      </c>
      <c r="R360" s="27" t="s">
        <v>49</v>
      </c>
      <c r="S360" s="27" t="s">
        <v>323</v>
      </c>
      <c r="T360" s="27">
        <v>1</v>
      </c>
      <c r="U360" s="27">
        <v>64</v>
      </c>
      <c r="V360" s="27" t="s">
        <v>66</v>
      </c>
      <c r="W360" s="27" t="s">
        <v>50</v>
      </c>
      <c r="X360" s="27" t="s">
        <v>50</v>
      </c>
      <c r="Y360" s="35"/>
    </row>
    <row r="361" spans="1:25" s="27" customFormat="1" x14ac:dyDescent="0.25">
      <c r="A361" s="26">
        <v>43146</v>
      </c>
      <c r="B361" s="27" t="s">
        <v>105</v>
      </c>
      <c r="C361" s="27" t="s">
        <v>95</v>
      </c>
      <c r="D361" s="89">
        <v>38.053690000000003</v>
      </c>
      <c r="E361" s="89">
        <v>-121.53469</v>
      </c>
      <c r="F361" s="27" t="s">
        <v>7277</v>
      </c>
      <c r="G361" s="27" t="s">
        <v>46</v>
      </c>
      <c r="H361" s="27" t="s">
        <v>115</v>
      </c>
      <c r="I361" s="84">
        <v>0.30694444444444441</v>
      </c>
      <c r="J361" s="82">
        <v>208.26</v>
      </c>
      <c r="K361" s="82">
        <v>11.9</v>
      </c>
      <c r="L361" s="82">
        <v>11.34</v>
      </c>
      <c r="M361" s="82">
        <v>1.3480000000000001</v>
      </c>
      <c r="N361" s="4">
        <v>11.88</v>
      </c>
      <c r="O361" s="27" t="s">
        <v>48</v>
      </c>
      <c r="P361" s="27">
        <v>5</v>
      </c>
      <c r="Q361" s="27">
        <v>5</v>
      </c>
      <c r="R361" s="27" t="s">
        <v>49</v>
      </c>
      <c r="S361" s="27" t="s">
        <v>50</v>
      </c>
      <c r="T361" s="27" t="s">
        <v>50</v>
      </c>
      <c r="U361" s="27" t="s">
        <v>50</v>
      </c>
      <c r="V361" s="27" t="s">
        <v>50</v>
      </c>
      <c r="W361" s="27" t="s">
        <v>50</v>
      </c>
      <c r="X361" s="27" t="s">
        <v>50</v>
      </c>
      <c r="Y361" s="35" t="s">
        <v>7278</v>
      </c>
    </row>
    <row r="362" spans="1:25" s="27" customFormat="1" x14ac:dyDescent="0.25">
      <c r="A362" s="26">
        <v>43146</v>
      </c>
      <c r="B362" s="27" t="s">
        <v>105</v>
      </c>
      <c r="C362" s="27" t="s">
        <v>95</v>
      </c>
      <c r="D362" s="89">
        <v>38.036619999999999</v>
      </c>
      <c r="E362" s="89">
        <v>-121.70818</v>
      </c>
      <c r="F362" s="27" t="s">
        <v>7279</v>
      </c>
      <c r="G362" s="27" t="s">
        <v>27</v>
      </c>
      <c r="H362" s="27" t="s">
        <v>863</v>
      </c>
      <c r="I362" s="84">
        <v>0.3576388888888889</v>
      </c>
      <c r="J362" s="82">
        <v>234.78</v>
      </c>
      <c r="K362" s="82">
        <v>11.7</v>
      </c>
      <c r="L362" s="82">
        <v>18.3</v>
      </c>
      <c r="M362" s="82">
        <v>1.18</v>
      </c>
      <c r="N362" s="4">
        <v>6.74</v>
      </c>
      <c r="O362" s="27" t="s">
        <v>48</v>
      </c>
      <c r="P362" s="27">
        <v>5</v>
      </c>
      <c r="Q362" s="27">
        <v>5</v>
      </c>
      <c r="R362" s="27" t="s">
        <v>49</v>
      </c>
      <c r="S362" s="27" t="s">
        <v>50</v>
      </c>
      <c r="T362" s="27" t="s">
        <v>50</v>
      </c>
      <c r="U362" s="27" t="s">
        <v>50</v>
      </c>
      <c r="V362" s="27" t="s">
        <v>50</v>
      </c>
      <c r="W362" s="27" t="s">
        <v>50</v>
      </c>
      <c r="X362" s="27" t="s">
        <v>50</v>
      </c>
      <c r="Y362" s="35"/>
    </row>
    <row r="363" spans="1:25" s="27" customFormat="1" x14ac:dyDescent="0.25">
      <c r="A363" s="26">
        <v>43146</v>
      </c>
      <c r="B363" s="27" t="s">
        <v>105</v>
      </c>
      <c r="C363" s="27" t="s">
        <v>95</v>
      </c>
      <c r="D363" s="89">
        <v>38.103870000000001</v>
      </c>
      <c r="E363" s="89">
        <v>-121.60003</v>
      </c>
      <c r="F363" s="27" t="s">
        <v>7280</v>
      </c>
      <c r="G363" s="27" t="s">
        <v>46</v>
      </c>
      <c r="H363" s="27" t="s">
        <v>115</v>
      </c>
      <c r="I363" s="84">
        <v>0.41111111111111115</v>
      </c>
      <c r="J363" s="82">
        <v>186.28</v>
      </c>
      <c r="K363" s="82">
        <v>11.84</v>
      </c>
      <c r="L363" s="82">
        <v>15.46</v>
      </c>
      <c r="M363" s="82">
        <v>1.3620000000000001</v>
      </c>
      <c r="N363" s="4">
        <v>7.64</v>
      </c>
      <c r="O363" s="27" t="s">
        <v>48</v>
      </c>
      <c r="P363" s="27">
        <v>5</v>
      </c>
      <c r="Q363" s="27">
        <v>5</v>
      </c>
      <c r="R363" s="27" t="s">
        <v>49</v>
      </c>
      <c r="S363" s="27" t="s">
        <v>50</v>
      </c>
      <c r="T363" s="27" t="s">
        <v>50</v>
      </c>
      <c r="U363" s="27" t="s">
        <v>50</v>
      </c>
      <c r="V363" s="27" t="s">
        <v>50</v>
      </c>
      <c r="W363" s="27" t="s">
        <v>50</v>
      </c>
      <c r="X363" s="27" t="s">
        <v>50</v>
      </c>
      <c r="Y363" s="35"/>
    </row>
    <row r="364" spans="1:25" s="27" customFormat="1" x14ac:dyDescent="0.25">
      <c r="A364" s="26">
        <v>43146</v>
      </c>
      <c r="B364" s="27" t="s">
        <v>105</v>
      </c>
      <c r="C364" s="27" t="s">
        <v>106</v>
      </c>
      <c r="D364" s="89">
        <v>38.251649999999998</v>
      </c>
      <c r="E364" s="89">
        <v>-121.66843</v>
      </c>
      <c r="F364" s="27" t="s">
        <v>7281</v>
      </c>
      <c r="G364" s="27" t="s">
        <v>90</v>
      </c>
      <c r="H364" s="27" t="s">
        <v>362</v>
      </c>
      <c r="I364" s="84">
        <v>0.32291666666666669</v>
      </c>
      <c r="J364" s="82">
        <v>181.32</v>
      </c>
      <c r="K364" s="82">
        <v>11.5</v>
      </c>
      <c r="L364" s="82">
        <v>9.282</v>
      </c>
      <c r="M364" s="82">
        <v>0.85399999999999998</v>
      </c>
      <c r="N364" s="4">
        <v>10.88</v>
      </c>
      <c r="O364" s="27" t="s">
        <v>48</v>
      </c>
      <c r="P364" s="27">
        <v>5</v>
      </c>
      <c r="Q364" s="27">
        <v>5</v>
      </c>
      <c r="R364" s="27" t="s">
        <v>49</v>
      </c>
      <c r="S364" s="27" t="s">
        <v>50</v>
      </c>
      <c r="T364" s="27" t="s">
        <v>50</v>
      </c>
      <c r="U364" s="27" t="s">
        <v>50</v>
      </c>
      <c r="V364" s="27" t="s">
        <v>50</v>
      </c>
      <c r="W364" s="27" t="s">
        <v>50</v>
      </c>
      <c r="X364" s="27" t="s">
        <v>50</v>
      </c>
      <c r="Y364" s="35"/>
    </row>
    <row r="365" spans="1:25" s="27" customFormat="1" x14ac:dyDescent="0.25">
      <c r="A365" s="26">
        <v>43146</v>
      </c>
      <c r="B365" s="27" t="s">
        <v>105</v>
      </c>
      <c r="C365" s="27" t="s">
        <v>106</v>
      </c>
      <c r="D365" s="89">
        <v>38.328650000000003</v>
      </c>
      <c r="E365" s="89">
        <v>-121.64870999999999</v>
      </c>
      <c r="F365" s="27" t="s">
        <v>7282</v>
      </c>
      <c r="G365" s="27" t="s">
        <v>90</v>
      </c>
      <c r="H365" s="27" t="s">
        <v>362</v>
      </c>
      <c r="I365" s="84">
        <v>0.37291666666666662</v>
      </c>
      <c r="J365" s="82">
        <v>266.44</v>
      </c>
      <c r="K365" s="82">
        <v>11.4</v>
      </c>
      <c r="L365" s="82">
        <v>31.1</v>
      </c>
      <c r="M365" s="82">
        <v>0.35199999999999998</v>
      </c>
      <c r="N365" s="4">
        <v>10.56</v>
      </c>
      <c r="O365" s="27" t="s">
        <v>48</v>
      </c>
      <c r="P365" s="27">
        <v>5</v>
      </c>
      <c r="Q365" s="27">
        <v>5</v>
      </c>
      <c r="R365" s="27" t="s">
        <v>49</v>
      </c>
      <c r="S365" s="27" t="s">
        <v>50</v>
      </c>
      <c r="T365" s="27" t="s">
        <v>50</v>
      </c>
      <c r="U365" s="27" t="s">
        <v>50</v>
      </c>
      <c r="V365" s="27" t="s">
        <v>50</v>
      </c>
      <c r="W365" s="27" t="s">
        <v>50</v>
      </c>
      <c r="X365" s="27" t="s">
        <v>50</v>
      </c>
      <c r="Y365" s="35"/>
    </row>
    <row r="366" spans="1:25" s="27" customFormat="1" x14ac:dyDescent="0.25">
      <c r="A366" s="26">
        <v>43146</v>
      </c>
      <c r="B366" s="27" t="s">
        <v>105</v>
      </c>
      <c r="C366" s="27" t="s">
        <v>106</v>
      </c>
      <c r="D366" s="89">
        <v>38.560989999999997</v>
      </c>
      <c r="E366" s="89">
        <v>-121.5528</v>
      </c>
      <c r="F366" s="27" t="s">
        <v>7283</v>
      </c>
      <c r="G366" s="27" t="s">
        <v>90</v>
      </c>
      <c r="H366" s="27" t="s">
        <v>1787</v>
      </c>
      <c r="I366" s="84">
        <v>0.45</v>
      </c>
      <c r="J366" s="82">
        <v>683</v>
      </c>
      <c r="K366" s="82">
        <v>11.6</v>
      </c>
      <c r="L366" s="82">
        <v>5.5350000000000001</v>
      </c>
      <c r="M366" s="82">
        <v>1.6</v>
      </c>
      <c r="N366" s="4">
        <v>10.725</v>
      </c>
      <c r="O366" s="27" t="s">
        <v>48</v>
      </c>
      <c r="P366" s="27">
        <v>4</v>
      </c>
      <c r="Q366" s="27">
        <v>5</v>
      </c>
      <c r="R366" s="27" t="s">
        <v>64</v>
      </c>
      <c r="S366" s="27" t="s">
        <v>50</v>
      </c>
      <c r="T366" s="27" t="s">
        <v>50</v>
      </c>
      <c r="U366" s="27" t="s">
        <v>50</v>
      </c>
      <c r="V366" s="27" t="s">
        <v>50</v>
      </c>
      <c r="W366" s="27" t="s">
        <v>50</v>
      </c>
      <c r="X366" s="27" t="s">
        <v>50</v>
      </c>
      <c r="Y366" s="35" t="s">
        <v>7284</v>
      </c>
    </row>
    <row r="367" spans="1:25" s="27" customFormat="1" x14ac:dyDescent="0.25">
      <c r="A367" s="26">
        <v>43146</v>
      </c>
      <c r="B367" s="27" t="s">
        <v>105</v>
      </c>
      <c r="C367" s="27" t="s">
        <v>62</v>
      </c>
      <c r="D367" s="89">
        <v>38.112609999999997</v>
      </c>
      <c r="E367" s="89">
        <v>-121.89068</v>
      </c>
      <c r="F367" s="27" t="s">
        <v>7285</v>
      </c>
      <c r="G367" s="27" t="s">
        <v>27</v>
      </c>
      <c r="H367" s="27" t="s">
        <v>62</v>
      </c>
      <c r="I367" s="84">
        <v>0.34722222222222227</v>
      </c>
      <c r="J367" s="82">
        <v>1076.2</v>
      </c>
      <c r="K367" s="82">
        <v>11.52</v>
      </c>
      <c r="L367" s="82">
        <v>42.2</v>
      </c>
      <c r="M367" s="82">
        <v>0.33</v>
      </c>
      <c r="N367" s="4">
        <v>3.76</v>
      </c>
      <c r="O367" s="27" t="s">
        <v>48</v>
      </c>
      <c r="P367" s="27">
        <v>5</v>
      </c>
      <c r="Q367" s="27">
        <v>5</v>
      </c>
      <c r="R367" s="27" t="s">
        <v>49</v>
      </c>
      <c r="S367" s="27" t="s">
        <v>50</v>
      </c>
      <c r="T367" s="27" t="s">
        <v>50</v>
      </c>
      <c r="U367" s="27" t="s">
        <v>50</v>
      </c>
      <c r="V367" s="27" t="s">
        <v>50</v>
      </c>
      <c r="W367" s="27" t="s">
        <v>50</v>
      </c>
      <c r="X367" s="27" t="s">
        <v>50</v>
      </c>
      <c r="Y367" s="35"/>
    </row>
    <row r="368" spans="1:25" s="108" customFormat="1" ht="15.75" thickBot="1" x14ac:dyDescent="0.3">
      <c r="A368" s="126">
        <v>43146</v>
      </c>
      <c r="B368" s="108" t="s">
        <v>105</v>
      </c>
      <c r="C368" s="108" t="s">
        <v>62</v>
      </c>
      <c r="D368" s="109">
        <v>38.126959999999997</v>
      </c>
      <c r="E368" s="109">
        <v>-122.08268</v>
      </c>
      <c r="F368" s="108" t="s">
        <v>7286</v>
      </c>
      <c r="G368" s="108" t="s">
        <v>27</v>
      </c>
      <c r="H368" s="108" t="s">
        <v>62</v>
      </c>
      <c r="I368" s="110">
        <v>0.4284722222222222</v>
      </c>
      <c r="J368" s="111">
        <v>6305.6</v>
      </c>
      <c r="K368" s="111">
        <v>11.28</v>
      </c>
      <c r="L368" s="111">
        <v>112.4</v>
      </c>
      <c r="M368" s="111">
        <v>0.182</v>
      </c>
      <c r="N368" s="112">
        <v>3.68</v>
      </c>
      <c r="O368" s="108" t="s">
        <v>48</v>
      </c>
      <c r="P368" s="108">
        <v>5</v>
      </c>
      <c r="Q368" s="108">
        <v>5</v>
      </c>
      <c r="R368" s="108" t="s">
        <v>64</v>
      </c>
      <c r="S368" s="108" t="s">
        <v>31</v>
      </c>
      <c r="T368" s="108">
        <v>5</v>
      </c>
      <c r="U368" s="108" t="s">
        <v>7287</v>
      </c>
      <c r="V368" s="108" t="s">
        <v>66</v>
      </c>
      <c r="W368" s="108" t="s">
        <v>50</v>
      </c>
      <c r="X368" s="108" t="s">
        <v>50</v>
      </c>
      <c r="Y368" s="113"/>
    </row>
    <row r="369" spans="1:25" s="27" customFormat="1" ht="15.75" thickTop="1" x14ac:dyDescent="0.25">
      <c r="A369" s="194">
        <v>43151</v>
      </c>
      <c r="B369" s="27" t="s">
        <v>70</v>
      </c>
      <c r="C369" s="27" t="s">
        <v>88</v>
      </c>
      <c r="D369" s="89">
        <v>38.11448</v>
      </c>
      <c r="E369" s="89">
        <v>-121.68227</v>
      </c>
      <c r="F369" s="27" t="s">
        <v>7288</v>
      </c>
      <c r="G369" s="27" t="s">
        <v>90</v>
      </c>
      <c r="H369" s="27" t="s">
        <v>91</v>
      </c>
      <c r="I369" s="84">
        <v>0.3263888888888889</v>
      </c>
      <c r="J369" s="82">
        <v>173.88</v>
      </c>
      <c r="K369" s="82">
        <v>11.02</v>
      </c>
      <c r="L369" s="82">
        <v>9.0860000000000003</v>
      </c>
      <c r="M369" s="82">
        <v>1.3720000000000001</v>
      </c>
      <c r="N369" s="4">
        <v>10.42</v>
      </c>
      <c r="O369" s="27" t="s">
        <v>48</v>
      </c>
      <c r="P369" s="27">
        <v>5</v>
      </c>
      <c r="Q369" s="27">
        <v>5</v>
      </c>
      <c r="R369" s="27" t="s">
        <v>49</v>
      </c>
      <c r="S369" s="27" t="s">
        <v>50</v>
      </c>
      <c r="T369" s="27" t="s">
        <v>50</v>
      </c>
      <c r="U369" s="27" t="s">
        <v>50</v>
      </c>
      <c r="V369" s="27" t="s">
        <v>50</v>
      </c>
      <c r="W369" s="27" t="s">
        <v>50</v>
      </c>
      <c r="X369" s="27" t="s">
        <v>50</v>
      </c>
      <c r="Y369" s="35"/>
    </row>
    <row r="370" spans="1:25" s="27" customFormat="1" x14ac:dyDescent="0.25">
      <c r="A370" s="194">
        <v>43151</v>
      </c>
      <c r="B370" s="27" t="s">
        <v>70</v>
      </c>
      <c r="C370" s="27" t="s">
        <v>88</v>
      </c>
      <c r="D370" s="89">
        <v>38.061810000000001</v>
      </c>
      <c r="E370" s="89">
        <v>-121.80235</v>
      </c>
      <c r="F370" s="27" t="s">
        <v>7289</v>
      </c>
      <c r="G370" s="27" t="s">
        <v>27</v>
      </c>
      <c r="H370" s="27" t="s">
        <v>25</v>
      </c>
      <c r="I370" s="84">
        <v>0.38263888888888892</v>
      </c>
      <c r="J370" s="82">
        <v>360.92</v>
      </c>
      <c r="K370" s="82">
        <v>11.2</v>
      </c>
      <c r="L370" s="82">
        <v>29.26</v>
      </c>
      <c r="M370" s="82">
        <v>0.51400000000000001</v>
      </c>
      <c r="N370" s="4">
        <v>10.86</v>
      </c>
      <c r="O370" s="27" t="s">
        <v>48</v>
      </c>
      <c r="P370" s="27">
        <v>5</v>
      </c>
      <c r="Q370" s="27">
        <v>5</v>
      </c>
      <c r="R370" s="27" t="s">
        <v>49</v>
      </c>
      <c r="S370" s="27" t="s">
        <v>323</v>
      </c>
      <c r="T370" s="27">
        <v>1</v>
      </c>
      <c r="U370" s="27">
        <v>63</v>
      </c>
      <c r="V370" s="27" t="s">
        <v>66</v>
      </c>
      <c r="W370" s="27" t="s">
        <v>50</v>
      </c>
      <c r="X370" s="27" t="s">
        <v>50</v>
      </c>
      <c r="Y370" s="35" t="s">
        <v>7290</v>
      </c>
    </row>
    <row r="371" spans="1:25" s="27" customFormat="1" x14ac:dyDescent="0.25">
      <c r="A371" s="194">
        <v>43151</v>
      </c>
      <c r="B371" s="27" t="s">
        <v>70</v>
      </c>
      <c r="C371" s="27" t="s">
        <v>88</v>
      </c>
      <c r="D371" s="89">
        <v>38.132680000000001</v>
      </c>
      <c r="E371" s="89">
        <v>-121.69231000000001</v>
      </c>
      <c r="F371" s="27" t="s">
        <v>7291</v>
      </c>
      <c r="G371" s="27" t="s">
        <v>90</v>
      </c>
      <c r="H371" s="27" t="s">
        <v>91</v>
      </c>
      <c r="I371" s="84">
        <v>0.43402777777777773</v>
      </c>
      <c r="J371" s="82">
        <v>149.19999999999999</v>
      </c>
      <c r="K371" s="82">
        <v>10.6</v>
      </c>
      <c r="L371" s="82">
        <v>14.1</v>
      </c>
      <c r="M371" s="82">
        <v>1.51</v>
      </c>
      <c r="N371" s="4">
        <v>5.3</v>
      </c>
      <c r="O371" s="27" t="s">
        <v>48</v>
      </c>
      <c r="P371" s="27">
        <v>2</v>
      </c>
      <c r="Q371" s="27">
        <v>5</v>
      </c>
      <c r="R371" s="27" t="s">
        <v>49</v>
      </c>
      <c r="S371" s="27" t="s">
        <v>50</v>
      </c>
      <c r="T371" s="27" t="s">
        <v>50</v>
      </c>
      <c r="U371" s="27" t="s">
        <v>50</v>
      </c>
      <c r="V371" s="27" t="s">
        <v>50</v>
      </c>
      <c r="W371" s="27" t="s">
        <v>50</v>
      </c>
      <c r="X371" s="27" t="s">
        <v>50</v>
      </c>
      <c r="Y371" s="35" t="s">
        <v>7292</v>
      </c>
    </row>
    <row r="372" spans="1:25" s="149" customFormat="1" x14ac:dyDescent="0.25">
      <c r="A372" s="195">
        <v>43151</v>
      </c>
      <c r="B372" s="27" t="s">
        <v>70</v>
      </c>
      <c r="C372" s="149" t="s">
        <v>44</v>
      </c>
      <c r="D372" s="150">
        <v>37.957250000000002</v>
      </c>
      <c r="E372" s="150">
        <v>-121.57292</v>
      </c>
      <c r="F372" s="149" t="s">
        <v>7293</v>
      </c>
      <c r="G372" s="149" t="s">
        <v>46</v>
      </c>
      <c r="H372" s="149" t="s">
        <v>199</v>
      </c>
      <c r="I372" s="151">
        <v>0.32430555555555557</v>
      </c>
      <c r="J372" s="197">
        <v>254.2</v>
      </c>
      <c r="K372" s="197">
        <v>11</v>
      </c>
      <c r="L372" s="197">
        <v>7.12</v>
      </c>
      <c r="M372" s="197">
        <v>1.45</v>
      </c>
      <c r="N372" s="197">
        <v>4.9000000000000004</v>
      </c>
      <c r="O372" s="149" t="s">
        <v>48</v>
      </c>
      <c r="P372" s="149">
        <v>1</v>
      </c>
      <c r="Q372" s="149">
        <v>4</v>
      </c>
      <c r="R372" s="149" t="s">
        <v>64</v>
      </c>
      <c r="S372" s="149" t="s">
        <v>50</v>
      </c>
      <c r="T372" s="149" t="s">
        <v>50</v>
      </c>
      <c r="U372" s="149" t="s">
        <v>50</v>
      </c>
      <c r="V372" s="149" t="s">
        <v>50</v>
      </c>
      <c r="W372" s="149" t="s">
        <v>50</v>
      </c>
      <c r="X372" s="149" t="s">
        <v>50</v>
      </c>
      <c r="Y372" s="152" t="s">
        <v>7294</v>
      </c>
    </row>
    <row r="373" spans="1:25" s="27" customFormat="1" x14ac:dyDescent="0.25">
      <c r="A373" s="194">
        <v>43151</v>
      </c>
      <c r="B373" s="27" t="s">
        <v>70</v>
      </c>
      <c r="C373" s="27" t="s">
        <v>44</v>
      </c>
      <c r="D373" s="89">
        <v>38.005569999999999</v>
      </c>
      <c r="E373" s="89">
        <v>-121.51573</v>
      </c>
      <c r="F373" s="27" t="s">
        <v>7295</v>
      </c>
      <c r="G373" s="27" t="s">
        <v>46</v>
      </c>
      <c r="H373" s="27" t="s">
        <v>6939</v>
      </c>
      <c r="I373" s="84">
        <v>0.35069444444444442</v>
      </c>
      <c r="J373" s="82">
        <v>238.0667</v>
      </c>
      <c r="K373" s="82">
        <v>11.283329999999999</v>
      </c>
      <c r="L373" s="82">
        <v>5.4850000000000003</v>
      </c>
      <c r="M373" s="82">
        <v>1.8</v>
      </c>
      <c r="N373" s="4">
        <v>9.8666669999999996</v>
      </c>
      <c r="O373" s="27" t="s">
        <v>48</v>
      </c>
      <c r="P373" s="27">
        <v>6</v>
      </c>
      <c r="Q373" s="27">
        <v>10</v>
      </c>
      <c r="R373" s="27" t="s">
        <v>64</v>
      </c>
      <c r="S373" s="27" t="s">
        <v>50</v>
      </c>
      <c r="T373" s="27" t="s">
        <v>50</v>
      </c>
      <c r="U373" s="27" t="s">
        <v>50</v>
      </c>
      <c r="V373" s="27" t="s">
        <v>50</v>
      </c>
      <c r="W373" s="27" t="s">
        <v>50</v>
      </c>
      <c r="X373" s="27" t="s">
        <v>50</v>
      </c>
      <c r="Y373" s="35"/>
    </row>
    <row r="374" spans="1:25" s="27" customFormat="1" x14ac:dyDescent="0.25">
      <c r="A374" s="194">
        <v>43151</v>
      </c>
      <c r="B374" s="27" t="s">
        <v>70</v>
      </c>
      <c r="C374" s="27" t="s">
        <v>44</v>
      </c>
      <c r="D374" s="89">
        <v>38.061050000000002</v>
      </c>
      <c r="E374" s="89">
        <v>-121.64811</v>
      </c>
      <c r="F374" s="27" t="s">
        <v>7296</v>
      </c>
      <c r="G374" s="27" t="s">
        <v>46</v>
      </c>
      <c r="H374" s="27" t="s">
        <v>47</v>
      </c>
      <c r="I374" s="84">
        <v>0.44444444444444442</v>
      </c>
      <c r="J374" s="82">
        <v>217.3</v>
      </c>
      <c r="K374" s="82">
        <v>11.2</v>
      </c>
      <c r="L374" s="82">
        <v>6.5833329999999997</v>
      </c>
      <c r="M374" s="82">
        <v>1.43</v>
      </c>
      <c r="N374" s="4">
        <v>8.15</v>
      </c>
      <c r="O374" s="27" t="s">
        <v>48</v>
      </c>
      <c r="P374" s="27">
        <v>6</v>
      </c>
      <c r="Q374" s="27">
        <v>10</v>
      </c>
      <c r="R374" s="27" t="s">
        <v>49</v>
      </c>
      <c r="S374" s="27" t="s">
        <v>50</v>
      </c>
      <c r="T374" s="27" t="s">
        <v>50</v>
      </c>
      <c r="U374" s="27" t="s">
        <v>50</v>
      </c>
      <c r="V374" s="27" t="s">
        <v>50</v>
      </c>
      <c r="W374" s="27" t="s">
        <v>50</v>
      </c>
      <c r="X374" s="27" t="s">
        <v>50</v>
      </c>
      <c r="Y374" s="35" t="s">
        <v>7297</v>
      </c>
    </row>
    <row r="375" spans="1:25" s="27" customFormat="1" x14ac:dyDescent="0.25">
      <c r="A375" s="194">
        <v>43151</v>
      </c>
      <c r="B375" s="27" t="s">
        <v>70</v>
      </c>
      <c r="C375" s="27" t="s">
        <v>118</v>
      </c>
      <c r="D375" s="89">
        <v>38.099069999999998</v>
      </c>
      <c r="E375" s="89">
        <v>-122.26476</v>
      </c>
      <c r="F375" s="27" t="s">
        <v>7298</v>
      </c>
      <c r="G375" s="27" t="s">
        <v>80</v>
      </c>
      <c r="H375" s="27" t="s">
        <v>191</v>
      </c>
      <c r="I375" s="84">
        <v>0.38263888888888892</v>
      </c>
      <c r="J375" s="82">
        <v>14616</v>
      </c>
      <c r="K375" s="82">
        <v>11</v>
      </c>
      <c r="L375" s="82">
        <v>44.716670000000001</v>
      </c>
      <c r="M375" s="82">
        <v>0.31333299999999997</v>
      </c>
      <c r="N375" s="4">
        <v>9.5833329999999997</v>
      </c>
      <c r="O375" s="27" t="s">
        <v>48</v>
      </c>
      <c r="P375" s="27">
        <v>6</v>
      </c>
      <c r="Q375" s="27">
        <v>10</v>
      </c>
      <c r="R375" s="27" t="s">
        <v>49</v>
      </c>
      <c r="S375" s="27" t="s">
        <v>50</v>
      </c>
      <c r="T375" s="27" t="s">
        <v>50</v>
      </c>
      <c r="U375" s="27" t="s">
        <v>50</v>
      </c>
      <c r="V375" s="27" t="s">
        <v>50</v>
      </c>
      <c r="W375" s="27" t="s">
        <v>50</v>
      </c>
      <c r="X375" s="27" t="s">
        <v>50</v>
      </c>
      <c r="Y375" s="35"/>
    </row>
    <row r="376" spans="1:25" s="27" customFormat="1" x14ac:dyDescent="0.25">
      <c r="A376" s="194">
        <v>43151</v>
      </c>
      <c r="B376" s="27" t="s">
        <v>70</v>
      </c>
      <c r="C376" s="27" t="s">
        <v>118</v>
      </c>
      <c r="D376" s="89">
        <v>38.061729999999997</v>
      </c>
      <c r="E376" s="89">
        <v>-122.32149</v>
      </c>
      <c r="F376" s="27" t="s">
        <v>7299</v>
      </c>
      <c r="G376" s="27" t="s">
        <v>80</v>
      </c>
      <c r="H376" s="27" t="s">
        <v>123</v>
      </c>
      <c r="I376" s="84">
        <v>0.46388888888888885</v>
      </c>
      <c r="J376" s="82">
        <v>16821</v>
      </c>
      <c r="K376" s="82">
        <v>11.9</v>
      </c>
      <c r="L376" s="82">
        <v>34.728569999999998</v>
      </c>
      <c r="M376" s="82">
        <v>0.382857</v>
      </c>
      <c r="N376" s="4">
        <v>3.3142860000000001</v>
      </c>
      <c r="O376" s="27" t="s">
        <v>48</v>
      </c>
      <c r="P376" s="27">
        <v>7</v>
      </c>
      <c r="Q376" s="27">
        <v>10</v>
      </c>
      <c r="R376" s="27" t="s">
        <v>49</v>
      </c>
      <c r="S376" s="27" t="s">
        <v>50</v>
      </c>
      <c r="T376" s="27" t="s">
        <v>50</v>
      </c>
      <c r="U376" s="27" t="s">
        <v>50</v>
      </c>
      <c r="V376" s="27" t="s">
        <v>50</v>
      </c>
      <c r="W376" s="27" t="s">
        <v>50</v>
      </c>
      <c r="X376" s="27" t="s">
        <v>50</v>
      </c>
      <c r="Y376" s="35" t="s">
        <v>7300</v>
      </c>
    </row>
    <row r="377" spans="1:25" s="27" customFormat="1" x14ac:dyDescent="0.25">
      <c r="A377" s="194">
        <v>43152</v>
      </c>
      <c r="B377" s="27" t="s">
        <v>87</v>
      </c>
      <c r="C377" s="27" t="s">
        <v>95</v>
      </c>
      <c r="D377" s="89">
        <v>38.025620000000004</v>
      </c>
      <c r="E377" s="89">
        <v>-121.75488</v>
      </c>
      <c r="F377" s="27" t="s">
        <v>7301</v>
      </c>
      <c r="G377" s="27" t="s">
        <v>27</v>
      </c>
      <c r="H377" s="27" t="s">
        <v>863</v>
      </c>
      <c r="I377" s="84">
        <v>0.32291666666666669</v>
      </c>
      <c r="J377" s="82">
        <v>1267.54</v>
      </c>
      <c r="K377" s="82">
        <v>11.1</v>
      </c>
      <c r="L377" s="82">
        <v>17.28</v>
      </c>
      <c r="M377" s="82">
        <v>0.77600000000000002</v>
      </c>
      <c r="N377" s="4">
        <v>9.1999999999999993</v>
      </c>
      <c r="O377" s="27" t="s">
        <v>48</v>
      </c>
      <c r="P377" s="27">
        <v>5</v>
      </c>
      <c r="Q377" s="27">
        <v>5</v>
      </c>
      <c r="R377" s="27" t="s">
        <v>64</v>
      </c>
      <c r="S377" s="27" t="s">
        <v>50</v>
      </c>
      <c r="T377" s="27" t="s">
        <v>50</v>
      </c>
      <c r="U377" s="27" t="s">
        <v>50</v>
      </c>
      <c r="V377" s="27" t="s">
        <v>50</v>
      </c>
      <c r="W377" s="27" t="s">
        <v>50</v>
      </c>
      <c r="X377" s="27" t="s">
        <v>50</v>
      </c>
      <c r="Y377" s="35"/>
    </row>
    <row r="378" spans="1:25" s="27" customFormat="1" x14ac:dyDescent="0.25">
      <c r="A378" s="194">
        <v>43152</v>
      </c>
      <c r="B378" s="27" t="s">
        <v>87</v>
      </c>
      <c r="C378" s="27" t="s">
        <v>95</v>
      </c>
      <c r="D378" s="89">
        <v>38.030340000000002</v>
      </c>
      <c r="E378" s="89">
        <v>-121.72914</v>
      </c>
      <c r="F378" s="27" t="s">
        <v>7302</v>
      </c>
      <c r="G378" s="27" t="s">
        <v>27</v>
      </c>
      <c r="H378" s="27" t="s">
        <v>863</v>
      </c>
      <c r="I378" s="84">
        <v>0.36527777777777781</v>
      </c>
      <c r="J378" s="82">
        <v>403.24</v>
      </c>
      <c r="K378" s="82">
        <v>11.08</v>
      </c>
      <c r="L378" s="82">
        <v>14.52</v>
      </c>
      <c r="M378" s="82">
        <v>0.87</v>
      </c>
      <c r="N378" s="4">
        <v>12.94</v>
      </c>
      <c r="O378" s="27" t="s">
        <v>48</v>
      </c>
      <c r="P378" s="27">
        <v>5</v>
      </c>
      <c r="Q378" s="27">
        <v>5</v>
      </c>
      <c r="R378" s="27" t="s">
        <v>49</v>
      </c>
      <c r="S378" s="27" t="s">
        <v>50</v>
      </c>
      <c r="T378" s="27" t="s">
        <v>50</v>
      </c>
      <c r="U378" s="27" t="s">
        <v>50</v>
      </c>
      <c r="V378" s="27" t="s">
        <v>50</v>
      </c>
      <c r="W378" s="27" t="s">
        <v>50</v>
      </c>
      <c r="X378" s="27" t="s">
        <v>50</v>
      </c>
      <c r="Y378" s="35"/>
    </row>
    <row r="379" spans="1:25" s="27" customFormat="1" x14ac:dyDescent="0.25">
      <c r="A379" s="194">
        <v>43152</v>
      </c>
      <c r="B379" s="27" t="s">
        <v>87</v>
      </c>
      <c r="C379" s="27" t="s">
        <v>95</v>
      </c>
      <c r="D379" s="89">
        <v>38.023290000000003</v>
      </c>
      <c r="E379" s="89">
        <v>-121.71635999999999</v>
      </c>
      <c r="F379" s="27" t="s">
        <v>7303</v>
      </c>
      <c r="G379" s="27" t="s">
        <v>27</v>
      </c>
      <c r="H379" s="27" t="s">
        <v>863</v>
      </c>
      <c r="I379" s="84">
        <v>0.4145833333333333</v>
      </c>
      <c r="J379" s="82">
        <v>311.86</v>
      </c>
      <c r="K379" s="82">
        <v>10.9</v>
      </c>
      <c r="L379" s="82">
        <v>8.5</v>
      </c>
      <c r="M379" s="82">
        <v>1.258</v>
      </c>
      <c r="N379" s="4">
        <v>6.44</v>
      </c>
      <c r="O379" s="27" t="s">
        <v>48</v>
      </c>
      <c r="P379" s="27">
        <v>5</v>
      </c>
      <c r="Q379" s="27">
        <v>5</v>
      </c>
      <c r="R379" s="27" t="s">
        <v>49</v>
      </c>
      <c r="S379" s="27" t="s">
        <v>50</v>
      </c>
      <c r="T379" s="27" t="s">
        <v>50</v>
      </c>
      <c r="U379" s="27" t="s">
        <v>50</v>
      </c>
      <c r="V379" s="27" t="s">
        <v>50</v>
      </c>
      <c r="W379" s="27" t="s">
        <v>50</v>
      </c>
      <c r="X379" s="27" t="s">
        <v>50</v>
      </c>
      <c r="Y379" s="35"/>
    </row>
    <row r="380" spans="1:25" s="27" customFormat="1" x14ac:dyDescent="0.25">
      <c r="A380" s="194">
        <v>43152</v>
      </c>
      <c r="B380" s="27" t="s">
        <v>87</v>
      </c>
      <c r="C380" s="27" t="s">
        <v>106</v>
      </c>
      <c r="D380" s="89">
        <v>38.185899999999997</v>
      </c>
      <c r="E380" s="89">
        <v>-121.66172</v>
      </c>
      <c r="F380" s="27" t="s">
        <v>7304</v>
      </c>
      <c r="G380" s="27" t="s">
        <v>90</v>
      </c>
      <c r="H380" s="27" t="s">
        <v>362</v>
      </c>
      <c r="I380" s="84">
        <v>0.32013888888888892</v>
      </c>
      <c r="J380" s="82">
        <v>148.38</v>
      </c>
      <c r="K380" s="82">
        <v>10.6</v>
      </c>
      <c r="L380" s="82">
        <v>9.4220000000000006</v>
      </c>
      <c r="M380" s="82">
        <v>1.696</v>
      </c>
      <c r="N380" s="4">
        <v>13.24</v>
      </c>
      <c r="O380" s="27" t="s">
        <v>48</v>
      </c>
      <c r="P380" s="27">
        <v>5</v>
      </c>
      <c r="Q380" s="27">
        <v>5</v>
      </c>
      <c r="R380" s="27" t="s">
        <v>64</v>
      </c>
      <c r="S380" s="27" t="s">
        <v>50</v>
      </c>
      <c r="T380" s="27" t="s">
        <v>50</v>
      </c>
      <c r="U380" s="27" t="s">
        <v>50</v>
      </c>
      <c r="V380" s="27" t="s">
        <v>50</v>
      </c>
      <c r="W380" s="27" t="s">
        <v>50</v>
      </c>
      <c r="X380" s="27" t="s">
        <v>50</v>
      </c>
      <c r="Y380" s="35"/>
    </row>
    <row r="381" spans="1:25" s="27" customFormat="1" x14ac:dyDescent="0.25">
      <c r="A381" s="194">
        <v>43152</v>
      </c>
      <c r="B381" s="27" t="s">
        <v>87</v>
      </c>
      <c r="C381" s="27" t="s">
        <v>106</v>
      </c>
      <c r="D381" s="89">
        <v>38.458730000000003</v>
      </c>
      <c r="E381" s="89">
        <v>-121.58972</v>
      </c>
      <c r="F381" s="27" t="s">
        <v>7305</v>
      </c>
      <c r="G381" s="27" t="s">
        <v>90</v>
      </c>
      <c r="H381" s="27" t="s">
        <v>362</v>
      </c>
      <c r="I381" s="84">
        <v>0.39166666666666666</v>
      </c>
      <c r="J381" s="82">
        <v>471.8</v>
      </c>
      <c r="K381" s="82">
        <v>10.88</v>
      </c>
      <c r="L381" s="82">
        <v>46.06</v>
      </c>
      <c r="M381" s="82">
        <v>0.30199999999999999</v>
      </c>
      <c r="N381" s="4">
        <v>6.3</v>
      </c>
      <c r="O381" s="27" t="s">
        <v>48</v>
      </c>
      <c r="P381" s="27">
        <v>5</v>
      </c>
      <c r="Q381" s="27">
        <v>5</v>
      </c>
      <c r="R381" s="27" t="s">
        <v>49</v>
      </c>
      <c r="S381" s="27" t="s">
        <v>50</v>
      </c>
      <c r="T381" s="27" t="s">
        <v>50</v>
      </c>
      <c r="U381" s="27" t="s">
        <v>50</v>
      </c>
      <c r="V381" s="27" t="s">
        <v>50</v>
      </c>
      <c r="W381" s="27" t="s">
        <v>50</v>
      </c>
      <c r="X381" s="27" t="s">
        <v>50</v>
      </c>
      <c r="Y381" s="35"/>
    </row>
    <row r="382" spans="1:25" s="27" customFormat="1" x14ac:dyDescent="0.25">
      <c r="A382" s="194">
        <v>43152</v>
      </c>
      <c r="B382" s="27" t="s">
        <v>87</v>
      </c>
      <c r="C382" s="27" t="s">
        <v>106</v>
      </c>
      <c r="D382" s="89">
        <v>38.561120000000003</v>
      </c>
      <c r="E382" s="89">
        <v>-121.54089999999999</v>
      </c>
      <c r="F382" s="27" t="s">
        <v>7306</v>
      </c>
      <c r="G382" s="27" t="s">
        <v>90</v>
      </c>
      <c r="H382" s="27" t="s">
        <v>1787</v>
      </c>
      <c r="I382" s="84">
        <v>0.46180555555555558</v>
      </c>
      <c r="J382" s="82">
        <v>771.8</v>
      </c>
      <c r="K382" s="82">
        <v>11.84</v>
      </c>
      <c r="L382" s="82">
        <v>6.03</v>
      </c>
      <c r="M382" s="82">
        <v>1.8</v>
      </c>
      <c r="N382" s="4">
        <v>7.08</v>
      </c>
      <c r="O382" s="27" t="s">
        <v>48</v>
      </c>
      <c r="P382" s="27">
        <v>5</v>
      </c>
      <c r="Q382" s="27">
        <v>5</v>
      </c>
      <c r="R382" s="27" t="s">
        <v>49</v>
      </c>
      <c r="S382" s="27" t="s">
        <v>50</v>
      </c>
      <c r="T382" s="27" t="s">
        <v>50</v>
      </c>
      <c r="U382" s="27" t="s">
        <v>50</v>
      </c>
      <c r="V382" s="27" t="s">
        <v>50</v>
      </c>
      <c r="W382" s="27" t="s">
        <v>50</v>
      </c>
      <c r="X382" s="27" t="s">
        <v>50</v>
      </c>
      <c r="Y382" s="35"/>
    </row>
    <row r="383" spans="1:25" s="27" customFormat="1" x14ac:dyDescent="0.25">
      <c r="A383" s="194">
        <v>43152</v>
      </c>
      <c r="B383" s="27" t="s">
        <v>87</v>
      </c>
      <c r="C383" s="27" t="s">
        <v>62</v>
      </c>
      <c r="D383" s="89">
        <v>38.10454</v>
      </c>
      <c r="E383" s="89">
        <v>-122.03695</v>
      </c>
      <c r="F383" s="27" t="s">
        <v>7307</v>
      </c>
      <c r="G383" s="27" t="s">
        <v>27</v>
      </c>
      <c r="H383" s="27" t="s">
        <v>173</v>
      </c>
      <c r="I383" s="84">
        <v>0.35972222222222222</v>
      </c>
      <c r="J383" s="82">
        <v>5544.4</v>
      </c>
      <c r="K383" s="82">
        <v>10.78</v>
      </c>
      <c r="L383" s="82">
        <v>34.22</v>
      </c>
      <c r="M383" s="82">
        <v>0.308</v>
      </c>
      <c r="N383" s="4">
        <v>2.4</v>
      </c>
      <c r="O383" s="27" t="s">
        <v>48</v>
      </c>
      <c r="P383" s="27">
        <v>5</v>
      </c>
      <c r="Q383" s="27">
        <v>5</v>
      </c>
      <c r="R383" s="27" t="s">
        <v>49</v>
      </c>
      <c r="S383" s="27" t="s">
        <v>31</v>
      </c>
      <c r="T383" s="27">
        <v>4</v>
      </c>
      <c r="U383" s="27" t="s">
        <v>7308</v>
      </c>
      <c r="V383" s="27" t="s">
        <v>66</v>
      </c>
      <c r="W383" s="27" t="s">
        <v>50</v>
      </c>
      <c r="X383" s="27" t="s">
        <v>50</v>
      </c>
      <c r="Y383" s="35" t="s">
        <v>7309</v>
      </c>
    </row>
    <row r="384" spans="1:25" s="27" customFormat="1" x14ac:dyDescent="0.25">
      <c r="A384" s="194">
        <v>43152</v>
      </c>
      <c r="B384" s="27" t="s">
        <v>87</v>
      </c>
      <c r="C384" s="27" t="s">
        <v>62</v>
      </c>
      <c r="D384" s="89">
        <v>38.116160000000001</v>
      </c>
      <c r="E384" s="89">
        <v>-122.05766</v>
      </c>
      <c r="F384" s="27" t="s">
        <v>7310</v>
      </c>
      <c r="G384" s="27" t="s">
        <v>27</v>
      </c>
      <c r="H384" s="27" t="s">
        <v>173</v>
      </c>
      <c r="I384" s="84">
        <v>0.40416666666666662</v>
      </c>
      <c r="J384" s="82">
        <v>3987.2</v>
      </c>
      <c r="K384" s="82">
        <v>10.86</v>
      </c>
      <c r="L384" s="82">
        <v>121.06</v>
      </c>
      <c r="M384" s="82">
        <v>0.20399999999999999</v>
      </c>
      <c r="N384" s="4">
        <v>3.34</v>
      </c>
      <c r="O384" s="27" t="s">
        <v>48</v>
      </c>
      <c r="P384" s="27">
        <v>5</v>
      </c>
      <c r="Q384" s="27">
        <v>5</v>
      </c>
      <c r="R384" s="27" t="s">
        <v>49</v>
      </c>
      <c r="S384" s="27" t="s">
        <v>31</v>
      </c>
      <c r="T384" s="27">
        <v>1</v>
      </c>
      <c r="U384" s="27">
        <v>31</v>
      </c>
      <c r="V384" s="27" t="s">
        <v>66</v>
      </c>
      <c r="W384" s="27" t="s">
        <v>50</v>
      </c>
      <c r="X384" s="27" t="s">
        <v>50</v>
      </c>
      <c r="Y384" s="35" t="s">
        <v>7311</v>
      </c>
    </row>
    <row r="385" spans="1:25" s="27" customFormat="1" x14ac:dyDescent="0.25">
      <c r="A385" s="194">
        <v>43152</v>
      </c>
      <c r="B385" s="27" t="s">
        <v>87</v>
      </c>
      <c r="C385" s="27" t="s">
        <v>62</v>
      </c>
      <c r="D385" s="89">
        <v>38.175490000000003</v>
      </c>
      <c r="E385" s="89">
        <v>-121.95174</v>
      </c>
      <c r="F385" s="27" t="s">
        <v>7312</v>
      </c>
      <c r="G385" s="27" t="s">
        <v>27</v>
      </c>
      <c r="H385" s="27" t="s">
        <v>62</v>
      </c>
      <c r="I385" s="84">
        <v>0.49444444444444446</v>
      </c>
      <c r="J385" s="82">
        <v>788</v>
      </c>
      <c r="K385" s="82">
        <v>11.08</v>
      </c>
      <c r="L385" s="82">
        <v>53.1</v>
      </c>
      <c r="M385" s="82">
        <v>0.29199999999999998</v>
      </c>
      <c r="N385" s="4">
        <v>9</v>
      </c>
      <c r="O385" s="27" t="s">
        <v>48</v>
      </c>
      <c r="P385" s="27">
        <v>5</v>
      </c>
      <c r="Q385" s="27">
        <v>5</v>
      </c>
      <c r="R385" s="27" t="s">
        <v>49</v>
      </c>
      <c r="S385" s="27" t="s">
        <v>50</v>
      </c>
      <c r="T385" s="27" t="s">
        <v>50</v>
      </c>
      <c r="U385" s="27" t="s">
        <v>50</v>
      </c>
      <c r="V385" s="27" t="s">
        <v>50</v>
      </c>
      <c r="W385" s="27" t="s">
        <v>50</v>
      </c>
      <c r="X385" s="27" t="s">
        <v>50</v>
      </c>
      <c r="Y385" s="35"/>
    </row>
    <row r="386" spans="1:25" s="27" customFormat="1" x14ac:dyDescent="0.25">
      <c r="A386" s="194">
        <v>43153</v>
      </c>
      <c r="B386" s="27" t="s">
        <v>105</v>
      </c>
      <c r="C386" s="27" t="s">
        <v>95</v>
      </c>
      <c r="D386" s="89">
        <v>38.083419999999997</v>
      </c>
      <c r="E386" s="89">
        <v>-121.68077</v>
      </c>
      <c r="F386" s="27" t="s">
        <v>7313</v>
      </c>
      <c r="G386" s="27" t="s">
        <v>46</v>
      </c>
      <c r="H386" s="27" t="s">
        <v>908</v>
      </c>
      <c r="I386" s="84">
        <v>0.3215277777777778</v>
      </c>
      <c r="J386" s="82">
        <v>198.88</v>
      </c>
      <c r="K386" s="82">
        <v>11.02</v>
      </c>
      <c r="L386" s="82">
        <v>11.03</v>
      </c>
      <c r="M386" s="82">
        <v>1.3560000000000001</v>
      </c>
      <c r="N386" s="4">
        <v>10.7</v>
      </c>
      <c r="O386" s="27" t="s">
        <v>48</v>
      </c>
      <c r="P386" s="27">
        <v>5</v>
      </c>
      <c r="Q386" s="27">
        <v>5</v>
      </c>
      <c r="R386" s="27" t="s">
        <v>64</v>
      </c>
      <c r="S386" s="27" t="s">
        <v>50</v>
      </c>
      <c r="T386" s="27" t="s">
        <v>50</v>
      </c>
      <c r="U386" s="27" t="s">
        <v>50</v>
      </c>
      <c r="V386" s="27" t="s">
        <v>50</v>
      </c>
      <c r="W386" s="27" t="s">
        <v>50</v>
      </c>
      <c r="X386" s="27" t="s">
        <v>50</v>
      </c>
      <c r="Y386" s="35" t="s">
        <v>7314</v>
      </c>
    </row>
    <row r="387" spans="1:25" s="27" customFormat="1" x14ac:dyDescent="0.25">
      <c r="A387" s="194">
        <v>43153</v>
      </c>
      <c r="B387" s="27" t="s">
        <v>105</v>
      </c>
      <c r="C387" s="27" t="s">
        <v>95</v>
      </c>
      <c r="D387" s="89">
        <v>38.103520000000003</v>
      </c>
      <c r="E387" s="89">
        <v>-121.59506</v>
      </c>
      <c r="F387" s="27" t="s">
        <v>7315</v>
      </c>
      <c r="G387" s="27" t="s">
        <v>46</v>
      </c>
      <c r="H387" s="27" t="s">
        <v>115</v>
      </c>
      <c r="I387" s="84">
        <v>0.37083333333333335</v>
      </c>
      <c r="J387" s="82">
        <v>193.08</v>
      </c>
      <c r="K387" s="82">
        <v>11.18</v>
      </c>
      <c r="L387" s="82">
        <v>12.74</v>
      </c>
      <c r="M387" s="82">
        <v>1.3</v>
      </c>
      <c r="N387" s="4">
        <v>8.18</v>
      </c>
      <c r="O387" s="27" t="s">
        <v>48</v>
      </c>
      <c r="P387" s="27">
        <v>5</v>
      </c>
      <c r="Q387" s="27">
        <v>5</v>
      </c>
      <c r="R387" s="27" t="s">
        <v>64</v>
      </c>
      <c r="S387" s="27" t="s">
        <v>50</v>
      </c>
      <c r="T387" s="27" t="s">
        <v>50</v>
      </c>
      <c r="U387" s="27" t="s">
        <v>50</v>
      </c>
      <c r="V387" s="27" t="s">
        <v>50</v>
      </c>
      <c r="W387" s="27" t="s">
        <v>50</v>
      </c>
      <c r="X387" s="27" t="s">
        <v>50</v>
      </c>
      <c r="Y387" s="35"/>
    </row>
    <row r="388" spans="1:25" s="27" customFormat="1" x14ac:dyDescent="0.25">
      <c r="A388" s="194">
        <v>43153</v>
      </c>
      <c r="B388" s="27" t="s">
        <v>105</v>
      </c>
      <c r="C388" s="27" t="s">
        <v>95</v>
      </c>
      <c r="D388" s="89">
        <v>38.087569999999999</v>
      </c>
      <c r="E388" s="89">
        <v>-121.57458</v>
      </c>
      <c r="F388" s="27" t="s">
        <v>7316</v>
      </c>
      <c r="G388" s="27" t="s">
        <v>46</v>
      </c>
      <c r="H388" s="27" t="s">
        <v>115</v>
      </c>
      <c r="I388" s="84">
        <v>0.41180555555555554</v>
      </c>
      <c r="J388" s="82">
        <v>193.36</v>
      </c>
      <c r="K388" s="82">
        <v>11.12</v>
      </c>
      <c r="L388" s="82">
        <v>11.007999999999999</v>
      </c>
      <c r="M388" s="82">
        <v>1.0840000000000001</v>
      </c>
      <c r="N388" s="4">
        <v>12.74</v>
      </c>
      <c r="O388" s="27" t="s">
        <v>48</v>
      </c>
      <c r="P388" s="27">
        <v>5</v>
      </c>
      <c r="Q388" s="27">
        <v>5</v>
      </c>
      <c r="R388" s="27" t="s">
        <v>64</v>
      </c>
      <c r="S388" s="27" t="s">
        <v>50</v>
      </c>
      <c r="T388" s="27" t="s">
        <v>50</v>
      </c>
      <c r="U388" s="27" t="s">
        <v>50</v>
      </c>
      <c r="V388" s="27" t="s">
        <v>50</v>
      </c>
      <c r="W388" s="27" t="s">
        <v>50</v>
      </c>
      <c r="X388" s="27" t="s">
        <v>50</v>
      </c>
      <c r="Y388" s="35"/>
    </row>
    <row r="389" spans="1:25" s="27" customFormat="1" x14ac:dyDescent="0.25">
      <c r="A389" s="194">
        <v>43153</v>
      </c>
      <c r="B389" s="27" t="s">
        <v>105</v>
      </c>
      <c r="C389" s="27" t="s">
        <v>78</v>
      </c>
      <c r="D389" s="89">
        <v>38.050429999999999</v>
      </c>
      <c r="E389" s="89">
        <v>-121.86658</v>
      </c>
      <c r="F389" s="27" t="s">
        <v>7317</v>
      </c>
      <c r="G389" s="27" t="s">
        <v>27</v>
      </c>
      <c r="H389" s="27" t="s">
        <v>101</v>
      </c>
      <c r="I389" s="84">
        <v>0.35069444444444442</v>
      </c>
      <c r="J389" s="82">
        <v>4554.8</v>
      </c>
      <c r="K389" s="82">
        <v>11.04</v>
      </c>
      <c r="L389" s="82">
        <v>45.86</v>
      </c>
      <c r="M389" s="82">
        <v>0.29399999999999998</v>
      </c>
      <c r="N389" s="4">
        <v>3.5</v>
      </c>
      <c r="O389" s="27" t="s">
        <v>48</v>
      </c>
      <c r="P389" s="27">
        <v>5</v>
      </c>
      <c r="Q389" s="27">
        <v>5</v>
      </c>
      <c r="R389" s="27" t="s">
        <v>64</v>
      </c>
      <c r="S389" s="27" t="s">
        <v>50</v>
      </c>
      <c r="T389" s="27" t="s">
        <v>50</v>
      </c>
      <c r="U389" s="27" t="s">
        <v>50</v>
      </c>
      <c r="V389" s="27" t="s">
        <v>50</v>
      </c>
      <c r="W389" s="27" t="s">
        <v>50</v>
      </c>
      <c r="X389" s="27" t="s">
        <v>50</v>
      </c>
      <c r="Y389" s="35"/>
    </row>
    <row r="390" spans="1:25" s="27" customFormat="1" x14ac:dyDescent="0.25">
      <c r="A390" s="194">
        <v>43153</v>
      </c>
      <c r="B390" s="27" t="s">
        <v>105</v>
      </c>
      <c r="C390" s="27" t="s">
        <v>78</v>
      </c>
      <c r="D390" s="89">
        <v>38.061419999999998</v>
      </c>
      <c r="E390" s="89">
        <v>-121.96454</v>
      </c>
      <c r="F390" s="27" t="s">
        <v>7318</v>
      </c>
      <c r="G390" s="27" t="s">
        <v>27</v>
      </c>
      <c r="H390" s="27" t="s">
        <v>170</v>
      </c>
      <c r="I390" s="84">
        <v>0.40069444444444446</v>
      </c>
      <c r="J390" s="82">
        <v>7483.8</v>
      </c>
      <c r="K390" s="82">
        <v>10.94</v>
      </c>
      <c r="L390" s="82">
        <v>59.52</v>
      </c>
      <c r="M390" s="82">
        <v>0.27600000000000002</v>
      </c>
      <c r="N390" s="4">
        <v>7.3</v>
      </c>
      <c r="O390" s="27" t="s">
        <v>48</v>
      </c>
      <c r="P390" s="27">
        <v>5</v>
      </c>
      <c r="Q390" s="27">
        <v>5</v>
      </c>
      <c r="R390" s="27" t="s">
        <v>49</v>
      </c>
      <c r="S390" s="27" t="s">
        <v>50</v>
      </c>
      <c r="T390" s="27" t="s">
        <v>50</v>
      </c>
      <c r="U390" s="27" t="s">
        <v>50</v>
      </c>
      <c r="V390" s="27" t="s">
        <v>50</v>
      </c>
      <c r="W390" s="27" t="s">
        <v>50</v>
      </c>
      <c r="X390" s="27" t="s">
        <v>50</v>
      </c>
      <c r="Y390" s="35"/>
    </row>
    <row r="391" spans="1:25" s="27" customFormat="1" x14ac:dyDescent="0.25">
      <c r="A391" s="194">
        <v>43153</v>
      </c>
      <c r="B391" s="27" t="s">
        <v>105</v>
      </c>
      <c r="C391" s="27" t="s">
        <v>845</v>
      </c>
      <c r="D391" s="89">
        <v>38.315089999999998</v>
      </c>
      <c r="E391" s="89">
        <v>-121.66715000000001</v>
      </c>
      <c r="F391" s="27" t="s">
        <v>7319</v>
      </c>
      <c r="G391" s="27" t="s">
        <v>90</v>
      </c>
      <c r="H391" s="27" t="s">
        <v>126</v>
      </c>
      <c r="I391" s="84">
        <v>0.34166666666666662</v>
      </c>
      <c r="J391" s="82">
        <v>406.91669999999999</v>
      </c>
      <c r="K391" s="82">
        <v>9.8833330000000004</v>
      </c>
      <c r="L391" s="82">
        <v>7.7383329999999999</v>
      </c>
      <c r="M391" s="82">
        <v>1.5216670000000001</v>
      </c>
      <c r="N391" s="4">
        <v>7.483333</v>
      </c>
      <c r="O391" s="27" t="s">
        <v>48</v>
      </c>
      <c r="P391" s="27">
        <v>6</v>
      </c>
      <c r="Q391" s="27">
        <v>5</v>
      </c>
      <c r="R391" s="27" t="s">
        <v>64</v>
      </c>
      <c r="S391" s="27" t="s">
        <v>50</v>
      </c>
      <c r="T391" s="27" t="s">
        <v>50</v>
      </c>
      <c r="U391" s="27" t="s">
        <v>50</v>
      </c>
      <c r="V391" s="27" t="s">
        <v>50</v>
      </c>
      <c r="W391" s="27" t="s">
        <v>50</v>
      </c>
      <c r="X391" s="27" t="s">
        <v>50</v>
      </c>
      <c r="Y391" s="35" t="s">
        <v>7320</v>
      </c>
    </row>
    <row r="392" spans="1:25" s="149" customFormat="1" x14ac:dyDescent="0.25">
      <c r="A392" s="195">
        <v>43153</v>
      </c>
      <c r="B392" s="149" t="s">
        <v>105</v>
      </c>
      <c r="C392" s="149" t="s">
        <v>845</v>
      </c>
      <c r="D392" s="150">
        <v>38.283290000000001</v>
      </c>
      <c r="E392" s="150">
        <v>-121.68078</v>
      </c>
      <c r="F392" s="149" t="s">
        <v>7321</v>
      </c>
      <c r="G392" s="149" t="s">
        <v>90</v>
      </c>
      <c r="H392" s="149" t="s">
        <v>126</v>
      </c>
      <c r="I392" s="151">
        <v>0.42777777777777781</v>
      </c>
      <c r="J392" s="197" t="s">
        <v>50</v>
      </c>
      <c r="K392" s="197" t="s">
        <v>50</v>
      </c>
      <c r="L392" s="197" t="s">
        <v>50</v>
      </c>
      <c r="M392" s="197" t="s">
        <v>50</v>
      </c>
      <c r="N392" s="197" t="s">
        <v>50</v>
      </c>
      <c r="O392" s="149" t="s">
        <v>48</v>
      </c>
      <c r="P392" s="149">
        <v>0</v>
      </c>
      <c r="Q392" s="149" t="s">
        <v>50</v>
      </c>
      <c r="R392" s="149" t="s">
        <v>50</v>
      </c>
      <c r="S392" s="149" t="s">
        <v>50</v>
      </c>
      <c r="T392" s="149" t="s">
        <v>50</v>
      </c>
      <c r="U392" s="149" t="s">
        <v>50</v>
      </c>
      <c r="V392" s="149" t="s">
        <v>50</v>
      </c>
      <c r="W392" s="149" t="s">
        <v>50</v>
      </c>
      <c r="X392" s="149" t="s">
        <v>50</v>
      </c>
      <c r="Y392" s="152" t="s">
        <v>4960</v>
      </c>
    </row>
    <row r="393" spans="1:25" s="27" customFormat="1" x14ac:dyDescent="0.25">
      <c r="A393" s="194">
        <v>43153</v>
      </c>
      <c r="B393" s="27" t="s">
        <v>105</v>
      </c>
      <c r="C393" s="27" t="s">
        <v>845</v>
      </c>
      <c r="D393" s="89">
        <v>38.27328</v>
      </c>
      <c r="E393" s="89">
        <v>-121.66571</v>
      </c>
      <c r="F393" s="27" t="s">
        <v>7322</v>
      </c>
      <c r="G393" s="27" t="s">
        <v>90</v>
      </c>
      <c r="H393" s="27" t="s">
        <v>126</v>
      </c>
      <c r="I393" s="84">
        <v>0.39097222222222222</v>
      </c>
      <c r="J393" s="82">
        <v>523.04</v>
      </c>
      <c r="K393" s="82">
        <v>10.5</v>
      </c>
      <c r="L393" s="82">
        <v>7.9039999999999999</v>
      </c>
      <c r="M393" s="82">
        <v>1.67</v>
      </c>
      <c r="N393" s="4">
        <v>7.1</v>
      </c>
      <c r="O393" s="27" t="s">
        <v>48</v>
      </c>
      <c r="P393" s="27">
        <v>5</v>
      </c>
      <c r="Q393" s="27">
        <v>5</v>
      </c>
      <c r="R393" s="27" t="s">
        <v>64</v>
      </c>
      <c r="S393" s="27" t="s">
        <v>50</v>
      </c>
      <c r="T393" s="27" t="s">
        <v>50</v>
      </c>
      <c r="U393" s="27" t="s">
        <v>50</v>
      </c>
      <c r="V393" s="27" t="s">
        <v>50</v>
      </c>
      <c r="W393" s="27" t="s">
        <v>50</v>
      </c>
      <c r="X393" s="27" t="s">
        <v>50</v>
      </c>
      <c r="Y393" s="35"/>
    </row>
    <row r="394" spans="1:25" s="27" customFormat="1" x14ac:dyDescent="0.25">
      <c r="A394" s="194">
        <v>43153</v>
      </c>
      <c r="B394" s="27" t="s">
        <v>105</v>
      </c>
      <c r="C394" s="27" t="s">
        <v>845</v>
      </c>
      <c r="D394" s="89">
        <v>38.254660000000001</v>
      </c>
      <c r="E394" s="89">
        <v>-121.69432999999999</v>
      </c>
      <c r="F394" s="27" t="s">
        <v>7323</v>
      </c>
      <c r="G394" s="27" t="s">
        <v>90</v>
      </c>
      <c r="H394" s="27" t="s">
        <v>126</v>
      </c>
      <c r="I394" s="84">
        <v>0.44930555555555557</v>
      </c>
      <c r="J394" s="82">
        <v>193.76</v>
      </c>
      <c r="K394" s="82">
        <v>10.44</v>
      </c>
      <c r="L394" s="82">
        <v>6.0140000000000002</v>
      </c>
      <c r="M394" s="82">
        <v>1.8</v>
      </c>
      <c r="N394" s="4">
        <v>4.12</v>
      </c>
      <c r="O394" s="27" t="s">
        <v>48</v>
      </c>
      <c r="P394" s="27">
        <v>5</v>
      </c>
      <c r="Q394" s="27">
        <v>5</v>
      </c>
      <c r="R394" s="27" t="s">
        <v>64</v>
      </c>
      <c r="S394" s="27" t="s">
        <v>50</v>
      </c>
      <c r="T394" s="27" t="s">
        <v>50</v>
      </c>
      <c r="U394" s="27" t="s">
        <v>50</v>
      </c>
      <c r="V394" s="27" t="s">
        <v>50</v>
      </c>
      <c r="W394" s="27" t="s">
        <v>50</v>
      </c>
      <c r="X394" s="27" t="s">
        <v>50</v>
      </c>
      <c r="Y394" s="35"/>
    </row>
    <row r="395" spans="1:25" s="27" customFormat="1" x14ac:dyDescent="0.25">
      <c r="A395" s="194">
        <v>43154</v>
      </c>
      <c r="B395" s="27" t="s">
        <v>125</v>
      </c>
      <c r="C395" s="27" t="s">
        <v>6879</v>
      </c>
      <c r="D395" s="89">
        <v>38.10163</v>
      </c>
      <c r="E395" s="89">
        <v>-121.48681999999999</v>
      </c>
      <c r="F395" s="27" t="s">
        <v>7324</v>
      </c>
      <c r="G395" s="27" t="s">
        <v>46</v>
      </c>
      <c r="H395" s="27" t="s">
        <v>6881</v>
      </c>
      <c r="I395" s="84">
        <v>0.39305555555555555</v>
      </c>
      <c r="J395" s="82">
        <v>158.92857142857147</v>
      </c>
      <c r="K395" s="82">
        <v>10.4</v>
      </c>
      <c r="L395" s="82">
        <v>4.047142857142858</v>
      </c>
      <c r="M395" s="82">
        <v>1.6428571428571428</v>
      </c>
      <c r="N395" s="4">
        <v>5.9142857142857137</v>
      </c>
      <c r="O395" s="27" t="s">
        <v>48</v>
      </c>
      <c r="P395" s="27">
        <v>7</v>
      </c>
      <c r="Q395" s="27">
        <v>10</v>
      </c>
      <c r="R395" s="27" t="s">
        <v>49</v>
      </c>
      <c r="S395" s="27" t="s">
        <v>50</v>
      </c>
      <c r="T395" s="27" t="s">
        <v>50</v>
      </c>
      <c r="U395" s="27" t="s">
        <v>50</v>
      </c>
      <c r="V395" s="27" t="s">
        <v>50</v>
      </c>
      <c r="W395" s="27" t="s">
        <v>50</v>
      </c>
      <c r="X395" s="27" t="s">
        <v>50</v>
      </c>
      <c r="Y395" s="35" t="s">
        <v>7325</v>
      </c>
    </row>
    <row r="396" spans="1:25" s="27" customFormat="1" x14ac:dyDescent="0.25">
      <c r="A396" s="194">
        <v>43154</v>
      </c>
      <c r="B396" s="27" t="s">
        <v>125</v>
      </c>
      <c r="C396" s="27" t="s">
        <v>6879</v>
      </c>
      <c r="D396" s="89">
        <v>38.118560000000002</v>
      </c>
      <c r="E396" s="89">
        <v>-121.53789</v>
      </c>
      <c r="F396" s="27" t="s">
        <v>7326</v>
      </c>
      <c r="G396" s="27" t="s">
        <v>46</v>
      </c>
      <c r="H396" s="27" t="s">
        <v>6881</v>
      </c>
      <c r="I396" s="84">
        <v>0.31527777777777777</v>
      </c>
      <c r="J396" s="82">
        <v>129.9</v>
      </c>
      <c r="K396" s="82">
        <v>10.25</v>
      </c>
      <c r="L396" s="82">
        <v>5.3774999999999995</v>
      </c>
      <c r="M396" s="82">
        <v>1.8</v>
      </c>
      <c r="N396" s="4">
        <v>4.8499999999999996</v>
      </c>
      <c r="O396" s="27" t="s">
        <v>48</v>
      </c>
      <c r="P396" s="27">
        <v>4</v>
      </c>
      <c r="Q396" s="27">
        <v>10</v>
      </c>
      <c r="R396" s="27" t="s">
        <v>64</v>
      </c>
      <c r="S396" s="27" t="s">
        <v>50</v>
      </c>
      <c r="T396" s="27" t="s">
        <v>50</v>
      </c>
      <c r="U396" s="27" t="s">
        <v>50</v>
      </c>
      <c r="V396" s="27" t="s">
        <v>50</v>
      </c>
      <c r="W396" s="27" t="s">
        <v>50</v>
      </c>
      <c r="X396" s="27" t="s">
        <v>50</v>
      </c>
      <c r="Y396" s="35" t="s">
        <v>7327</v>
      </c>
    </row>
    <row r="397" spans="1:25" s="27" customFormat="1" x14ac:dyDescent="0.25">
      <c r="A397" s="194">
        <v>43154</v>
      </c>
      <c r="B397" s="27" t="s">
        <v>125</v>
      </c>
      <c r="C397" s="27" t="s">
        <v>78</v>
      </c>
      <c r="D397" s="89">
        <v>38.037640000000003</v>
      </c>
      <c r="E397" s="89">
        <v>-122.14129</v>
      </c>
      <c r="F397" s="27" t="s">
        <v>7328</v>
      </c>
      <c r="G397" s="27" t="s">
        <v>80</v>
      </c>
      <c r="H397" s="27" t="s">
        <v>81</v>
      </c>
      <c r="I397" s="84">
        <v>0.35833333333333334</v>
      </c>
      <c r="J397" s="82">
        <v>20761.2</v>
      </c>
      <c r="K397" s="82">
        <v>10.78</v>
      </c>
      <c r="L397" s="82">
        <v>15.279999999999998</v>
      </c>
      <c r="M397" s="82">
        <v>0.59199999999999997</v>
      </c>
      <c r="N397" s="4">
        <v>14.160000000000002</v>
      </c>
      <c r="O397" s="27" t="s">
        <v>48</v>
      </c>
      <c r="P397" s="27">
        <v>5</v>
      </c>
      <c r="Q397" s="27">
        <v>5</v>
      </c>
      <c r="R397" s="27" t="s">
        <v>49</v>
      </c>
      <c r="S397" s="27" t="s">
        <v>50</v>
      </c>
      <c r="T397" s="27" t="s">
        <v>50</v>
      </c>
      <c r="U397" s="27" t="s">
        <v>50</v>
      </c>
      <c r="V397" s="27" t="s">
        <v>50</v>
      </c>
      <c r="W397" s="27" t="s">
        <v>50</v>
      </c>
      <c r="X397" s="27" t="s">
        <v>50</v>
      </c>
      <c r="Y397" s="35"/>
    </row>
    <row r="398" spans="1:25" s="27" customFormat="1" x14ac:dyDescent="0.25">
      <c r="A398" s="194">
        <v>43154</v>
      </c>
      <c r="B398" s="27" t="s">
        <v>125</v>
      </c>
      <c r="C398" s="27" t="s">
        <v>78</v>
      </c>
      <c r="D398" s="89">
        <v>38.09572</v>
      </c>
      <c r="E398" s="89">
        <v>-122.06989</v>
      </c>
      <c r="F398" s="27" t="s">
        <v>7329</v>
      </c>
      <c r="G398" s="27" t="s">
        <v>80</v>
      </c>
      <c r="H398" s="27" t="s">
        <v>81</v>
      </c>
      <c r="I398" s="84">
        <v>0.41180555555555554</v>
      </c>
      <c r="J398" s="82">
        <v>12390.6</v>
      </c>
      <c r="K398" s="82">
        <v>10.780000000000001</v>
      </c>
      <c r="L398" s="82">
        <v>39.820000000000007</v>
      </c>
      <c r="M398" s="82">
        <v>0.32400000000000001</v>
      </c>
      <c r="N398" s="4">
        <v>7.9</v>
      </c>
      <c r="O398" s="27" t="s">
        <v>48</v>
      </c>
      <c r="P398" s="27">
        <v>5</v>
      </c>
      <c r="Q398" s="27">
        <v>5</v>
      </c>
      <c r="R398" s="27" t="s">
        <v>49</v>
      </c>
      <c r="S398" s="27" t="s">
        <v>31</v>
      </c>
      <c r="T398" s="27">
        <v>3</v>
      </c>
      <c r="U398" s="27" t="s">
        <v>7330</v>
      </c>
      <c r="V398" s="27" t="s">
        <v>2789</v>
      </c>
      <c r="W398" s="27" t="s">
        <v>50</v>
      </c>
      <c r="X398" s="27" t="s">
        <v>50</v>
      </c>
      <c r="Y398" s="35" t="s">
        <v>7331</v>
      </c>
    </row>
    <row r="399" spans="1:25" s="149" customFormat="1" x14ac:dyDescent="0.25">
      <c r="A399" s="195">
        <v>43154</v>
      </c>
      <c r="B399" s="149" t="s">
        <v>125</v>
      </c>
      <c r="C399" s="149" t="s">
        <v>78</v>
      </c>
      <c r="D399" s="150">
        <v>38.05198</v>
      </c>
      <c r="E399" s="150">
        <v>-121.84195</v>
      </c>
      <c r="F399" s="149" t="s">
        <v>7332</v>
      </c>
      <c r="G399" s="149" t="s">
        <v>27</v>
      </c>
      <c r="H399" s="149" t="s">
        <v>101</v>
      </c>
      <c r="I399" s="151">
        <v>0.49652777777777773</v>
      </c>
      <c r="J399" s="197" t="s">
        <v>50</v>
      </c>
      <c r="K399" s="197" t="s">
        <v>50</v>
      </c>
      <c r="L399" s="197" t="s">
        <v>50</v>
      </c>
      <c r="M399" s="197" t="s">
        <v>50</v>
      </c>
      <c r="N399" s="197" t="s">
        <v>50</v>
      </c>
      <c r="O399" s="149" t="s">
        <v>48</v>
      </c>
      <c r="P399" s="149">
        <v>0</v>
      </c>
      <c r="Q399" s="149" t="s">
        <v>50</v>
      </c>
      <c r="R399" s="149" t="s">
        <v>50</v>
      </c>
      <c r="S399" s="149" t="s">
        <v>50</v>
      </c>
      <c r="T399" s="149" t="s">
        <v>50</v>
      </c>
      <c r="U399" s="149" t="s">
        <v>50</v>
      </c>
      <c r="V399" s="149" t="s">
        <v>50</v>
      </c>
      <c r="W399" s="149" t="s">
        <v>50</v>
      </c>
      <c r="X399" s="149" t="s">
        <v>50</v>
      </c>
      <c r="Y399" s="152" t="s">
        <v>7333</v>
      </c>
    </row>
    <row r="400" spans="1:25" s="27" customFormat="1" x14ac:dyDescent="0.25">
      <c r="A400" s="194">
        <v>43154</v>
      </c>
      <c r="B400" s="27" t="s">
        <v>125</v>
      </c>
      <c r="C400" s="27" t="s">
        <v>6849</v>
      </c>
      <c r="D400" s="89">
        <v>38.578229999999998</v>
      </c>
      <c r="E400" s="89">
        <v>-121.50902000000001</v>
      </c>
      <c r="F400" s="27" t="s">
        <v>7334</v>
      </c>
      <c r="G400" s="27" t="s">
        <v>90</v>
      </c>
      <c r="H400" s="27" t="s">
        <v>6851</v>
      </c>
      <c r="I400" s="84">
        <v>0.43055555555555558</v>
      </c>
      <c r="J400" s="82">
        <v>109.11666666666666</v>
      </c>
      <c r="K400" s="82">
        <v>9.4500000000000011</v>
      </c>
      <c r="L400" s="82">
        <v>8.1749999999999989</v>
      </c>
      <c r="M400" s="82">
        <v>1.2183333333333333</v>
      </c>
      <c r="N400" s="4">
        <v>7.0666666666666664</v>
      </c>
      <c r="O400" s="27" t="s">
        <v>48</v>
      </c>
      <c r="P400" s="27">
        <v>6</v>
      </c>
      <c r="Q400" s="27">
        <v>10</v>
      </c>
      <c r="R400" s="27" t="s">
        <v>49</v>
      </c>
      <c r="S400" s="27" t="s">
        <v>449</v>
      </c>
      <c r="T400" s="27">
        <v>4</v>
      </c>
      <c r="U400" s="27" t="s">
        <v>7335</v>
      </c>
      <c r="V400" s="27" t="s">
        <v>50</v>
      </c>
      <c r="W400" s="27">
        <v>5</v>
      </c>
      <c r="X400" s="27" t="s">
        <v>2525</v>
      </c>
      <c r="Y400" s="35"/>
    </row>
    <row r="401" spans="1:25" s="108" customFormat="1" ht="15.75" thickBot="1" x14ac:dyDescent="0.3">
      <c r="A401" s="126">
        <v>43154</v>
      </c>
      <c r="B401" s="108" t="s">
        <v>125</v>
      </c>
      <c r="C401" s="108" t="s">
        <v>6849</v>
      </c>
      <c r="D401" s="109">
        <v>38.434800000000003</v>
      </c>
      <c r="E401" s="109">
        <v>-121.52134</v>
      </c>
      <c r="F401" s="108" t="s">
        <v>7336</v>
      </c>
      <c r="G401" s="108" t="s">
        <v>90</v>
      </c>
      <c r="H401" s="108" t="s">
        <v>6851</v>
      </c>
      <c r="I401" s="110">
        <v>0.56388888888888888</v>
      </c>
      <c r="J401" s="111">
        <v>137.95000000000002</v>
      </c>
      <c r="K401" s="111">
        <v>10.366666666666667</v>
      </c>
      <c r="L401" s="111">
        <v>6.5933333333333337</v>
      </c>
      <c r="M401" s="111">
        <v>1.2949999999999999</v>
      </c>
      <c r="N401" s="112">
        <v>7.9666666666666677</v>
      </c>
      <c r="O401" s="108" t="s">
        <v>48</v>
      </c>
      <c r="P401" s="108">
        <v>6</v>
      </c>
      <c r="Q401" s="108">
        <v>10</v>
      </c>
      <c r="R401" s="108" t="s">
        <v>49</v>
      </c>
      <c r="S401" s="108" t="s">
        <v>50</v>
      </c>
      <c r="T401" s="108" t="s">
        <v>50</v>
      </c>
      <c r="U401" s="108" t="s">
        <v>50</v>
      </c>
      <c r="V401" s="108" t="s">
        <v>50</v>
      </c>
      <c r="W401" s="108" t="s">
        <v>50</v>
      </c>
      <c r="X401" s="108" t="s">
        <v>50</v>
      </c>
      <c r="Y401" s="113"/>
    </row>
    <row r="402" spans="1:25" s="27" customFormat="1" ht="15.75" thickTop="1" x14ac:dyDescent="0.25">
      <c r="A402" s="26">
        <v>43157</v>
      </c>
      <c r="B402" s="27" t="s">
        <v>43</v>
      </c>
      <c r="C402" s="27" t="s">
        <v>106</v>
      </c>
      <c r="D402" s="89">
        <v>38.206359999999997</v>
      </c>
      <c r="E402" s="89">
        <v>-121.66038</v>
      </c>
      <c r="F402" s="27" t="s">
        <v>7337</v>
      </c>
      <c r="G402" s="27" t="s">
        <v>90</v>
      </c>
      <c r="H402" s="27" t="s">
        <v>362</v>
      </c>
      <c r="I402" s="84">
        <v>0.34027777777777773</v>
      </c>
      <c r="J402" s="82">
        <v>148.34</v>
      </c>
      <c r="K402" s="82">
        <v>10.4</v>
      </c>
      <c r="L402" s="82">
        <v>6.2520000000000007</v>
      </c>
      <c r="M402" s="82">
        <v>1.3239999999999998</v>
      </c>
      <c r="N402" s="4">
        <v>12.36</v>
      </c>
      <c r="O402" s="27" t="s">
        <v>48</v>
      </c>
      <c r="P402" s="27">
        <v>5</v>
      </c>
      <c r="Q402" s="27">
        <v>5</v>
      </c>
      <c r="R402" s="27" t="s">
        <v>64</v>
      </c>
      <c r="S402" s="27" t="s">
        <v>50</v>
      </c>
      <c r="T402" s="27" t="s">
        <v>50</v>
      </c>
      <c r="U402" s="27" t="s">
        <v>50</v>
      </c>
      <c r="V402" s="27" t="s">
        <v>50</v>
      </c>
      <c r="W402" s="27" t="s">
        <v>50</v>
      </c>
      <c r="X402" s="27" t="s">
        <v>50</v>
      </c>
      <c r="Y402" s="35"/>
    </row>
    <row r="403" spans="1:25" s="27" customFormat="1" x14ac:dyDescent="0.25">
      <c r="A403" s="26">
        <v>43157</v>
      </c>
      <c r="B403" s="27" t="s">
        <v>43</v>
      </c>
      <c r="C403" s="27" t="s">
        <v>106</v>
      </c>
      <c r="D403" s="89">
        <v>38.236170000000001</v>
      </c>
      <c r="E403" s="89">
        <v>-121.67404999999999</v>
      </c>
      <c r="F403" s="27" t="s">
        <v>7338</v>
      </c>
      <c r="G403" s="27" t="s">
        <v>90</v>
      </c>
      <c r="H403" s="27" t="s">
        <v>362</v>
      </c>
      <c r="I403" s="84">
        <v>0.38055555555555554</v>
      </c>
      <c r="J403" s="82">
        <v>143.98000000000002</v>
      </c>
      <c r="K403" s="82">
        <v>10.360000000000001</v>
      </c>
      <c r="L403" s="82">
        <v>8.11</v>
      </c>
      <c r="M403" s="82">
        <v>1.3280000000000001</v>
      </c>
      <c r="N403" s="4">
        <v>10.940000000000001</v>
      </c>
      <c r="O403" s="27" t="s">
        <v>48</v>
      </c>
      <c r="P403" s="27">
        <v>5</v>
      </c>
      <c r="Q403" s="27">
        <v>5</v>
      </c>
      <c r="R403" s="27" t="s">
        <v>64</v>
      </c>
      <c r="S403" s="27" t="s">
        <v>50</v>
      </c>
      <c r="T403" s="27" t="s">
        <v>50</v>
      </c>
      <c r="U403" s="27" t="s">
        <v>50</v>
      </c>
      <c r="V403" s="27" t="s">
        <v>50</v>
      </c>
      <c r="W403" s="27" t="s">
        <v>50</v>
      </c>
      <c r="X403" s="27" t="s">
        <v>50</v>
      </c>
      <c r="Y403" s="35" t="s">
        <v>7339</v>
      </c>
    </row>
    <row r="404" spans="1:25" s="27" customFormat="1" x14ac:dyDescent="0.25">
      <c r="A404" s="26">
        <v>43157</v>
      </c>
      <c r="B404" s="27" t="s">
        <v>43</v>
      </c>
      <c r="C404" s="27" t="s">
        <v>106</v>
      </c>
      <c r="D404" s="89">
        <v>38.509839999999997</v>
      </c>
      <c r="E404" s="89">
        <v>-121.58450999999999</v>
      </c>
      <c r="F404" s="27" t="s">
        <v>7340</v>
      </c>
      <c r="G404" s="27" t="s">
        <v>90</v>
      </c>
      <c r="H404" s="27" t="s">
        <v>1787</v>
      </c>
      <c r="I404" s="84">
        <v>0.44236111111111115</v>
      </c>
      <c r="J404" s="82">
        <v>574.5</v>
      </c>
      <c r="K404" s="82">
        <v>10.5</v>
      </c>
      <c r="L404" s="82">
        <v>38.25</v>
      </c>
      <c r="M404" s="82">
        <v>0.27</v>
      </c>
      <c r="N404" s="4">
        <v>11.5</v>
      </c>
      <c r="O404" s="27" t="s">
        <v>48</v>
      </c>
      <c r="P404" s="27">
        <v>2</v>
      </c>
      <c r="Q404" s="27">
        <v>5</v>
      </c>
      <c r="R404" s="27" t="s">
        <v>64</v>
      </c>
      <c r="S404" s="27" t="s">
        <v>323</v>
      </c>
      <c r="T404" s="27">
        <v>1</v>
      </c>
      <c r="U404" s="27">
        <v>64</v>
      </c>
      <c r="V404" s="27" t="s">
        <v>66</v>
      </c>
      <c r="W404" s="27" t="s">
        <v>50</v>
      </c>
      <c r="X404" s="27" t="s">
        <v>50</v>
      </c>
      <c r="Y404" s="35"/>
    </row>
    <row r="405" spans="1:25" s="27" customFormat="1" x14ac:dyDescent="0.25">
      <c r="A405" s="26">
        <v>43157</v>
      </c>
      <c r="B405" s="27" t="s">
        <v>43</v>
      </c>
      <c r="C405" s="27" t="s">
        <v>62</v>
      </c>
      <c r="D405" s="89">
        <v>38.16545</v>
      </c>
      <c r="E405" s="89">
        <v>-122.06469</v>
      </c>
      <c r="F405" s="27" t="s">
        <v>7341</v>
      </c>
      <c r="G405" s="27" t="s">
        <v>27</v>
      </c>
      <c r="H405" s="27" t="s">
        <v>62</v>
      </c>
      <c r="I405" s="84">
        <v>0.39305555555555555</v>
      </c>
      <c r="J405" s="82">
        <v>4434.3999999999996</v>
      </c>
      <c r="K405" s="82">
        <v>10.719999999999999</v>
      </c>
      <c r="L405" s="82">
        <v>127.6</v>
      </c>
      <c r="M405" s="82">
        <v>0.184</v>
      </c>
      <c r="N405" s="4">
        <v>6.5200000000000005</v>
      </c>
      <c r="O405" s="27" t="s">
        <v>48</v>
      </c>
      <c r="P405" s="27">
        <v>5</v>
      </c>
      <c r="Q405" s="27">
        <v>5</v>
      </c>
      <c r="R405" s="27" t="s">
        <v>64</v>
      </c>
      <c r="S405" s="27" t="s">
        <v>31</v>
      </c>
      <c r="T405" s="27">
        <v>1</v>
      </c>
      <c r="U405" s="27">
        <v>73</v>
      </c>
      <c r="V405" s="27" t="s">
        <v>66</v>
      </c>
      <c r="W405" s="27" t="s">
        <v>50</v>
      </c>
      <c r="X405" s="27" t="s">
        <v>50</v>
      </c>
      <c r="Y405" s="35"/>
    </row>
    <row r="406" spans="1:25" s="27" customFormat="1" x14ac:dyDescent="0.25">
      <c r="A406" s="26">
        <v>43157</v>
      </c>
      <c r="B406" s="27" t="s">
        <v>43</v>
      </c>
      <c r="C406" s="27" t="s">
        <v>62</v>
      </c>
      <c r="D406" s="89">
        <v>38.121040000000001</v>
      </c>
      <c r="E406" s="89">
        <v>-122.05506</v>
      </c>
      <c r="F406" s="27" t="s">
        <v>7342</v>
      </c>
      <c r="G406" s="27" t="s">
        <v>27</v>
      </c>
      <c r="H406" s="27" t="s">
        <v>173</v>
      </c>
      <c r="I406" s="84">
        <v>0.44930555555555557</v>
      </c>
      <c r="J406" s="82">
        <v>8498</v>
      </c>
      <c r="K406" s="82">
        <v>11.120000000000001</v>
      </c>
      <c r="L406" s="82">
        <v>55.739999999999995</v>
      </c>
      <c r="M406" s="82">
        <v>0.29799999999999999</v>
      </c>
      <c r="N406" s="4">
        <v>3.6799999999999997</v>
      </c>
      <c r="O406" s="27" t="s">
        <v>48</v>
      </c>
      <c r="P406" s="27">
        <v>5</v>
      </c>
      <c r="Q406" s="27">
        <v>5</v>
      </c>
      <c r="R406" s="27" t="s">
        <v>49</v>
      </c>
      <c r="S406" s="27" t="s">
        <v>50</v>
      </c>
      <c r="T406" s="27" t="s">
        <v>50</v>
      </c>
      <c r="U406" s="27" t="s">
        <v>50</v>
      </c>
      <c r="V406" s="27" t="s">
        <v>50</v>
      </c>
      <c r="W406" s="27" t="s">
        <v>50</v>
      </c>
      <c r="X406" s="27" t="s">
        <v>50</v>
      </c>
      <c r="Y406" s="35"/>
    </row>
    <row r="407" spans="1:25" s="27" customFormat="1" x14ac:dyDescent="0.25">
      <c r="A407" s="26">
        <v>43157</v>
      </c>
      <c r="B407" s="27" t="s">
        <v>43</v>
      </c>
      <c r="C407" s="27" t="s">
        <v>6879</v>
      </c>
      <c r="D407" s="89">
        <v>38.075499999999998</v>
      </c>
      <c r="E407" s="89">
        <v>-121.45496</v>
      </c>
      <c r="F407" s="27" t="s">
        <v>7343</v>
      </c>
      <c r="G407" s="27" t="s">
        <v>46</v>
      </c>
      <c r="H407" s="27" t="s">
        <v>6883</v>
      </c>
      <c r="I407" s="84">
        <v>0.36041666666666666</v>
      </c>
      <c r="J407" s="82">
        <v>313.04285714285714</v>
      </c>
      <c r="K407" s="82">
        <v>10.328571428571431</v>
      </c>
      <c r="L407" s="82">
        <v>2.8314285714285714</v>
      </c>
      <c r="M407" s="82">
        <v>1.8000000000000003</v>
      </c>
      <c r="N407" s="4">
        <v>6.7714285714285714</v>
      </c>
      <c r="O407" s="27" t="s">
        <v>48</v>
      </c>
      <c r="P407" s="27">
        <v>7</v>
      </c>
      <c r="Q407" s="27">
        <v>10</v>
      </c>
      <c r="R407" s="27" t="s">
        <v>64</v>
      </c>
      <c r="S407" s="27" t="s">
        <v>50</v>
      </c>
      <c r="T407" s="27" t="s">
        <v>50</v>
      </c>
      <c r="U407" s="27" t="s">
        <v>50</v>
      </c>
      <c r="V407" s="27" t="s">
        <v>50</v>
      </c>
      <c r="W407" s="27" t="s">
        <v>50</v>
      </c>
      <c r="X407" s="27" t="s">
        <v>50</v>
      </c>
      <c r="Y407" s="35" t="s">
        <v>7344</v>
      </c>
    </row>
    <row r="408" spans="1:25" s="27" customFormat="1" x14ac:dyDescent="0.25">
      <c r="A408" s="26">
        <v>43157</v>
      </c>
      <c r="B408" s="27" t="s">
        <v>43</v>
      </c>
      <c r="C408" s="27" t="s">
        <v>6879</v>
      </c>
      <c r="D408" s="89">
        <v>38.106560000000002</v>
      </c>
      <c r="E408" s="89">
        <v>-121.49862</v>
      </c>
      <c r="F408" s="27" t="s">
        <v>7345</v>
      </c>
      <c r="G408" s="27" t="s">
        <v>46</v>
      </c>
      <c r="H408" s="27" t="s">
        <v>6881</v>
      </c>
      <c r="I408" s="84">
        <v>0.46319444444444446</v>
      </c>
      <c r="J408" s="82">
        <v>223.23333333333335</v>
      </c>
      <c r="K408" s="82">
        <v>10.283333333333333</v>
      </c>
      <c r="L408" s="82">
        <v>3.855</v>
      </c>
      <c r="M408" s="82">
        <v>1.8</v>
      </c>
      <c r="N408" s="4">
        <v>7.666666666666667</v>
      </c>
      <c r="O408" s="27" t="s">
        <v>48</v>
      </c>
      <c r="P408" s="27">
        <v>6</v>
      </c>
      <c r="Q408" s="27">
        <v>10</v>
      </c>
      <c r="R408" s="27" t="s">
        <v>64</v>
      </c>
      <c r="S408" s="27" t="s">
        <v>50</v>
      </c>
      <c r="T408" s="27" t="s">
        <v>50</v>
      </c>
      <c r="U408" s="27" t="s">
        <v>50</v>
      </c>
      <c r="V408" s="27" t="s">
        <v>50</v>
      </c>
      <c r="W408" s="27" t="s">
        <v>50</v>
      </c>
      <c r="X408" s="27" t="s">
        <v>50</v>
      </c>
      <c r="Y408" s="35"/>
    </row>
    <row r="409" spans="1:25" s="27" customFormat="1" x14ac:dyDescent="0.25">
      <c r="A409" s="26">
        <v>43158</v>
      </c>
      <c r="B409" s="27" t="s">
        <v>70</v>
      </c>
      <c r="C409" s="27" t="s">
        <v>88</v>
      </c>
      <c r="D409" s="89">
        <v>38.054389999999998</v>
      </c>
      <c r="E409" s="89">
        <v>-121.79043</v>
      </c>
      <c r="F409" s="27" t="s">
        <v>7346</v>
      </c>
      <c r="G409" s="27" t="s">
        <v>27</v>
      </c>
      <c r="H409" s="27" t="s">
        <v>25</v>
      </c>
      <c r="I409" s="84">
        <v>0.33194444444444443</v>
      </c>
      <c r="J409" s="82">
        <v>286.3</v>
      </c>
      <c r="K409" s="82">
        <v>9.9</v>
      </c>
      <c r="L409" s="82">
        <v>33.933329999999998</v>
      </c>
      <c r="M409" s="82">
        <v>0.46333299999999999</v>
      </c>
      <c r="N409" s="4">
        <v>6</v>
      </c>
      <c r="O409" s="27" t="s">
        <v>48</v>
      </c>
      <c r="P409" s="27">
        <v>3</v>
      </c>
      <c r="Q409" s="27">
        <v>5</v>
      </c>
      <c r="R409" s="27" t="s">
        <v>49</v>
      </c>
      <c r="S409" s="27" t="s">
        <v>50</v>
      </c>
      <c r="T409" s="27" t="s">
        <v>50</v>
      </c>
      <c r="U409" s="27" t="s">
        <v>50</v>
      </c>
      <c r="V409" s="27" t="s">
        <v>50</v>
      </c>
      <c r="W409" s="27" t="s">
        <v>50</v>
      </c>
      <c r="X409" s="27" t="s">
        <v>50</v>
      </c>
      <c r="Y409" s="35" t="s">
        <v>7347</v>
      </c>
    </row>
    <row r="410" spans="1:25" s="27" customFormat="1" x14ac:dyDescent="0.25">
      <c r="A410" s="26">
        <v>43158</v>
      </c>
      <c r="B410" s="27" t="s">
        <v>70</v>
      </c>
      <c r="C410" s="27" t="s">
        <v>95</v>
      </c>
      <c r="D410" s="89">
        <v>38.104550000000003</v>
      </c>
      <c r="E410" s="89">
        <v>-121.59972999999999</v>
      </c>
      <c r="F410" s="27" t="s">
        <v>7348</v>
      </c>
      <c r="G410" s="27" t="s">
        <v>46</v>
      </c>
      <c r="H410" s="27" t="s">
        <v>115</v>
      </c>
      <c r="I410" s="84">
        <v>0.39097222222222222</v>
      </c>
      <c r="J410" s="82">
        <v>205.3</v>
      </c>
      <c r="K410" s="82">
        <v>10.46</v>
      </c>
      <c r="L410" s="82">
        <v>10.210000000000001</v>
      </c>
      <c r="M410" s="82">
        <v>1.446</v>
      </c>
      <c r="N410" s="4">
        <v>11.02</v>
      </c>
      <c r="O410" s="27" t="s">
        <v>48</v>
      </c>
      <c r="P410" s="27">
        <v>5</v>
      </c>
      <c r="Q410" s="27">
        <v>5</v>
      </c>
      <c r="R410" s="27" t="s">
        <v>64</v>
      </c>
      <c r="S410" s="27" t="s">
        <v>50</v>
      </c>
      <c r="T410" s="27" t="s">
        <v>50</v>
      </c>
      <c r="U410" s="27" t="s">
        <v>50</v>
      </c>
      <c r="V410" s="27" t="s">
        <v>50</v>
      </c>
      <c r="W410" s="27" t="s">
        <v>50</v>
      </c>
      <c r="X410" s="27" t="s">
        <v>50</v>
      </c>
      <c r="Y410" s="35"/>
    </row>
    <row r="411" spans="1:25" s="27" customFormat="1" x14ac:dyDescent="0.25">
      <c r="A411" s="26">
        <v>43158</v>
      </c>
      <c r="B411" s="27" t="s">
        <v>70</v>
      </c>
      <c r="C411" s="27" t="s">
        <v>95</v>
      </c>
      <c r="D411" s="89">
        <v>38.090400000000002</v>
      </c>
      <c r="E411" s="89">
        <v>-121.57693</v>
      </c>
      <c r="F411" s="27" t="s">
        <v>7349</v>
      </c>
      <c r="G411" s="27" t="s">
        <v>46</v>
      </c>
      <c r="H411" s="27" t="s">
        <v>115</v>
      </c>
      <c r="I411" s="84">
        <v>0.43541666666666662</v>
      </c>
      <c r="J411" s="82">
        <v>217.92</v>
      </c>
      <c r="K411" s="82">
        <v>10.52</v>
      </c>
      <c r="L411" s="82">
        <v>12.12</v>
      </c>
      <c r="M411" s="82">
        <v>1.08</v>
      </c>
      <c r="N411" s="4">
        <v>10.92</v>
      </c>
      <c r="O411" s="27" t="s">
        <v>48</v>
      </c>
      <c r="P411" s="27">
        <v>5</v>
      </c>
      <c r="Q411" s="27">
        <v>5</v>
      </c>
      <c r="R411" s="27" t="s">
        <v>64</v>
      </c>
      <c r="S411" s="27" t="s">
        <v>50</v>
      </c>
      <c r="T411" s="27" t="s">
        <v>50</v>
      </c>
      <c r="U411" s="27" t="s">
        <v>50</v>
      </c>
      <c r="V411" s="27" t="s">
        <v>50</v>
      </c>
      <c r="W411" s="27" t="s">
        <v>50</v>
      </c>
      <c r="X411" s="27" t="s">
        <v>50</v>
      </c>
      <c r="Y411" s="35"/>
    </row>
    <row r="412" spans="1:25" s="27" customFormat="1" x14ac:dyDescent="0.25">
      <c r="A412" s="26">
        <v>43158</v>
      </c>
      <c r="B412" s="27" t="s">
        <v>70</v>
      </c>
      <c r="C412" s="27" t="s">
        <v>78</v>
      </c>
      <c r="D412" s="89">
        <v>38.102110000000003</v>
      </c>
      <c r="E412" s="89">
        <v>-122.04705</v>
      </c>
      <c r="F412" s="27" t="s">
        <v>7350</v>
      </c>
      <c r="G412" s="27" t="s">
        <v>27</v>
      </c>
      <c r="H412" s="27" t="s">
        <v>86</v>
      </c>
      <c r="I412" s="84">
        <v>0.3430555555555555</v>
      </c>
      <c r="J412" s="82">
        <v>7087.4</v>
      </c>
      <c r="K412" s="82">
        <v>10.44</v>
      </c>
      <c r="L412" s="82">
        <v>33.82</v>
      </c>
      <c r="M412" s="82">
        <v>0.29599999999999999</v>
      </c>
      <c r="N412" s="4">
        <v>5.72</v>
      </c>
      <c r="O412" s="27" t="s">
        <v>48</v>
      </c>
      <c r="P412" s="27">
        <v>5</v>
      </c>
      <c r="Q412" s="27">
        <v>5</v>
      </c>
      <c r="R412" s="27" t="s">
        <v>64</v>
      </c>
      <c r="S412" s="27" t="s">
        <v>50</v>
      </c>
      <c r="T412" s="27" t="s">
        <v>50</v>
      </c>
      <c r="U412" s="27" t="s">
        <v>50</v>
      </c>
      <c r="V412" s="27" t="s">
        <v>50</v>
      </c>
      <c r="W412" s="27" t="s">
        <v>50</v>
      </c>
      <c r="X412" s="27" t="s">
        <v>50</v>
      </c>
      <c r="Y412" s="35"/>
    </row>
    <row r="413" spans="1:25" s="27" customFormat="1" x14ac:dyDescent="0.25">
      <c r="A413" s="26">
        <v>43158</v>
      </c>
      <c r="B413" s="27" t="s">
        <v>70</v>
      </c>
      <c r="C413" s="27" t="s">
        <v>78</v>
      </c>
      <c r="D413" s="89">
        <v>38.071869999999997</v>
      </c>
      <c r="E413" s="89">
        <v>-121.97981</v>
      </c>
      <c r="F413" s="27" t="s">
        <v>7351</v>
      </c>
      <c r="G413" s="27" t="s">
        <v>27</v>
      </c>
      <c r="H413" s="27" t="s">
        <v>86</v>
      </c>
      <c r="I413" s="84">
        <v>0.39305555555555555</v>
      </c>
      <c r="J413" s="82">
        <v>4717.8</v>
      </c>
      <c r="K413" s="82">
        <v>10.46</v>
      </c>
      <c r="L413" s="82">
        <v>46.94</v>
      </c>
      <c r="M413" s="82">
        <v>0.30199999999999999</v>
      </c>
      <c r="N413" s="4">
        <v>7.72</v>
      </c>
      <c r="O413" s="27" t="s">
        <v>48</v>
      </c>
      <c r="P413" s="27">
        <v>5</v>
      </c>
      <c r="Q413" s="27">
        <v>5</v>
      </c>
      <c r="R413" s="27" t="s">
        <v>64</v>
      </c>
      <c r="S413" s="27" t="s">
        <v>31</v>
      </c>
      <c r="T413" s="27">
        <v>1</v>
      </c>
      <c r="U413" s="27">
        <v>91</v>
      </c>
      <c r="V413" s="27" t="s">
        <v>66</v>
      </c>
      <c r="W413" s="27" t="s">
        <v>50</v>
      </c>
      <c r="X413" s="27" t="s">
        <v>50</v>
      </c>
      <c r="Y413" s="35"/>
    </row>
    <row r="414" spans="1:25" s="27" customFormat="1" x14ac:dyDescent="0.25">
      <c r="A414" s="26">
        <v>43158</v>
      </c>
      <c r="B414" s="27" t="s">
        <v>70</v>
      </c>
      <c r="C414" s="27" t="s">
        <v>78</v>
      </c>
      <c r="D414" s="89">
        <v>38.068930000000002</v>
      </c>
      <c r="E414" s="89">
        <v>-121.84054</v>
      </c>
      <c r="F414" s="27" t="s">
        <v>7352</v>
      </c>
      <c r="G414" s="27" t="s">
        <v>27</v>
      </c>
      <c r="H414" s="27" t="s">
        <v>101</v>
      </c>
      <c r="I414" s="84">
        <v>0.44930555555555557</v>
      </c>
      <c r="J414" s="82">
        <v>1173</v>
      </c>
      <c r="K414" s="82">
        <v>10.6</v>
      </c>
      <c r="L414" s="82">
        <v>58.92</v>
      </c>
      <c r="M414" s="82">
        <v>0.254</v>
      </c>
      <c r="N414" s="4">
        <v>7.78</v>
      </c>
      <c r="O414" s="27" t="s">
        <v>48</v>
      </c>
      <c r="P414" s="27">
        <v>5</v>
      </c>
      <c r="Q414" s="27">
        <v>5</v>
      </c>
      <c r="R414" s="27" t="s">
        <v>64</v>
      </c>
      <c r="S414" s="27" t="s">
        <v>449</v>
      </c>
      <c r="T414" s="27">
        <v>5</v>
      </c>
      <c r="U414" s="27" t="s">
        <v>7353</v>
      </c>
      <c r="V414" s="27" t="s">
        <v>50</v>
      </c>
      <c r="W414" s="27">
        <v>5</v>
      </c>
      <c r="X414" s="27" t="s">
        <v>2525</v>
      </c>
      <c r="Y414" s="35"/>
    </row>
    <row r="415" spans="1:25" s="27" customFormat="1" x14ac:dyDescent="0.25">
      <c r="A415" s="26">
        <v>43159</v>
      </c>
      <c r="B415" s="27" t="s">
        <v>87</v>
      </c>
      <c r="C415" s="27" t="s">
        <v>95</v>
      </c>
      <c r="D415" s="89">
        <v>38.05959</v>
      </c>
      <c r="E415" s="89">
        <v>-121.68164</v>
      </c>
      <c r="F415" s="27" t="s">
        <v>7354</v>
      </c>
      <c r="G415" s="27" t="s">
        <v>46</v>
      </c>
      <c r="H415" s="27" t="s">
        <v>908</v>
      </c>
      <c r="I415" s="84">
        <v>0.31597222222222221</v>
      </c>
      <c r="J415" s="82">
        <v>199.04000000000002</v>
      </c>
      <c r="K415" s="82">
        <v>10.32</v>
      </c>
      <c r="L415" s="82">
        <v>10.834</v>
      </c>
      <c r="M415" s="82">
        <v>1.1240000000000001</v>
      </c>
      <c r="N415" s="4">
        <v>11.040000000000001</v>
      </c>
      <c r="O415" s="27" t="s">
        <v>48</v>
      </c>
      <c r="P415" s="27">
        <v>5</v>
      </c>
      <c r="Q415" s="27">
        <v>5</v>
      </c>
      <c r="R415" s="27" t="s">
        <v>49</v>
      </c>
      <c r="S415" s="27" t="s">
        <v>50</v>
      </c>
      <c r="T415" s="27" t="s">
        <v>50</v>
      </c>
      <c r="U415" s="27" t="s">
        <v>50</v>
      </c>
      <c r="V415" s="27" t="s">
        <v>50</v>
      </c>
      <c r="W415" s="27" t="s">
        <v>50</v>
      </c>
      <c r="X415" s="27" t="s">
        <v>50</v>
      </c>
      <c r="Y415" s="35"/>
    </row>
    <row r="416" spans="1:25" s="27" customFormat="1" x14ac:dyDescent="0.25">
      <c r="A416" s="26">
        <v>43159</v>
      </c>
      <c r="B416" s="27" t="s">
        <v>87</v>
      </c>
      <c r="C416" s="27" t="s">
        <v>95</v>
      </c>
      <c r="D416" s="89">
        <v>38.020229999999998</v>
      </c>
      <c r="E416" s="89">
        <v>-121.74647</v>
      </c>
      <c r="F416" s="27" t="s">
        <v>7355</v>
      </c>
      <c r="G416" s="27" t="s">
        <v>27</v>
      </c>
      <c r="H416" s="27" t="s">
        <v>863</v>
      </c>
      <c r="I416" s="84">
        <v>0.3611111111111111</v>
      </c>
      <c r="J416" s="82">
        <v>214.11999999999998</v>
      </c>
      <c r="K416" s="82">
        <v>9.8000000000000007</v>
      </c>
      <c r="L416" s="82">
        <v>15.080000000000002</v>
      </c>
      <c r="M416" s="82">
        <v>0.74</v>
      </c>
      <c r="N416" s="4">
        <v>3.5200000000000005</v>
      </c>
      <c r="O416" s="27" t="s">
        <v>48</v>
      </c>
      <c r="P416" s="27">
        <v>5</v>
      </c>
      <c r="Q416" s="27">
        <v>5</v>
      </c>
      <c r="R416" s="27" t="s">
        <v>49</v>
      </c>
      <c r="S416" s="27" t="s">
        <v>50</v>
      </c>
      <c r="T416" s="27" t="s">
        <v>50</v>
      </c>
      <c r="U416" s="27" t="s">
        <v>50</v>
      </c>
      <c r="V416" s="27" t="s">
        <v>50</v>
      </c>
      <c r="W416" s="27" t="s">
        <v>50</v>
      </c>
      <c r="X416" s="27" t="s">
        <v>50</v>
      </c>
      <c r="Y416" s="35"/>
    </row>
    <row r="417" spans="1:25" s="27" customFormat="1" x14ac:dyDescent="0.25">
      <c r="A417" s="26">
        <v>43159</v>
      </c>
      <c r="B417" s="27" t="s">
        <v>87</v>
      </c>
      <c r="C417" s="27" t="s">
        <v>95</v>
      </c>
      <c r="D417" s="89">
        <v>38.027320000000003</v>
      </c>
      <c r="E417" s="89">
        <v>-121.69678</v>
      </c>
      <c r="F417" s="27" t="s">
        <v>7356</v>
      </c>
      <c r="G417" s="27" t="s">
        <v>27</v>
      </c>
      <c r="H417" s="27" t="s">
        <v>863</v>
      </c>
      <c r="I417" s="84">
        <v>0.40416666666666662</v>
      </c>
      <c r="J417" s="82">
        <v>232.68</v>
      </c>
      <c r="K417" s="82">
        <v>9.64</v>
      </c>
      <c r="L417" s="82">
        <v>12.14</v>
      </c>
      <c r="M417" s="82">
        <v>0.93399999999999994</v>
      </c>
      <c r="N417" s="4">
        <v>5.34</v>
      </c>
      <c r="O417" s="27" t="s">
        <v>48</v>
      </c>
      <c r="P417" s="27">
        <v>5</v>
      </c>
      <c r="Q417" s="27">
        <v>5</v>
      </c>
      <c r="R417" s="27" t="s">
        <v>49</v>
      </c>
      <c r="S417" s="27" t="s">
        <v>50</v>
      </c>
      <c r="T417" s="27" t="s">
        <v>50</v>
      </c>
      <c r="U417" s="27" t="s">
        <v>50</v>
      </c>
      <c r="V417" s="27" t="s">
        <v>50</v>
      </c>
      <c r="W417" s="27" t="s">
        <v>50</v>
      </c>
      <c r="X417" s="27" t="s">
        <v>50</v>
      </c>
      <c r="Y417" s="35"/>
    </row>
    <row r="418" spans="1:25" s="27" customFormat="1" x14ac:dyDescent="0.25">
      <c r="A418" s="26">
        <v>43159</v>
      </c>
      <c r="B418" s="27" t="s">
        <v>87</v>
      </c>
      <c r="C418" s="27" t="s">
        <v>78</v>
      </c>
      <c r="D418" s="89">
        <v>38.060490000000001</v>
      </c>
      <c r="E418" s="89">
        <v>-122.06283999999999</v>
      </c>
      <c r="F418" s="27" t="s">
        <v>7357</v>
      </c>
      <c r="G418" s="27" t="s">
        <v>80</v>
      </c>
      <c r="H418" s="27" t="s">
        <v>81</v>
      </c>
      <c r="I418" s="84">
        <v>0.35347222222222219</v>
      </c>
      <c r="J418" s="82">
        <v>7008.166666666667</v>
      </c>
      <c r="K418" s="82">
        <v>10.583333333333334</v>
      </c>
      <c r="L418" s="82">
        <v>35.9</v>
      </c>
      <c r="M418" s="82">
        <v>0.40833333333333338</v>
      </c>
      <c r="N418" s="4">
        <v>5.1833333333333336</v>
      </c>
      <c r="O418" s="27" t="s">
        <v>48</v>
      </c>
      <c r="P418" s="27">
        <v>6</v>
      </c>
      <c r="Q418" s="27">
        <v>5</v>
      </c>
      <c r="R418" s="27" t="s">
        <v>49</v>
      </c>
      <c r="S418" s="27" t="s">
        <v>449</v>
      </c>
      <c r="T418" s="16">
        <v>3</v>
      </c>
      <c r="U418" s="27" t="s">
        <v>7358</v>
      </c>
      <c r="V418" s="27" t="s">
        <v>50</v>
      </c>
      <c r="W418" s="27">
        <v>5</v>
      </c>
      <c r="X418" s="27" t="s">
        <v>2525</v>
      </c>
      <c r="Y418" s="35" t="s">
        <v>7359</v>
      </c>
    </row>
    <row r="419" spans="1:25" s="27" customFormat="1" x14ac:dyDescent="0.25">
      <c r="A419" s="26">
        <v>43159</v>
      </c>
      <c r="B419" s="27" t="s">
        <v>87</v>
      </c>
      <c r="C419" s="27" t="s">
        <v>78</v>
      </c>
      <c r="D419" s="89">
        <v>38.060490000000001</v>
      </c>
      <c r="E419" s="89">
        <v>-122.06283999999999</v>
      </c>
      <c r="F419" s="27" t="s">
        <v>7357</v>
      </c>
      <c r="G419" s="27" t="s">
        <v>80</v>
      </c>
      <c r="H419" s="27" t="s">
        <v>81</v>
      </c>
      <c r="I419" s="84">
        <v>0.35347222222222219</v>
      </c>
      <c r="J419" s="82"/>
      <c r="K419" s="82"/>
      <c r="L419" s="82"/>
      <c r="M419" s="82"/>
      <c r="N419" s="4"/>
      <c r="S419" s="27" t="s">
        <v>31</v>
      </c>
      <c r="T419" s="27">
        <v>1</v>
      </c>
      <c r="U419" s="27">
        <v>77</v>
      </c>
      <c r="V419" s="27" t="s">
        <v>66</v>
      </c>
      <c r="W419" s="27" t="s">
        <v>50</v>
      </c>
      <c r="X419" s="27" t="s">
        <v>50</v>
      </c>
      <c r="Y419" s="35"/>
    </row>
    <row r="420" spans="1:25" s="27" customFormat="1" x14ac:dyDescent="0.25">
      <c r="A420" s="26">
        <v>43159</v>
      </c>
      <c r="B420" s="27" t="s">
        <v>87</v>
      </c>
      <c r="C420" s="27" t="s">
        <v>78</v>
      </c>
      <c r="D420" s="89">
        <v>38.053190000000001</v>
      </c>
      <c r="E420" s="89">
        <v>-121.97123999999999</v>
      </c>
      <c r="F420" s="27" t="s">
        <v>7360</v>
      </c>
      <c r="G420" s="27" t="s">
        <v>27</v>
      </c>
      <c r="H420" s="27" t="s">
        <v>86</v>
      </c>
      <c r="I420" s="84">
        <v>0.41944444444444445</v>
      </c>
      <c r="J420" s="82">
        <v>2898.6</v>
      </c>
      <c r="K420" s="82">
        <v>10.62</v>
      </c>
      <c r="L420" s="82">
        <v>40.519999999999996</v>
      </c>
      <c r="M420" s="82">
        <v>0.40400000000000003</v>
      </c>
      <c r="N420" s="4">
        <v>10.639999999999999</v>
      </c>
      <c r="O420" s="27" t="s">
        <v>48</v>
      </c>
      <c r="P420" s="27">
        <v>5</v>
      </c>
      <c r="Q420" s="27">
        <v>5</v>
      </c>
      <c r="R420" s="27" t="s">
        <v>64</v>
      </c>
      <c r="S420" s="27" t="s">
        <v>50</v>
      </c>
      <c r="T420" s="27" t="s">
        <v>50</v>
      </c>
      <c r="U420" s="27" t="s">
        <v>50</v>
      </c>
      <c r="V420" s="27" t="s">
        <v>50</v>
      </c>
      <c r="W420" s="27" t="s">
        <v>50</v>
      </c>
      <c r="X420" s="27" t="s">
        <v>50</v>
      </c>
      <c r="Y420" s="35"/>
    </row>
    <row r="421" spans="1:25" s="27" customFormat="1" x14ac:dyDescent="0.25">
      <c r="A421" s="26">
        <v>43159</v>
      </c>
      <c r="B421" s="27" t="s">
        <v>87</v>
      </c>
      <c r="C421" s="27" t="s">
        <v>78</v>
      </c>
      <c r="D421" s="89">
        <v>38.044289999999997</v>
      </c>
      <c r="E421" s="89">
        <v>-121.89739</v>
      </c>
      <c r="F421" s="27" t="s">
        <v>7361</v>
      </c>
      <c r="G421" s="27" t="s">
        <v>27</v>
      </c>
      <c r="H421" s="27" t="s">
        <v>101</v>
      </c>
      <c r="I421" s="84">
        <v>0.46527777777777773</v>
      </c>
      <c r="J421" s="82">
        <v>2144</v>
      </c>
      <c r="K421" s="82">
        <v>10.679999999999998</v>
      </c>
      <c r="L421" s="82">
        <v>37.82</v>
      </c>
      <c r="M421" s="82">
        <v>0.35799999999999998</v>
      </c>
      <c r="N421" s="4">
        <v>20.860000000000003</v>
      </c>
      <c r="O421" s="27" t="s">
        <v>48</v>
      </c>
      <c r="P421" s="27">
        <v>5</v>
      </c>
      <c r="Q421" s="27">
        <v>5</v>
      </c>
      <c r="R421" s="27" t="s">
        <v>64</v>
      </c>
      <c r="S421" s="27" t="s">
        <v>449</v>
      </c>
      <c r="T421" s="27">
        <v>2</v>
      </c>
      <c r="U421" s="27" t="s">
        <v>50</v>
      </c>
      <c r="V421" s="27" t="s">
        <v>50</v>
      </c>
      <c r="W421" s="27" t="s">
        <v>50</v>
      </c>
      <c r="X421" s="27" t="s">
        <v>50</v>
      </c>
      <c r="Y421" s="35" t="s">
        <v>7362</v>
      </c>
    </row>
    <row r="422" spans="1:25" s="27" customFormat="1" x14ac:dyDescent="0.25">
      <c r="A422" s="26">
        <v>43159</v>
      </c>
      <c r="B422" s="27" t="s">
        <v>87</v>
      </c>
      <c r="C422" s="27" t="s">
        <v>845</v>
      </c>
      <c r="D422" s="89">
        <v>38.283459999999998</v>
      </c>
      <c r="E422" s="89">
        <v>-121.71499</v>
      </c>
      <c r="F422" s="27" t="s">
        <v>7363</v>
      </c>
      <c r="G422" s="27" t="s">
        <v>90</v>
      </c>
      <c r="H422" s="27" t="s">
        <v>126</v>
      </c>
      <c r="I422" s="84">
        <v>0.37083333333333335</v>
      </c>
      <c r="J422" s="82">
        <v>371.9666666666667</v>
      </c>
      <c r="K422" s="82">
        <v>9</v>
      </c>
      <c r="L422" s="82">
        <v>14.633333333333335</v>
      </c>
      <c r="M422" s="82">
        <v>0.56999999999999995</v>
      </c>
      <c r="N422" s="4">
        <v>3.2666666666666671</v>
      </c>
      <c r="O422" s="27" t="s">
        <v>48</v>
      </c>
      <c r="P422" s="27">
        <v>3</v>
      </c>
      <c r="Q422" s="27">
        <v>5</v>
      </c>
      <c r="R422" s="27" t="s">
        <v>49</v>
      </c>
      <c r="S422" s="27" t="s">
        <v>449</v>
      </c>
      <c r="T422" s="27">
        <v>2</v>
      </c>
      <c r="U422" s="27" t="s">
        <v>7364</v>
      </c>
      <c r="V422" s="27" t="s">
        <v>50</v>
      </c>
      <c r="W422" s="27">
        <v>5</v>
      </c>
      <c r="X422" s="27" t="s">
        <v>2525</v>
      </c>
      <c r="Y422" s="35" t="s">
        <v>7365</v>
      </c>
    </row>
    <row r="423" spans="1:25" s="27" customFormat="1" x14ac:dyDescent="0.25">
      <c r="A423" s="26">
        <v>43159</v>
      </c>
      <c r="B423" s="27" t="s">
        <v>87</v>
      </c>
      <c r="C423" s="27" t="s">
        <v>88</v>
      </c>
      <c r="D423" s="89">
        <v>38.121160000000003</v>
      </c>
      <c r="E423" s="89">
        <v>-121.70246</v>
      </c>
      <c r="F423" s="27" t="s">
        <v>7366</v>
      </c>
      <c r="G423" s="27" t="s">
        <v>90</v>
      </c>
      <c r="H423" s="27" t="s">
        <v>91</v>
      </c>
      <c r="I423" s="84">
        <v>0.42708333333333331</v>
      </c>
      <c r="J423" s="82">
        <v>145.42000000000002</v>
      </c>
      <c r="K423" s="82">
        <v>10.080000000000002</v>
      </c>
      <c r="L423" s="82">
        <v>8.0640000000000001</v>
      </c>
      <c r="M423" s="82">
        <v>1.1479999999999999</v>
      </c>
      <c r="N423" s="4">
        <v>7.12</v>
      </c>
      <c r="O423" s="27" t="s">
        <v>48</v>
      </c>
      <c r="P423" s="27">
        <v>5</v>
      </c>
      <c r="Q423" s="27">
        <v>5</v>
      </c>
      <c r="R423" s="27" t="s">
        <v>64</v>
      </c>
      <c r="S423" s="27" t="s">
        <v>50</v>
      </c>
      <c r="T423" s="27" t="s">
        <v>50</v>
      </c>
      <c r="U423" s="27" t="s">
        <v>50</v>
      </c>
      <c r="V423" s="27" t="s">
        <v>50</v>
      </c>
      <c r="W423" s="27" t="s">
        <v>50</v>
      </c>
      <c r="X423" s="27" t="s">
        <v>50</v>
      </c>
      <c r="Y423" s="35"/>
    </row>
    <row r="424" spans="1:25" s="27" customFormat="1" x14ac:dyDescent="0.25">
      <c r="A424" s="26">
        <v>43159</v>
      </c>
      <c r="B424" s="27" t="s">
        <v>87</v>
      </c>
      <c r="C424" s="27" t="s">
        <v>845</v>
      </c>
      <c r="D424" s="89">
        <v>38.273269999999997</v>
      </c>
      <c r="E424" s="89">
        <v>-121.69423999999999</v>
      </c>
      <c r="F424" s="27" t="s">
        <v>7367</v>
      </c>
      <c r="G424" s="27" t="s">
        <v>90</v>
      </c>
      <c r="H424" s="27" t="s">
        <v>126</v>
      </c>
      <c r="I424" s="84">
        <v>0.32847222222222222</v>
      </c>
      <c r="J424" s="82">
        <v>199.8</v>
      </c>
      <c r="K424" s="82">
        <v>9.32</v>
      </c>
      <c r="L424" s="82">
        <v>16.600000000000001</v>
      </c>
      <c r="M424" s="82">
        <v>0.49599999999999989</v>
      </c>
      <c r="N424" s="4">
        <v>6.44</v>
      </c>
      <c r="O424" s="27" t="s">
        <v>48</v>
      </c>
      <c r="P424" s="27">
        <v>5</v>
      </c>
      <c r="Q424" s="27">
        <v>5</v>
      </c>
      <c r="R424" s="27" t="s">
        <v>49</v>
      </c>
      <c r="S424" s="27" t="s">
        <v>50</v>
      </c>
      <c r="T424" s="27" t="s">
        <v>50</v>
      </c>
      <c r="U424" s="27" t="s">
        <v>50</v>
      </c>
      <c r="V424" s="27" t="s">
        <v>50</v>
      </c>
      <c r="W424" s="27" t="s">
        <v>50</v>
      </c>
      <c r="X424" s="27" t="s">
        <v>50</v>
      </c>
      <c r="Y424" s="35"/>
    </row>
    <row r="425" spans="1:25" s="27" customFormat="1" x14ac:dyDescent="0.25">
      <c r="A425" s="26">
        <v>43160</v>
      </c>
      <c r="B425" s="27" t="s">
        <v>105</v>
      </c>
      <c r="C425" s="27" t="s">
        <v>6849</v>
      </c>
      <c r="D425" s="89">
        <v>38.233910000000002</v>
      </c>
      <c r="E425" s="89">
        <v>-121.66848</v>
      </c>
      <c r="F425" s="27" t="s">
        <v>7368</v>
      </c>
      <c r="G425" s="27" t="s">
        <v>90</v>
      </c>
      <c r="H425" s="27" t="s">
        <v>6851</v>
      </c>
      <c r="I425" s="84">
        <v>0.32847222222222222</v>
      </c>
      <c r="J425" s="82">
        <v>140.38329999999999</v>
      </c>
      <c r="K425" s="82">
        <v>9.8000000000000007</v>
      </c>
      <c r="L425" s="82">
        <v>9.2183329999999994</v>
      </c>
      <c r="M425" s="82">
        <v>1.173333</v>
      </c>
      <c r="N425" s="4">
        <v>5.7833329999999998</v>
      </c>
      <c r="O425" s="27" t="s">
        <v>48</v>
      </c>
      <c r="P425" s="27">
        <v>6</v>
      </c>
      <c r="Q425" s="27">
        <v>10</v>
      </c>
      <c r="R425" s="27" t="s">
        <v>49</v>
      </c>
      <c r="S425" s="27" t="s">
        <v>50</v>
      </c>
      <c r="T425" s="27" t="s">
        <v>50</v>
      </c>
      <c r="U425" s="27" t="s">
        <v>50</v>
      </c>
      <c r="V425" s="27" t="s">
        <v>50</v>
      </c>
      <c r="W425" s="27" t="s">
        <v>50</v>
      </c>
      <c r="X425" s="27" t="s">
        <v>50</v>
      </c>
      <c r="Y425" s="35"/>
    </row>
    <row r="426" spans="1:25" s="27" customFormat="1" x14ac:dyDescent="0.25">
      <c r="A426" s="26">
        <v>43160</v>
      </c>
      <c r="B426" s="27" t="s">
        <v>105</v>
      </c>
      <c r="C426" s="27" t="s">
        <v>6849</v>
      </c>
      <c r="D426" s="89">
        <v>38.214379999999998</v>
      </c>
      <c r="E426" s="89">
        <v>-121.53831</v>
      </c>
      <c r="F426" s="27" t="s">
        <v>7369</v>
      </c>
      <c r="G426" s="27" t="s">
        <v>90</v>
      </c>
      <c r="H426" s="27" t="s">
        <v>6892</v>
      </c>
      <c r="I426" s="84">
        <v>0.48472222222222222</v>
      </c>
      <c r="J426" s="82">
        <v>124.95</v>
      </c>
      <c r="K426" s="82">
        <v>9.6999999999999993</v>
      </c>
      <c r="L426" s="82">
        <v>11.455</v>
      </c>
      <c r="M426" s="82">
        <v>0.94499999999999995</v>
      </c>
      <c r="N426" s="4">
        <v>5.4</v>
      </c>
      <c r="O426" s="27" t="s">
        <v>48</v>
      </c>
      <c r="P426" s="27">
        <v>2</v>
      </c>
      <c r="Q426" s="27">
        <v>10</v>
      </c>
      <c r="R426" s="27" t="s">
        <v>49</v>
      </c>
      <c r="S426" s="27" t="s">
        <v>50</v>
      </c>
      <c r="T426" s="27" t="s">
        <v>50</v>
      </c>
      <c r="U426" s="27" t="s">
        <v>50</v>
      </c>
      <c r="V426" s="27" t="s">
        <v>50</v>
      </c>
      <c r="W426" s="27" t="s">
        <v>50</v>
      </c>
      <c r="X426" s="27" t="s">
        <v>50</v>
      </c>
      <c r="Y426" s="35" t="s">
        <v>7370</v>
      </c>
    </row>
    <row r="427" spans="1:25" s="27" customFormat="1" x14ac:dyDescent="0.25">
      <c r="A427" s="198">
        <v>43160</v>
      </c>
      <c r="B427" s="199" t="s">
        <v>105</v>
      </c>
      <c r="C427" s="199" t="s">
        <v>44</v>
      </c>
      <c r="D427" s="150" t="s">
        <v>50</v>
      </c>
      <c r="E427" s="150" t="s">
        <v>50</v>
      </c>
      <c r="F427" s="149" t="s">
        <v>50</v>
      </c>
      <c r="G427" s="149" t="s">
        <v>46</v>
      </c>
      <c r="H427" s="149" t="s">
        <v>47</v>
      </c>
      <c r="I427" s="149" t="s">
        <v>50</v>
      </c>
      <c r="J427" s="197" t="s">
        <v>50</v>
      </c>
      <c r="K427" s="197" t="s">
        <v>50</v>
      </c>
      <c r="L427" s="197" t="s">
        <v>50</v>
      </c>
      <c r="M427" s="197" t="s">
        <v>50</v>
      </c>
      <c r="N427" s="197" t="s">
        <v>50</v>
      </c>
      <c r="O427" s="149" t="s">
        <v>48</v>
      </c>
      <c r="P427" s="149">
        <v>0</v>
      </c>
      <c r="Q427" s="149" t="s">
        <v>50</v>
      </c>
      <c r="R427" s="149" t="s">
        <v>50</v>
      </c>
      <c r="S427" s="149" t="s">
        <v>50</v>
      </c>
      <c r="T427" s="149" t="s">
        <v>50</v>
      </c>
      <c r="U427" s="149" t="s">
        <v>50</v>
      </c>
      <c r="V427" s="149" t="s">
        <v>50</v>
      </c>
      <c r="W427" s="149" t="s">
        <v>50</v>
      </c>
      <c r="X427" s="149" t="s">
        <v>50</v>
      </c>
      <c r="Y427" s="200" t="s">
        <v>7371</v>
      </c>
    </row>
    <row r="428" spans="1:25" s="27" customFormat="1" x14ac:dyDescent="0.25">
      <c r="A428" s="198">
        <v>43160</v>
      </c>
      <c r="B428" s="199" t="s">
        <v>105</v>
      </c>
      <c r="C428" s="199" t="s">
        <v>118</v>
      </c>
      <c r="D428" s="150" t="s">
        <v>50</v>
      </c>
      <c r="E428" s="150" t="s">
        <v>50</v>
      </c>
      <c r="F428" s="149" t="s">
        <v>50</v>
      </c>
      <c r="G428" s="149" t="s">
        <v>80</v>
      </c>
      <c r="H428" s="149" t="s">
        <v>123</v>
      </c>
      <c r="I428" s="149" t="s">
        <v>50</v>
      </c>
      <c r="J428" s="197" t="s">
        <v>50</v>
      </c>
      <c r="K428" s="197" t="s">
        <v>50</v>
      </c>
      <c r="L428" s="197" t="s">
        <v>50</v>
      </c>
      <c r="M428" s="197" t="s">
        <v>50</v>
      </c>
      <c r="N428" s="197" t="s">
        <v>50</v>
      </c>
      <c r="O428" s="149" t="s">
        <v>48</v>
      </c>
      <c r="P428" s="149">
        <v>0</v>
      </c>
      <c r="Q428" s="149" t="s">
        <v>50</v>
      </c>
      <c r="R428" s="149" t="s">
        <v>50</v>
      </c>
      <c r="S428" s="149" t="s">
        <v>50</v>
      </c>
      <c r="T428" s="149" t="s">
        <v>50</v>
      </c>
      <c r="U428" s="149" t="s">
        <v>50</v>
      </c>
      <c r="V428" s="149" t="s">
        <v>50</v>
      </c>
      <c r="W428" s="149" t="s">
        <v>50</v>
      </c>
      <c r="X428" s="149" t="s">
        <v>50</v>
      </c>
      <c r="Y428" s="200" t="s">
        <v>7372</v>
      </c>
    </row>
    <row r="429" spans="1:25" s="27" customFormat="1" x14ac:dyDescent="0.25">
      <c r="A429" s="26">
        <v>43161</v>
      </c>
      <c r="B429" s="27" t="s">
        <v>125</v>
      </c>
      <c r="C429" s="27" t="s">
        <v>118</v>
      </c>
      <c r="D429" s="89">
        <v>38.03792</v>
      </c>
      <c r="E429" s="89">
        <v>-122.31358</v>
      </c>
      <c r="F429" s="27" t="s">
        <v>7373</v>
      </c>
      <c r="G429" s="27" t="s">
        <v>80</v>
      </c>
      <c r="H429" s="27" t="s">
        <v>123</v>
      </c>
      <c r="I429" s="84">
        <v>0.34652777777777777</v>
      </c>
      <c r="J429" s="82">
        <v>22818.83</v>
      </c>
      <c r="K429" s="82">
        <v>11.08333</v>
      </c>
      <c r="L429" s="82">
        <v>44.75</v>
      </c>
      <c r="M429" s="82">
        <v>0.44500000000000001</v>
      </c>
      <c r="N429" s="82">
        <v>4.6500000000000004</v>
      </c>
      <c r="O429" s="27" t="s">
        <v>48</v>
      </c>
      <c r="P429" s="27">
        <v>6</v>
      </c>
      <c r="Q429" s="27">
        <v>10</v>
      </c>
      <c r="R429" s="27" t="s">
        <v>64</v>
      </c>
      <c r="S429" s="27" t="s">
        <v>50</v>
      </c>
      <c r="T429" s="27" t="s">
        <v>50</v>
      </c>
      <c r="U429" s="27" t="s">
        <v>50</v>
      </c>
      <c r="V429" s="27" t="s">
        <v>50</v>
      </c>
      <c r="W429" s="27" t="s">
        <v>50</v>
      </c>
      <c r="X429" s="27" t="s">
        <v>50</v>
      </c>
      <c r="Y429" s="35"/>
    </row>
    <row r="430" spans="1:25" s="27" customFormat="1" x14ac:dyDescent="0.25">
      <c r="A430" s="26">
        <v>43161</v>
      </c>
      <c r="B430" s="27" t="s">
        <v>125</v>
      </c>
      <c r="C430" s="27" t="s">
        <v>118</v>
      </c>
      <c r="D430" s="89">
        <v>38.045439999999999</v>
      </c>
      <c r="E430" s="89">
        <v>-122.32236</v>
      </c>
      <c r="F430" s="27" t="s">
        <v>7374</v>
      </c>
      <c r="G430" s="27" t="s">
        <v>80</v>
      </c>
      <c r="H430" s="27" t="s">
        <v>123</v>
      </c>
      <c r="I430" s="84">
        <v>0.42569444444444443</v>
      </c>
      <c r="J430" s="82">
        <v>22429.5</v>
      </c>
      <c r="K430" s="82">
        <v>11.18333</v>
      </c>
      <c r="L430" s="82">
        <v>28.91667</v>
      </c>
      <c r="M430" s="82">
        <v>0.50166699999999997</v>
      </c>
      <c r="N430" s="4">
        <v>10.1</v>
      </c>
      <c r="O430" s="27" t="s">
        <v>48</v>
      </c>
      <c r="P430" s="27">
        <v>6</v>
      </c>
      <c r="Q430" s="27">
        <v>10</v>
      </c>
      <c r="R430" s="27" t="s">
        <v>64</v>
      </c>
      <c r="S430" s="27" t="s">
        <v>50</v>
      </c>
      <c r="T430" s="27" t="s">
        <v>50</v>
      </c>
      <c r="U430" s="27" t="s">
        <v>50</v>
      </c>
      <c r="V430" s="27" t="s">
        <v>50</v>
      </c>
      <c r="W430" s="27" t="s">
        <v>50</v>
      </c>
      <c r="X430" s="27" t="s">
        <v>50</v>
      </c>
      <c r="Y430" s="35"/>
    </row>
    <row r="431" spans="1:25" s="27" customFormat="1" x14ac:dyDescent="0.25">
      <c r="A431" s="26">
        <v>43161</v>
      </c>
      <c r="B431" s="27" t="s">
        <v>125</v>
      </c>
      <c r="C431" s="27" t="s">
        <v>44</v>
      </c>
      <c r="D431" s="89">
        <v>38.045050000000003</v>
      </c>
      <c r="E431" s="89">
        <v>-121.60438000000001</v>
      </c>
      <c r="F431" s="27" t="s">
        <v>7375</v>
      </c>
      <c r="G431" s="27" t="s">
        <v>46</v>
      </c>
      <c r="H431" s="27" t="s">
        <v>47</v>
      </c>
      <c r="I431" s="84">
        <v>0.30624999999999997</v>
      </c>
      <c r="J431" s="82">
        <v>291.51670000000001</v>
      </c>
      <c r="K431" s="82">
        <v>10.06667</v>
      </c>
      <c r="L431" s="82">
        <v>46.616669999999999</v>
      </c>
      <c r="M431" s="82">
        <v>0.30333300000000002</v>
      </c>
      <c r="N431" s="4">
        <v>2.8</v>
      </c>
      <c r="O431" s="27" t="s">
        <v>48</v>
      </c>
      <c r="P431" s="27">
        <v>6</v>
      </c>
      <c r="Q431" s="27">
        <v>10</v>
      </c>
      <c r="R431" s="27" t="s">
        <v>49</v>
      </c>
      <c r="S431" s="27" t="s">
        <v>50</v>
      </c>
      <c r="T431" s="27" t="s">
        <v>50</v>
      </c>
      <c r="U431" s="27" t="s">
        <v>50</v>
      </c>
      <c r="V431" s="27" t="s">
        <v>50</v>
      </c>
      <c r="W431" s="27" t="s">
        <v>50</v>
      </c>
      <c r="X431" s="27" t="s">
        <v>50</v>
      </c>
      <c r="Y431" s="35"/>
    </row>
    <row r="432" spans="1:25" s="199" customFormat="1" x14ac:dyDescent="0.25">
      <c r="A432" s="198">
        <v>43161</v>
      </c>
      <c r="B432" s="199" t="s">
        <v>125</v>
      </c>
      <c r="C432" s="199" t="s">
        <v>44</v>
      </c>
      <c r="D432" s="201">
        <v>37.972160000000002</v>
      </c>
      <c r="E432" s="201">
        <v>-121.59493999999999</v>
      </c>
      <c r="F432" s="199" t="s">
        <v>7376</v>
      </c>
      <c r="G432" s="199" t="s">
        <v>46</v>
      </c>
      <c r="H432" s="199" t="s">
        <v>423</v>
      </c>
      <c r="I432" s="202">
        <v>0.40833333333333338</v>
      </c>
      <c r="J432" s="203">
        <v>341.95</v>
      </c>
      <c r="K432" s="203">
        <v>10</v>
      </c>
      <c r="L432" s="203">
        <v>11.625</v>
      </c>
      <c r="M432" s="203">
        <v>1.19</v>
      </c>
      <c r="N432" s="203">
        <v>3.7</v>
      </c>
      <c r="O432" s="199" t="s">
        <v>48</v>
      </c>
      <c r="P432" s="199">
        <v>2</v>
      </c>
      <c r="Q432" s="199">
        <v>10</v>
      </c>
      <c r="R432" s="199" t="s">
        <v>49</v>
      </c>
      <c r="S432" s="199" t="s">
        <v>50</v>
      </c>
      <c r="T432" s="199" t="s">
        <v>50</v>
      </c>
      <c r="U432" s="199" t="s">
        <v>50</v>
      </c>
      <c r="V432" s="199" t="s">
        <v>50</v>
      </c>
      <c r="W432" s="199" t="s">
        <v>50</v>
      </c>
      <c r="X432" s="199" t="s">
        <v>50</v>
      </c>
      <c r="Y432" s="200" t="s">
        <v>7377</v>
      </c>
    </row>
    <row r="433" spans="1:25" s="108" customFormat="1" ht="15.75" thickBot="1" x14ac:dyDescent="0.3">
      <c r="A433" s="126">
        <v>43161</v>
      </c>
      <c r="B433" s="108" t="s">
        <v>125</v>
      </c>
      <c r="C433" s="108" t="s">
        <v>44</v>
      </c>
      <c r="D433" s="109">
        <v>37.920769999999997</v>
      </c>
      <c r="E433" s="109">
        <v>-121.51711</v>
      </c>
      <c r="F433" s="108" t="s">
        <v>7378</v>
      </c>
      <c r="G433" s="108" t="s">
        <v>46</v>
      </c>
      <c r="H433" s="108" t="s">
        <v>6926</v>
      </c>
      <c r="I433" s="110">
        <v>0.4604166666666667</v>
      </c>
      <c r="J433" s="111">
        <v>412.8</v>
      </c>
      <c r="K433" s="111">
        <v>10.33333</v>
      </c>
      <c r="L433" s="111">
        <v>6.25</v>
      </c>
      <c r="M433" s="111">
        <v>1.835</v>
      </c>
      <c r="N433" s="112">
        <v>5.25</v>
      </c>
      <c r="O433" s="108" t="s">
        <v>48</v>
      </c>
      <c r="P433" s="108">
        <v>6</v>
      </c>
      <c r="Q433" s="108">
        <v>10</v>
      </c>
      <c r="R433" s="108" t="s">
        <v>49</v>
      </c>
      <c r="S433" s="108" t="s">
        <v>50</v>
      </c>
      <c r="T433" s="108" t="s">
        <v>50</v>
      </c>
      <c r="U433" s="108" t="s">
        <v>50</v>
      </c>
      <c r="V433" s="108" t="s">
        <v>50</v>
      </c>
      <c r="W433" s="108" t="s">
        <v>50</v>
      </c>
      <c r="X433" s="108" t="s">
        <v>50</v>
      </c>
      <c r="Y433" s="113" t="s">
        <v>7379</v>
      </c>
    </row>
    <row r="434" spans="1:25" s="27" customFormat="1" ht="15.75" thickTop="1" x14ac:dyDescent="0.25">
      <c r="A434" s="26">
        <v>43164</v>
      </c>
      <c r="B434" s="27" t="s">
        <v>43</v>
      </c>
      <c r="C434" s="27" t="s">
        <v>845</v>
      </c>
      <c r="D434" s="89">
        <v>38.293840000000003</v>
      </c>
      <c r="E434" s="89">
        <v>-121.72580000000001</v>
      </c>
      <c r="F434" s="27" t="s">
        <v>7380</v>
      </c>
      <c r="G434" s="27" t="s">
        <v>90</v>
      </c>
      <c r="H434" s="27" t="s">
        <v>126</v>
      </c>
      <c r="I434" s="84">
        <v>0.32847222222222222</v>
      </c>
      <c r="J434" s="82">
        <v>267.94</v>
      </c>
      <c r="K434" s="82">
        <v>9.8000000000000007</v>
      </c>
      <c r="L434" s="82">
        <v>26.38</v>
      </c>
      <c r="M434" s="82">
        <v>0.44</v>
      </c>
      <c r="N434" s="4">
        <v>3.48</v>
      </c>
      <c r="O434" s="27" t="s">
        <v>48</v>
      </c>
      <c r="P434" s="27">
        <v>5</v>
      </c>
      <c r="Q434" s="27">
        <v>5</v>
      </c>
      <c r="R434" s="27" t="s">
        <v>49</v>
      </c>
      <c r="S434" s="27" t="s">
        <v>50</v>
      </c>
      <c r="T434" s="27" t="s">
        <v>50</v>
      </c>
      <c r="U434" s="27" t="s">
        <v>50</v>
      </c>
      <c r="V434" s="27" t="s">
        <v>50</v>
      </c>
      <c r="W434" s="27" t="s">
        <v>50</v>
      </c>
      <c r="X434" s="27" t="s">
        <v>50</v>
      </c>
      <c r="Y434" s="35"/>
    </row>
    <row r="435" spans="1:25" s="27" customFormat="1" x14ac:dyDescent="0.25">
      <c r="A435" s="26">
        <v>43164</v>
      </c>
      <c r="B435" s="27" t="s">
        <v>43</v>
      </c>
      <c r="C435" s="27" t="s">
        <v>845</v>
      </c>
      <c r="D435" s="89">
        <v>38.232309999999998</v>
      </c>
      <c r="E435" s="89">
        <v>-121.67542</v>
      </c>
      <c r="F435" s="27" t="s">
        <v>7381</v>
      </c>
      <c r="G435" s="27" t="s">
        <v>90</v>
      </c>
      <c r="H435" s="27" t="s">
        <v>126</v>
      </c>
      <c r="I435" s="84">
        <v>0.3972222222222222</v>
      </c>
      <c r="J435" s="82">
        <v>137.9667</v>
      </c>
      <c r="K435" s="82">
        <v>9.7833330000000007</v>
      </c>
      <c r="L435" s="82">
        <v>14.8</v>
      </c>
      <c r="M435" s="82">
        <v>0.80833299999999997</v>
      </c>
      <c r="N435" s="4">
        <v>14.4</v>
      </c>
      <c r="O435" s="27" t="s">
        <v>48</v>
      </c>
      <c r="P435" s="27">
        <v>6</v>
      </c>
      <c r="Q435" s="27">
        <v>5</v>
      </c>
      <c r="R435" s="27" t="s">
        <v>49</v>
      </c>
      <c r="S435" s="27" t="s">
        <v>449</v>
      </c>
      <c r="T435" s="27">
        <v>1</v>
      </c>
      <c r="U435" s="27">
        <v>194</v>
      </c>
      <c r="V435" s="27" t="s">
        <v>50</v>
      </c>
      <c r="W435" s="27">
        <v>5</v>
      </c>
      <c r="X435" s="27" t="s">
        <v>2525</v>
      </c>
      <c r="Y435" s="35" t="s">
        <v>7382</v>
      </c>
    </row>
    <row r="436" spans="1:25" s="27" customFormat="1" x14ac:dyDescent="0.25">
      <c r="A436" s="26">
        <v>43164</v>
      </c>
      <c r="B436" s="27" t="s">
        <v>43</v>
      </c>
      <c r="C436" s="27" t="s">
        <v>845</v>
      </c>
      <c r="D436" s="89">
        <v>38.288670000000003</v>
      </c>
      <c r="E436" s="89">
        <v>-121.66614</v>
      </c>
      <c r="F436" s="27" t="s">
        <v>7383</v>
      </c>
      <c r="G436" s="27" t="s">
        <v>90</v>
      </c>
      <c r="H436" s="27" t="s">
        <v>126</v>
      </c>
      <c r="I436" s="84">
        <v>0.44930555555555557</v>
      </c>
      <c r="J436" s="82">
        <v>316.39999999999998</v>
      </c>
      <c r="K436" s="82">
        <v>10.02</v>
      </c>
      <c r="L436" s="82">
        <v>7.1440000000000001</v>
      </c>
      <c r="M436" s="82">
        <v>1.476</v>
      </c>
      <c r="N436" s="4">
        <v>6.44</v>
      </c>
      <c r="O436" s="27" t="s">
        <v>48</v>
      </c>
      <c r="P436" s="27">
        <v>5</v>
      </c>
      <c r="Q436" s="27">
        <v>5</v>
      </c>
      <c r="R436" s="27" t="s">
        <v>49</v>
      </c>
      <c r="S436" s="27" t="s">
        <v>50</v>
      </c>
      <c r="T436" s="27" t="s">
        <v>50</v>
      </c>
      <c r="U436" s="27" t="s">
        <v>50</v>
      </c>
      <c r="V436" s="27" t="s">
        <v>50</v>
      </c>
      <c r="W436" s="27" t="s">
        <v>50</v>
      </c>
      <c r="X436" s="27" t="s">
        <v>50</v>
      </c>
      <c r="Y436" s="35"/>
    </row>
    <row r="437" spans="1:25" s="27" customFormat="1" x14ac:dyDescent="0.25">
      <c r="A437" s="26">
        <v>43164</v>
      </c>
      <c r="B437" s="27" t="s">
        <v>43</v>
      </c>
      <c r="C437" s="27" t="s">
        <v>6879</v>
      </c>
      <c r="D437" s="89">
        <v>38.163730000000001</v>
      </c>
      <c r="E437" s="89">
        <v>-121.49265</v>
      </c>
      <c r="F437" s="27" t="s">
        <v>7384</v>
      </c>
      <c r="G437" s="27" t="s">
        <v>46</v>
      </c>
      <c r="H437" s="27" t="s">
        <v>6881</v>
      </c>
      <c r="I437" s="84">
        <v>0.41666666666666669</v>
      </c>
      <c r="J437" s="82">
        <v>177.3167</v>
      </c>
      <c r="K437" s="82">
        <v>10.216670000000001</v>
      </c>
      <c r="L437" s="82">
        <v>9.1633329999999997</v>
      </c>
      <c r="M437" s="82">
        <v>1.1433329999999999</v>
      </c>
      <c r="N437" s="4">
        <v>4.75</v>
      </c>
      <c r="O437" s="27" t="s">
        <v>48</v>
      </c>
      <c r="P437" s="27">
        <v>6</v>
      </c>
      <c r="Q437" s="27">
        <v>10</v>
      </c>
      <c r="R437" s="27" t="s">
        <v>49</v>
      </c>
      <c r="S437" s="27" t="s">
        <v>50</v>
      </c>
      <c r="T437" s="27" t="s">
        <v>50</v>
      </c>
      <c r="U437" s="27" t="s">
        <v>50</v>
      </c>
      <c r="V437" s="27" t="s">
        <v>50</v>
      </c>
      <c r="W437" s="27" t="s">
        <v>50</v>
      </c>
      <c r="X437" s="27" t="s">
        <v>50</v>
      </c>
      <c r="Y437" s="35"/>
    </row>
    <row r="438" spans="1:25" s="27" customFormat="1" x14ac:dyDescent="0.25">
      <c r="A438" s="26">
        <v>43164</v>
      </c>
      <c r="B438" s="27" t="s">
        <v>43</v>
      </c>
      <c r="C438" s="27" t="s">
        <v>6879</v>
      </c>
      <c r="D438" s="89">
        <v>38.211759999999998</v>
      </c>
      <c r="E438" s="89">
        <v>-121.49364</v>
      </c>
      <c r="F438" s="27" t="s">
        <v>7385</v>
      </c>
      <c r="G438" s="27" t="s">
        <v>46</v>
      </c>
      <c r="H438" s="27" t="s">
        <v>6881</v>
      </c>
      <c r="I438" s="84">
        <v>0.33402777777777781</v>
      </c>
      <c r="J438" s="82">
        <v>156.86670000000001</v>
      </c>
      <c r="K438" s="82">
        <v>8.8333329999999997</v>
      </c>
      <c r="L438" s="82">
        <v>24.116669999999999</v>
      </c>
      <c r="M438" s="82">
        <v>0.52500000000000002</v>
      </c>
      <c r="N438" s="4">
        <v>4.38</v>
      </c>
      <c r="O438" s="27" t="s">
        <v>48</v>
      </c>
      <c r="P438" s="27">
        <v>6</v>
      </c>
      <c r="Q438" s="27">
        <v>10</v>
      </c>
      <c r="R438" s="27" t="s">
        <v>64</v>
      </c>
      <c r="S438" s="27" t="s">
        <v>50</v>
      </c>
      <c r="T438" s="27" t="s">
        <v>50</v>
      </c>
      <c r="U438" s="27" t="s">
        <v>50</v>
      </c>
      <c r="V438" s="27" t="s">
        <v>50</v>
      </c>
      <c r="W438" s="27" t="s">
        <v>50</v>
      </c>
      <c r="X438" s="27" t="s">
        <v>50</v>
      </c>
      <c r="Y438" s="35" t="s">
        <v>6893</v>
      </c>
    </row>
    <row r="439" spans="1:25" s="27" customFormat="1" x14ac:dyDescent="0.25">
      <c r="A439" s="26">
        <v>43164</v>
      </c>
      <c r="B439" s="27" t="s">
        <v>43</v>
      </c>
      <c r="C439" s="27" t="s">
        <v>62</v>
      </c>
      <c r="D439" s="89">
        <v>38.187139999999999</v>
      </c>
      <c r="E439" s="89">
        <v>-121.97965000000001</v>
      </c>
      <c r="F439" s="27" t="s">
        <v>7386</v>
      </c>
      <c r="G439" s="27" t="s">
        <v>27</v>
      </c>
      <c r="H439" s="27" t="s">
        <v>62</v>
      </c>
      <c r="I439" s="84">
        <v>0.43333333333333335</v>
      </c>
      <c r="J439" s="82">
        <v>1082.4000000000001</v>
      </c>
      <c r="K439" s="82">
        <v>10.34</v>
      </c>
      <c r="L439" s="82">
        <v>48.64</v>
      </c>
      <c r="M439" s="82">
        <v>0.248</v>
      </c>
      <c r="N439" s="4">
        <v>7.42</v>
      </c>
      <c r="O439" s="27" t="s">
        <v>48</v>
      </c>
      <c r="P439" s="27">
        <v>5</v>
      </c>
      <c r="Q439" s="27">
        <v>5</v>
      </c>
      <c r="R439" s="27" t="s">
        <v>49</v>
      </c>
      <c r="S439" s="27" t="s">
        <v>50</v>
      </c>
      <c r="T439" s="27" t="s">
        <v>50</v>
      </c>
      <c r="U439" s="27" t="s">
        <v>50</v>
      </c>
      <c r="V439" s="27" t="s">
        <v>50</v>
      </c>
      <c r="W439" s="27" t="s">
        <v>50</v>
      </c>
      <c r="X439" s="27" t="s">
        <v>50</v>
      </c>
      <c r="Y439" s="35"/>
    </row>
    <row r="440" spans="1:25" s="27" customFormat="1" x14ac:dyDescent="0.25">
      <c r="A440" s="26">
        <v>43164</v>
      </c>
      <c r="B440" s="27" t="s">
        <v>43</v>
      </c>
      <c r="C440" s="27" t="s">
        <v>62</v>
      </c>
      <c r="D440" s="89">
        <v>38.178829999999998</v>
      </c>
      <c r="E440" s="89">
        <v>-122.00752</v>
      </c>
      <c r="F440" s="27" t="s">
        <v>7387</v>
      </c>
      <c r="G440" s="27" t="s">
        <v>27</v>
      </c>
      <c r="H440" s="27" t="s">
        <v>62</v>
      </c>
      <c r="I440" s="84">
        <v>0.4777777777777778</v>
      </c>
      <c r="J440" s="82">
        <v>1122.8</v>
      </c>
      <c r="K440" s="82">
        <v>10.42</v>
      </c>
      <c r="L440" s="82">
        <v>45.94</v>
      </c>
      <c r="M440" s="82">
        <v>0.26600000000000001</v>
      </c>
      <c r="N440" s="4">
        <v>6.2</v>
      </c>
      <c r="O440" s="27" t="s">
        <v>48</v>
      </c>
      <c r="P440" s="27">
        <v>5</v>
      </c>
      <c r="Q440" s="27">
        <v>5</v>
      </c>
      <c r="R440" s="27" t="s">
        <v>49</v>
      </c>
      <c r="S440" s="27" t="s">
        <v>50</v>
      </c>
      <c r="T440" s="27" t="s">
        <v>50</v>
      </c>
      <c r="U440" s="27" t="s">
        <v>50</v>
      </c>
      <c r="V440" s="27" t="s">
        <v>50</v>
      </c>
      <c r="W440" s="27" t="s">
        <v>50</v>
      </c>
      <c r="X440" s="27" t="s">
        <v>50</v>
      </c>
      <c r="Y440" s="35"/>
    </row>
    <row r="441" spans="1:25" s="27" customFormat="1" x14ac:dyDescent="0.25">
      <c r="A441" s="26">
        <v>43165</v>
      </c>
      <c r="B441" s="27" t="s">
        <v>70</v>
      </c>
      <c r="C441" s="27" t="s">
        <v>6849</v>
      </c>
      <c r="D441" s="89">
        <v>38.241709999999998</v>
      </c>
      <c r="E441" s="89">
        <v>-121.60205999999999</v>
      </c>
      <c r="F441" s="27" t="s">
        <v>7388</v>
      </c>
      <c r="G441" s="27" t="s">
        <v>90</v>
      </c>
      <c r="H441" s="27" t="s">
        <v>6851</v>
      </c>
      <c r="I441" s="84">
        <v>0.33194444444444443</v>
      </c>
      <c r="J441" s="82">
        <v>118.95</v>
      </c>
      <c r="K441" s="82">
        <v>9.75</v>
      </c>
      <c r="L441" s="82" t="s">
        <v>50</v>
      </c>
      <c r="M441" s="82">
        <v>0.68300000000000005</v>
      </c>
      <c r="N441" s="4">
        <v>3.05</v>
      </c>
      <c r="O441" s="27" t="s">
        <v>48</v>
      </c>
      <c r="P441" s="27">
        <v>6</v>
      </c>
      <c r="Q441" s="27">
        <v>10</v>
      </c>
      <c r="R441" s="27" t="s">
        <v>49</v>
      </c>
      <c r="S441" s="27" t="s">
        <v>50</v>
      </c>
      <c r="T441" s="27" t="s">
        <v>50</v>
      </c>
      <c r="U441" s="27" t="s">
        <v>50</v>
      </c>
      <c r="V441" s="27" t="s">
        <v>50</v>
      </c>
      <c r="W441" s="27" t="s">
        <v>50</v>
      </c>
      <c r="X441" s="27" t="s">
        <v>50</v>
      </c>
      <c r="Y441" s="35"/>
    </row>
    <row r="442" spans="1:25" s="27" customFormat="1" x14ac:dyDescent="0.25">
      <c r="A442" s="26">
        <v>43165</v>
      </c>
      <c r="B442" s="27" t="s">
        <v>70</v>
      </c>
      <c r="C442" s="27" t="s">
        <v>6849</v>
      </c>
      <c r="D442" s="89">
        <v>38.346359999999997</v>
      </c>
      <c r="E442" s="89">
        <v>-121.54564999999999</v>
      </c>
      <c r="F442" s="27" t="s">
        <v>7389</v>
      </c>
      <c r="G442" s="27" t="s">
        <v>90</v>
      </c>
      <c r="H442" s="27" t="s">
        <v>6851</v>
      </c>
      <c r="I442" s="84">
        <v>0.42986111111111108</v>
      </c>
      <c r="J442" s="82">
        <v>125.07</v>
      </c>
      <c r="K442" s="82">
        <v>10.15</v>
      </c>
      <c r="L442" s="82" t="s">
        <v>50</v>
      </c>
      <c r="M442" s="82">
        <v>0.64300000000000002</v>
      </c>
      <c r="N442" s="4">
        <v>9.0500000000000007</v>
      </c>
      <c r="O442" s="27" t="s">
        <v>48</v>
      </c>
      <c r="P442" s="27">
        <v>6</v>
      </c>
      <c r="Q442" s="27">
        <v>10</v>
      </c>
      <c r="R442" s="27" t="s">
        <v>49</v>
      </c>
      <c r="S442" s="27" t="s">
        <v>50</v>
      </c>
      <c r="T442" s="27" t="s">
        <v>50</v>
      </c>
      <c r="U442" s="27" t="s">
        <v>50</v>
      </c>
      <c r="V442" s="27" t="s">
        <v>50</v>
      </c>
      <c r="W442" s="27" t="s">
        <v>50</v>
      </c>
      <c r="X442" s="27" t="s">
        <v>50</v>
      </c>
      <c r="Y442" s="35"/>
    </row>
    <row r="443" spans="1:25" s="27" customFormat="1" x14ac:dyDescent="0.25">
      <c r="A443" s="26">
        <v>43165</v>
      </c>
      <c r="B443" s="27" t="s">
        <v>70</v>
      </c>
      <c r="C443" s="97" t="s">
        <v>44</v>
      </c>
      <c r="D443" s="89">
        <v>37.936799999999998</v>
      </c>
      <c r="E443" s="89">
        <v>-121.533</v>
      </c>
      <c r="F443" s="97" t="s">
        <v>7390</v>
      </c>
      <c r="G443" s="97" t="s">
        <v>46</v>
      </c>
      <c r="H443" s="97" t="s">
        <v>6926</v>
      </c>
      <c r="I443" s="84">
        <v>0.31736111111111115</v>
      </c>
      <c r="J443" s="82">
        <v>466.83</v>
      </c>
      <c r="K443" s="82">
        <v>10.9</v>
      </c>
      <c r="L443" s="82">
        <v>5.63</v>
      </c>
      <c r="M443" s="82">
        <v>1.8</v>
      </c>
      <c r="N443" s="4">
        <v>10.25</v>
      </c>
      <c r="O443" s="27" t="s">
        <v>48</v>
      </c>
      <c r="P443" s="27">
        <v>6</v>
      </c>
      <c r="Q443" s="27">
        <v>10</v>
      </c>
      <c r="R443" s="27" t="s">
        <v>64</v>
      </c>
      <c r="S443" s="27" t="s">
        <v>50</v>
      </c>
      <c r="T443" s="27" t="s">
        <v>50</v>
      </c>
      <c r="U443" s="27" t="s">
        <v>50</v>
      </c>
      <c r="V443" s="27" t="s">
        <v>50</v>
      </c>
      <c r="W443" s="27" t="s">
        <v>50</v>
      </c>
      <c r="X443" s="27" t="s">
        <v>50</v>
      </c>
      <c r="Y443" s="35"/>
    </row>
    <row r="444" spans="1:25" s="97" customFormat="1" x14ac:dyDescent="0.25">
      <c r="A444" s="194">
        <v>43165</v>
      </c>
      <c r="B444" s="97" t="s">
        <v>70</v>
      </c>
      <c r="C444" s="97" t="s">
        <v>44</v>
      </c>
      <c r="D444" s="98">
        <v>38.009070000000001</v>
      </c>
      <c r="E444" s="98">
        <v>-121.55301</v>
      </c>
      <c r="F444" s="97" t="s">
        <v>7391</v>
      </c>
      <c r="G444" s="97" t="s">
        <v>46</v>
      </c>
      <c r="H444" s="97" t="s">
        <v>74</v>
      </c>
      <c r="I444" s="99">
        <v>0.39444444444444443</v>
      </c>
      <c r="J444" s="100">
        <v>366.98</v>
      </c>
      <c r="K444" s="100">
        <v>10.8</v>
      </c>
      <c r="L444" s="100">
        <v>6.76</v>
      </c>
      <c r="M444" s="100">
        <v>1.6559999999999999</v>
      </c>
      <c r="N444" s="101">
        <v>6.47</v>
      </c>
      <c r="O444" s="97" t="s">
        <v>48</v>
      </c>
      <c r="P444" s="97">
        <v>6</v>
      </c>
      <c r="Q444" s="97">
        <v>10</v>
      </c>
      <c r="R444" s="97" t="s">
        <v>49</v>
      </c>
      <c r="S444" s="97" t="s">
        <v>50</v>
      </c>
      <c r="T444" s="97" t="s">
        <v>50</v>
      </c>
      <c r="U444" s="97" t="s">
        <v>50</v>
      </c>
      <c r="V444" s="97" t="s">
        <v>50</v>
      </c>
      <c r="W444" s="97" t="s">
        <v>50</v>
      </c>
      <c r="X444" s="97" t="s">
        <v>50</v>
      </c>
      <c r="Y444" s="102"/>
    </row>
    <row r="445" spans="1:25" s="97" customFormat="1" x14ac:dyDescent="0.25">
      <c r="A445" s="194">
        <v>43165</v>
      </c>
      <c r="B445" s="97" t="s">
        <v>70</v>
      </c>
      <c r="C445" s="97" t="s">
        <v>44</v>
      </c>
      <c r="D445" s="98">
        <v>38.025530000000003</v>
      </c>
      <c r="E445" s="98">
        <v>-121.58001</v>
      </c>
      <c r="F445" s="97" t="s">
        <v>7392</v>
      </c>
      <c r="G445" s="97" t="s">
        <v>46</v>
      </c>
      <c r="H445" s="97" t="s">
        <v>74</v>
      </c>
      <c r="I445" s="99">
        <v>0.46111111111111108</v>
      </c>
      <c r="J445" s="100">
        <v>339.25</v>
      </c>
      <c r="K445" s="100">
        <v>11</v>
      </c>
      <c r="L445" s="100">
        <v>7.17</v>
      </c>
      <c r="M445" s="100">
        <v>1.6950000000000001</v>
      </c>
      <c r="N445" s="101">
        <v>7.03</v>
      </c>
      <c r="O445" s="97" t="s">
        <v>48</v>
      </c>
      <c r="P445" s="97">
        <v>6</v>
      </c>
      <c r="Q445" s="97">
        <v>10</v>
      </c>
      <c r="R445" s="97" t="s">
        <v>64</v>
      </c>
      <c r="S445" s="97" t="s">
        <v>50</v>
      </c>
      <c r="T445" s="97" t="s">
        <v>50</v>
      </c>
      <c r="U445" s="97" t="s">
        <v>50</v>
      </c>
      <c r="V445" s="97" t="s">
        <v>50</v>
      </c>
      <c r="W445" s="97" t="s">
        <v>50</v>
      </c>
      <c r="X445" s="97" t="s">
        <v>50</v>
      </c>
      <c r="Y445" s="102"/>
    </row>
    <row r="446" spans="1:25" s="27" customFormat="1" x14ac:dyDescent="0.25">
      <c r="A446" s="204">
        <v>43165</v>
      </c>
      <c r="B446" s="205" t="s">
        <v>70</v>
      </c>
      <c r="C446" s="27" t="s">
        <v>78</v>
      </c>
      <c r="D446" s="206">
        <v>38.060119999999998</v>
      </c>
      <c r="E446" s="206">
        <v>-121.90769</v>
      </c>
      <c r="F446" s="27" t="s">
        <v>7393</v>
      </c>
      <c r="G446" s="27" t="s">
        <v>27</v>
      </c>
      <c r="H446" s="27" t="s">
        <v>101</v>
      </c>
      <c r="I446" s="207">
        <v>0.33263888888888887</v>
      </c>
      <c r="J446" s="208">
        <v>1918.6</v>
      </c>
      <c r="K446" s="208">
        <v>10.98</v>
      </c>
      <c r="L446" s="208">
        <v>34.74</v>
      </c>
      <c r="M446" s="208">
        <v>0.32600000000000001</v>
      </c>
      <c r="N446" s="209">
        <v>6.94</v>
      </c>
      <c r="O446" s="205" t="s">
        <v>48</v>
      </c>
      <c r="P446" s="205">
        <v>5</v>
      </c>
      <c r="Q446" s="205">
        <v>5</v>
      </c>
      <c r="R446" s="205" t="s">
        <v>49</v>
      </c>
      <c r="S446" s="27" t="s">
        <v>31</v>
      </c>
      <c r="T446" s="27">
        <v>1</v>
      </c>
      <c r="U446" s="27">
        <v>77</v>
      </c>
      <c r="V446" s="205" t="s">
        <v>355</v>
      </c>
      <c r="W446" s="27" t="s">
        <v>50</v>
      </c>
      <c r="X446" s="27" t="s">
        <v>50</v>
      </c>
      <c r="Y446" s="210"/>
    </row>
    <row r="447" spans="1:25" s="27" customFormat="1" x14ac:dyDescent="0.25">
      <c r="A447" s="204">
        <v>43165</v>
      </c>
      <c r="B447" s="205" t="s">
        <v>70</v>
      </c>
      <c r="C447" s="27" t="s">
        <v>78</v>
      </c>
      <c r="D447" s="206">
        <v>38.042949999999998</v>
      </c>
      <c r="E447" s="206">
        <v>-122.11882</v>
      </c>
      <c r="F447" s="27" t="s">
        <v>7394</v>
      </c>
      <c r="G447" s="27" t="s">
        <v>80</v>
      </c>
      <c r="H447" s="27" t="s">
        <v>81</v>
      </c>
      <c r="I447" s="207">
        <v>0.40347222222222223</v>
      </c>
      <c r="J447" s="208">
        <v>9546.6</v>
      </c>
      <c r="K447" s="208">
        <v>10.8</v>
      </c>
      <c r="L447" s="208">
        <v>58.58</v>
      </c>
      <c r="M447" s="208">
        <v>0.308</v>
      </c>
      <c r="N447" s="209">
        <v>11.5</v>
      </c>
      <c r="O447" s="205" t="s">
        <v>48</v>
      </c>
      <c r="P447" s="205">
        <v>5</v>
      </c>
      <c r="Q447" s="205">
        <v>5</v>
      </c>
      <c r="R447" s="205" t="s">
        <v>49</v>
      </c>
      <c r="S447" s="27" t="s">
        <v>449</v>
      </c>
      <c r="T447" s="27">
        <v>1</v>
      </c>
      <c r="U447" s="27">
        <v>194</v>
      </c>
      <c r="V447" s="27" t="s">
        <v>50</v>
      </c>
      <c r="W447" s="27" t="s">
        <v>50</v>
      </c>
      <c r="X447" s="27" t="s">
        <v>2525</v>
      </c>
      <c r="Y447" s="210" t="s">
        <v>7395</v>
      </c>
    </row>
    <row r="448" spans="1:25" s="27" customFormat="1" x14ac:dyDescent="0.25">
      <c r="A448" s="204">
        <v>43165</v>
      </c>
      <c r="B448" s="27" t="s">
        <v>70</v>
      </c>
      <c r="C448" s="27" t="s">
        <v>78</v>
      </c>
      <c r="D448" s="206">
        <v>38.060780000000001</v>
      </c>
      <c r="E448" s="206">
        <v>-122.03595</v>
      </c>
      <c r="F448" s="27" t="s">
        <v>7396</v>
      </c>
      <c r="G448" s="27" t="s">
        <v>27</v>
      </c>
      <c r="H448" s="27" t="s">
        <v>86</v>
      </c>
      <c r="I448" s="207">
        <v>0.4597222222222222</v>
      </c>
      <c r="J448" s="208">
        <v>4716</v>
      </c>
      <c r="K448" s="208">
        <v>10.9</v>
      </c>
      <c r="L448" s="208">
        <v>52.86</v>
      </c>
      <c r="M448" s="208">
        <v>0.28000000000000003</v>
      </c>
      <c r="N448" s="209">
        <v>8.68</v>
      </c>
      <c r="O448" s="205" t="s">
        <v>48</v>
      </c>
      <c r="P448" s="205">
        <v>5</v>
      </c>
      <c r="Q448" s="205">
        <v>5</v>
      </c>
      <c r="R448" s="205" t="s">
        <v>49</v>
      </c>
      <c r="S448" s="27" t="s">
        <v>449</v>
      </c>
      <c r="T448" s="27">
        <v>2</v>
      </c>
      <c r="U448" s="27" t="s">
        <v>7397</v>
      </c>
      <c r="V448" s="27" t="s">
        <v>50</v>
      </c>
      <c r="W448" s="27" t="s">
        <v>50</v>
      </c>
      <c r="X448" s="27" t="s">
        <v>2525</v>
      </c>
      <c r="Y448" s="210" t="s">
        <v>7395</v>
      </c>
    </row>
    <row r="449" spans="1:25" s="27" customFormat="1" x14ac:dyDescent="0.25">
      <c r="A449" s="26">
        <v>43166</v>
      </c>
      <c r="B449" s="27" t="s">
        <v>87</v>
      </c>
      <c r="C449" s="27" t="s">
        <v>106</v>
      </c>
      <c r="D449" s="89">
        <v>38.224820000000001</v>
      </c>
      <c r="E449" s="89">
        <v>-121.67359999999999</v>
      </c>
      <c r="F449" s="27" t="s">
        <v>7398</v>
      </c>
      <c r="G449" s="27" t="s">
        <v>90</v>
      </c>
      <c r="H449" s="27" t="s">
        <v>362</v>
      </c>
      <c r="I449" s="84">
        <v>0.3520833333333333</v>
      </c>
      <c r="J449" s="82">
        <v>128.32</v>
      </c>
      <c r="K449" s="82">
        <v>10.3</v>
      </c>
      <c r="L449" s="82">
        <v>15.62</v>
      </c>
      <c r="M449" s="82">
        <v>0.76800000000000002</v>
      </c>
      <c r="N449" s="4">
        <v>13.56</v>
      </c>
      <c r="O449" s="27" t="s">
        <v>48</v>
      </c>
      <c r="P449" s="27">
        <v>5</v>
      </c>
      <c r="Q449" s="27">
        <v>5</v>
      </c>
      <c r="R449" s="27" t="s">
        <v>64</v>
      </c>
      <c r="S449" s="97" t="s">
        <v>50</v>
      </c>
      <c r="T449" s="97" t="s">
        <v>50</v>
      </c>
      <c r="U449" s="97" t="s">
        <v>50</v>
      </c>
      <c r="V449" s="97" t="s">
        <v>50</v>
      </c>
      <c r="W449" s="97" t="s">
        <v>50</v>
      </c>
      <c r="X449" s="97" t="s">
        <v>50</v>
      </c>
      <c r="Y449" s="35"/>
    </row>
    <row r="450" spans="1:25" s="27" customFormat="1" x14ac:dyDescent="0.25">
      <c r="A450" s="26">
        <v>43166</v>
      </c>
      <c r="B450" s="27" t="s">
        <v>87</v>
      </c>
      <c r="C450" s="27" t="s">
        <v>106</v>
      </c>
      <c r="D450" s="89">
        <v>38.20805</v>
      </c>
      <c r="E450" s="89">
        <v>-121.66003000000001</v>
      </c>
      <c r="F450" s="27" t="s">
        <v>7399</v>
      </c>
      <c r="G450" s="27" t="s">
        <v>90</v>
      </c>
      <c r="H450" s="27" t="s">
        <v>362</v>
      </c>
      <c r="I450" s="84">
        <v>0.31388888888888888</v>
      </c>
      <c r="J450" s="82">
        <v>129.1</v>
      </c>
      <c r="K450" s="82">
        <v>10.26</v>
      </c>
      <c r="L450" s="82">
        <v>14.42</v>
      </c>
      <c r="M450" s="82">
        <v>0.71</v>
      </c>
      <c r="N450" s="4">
        <v>13.54</v>
      </c>
      <c r="O450" s="27" t="s">
        <v>48</v>
      </c>
      <c r="P450" s="27">
        <v>5</v>
      </c>
      <c r="Q450" s="27">
        <v>5</v>
      </c>
      <c r="R450" s="27" t="s">
        <v>49</v>
      </c>
      <c r="S450" s="97" t="s">
        <v>50</v>
      </c>
      <c r="T450" s="97" t="s">
        <v>50</v>
      </c>
      <c r="U450" s="97" t="s">
        <v>50</v>
      </c>
      <c r="V450" s="97" t="s">
        <v>50</v>
      </c>
      <c r="W450" s="97" t="s">
        <v>50</v>
      </c>
      <c r="X450" s="97" t="s">
        <v>50</v>
      </c>
      <c r="Y450" s="35" t="s">
        <v>7400</v>
      </c>
    </row>
    <row r="451" spans="1:25" s="27" customFormat="1" x14ac:dyDescent="0.25">
      <c r="A451" s="26">
        <v>43166</v>
      </c>
      <c r="B451" s="27" t="s">
        <v>87</v>
      </c>
      <c r="C451" s="27" t="s">
        <v>106</v>
      </c>
      <c r="D451" s="89">
        <v>38.560890000000001</v>
      </c>
      <c r="E451" s="89">
        <v>-121.55712</v>
      </c>
      <c r="F451" s="27" t="s">
        <v>7401</v>
      </c>
      <c r="G451" s="27" t="s">
        <v>90</v>
      </c>
      <c r="H451" s="27" t="s">
        <v>1787</v>
      </c>
      <c r="I451" s="84">
        <v>0.42499999999999999</v>
      </c>
      <c r="J451" s="82">
        <v>713.2</v>
      </c>
      <c r="K451" s="82">
        <v>11.3</v>
      </c>
      <c r="L451" s="82">
        <v>3.556</v>
      </c>
      <c r="M451" s="82">
        <v>1.8</v>
      </c>
      <c r="N451" s="4">
        <v>11.06</v>
      </c>
      <c r="O451" s="27" t="s">
        <v>48</v>
      </c>
      <c r="P451" s="27">
        <v>5</v>
      </c>
      <c r="Q451" s="27">
        <v>5</v>
      </c>
      <c r="R451" s="27" t="s">
        <v>64</v>
      </c>
      <c r="S451" s="97" t="s">
        <v>50</v>
      </c>
      <c r="T451" s="97" t="s">
        <v>50</v>
      </c>
      <c r="U451" s="97" t="s">
        <v>50</v>
      </c>
      <c r="V451" s="97" t="s">
        <v>50</v>
      </c>
      <c r="W451" s="97" t="s">
        <v>50</v>
      </c>
      <c r="X451" s="97" t="s">
        <v>50</v>
      </c>
      <c r="Y451" s="35"/>
    </row>
    <row r="452" spans="1:25" s="27" customFormat="1" x14ac:dyDescent="0.25">
      <c r="A452" s="26">
        <v>43166</v>
      </c>
      <c r="B452" s="27" t="s">
        <v>87</v>
      </c>
      <c r="C452" s="27" t="s">
        <v>95</v>
      </c>
      <c r="D452" s="89">
        <v>38.023000000000003</v>
      </c>
      <c r="E452" s="89">
        <v>-121.80396</v>
      </c>
      <c r="F452" s="27" t="s">
        <v>7402</v>
      </c>
      <c r="G452" s="27" t="s">
        <v>27</v>
      </c>
      <c r="H452" s="27" t="s">
        <v>863</v>
      </c>
      <c r="I452" s="84">
        <v>0.32430555555555557</v>
      </c>
      <c r="J452" s="82">
        <v>569.20000000000005</v>
      </c>
      <c r="K452" s="82">
        <v>10.84</v>
      </c>
      <c r="L452" s="82" t="s">
        <v>50</v>
      </c>
      <c r="M452" s="82">
        <v>0.56200000000000006</v>
      </c>
      <c r="N452" s="4">
        <v>11.26</v>
      </c>
      <c r="O452" s="27" t="s">
        <v>48</v>
      </c>
      <c r="P452" s="27">
        <v>5</v>
      </c>
      <c r="Q452" s="27">
        <v>5</v>
      </c>
      <c r="R452" s="27" t="s">
        <v>49</v>
      </c>
      <c r="S452" s="97" t="s">
        <v>50</v>
      </c>
      <c r="T452" s="97" t="s">
        <v>50</v>
      </c>
      <c r="U452" s="97" t="s">
        <v>50</v>
      </c>
      <c r="V452" s="97" t="s">
        <v>50</v>
      </c>
      <c r="W452" s="97" t="s">
        <v>50</v>
      </c>
      <c r="X452" s="97" t="s">
        <v>50</v>
      </c>
      <c r="Y452" s="35"/>
    </row>
    <row r="453" spans="1:25" s="27" customFormat="1" x14ac:dyDescent="0.25">
      <c r="A453" s="26">
        <v>43166</v>
      </c>
      <c r="B453" s="27" t="s">
        <v>87</v>
      </c>
      <c r="C453" s="27" t="s">
        <v>95</v>
      </c>
      <c r="D453" s="89">
        <v>38.028739999999999</v>
      </c>
      <c r="E453" s="89">
        <v>-121.73851000000001</v>
      </c>
      <c r="F453" s="27" t="s">
        <v>7403</v>
      </c>
      <c r="G453" s="27" t="s">
        <v>27</v>
      </c>
      <c r="H453" s="27" t="s">
        <v>863</v>
      </c>
      <c r="I453" s="84">
        <v>0.37777777777777777</v>
      </c>
      <c r="J453" s="82">
        <v>466.3</v>
      </c>
      <c r="K453" s="82">
        <v>10.92</v>
      </c>
      <c r="L453" s="82" t="s">
        <v>50</v>
      </c>
      <c r="M453" s="82">
        <v>0.70599999999999996</v>
      </c>
      <c r="N453" s="4">
        <v>12.12</v>
      </c>
      <c r="O453" s="27" t="s">
        <v>48</v>
      </c>
      <c r="P453" s="27">
        <v>5</v>
      </c>
      <c r="Q453" s="27">
        <v>5</v>
      </c>
      <c r="R453" s="27" t="s">
        <v>49</v>
      </c>
      <c r="S453" s="97" t="s">
        <v>50</v>
      </c>
      <c r="T453" s="97" t="s">
        <v>50</v>
      </c>
      <c r="U453" s="97" t="s">
        <v>50</v>
      </c>
      <c r="V453" s="97" t="s">
        <v>50</v>
      </c>
      <c r="W453" s="97" t="s">
        <v>50</v>
      </c>
      <c r="X453" s="97" t="s">
        <v>50</v>
      </c>
      <c r="Y453" s="35"/>
    </row>
    <row r="454" spans="1:25" s="27" customFormat="1" x14ac:dyDescent="0.25">
      <c r="A454" s="26">
        <v>43166</v>
      </c>
      <c r="B454" s="27" t="s">
        <v>87</v>
      </c>
      <c r="C454" s="27" t="s">
        <v>95</v>
      </c>
      <c r="D454" s="89">
        <v>38.095320000000001</v>
      </c>
      <c r="E454" s="89">
        <v>-121.63359</v>
      </c>
      <c r="F454" s="27" t="s">
        <v>7404</v>
      </c>
      <c r="G454" s="27" t="s">
        <v>46</v>
      </c>
      <c r="H454" s="27" t="s">
        <v>908</v>
      </c>
      <c r="I454" s="84">
        <v>0.43055555555555558</v>
      </c>
      <c r="J454" s="82">
        <v>279.14</v>
      </c>
      <c r="K454" s="82">
        <v>10.88</v>
      </c>
      <c r="L454" s="82" t="s">
        <v>50</v>
      </c>
      <c r="M454" s="82">
        <v>1.3580000000000001</v>
      </c>
      <c r="N454" s="4">
        <v>9.6199999999999992</v>
      </c>
      <c r="O454" s="27" t="s">
        <v>48</v>
      </c>
      <c r="P454" s="27">
        <v>5</v>
      </c>
      <c r="Q454" s="27">
        <v>5</v>
      </c>
      <c r="R454" s="27" t="s">
        <v>49</v>
      </c>
      <c r="S454" s="97" t="s">
        <v>50</v>
      </c>
      <c r="T454" s="97" t="s">
        <v>50</v>
      </c>
      <c r="U454" s="97" t="s">
        <v>50</v>
      </c>
      <c r="V454" s="97" t="s">
        <v>50</v>
      </c>
      <c r="W454" s="97" t="s">
        <v>50</v>
      </c>
      <c r="X454" s="97" t="s">
        <v>50</v>
      </c>
      <c r="Y454" s="35"/>
    </row>
    <row r="455" spans="1:25" s="27" customFormat="1" x14ac:dyDescent="0.25">
      <c r="A455" s="26">
        <v>43166</v>
      </c>
      <c r="B455" s="27" t="s">
        <v>87</v>
      </c>
      <c r="C455" s="27" t="s">
        <v>78</v>
      </c>
      <c r="D455" s="89">
        <v>38.070680000000003</v>
      </c>
      <c r="E455" s="89">
        <v>-121.94932</v>
      </c>
      <c r="F455" s="27" t="s">
        <v>7405</v>
      </c>
      <c r="G455" s="27" t="s">
        <v>27</v>
      </c>
      <c r="H455" s="27" t="s">
        <v>170</v>
      </c>
      <c r="I455" s="84">
        <v>0.34236111111111112</v>
      </c>
      <c r="J455" s="82">
        <v>4375</v>
      </c>
      <c r="K455" s="82">
        <v>11.2</v>
      </c>
      <c r="L455" s="82">
        <v>43.94</v>
      </c>
      <c r="M455" s="82">
        <v>0.30399999999999999</v>
      </c>
      <c r="N455" s="4">
        <v>3.42</v>
      </c>
      <c r="O455" s="27" t="s">
        <v>48</v>
      </c>
      <c r="P455" s="27">
        <v>5</v>
      </c>
      <c r="Q455" s="27">
        <v>5</v>
      </c>
      <c r="R455" s="27" t="s">
        <v>64</v>
      </c>
      <c r="S455" s="97" t="s">
        <v>50</v>
      </c>
      <c r="T455" s="97" t="s">
        <v>50</v>
      </c>
      <c r="U455" s="97" t="s">
        <v>50</v>
      </c>
      <c r="V455" s="97" t="s">
        <v>50</v>
      </c>
      <c r="W455" s="97" t="s">
        <v>50</v>
      </c>
      <c r="X455" s="97" t="s">
        <v>50</v>
      </c>
      <c r="Y455" s="35"/>
    </row>
    <row r="456" spans="1:25" s="27" customFormat="1" x14ac:dyDescent="0.25">
      <c r="A456" s="204">
        <v>43166</v>
      </c>
      <c r="B456" s="205" t="s">
        <v>87</v>
      </c>
      <c r="C456" s="27" t="s">
        <v>78</v>
      </c>
      <c r="D456" s="206">
        <v>38.060130000000001</v>
      </c>
      <c r="E456" s="206">
        <v>-121.98014999999999</v>
      </c>
      <c r="F456" s="27" t="s">
        <v>7406</v>
      </c>
      <c r="G456" s="27" t="s">
        <v>27</v>
      </c>
      <c r="H456" s="27" t="s">
        <v>86</v>
      </c>
      <c r="I456" s="207">
        <v>0.39513888888888887</v>
      </c>
      <c r="J456" s="208">
        <v>3798.2</v>
      </c>
      <c r="K456" s="208">
        <v>11.28</v>
      </c>
      <c r="L456" s="208">
        <v>34.44</v>
      </c>
      <c r="M456" s="208">
        <v>0.314</v>
      </c>
      <c r="N456" s="209">
        <v>12.9</v>
      </c>
      <c r="O456" s="205" t="s">
        <v>48</v>
      </c>
      <c r="P456" s="205">
        <v>5</v>
      </c>
      <c r="Q456" s="205">
        <v>5</v>
      </c>
      <c r="R456" s="205" t="s">
        <v>49</v>
      </c>
      <c r="S456" s="27" t="s">
        <v>449</v>
      </c>
      <c r="T456" s="27">
        <v>2</v>
      </c>
      <c r="U456" s="27" t="s">
        <v>7407</v>
      </c>
      <c r="V456" s="27" t="s">
        <v>50</v>
      </c>
      <c r="W456" s="27">
        <v>5</v>
      </c>
      <c r="X456" s="27" t="s">
        <v>2525</v>
      </c>
      <c r="Y456" s="210" t="s">
        <v>7408</v>
      </c>
    </row>
    <row r="457" spans="1:25" s="16" customFormat="1" x14ac:dyDescent="0.25">
      <c r="A457" s="204">
        <v>43166</v>
      </c>
      <c r="B457" s="205" t="s">
        <v>87</v>
      </c>
      <c r="C457" s="27" t="s">
        <v>78</v>
      </c>
      <c r="D457" s="206">
        <v>38.060130000000001</v>
      </c>
      <c r="E457" s="206">
        <v>-121.98014999999999</v>
      </c>
      <c r="F457" s="27" t="s">
        <v>7406</v>
      </c>
      <c r="G457" s="27" t="s">
        <v>27</v>
      </c>
      <c r="H457" s="27" t="s">
        <v>86</v>
      </c>
      <c r="I457" s="207">
        <v>0.39513888888888887</v>
      </c>
      <c r="J457" s="212"/>
      <c r="K457" s="212"/>
      <c r="L457" s="212"/>
      <c r="M457" s="212"/>
      <c r="N457" s="212"/>
      <c r="O457" s="211"/>
      <c r="P457" s="211"/>
      <c r="Q457" s="211"/>
      <c r="R457" s="211"/>
      <c r="S457" s="27" t="s">
        <v>31</v>
      </c>
      <c r="T457" s="27">
        <v>1</v>
      </c>
      <c r="U457" s="27">
        <v>72</v>
      </c>
      <c r="V457" s="27" t="s">
        <v>66</v>
      </c>
      <c r="W457" s="27" t="s">
        <v>50</v>
      </c>
      <c r="X457" s="27" t="s">
        <v>50</v>
      </c>
      <c r="Y457" s="213"/>
    </row>
    <row r="458" spans="1:25" s="27" customFormat="1" x14ac:dyDescent="0.25">
      <c r="A458" s="204">
        <v>43166</v>
      </c>
      <c r="B458" s="205" t="s">
        <v>87</v>
      </c>
      <c r="C458" s="205" t="s">
        <v>78</v>
      </c>
      <c r="D458" s="206">
        <v>38.065689999999996</v>
      </c>
      <c r="E458" s="206">
        <v>-122.04315</v>
      </c>
      <c r="F458" s="205" t="s">
        <v>7409</v>
      </c>
      <c r="G458" s="205" t="s">
        <v>27</v>
      </c>
      <c r="H458" s="205" t="s">
        <v>86</v>
      </c>
      <c r="I458" s="207">
        <v>0.44722222222222219</v>
      </c>
      <c r="J458" s="208">
        <v>5375.8</v>
      </c>
      <c r="K458" s="208">
        <v>11.36</v>
      </c>
      <c r="L458" s="208">
        <v>43.46</v>
      </c>
      <c r="M458" s="208">
        <v>0.29799999999999999</v>
      </c>
      <c r="N458" s="209">
        <v>10.96</v>
      </c>
      <c r="O458" s="205" t="s">
        <v>48</v>
      </c>
      <c r="P458" s="205">
        <v>5</v>
      </c>
      <c r="Q458" s="205">
        <v>5</v>
      </c>
      <c r="R458" s="205" t="s">
        <v>49</v>
      </c>
      <c r="S458" s="214" t="s">
        <v>449</v>
      </c>
      <c r="T458" s="214">
        <v>1</v>
      </c>
      <c r="U458" s="214">
        <v>190</v>
      </c>
      <c r="V458" s="214" t="s">
        <v>50</v>
      </c>
      <c r="W458" s="214">
        <v>5</v>
      </c>
      <c r="X458" s="214" t="s">
        <v>2525</v>
      </c>
      <c r="Y458" s="210" t="s">
        <v>7410</v>
      </c>
    </row>
    <row r="459" spans="1:25" s="27" customFormat="1" x14ac:dyDescent="0.25">
      <c r="A459" s="26">
        <v>43166</v>
      </c>
      <c r="B459" s="27" t="s">
        <v>87</v>
      </c>
      <c r="C459" s="27" t="s">
        <v>78</v>
      </c>
      <c r="D459" s="89">
        <v>38.036659999999998</v>
      </c>
      <c r="E459" s="89">
        <v>-121.83086</v>
      </c>
      <c r="F459" s="27" t="s">
        <v>7411</v>
      </c>
      <c r="G459" s="27" t="s">
        <v>27</v>
      </c>
      <c r="H459" s="27" t="s">
        <v>101</v>
      </c>
      <c r="I459" s="84">
        <v>0.5180555555555556</v>
      </c>
      <c r="J459" s="82">
        <v>371.12</v>
      </c>
      <c r="K459" s="82">
        <v>11.225</v>
      </c>
      <c r="L459" s="82">
        <v>27.26</v>
      </c>
      <c r="M459" s="82">
        <v>0.40600000000000003</v>
      </c>
      <c r="N459" s="4">
        <v>4.16</v>
      </c>
      <c r="O459" s="27" t="s">
        <v>48</v>
      </c>
      <c r="P459" s="27">
        <v>5</v>
      </c>
      <c r="Q459" s="27">
        <v>5</v>
      </c>
      <c r="R459" s="27" t="s">
        <v>49</v>
      </c>
      <c r="S459" s="97" t="s">
        <v>50</v>
      </c>
      <c r="T459" s="97" t="s">
        <v>50</v>
      </c>
      <c r="U459" s="97" t="s">
        <v>50</v>
      </c>
      <c r="V459" s="97" t="s">
        <v>50</v>
      </c>
      <c r="W459" s="97" t="s">
        <v>50</v>
      </c>
      <c r="X459" s="97" t="s">
        <v>50</v>
      </c>
      <c r="Y459" s="35"/>
    </row>
    <row r="460" spans="1:25" s="27" customFormat="1" x14ac:dyDescent="0.25">
      <c r="A460" s="26">
        <v>43167</v>
      </c>
      <c r="B460" s="27" t="s">
        <v>105</v>
      </c>
      <c r="C460" s="27" t="s">
        <v>88</v>
      </c>
      <c r="D460" s="89">
        <v>38.113900000000001</v>
      </c>
      <c r="E460" s="89">
        <v>-121.68908</v>
      </c>
      <c r="F460" s="27" t="s">
        <v>7412</v>
      </c>
      <c r="G460" s="27" t="s">
        <v>90</v>
      </c>
      <c r="H460" s="27" t="s">
        <v>91</v>
      </c>
      <c r="I460" s="84">
        <v>0.30972222222222223</v>
      </c>
      <c r="J460" s="82">
        <v>144.97999999999999</v>
      </c>
      <c r="K460" s="82">
        <v>10.8</v>
      </c>
      <c r="L460" s="82">
        <v>8.43</v>
      </c>
      <c r="M460" s="82">
        <v>1.3240000000000001</v>
      </c>
      <c r="N460" s="4">
        <v>9.1199999999999992</v>
      </c>
      <c r="O460" s="27" t="s">
        <v>48</v>
      </c>
      <c r="P460" s="27">
        <v>5</v>
      </c>
      <c r="Q460" s="27">
        <v>5</v>
      </c>
      <c r="R460" s="27" t="s">
        <v>64</v>
      </c>
      <c r="S460" s="97" t="s">
        <v>50</v>
      </c>
      <c r="T460" s="97" t="s">
        <v>50</v>
      </c>
      <c r="U460" s="97" t="s">
        <v>50</v>
      </c>
      <c r="V460" s="97" t="s">
        <v>50</v>
      </c>
      <c r="W460" s="97" t="s">
        <v>50</v>
      </c>
      <c r="X460" s="97" t="s">
        <v>50</v>
      </c>
      <c r="Y460" s="35"/>
    </row>
    <row r="461" spans="1:25" s="27" customFormat="1" x14ac:dyDescent="0.25">
      <c r="A461" s="26">
        <v>43167</v>
      </c>
      <c r="B461" s="27" t="s">
        <v>105</v>
      </c>
      <c r="C461" s="27" t="s">
        <v>88</v>
      </c>
      <c r="D461" s="89">
        <v>38.075870000000002</v>
      </c>
      <c r="E461" s="89">
        <v>-121.76519</v>
      </c>
      <c r="F461" s="27" t="s">
        <v>7413</v>
      </c>
      <c r="G461" s="27" t="s">
        <v>27</v>
      </c>
      <c r="H461" s="27" t="s">
        <v>25</v>
      </c>
      <c r="I461" s="84">
        <v>0.35486111111111113</v>
      </c>
      <c r="J461" s="82">
        <v>338.96</v>
      </c>
      <c r="K461" s="82">
        <v>11.02</v>
      </c>
      <c r="L461" s="82">
        <v>13.3</v>
      </c>
      <c r="M461" s="82">
        <v>0.82199999999999995</v>
      </c>
      <c r="N461" s="4">
        <v>10.1</v>
      </c>
      <c r="O461" s="27" t="s">
        <v>48</v>
      </c>
      <c r="P461" s="27">
        <v>5</v>
      </c>
      <c r="Q461" s="27">
        <v>5</v>
      </c>
      <c r="R461" s="27" t="s">
        <v>49</v>
      </c>
      <c r="S461" s="97" t="s">
        <v>50</v>
      </c>
      <c r="T461" s="97" t="s">
        <v>50</v>
      </c>
      <c r="U461" s="97" t="s">
        <v>50</v>
      </c>
      <c r="V461" s="97" t="s">
        <v>50</v>
      </c>
      <c r="W461" s="97" t="s">
        <v>50</v>
      </c>
      <c r="X461" s="97" t="s">
        <v>50</v>
      </c>
      <c r="Y461" s="35"/>
    </row>
    <row r="462" spans="1:25" s="27" customFormat="1" x14ac:dyDescent="0.25">
      <c r="A462" s="26">
        <v>43167</v>
      </c>
      <c r="B462" s="27" t="s">
        <v>105</v>
      </c>
      <c r="C462" s="27" t="s">
        <v>95</v>
      </c>
      <c r="D462" s="89">
        <v>38.020620000000001</v>
      </c>
      <c r="E462" s="89">
        <v>-121.76885</v>
      </c>
      <c r="F462" s="27" t="s">
        <v>7414</v>
      </c>
      <c r="G462" s="27" t="s">
        <v>27</v>
      </c>
      <c r="H462" s="27" t="s">
        <v>863</v>
      </c>
      <c r="I462" s="84">
        <v>0.39305555555555555</v>
      </c>
      <c r="J462" s="82">
        <v>610.20000000000005</v>
      </c>
      <c r="K462" s="82">
        <v>11.2</v>
      </c>
      <c r="L462" s="82">
        <v>12.96</v>
      </c>
      <c r="M462" s="82">
        <v>0.65400000000000003</v>
      </c>
      <c r="N462" s="4">
        <v>10.54</v>
      </c>
      <c r="O462" s="27" t="s">
        <v>48</v>
      </c>
      <c r="P462" s="27">
        <v>5</v>
      </c>
      <c r="Q462" s="27">
        <v>5</v>
      </c>
      <c r="R462" s="27" t="s">
        <v>49</v>
      </c>
      <c r="S462" s="97" t="s">
        <v>50</v>
      </c>
      <c r="T462" s="97" t="s">
        <v>50</v>
      </c>
      <c r="U462" s="97" t="s">
        <v>50</v>
      </c>
      <c r="V462" s="97" t="s">
        <v>50</v>
      </c>
      <c r="W462" s="97" t="s">
        <v>50</v>
      </c>
      <c r="X462" s="97" t="s">
        <v>50</v>
      </c>
      <c r="Y462" s="35"/>
    </row>
    <row r="463" spans="1:25" s="27" customFormat="1" x14ac:dyDescent="0.25">
      <c r="A463" s="26">
        <v>43167</v>
      </c>
      <c r="B463" s="27" t="s">
        <v>105</v>
      </c>
      <c r="C463" s="27" t="s">
        <v>95</v>
      </c>
      <c r="D463" s="89">
        <v>38.052729999999997</v>
      </c>
      <c r="E463" s="89">
        <v>-121.5108</v>
      </c>
      <c r="F463" s="27" t="s">
        <v>7415</v>
      </c>
      <c r="G463" s="27" t="s">
        <v>46</v>
      </c>
      <c r="H463" s="27" t="s">
        <v>115</v>
      </c>
      <c r="I463" s="84">
        <v>0.32777777777777778</v>
      </c>
      <c r="J463" s="82">
        <v>350.2</v>
      </c>
      <c r="K463" s="82">
        <v>11.4</v>
      </c>
      <c r="L463" s="82">
        <v>3.532</v>
      </c>
      <c r="M463" s="82">
        <v>1.8</v>
      </c>
      <c r="N463" s="4">
        <v>11.38</v>
      </c>
      <c r="O463" s="27" t="s">
        <v>48</v>
      </c>
      <c r="P463" s="27">
        <v>5</v>
      </c>
      <c r="Q463" s="27">
        <v>5</v>
      </c>
      <c r="R463" s="27" t="s">
        <v>64</v>
      </c>
      <c r="S463" s="97" t="s">
        <v>50</v>
      </c>
      <c r="T463" s="97" t="s">
        <v>50</v>
      </c>
      <c r="U463" s="97" t="s">
        <v>50</v>
      </c>
      <c r="V463" s="97" t="s">
        <v>50</v>
      </c>
      <c r="W463" s="97" t="s">
        <v>50</v>
      </c>
      <c r="X463" s="97" t="s">
        <v>50</v>
      </c>
      <c r="Y463" s="35"/>
    </row>
    <row r="464" spans="1:25" s="27" customFormat="1" x14ac:dyDescent="0.25">
      <c r="A464" s="26">
        <v>43167</v>
      </c>
      <c r="B464" s="27" t="s">
        <v>105</v>
      </c>
      <c r="C464" s="27" t="s">
        <v>95</v>
      </c>
      <c r="D464" s="89">
        <v>38.049889999999998</v>
      </c>
      <c r="E464" s="89">
        <v>-121.69432</v>
      </c>
      <c r="F464" s="27" t="s">
        <v>7416</v>
      </c>
      <c r="G464" s="27" t="s">
        <v>46</v>
      </c>
      <c r="H464" s="27" t="s">
        <v>908</v>
      </c>
      <c r="I464" s="84">
        <v>0.44236111111111115</v>
      </c>
      <c r="J464" s="82">
        <v>352.04</v>
      </c>
      <c r="K464" s="82">
        <v>11.5</v>
      </c>
      <c r="L464" s="82">
        <v>7.4020000000000001</v>
      </c>
      <c r="M464" s="82">
        <v>1.0920000000000001</v>
      </c>
      <c r="N464" s="4">
        <v>13.22</v>
      </c>
      <c r="O464" s="27" t="s">
        <v>48</v>
      </c>
      <c r="P464" s="27">
        <v>5</v>
      </c>
      <c r="Q464" s="27">
        <v>5</v>
      </c>
      <c r="R464" s="27" t="s">
        <v>49</v>
      </c>
      <c r="S464" s="97" t="s">
        <v>50</v>
      </c>
      <c r="T464" s="97" t="s">
        <v>50</v>
      </c>
      <c r="U464" s="97" t="s">
        <v>50</v>
      </c>
      <c r="V464" s="97" t="s">
        <v>50</v>
      </c>
      <c r="W464" s="97" t="s">
        <v>50</v>
      </c>
      <c r="X464" s="97" t="s">
        <v>50</v>
      </c>
      <c r="Y464" s="35"/>
    </row>
    <row r="465" spans="1:25" s="27" customFormat="1" x14ac:dyDescent="0.25">
      <c r="A465" s="26">
        <v>43167</v>
      </c>
      <c r="B465" s="27" t="s">
        <v>105</v>
      </c>
      <c r="C465" s="27" t="s">
        <v>118</v>
      </c>
      <c r="D465" s="89">
        <v>38.06053</v>
      </c>
      <c r="E465" s="89">
        <v>-122.21897</v>
      </c>
      <c r="F465" s="27" t="s">
        <v>7417</v>
      </c>
      <c r="G465" s="27" t="s">
        <v>80</v>
      </c>
      <c r="H465" s="27" t="s">
        <v>120</v>
      </c>
      <c r="I465" s="84">
        <v>0.30902777777777779</v>
      </c>
      <c r="J465" s="82">
        <v>17609</v>
      </c>
      <c r="K465" s="82">
        <v>11.7</v>
      </c>
      <c r="L465" s="82">
        <v>11.61</v>
      </c>
      <c r="M465" s="82">
        <v>0.68700000000000006</v>
      </c>
      <c r="N465" s="4">
        <v>24.54</v>
      </c>
      <c r="O465" s="27" t="s">
        <v>48</v>
      </c>
      <c r="P465" s="27">
        <v>7</v>
      </c>
      <c r="Q465" s="27">
        <v>10</v>
      </c>
      <c r="R465" s="27" t="s">
        <v>49</v>
      </c>
      <c r="S465" s="97" t="s">
        <v>50</v>
      </c>
      <c r="T465" s="97" t="s">
        <v>50</v>
      </c>
      <c r="U465" s="97" t="s">
        <v>50</v>
      </c>
      <c r="V465" s="97" t="s">
        <v>50</v>
      </c>
      <c r="W465" s="97" t="s">
        <v>50</v>
      </c>
      <c r="X465" s="97" t="s">
        <v>50</v>
      </c>
      <c r="Y465" s="35" t="s">
        <v>7418</v>
      </c>
    </row>
    <row r="466" spans="1:25" s="108" customFormat="1" ht="15.75" thickBot="1" x14ac:dyDescent="0.3">
      <c r="A466" s="126">
        <v>43167</v>
      </c>
      <c r="B466" s="108" t="s">
        <v>105</v>
      </c>
      <c r="C466" s="108" t="s">
        <v>118</v>
      </c>
      <c r="D466" s="109">
        <v>38.10528</v>
      </c>
      <c r="E466" s="109">
        <v>-122.26904</v>
      </c>
      <c r="F466" s="108" t="s">
        <v>7419</v>
      </c>
      <c r="G466" s="108" t="s">
        <v>80</v>
      </c>
      <c r="H466" s="108" t="s">
        <v>191</v>
      </c>
      <c r="I466" s="110">
        <v>0.4284722222222222</v>
      </c>
      <c r="J466" s="111">
        <v>14190.165999999999</v>
      </c>
      <c r="K466" s="111">
        <v>11.85</v>
      </c>
      <c r="L466" s="111">
        <v>43.8</v>
      </c>
      <c r="M466" s="111">
        <v>0.312</v>
      </c>
      <c r="N466" s="112">
        <v>3.75</v>
      </c>
      <c r="O466" s="108" t="s">
        <v>48</v>
      </c>
      <c r="P466" s="108">
        <v>6</v>
      </c>
      <c r="Q466" s="108">
        <v>10</v>
      </c>
      <c r="R466" s="108" t="s">
        <v>49</v>
      </c>
      <c r="S466" s="108" t="s">
        <v>50</v>
      </c>
      <c r="T466" s="108" t="s">
        <v>50</v>
      </c>
      <c r="U466" s="108" t="s">
        <v>50</v>
      </c>
      <c r="V466" s="108" t="s">
        <v>50</v>
      </c>
      <c r="W466" s="108" t="s">
        <v>50</v>
      </c>
      <c r="X466" s="108" t="s">
        <v>50</v>
      </c>
      <c r="Y466" s="113"/>
    </row>
    <row r="467" spans="1:25" s="27" customFormat="1" ht="15.75" thickTop="1" x14ac:dyDescent="0.25">
      <c r="A467" s="26">
        <v>43171</v>
      </c>
      <c r="B467" s="27" t="s">
        <v>43</v>
      </c>
      <c r="C467" s="27" t="s">
        <v>78</v>
      </c>
      <c r="D467" s="89">
        <v>38.0501</v>
      </c>
      <c r="E467" s="89">
        <v>-122.11354</v>
      </c>
      <c r="F467" s="27" t="s">
        <v>7420</v>
      </c>
      <c r="G467" s="27" t="s">
        <v>80</v>
      </c>
      <c r="H467" s="27" t="s">
        <v>81</v>
      </c>
      <c r="I467" s="84">
        <v>0.35833333333333334</v>
      </c>
      <c r="J467" s="82">
        <v>14563.6</v>
      </c>
      <c r="K467" s="82">
        <v>12.62</v>
      </c>
      <c r="L467" s="82">
        <v>16.7</v>
      </c>
      <c r="M467" s="82">
        <v>0.53800000000000003</v>
      </c>
      <c r="N467" s="4">
        <v>10.98</v>
      </c>
      <c r="O467" s="27" t="s">
        <v>48</v>
      </c>
      <c r="P467" s="27">
        <v>5</v>
      </c>
      <c r="Q467" s="27">
        <v>5</v>
      </c>
      <c r="R467" s="27" t="s">
        <v>64</v>
      </c>
      <c r="S467" s="97" t="s">
        <v>50</v>
      </c>
      <c r="T467" s="97" t="s">
        <v>50</v>
      </c>
      <c r="U467" s="97" t="s">
        <v>50</v>
      </c>
      <c r="V467" s="97" t="s">
        <v>50</v>
      </c>
      <c r="W467" s="97" t="s">
        <v>50</v>
      </c>
      <c r="X467" s="97" t="s">
        <v>50</v>
      </c>
      <c r="Y467" s="35"/>
    </row>
    <row r="468" spans="1:25" s="27" customFormat="1" x14ac:dyDescent="0.25">
      <c r="A468" s="26">
        <v>43171</v>
      </c>
      <c r="B468" s="27" t="s">
        <v>43</v>
      </c>
      <c r="C468" s="27" t="s">
        <v>78</v>
      </c>
      <c r="D468" s="89">
        <v>38.057580000000002</v>
      </c>
      <c r="E468" s="89">
        <v>-121.99738000000001</v>
      </c>
      <c r="F468" s="27" t="s">
        <v>7421</v>
      </c>
      <c r="G468" s="27" t="s">
        <v>27</v>
      </c>
      <c r="H468" s="27" t="s">
        <v>86</v>
      </c>
      <c r="I468" s="84">
        <v>0.41041666666666665</v>
      </c>
      <c r="J468" s="82">
        <v>7449.6</v>
      </c>
      <c r="K468" s="82">
        <v>12.42</v>
      </c>
      <c r="L468" s="82">
        <v>15.98</v>
      </c>
      <c r="M468" s="82">
        <v>0.57999999999999996</v>
      </c>
      <c r="N468" s="4">
        <v>13.52</v>
      </c>
      <c r="O468" s="27" t="s">
        <v>48</v>
      </c>
      <c r="P468" s="27">
        <v>5</v>
      </c>
      <c r="Q468" s="27">
        <v>5</v>
      </c>
      <c r="R468" s="27" t="s">
        <v>64</v>
      </c>
      <c r="S468" s="97" t="s">
        <v>50</v>
      </c>
      <c r="T468" s="97" t="s">
        <v>50</v>
      </c>
      <c r="U468" s="97" t="s">
        <v>50</v>
      </c>
      <c r="V468" s="97" t="s">
        <v>50</v>
      </c>
      <c r="W468" s="97" t="s">
        <v>50</v>
      </c>
      <c r="X468" s="97" t="s">
        <v>50</v>
      </c>
      <c r="Y468" s="35" t="s">
        <v>124</v>
      </c>
    </row>
    <row r="469" spans="1:25" s="27" customFormat="1" x14ac:dyDescent="0.25">
      <c r="A469" s="26">
        <v>43171</v>
      </c>
      <c r="B469" s="27" t="s">
        <v>43</v>
      </c>
      <c r="C469" s="27" t="s">
        <v>78</v>
      </c>
      <c r="D469" s="89">
        <v>38.066540000000003</v>
      </c>
      <c r="E469" s="89">
        <v>-121.97627</v>
      </c>
      <c r="F469" s="27" t="s">
        <v>7422</v>
      </c>
      <c r="G469" s="27" t="s">
        <v>27</v>
      </c>
      <c r="H469" s="27" t="s">
        <v>86</v>
      </c>
      <c r="I469" s="84">
        <v>0.45416666666666666</v>
      </c>
      <c r="J469" s="82">
        <v>6682.2</v>
      </c>
      <c r="K469" s="82">
        <v>12.6</v>
      </c>
      <c r="L469" s="82">
        <v>15.7</v>
      </c>
      <c r="M469" s="82">
        <v>0.52</v>
      </c>
      <c r="N469" s="4">
        <v>5.98</v>
      </c>
      <c r="O469" s="27" t="s">
        <v>48</v>
      </c>
      <c r="P469" s="27">
        <v>5</v>
      </c>
      <c r="Q469" s="27">
        <v>5</v>
      </c>
      <c r="R469" s="27" t="s">
        <v>64</v>
      </c>
      <c r="S469" s="97" t="s">
        <v>50</v>
      </c>
      <c r="T469" s="97" t="s">
        <v>50</v>
      </c>
      <c r="U469" s="97" t="s">
        <v>50</v>
      </c>
      <c r="V469" s="97" t="s">
        <v>50</v>
      </c>
      <c r="W469" s="97" t="s">
        <v>50</v>
      </c>
      <c r="X469" s="97" t="s">
        <v>50</v>
      </c>
      <c r="Y469" s="35"/>
    </row>
    <row r="470" spans="1:25" s="27" customFormat="1" x14ac:dyDescent="0.25">
      <c r="A470" s="26">
        <v>43171</v>
      </c>
      <c r="B470" s="27" t="s">
        <v>43</v>
      </c>
      <c r="C470" s="27" t="s">
        <v>6849</v>
      </c>
      <c r="D470" s="89">
        <v>38.438429999999997</v>
      </c>
      <c r="E470" s="89">
        <v>-121.50581</v>
      </c>
      <c r="F470" s="27" t="s">
        <v>7423</v>
      </c>
      <c r="G470" s="27" t="s">
        <v>90</v>
      </c>
      <c r="H470" s="27" t="s">
        <v>6851</v>
      </c>
      <c r="I470" s="84">
        <v>0.3666666666666667</v>
      </c>
      <c r="J470" s="82">
        <v>132.05000000000001</v>
      </c>
      <c r="K470" s="82">
        <v>13.3</v>
      </c>
      <c r="L470" s="82">
        <v>12.6</v>
      </c>
      <c r="M470" s="82">
        <v>0.91500000000000004</v>
      </c>
      <c r="N470" s="4">
        <v>7.5833329999999997</v>
      </c>
      <c r="O470" s="27" t="s">
        <v>48</v>
      </c>
      <c r="P470" s="27">
        <v>6</v>
      </c>
      <c r="Q470" s="27">
        <v>10</v>
      </c>
      <c r="R470" s="27" t="s">
        <v>49</v>
      </c>
      <c r="S470" s="97" t="s">
        <v>50</v>
      </c>
      <c r="T470" s="97" t="s">
        <v>50</v>
      </c>
      <c r="U470" s="97" t="s">
        <v>50</v>
      </c>
      <c r="V470" s="97" t="s">
        <v>50</v>
      </c>
      <c r="W470" s="97" t="s">
        <v>50</v>
      </c>
      <c r="X470" s="97" t="s">
        <v>50</v>
      </c>
      <c r="Y470" s="35"/>
    </row>
    <row r="471" spans="1:25" s="27" customFormat="1" x14ac:dyDescent="0.25">
      <c r="A471" s="26">
        <v>43171</v>
      </c>
      <c r="B471" s="27" t="s">
        <v>43</v>
      </c>
      <c r="C471" s="27" t="s">
        <v>6849</v>
      </c>
      <c r="D471" s="89">
        <v>38.434170000000002</v>
      </c>
      <c r="E471" s="89">
        <v>-121.52779</v>
      </c>
      <c r="F471" s="27" t="s">
        <v>7424</v>
      </c>
      <c r="G471" s="27" t="s">
        <v>90</v>
      </c>
      <c r="H471" s="27" t="s">
        <v>6851</v>
      </c>
      <c r="I471" s="84">
        <v>0.43541666666666662</v>
      </c>
      <c r="J471" s="82">
        <v>133.19999999999999</v>
      </c>
      <c r="K471" s="82">
        <v>13.43333</v>
      </c>
      <c r="L471" s="82">
        <v>11.533329999999999</v>
      </c>
      <c r="M471" s="82">
        <v>0.92333299999999996</v>
      </c>
      <c r="N471" s="4">
        <v>5.85</v>
      </c>
      <c r="O471" s="27" t="s">
        <v>48</v>
      </c>
      <c r="P471" s="27">
        <v>6</v>
      </c>
      <c r="Q471" s="27">
        <v>10</v>
      </c>
      <c r="R471" s="27" t="s">
        <v>49</v>
      </c>
      <c r="S471" s="97" t="s">
        <v>50</v>
      </c>
      <c r="T471" s="97" t="s">
        <v>50</v>
      </c>
      <c r="U471" s="97" t="s">
        <v>50</v>
      </c>
      <c r="V471" s="97" t="s">
        <v>50</v>
      </c>
      <c r="W471" s="97" t="s">
        <v>50</v>
      </c>
      <c r="X471" s="97" t="s">
        <v>50</v>
      </c>
      <c r="Y471" s="35"/>
    </row>
    <row r="472" spans="1:25" s="27" customFormat="1" x14ac:dyDescent="0.25">
      <c r="A472" s="26">
        <v>43171</v>
      </c>
      <c r="B472" s="27" t="s">
        <v>43</v>
      </c>
      <c r="C472" s="27" t="s">
        <v>6879</v>
      </c>
      <c r="D472" s="89">
        <v>38.047170000000001</v>
      </c>
      <c r="E472" s="89">
        <v>-121.46890999999999</v>
      </c>
      <c r="F472" s="27" t="s">
        <v>7425</v>
      </c>
      <c r="G472" s="27" t="s">
        <v>46</v>
      </c>
      <c r="H472" s="27" t="s">
        <v>6883</v>
      </c>
      <c r="I472" s="84">
        <v>0.31944444444444448</v>
      </c>
      <c r="J472" s="82">
        <v>310.8</v>
      </c>
      <c r="K472" s="82">
        <v>13.48333</v>
      </c>
      <c r="L472" s="82">
        <v>2.9583330000000001</v>
      </c>
      <c r="M472" s="82">
        <v>2</v>
      </c>
      <c r="N472" s="4">
        <v>5.983333</v>
      </c>
      <c r="O472" s="27" t="s">
        <v>48</v>
      </c>
      <c r="P472" s="27">
        <v>6</v>
      </c>
      <c r="Q472" s="27">
        <v>10</v>
      </c>
      <c r="R472" s="27" t="s">
        <v>49</v>
      </c>
      <c r="S472" s="97" t="s">
        <v>50</v>
      </c>
      <c r="T472" s="97" t="s">
        <v>50</v>
      </c>
      <c r="U472" s="97" t="s">
        <v>50</v>
      </c>
      <c r="V472" s="97" t="s">
        <v>50</v>
      </c>
      <c r="W472" s="97" t="s">
        <v>50</v>
      </c>
      <c r="X472" s="97" t="s">
        <v>50</v>
      </c>
      <c r="Y472" s="35"/>
    </row>
    <row r="473" spans="1:25" s="27" customFormat="1" x14ac:dyDescent="0.25">
      <c r="A473" s="26">
        <v>43171</v>
      </c>
      <c r="B473" s="27" t="s">
        <v>43</v>
      </c>
      <c r="C473" s="27" t="s">
        <v>6879</v>
      </c>
      <c r="D473" s="89">
        <v>38.139229999999998</v>
      </c>
      <c r="E473" s="89">
        <v>-121.48156</v>
      </c>
      <c r="F473" s="27" t="s">
        <v>7426</v>
      </c>
      <c r="G473" s="27" t="s">
        <v>46</v>
      </c>
      <c r="H473" s="27" t="s">
        <v>6881</v>
      </c>
      <c r="I473" s="84">
        <v>0.4236111111111111</v>
      </c>
      <c r="J473" s="82">
        <v>185.3167</v>
      </c>
      <c r="K473" s="82">
        <v>13.45</v>
      </c>
      <c r="L473" s="82">
        <v>3.15</v>
      </c>
      <c r="M473" s="82">
        <v>1.976667</v>
      </c>
      <c r="N473" s="4">
        <v>4.483333</v>
      </c>
      <c r="O473" s="27" t="s">
        <v>48</v>
      </c>
      <c r="P473" s="27">
        <v>6</v>
      </c>
      <c r="Q473" s="27">
        <v>10</v>
      </c>
      <c r="R473" s="27" t="s">
        <v>64</v>
      </c>
      <c r="S473" s="97" t="s">
        <v>50</v>
      </c>
      <c r="T473" s="97" t="s">
        <v>50</v>
      </c>
      <c r="U473" s="97" t="s">
        <v>50</v>
      </c>
      <c r="V473" s="97" t="s">
        <v>50</v>
      </c>
      <c r="W473" s="97" t="s">
        <v>50</v>
      </c>
      <c r="X473" s="97" t="s">
        <v>50</v>
      </c>
      <c r="Y473" s="35"/>
    </row>
    <row r="474" spans="1:25" s="27" customFormat="1" x14ac:dyDescent="0.25">
      <c r="A474" s="26">
        <v>43171</v>
      </c>
      <c r="B474" s="27" t="s">
        <v>43</v>
      </c>
      <c r="C474" s="27" t="s">
        <v>6879</v>
      </c>
      <c r="D474" s="89">
        <v>38.100709999999999</v>
      </c>
      <c r="E474" s="89">
        <v>-121.56107</v>
      </c>
      <c r="F474" s="27" t="s">
        <v>7427</v>
      </c>
      <c r="G474" s="27" t="s">
        <v>46</v>
      </c>
      <c r="H474" s="27" t="s">
        <v>6881</v>
      </c>
      <c r="I474" s="84">
        <v>0.51944444444444449</v>
      </c>
      <c r="J474" s="82">
        <v>409.0333</v>
      </c>
      <c r="K474" s="82">
        <v>13.133330000000001</v>
      </c>
      <c r="L474" s="82">
        <v>4.7066670000000004</v>
      </c>
      <c r="M474" s="82">
        <v>1.618333</v>
      </c>
      <c r="N474" s="4">
        <v>5.983333</v>
      </c>
      <c r="O474" s="27" t="s">
        <v>48</v>
      </c>
      <c r="P474" s="27">
        <v>6</v>
      </c>
      <c r="Q474" s="27">
        <v>10</v>
      </c>
      <c r="R474" s="27" t="s">
        <v>64</v>
      </c>
      <c r="S474" s="97" t="s">
        <v>50</v>
      </c>
      <c r="T474" s="97" t="s">
        <v>50</v>
      </c>
      <c r="U474" s="97" t="s">
        <v>50</v>
      </c>
      <c r="V474" s="97" t="s">
        <v>50</v>
      </c>
      <c r="W474" s="97" t="s">
        <v>50</v>
      </c>
      <c r="X474" s="97" t="s">
        <v>50</v>
      </c>
      <c r="Y474" s="35" t="s">
        <v>7428</v>
      </c>
    </row>
    <row r="475" spans="1:25" s="27" customFormat="1" x14ac:dyDescent="0.25">
      <c r="A475" s="26">
        <v>43172</v>
      </c>
      <c r="B475" s="27" t="s">
        <v>70</v>
      </c>
      <c r="C475" s="27" t="s">
        <v>78</v>
      </c>
      <c r="D475" s="89">
        <v>38.045789999999997</v>
      </c>
      <c r="E475" s="89">
        <v>-121.92659999999999</v>
      </c>
      <c r="F475" s="27" t="s">
        <v>7429</v>
      </c>
      <c r="G475" s="27" t="s">
        <v>27</v>
      </c>
      <c r="H475" s="27" t="s">
        <v>101</v>
      </c>
      <c r="I475" s="84">
        <v>0.33263888888888887</v>
      </c>
      <c r="J475" s="82">
        <v>3203.8</v>
      </c>
      <c r="K475" s="82">
        <v>12.7</v>
      </c>
      <c r="L475" s="82">
        <v>17.119999999999997</v>
      </c>
      <c r="M475" s="82">
        <v>0.57999999999999996</v>
      </c>
      <c r="N475" s="4">
        <v>18.160000000000004</v>
      </c>
      <c r="O475" s="27" t="s">
        <v>48</v>
      </c>
      <c r="P475" s="27">
        <v>5</v>
      </c>
      <c r="Q475" s="27">
        <v>5</v>
      </c>
      <c r="R475" s="27" t="s">
        <v>49</v>
      </c>
      <c r="S475" s="27" t="s">
        <v>50</v>
      </c>
      <c r="T475" s="27" t="s">
        <v>50</v>
      </c>
      <c r="U475" s="27" t="s">
        <v>50</v>
      </c>
      <c r="V475" s="27" t="s">
        <v>50</v>
      </c>
      <c r="W475" s="27" t="s">
        <v>50</v>
      </c>
      <c r="X475" s="27" t="s">
        <v>50</v>
      </c>
      <c r="Y475" s="35"/>
    </row>
    <row r="476" spans="1:25" s="27" customFormat="1" x14ac:dyDescent="0.25">
      <c r="A476" s="26">
        <v>43172</v>
      </c>
      <c r="B476" s="27" t="s">
        <v>70</v>
      </c>
      <c r="C476" s="27" t="s">
        <v>78</v>
      </c>
      <c r="D476" s="89">
        <v>38.06964</v>
      </c>
      <c r="E476" s="89">
        <v>-121.86233</v>
      </c>
      <c r="F476" s="27" t="s">
        <v>7430</v>
      </c>
      <c r="G476" s="27" t="s">
        <v>27</v>
      </c>
      <c r="H476" s="27" t="s">
        <v>101</v>
      </c>
      <c r="I476" s="84">
        <v>0.37986111111111115</v>
      </c>
      <c r="J476" s="82">
        <v>1140.2</v>
      </c>
      <c r="K476" s="82">
        <v>12.620000000000001</v>
      </c>
      <c r="L476" s="82">
        <v>16.839999999999996</v>
      </c>
      <c r="M476" s="82">
        <v>0.57999999999999985</v>
      </c>
      <c r="N476" s="4">
        <v>5.5600000000000005</v>
      </c>
      <c r="O476" s="27" t="s">
        <v>48</v>
      </c>
      <c r="P476" s="27">
        <v>5</v>
      </c>
      <c r="Q476" s="27">
        <v>5</v>
      </c>
      <c r="R476" s="27" t="s">
        <v>49</v>
      </c>
      <c r="S476" s="27" t="s">
        <v>50</v>
      </c>
      <c r="T476" s="27" t="s">
        <v>50</v>
      </c>
      <c r="U476" s="27" t="s">
        <v>50</v>
      </c>
      <c r="V476" s="27" t="s">
        <v>50</v>
      </c>
      <c r="W476" s="27" t="s">
        <v>50</v>
      </c>
      <c r="X476" s="27" t="s">
        <v>50</v>
      </c>
      <c r="Y476" s="35"/>
    </row>
    <row r="477" spans="1:25" s="27" customFormat="1" x14ac:dyDescent="0.25">
      <c r="A477" s="26">
        <v>43172</v>
      </c>
      <c r="B477" s="27" t="s">
        <v>70</v>
      </c>
      <c r="C477" s="27" t="s">
        <v>78</v>
      </c>
      <c r="D477" s="89">
        <v>38.028129999999997</v>
      </c>
      <c r="E477" s="89">
        <v>-121.83645</v>
      </c>
      <c r="F477" s="27" t="s">
        <v>7431</v>
      </c>
      <c r="G477" s="27" t="s">
        <v>27</v>
      </c>
      <c r="H477" s="27" t="s">
        <v>101</v>
      </c>
      <c r="I477" s="84">
        <v>0.43333333333333335</v>
      </c>
      <c r="J477" s="82">
        <v>1142.8</v>
      </c>
      <c r="K477" s="82">
        <v>12.720000000000002</v>
      </c>
      <c r="L477" s="82">
        <v>18.600000000000001</v>
      </c>
      <c r="M477" s="82">
        <v>0.57999999999999996</v>
      </c>
      <c r="N477" s="4">
        <v>12.080000000000002</v>
      </c>
      <c r="O477" s="27" t="s">
        <v>48</v>
      </c>
      <c r="P477" s="27">
        <v>5</v>
      </c>
      <c r="Q477" s="27">
        <v>5</v>
      </c>
      <c r="R477" s="27" t="s">
        <v>64</v>
      </c>
      <c r="S477" s="27" t="s">
        <v>50</v>
      </c>
      <c r="T477" s="27" t="s">
        <v>50</v>
      </c>
      <c r="U477" s="27" t="s">
        <v>50</v>
      </c>
      <c r="V477" s="27" t="s">
        <v>50</v>
      </c>
      <c r="W477" s="27" t="s">
        <v>50</v>
      </c>
      <c r="X477" s="27" t="s">
        <v>50</v>
      </c>
      <c r="Y477" s="35"/>
    </row>
    <row r="478" spans="1:25" s="27" customFormat="1" x14ac:dyDescent="0.25">
      <c r="A478" s="26">
        <v>43172</v>
      </c>
      <c r="B478" s="27" t="s">
        <v>70</v>
      </c>
      <c r="C478" s="27" t="s">
        <v>88</v>
      </c>
      <c r="D478" s="89">
        <v>38.06317</v>
      </c>
      <c r="E478" s="89">
        <v>-121.78498999999999</v>
      </c>
      <c r="F478" s="27" t="s">
        <v>7432</v>
      </c>
      <c r="G478" s="27" t="s">
        <v>27</v>
      </c>
      <c r="H478" s="27" t="s">
        <v>25</v>
      </c>
      <c r="I478" s="84">
        <v>0.32500000000000001</v>
      </c>
      <c r="J478" s="82">
        <v>330.15999999999997</v>
      </c>
      <c r="K478" s="82">
        <v>12.66</v>
      </c>
      <c r="L478" s="82">
        <v>12.580000000000002</v>
      </c>
      <c r="M478" s="82">
        <v>0.74199999999999988</v>
      </c>
      <c r="N478" s="4">
        <v>8.7399999999999984</v>
      </c>
      <c r="O478" s="27" t="s">
        <v>48</v>
      </c>
      <c r="P478" s="27">
        <v>5</v>
      </c>
      <c r="Q478" s="27">
        <v>5</v>
      </c>
      <c r="R478" s="27" t="s">
        <v>49</v>
      </c>
      <c r="S478" s="27" t="s">
        <v>50</v>
      </c>
      <c r="T478" s="27" t="s">
        <v>50</v>
      </c>
      <c r="U478" s="27" t="s">
        <v>50</v>
      </c>
      <c r="V478" s="27" t="s">
        <v>50</v>
      </c>
      <c r="W478" s="27" t="s">
        <v>50</v>
      </c>
      <c r="X478" s="27" t="s">
        <v>50</v>
      </c>
      <c r="Y478" s="35"/>
    </row>
    <row r="479" spans="1:25" s="27" customFormat="1" x14ac:dyDescent="0.25">
      <c r="A479" s="26">
        <v>43172</v>
      </c>
      <c r="B479" s="27" t="s">
        <v>70</v>
      </c>
      <c r="C479" s="27" t="s">
        <v>88</v>
      </c>
      <c r="D479" s="89">
        <v>38.127989999999997</v>
      </c>
      <c r="E479" s="89">
        <v>-121.6947</v>
      </c>
      <c r="F479" s="27" t="s">
        <v>7433</v>
      </c>
      <c r="G479" s="27" t="s">
        <v>90</v>
      </c>
      <c r="H479" s="27" t="s">
        <v>91</v>
      </c>
      <c r="I479" s="84">
        <v>0.37013888888888885</v>
      </c>
      <c r="J479" s="82">
        <v>150.80000000000001</v>
      </c>
      <c r="K479" s="82">
        <v>13.219999999999999</v>
      </c>
      <c r="L479" s="82">
        <v>7.24</v>
      </c>
      <c r="M479" s="82">
        <v>1.5539999999999998</v>
      </c>
      <c r="N479" s="4">
        <v>8.120000000000001</v>
      </c>
      <c r="O479" s="27" t="s">
        <v>48</v>
      </c>
      <c r="P479" s="27">
        <v>5</v>
      </c>
      <c r="Q479" s="27">
        <v>5</v>
      </c>
      <c r="R479" s="27" t="s">
        <v>49</v>
      </c>
      <c r="S479" s="27" t="s">
        <v>50</v>
      </c>
      <c r="T479" s="27" t="s">
        <v>50</v>
      </c>
      <c r="U479" s="27" t="s">
        <v>50</v>
      </c>
      <c r="V479" s="27" t="s">
        <v>50</v>
      </c>
      <c r="W479" s="27" t="s">
        <v>50</v>
      </c>
      <c r="X479" s="27" t="s">
        <v>50</v>
      </c>
      <c r="Y479" s="35"/>
    </row>
    <row r="480" spans="1:25" s="27" customFormat="1" x14ac:dyDescent="0.25">
      <c r="A480" s="26">
        <v>43172</v>
      </c>
      <c r="B480" s="27" t="s">
        <v>70</v>
      </c>
      <c r="C480" s="27" t="s">
        <v>88</v>
      </c>
      <c r="D480" s="89">
        <v>38.1083</v>
      </c>
      <c r="E480" s="89">
        <v>-121.68315</v>
      </c>
      <c r="F480" s="27" t="s">
        <v>7434</v>
      </c>
      <c r="G480" s="27" t="s">
        <v>90</v>
      </c>
      <c r="H480" s="27" t="s">
        <v>91</v>
      </c>
      <c r="I480" s="84">
        <v>0.4201388888888889</v>
      </c>
      <c r="J480" s="82">
        <v>195.62</v>
      </c>
      <c r="K480" s="82">
        <v>12.780000000000001</v>
      </c>
      <c r="L480" s="82">
        <v>6.9580000000000002</v>
      </c>
      <c r="M480" s="82">
        <v>1.5680000000000003</v>
      </c>
      <c r="N480" s="4">
        <v>8.5</v>
      </c>
      <c r="O480" s="27" t="s">
        <v>48</v>
      </c>
      <c r="P480" s="27">
        <v>5</v>
      </c>
      <c r="Q480" s="27">
        <v>5</v>
      </c>
      <c r="R480" s="27" t="s">
        <v>64</v>
      </c>
      <c r="S480" s="27" t="s">
        <v>50</v>
      </c>
      <c r="T480" s="27" t="s">
        <v>50</v>
      </c>
      <c r="U480" s="27" t="s">
        <v>50</v>
      </c>
      <c r="V480" s="27" t="s">
        <v>50</v>
      </c>
      <c r="W480" s="27" t="s">
        <v>50</v>
      </c>
      <c r="X480" s="27" t="s">
        <v>50</v>
      </c>
      <c r="Y480" s="35"/>
    </row>
    <row r="481" spans="1:25" s="27" customFormat="1" x14ac:dyDescent="0.25">
      <c r="A481" s="26">
        <v>43172</v>
      </c>
      <c r="B481" s="27" t="s">
        <v>70</v>
      </c>
      <c r="C481" s="27" t="s">
        <v>95</v>
      </c>
      <c r="D481" s="89">
        <v>38.054639999999999</v>
      </c>
      <c r="E481" s="89">
        <v>-121.52314</v>
      </c>
      <c r="F481" s="27" t="s">
        <v>7435</v>
      </c>
      <c r="G481" s="27" t="s">
        <v>46</v>
      </c>
      <c r="H481" s="27" t="s">
        <v>115</v>
      </c>
      <c r="I481" s="84">
        <v>0.32847222222222222</v>
      </c>
      <c r="J481" s="82">
        <v>241.54000000000002</v>
      </c>
      <c r="K481" s="82">
        <v>12.8</v>
      </c>
      <c r="L481" s="82">
        <v>3.8780000000000001</v>
      </c>
      <c r="M481" s="82">
        <v>1.7920000000000003</v>
      </c>
      <c r="N481" s="4">
        <v>11.58</v>
      </c>
      <c r="O481" s="27" t="s">
        <v>48</v>
      </c>
      <c r="P481" s="27">
        <v>5</v>
      </c>
      <c r="Q481" s="27">
        <v>5</v>
      </c>
      <c r="R481" s="27" t="s">
        <v>49</v>
      </c>
      <c r="S481" s="27" t="s">
        <v>50</v>
      </c>
      <c r="T481" s="27" t="s">
        <v>50</v>
      </c>
      <c r="U481" s="27" t="s">
        <v>50</v>
      </c>
      <c r="V481" s="27" t="s">
        <v>50</v>
      </c>
      <c r="W481" s="27" t="s">
        <v>50</v>
      </c>
      <c r="X481" s="27" t="s">
        <v>50</v>
      </c>
      <c r="Y481" s="35" t="s">
        <v>7436</v>
      </c>
    </row>
    <row r="482" spans="1:25" s="27" customFormat="1" x14ac:dyDescent="0.25">
      <c r="A482" s="26">
        <v>43172</v>
      </c>
      <c r="B482" s="27" t="s">
        <v>70</v>
      </c>
      <c r="C482" s="27" t="s">
        <v>95</v>
      </c>
      <c r="D482" s="89">
        <v>38.091819999999998</v>
      </c>
      <c r="E482" s="89">
        <v>-121.67019000000001</v>
      </c>
      <c r="F482" s="27" t="s">
        <v>7437</v>
      </c>
      <c r="G482" s="27" t="s">
        <v>46</v>
      </c>
      <c r="H482" s="27" t="s">
        <v>908</v>
      </c>
      <c r="I482" s="84">
        <v>0.38680555555555557</v>
      </c>
      <c r="J482" s="82">
        <v>195.14000000000001</v>
      </c>
      <c r="K482" s="82">
        <v>12.8</v>
      </c>
      <c r="L482" s="82">
        <v>4.8719999999999999</v>
      </c>
      <c r="M482" s="82">
        <v>1.6839999999999999</v>
      </c>
      <c r="N482" s="4">
        <v>6.7799999999999994</v>
      </c>
      <c r="O482" s="27" t="s">
        <v>48</v>
      </c>
      <c r="P482" s="27">
        <v>5</v>
      </c>
      <c r="Q482" s="27">
        <v>5</v>
      </c>
      <c r="R482" s="27" t="s">
        <v>64</v>
      </c>
      <c r="S482" s="27" t="s">
        <v>50</v>
      </c>
      <c r="T482" s="27" t="s">
        <v>50</v>
      </c>
      <c r="U482" s="27" t="s">
        <v>50</v>
      </c>
      <c r="V482" s="27" t="s">
        <v>50</v>
      </c>
      <c r="W482" s="27" t="s">
        <v>50</v>
      </c>
      <c r="X482" s="27" t="s">
        <v>50</v>
      </c>
      <c r="Y482" s="35"/>
    </row>
    <row r="483" spans="1:25" s="27" customFormat="1" x14ac:dyDescent="0.25">
      <c r="A483" s="26">
        <v>43172</v>
      </c>
      <c r="B483" s="27" t="s">
        <v>70</v>
      </c>
      <c r="C483" s="27" t="s">
        <v>95</v>
      </c>
      <c r="D483" s="89">
        <v>38.093800000000002</v>
      </c>
      <c r="E483" s="89">
        <v>-121.65188999999999</v>
      </c>
      <c r="F483" s="27" t="s">
        <v>7438</v>
      </c>
      <c r="G483" s="27" t="s">
        <v>46</v>
      </c>
      <c r="H483" s="27" t="s">
        <v>908</v>
      </c>
      <c r="I483" s="84">
        <v>0.45277777777777778</v>
      </c>
      <c r="J483" s="82">
        <v>196.72</v>
      </c>
      <c r="K483" s="82">
        <v>12.8</v>
      </c>
      <c r="L483" s="82">
        <v>4.92</v>
      </c>
      <c r="M483" s="82">
        <v>1.7120000000000002</v>
      </c>
      <c r="N483" s="4">
        <v>7.3</v>
      </c>
      <c r="O483" s="27" t="s">
        <v>48</v>
      </c>
      <c r="P483" s="27">
        <v>5</v>
      </c>
      <c r="Q483" s="27">
        <v>5</v>
      </c>
      <c r="R483" s="27" t="s">
        <v>64</v>
      </c>
      <c r="S483" s="27" t="s">
        <v>50</v>
      </c>
      <c r="T483" s="27" t="s">
        <v>50</v>
      </c>
      <c r="U483" s="27" t="s">
        <v>50</v>
      </c>
      <c r="V483" s="27" t="s">
        <v>50</v>
      </c>
      <c r="W483" s="27" t="s">
        <v>50</v>
      </c>
      <c r="X483" s="27" t="s">
        <v>50</v>
      </c>
      <c r="Y483" s="35"/>
    </row>
    <row r="484" spans="1:25" s="27" customFormat="1" x14ac:dyDescent="0.25">
      <c r="A484" s="26">
        <v>43173</v>
      </c>
      <c r="B484" s="27" t="s">
        <v>87</v>
      </c>
      <c r="C484" s="27" t="s">
        <v>95</v>
      </c>
      <c r="D484" s="89">
        <v>38.016300000000001</v>
      </c>
      <c r="E484" s="89">
        <v>-121.78861000000001</v>
      </c>
      <c r="F484" s="27" t="s">
        <v>7439</v>
      </c>
      <c r="G484" s="27" t="s">
        <v>27</v>
      </c>
      <c r="H484" s="27" t="s">
        <v>863</v>
      </c>
      <c r="I484" s="84">
        <v>0.33333333333333331</v>
      </c>
      <c r="J484" s="82">
        <v>514.66000000000008</v>
      </c>
      <c r="K484" s="82">
        <v>13.080000000000002</v>
      </c>
      <c r="L484" s="82">
        <v>11.6</v>
      </c>
      <c r="M484" s="82">
        <v>0.96799999999999997</v>
      </c>
      <c r="N484" s="4">
        <v>11.9</v>
      </c>
      <c r="O484" s="27" t="s">
        <v>48</v>
      </c>
      <c r="P484" s="27">
        <v>5</v>
      </c>
      <c r="Q484" s="27">
        <v>5</v>
      </c>
      <c r="R484" s="27" t="s">
        <v>49</v>
      </c>
      <c r="S484" s="27" t="s">
        <v>50</v>
      </c>
      <c r="T484" s="27" t="s">
        <v>50</v>
      </c>
      <c r="U484" s="27" t="s">
        <v>50</v>
      </c>
      <c r="V484" s="27" t="s">
        <v>50</v>
      </c>
      <c r="W484" s="27" t="s">
        <v>50</v>
      </c>
      <c r="X484" s="27" t="s">
        <v>50</v>
      </c>
      <c r="Y484" s="35"/>
    </row>
    <row r="485" spans="1:25" s="27" customFormat="1" x14ac:dyDescent="0.25">
      <c r="A485" s="26">
        <v>43173</v>
      </c>
      <c r="B485" s="27" t="s">
        <v>87</v>
      </c>
      <c r="C485" s="27" t="s">
        <v>95</v>
      </c>
      <c r="D485" s="89">
        <v>38.022190000000002</v>
      </c>
      <c r="E485" s="89">
        <v>-121.71297</v>
      </c>
      <c r="F485" s="27" t="s">
        <v>7440</v>
      </c>
      <c r="G485" s="27" t="s">
        <v>27</v>
      </c>
      <c r="H485" s="27" t="s">
        <v>863</v>
      </c>
      <c r="I485" s="84">
        <v>0.3840277777777778</v>
      </c>
      <c r="J485" s="82">
        <v>316.12</v>
      </c>
      <c r="K485" s="82">
        <v>13.48</v>
      </c>
      <c r="L485" s="82">
        <v>5.2200000000000006</v>
      </c>
      <c r="M485" s="82">
        <v>1.8</v>
      </c>
      <c r="N485" s="4">
        <v>5.2399999999999993</v>
      </c>
      <c r="O485" s="27" t="s">
        <v>48</v>
      </c>
      <c r="P485" s="27">
        <v>5</v>
      </c>
      <c r="Q485" s="27">
        <v>5</v>
      </c>
      <c r="R485" s="27" t="s">
        <v>49</v>
      </c>
      <c r="S485" s="27" t="s">
        <v>50</v>
      </c>
      <c r="T485" s="27" t="s">
        <v>50</v>
      </c>
      <c r="U485" s="27" t="s">
        <v>50</v>
      </c>
      <c r="V485" s="27" t="s">
        <v>50</v>
      </c>
      <c r="W485" s="27" t="s">
        <v>50</v>
      </c>
      <c r="X485" s="27" t="s">
        <v>50</v>
      </c>
      <c r="Y485" s="35"/>
    </row>
    <row r="486" spans="1:25" s="27" customFormat="1" x14ac:dyDescent="0.25">
      <c r="A486" s="26">
        <v>43173</v>
      </c>
      <c r="B486" s="27" t="s">
        <v>87</v>
      </c>
      <c r="C486" s="27" t="s">
        <v>95</v>
      </c>
      <c r="D486" s="89">
        <v>38.091430000000003</v>
      </c>
      <c r="E486" s="89">
        <v>-121.57424</v>
      </c>
      <c r="F486" s="27" t="s">
        <v>7441</v>
      </c>
      <c r="G486" s="27" t="s">
        <v>46</v>
      </c>
      <c r="H486" s="27" t="s">
        <v>115</v>
      </c>
      <c r="I486" s="84">
        <v>0.44513888888888892</v>
      </c>
      <c r="J486" s="82">
        <v>255.4</v>
      </c>
      <c r="K486" s="82">
        <v>13.1</v>
      </c>
      <c r="L486" s="82">
        <v>6.4079999999999995</v>
      </c>
      <c r="M486" s="82">
        <v>1.6780000000000002</v>
      </c>
      <c r="N486" s="4">
        <v>10.18</v>
      </c>
      <c r="O486" s="27" t="s">
        <v>48</v>
      </c>
      <c r="P486" s="27">
        <v>5</v>
      </c>
      <c r="Q486" s="27">
        <v>5</v>
      </c>
      <c r="R486" s="27" t="s">
        <v>49</v>
      </c>
      <c r="S486" s="27" t="s">
        <v>50</v>
      </c>
      <c r="T486" s="27" t="s">
        <v>50</v>
      </c>
      <c r="U486" s="27" t="s">
        <v>50</v>
      </c>
      <c r="V486" s="27" t="s">
        <v>50</v>
      </c>
      <c r="W486" s="27" t="s">
        <v>50</v>
      </c>
      <c r="X486" s="27" t="s">
        <v>50</v>
      </c>
      <c r="Y486" s="35"/>
    </row>
    <row r="487" spans="1:25" s="27" customFormat="1" x14ac:dyDescent="0.25">
      <c r="A487" s="26">
        <v>43173</v>
      </c>
      <c r="B487" s="27" t="s">
        <v>87</v>
      </c>
      <c r="C487" s="27" t="s">
        <v>106</v>
      </c>
      <c r="D487" s="89">
        <v>38.203670000000002</v>
      </c>
      <c r="E487" s="89">
        <v>-121.65831</v>
      </c>
      <c r="F487" s="27" t="s">
        <v>7442</v>
      </c>
      <c r="G487" s="27" t="s">
        <v>90</v>
      </c>
      <c r="H487" s="27" t="s">
        <v>362</v>
      </c>
      <c r="I487" s="84">
        <v>0.31666666666666665</v>
      </c>
      <c r="J487" s="82">
        <v>149.80000000000001</v>
      </c>
      <c r="K487" s="82">
        <v>13.8</v>
      </c>
      <c r="L487" s="82">
        <v>8.52</v>
      </c>
      <c r="M487" s="82">
        <v>1.3560000000000001</v>
      </c>
      <c r="N487" s="4">
        <v>13.36</v>
      </c>
      <c r="O487" s="27" t="s">
        <v>48</v>
      </c>
      <c r="P487" s="27">
        <v>5</v>
      </c>
      <c r="Q487" s="27">
        <v>5</v>
      </c>
      <c r="R487" s="27" t="s">
        <v>49</v>
      </c>
      <c r="S487" s="27" t="s">
        <v>50</v>
      </c>
      <c r="T487" s="27" t="s">
        <v>50</v>
      </c>
      <c r="U487" s="27" t="s">
        <v>50</v>
      </c>
      <c r="V487" s="27" t="s">
        <v>50</v>
      </c>
      <c r="W487" s="27" t="s">
        <v>50</v>
      </c>
      <c r="X487" s="27" t="s">
        <v>50</v>
      </c>
      <c r="Y487" s="35"/>
    </row>
    <row r="488" spans="1:25" s="149" customFormat="1" x14ac:dyDescent="0.25">
      <c r="A488" s="178">
        <v>43173</v>
      </c>
      <c r="B488" s="149" t="s">
        <v>87</v>
      </c>
      <c r="C488" s="149" t="s">
        <v>106</v>
      </c>
      <c r="D488" s="150">
        <v>38.231940000000002</v>
      </c>
      <c r="E488" s="150">
        <v>-121.67527</v>
      </c>
      <c r="F488" s="149" t="s">
        <v>7443</v>
      </c>
      <c r="G488" s="149" t="s">
        <v>90</v>
      </c>
      <c r="H488" s="149" t="s">
        <v>362</v>
      </c>
      <c r="I488" s="151">
        <v>0.36458333333333331</v>
      </c>
      <c r="J488" s="197" t="s">
        <v>50</v>
      </c>
      <c r="K488" s="197" t="s">
        <v>50</v>
      </c>
      <c r="L488" s="197" t="s">
        <v>50</v>
      </c>
      <c r="M488" s="197" t="s">
        <v>50</v>
      </c>
      <c r="N488" s="197" t="s">
        <v>50</v>
      </c>
      <c r="O488" s="149" t="s">
        <v>48</v>
      </c>
      <c r="P488" s="149">
        <v>0</v>
      </c>
      <c r="Q488" s="149" t="s">
        <v>50</v>
      </c>
      <c r="R488" s="149" t="s">
        <v>50</v>
      </c>
      <c r="S488" s="149" t="s">
        <v>50</v>
      </c>
      <c r="T488" s="149" t="s">
        <v>50</v>
      </c>
      <c r="U488" s="149" t="s">
        <v>50</v>
      </c>
      <c r="V488" s="149" t="s">
        <v>50</v>
      </c>
      <c r="W488" s="149" t="s">
        <v>50</v>
      </c>
      <c r="X488" s="149" t="s">
        <v>50</v>
      </c>
      <c r="Y488" s="152" t="s">
        <v>7444</v>
      </c>
    </row>
    <row r="489" spans="1:25" s="215" customFormat="1" x14ac:dyDescent="0.25">
      <c r="A489" s="495">
        <v>43173</v>
      </c>
      <c r="B489" s="494" t="s">
        <v>87</v>
      </c>
      <c r="C489" s="494" t="s">
        <v>106</v>
      </c>
      <c r="D489" s="496">
        <v>38.450139999999998</v>
      </c>
      <c r="E489" s="496">
        <v>-121.59488</v>
      </c>
      <c r="F489" s="494" t="s">
        <v>7445</v>
      </c>
      <c r="G489" s="494" t="s">
        <v>90</v>
      </c>
      <c r="H489" s="494" t="s">
        <v>362</v>
      </c>
      <c r="I489" s="497">
        <v>0.39374999999999999</v>
      </c>
      <c r="J489" s="498">
        <v>518.33333333333337</v>
      </c>
      <c r="K489" s="498">
        <v>12.033333333333333</v>
      </c>
      <c r="L489" s="498">
        <v>31.900000000000002</v>
      </c>
      <c r="M489" s="498">
        <v>0.34</v>
      </c>
      <c r="N489" s="499">
        <v>9.3666666666666671</v>
      </c>
      <c r="O489" s="494" t="s">
        <v>48</v>
      </c>
      <c r="P489" s="494">
        <v>3</v>
      </c>
      <c r="Q489" s="494">
        <v>5</v>
      </c>
      <c r="R489" s="494" t="s">
        <v>49</v>
      </c>
      <c r="S489" s="494" t="s">
        <v>323</v>
      </c>
      <c r="T489" s="494">
        <v>1</v>
      </c>
      <c r="U489" s="494">
        <v>66</v>
      </c>
      <c r="V489" s="494" t="s">
        <v>66</v>
      </c>
      <c r="W489" s="494" t="s">
        <v>50</v>
      </c>
      <c r="X489" s="494" t="s">
        <v>50</v>
      </c>
      <c r="Y489" s="455"/>
    </row>
    <row r="490" spans="1:25" s="27" customFormat="1" x14ac:dyDescent="0.25">
      <c r="A490" s="26">
        <v>43173</v>
      </c>
      <c r="B490" s="27" t="s">
        <v>87</v>
      </c>
      <c r="C490" s="27" t="s">
        <v>106</v>
      </c>
      <c r="D490" s="89">
        <v>38.514949999999999</v>
      </c>
      <c r="E490" s="89">
        <v>-121.58445</v>
      </c>
      <c r="F490" s="27" t="s">
        <v>7446</v>
      </c>
      <c r="G490" s="27" t="s">
        <v>90</v>
      </c>
      <c r="H490" s="27" t="s">
        <v>1787</v>
      </c>
      <c r="I490" s="84">
        <v>0.43194444444444446</v>
      </c>
      <c r="J490" s="82">
        <v>661.4</v>
      </c>
      <c r="K490" s="82">
        <v>12.2</v>
      </c>
      <c r="L490" s="82">
        <v>12.5</v>
      </c>
      <c r="M490" s="82">
        <v>0.67400000000000004</v>
      </c>
      <c r="N490" s="4">
        <v>10.88</v>
      </c>
      <c r="O490" s="27" t="s">
        <v>48</v>
      </c>
      <c r="P490" s="27">
        <v>5</v>
      </c>
      <c r="Q490" s="27">
        <v>5</v>
      </c>
      <c r="R490" s="27" t="s">
        <v>49</v>
      </c>
      <c r="S490" s="27" t="s">
        <v>50</v>
      </c>
      <c r="T490" s="27" t="s">
        <v>50</v>
      </c>
      <c r="U490" s="27" t="s">
        <v>50</v>
      </c>
      <c r="V490" s="27" t="s">
        <v>50</v>
      </c>
      <c r="W490" s="27" t="s">
        <v>50</v>
      </c>
      <c r="X490" s="27" t="s">
        <v>50</v>
      </c>
      <c r="Y490" s="35"/>
    </row>
    <row r="491" spans="1:25" s="27" customFormat="1" x14ac:dyDescent="0.25">
      <c r="A491" s="26">
        <v>43173</v>
      </c>
      <c r="B491" s="27" t="s">
        <v>87</v>
      </c>
      <c r="C491" s="27" t="s">
        <v>118</v>
      </c>
      <c r="D491" s="89">
        <v>38.054310000000001</v>
      </c>
      <c r="E491" s="89">
        <v>-122.17955000000001</v>
      </c>
      <c r="F491" s="27" t="s">
        <v>7447</v>
      </c>
      <c r="G491" s="27" t="s">
        <v>80</v>
      </c>
      <c r="H491" s="27" t="s">
        <v>120</v>
      </c>
      <c r="I491" s="84">
        <v>0.38819444444444445</v>
      </c>
      <c r="J491" s="82">
        <v>16168.666666666666</v>
      </c>
      <c r="K491" s="82">
        <v>12.9</v>
      </c>
      <c r="L491" s="82">
        <v>18.066666666666666</v>
      </c>
      <c r="M491" s="82">
        <v>0.59500000000000008</v>
      </c>
      <c r="N491" s="4">
        <v>27.683333333333334</v>
      </c>
      <c r="O491" s="27" t="s">
        <v>48</v>
      </c>
      <c r="P491" s="27">
        <v>6</v>
      </c>
      <c r="Q491" s="27">
        <v>10</v>
      </c>
      <c r="R491" s="27" t="s">
        <v>64</v>
      </c>
      <c r="S491" s="27" t="s">
        <v>50</v>
      </c>
      <c r="T491" s="27" t="s">
        <v>50</v>
      </c>
      <c r="U491" s="27" t="s">
        <v>50</v>
      </c>
      <c r="V491" s="27" t="s">
        <v>50</v>
      </c>
      <c r="W491" s="27" t="s">
        <v>50</v>
      </c>
      <c r="X491" s="27" t="s">
        <v>50</v>
      </c>
      <c r="Y491" s="35" t="s">
        <v>7448</v>
      </c>
    </row>
    <row r="492" spans="1:25" s="27" customFormat="1" x14ac:dyDescent="0.25">
      <c r="A492" s="26">
        <v>43173</v>
      </c>
      <c r="B492" s="27" t="s">
        <v>87</v>
      </c>
      <c r="C492" s="27" t="s">
        <v>118</v>
      </c>
      <c r="D492" s="89">
        <v>38.05292</v>
      </c>
      <c r="E492" s="89">
        <v>-122.26418</v>
      </c>
      <c r="F492" s="27" t="s">
        <v>7449</v>
      </c>
      <c r="G492" s="27" t="s">
        <v>80</v>
      </c>
      <c r="H492" s="27" t="s">
        <v>123</v>
      </c>
      <c r="I492" s="84">
        <v>0.4770833333333333</v>
      </c>
      <c r="J492" s="82">
        <v>23551.5</v>
      </c>
      <c r="K492" s="82">
        <v>12.766666666666666</v>
      </c>
      <c r="L492" s="82">
        <v>10.593333333333334</v>
      </c>
      <c r="M492" s="82">
        <v>0.89999999999999991</v>
      </c>
      <c r="N492" s="4">
        <v>6.3000000000000007</v>
      </c>
      <c r="O492" s="27" t="s">
        <v>48</v>
      </c>
      <c r="P492" s="27">
        <v>6</v>
      </c>
      <c r="Q492" s="27">
        <v>10</v>
      </c>
      <c r="R492" s="27" t="s">
        <v>64</v>
      </c>
      <c r="S492" s="27" t="s">
        <v>50</v>
      </c>
      <c r="T492" s="27" t="s">
        <v>50</v>
      </c>
      <c r="U492" s="27" t="s">
        <v>50</v>
      </c>
      <c r="V492" s="27" t="s">
        <v>50</v>
      </c>
      <c r="W492" s="27" t="s">
        <v>50</v>
      </c>
      <c r="X492" s="27" t="s">
        <v>50</v>
      </c>
      <c r="Y492" s="35"/>
    </row>
    <row r="493" spans="1:25" s="27" customFormat="1" x14ac:dyDescent="0.25">
      <c r="A493" s="26">
        <v>43174</v>
      </c>
      <c r="B493" s="27" t="s">
        <v>105</v>
      </c>
      <c r="C493" s="27" t="s">
        <v>62</v>
      </c>
      <c r="D493" s="89">
        <v>38.186990000000002</v>
      </c>
      <c r="E493" s="89">
        <v>-121.97293000000001</v>
      </c>
      <c r="F493" s="27" t="s">
        <v>7450</v>
      </c>
      <c r="G493" s="27" t="s">
        <v>27</v>
      </c>
      <c r="H493" s="27" t="s">
        <v>62</v>
      </c>
      <c r="I493" s="84">
        <v>0.33333333333333331</v>
      </c>
      <c r="J493" s="82">
        <v>1394.4</v>
      </c>
      <c r="K493" s="82">
        <v>12.959999999999999</v>
      </c>
      <c r="L493" s="82">
        <v>44.4</v>
      </c>
      <c r="M493" s="82">
        <v>0.30199999999999999</v>
      </c>
      <c r="N493" s="4">
        <v>8.16</v>
      </c>
      <c r="O493" s="27" t="s">
        <v>48</v>
      </c>
      <c r="P493" s="27">
        <v>5</v>
      </c>
      <c r="Q493" s="27">
        <v>5</v>
      </c>
      <c r="R493" s="27" t="s">
        <v>49</v>
      </c>
      <c r="S493" s="27" t="s">
        <v>50</v>
      </c>
      <c r="T493" s="27" t="s">
        <v>50</v>
      </c>
      <c r="U493" s="27" t="s">
        <v>50</v>
      </c>
      <c r="V493" s="27" t="s">
        <v>50</v>
      </c>
      <c r="W493" s="27" t="s">
        <v>50</v>
      </c>
      <c r="X493" s="27" t="s">
        <v>50</v>
      </c>
      <c r="Y493" s="35" t="s">
        <v>7451</v>
      </c>
    </row>
    <row r="494" spans="1:25" s="149" customFormat="1" x14ac:dyDescent="0.25">
      <c r="A494" s="178">
        <v>43174</v>
      </c>
      <c r="B494" s="149" t="s">
        <v>105</v>
      </c>
      <c r="C494" s="149" t="s">
        <v>62</v>
      </c>
      <c r="D494" s="150">
        <v>38.149500000000003</v>
      </c>
      <c r="E494" s="150">
        <v>-122.07043</v>
      </c>
      <c r="F494" s="149" t="s">
        <v>7452</v>
      </c>
      <c r="G494" s="149" t="s">
        <v>27</v>
      </c>
      <c r="H494" s="149" t="s">
        <v>62</v>
      </c>
      <c r="I494" s="151">
        <v>0.40277777777777773</v>
      </c>
      <c r="J494" s="197" t="s">
        <v>50</v>
      </c>
      <c r="K494" s="197" t="s">
        <v>50</v>
      </c>
      <c r="L494" s="197" t="s">
        <v>50</v>
      </c>
      <c r="M494" s="197" t="s">
        <v>50</v>
      </c>
      <c r="N494" s="197" t="s">
        <v>50</v>
      </c>
      <c r="O494" s="149" t="s">
        <v>48</v>
      </c>
      <c r="P494" s="149">
        <v>0</v>
      </c>
      <c r="Q494" s="149" t="s">
        <v>50</v>
      </c>
      <c r="R494" s="149" t="s">
        <v>50</v>
      </c>
      <c r="S494" s="149" t="s">
        <v>50</v>
      </c>
      <c r="T494" s="149" t="s">
        <v>50</v>
      </c>
      <c r="U494" s="149" t="s">
        <v>50</v>
      </c>
      <c r="V494" s="149" t="s">
        <v>50</v>
      </c>
      <c r="W494" s="149" t="s">
        <v>50</v>
      </c>
      <c r="X494" s="149" t="s">
        <v>50</v>
      </c>
      <c r="Y494" s="152" t="s">
        <v>3094</v>
      </c>
    </row>
    <row r="495" spans="1:25" s="215" customFormat="1" x14ac:dyDescent="0.25">
      <c r="A495" s="495">
        <v>43174</v>
      </c>
      <c r="B495" s="494" t="s">
        <v>105</v>
      </c>
      <c r="C495" s="494" t="s">
        <v>62</v>
      </c>
      <c r="D495" s="496">
        <v>38.135420000000003</v>
      </c>
      <c r="E495" s="496">
        <v>-122.08243</v>
      </c>
      <c r="F495" s="494" t="s">
        <v>7453</v>
      </c>
      <c r="G495" s="494" t="s">
        <v>27</v>
      </c>
      <c r="H495" s="494" t="s">
        <v>62</v>
      </c>
      <c r="I495" s="497">
        <v>0.4152777777777778</v>
      </c>
      <c r="J495" s="498">
        <v>5011.666666666667</v>
      </c>
      <c r="K495" s="498">
        <v>13.1</v>
      </c>
      <c r="L495" s="498">
        <v>88.766666666666666</v>
      </c>
      <c r="M495" s="498">
        <v>0.19333333333333336</v>
      </c>
      <c r="N495" s="499">
        <v>6.4333333333333336</v>
      </c>
      <c r="O495" s="494" t="s">
        <v>48</v>
      </c>
      <c r="P495" s="494">
        <v>3</v>
      </c>
      <c r="Q495" s="494">
        <v>5</v>
      </c>
      <c r="R495" s="494" t="s">
        <v>64</v>
      </c>
      <c r="S495" s="494" t="s">
        <v>323</v>
      </c>
      <c r="T495" s="494">
        <v>1</v>
      </c>
      <c r="U495" s="494">
        <v>73</v>
      </c>
      <c r="V495" s="494" t="s">
        <v>66</v>
      </c>
      <c r="W495" s="494" t="s">
        <v>50</v>
      </c>
      <c r="X495" s="494" t="s">
        <v>50</v>
      </c>
      <c r="Y495" s="455"/>
    </row>
    <row r="496" spans="1:25" s="27" customFormat="1" x14ac:dyDescent="0.25">
      <c r="A496" s="26">
        <v>43174</v>
      </c>
      <c r="B496" s="27" t="s">
        <v>105</v>
      </c>
      <c r="C496" s="27" t="s">
        <v>62</v>
      </c>
      <c r="D496" s="89">
        <v>38.119070000000001</v>
      </c>
      <c r="E496" s="89">
        <v>-122.05714</v>
      </c>
      <c r="F496" s="27" t="s">
        <v>7454</v>
      </c>
      <c r="G496" s="27" t="s">
        <v>27</v>
      </c>
      <c r="H496" s="27" t="s">
        <v>62</v>
      </c>
      <c r="I496" s="84">
        <v>0.4548611111111111</v>
      </c>
      <c r="J496" s="82">
        <v>9232.2000000000007</v>
      </c>
      <c r="K496" s="82">
        <v>12.720000000000002</v>
      </c>
      <c r="L496" s="82">
        <v>47.519999999999996</v>
      </c>
      <c r="M496" s="82">
        <v>0.32200000000000001</v>
      </c>
      <c r="N496" s="4">
        <v>3.7</v>
      </c>
      <c r="O496" s="27" t="s">
        <v>48</v>
      </c>
      <c r="P496" s="27">
        <v>5</v>
      </c>
      <c r="Q496" s="27">
        <v>5</v>
      </c>
      <c r="R496" s="27" t="s">
        <v>64</v>
      </c>
      <c r="S496" s="27" t="s">
        <v>50</v>
      </c>
      <c r="T496" s="27" t="s">
        <v>50</v>
      </c>
      <c r="U496" s="27" t="s">
        <v>50</v>
      </c>
      <c r="V496" s="27" t="s">
        <v>50</v>
      </c>
      <c r="W496" s="27" t="s">
        <v>50</v>
      </c>
      <c r="X496" s="27" t="s">
        <v>50</v>
      </c>
      <c r="Y496" s="35"/>
    </row>
    <row r="497" spans="1:25" s="27" customFormat="1" x14ac:dyDescent="0.25">
      <c r="A497" s="26">
        <v>43174</v>
      </c>
      <c r="B497" s="27" t="s">
        <v>105</v>
      </c>
      <c r="C497" s="27" t="s">
        <v>845</v>
      </c>
      <c r="D497" s="89">
        <v>38.307749999999999</v>
      </c>
      <c r="E497" s="89">
        <v>-121.66701</v>
      </c>
      <c r="F497" s="27" t="s">
        <v>7455</v>
      </c>
      <c r="G497" s="27" t="s">
        <v>90</v>
      </c>
      <c r="H497" s="27" t="s">
        <v>126</v>
      </c>
      <c r="I497" s="84">
        <v>0.32291666666666669</v>
      </c>
      <c r="J497" s="82">
        <v>438.71999999999997</v>
      </c>
      <c r="K497" s="82">
        <v>13.719999999999999</v>
      </c>
      <c r="L497" s="82">
        <v>6.7919999999999998</v>
      </c>
      <c r="M497" s="82">
        <v>1.02</v>
      </c>
      <c r="N497" s="4">
        <v>6.419999999999999</v>
      </c>
      <c r="O497" s="27" t="s">
        <v>48</v>
      </c>
      <c r="P497" s="27">
        <v>5</v>
      </c>
      <c r="Q497" s="27">
        <v>5</v>
      </c>
      <c r="R497" s="27" t="s">
        <v>49</v>
      </c>
      <c r="S497" s="27" t="s">
        <v>50</v>
      </c>
      <c r="T497" s="27" t="s">
        <v>50</v>
      </c>
      <c r="U497" s="27" t="s">
        <v>50</v>
      </c>
      <c r="V497" s="27" t="s">
        <v>50</v>
      </c>
      <c r="W497" s="27" t="s">
        <v>50</v>
      </c>
      <c r="X497" s="27" t="s">
        <v>50</v>
      </c>
      <c r="Y497" s="35"/>
    </row>
    <row r="498" spans="1:25" s="27" customFormat="1" x14ac:dyDescent="0.25">
      <c r="A498" s="26">
        <v>43174</v>
      </c>
      <c r="B498" s="27" t="s">
        <v>105</v>
      </c>
      <c r="C498" s="27" t="s">
        <v>845</v>
      </c>
      <c r="D498" s="89">
        <v>38.28642</v>
      </c>
      <c r="E498" s="89">
        <v>-121.7213</v>
      </c>
      <c r="F498" s="27" t="s">
        <v>7456</v>
      </c>
      <c r="G498" s="27" t="s">
        <v>90</v>
      </c>
      <c r="H498" s="27" t="s">
        <v>126</v>
      </c>
      <c r="I498" s="84">
        <v>0.37708333333333338</v>
      </c>
      <c r="J498" s="82">
        <v>446.9</v>
      </c>
      <c r="K498" s="82">
        <v>13.45</v>
      </c>
      <c r="L498" s="82">
        <v>9.26</v>
      </c>
      <c r="M498" s="82">
        <v>0.92500000000000004</v>
      </c>
      <c r="N498" s="4">
        <v>2.35</v>
      </c>
      <c r="O498" s="27" t="s">
        <v>48</v>
      </c>
      <c r="P498" s="27">
        <v>2</v>
      </c>
      <c r="Q498" s="27">
        <v>5</v>
      </c>
      <c r="R498" s="27" t="s">
        <v>49</v>
      </c>
      <c r="S498" s="27" t="s">
        <v>50</v>
      </c>
      <c r="T498" s="27" t="s">
        <v>50</v>
      </c>
      <c r="U498" s="27" t="s">
        <v>50</v>
      </c>
      <c r="V498" s="27" t="s">
        <v>50</v>
      </c>
      <c r="W498" s="27" t="s">
        <v>50</v>
      </c>
      <c r="X498" s="27" t="s">
        <v>50</v>
      </c>
      <c r="Y498" s="35" t="s">
        <v>7457</v>
      </c>
    </row>
    <row r="499" spans="1:25" s="27" customFormat="1" x14ac:dyDescent="0.25">
      <c r="A499" s="26">
        <v>43174</v>
      </c>
      <c r="B499" s="27" t="s">
        <v>105</v>
      </c>
      <c r="C499" s="27" t="s">
        <v>845</v>
      </c>
      <c r="D499" s="89">
        <v>38.254899999999999</v>
      </c>
      <c r="E499" s="89">
        <v>-121.68755</v>
      </c>
      <c r="F499" s="27" t="s">
        <v>7458</v>
      </c>
      <c r="G499" s="27" t="s">
        <v>90</v>
      </c>
      <c r="H499" s="27" t="s">
        <v>126</v>
      </c>
      <c r="I499" s="84">
        <v>0.41875000000000001</v>
      </c>
      <c r="J499" s="82">
        <v>218.44</v>
      </c>
      <c r="K499" s="82">
        <v>13.52</v>
      </c>
      <c r="L499" s="82">
        <v>5.1619999999999999</v>
      </c>
      <c r="M499" s="82">
        <v>1.6460000000000001</v>
      </c>
      <c r="N499" s="4">
        <v>7.18</v>
      </c>
      <c r="O499" s="27" t="s">
        <v>48</v>
      </c>
      <c r="P499" s="27">
        <v>5</v>
      </c>
      <c r="Q499" s="27">
        <v>5</v>
      </c>
      <c r="R499" s="27" t="s">
        <v>49</v>
      </c>
      <c r="S499" s="27" t="s">
        <v>50</v>
      </c>
      <c r="T499" s="27" t="s">
        <v>50</v>
      </c>
      <c r="U499" s="27" t="s">
        <v>50</v>
      </c>
      <c r="V499" s="27" t="s">
        <v>50</v>
      </c>
      <c r="W499" s="27" t="s">
        <v>50</v>
      </c>
      <c r="X499" s="27" t="s">
        <v>50</v>
      </c>
      <c r="Y499" s="35"/>
    </row>
    <row r="500" spans="1:25" s="27" customFormat="1" x14ac:dyDescent="0.25">
      <c r="A500" s="26">
        <v>43174</v>
      </c>
      <c r="B500" s="27" t="s">
        <v>105</v>
      </c>
      <c r="C500" s="27" t="s">
        <v>44</v>
      </c>
      <c r="D500" s="89">
        <v>38.024050000000003</v>
      </c>
      <c r="E500" s="89">
        <v>-121.5971</v>
      </c>
      <c r="F500" s="27" t="s">
        <v>7459</v>
      </c>
      <c r="G500" s="27" t="s">
        <v>46</v>
      </c>
      <c r="H500" s="27" t="s">
        <v>47</v>
      </c>
      <c r="I500" s="84">
        <v>0.32083333333333336</v>
      </c>
      <c r="J500" s="82">
        <v>312.93333333333334</v>
      </c>
      <c r="K500" s="82">
        <v>13.066666666666668</v>
      </c>
      <c r="L500" s="82">
        <v>3.8740000000000001</v>
      </c>
      <c r="M500" s="82">
        <v>1.8</v>
      </c>
      <c r="N500" s="4">
        <v>6.2666666666666666</v>
      </c>
      <c r="O500" s="27" t="s">
        <v>48</v>
      </c>
      <c r="P500" s="27">
        <v>6</v>
      </c>
      <c r="Q500" s="27">
        <v>10</v>
      </c>
      <c r="R500" s="27" t="s">
        <v>49</v>
      </c>
      <c r="S500" s="27" t="s">
        <v>50</v>
      </c>
      <c r="T500" s="27" t="s">
        <v>50</v>
      </c>
      <c r="U500" s="27" t="s">
        <v>50</v>
      </c>
      <c r="V500" s="27" t="s">
        <v>50</v>
      </c>
      <c r="W500" s="27" t="s">
        <v>50</v>
      </c>
      <c r="X500" s="27" t="s">
        <v>50</v>
      </c>
      <c r="Y500" s="35"/>
    </row>
    <row r="501" spans="1:25" s="149" customFormat="1" x14ac:dyDescent="0.25">
      <c r="A501" s="178">
        <v>43174</v>
      </c>
      <c r="B501" s="149" t="s">
        <v>105</v>
      </c>
      <c r="C501" s="149" t="s">
        <v>44</v>
      </c>
      <c r="D501" s="150">
        <v>38.00168</v>
      </c>
      <c r="E501" s="150">
        <v>-121.62276</v>
      </c>
      <c r="F501" s="149" t="s">
        <v>7460</v>
      </c>
      <c r="G501" s="149" t="s">
        <v>46</v>
      </c>
      <c r="H501" s="149" t="s">
        <v>47</v>
      </c>
      <c r="I501" s="151">
        <v>0.40763888888888888</v>
      </c>
      <c r="J501" s="197" t="s">
        <v>50</v>
      </c>
      <c r="K501" s="197" t="s">
        <v>50</v>
      </c>
      <c r="L501" s="197" t="s">
        <v>50</v>
      </c>
      <c r="M501" s="197" t="s">
        <v>50</v>
      </c>
      <c r="N501" s="197" t="s">
        <v>50</v>
      </c>
      <c r="O501" s="149" t="s">
        <v>48</v>
      </c>
      <c r="P501" s="149">
        <v>0</v>
      </c>
      <c r="Q501" s="149" t="s">
        <v>50</v>
      </c>
      <c r="R501" s="149" t="s">
        <v>50</v>
      </c>
      <c r="S501" s="149" t="s">
        <v>50</v>
      </c>
      <c r="T501" s="149" t="s">
        <v>50</v>
      </c>
      <c r="U501" s="149" t="s">
        <v>50</v>
      </c>
      <c r="V501" s="149" t="s">
        <v>50</v>
      </c>
      <c r="W501" s="149" t="s">
        <v>50</v>
      </c>
      <c r="X501" s="149" t="s">
        <v>50</v>
      </c>
      <c r="Y501" s="152" t="s">
        <v>3094</v>
      </c>
    </row>
    <row r="502" spans="1:25" s="108" customFormat="1" ht="15.75" thickBot="1" x14ac:dyDescent="0.3">
      <c r="A502" s="126">
        <v>43174</v>
      </c>
      <c r="B502" s="108" t="s">
        <v>105</v>
      </c>
      <c r="C502" s="108" t="s">
        <v>44</v>
      </c>
      <c r="D502" s="109">
        <v>37.914630000000002</v>
      </c>
      <c r="E502" s="109">
        <v>-121.51388</v>
      </c>
      <c r="F502" s="108" t="s">
        <v>7461</v>
      </c>
      <c r="G502" s="108" t="s">
        <v>46</v>
      </c>
      <c r="H502" s="108" t="s">
        <v>6926</v>
      </c>
      <c r="I502" s="110">
        <v>0.4597222222222222</v>
      </c>
      <c r="J502" s="111">
        <v>436.7166666666667</v>
      </c>
      <c r="K502" s="111">
        <v>13.200000000000001</v>
      </c>
      <c r="L502" s="111">
        <v>5.996666666666667</v>
      </c>
      <c r="M502" s="111">
        <v>1.8</v>
      </c>
      <c r="N502" s="112">
        <v>4.4666666666666668</v>
      </c>
      <c r="O502" s="108" t="s">
        <v>48</v>
      </c>
      <c r="P502" s="108">
        <v>6</v>
      </c>
      <c r="Q502" s="108">
        <v>10</v>
      </c>
      <c r="R502" s="108" t="s">
        <v>49</v>
      </c>
      <c r="S502" s="108" t="s">
        <v>50</v>
      </c>
      <c r="T502" s="108" t="s">
        <v>50</v>
      </c>
      <c r="U502" s="108" t="s">
        <v>50</v>
      </c>
      <c r="V502" s="108" t="s">
        <v>50</v>
      </c>
      <c r="W502" s="108" t="s">
        <v>50</v>
      </c>
      <c r="X502" s="108" t="s">
        <v>50</v>
      </c>
      <c r="Y502" s="113"/>
    </row>
    <row r="503" spans="1:25" s="215" customFormat="1" ht="15.75" thickTop="1" x14ac:dyDescent="0.25">
      <c r="A503" s="495">
        <v>43178</v>
      </c>
      <c r="B503" s="494" t="s">
        <v>43</v>
      </c>
      <c r="C503" s="494" t="s">
        <v>106</v>
      </c>
      <c r="D503" s="496">
        <v>38.445039999999999</v>
      </c>
      <c r="E503" s="496">
        <v>-121.59704000000001</v>
      </c>
      <c r="F503" s="494" t="s">
        <v>7462</v>
      </c>
      <c r="G503" s="494" t="s">
        <v>90</v>
      </c>
      <c r="H503" s="494" t="s">
        <v>362</v>
      </c>
      <c r="I503" s="497">
        <v>0.33819444444444446</v>
      </c>
      <c r="J503" s="498">
        <v>444.18</v>
      </c>
      <c r="K503" s="498">
        <v>11.9</v>
      </c>
      <c r="L503" s="498">
        <v>41.96</v>
      </c>
      <c r="M503" s="498">
        <v>0.26800000000000002</v>
      </c>
      <c r="N503" s="499">
        <v>10.94</v>
      </c>
      <c r="O503" s="494" t="s">
        <v>48</v>
      </c>
      <c r="P503" s="494">
        <v>5</v>
      </c>
      <c r="Q503" s="494">
        <v>5</v>
      </c>
      <c r="R503" s="494" t="s">
        <v>49</v>
      </c>
      <c r="S503" s="494" t="s">
        <v>323</v>
      </c>
      <c r="T503" s="494">
        <v>1</v>
      </c>
      <c r="U503" s="494">
        <v>73</v>
      </c>
      <c r="V503" s="494" t="s">
        <v>355</v>
      </c>
      <c r="W503" s="494" t="s">
        <v>50</v>
      </c>
      <c r="X503" s="494" t="s">
        <v>50</v>
      </c>
      <c r="Y503" s="455"/>
    </row>
    <row r="504" spans="1:25" s="27" customFormat="1" x14ac:dyDescent="0.25">
      <c r="A504" s="26">
        <v>43178</v>
      </c>
      <c r="B504" s="27" t="s">
        <v>43</v>
      </c>
      <c r="C504" s="27" t="s">
        <v>106</v>
      </c>
      <c r="D504" s="89">
        <v>38.212049999999998</v>
      </c>
      <c r="E504" s="89">
        <v>-121.66443</v>
      </c>
      <c r="F504" s="27" t="s">
        <v>7463</v>
      </c>
      <c r="G504" s="27" t="s">
        <v>90</v>
      </c>
      <c r="H504" s="27" t="s">
        <v>362</v>
      </c>
      <c r="I504" s="84">
        <v>0.41388888888888892</v>
      </c>
      <c r="J504" s="82">
        <v>119.02</v>
      </c>
      <c r="K504" s="82">
        <v>11.8</v>
      </c>
      <c r="L504" s="82">
        <v>20.3</v>
      </c>
      <c r="M504" s="82">
        <v>0.67600000000000005</v>
      </c>
      <c r="N504" s="4">
        <v>13.74</v>
      </c>
      <c r="O504" s="27" t="s">
        <v>48</v>
      </c>
      <c r="P504" s="27">
        <v>5</v>
      </c>
      <c r="Q504" s="27">
        <v>5</v>
      </c>
      <c r="R504" s="27" t="s">
        <v>49</v>
      </c>
      <c r="S504" s="27" t="s">
        <v>50</v>
      </c>
      <c r="T504" s="27" t="s">
        <v>50</v>
      </c>
      <c r="U504" s="27" t="s">
        <v>50</v>
      </c>
      <c r="V504" s="27" t="s">
        <v>50</v>
      </c>
      <c r="W504" s="27" t="s">
        <v>50</v>
      </c>
      <c r="X504" s="27" t="s">
        <v>50</v>
      </c>
      <c r="Y504" s="35"/>
    </row>
    <row r="505" spans="1:25" s="205" customFormat="1" x14ac:dyDescent="0.25">
      <c r="A505" s="204">
        <v>43178</v>
      </c>
      <c r="B505" s="205" t="s">
        <v>43</v>
      </c>
      <c r="C505" s="205" t="s">
        <v>106</v>
      </c>
      <c r="D505" s="206">
        <v>38.180889999999998</v>
      </c>
      <c r="E505" s="206">
        <v>-121.66287</v>
      </c>
      <c r="F505" s="205" t="s">
        <v>7464</v>
      </c>
      <c r="G505" s="205" t="s">
        <v>90</v>
      </c>
      <c r="H505" s="205" t="s">
        <v>362</v>
      </c>
      <c r="I505" s="207">
        <v>0.45555555555555555</v>
      </c>
      <c r="J505" s="208">
        <v>97.18</v>
      </c>
      <c r="K505" s="208">
        <v>11.12</v>
      </c>
      <c r="L505" s="208">
        <v>29.82</v>
      </c>
      <c r="M505" s="208">
        <v>0.55000000000000004</v>
      </c>
      <c r="N505" s="209">
        <v>11.52</v>
      </c>
      <c r="O505" s="205" t="s">
        <v>48</v>
      </c>
      <c r="P505" s="205">
        <v>5</v>
      </c>
      <c r="Q505" s="205">
        <v>5</v>
      </c>
      <c r="R505" s="205" t="s">
        <v>49</v>
      </c>
      <c r="S505" s="205" t="s">
        <v>758</v>
      </c>
      <c r="T505" s="205">
        <v>1</v>
      </c>
      <c r="U505" s="205">
        <v>130</v>
      </c>
      <c r="V505" s="205" t="s">
        <v>50</v>
      </c>
      <c r="W505" s="205">
        <v>5</v>
      </c>
      <c r="X505" s="205" t="s">
        <v>50</v>
      </c>
      <c r="Y505" s="210"/>
    </row>
    <row r="506" spans="1:25" s="205" customFormat="1" x14ac:dyDescent="0.25">
      <c r="A506" s="204">
        <v>43178</v>
      </c>
      <c r="B506" s="205" t="s">
        <v>43</v>
      </c>
      <c r="C506" s="205" t="s">
        <v>106</v>
      </c>
      <c r="D506" s="206">
        <v>38.180889999999998</v>
      </c>
      <c r="E506" s="206">
        <v>-121.66287</v>
      </c>
      <c r="F506" s="205" t="s">
        <v>7464</v>
      </c>
      <c r="G506" s="205" t="s">
        <v>90</v>
      </c>
      <c r="H506" s="205" t="s">
        <v>362</v>
      </c>
      <c r="I506" s="207">
        <v>0.45555555555555555</v>
      </c>
      <c r="J506" s="208"/>
      <c r="K506" s="208"/>
      <c r="L506" s="208"/>
      <c r="M506" s="208"/>
      <c r="N506" s="209"/>
      <c r="S506" s="205" t="s">
        <v>449</v>
      </c>
      <c r="T506" s="205">
        <v>1</v>
      </c>
      <c r="U506" s="205">
        <v>233</v>
      </c>
      <c r="V506" s="205" t="s">
        <v>50</v>
      </c>
      <c r="W506" s="205" t="s">
        <v>50</v>
      </c>
      <c r="X506" s="205" t="s">
        <v>50</v>
      </c>
      <c r="Y506" s="210" t="s">
        <v>7465</v>
      </c>
    </row>
    <row r="507" spans="1:25" s="27" customFormat="1" x14ac:dyDescent="0.25">
      <c r="A507" s="26">
        <v>43178</v>
      </c>
      <c r="B507" s="27" t="s">
        <v>43</v>
      </c>
      <c r="C507" s="27" t="s">
        <v>44</v>
      </c>
      <c r="D507" s="89">
        <v>38.069980000000001</v>
      </c>
      <c r="E507" s="89">
        <v>-121.57921</v>
      </c>
      <c r="F507" s="27" t="s">
        <v>7466</v>
      </c>
      <c r="G507" s="27" t="s">
        <v>46</v>
      </c>
      <c r="H507" s="27" t="s">
        <v>74</v>
      </c>
      <c r="I507" s="84">
        <v>0.32013888888888892</v>
      </c>
      <c r="J507" s="82">
        <v>173.5</v>
      </c>
      <c r="K507" s="82">
        <v>12.6</v>
      </c>
      <c r="L507" s="82">
        <v>7.2966670000000002</v>
      </c>
      <c r="M507" s="82">
        <v>1.355</v>
      </c>
      <c r="N507" s="4">
        <v>6.1166669999999996</v>
      </c>
      <c r="O507" s="27" t="s">
        <v>48</v>
      </c>
      <c r="P507" s="27">
        <v>6</v>
      </c>
      <c r="Q507" s="27">
        <v>10</v>
      </c>
      <c r="R507" s="27" t="s">
        <v>49</v>
      </c>
      <c r="S507" s="27" t="s">
        <v>50</v>
      </c>
      <c r="T507" s="27" t="s">
        <v>50</v>
      </c>
      <c r="U507" s="27" t="s">
        <v>50</v>
      </c>
      <c r="V507" s="27" t="s">
        <v>50</v>
      </c>
      <c r="W507" s="27" t="s">
        <v>50</v>
      </c>
      <c r="X507" s="27" t="s">
        <v>50</v>
      </c>
      <c r="Y507" s="35"/>
    </row>
    <row r="508" spans="1:25" s="27" customFormat="1" x14ac:dyDescent="0.25">
      <c r="A508" s="26">
        <v>43178</v>
      </c>
      <c r="B508" s="27" t="s">
        <v>43</v>
      </c>
      <c r="C508" s="27" t="s">
        <v>44</v>
      </c>
      <c r="D508" s="89">
        <v>38.045079999999999</v>
      </c>
      <c r="E508" s="89">
        <v>-121.59332000000001</v>
      </c>
      <c r="F508" s="27" t="s">
        <v>7467</v>
      </c>
      <c r="G508" s="27" t="s">
        <v>46</v>
      </c>
      <c r="H508" s="27" t="s">
        <v>47</v>
      </c>
      <c r="I508" s="84">
        <v>0.39305555555555555</v>
      </c>
      <c r="J508" s="82">
        <v>212.66669999999999</v>
      </c>
      <c r="K508" s="82">
        <v>12.783329999999999</v>
      </c>
      <c r="L508" s="82">
        <v>6.2466670000000004</v>
      </c>
      <c r="M508" s="82">
        <v>2</v>
      </c>
      <c r="N508" s="4">
        <v>2.516667</v>
      </c>
      <c r="O508" s="27" t="s">
        <v>48</v>
      </c>
      <c r="P508" s="27">
        <v>6</v>
      </c>
      <c r="Q508" s="27">
        <v>10</v>
      </c>
      <c r="R508" s="27" t="s">
        <v>49</v>
      </c>
      <c r="S508" s="27" t="s">
        <v>50</v>
      </c>
      <c r="T508" s="27" t="s">
        <v>50</v>
      </c>
      <c r="U508" s="27" t="s">
        <v>50</v>
      </c>
      <c r="V508" s="27" t="s">
        <v>50</v>
      </c>
      <c r="W508" s="27" t="s">
        <v>50</v>
      </c>
      <c r="X508" s="27" t="s">
        <v>50</v>
      </c>
      <c r="Y508" s="35" t="s">
        <v>7468</v>
      </c>
    </row>
    <row r="509" spans="1:25" s="27" customFormat="1" x14ac:dyDescent="0.25">
      <c r="A509" s="26">
        <v>43178</v>
      </c>
      <c r="B509" s="27" t="s">
        <v>43</v>
      </c>
      <c r="C509" s="27" t="s">
        <v>44</v>
      </c>
      <c r="D509" s="89">
        <v>38.009590000000003</v>
      </c>
      <c r="E509" s="89">
        <v>-121.57935999999999</v>
      </c>
      <c r="F509" s="27" t="s">
        <v>7469</v>
      </c>
      <c r="G509" s="27" t="s">
        <v>46</v>
      </c>
      <c r="H509" s="27" t="s">
        <v>74</v>
      </c>
      <c r="I509" s="84">
        <v>0.47638888888888892</v>
      </c>
      <c r="J509" s="82">
        <v>245.73330000000001</v>
      </c>
      <c r="K509" s="82">
        <v>12.966670000000001</v>
      </c>
      <c r="L509" s="82">
        <v>3.49</v>
      </c>
      <c r="M509" s="82">
        <v>2</v>
      </c>
      <c r="N509" s="4">
        <v>7.9</v>
      </c>
      <c r="O509" s="27" t="s">
        <v>48</v>
      </c>
      <c r="P509" s="27">
        <v>6</v>
      </c>
      <c r="Q509" s="27">
        <v>10</v>
      </c>
      <c r="R509" s="27" t="s">
        <v>49</v>
      </c>
      <c r="S509" s="27" t="s">
        <v>50</v>
      </c>
      <c r="T509" s="27" t="s">
        <v>50</v>
      </c>
      <c r="U509" s="27" t="s">
        <v>50</v>
      </c>
      <c r="V509" s="27" t="s">
        <v>50</v>
      </c>
      <c r="W509" s="27" t="s">
        <v>50</v>
      </c>
      <c r="X509" s="27" t="s">
        <v>50</v>
      </c>
      <c r="Y509" s="35" t="s">
        <v>7470</v>
      </c>
    </row>
    <row r="510" spans="1:25" s="205" customFormat="1" x14ac:dyDescent="0.25">
      <c r="A510" s="204">
        <v>43178</v>
      </c>
      <c r="B510" s="205" t="s">
        <v>43</v>
      </c>
      <c r="C510" s="205" t="s">
        <v>78</v>
      </c>
      <c r="D510" s="206">
        <v>38.072710000000001</v>
      </c>
      <c r="E510" s="206">
        <v>-122.07769999999999</v>
      </c>
      <c r="F510" s="205" t="s">
        <v>7471</v>
      </c>
      <c r="G510" s="205" t="s">
        <v>80</v>
      </c>
      <c r="H510" s="205" t="s">
        <v>81</v>
      </c>
      <c r="I510" s="207">
        <v>0.3840277777777778</v>
      </c>
      <c r="J510" s="208">
        <v>5980.8</v>
      </c>
      <c r="K510" s="208">
        <v>12.22</v>
      </c>
      <c r="L510" s="208">
        <v>62.02</v>
      </c>
      <c r="M510" s="208">
        <v>0.20399999999999999</v>
      </c>
      <c r="N510" s="209">
        <v>2.78</v>
      </c>
      <c r="O510" s="205" t="s">
        <v>48</v>
      </c>
      <c r="P510" s="205">
        <v>5</v>
      </c>
      <c r="Q510" s="205">
        <v>5</v>
      </c>
      <c r="R510" s="205" t="s">
        <v>49</v>
      </c>
      <c r="S510" s="205" t="s">
        <v>31</v>
      </c>
      <c r="T510" s="205">
        <v>1</v>
      </c>
      <c r="U510" s="205">
        <v>73</v>
      </c>
      <c r="V510" s="205" t="s">
        <v>66</v>
      </c>
      <c r="W510" s="205" t="s">
        <v>50</v>
      </c>
      <c r="X510" s="205" t="s">
        <v>50</v>
      </c>
      <c r="Y510" s="210" t="s">
        <v>4357</v>
      </c>
    </row>
    <row r="511" spans="1:25" s="27" customFormat="1" x14ac:dyDescent="0.25">
      <c r="A511" s="26">
        <v>43178</v>
      </c>
      <c r="B511" s="27" t="s">
        <v>43</v>
      </c>
      <c r="C511" s="27" t="s">
        <v>78</v>
      </c>
      <c r="D511" s="89">
        <v>38.100529999999999</v>
      </c>
      <c r="E511" s="89">
        <v>-122.05217</v>
      </c>
      <c r="F511" s="27" t="s">
        <v>7472</v>
      </c>
      <c r="G511" s="27" t="s">
        <v>27</v>
      </c>
      <c r="H511" s="27" t="s">
        <v>86</v>
      </c>
      <c r="I511" s="84">
        <v>0.43194444444444446</v>
      </c>
      <c r="J511" s="82">
        <v>4353.2</v>
      </c>
      <c r="K511" s="82">
        <v>12.36</v>
      </c>
      <c r="L511" s="82">
        <v>77.08</v>
      </c>
      <c r="M511" s="82">
        <v>0.20599999999999999</v>
      </c>
      <c r="N511" s="4">
        <v>5.7</v>
      </c>
      <c r="O511" s="27" t="s">
        <v>48</v>
      </c>
      <c r="P511" s="27">
        <v>5</v>
      </c>
      <c r="Q511" s="27">
        <v>5</v>
      </c>
      <c r="R511" s="27" t="s">
        <v>64</v>
      </c>
      <c r="S511" s="27" t="s">
        <v>50</v>
      </c>
      <c r="T511" s="27" t="s">
        <v>50</v>
      </c>
      <c r="U511" s="27" t="s">
        <v>50</v>
      </c>
      <c r="V511" s="27" t="s">
        <v>50</v>
      </c>
      <c r="W511" s="27" t="s">
        <v>50</v>
      </c>
      <c r="X511" s="27" t="s">
        <v>50</v>
      </c>
      <c r="Y511" s="35"/>
    </row>
    <row r="512" spans="1:25" s="27" customFormat="1" x14ac:dyDescent="0.25">
      <c r="A512" s="26">
        <v>43179</v>
      </c>
      <c r="B512" s="27" t="s">
        <v>70</v>
      </c>
      <c r="C512" s="27" t="s">
        <v>78</v>
      </c>
      <c r="D512" s="89">
        <v>38.050579999999997</v>
      </c>
      <c r="E512" s="89">
        <v>-121.98193999999999</v>
      </c>
      <c r="F512" s="27" t="s">
        <v>7473</v>
      </c>
      <c r="G512" s="27" t="s">
        <v>27</v>
      </c>
      <c r="H512" s="27" t="s">
        <v>86</v>
      </c>
      <c r="I512" s="84">
        <v>0.39374999999999999</v>
      </c>
      <c r="J512" s="82">
        <v>2516.4</v>
      </c>
      <c r="K512" s="82">
        <v>12.8</v>
      </c>
      <c r="L512" s="82">
        <v>48.64</v>
      </c>
      <c r="M512" s="82">
        <v>0.26200000000000001</v>
      </c>
      <c r="N512" s="4">
        <v>6.9</v>
      </c>
      <c r="O512" s="27" t="s">
        <v>48</v>
      </c>
      <c r="P512" s="27">
        <v>5</v>
      </c>
      <c r="Q512" s="27">
        <v>5</v>
      </c>
      <c r="R512" s="27" t="s">
        <v>49</v>
      </c>
      <c r="S512" s="27" t="s">
        <v>50</v>
      </c>
      <c r="T512" s="27" t="s">
        <v>50</v>
      </c>
      <c r="U512" s="27" t="s">
        <v>50</v>
      </c>
      <c r="V512" s="27" t="s">
        <v>50</v>
      </c>
      <c r="W512" s="27" t="s">
        <v>50</v>
      </c>
      <c r="X512" s="27" t="s">
        <v>50</v>
      </c>
      <c r="Y512" s="35"/>
    </row>
    <row r="513" spans="1:25" s="205" customFormat="1" x14ac:dyDescent="0.25">
      <c r="A513" s="204">
        <v>43179</v>
      </c>
      <c r="B513" s="205" t="s">
        <v>70</v>
      </c>
      <c r="C513" s="205" t="s">
        <v>78</v>
      </c>
      <c r="D513" s="206">
        <v>38.044580000000003</v>
      </c>
      <c r="E513" s="206">
        <v>-121.89422</v>
      </c>
      <c r="F513" s="205" t="s">
        <v>7474</v>
      </c>
      <c r="G513" s="205" t="s">
        <v>27</v>
      </c>
      <c r="H513" s="205" t="s">
        <v>101</v>
      </c>
      <c r="I513" s="207">
        <v>0.44305555555555554</v>
      </c>
      <c r="J513" s="208">
        <v>375.78000000000003</v>
      </c>
      <c r="K513" s="208">
        <v>12.919999999999998</v>
      </c>
      <c r="L513" s="208">
        <v>26.860000000000003</v>
      </c>
      <c r="M513" s="208">
        <v>0.4880000000000001</v>
      </c>
      <c r="N513" s="209">
        <v>15.440000000000001</v>
      </c>
      <c r="O513" s="205" t="s">
        <v>48</v>
      </c>
      <c r="P513" s="205">
        <v>5</v>
      </c>
      <c r="Q513" s="205">
        <v>5</v>
      </c>
      <c r="R513" s="205" t="s">
        <v>49</v>
      </c>
      <c r="S513" s="205" t="s">
        <v>449</v>
      </c>
      <c r="T513" s="205">
        <v>1</v>
      </c>
      <c r="U513" s="205">
        <v>260</v>
      </c>
      <c r="V513" s="205" t="s">
        <v>50</v>
      </c>
      <c r="W513" s="205">
        <v>5</v>
      </c>
      <c r="X513" s="205" t="s">
        <v>2525</v>
      </c>
      <c r="Y513" s="210" t="s">
        <v>7465</v>
      </c>
    </row>
    <row r="514" spans="1:25" s="27" customFormat="1" x14ac:dyDescent="0.25">
      <c r="A514" s="26">
        <v>43179</v>
      </c>
      <c r="B514" s="27" t="s">
        <v>70</v>
      </c>
      <c r="C514" s="27" t="s">
        <v>78</v>
      </c>
      <c r="D514" s="89">
        <v>38.086860000000001</v>
      </c>
      <c r="E514" s="89">
        <v>-122.00357</v>
      </c>
      <c r="F514" s="27" t="s">
        <v>7475</v>
      </c>
      <c r="G514" s="27" t="s">
        <v>27</v>
      </c>
      <c r="H514" s="27" t="s">
        <v>86</v>
      </c>
      <c r="I514" s="84">
        <v>0.33888888888888885</v>
      </c>
      <c r="J514" s="82">
        <v>3963.4</v>
      </c>
      <c r="K514" s="82">
        <v>12.62</v>
      </c>
      <c r="L514" s="82">
        <v>43.839999999999996</v>
      </c>
      <c r="M514" s="82">
        <v>0.27400000000000002</v>
      </c>
      <c r="N514" s="4">
        <v>13.48</v>
      </c>
      <c r="O514" s="27" t="s">
        <v>48</v>
      </c>
      <c r="P514" s="27">
        <v>5</v>
      </c>
      <c r="Q514" s="27">
        <v>5</v>
      </c>
      <c r="R514" s="27" t="s">
        <v>49</v>
      </c>
      <c r="S514" s="27" t="s">
        <v>50</v>
      </c>
      <c r="T514" s="27" t="s">
        <v>50</v>
      </c>
      <c r="U514" s="27" t="s">
        <v>50</v>
      </c>
      <c r="V514" s="27" t="s">
        <v>50</v>
      </c>
      <c r="W514" s="27" t="s">
        <v>50</v>
      </c>
      <c r="X514" s="27" t="s">
        <v>50</v>
      </c>
      <c r="Y514" s="35" t="s">
        <v>7476</v>
      </c>
    </row>
    <row r="515" spans="1:25" s="27" customFormat="1" x14ac:dyDescent="0.25">
      <c r="A515" s="26">
        <v>43179</v>
      </c>
      <c r="B515" s="27" t="s">
        <v>70</v>
      </c>
      <c r="C515" s="27" t="s">
        <v>845</v>
      </c>
      <c r="D515" s="89">
        <v>38.250689999999999</v>
      </c>
      <c r="E515" s="89">
        <v>-121.67364000000001</v>
      </c>
      <c r="F515" s="27" t="s">
        <v>7477</v>
      </c>
      <c r="G515" s="27" t="s">
        <v>90</v>
      </c>
      <c r="H515" s="27" t="s">
        <v>126</v>
      </c>
      <c r="I515" s="84">
        <v>0.31388888888888888</v>
      </c>
      <c r="J515" s="82">
        <v>120.12</v>
      </c>
      <c r="K515" s="82">
        <v>11.86</v>
      </c>
      <c r="L515" s="82">
        <v>17.52</v>
      </c>
      <c r="M515" s="82">
        <v>0.75600000000000001</v>
      </c>
      <c r="N515" s="4">
        <v>10.08</v>
      </c>
      <c r="O515" s="27" t="s">
        <v>48</v>
      </c>
      <c r="P515" s="27">
        <v>5</v>
      </c>
      <c r="Q515" s="27">
        <v>5</v>
      </c>
      <c r="R515" s="27" t="s">
        <v>49</v>
      </c>
      <c r="S515" s="27" t="s">
        <v>50</v>
      </c>
      <c r="T515" s="27" t="s">
        <v>50</v>
      </c>
      <c r="U515" s="27" t="s">
        <v>50</v>
      </c>
      <c r="V515" s="27" t="s">
        <v>50</v>
      </c>
      <c r="W515" s="27" t="s">
        <v>50</v>
      </c>
      <c r="X515" s="27" t="s">
        <v>50</v>
      </c>
      <c r="Y515" s="35"/>
    </row>
    <row r="516" spans="1:25" s="149" customFormat="1" x14ac:dyDescent="0.25">
      <c r="A516" s="178">
        <v>43179</v>
      </c>
      <c r="B516" s="149" t="s">
        <v>70</v>
      </c>
      <c r="C516" s="149" t="s">
        <v>845</v>
      </c>
      <c r="D516" s="150">
        <v>38.247729999999997</v>
      </c>
      <c r="E516" s="150">
        <v>-121.70417999999999</v>
      </c>
      <c r="F516" s="149" t="s">
        <v>7478</v>
      </c>
      <c r="G516" s="149" t="s">
        <v>90</v>
      </c>
      <c r="H516" s="149" t="s">
        <v>126</v>
      </c>
      <c r="I516" s="151">
        <v>0.36458333333333331</v>
      </c>
      <c r="J516" s="197" t="s">
        <v>50</v>
      </c>
      <c r="K516" s="197" t="s">
        <v>50</v>
      </c>
      <c r="L516" s="197" t="s">
        <v>50</v>
      </c>
      <c r="M516" s="197" t="s">
        <v>50</v>
      </c>
      <c r="N516" s="197" t="s">
        <v>50</v>
      </c>
      <c r="O516" s="149" t="s">
        <v>48</v>
      </c>
      <c r="P516" s="149">
        <v>0</v>
      </c>
      <c r="Q516" s="149" t="s">
        <v>50</v>
      </c>
      <c r="R516" s="149" t="s">
        <v>50</v>
      </c>
      <c r="S516" s="149" t="s">
        <v>50</v>
      </c>
      <c r="T516" s="149" t="s">
        <v>50</v>
      </c>
      <c r="U516" s="149" t="s">
        <v>50</v>
      </c>
      <c r="V516" s="149" t="s">
        <v>50</v>
      </c>
      <c r="W516" s="149" t="s">
        <v>50</v>
      </c>
      <c r="X516" s="149" t="s">
        <v>50</v>
      </c>
      <c r="Y516" s="152" t="s">
        <v>734</v>
      </c>
    </row>
    <row r="517" spans="1:25" s="27" customFormat="1" x14ac:dyDescent="0.25">
      <c r="A517" s="26">
        <v>43179</v>
      </c>
      <c r="B517" s="27" t="s">
        <v>70</v>
      </c>
      <c r="C517" s="27" t="s">
        <v>845</v>
      </c>
      <c r="D517" s="89">
        <v>38.261980000000001</v>
      </c>
      <c r="E517" s="89">
        <v>-121.69127</v>
      </c>
      <c r="F517" s="27" t="s">
        <v>7479</v>
      </c>
      <c r="G517" s="27" t="s">
        <v>90</v>
      </c>
      <c r="H517" s="27" t="s">
        <v>126</v>
      </c>
      <c r="I517" s="84">
        <v>0.4201388888888889</v>
      </c>
      <c r="J517" s="82">
        <v>170.4</v>
      </c>
      <c r="K517" s="82">
        <v>12.5</v>
      </c>
      <c r="L517" s="82">
        <v>8.4819999999999993</v>
      </c>
      <c r="M517" s="82">
        <v>1.21</v>
      </c>
      <c r="N517" s="4">
        <v>6.4799999999999995</v>
      </c>
      <c r="O517" s="27" t="s">
        <v>48</v>
      </c>
      <c r="P517" s="27">
        <v>5</v>
      </c>
      <c r="Q517" s="27">
        <v>5</v>
      </c>
      <c r="R517" s="27" t="s">
        <v>49</v>
      </c>
      <c r="S517" s="27" t="s">
        <v>50</v>
      </c>
      <c r="T517" s="27" t="s">
        <v>50</v>
      </c>
      <c r="U517" s="27" t="s">
        <v>50</v>
      </c>
      <c r="V517" s="27" t="s">
        <v>50</v>
      </c>
      <c r="W517" s="27" t="s">
        <v>50</v>
      </c>
      <c r="X517" s="27" t="s">
        <v>50</v>
      </c>
      <c r="Y517" s="35"/>
    </row>
    <row r="518" spans="1:25" s="27" customFormat="1" x14ac:dyDescent="0.25">
      <c r="A518" s="26">
        <v>43179</v>
      </c>
      <c r="B518" s="27" t="s">
        <v>70</v>
      </c>
      <c r="C518" s="27" t="s">
        <v>845</v>
      </c>
      <c r="D518" s="89">
        <v>38.281190000000002</v>
      </c>
      <c r="E518" s="89">
        <v>-121.71218</v>
      </c>
      <c r="F518" s="27" t="s">
        <v>7480</v>
      </c>
      <c r="G518" s="27" t="s">
        <v>90</v>
      </c>
      <c r="H518" s="27" t="s">
        <v>126</v>
      </c>
      <c r="I518" s="84">
        <v>0.37361111111111112</v>
      </c>
      <c r="J518" s="82">
        <v>337.08</v>
      </c>
      <c r="K518" s="82">
        <v>13.2</v>
      </c>
      <c r="L518" s="82">
        <v>4.1680000000000001</v>
      </c>
      <c r="M518" s="82">
        <v>1.8</v>
      </c>
      <c r="N518" s="4">
        <v>3.9</v>
      </c>
      <c r="O518" s="27" t="s">
        <v>48</v>
      </c>
      <c r="P518" s="27">
        <v>5</v>
      </c>
      <c r="Q518" s="27">
        <v>5</v>
      </c>
      <c r="R518" s="27" t="s">
        <v>49</v>
      </c>
      <c r="S518" s="27" t="s">
        <v>50</v>
      </c>
      <c r="T518" s="27" t="s">
        <v>50</v>
      </c>
      <c r="U518" s="27" t="s">
        <v>50</v>
      </c>
      <c r="V518" s="27" t="s">
        <v>50</v>
      </c>
      <c r="W518" s="27" t="s">
        <v>50</v>
      </c>
      <c r="X518" s="27" t="s">
        <v>50</v>
      </c>
      <c r="Y518" s="35"/>
    </row>
    <row r="519" spans="1:25" s="27" customFormat="1" x14ac:dyDescent="0.25">
      <c r="A519" s="26">
        <v>43179</v>
      </c>
      <c r="B519" s="27" t="s">
        <v>70</v>
      </c>
      <c r="C519" s="27" t="s">
        <v>95</v>
      </c>
      <c r="D519" s="196">
        <v>38.018470000000001</v>
      </c>
      <c r="E519" s="89">
        <v>-121.76916</v>
      </c>
      <c r="F519" s="27" t="s">
        <v>7481</v>
      </c>
      <c r="G519" s="27" t="s">
        <v>27</v>
      </c>
      <c r="H519" s="27" t="s">
        <v>863</v>
      </c>
      <c r="I519" s="84">
        <v>0.37222222222222223</v>
      </c>
      <c r="J519" s="82">
        <v>294.83999999999997</v>
      </c>
      <c r="K519" s="82">
        <v>13</v>
      </c>
      <c r="L519" s="82">
        <v>10.45</v>
      </c>
      <c r="M519" s="82">
        <v>1.0819999999999999</v>
      </c>
      <c r="N519" s="4">
        <v>8.4400000000000013</v>
      </c>
      <c r="O519" s="27" t="s">
        <v>48</v>
      </c>
      <c r="P519" s="27">
        <v>5</v>
      </c>
      <c r="Q519" s="27">
        <v>5</v>
      </c>
      <c r="R519" s="27" t="s">
        <v>49</v>
      </c>
      <c r="S519" s="27" t="s">
        <v>50</v>
      </c>
      <c r="T519" s="27" t="s">
        <v>50</v>
      </c>
      <c r="U519" s="27" t="s">
        <v>50</v>
      </c>
      <c r="V519" s="27" t="s">
        <v>50</v>
      </c>
      <c r="W519" s="27" t="s">
        <v>50</v>
      </c>
      <c r="X519" s="27" t="s">
        <v>50</v>
      </c>
      <c r="Y519" s="35"/>
    </row>
    <row r="520" spans="1:25" s="27" customFormat="1" x14ac:dyDescent="0.25">
      <c r="A520" s="26">
        <v>43179</v>
      </c>
      <c r="B520" s="27" t="s">
        <v>70</v>
      </c>
      <c r="C520" s="27" t="s">
        <v>95</v>
      </c>
      <c r="D520" s="89">
        <v>38.023760000000003</v>
      </c>
      <c r="E520" s="89">
        <v>-121.75400999999999</v>
      </c>
      <c r="F520" s="27" t="s">
        <v>7482</v>
      </c>
      <c r="G520" s="27" t="s">
        <v>27</v>
      </c>
      <c r="H520" s="27" t="s">
        <v>863</v>
      </c>
      <c r="I520" s="84">
        <v>0.41805555555555557</v>
      </c>
      <c r="J520" s="82">
        <v>252.44</v>
      </c>
      <c r="K520" s="82">
        <v>13</v>
      </c>
      <c r="L520" s="82">
        <v>9.6460000000000008</v>
      </c>
      <c r="M520" s="82">
        <v>1.3140000000000001</v>
      </c>
      <c r="N520" s="4">
        <v>5.7799999999999994</v>
      </c>
      <c r="O520" s="27" t="s">
        <v>48</v>
      </c>
      <c r="P520" s="27">
        <v>5</v>
      </c>
      <c r="Q520" s="27">
        <v>5</v>
      </c>
      <c r="R520" s="27" t="s">
        <v>49</v>
      </c>
      <c r="S520" s="27" t="s">
        <v>50</v>
      </c>
      <c r="T520" s="27" t="s">
        <v>50</v>
      </c>
      <c r="U520" s="27" t="s">
        <v>50</v>
      </c>
      <c r="V520" s="27" t="s">
        <v>50</v>
      </c>
      <c r="W520" s="27" t="s">
        <v>50</v>
      </c>
      <c r="X520" s="27" t="s">
        <v>50</v>
      </c>
      <c r="Y520" s="35"/>
    </row>
    <row r="521" spans="1:25" s="27" customFormat="1" x14ac:dyDescent="0.25">
      <c r="A521" s="26">
        <v>43179</v>
      </c>
      <c r="B521" s="27" t="s">
        <v>70</v>
      </c>
      <c r="C521" s="27" t="s">
        <v>95</v>
      </c>
      <c r="D521" s="89">
        <v>38.095669999999998</v>
      </c>
      <c r="E521" s="89">
        <v>-121.63009</v>
      </c>
      <c r="F521" s="27" t="s">
        <v>7483</v>
      </c>
      <c r="G521" s="27" t="s">
        <v>46</v>
      </c>
      <c r="H521" s="27" t="s">
        <v>908</v>
      </c>
      <c r="I521" s="84">
        <v>0.47500000000000003</v>
      </c>
      <c r="J521" s="82">
        <v>161.54000000000002</v>
      </c>
      <c r="K521" s="82">
        <v>12.84</v>
      </c>
      <c r="L521" s="82">
        <v>14.76</v>
      </c>
      <c r="M521" s="82">
        <v>1.0680000000000001</v>
      </c>
      <c r="N521" s="4">
        <v>11.139999999999999</v>
      </c>
      <c r="O521" s="27" t="s">
        <v>48</v>
      </c>
      <c r="P521" s="27">
        <v>5</v>
      </c>
      <c r="Q521" s="27">
        <v>5</v>
      </c>
      <c r="R521" s="27" t="s">
        <v>49</v>
      </c>
      <c r="S521" s="27" t="s">
        <v>50</v>
      </c>
      <c r="T521" s="27" t="s">
        <v>50</v>
      </c>
      <c r="U521" s="27" t="s">
        <v>50</v>
      </c>
      <c r="V521" s="27" t="s">
        <v>50</v>
      </c>
      <c r="W521" s="27" t="s">
        <v>50</v>
      </c>
      <c r="X521" s="27" t="s">
        <v>50</v>
      </c>
      <c r="Y521" s="35"/>
    </row>
    <row r="522" spans="1:25" s="27" customFormat="1" x14ac:dyDescent="0.25">
      <c r="A522" s="26">
        <v>43179</v>
      </c>
      <c r="B522" s="27" t="s">
        <v>70</v>
      </c>
      <c r="C522" s="27" t="s">
        <v>95</v>
      </c>
      <c r="D522" s="89">
        <v>38.01972</v>
      </c>
      <c r="E522" s="89">
        <v>-121.78258</v>
      </c>
      <c r="F522" s="27" t="s">
        <v>7484</v>
      </c>
      <c r="G522" s="27" t="s">
        <v>27</v>
      </c>
      <c r="H522" s="27" t="s">
        <v>863</v>
      </c>
      <c r="I522" s="84">
        <v>0.32222222222222224</v>
      </c>
      <c r="J522" s="82">
        <v>319.76</v>
      </c>
      <c r="K522" s="82">
        <v>13</v>
      </c>
      <c r="L522" s="82">
        <v>13.059999999999999</v>
      </c>
      <c r="M522" s="82">
        <v>0.88600000000000012</v>
      </c>
      <c r="N522" s="4">
        <v>3.54</v>
      </c>
      <c r="O522" s="27" t="s">
        <v>48</v>
      </c>
      <c r="P522" s="27">
        <v>5</v>
      </c>
      <c r="Q522" s="27">
        <v>5</v>
      </c>
      <c r="R522" s="27" t="s">
        <v>64</v>
      </c>
      <c r="S522" s="27" t="s">
        <v>50</v>
      </c>
      <c r="T522" s="27" t="s">
        <v>50</v>
      </c>
      <c r="U522" s="27" t="s">
        <v>50</v>
      </c>
      <c r="V522" s="27" t="s">
        <v>50</v>
      </c>
      <c r="W522" s="27" t="s">
        <v>50</v>
      </c>
      <c r="X522" s="27" t="s">
        <v>50</v>
      </c>
      <c r="Y522" s="35"/>
    </row>
    <row r="523" spans="1:25" s="205" customFormat="1" x14ac:dyDescent="0.25">
      <c r="A523" s="204">
        <v>43180</v>
      </c>
      <c r="B523" s="205" t="s">
        <v>87</v>
      </c>
      <c r="C523" s="205" t="s">
        <v>6849</v>
      </c>
      <c r="D523" s="224">
        <v>38.496339999999996</v>
      </c>
      <c r="E523" s="206">
        <v>-121.55797</v>
      </c>
      <c r="F523" s="205" t="s">
        <v>7485</v>
      </c>
      <c r="G523" s="205" t="s">
        <v>90</v>
      </c>
      <c r="H523" s="205" t="s">
        <v>6851</v>
      </c>
      <c r="I523" s="207">
        <v>0.35972222222222222</v>
      </c>
      <c r="J523" s="208">
        <v>86.78</v>
      </c>
      <c r="K523" s="208">
        <v>11.5</v>
      </c>
      <c r="L523" s="208">
        <v>27.08</v>
      </c>
      <c r="M523" s="208">
        <v>0.55000000000000004</v>
      </c>
      <c r="N523" s="208">
        <v>5.85</v>
      </c>
      <c r="O523" s="205" t="s">
        <v>48</v>
      </c>
      <c r="P523" s="205">
        <v>6</v>
      </c>
      <c r="Q523" s="205">
        <v>10</v>
      </c>
      <c r="R523" s="205" t="s">
        <v>49</v>
      </c>
      <c r="S523" s="205" t="s">
        <v>702</v>
      </c>
      <c r="T523" s="205">
        <v>1</v>
      </c>
      <c r="U523" s="205">
        <v>53</v>
      </c>
      <c r="V523" s="205" t="s">
        <v>50</v>
      </c>
      <c r="W523" s="205">
        <v>3</v>
      </c>
      <c r="X523" s="205" t="s">
        <v>50</v>
      </c>
      <c r="Y523" s="210"/>
    </row>
    <row r="524" spans="1:25" s="205" customFormat="1" x14ac:dyDescent="0.25">
      <c r="A524" s="204">
        <v>43180</v>
      </c>
      <c r="B524" s="205" t="s">
        <v>87</v>
      </c>
      <c r="C524" s="205" t="s">
        <v>6849</v>
      </c>
      <c r="D524" s="206">
        <v>38.42342</v>
      </c>
      <c r="E524" s="206">
        <v>-121.52766</v>
      </c>
      <c r="F524" s="205" t="s">
        <v>7486</v>
      </c>
      <c r="G524" s="205" t="s">
        <v>90</v>
      </c>
      <c r="H524" s="205" t="s">
        <v>6851</v>
      </c>
      <c r="I524" s="207">
        <v>0.44027777777777777</v>
      </c>
      <c r="J524" s="208">
        <v>97.38</v>
      </c>
      <c r="K524" s="208">
        <v>11.7</v>
      </c>
      <c r="L524" s="208">
        <v>27.55</v>
      </c>
      <c r="M524" s="208">
        <v>0.56999999999999995</v>
      </c>
      <c r="N524" s="209">
        <v>6.82</v>
      </c>
      <c r="O524" s="205" t="s">
        <v>48</v>
      </c>
      <c r="P524" s="205">
        <v>6</v>
      </c>
      <c r="Q524" s="205">
        <v>10</v>
      </c>
      <c r="R524" s="205" t="s">
        <v>49</v>
      </c>
      <c r="S524" s="205" t="s">
        <v>758</v>
      </c>
      <c r="T524" s="205">
        <v>1</v>
      </c>
      <c r="U524" s="205">
        <v>123</v>
      </c>
      <c r="V524" s="205" t="s">
        <v>50</v>
      </c>
      <c r="W524" s="205">
        <v>5</v>
      </c>
      <c r="X524" s="205" t="s">
        <v>50</v>
      </c>
      <c r="Y524" s="210"/>
    </row>
    <row r="525" spans="1:25" s="205" customFormat="1" x14ac:dyDescent="0.25">
      <c r="A525" s="204">
        <v>43180</v>
      </c>
      <c r="B525" s="205" t="s">
        <v>87</v>
      </c>
      <c r="C525" s="205" t="s">
        <v>6849</v>
      </c>
      <c r="D525" s="206">
        <v>38.42342</v>
      </c>
      <c r="E525" s="206">
        <v>-121.52766</v>
      </c>
      <c r="F525" s="205" t="s">
        <v>7486</v>
      </c>
      <c r="G525" s="205" t="s">
        <v>90</v>
      </c>
      <c r="H525" s="205" t="s">
        <v>6851</v>
      </c>
      <c r="J525" s="208"/>
      <c r="K525" s="208"/>
      <c r="L525" s="208"/>
      <c r="M525" s="208"/>
      <c r="N525" s="209"/>
      <c r="O525" s="205" t="s">
        <v>48</v>
      </c>
      <c r="S525" s="205" t="s">
        <v>348</v>
      </c>
      <c r="T525" s="205">
        <v>1</v>
      </c>
      <c r="U525" s="205">
        <v>113</v>
      </c>
      <c r="V525" s="205" t="s">
        <v>50</v>
      </c>
      <c r="W525" s="205">
        <v>4</v>
      </c>
      <c r="X525" s="205" t="s">
        <v>2525</v>
      </c>
      <c r="Y525" s="210"/>
    </row>
    <row r="526" spans="1:25" s="27" customFormat="1" x14ac:dyDescent="0.25">
      <c r="A526" s="26">
        <v>43180</v>
      </c>
      <c r="B526" s="27" t="s">
        <v>87</v>
      </c>
      <c r="C526" s="27" t="s">
        <v>95</v>
      </c>
      <c r="D526" s="89">
        <v>38.066830000000003</v>
      </c>
      <c r="E526" s="89">
        <v>-121.53103</v>
      </c>
      <c r="F526" s="27" t="s">
        <v>7487</v>
      </c>
      <c r="G526" s="27" t="s">
        <v>46</v>
      </c>
      <c r="H526" s="27" t="s">
        <v>582</v>
      </c>
      <c r="I526" s="84">
        <v>0.31041666666666667</v>
      </c>
      <c r="J526" s="82">
        <v>229.9</v>
      </c>
      <c r="K526" s="82">
        <v>12.72</v>
      </c>
      <c r="L526" s="82">
        <v>9.1359999999999992</v>
      </c>
      <c r="M526" s="82">
        <v>1.1619999999999999</v>
      </c>
      <c r="N526" s="4">
        <v>8.8800000000000008</v>
      </c>
      <c r="O526" s="27" t="s">
        <v>48</v>
      </c>
      <c r="P526" s="27">
        <v>5</v>
      </c>
      <c r="Q526" s="27">
        <v>5</v>
      </c>
      <c r="R526" s="27" t="s">
        <v>64</v>
      </c>
      <c r="S526" s="27" t="s">
        <v>50</v>
      </c>
      <c r="T526" s="27" t="s">
        <v>50</v>
      </c>
      <c r="U526" s="27" t="s">
        <v>50</v>
      </c>
      <c r="V526" s="27" t="s">
        <v>50</v>
      </c>
      <c r="W526" s="27" t="s">
        <v>50</v>
      </c>
      <c r="X526" s="27" t="s">
        <v>50</v>
      </c>
      <c r="Y526" s="35"/>
    </row>
    <row r="527" spans="1:25" s="27" customFormat="1" x14ac:dyDescent="0.25">
      <c r="A527" s="26">
        <v>43180</v>
      </c>
      <c r="B527" s="27" t="s">
        <v>87</v>
      </c>
      <c r="C527" s="27" t="s">
        <v>95</v>
      </c>
      <c r="D527" s="89">
        <v>38.071950000000001</v>
      </c>
      <c r="E527" s="89">
        <v>-121.56482</v>
      </c>
      <c r="F527" s="27" t="s">
        <v>7488</v>
      </c>
      <c r="G527" s="27" t="s">
        <v>46</v>
      </c>
      <c r="H527" s="27" t="s">
        <v>582</v>
      </c>
      <c r="I527" s="84">
        <v>0.35000000000000003</v>
      </c>
      <c r="J527" s="82">
        <v>197.34</v>
      </c>
      <c r="K527" s="82">
        <v>12.5</v>
      </c>
      <c r="L527" s="82">
        <v>13.64</v>
      </c>
      <c r="M527" s="82">
        <v>1.022</v>
      </c>
      <c r="N527" s="4">
        <v>4.9400000000000004</v>
      </c>
      <c r="O527" s="27" t="s">
        <v>48</v>
      </c>
      <c r="P527" s="27">
        <v>5</v>
      </c>
      <c r="Q527" s="27">
        <v>5</v>
      </c>
      <c r="R527" s="27" t="s">
        <v>64</v>
      </c>
      <c r="S527" s="27" t="s">
        <v>50</v>
      </c>
      <c r="T527" s="27" t="s">
        <v>50</v>
      </c>
      <c r="U527" s="27" t="s">
        <v>50</v>
      </c>
      <c r="V527" s="27" t="s">
        <v>50</v>
      </c>
      <c r="W527" s="27" t="s">
        <v>50</v>
      </c>
      <c r="X527" s="27" t="s">
        <v>50</v>
      </c>
      <c r="Y527" s="35" t="s">
        <v>7489</v>
      </c>
    </row>
    <row r="528" spans="1:25" s="27" customFormat="1" x14ac:dyDescent="0.25">
      <c r="A528" s="26">
        <v>43180</v>
      </c>
      <c r="B528" s="27" t="s">
        <v>87</v>
      </c>
      <c r="C528" s="27" t="s">
        <v>95</v>
      </c>
      <c r="D528" s="89">
        <v>38.115229999999997</v>
      </c>
      <c r="E528" s="89">
        <v>-121.61963</v>
      </c>
      <c r="F528" s="27" t="s">
        <v>7490</v>
      </c>
      <c r="G528" s="27" t="s">
        <v>46</v>
      </c>
      <c r="H528" s="27" t="s">
        <v>908</v>
      </c>
      <c r="I528" s="84">
        <v>0.40069444444444446</v>
      </c>
      <c r="J528" s="82">
        <v>210.887</v>
      </c>
      <c r="K528" s="82">
        <v>12.566000000000001</v>
      </c>
      <c r="L528" s="82">
        <v>7.0750000000000002</v>
      </c>
      <c r="M528" s="82">
        <v>1.466</v>
      </c>
      <c r="N528" s="4">
        <v>2.72</v>
      </c>
      <c r="O528" s="27" t="s">
        <v>48</v>
      </c>
      <c r="P528" s="27">
        <v>6</v>
      </c>
      <c r="Q528" s="27">
        <v>5</v>
      </c>
      <c r="R528" s="27" t="s">
        <v>64</v>
      </c>
      <c r="S528" s="27" t="s">
        <v>50</v>
      </c>
      <c r="T528" s="27" t="s">
        <v>50</v>
      </c>
      <c r="U528" s="27" t="s">
        <v>50</v>
      </c>
      <c r="V528" s="27" t="s">
        <v>50</v>
      </c>
      <c r="W528" s="27" t="s">
        <v>50</v>
      </c>
      <c r="X528" s="27" t="s">
        <v>50</v>
      </c>
      <c r="Y528" s="35" t="s">
        <v>7491</v>
      </c>
    </row>
    <row r="529" spans="1:25" s="205" customFormat="1" x14ac:dyDescent="0.25">
      <c r="A529" s="204">
        <v>43180</v>
      </c>
      <c r="B529" s="205" t="s">
        <v>87</v>
      </c>
      <c r="C529" s="205" t="s">
        <v>118</v>
      </c>
      <c r="D529" s="206">
        <v>38.04701</v>
      </c>
      <c r="E529" s="206">
        <v>-122.32541999999999</v>
      </c>
      <c r="F529" s="205" t="s">
        <v>7492</v>
      </c>
      <c r="G529" s="205" t="s">
        <v>80</v>
      </c>
      <c r="H529" s="205" t="s">
        <v>123</v>
      </c>
      <c r="I529" s="207">
        <v>0.39444444444444443</v>
      </c>
      <c r="J529" s="208">
        <v>20682.5</v>
      </c>
      <c r="K529" s="208">
        <v>12.6</v>
      </c>
      <c r="L529" s="208">
        <v>20.366</v>
      </c>
      <c r="M529" s="208">
        <v>0.58199999999999996</v>
      </c>
      <c r="N529" s="209">
        <v>8.6300000000000008</v>
      </c>
      <c r="O529" s="205" t="s">
        <v>48</v>
      </c>
      <c r="P529" s="205">
        <v>6</v>
      </c>
      <c r="Q529" s="205">
        <v>10</v>
      </c>
      <c r="R529" s="205" t="s">
        <v>49</v>
      </c>
      <c r="S529" s="205" t="s">
        <v>348</v>
      </c>
      <c r="T529" s="205">
        <v>1</v>
      </c>
      <c r="U529" s="205">
        <v>116</v>
      </c>
      <c r="V529" s="205" t="s">
        <v>50</v>
      </c>
      <c r="W529" s="205">
        <v>5</v>
      </c>
      <c r="X529" s="205" t="s">
        <v>2525</v>
      </c>
      <c r="Y529" s="210"/>
    </row>
    <row r="530" spans="1:25" s="149" customFormat="1" x14ac:dyDescent="0.25">
      <c r="A530" s="178">
        <v>43180</v>
      </c>
      <c r="B530" s="149" t="s">
        <v>87</v>
      </c>
      <c r="C530" s="149" t="s">
        <v>118</v>
      </c>
      <c r="D530" s="150">
        <v>38.03678</v>
      </c>
      <c r="E530" s="150">
        <v>-122.292</v>
      </c>
      <c r="F530" s="149" t="s">
        <v>7493</v>
      </c>
      <c r="G530" s="149" t="s">
        <v>80</v>
      </c>
      <c r="H530" s="149" t="s">
        <v>123</v>
      </c>
      <c r="I530" s="151">
        <v>0.3833333333333333</v>
      </c>
      <c r="J530" s="197" t="s">
        <v>50</v>
      </c>
      <c r="K530" s="197" t="s">
        <v>50</v>
      </c>
      <c r="L530" s="197" t="s">
        <v>50</v>
      </c>
      <c r="M530" s="197" t="s">
        <v>50</v>
      </c>
      <c r="N530" s="197" t="s">
        <v>50</v>
      </c>
      <c r="O530" s="149" t="s">
        <v>48</v>
      </c>
      <c r="P530" s="149">
        <v>0</v>
      </c>
      <c r="Q530" s="149" t="s">
        <v>50</v>
      </c>
      <c r="R530" s="149" t="s">
        <v>50</v>
      </c>
      <c r="S530" s="149" t="s">
        <v>50</v>
      </c>
      <c r="T530" s="149" t="s">
        <v>50</v>
      </c>
      <c r="U530" s="149" t="s">
        <v>50</v>
      </c>
      <c r="V530" s="149" t="s">
        <v>50</v>
      </c>
      <c r="W530" s="149" t="s">
        <v>50</v>
      </c>
      <c r="X530" s="149" t="s">
        <v>50</v>
      </c>
      <c r="Y530" s="152" t="s">
        <v>3094</v>
      </c>
    </row>
    <row r="531" spans="1:25" s="27" customFormat="1" x14ac:dyDescent="0.25">
      <c r="A531" s="26">
        <v>43180</v>
      </c>
      <c r="B531" s="26" t="s">
        <v>87</v>
      </c>
      <c r="C531" s="27" t="s">
        <v>118</v>
      </c>
      <c r="D531" s="89">
        <v>38.0261</v>
      </c>
      <c r="E531" s="89">
        <v>-122.15491</v>
      </c>
      <c r="F531" s="27" t="s">
        <v>7494</v>
      </c>
      <c r="G531" s="27" t="s">
        <v>80</v>
      </c>
      <c r="H531" s="27" t="s">
        <v>120</v>
      </c>
      <c r="I531" s="84">
        <v>0.51666666666666672</v>
      </c>
      <c r="J531" s="82">
        <v>6400.1660000000002</v>
      </c>
      <c r="K531" s="82">
        <v>12.7</v>
      </c>
      <c r="L531" s="82">
        <v>61.28</v>
      </c>
      <c r="M531" s="82">
        <v>0.22</v>
      </c>
      <c r="N531" s="4">
        <v>13.63</v>
      </c>
      <c r="O531" s="27" t="s">
        <v>48</v>
      </c>
      <c r="P531" s="27">
        <v>6</v>
      </c>
      <c r="Q531" s="27">
        <v>10</v>
      </c>
      <c r="R531" s="27" t="s">
        <v>49</v>
      </c>
      <c r="S531" s="27" t="s">
        <v>50</v>
      </c>
      <c r="T531" s="27" t="s">
        <v>50</v>
      </c>
      <c r="U531" s="27" t="s">
        <v>50</v>
      </c>
      <c r="V531" s="27" t="s">
        <v>50</v>
      </c>
      <c r="W531" s="27" t="s">
        <v>50</v>
      </c>
      <c r="X531" s="27" t="s">
        <v>50</v>
      </c>
      <c r="Y531" s="35"/>
    </row>
    <row r="532" spans="1:25" s="205" customFormat="1" x14ac:dyDescent="0.25">
      <c r="A532" s="204">
        <v>43181</v>
      </c>
      <c r="B532" s="205" t="s">
        <v>105</v>
      </c>
      <c r="C532" s="205" t="s">
        <v>6879</v>
      </c>
      <c r="D532" s="206">
        <v>38.143090000000001</v>
      </c>
      <c r="E532" s="206">
        <v>-121.49827000000001</v>
      </c>
      <c r="F532" s="205" t="s">
        <v>7495</v>
      </c>
      <c r="G532" s="205" t="s">
        <v>46</v>
      </c>
      <c r="H532" s="205" t="s">
        <v>6881</v>
      </c>
      <c r="I532" s="207">
        <v>0.32847222222222222</v>
      </c>
      <c r="J532" s="208">
        <v>160.55000000000001</v>
      </c>
      <c r="K532" s="208">
        <v>12.66667</v>
      </c>
      <c r="L532" s="208">
        <v>12.06667</v>
      </c>
      <c r="M532" s="208">
        <v>1.036667</v>
      </c>
      <c r="N532" s="209">
        <v>5.9666670000000002</v>
      </c>
      <c r="O532" s="205" t="s">
        <v>48</v>
      </c>
      <c r="P532" s="205">
        <v>6</v>
      </c>
      <c r="Q532" s="205">
        <v>10</v>
      </c>
      <c r="R532" s="205" t="s">
        <v>64</v>
      </c>
      <c r="S532" s="205" t="s">
        <v>449</v>
      </c>
      <c r="T532" s="205">
        <v>1</v>
      </c>
      <c r="U532" s="205">
        <v>215</v>
      </c>
      <c r="V532" s="205" t="s">
        <v>50</v>
      </c>
      <c r="W532" s="205" t="s">
        <v>50</v>
      </c>
      <c r="X532" s="205" t="s">
        <v>2525</v>
      </c>
      <c r="Y532" s="210" t="s">
        <v>7496</v>
      </c>
    </row>
    <row r="533" spans="1:25" s="27" customFormat="1" x14ac:dyDescent="0.25">
      <c r="A533" s="26">
        <v>43181</v>
      </c>
      <c r="B533" s="27" t="s">
        <v>105</v>
      </c>
      <c r="C533" s="27" t="s">
        <v>6879</v>
      </c>
      <c r="D533" s="89">
        <v>38.043840000000003</v>
      </c>
      <c r="E533" s="89">
        <v>-121.47539</v>
      </c>
      <c r="F533" s="27" t="s">
        <v>7497</v>
      </c>
      <c r="G533" s="27" t="s">
        <v>46</v>
      </c>
      <c r="H533" s="27" t="s">
        <v>6883</v>
      </c>
      <c r="I533" s="84">
        <v>0.44027777777777777</v>
      </c>
      <c r="J533" s="82">
        <v>267.13330000000002</v>
      </c>
      <c r="K533" s="82">
        <v>13.383330000000001</v>
      </c>
      <c r="L533" s="82">
        <v>8.3866669999999992</v>
      </c>
      <c r="M533" s="82">
        <v>1.368333</v>
      </c>
      <c r="N533" s="4">
        <v>7.1</v>
      </c>
      <c r="O533" s="27" t="s">
        <v>48</v>
      </c>
      <c r="P533" s="27">
        <v>6</v>
      </c>
      <c r="Q533" s="27">
        <v>10</v>
      </c>
      <c r="R533" s="27" t="s">
        <v>49</v>
      </c>
      <c r="S533" s="27" t="s">
        <v>50</v>
      </c>
      <c r="T533" s="27" t="s">
        <v>50</v>
      </c>
      <c r="U533" s="27" t="s">
        <v>50</v>
      </c>
      <c r="V533" s="27" t="s">
        <v>50</v>
      </c>
      <c r="W533" s="27" t="s">
        <v>50</v>
      </c>
      <c r="X533" s="27" t="s">
        <v>50</v>
      </c>
      <c r="Y533" s="35"/>
    </row>
    <row r="534" spans="1:25" s="205" customFormat="1" x14ac:dyDescent="0.25">
      <c r="A534" s="204">
        <v>43181</v>
      </c>
      <c r="B534" s="205" t="s">
        <v>105</v>
      </c>
      <c r="C534" s="205" t="s">
        <v>62</v>
      </c>
      <c r="D534" s="206">
        <v>38.175870000000003</v>
      </c>
      <c r="E534" s="206">
        <v>-121.9516</v>
      </c>
      <c r="F534" s="205" t="s">
        <v>7498</v>
      </c>
      <c r="G534" s="205" t="s">
        <v>27</v>
      </c>
      <c r="H534" s="205" t="s">
        <v>62</v>
      </c>
      <c r="I534" s="207">
        <v>0.38680555555555557</v>
      </c>
      <c r="J534" s="208">
        <v>2299</v>
      </c>
      <c r="K534" s="208">
        <v>13</v>
      </c>
      <c r="L534" s="208">
        <v>96.8</v>
      </c>
      <c r="M534" s="208">
        <v>0.14399999999999999</v>
      </c>
      <c r="N534" s="209">
        <v>10.7</v>
      </c>
      <c r="O534" s="205" t="s">
        <v>48</v>
      </c>
      <c r="P534" s="205">
        <v>5</v>
      </c>
      <c r="Q534" s="205">
        <v>5</v>
      </c>
      <c r="R534" s="205" t="s">
        <v>49</v>
      </c>
      <c r="S534" s="205" t="s">
        <v>31</v>
      </c>
      <c r="T534" s="205">
        <v>1</v>
      </c>
      <c r="U534" s="205">
        <v>74</v>
      </c>
      <c r="V534" s="205" t="s">
        <v>66</v>
      </c>
      <c r="W534" s="205" t="s">
        <v>50</v>
      </c>
      <c r="X534" s="205" t="s">
        <v>50</v>
      </c>
      <c r="Y534" s="210"/>
    </row>
    <row r="535" spans="1:25" s="205" customFormat="1" x14ac:dyDescent="0.25">
      <c r="A535" s="204">
        <v>43181</v>
      </c>
      <c r="B535" s="205" t="s">
        <v>105</v>
      </c>
      <c r="C535" s="205" t="s">
        <v>62</v>
      </c>
      <c r="D535" s="206">
        <v>38.182839999999999</v>
      </c>
      <c r="E535" s="206">
        <v>-121.99151000000001</v>
      </c>
      <c r="F535" s="205" t="s">
        <v>7499</v>
      </c>
      <c r="G535" s="205" t="s">
        <v>27</v>
      </c>
      <c r="H535" s="205" t="s">
        <v>62</v>
      </c>
      <c r="I535" s="207">
        <v>0.43958333333333338</v>
      </c>
      <c r="J535" s="208">
        <v>3012.4</v>
      </c>
      <c r="K535" s="208">
        <v>13.1</v>
      </c>
      <c r="L535" s="208">
        <v>131.19999999999999</v>
      </c>
      <c r="M535" s="208">
        <v>0.126</v>
      </c>
      <c r="N535" s="209">
        <v>9.2200000000000006</v>
      </c>
      <c r="O535" s="205" t="s">
        <v>48</v>
      </c>
      <c r="P535" s="205">
        <v>5</v>
      </c>
      <c r="Q535" s="205">
        <v>5</v>
      </c>
      <c r="R535" s="205" t="s">
        <v>49</v>
      </c>
      <c r="S535" s="205" t="s">
        <v>31</v>
      </c>
      <c r="T535" s="205">
        <v>1</v>
      </c>
      <c r="U535" s="205">
        <v>66</v>
      </c>
      <c r="V535" s="205" t="s">
        <v>66</v>
      </c>
      <c r="W535" s="205" t="s">
        <v>50</v>
      </c>
      <c r="X535" s="205" t="s">
        <v>50</v>
      </c>
      <c r="Y535" s="210" t="s">
        <v>306</v>
      </c>
    </row>
    <row r="536" spans="1:25" s="149" customFormat="1" x14ac:dyDescent="0.25">
      <c r="A536" s="178">
        <v>43181</v>
      </c>
      <c r="B536" s="149" t="s">
        <v>105</v>
      </c>
      <c r="C536" s="149" t="s">
        <v>88</v>
      </c>
      <c r="D536" s="150">
        <v>38.044710000000002</v>
      </c>
      <c r="E536" s="150">
        <v>-121.76846999999999</v>
      </c>
      <c r="F536" s="149" t="s">
        <v>7500</v>
      </c>
      <c r="G536" s="149" t="s">
        <v>27</v>
      </c>
      <c r="H536" s="149" t="s">
        <v>25</v>
      </c>
      <c r="I536" s="151">
        <v>0.3125</v>
      </c>
      <c r="J536" s="197" t="s">
        <v>50</v>
      </c>
      <c r="K536" s="197" t="s">
        <v>50</v>
      </c>
      <c r="L536" s="197" t="s">
        <v>50</v>
      </c>
      <c r="M536" s="197" t="s">
        <v>50</v>
      </c>
      <c r="N536" s="197" t="s">
        <v>50</v>
      </c>
      <c r="O536" s="149" t="s">
        <v>48</v>
      </c>
      <c r="P536" s="149">
        <v>0</v>
      </c>
      <c r="Q536" s="149" t="s">
        <v>50</v>
      </c>
      <c r="R536" s="149" t="s">
        <v>50</v>
      </c>
      <c r="S536" s="149" t="s">
        <v>50</v>
      </c>
      <c r="T536" s="149" t="s">
        <v>50</v>
      </c>
      <c r="U536" s="149" t="s">
        <v>50</v>
      </c>
      <c r="V536" s="149" t="s">
        <v>50</v>
      </c>
      <c r="W536" s="149" t="s">
        <v>50</v>
      </c>
      <c r="X536" s="149" t="s">
        <v>50</v>
      </c>
      <c r="Y536" s="152" t="s">
        <v>7501</v>
      </c>
    </row>
    <row r="537" spans="1:25" s="215" customFormat="1" x14ac:dyDescent="0.25">
      <c r="A537" s="495">
        <v>43181</v>
      </c>
      <c r="B537" s="494" t="s">
        <v>105</v>
      </c>
      <c r="C537" s="494" t="s">
        <v>88</v>
      </c>
      <c r="D537" s="496">
        <v>38.058819999999997</v>
      </c>
      <c r="E537" s="496">
        <v>-121.80745</v>
      </c>
      <c r="F537" s="494" t="s">
        <v>7502</v>
      </c>
      <c r="G537" s="494" t="s">
        <v>27</v>
      </c>
      <c r="H537" s="494" t="s">
        <v>25</v>
      </c>
      <c r="I537" s="497">
        <v>0.31736111111111115</v>
      </c>
      <c r="J537" s="498">
        <v>196.15</v>
      </c>
      <c r="K537" s="498">
        <v>12.85</v>
      </c>
      <c r="L537" s="498">
        <v>20.45</v>
      </c>
      <c r="M537" s="498">
        <v>0.56499999999999995</v>
      </c>
      <c r="N537" s="498">
        <v>10</v>
      </c>
      <c r="O537" s="494" t="s">
        <v>48</v>
      </c>
      <c r="P537" s="494">
        <v>2</v>
      </c>
      <c r="Q537" s="494">
        <v>5</v>
      </c>
      <c r="R537" s="494" t="s">
        <v>49</v>
      </c>
      <c r="S537" s="494" t="s">
        <v>323</v>
      </c>
      <c r="T537" s="494">
        <v>1</v>
      </c>
      <c r="U537" s="494">
        <v>68</v>
      </c>
      <c r="V537" s="494" t="s">
        <v>66</v>
      </c>
      <c r="W537" s="494" t="s">
        <v>50</v>
      </c>
      <c r="X537" s="494" t="s">
        <v>50</v>
      </c>
      <c r="Y537" s="455"/>
    </row>
    <row r="538" spans="1:25" s="27" customFormat="1" x14ac:dyDescent="0.25">
      <c r="A538" s="26">
        <v>43181</v>
      </c>
      <c r="B538" s="27" t="s">
        <v>105</v>
      </c>
      <c r="C538" s="27" t="s">
        <v>88</v>
      </c>
      <c r="D538" s="89">
        <v>38.084299999999999</v>
      </c>
      <c r="E538" s="89">
        <v>-121.73781</v>
      </c>
      <c r="F538" s="27" t="s">
        <v>7503</v>
      </c>
      <c r="G538" s="27" t="s">
        <v>90</v>
      </c>
      <c r="H538" s="27" t="s">
        <v>91</v>
      </c>
      <c r="I538" s="84">
        <v>0.34236111111111112</v>
      </c>
      <c r="J538" s="82">
        <v>119.34</v>
      </c>
      <c r="K538" s="82">
        <v>12.4</v>
      </c>
      <c r="L538" s="82">
        <v>14.64</v>
      </c>
      <c r="M538" s="82">
        <v>0.754</v>
      </c>
      <c r="N538" s="4">
        <v>8.98</v>
      </c>
      <c r="O538" s="27" t="s">
        <v>48</v>
      </c>
      <c r="P538" s="27">
        <v>5</v>
      </c>
      <c r="Q538" s="27">
        <v>5</v>
      </c>
      <c r="R538" s="27" t="s">
        <v>49</v>
      </c>
      <c r="S538" s="27" t="s">
        <v>50</v>
      </c>
      <c r="T538" s="27" t="s">
        <v>50</v>
      </c>
      <c r="U538" s="27" t="s">
        <v>50</v>
      </c>
      <c r="V538" s="27" t="s">
        <v>50</v>
      </c>
      <c r="W538" s="27" t="s">
        <v>50</v>
      </c>
      <c r="X538" s="27" t="s">
        <v>50</v>
      </c>
      <c r="Y538" s="35"/>
    </row>
    <row r="539" spans="1:25" s="217" customFormat="1" ht="15.75" thickBot="1" x14ac:dyDescent="0.3">
      <c r="A539" s="216">
        <v>43181</v>
      </c>
      <c r="B539" s="217" t="s">
        <v>105</v>
      </c>
      <c r="C539" s="217" t="s">
        <v>88</v>
      </c>
      <c r="D539" s="218">
        <v>38.112540000000003</v>
      </c>
      <c r="E539" s="218">
        <v>-121.70723</v>
      </c>
      <c r="F539" s="217" t="s">
        <v>7504</v>
      </c>
      <c r="G539" s="217" t="s">
        <v>90</v>
      </c>
      <c r="H539" s="217" t="s">
        <v>91</v>
      </c>
      <c r="I539" s="219">
        <v>0.40902777777777777</v>
      </c>
      <c r="J539" s="220">
        <v>109.48</v>
      </c>
      <c r="K539" s="220">
        <v>12.24</v>
      </c>
      <c r="L539" s="220">
        <v>13.72</v>
      </c>
      <c r="M539" s="220">
        <v>0.77</v>
      </c>
      <c r="N539" s="221">
        <v>7.6</v>
      </c>
      <c r="O539" s="217" t="s">
        <v>48</v>
      </c>
      <c r="P539" s="217">
        <v>5</v>
      </c>
      <c r="Q539" s="217">
        <v>5</v>
      </c>
      <c r="R539" s="217" t="s">
        <v>49</v>
      </c>
      <c r="S539" s="217" t="s">
        <v>348</v>
      </c>
      <c r="T539" s="217">
        <v>1</v>
      </c>
      <c r="U539" s="217">
        <v>112</v>
      </c>
      <c r="V539" s="217" t="s">
        <v>50</v>
      </c>
      <c r="W539" s="217">
        <v>5</v>
      </c>
      <c r="X539" s="217" t="s">
        <v>2525</v>
      </c>
      <c r="Y539" s="222"/>
    </row>
    <row r="540" spans="1:25" s="205" customFormat="1" ht="15.75" thickTop="1" x14ac:dyDescent="0.25">
      <c r="A540" s="204">
        <v>43185</v>
      </c>
      <c r="B540" s="205" t="s">
        <v>43</v>
      </c>
      <c r="C540" s="205" t="s">
        <v>95</v>
      </c>
      <c r="D540" s="206">
        <v>38.044310000000003</v>
      </c>
      <c r="E540" s="206">
        <v>-121.70081</v>
      </c>
      <c r="F540" s="205" t="s">
        <v>7505</v>
      </c>
      <c r="G540" s="205" t="s">
        <v>27</v>
      </c>
      <c r="H540" s="205" t="s">
        <v>863</v>
      </c>
      <c r="I540" s="207">
        <v>0.34027777777777773</v>
      </c>
      <c r="J540" s="208">
        <v>125.18</v>
      </c>
      <c r="K540" s="208">
        <v>12.64</v>
      </c>
      <c r="L540" s="208">
        <v>27.9</v>
      </c>
      <c r="M540" s="208">
        <v>0.438</v>
      </c>
      <c r="N540" s="209">
        <v>4.2</v>
      </c>
      <c r="O540" s="205" t="s">
        <v>48</v>
      </c>
      <c r="P540" s="205">
        <v>5</v>
      </c>
      <c r="Q540" s="205">
        <v>5</v>
      </c>
      <c r="R540" s="205" t="s">
        <v>64</v>
      </c>
      <c r="S540" s="205" t="s">
        <v>702</v>
      </c>
      <c r="T540" s="205">
        <v>1</v>
      </c>
      <c r="U540" s="205">
        <v>39</v>
      </c>
      <c r="V540" s="205" t="s">
        <v>50</v>
      </c>
      <c r="W540" s="205">
        <v>2</v>
      </c>
      <c r="X540" s="205" t="s">
        <v>50</v>
      </c>
      <c r="Y540" s="210"/>
    </row>
    <row r="541" spans="1:25" s="27" customFormat="1" x14ac:dyDescent="0.25">
      <c r="A541" s="26">
        <v>43185</v>
      </c>
      <c r="B541" s="27" t="s">
        <v>43</v>
      </c>
      <c r="C541" s="27" t="s">
        <v>95</v>
      </c>
      <c r="D541" s="89">
        <v>38.038220000000003</v>
      </c>
      <c r="E541" s="89">
        <v>-121.7218</v>
      </c>
      <c r="F541" s="27" t="s">
        <v>7506</v>
      </c>
      <c r="G541" s="27" t="s">
        <v>27</v>
      </c>
      <c r="H541" s="27" t="s">
        <v>863</v>
      </c>
      <c r="I541" s="84">
        <v>0.38263888888888892</v>
      </c>
      <c r="J541" s="82">
        <v>140.86000000000001</v>
      </c>
      <c r="K541" s="82">
        <v>12.7</v>
      </c>
      <c r="L541" s="82">
        <v>31.3</v>
      </c>
      <c r="M541" s="82">
        <v>0.55800000000000005</v>
      </c>
      <c r="N541" s="4">
        <v>3.1</v>
      </c>
      <c r="O541" s="27" t="s">
        <v>48</v>
      </c>
      <c r="P541" s="27">
        <v>5</v>
      </c>
      <c r="Q541" s="27">
        <v>5</v>
      </c>
      <c r="R541" s="27" t="s">
        <v>64</v>
      </c>
      <c r="S541" s="27" t="s">
        <v>50</v>
      </c>
      <c r="T541" s="27" t="s">
        <v>50</v>
      </c>
      <c r="U541" s="27" t="s">
        <v>50</v>
      </c>
      <c r="V541" s="27" t="s">
        <v>50</v>
      </c>
      <c r="W541" s="27" t="s">
        <v>50</v>
      </c>
      <c r="X541" s="27" t="s">
        <v>50</v>
      </c>
      <c r="Y541" s="35"/>
    </row>
    <row r="542" spans="1:25" s="27" customFormat="1" x14ac:dyDescent="0.25">
      <c r="A542" s="26">
        <v>43185</v>
      </c>
      <c r="B542" s="27" t="s">
        <v>43</v>
      </c>
      <c r="C542" s="27" t="s">
        <v>95</v>
      </c>
      <c r="D542" s="89">
        <v>38.058079999999997</v>
      </c>
      <c r="E542" s="89">
        <v>-121.67752</v>
      </c>
      <c r="F542" s="27" t="s">
        <v>7507</v>
      </c>
      <c r="G542" s="27" t="s">
        <v>46</v>
      </c>
      <c r="H542" s="27" t="s">
        <v>7508</v>
      </c>
      <c r="I542" s="84">
        <v>0.42777777777777781</v>
      </c>
      <c r="J542" s="82">
        <v>139.84</v>
      </c>
      <c r="K542" s="82">
        <v>12.86</v>
      </c>
      <c r="L542" s="82">
        <v>29.44</v>
      </c>
      <c r="M542" s="82">
        <v>0.54600000000000004</v>
      </c>
      <c r="N542" s="4">
        <v>6.12</v>
      </c>
      <c r="O542" s="27" t="s">
        <v>48</v>
      </c>
      <c r="P542" s="27">
        <v>5</v>
      </c>
      <c r="Q542" s="27">
        <v>5</v>
      </c>
      <c r="R542" s="27" t="s">
        <v>64</v>
      </c>
      <c r="S542" s="27" t="s">
        <v>50</v>
      </c>
      <c r="T542" s="27" t="s">
        <v>50</v>
      </c>
      <c r="U542" s="27" t="s">
        <v>50</v>
      </c>
      <c r="V542" s="27" t="s">
        <v>50</v>
      </c>
      <c r="W542" s="27" t="s">
        <v>50</v>
      </c>
      <c r="X542" s="27" t="s">
        <v>50</v>
      </c>
      <c r="Y542" s="35"/>
    </row>
    <row r="543" spans="1:25" s="27" customFormat="1" x14ac:dyDescent="0.25">
      <c r="A543" s="26">
        <v>43185</v>
      </c>
      <c r="B543" s="27" t="s">
        <v>43</v>
      </c>
      <c r="C543" s="27" t="s">
        <v>62</v>
      </c>
      <c r="D543" s="89">
        <v>38.169420000000002</v>
      </c>
      <c r="E543" s="89">
        <v>-121.93223999999999</v>
      </c>
      <c r="F543" s="27" t="s">
        <v>7509</v>
      </c>
      <c r="G543" s="27" t="s">
        <v>27</v>
      </c>
      <c r="H543" s="27" t="s">
        <v>62</v>
      </c>
      <c r="I543" s="84">
        <v>0.3527777777777778</v>
      </c>
      <c r="J543" s="82">
        <v>2099.8000000000002</v>
      </c>
      <c r="K543" s="82">
        <v>13.24</v>
      </c>
      <c r="L543" s="82">
        <v>50.6</v>
      </c>
      <c r="M543" s="82">
        <v>0.248</v>
      </c>
      <c r="N543" s="4">
        <v>8.86</v>
      </c>
      <c r="O543" s="27" t="s">
        <v>48</v>
      </c>
      <c r="P543" s="27">
        <v>5</v>
      </c>
      <c r="Q543" s="27">
        <v>5</v>
      </c>
      <c r="R543" s="27" t="s">
        <v>64</v>
      </c>
      <c r="S543" s="27" t="s">
        <v>50</v>
      </c>
      <c r="T543" s="27" t="s">
        <v>50</v>
      </c>
      <c r="U543" s="27" t="s">
        <v>50</v>
      </c>
      <c r="V543" s="27" t="s">
        <v>50</v>
      </c>
      <c r="W543" s="27" t="s">
        <v>50</v>
      </c>
      <c r="X543" s="27" t="s">
        <v>50</v>
      </c>
      <c r="Y543" s="35"/>
    </row>
    <row r="544" spans="1:25" s="27" customFormat="1" x14ac:dyDescent="0.25">
      <c r="A544" s="26">
        <v>43185</v>
      </c>
      <c r="B544" s="27" t="s">
        <v>43</v>
      </c>
      <c r="C544" s="27" t="s">
        <v>62</v>
      </c>
      <c r="D544" s="89">
        <v>38.155839999999998</v>
      </c>
      <c r="E544" s="89">
        <v>-122.07117</v>
      </c>
      <c r="F544" s="27" t="s">
        <v>7510</v>
      </c>
      <c r="G544" s="27" t="s">
        <v>27</v>
      </c>
      <c r="H544" s="27" t="s">
        <v>62</v>
      </c>
      <c r="I544" s="84">
        <v>0.41388888888888892</v>
      </c>
      <c r="J544" s="82">
        <v>4059.4</v>
      </c>
      <c r="K544" s="82">
        <v>13.24</v>
      </c>
      <c r="L544" s="82">
        <v>80.680000000000007</v>
      </c>
      <c r="M544" s="82">
        <v>0.17599999999999999</v>
      </c>
      <c r="N544" s="4">
        <v>1.88</v>
      </c>
      <c r="O544" s="27" t="s">
        <v>48</v>
      </c>
      <c r="P544" s="27">
        <v>5</v>
      </c>
      <c r="Q544" s="27">
        <v>5</v>
      </c>
      <c r="R544" s="27" t="s">
        <v>49</v>
      </c>
      <c r="S544" s="27" t="s">
        <v>50</v>
      </c>
      <c r="T544" s="27" t="s">
        <v>50</v>
      </c>
      <c r="U544" s="27" t="s">
        <v>50</v>
      </c>
      <c r="V544" s="27" t="s">
        <v>50</v>
      </c>
      <c r="W544" s="27" t="s">
        <v>50</v>
      </c>
      <c r="X544" s="27" t="s">
        <v>50</v>
      </c>
      <c r="Y544" s="35"/>
    </row>
    <row r="545" spans="1:25" s="149" customFormat="1" x14ac:dyDescent="0.25">
      <c r="A545" s="178">
        <v>43185</v>
      </c>
      <c r="B545" s="149" t="s">
        <v>43</v>
      </c>
      <c r="C545" s="149" t="s">
        <v>88</v>
      </c>
      <c r="D545" s="150">
        <v>38.037990000000001</v>
      </c>
      <c r="E545" s="150">
        <v>-121.78198</v>
      </c>
      <c r="F545" s="149" t="s">
        <v>7511</v>
      </c>
      <c r="G545" s="149" t="s">
        <v>27</v>
      </c>
      <c r="H545" s="149" t="s">
        <v>25</v>
      </c>
      <c r="I545" s="151">
        <v>0.35902777777777778</v>
      </c>
      <c r="J545" s="197">
        <v>116.54</v>
      </c>
      <c r="K545" s="197">
        <v>12.16</v>
      </c>
      <c r="L545" s="197">
        <v>20.86</v>
      </c>
      <c r="M545" s="197">
        <v>0.52400000000000002</v>
      </c>
      <c r="N545" s="197">
        <v>7</v>
      </c>
      <c r="O545" s="149" t="s">
        <v>48</v>
      </c>
      <c r="P545" s="149">
        <v>5</v>
      </c>
      <c r="Q545" s="149">
        <v>5</v>
      </c>
      <c r="R545" s="149" t="s">
        <v>64</v>
      </c>
      <c r="S545" s="149" t="s">
        <v>50</v>
      </c>
      <c r="T545" s="149" t="s">
        <v>50</v>
      </c>
      <c r="U545" s="149" t="s">
        <v>50</v>
      </c>
      <c r="V545" s="149" t="s">
        <v>50</v>
      </c>
      <c r="W545" s="149" t="s">
        <v>50</v>
      </c>
      <c r="X545" s="149" t="s">
        <v>50</v>
      </c>
      <c r="Y545" s="152" t="s">
        <v>7512</v>
      </c>
    </row>
    <row r="546" spans="1:25" s="205" customFormat="1" x14ac:dyDescent="0.25">
      <c r="A546" s="204">
        <v>43185</v>
      </c>
      <c r="B546" s="205" t="s">
        <v>43</v>
      </c>
      <c r="C546" s="205" t="s">
        <v>88</v>
      </c>
      <c r="D546" s="206">
        <v>38.091030000000003</v>
      </c>
      <c r="E546" s="206">
        <v>-121.68505999999999</v>
      </c>
      <c r="F546" s="205" t="s">
        <v>7513</v>
      </c>
      <c r="G546" s="205" t="s">
        <v>90</v>
      </c>
      <c r="H546" s="205" t="s">
        <v>91</v>
      </c>
      <c r="I546" s="207">
        <v>0.44861111111111113</v>
      </c>
      <c r="J546" s="208">
        <v>100.16670000000001</v>
      </c>
      <c r="K546" s="208">
        <v>12.3</v>
      </c>
      <c r="L546" s="208">
        <v>27.1</v>
      </c>
      <c r="M546" s="208">
        <v>0.45833299999999999</v>
      </c>
      <c r="N546" s="208">
        <v>6.8166669999999998</v>
      </c>
      <c r="O546" s="205" t="s">
        <v>48</v>
      </c>
      <c r="P546" s="205">
        <v>6</v>
      </c>
      <c r="Q546" s="205">
        <v>5</v>
      </c>
      <c r="R546" s="205" t="s">
        <v>49</v>
      </c>
      <c r="S546" s="205" t="s">
        <v>702</v>
      </c>
      <c r="T546" s="205">
        <v>1</v>
      </c>
      <c r="U546" s="205">
        <v>35</v>
      </c>
      <c r="V546" s="205" t="s">
        <v>50</v>
      </c>
      <c r="W546" s="205">
        <v>3</v>
      </c>
      <c r="X546" s="205" t="s">
        <v>50</v>
      </c>
      <c r="Y546" s="210" t="s">
        <v>7514</v>
      </c>
    </row>
    <row r="547" spans="1:25" s="205" customFormat="1" x14ac:dyDescent="0.25">
      <c r="A547" s="204">
        <v>43185</v>
      </c>
      <c r="B547" s="205" t="s">
        <v>43</v>
      </c>
      <c r="C547" s="205" t="s">
        <v>88</v>
      </c>
      <c r="D547" s="206">
        <v>38.091030000000003</v>
      </c>
      <c r="E547" s="206">
        <v>-121.68505999999999</v>
      </c>
      <c r="F547" s="205" t="s">
        <v>7513</v>
      </c>
      <c r="G547" s="205" t="s">
        <v>90</v>
      </c>
      <c r="H547" s="205" t="s">
        <v>91</v>
      </c>
      <c r="J547" s="208"/>
      <c r="K547" s="208"/>
      <c r="L547" s="208"/>
      <c r="M547" s="208"/>
      <c r="N547" s="209"/>
      <c r="S547" s="205" t="s">
        <v>3280</v>
      </c>
      <c r="T547" s="205">
        <v>1</v>
      </c>
      <c r="U547" s="205">
        <v>82</v>
      </c>
      <c r="V547" s="205" t="s">
        <v>50</v>
      </c>
      <c r="W547" s="205">
        <v>3</v>
      </c>
      <c r="X547" s="205" t="s">
        <v>50</v>
      </c>
      <c r="Y547" s="210"/>
    </row>
    <row r="548" spans="1:25" s="205" customFormat="1" x14ac:dyDescent="0.25">
      <c r="A548" s="204">
        <v>43185</v>
      </c>
      <c r="B548" s="205" t="s">
        <v>43</v>
      </c>
      <c r="C548" s="205" t="s">
        <v>88</v>
      </c>
      <c r="D548" s="206">
        <v>38.162030000000001</v>
      </c>
      <c r="E548" s="206">
        <v>-121.67761</v>
      </c>
      <c r="F548" s="205" t="s">
        <v>7515</v>
      </c>
      <c r="G548" s="205" t="s">
        <v>90</v>
      </c>
      <c r="H548" s="205" t="s">
        <v>91</v>
      </c>
      <c r="I548" s="207">
        <v>0.51874999999999993</v>
      </c>
      <c r="J548" s="208">
        <v>86.28</v>
      </c>
      <c r="K548" s="208">
        <v>12.14</v>
      </c>
      <c r="L548" s="208">
        <v>27.14</v>
      </c>
      <c r="M548" s="208">
        <v>0.42399999999999999</v>
      </c>
      <c r="N548" s="209">
        <v>7.12</v>
      </c>
      <c r="O548" s="205" t="s">
        <v>48</v>
      </c>
      <c r="P548" s="205">
        <v>5</v>
      </c>
      <c r="Q548" s="205">
        <v>5</v>
      </c>
      <c r="R548" s="205" t="s">
        <v>49</v>
      </c>
      <c r="S548" s="205" t="s">
        <v>702</v>
      </c>
      <c r="T548" s="205">
        <v>2</v>
      </c>
      <c r="U548" s="205" t="s">
        <v>7516</v>
      </c>
      <c r="V548" s="205" t="s">
        <v>50</v>
      </c>
      <c r="W548" s="205">
        <v>3</v>
      </c>
      <c r="X548" s="205" t="s">
        <v>50</v>
      </c>
      <c r="Y548" s="210"/>
    </row>
    <row r="549" spans="1:25" s="27" customFormat="1" x14ac:dyDescent="0.25">
      <c r="A549" s="26">
        <v>43186</v>
      </c>
      <c r="B549" s="27" t="s">
        <v>849</v>
      </c>
      <c r="C549" s="27" t="s">
        <v>95</v>
      </c>
      <c r="D549" s="89">
        <v>38.07479</v>
      </c>
      <c r="E549" s="89">
        <v>-121.56659999999999</v>
      </c>
      <c r="F549" s="27" t="s">
        <v>7517</v>
      </c>
      <c r="G549" s="27" t="s">
        <v>46</v>
      </c>
      <c r="H549" s="27" t="s">
        <v>115</v>
      </c>
      <c r="I549" s="84">
        <v>0.30972222222222223</v>
      </c>
      <c r="J549" s="82">
        <v>164.94399999999999</v>
      </c>
      <c r="K549" s="82">
        <v>13</v>
      </c>
      <c r="L549" s="82">
        <v>18.16</v>
      </c>
      <c r="M549" s="82">
        <v>0.61599999999999999</v>
      </c>
      <c r="N549" s="4">
        <v>10.88</v>
      </c>
      <c r="O549" s="27" t="s">
        <v>48</v>
      </c>
      <c r="P549" s="27">
        <v>5</v>
      </c>
      <c r="Q549" s="27">
        <v>5</v>
      </c>
      <c r="R549" s="27" t="s">
        <v>49</v>
      </c>
      <c r="S549" s="27" t="s">
        <v>50</v>
      </c>
      <c r="T549" s="27" t="s">
        <v>50</v>
      </c>
      <c r="U549" s="27" t="s">
        <v>50</v>
      </c>
      <c r="V549" s="27" t="s">
        <v>50</v>
      </c>
      <c r="W549" s="27" t="s">
        <v>50</v>
      </c>
      <c r="X549" s="27" t="s">
        <v>50</v>
      </c>
      <c r="Y549" s="35"/>
    </row>
    <row r="550" spans="1:25" s="205" customFormat="1" x14ac:dyDescent="0.25">
      <c r="A550" s="204">
        <v>43186</v>
      </c>
      <c r="B550" s="205" t="s">
        <v>849</v>
      </c>
      <c r="C550" s="205" t="s">
        <v>95</v>
      </c>
      <c r="D550" s="206">
        <v>38.096150000000002</v>
      </c>
      <c r="E550" s="206">
        <v>-121.58105</v>
      </c>
      <c r="F550" s="205" t="s">
        <v>7518</v>
      </c>
      <c r="G550" s="205" t="s">
        <v>46</v>
      </c>
      <c r="H550" s="205" t="s">
        <v>115</v>
      </c>
      <c r="I550" s="207">
        <v>0.3527777777777778</v>
      </c>
      <c r="J550" s="208">
        <v>150.24</v>
      </c>
      <c r="K550" s="208">
        <v>12.88</v>
      </c>
      <c r="L550" s="208">
        <v>22.76</v>
      </c>
      <c r="M550" s="208">
        <v>0.57999999999999996</v>
      </c>
      <c r="N550" s="209">
        <v>8.3800000000000008</v>
      </c>
      <c r="O550" s="205" t="s">
        <v>48</v>
      </c>
      <c r="P550" s="205">
        <v>5</v>
      </c>
      <c r="Q550" s="205">
        <v>5</v>
      </c>
      <c r="R550" s="205" t="s">
        <v>49</v>
      </c>
      <c r="S550" s="205" t="s">
        <v>758</v>
      </c>
      <c r="T550" s="205">
        <v>1</v>
      </c>
      <c r="U550" s="205">
        <v>126</v>
      </c>
      <c r="V550" s="205" t="s">
        <v>50</v>
      </c>
      <c r="W550" s="205" t="s">
        <v>50</v>
      </c>
      <c r="X550" s="205" t="s">
        <v>50</v>
      </c>
      <c r="Y550" s="210" t="s">
        <v>2973</v>
      </c>
    </row>
    <row r="551" spans="1:25" s="27" customFormat="1" x14ac:dyDescent="0.25">
      <c r="A551" s="26">
        <v>43186</v>
      </c>
      <c r="B551" s="27" t="s">
        <v>849</v>
      </c>
      <c r="C551" s="27" t="s">
        <v>95</v>
      </c>
      <c r="D551" s="89">
        <v>38.094920000000002</v>
      </c>
      <c r="E551" s="89">
        <v>-121.65331</v>
      </c>
      <c r="F551" s="27" t="s">
        <v>7519</v>
      </c>
      <c r="G551" s="27" t="s">
        <v>46</v>
      </c>
      <c r="H551" s="27" t="s">
        <v>908</v>
      </c>
      <c r="I551" s="84">
        <v>0.40625</v>
      </c>
      <c r="J551" s="82">
        <v>103.28</v>
      </c>
      <c r="K551" s="82">
        <v>12.58</v>
      </c>
      <c r="L551" s="82">
        <v>26.9</v>
      </c>
      <c r="M551" s="82">
        <v>0.47799999999999998</v>
      </c>
      <c r="N551" s="4">
        <v>9.1</v>
      </c>
      <c r="O551" s="27" t="s">
        <v>48</v>
      </c>
      <c r="P551" s="27">
        <v>5</v>
      </c>
      <c r="Q551" s="27">
        <v>5</v>
      </c>
      <c r="R551" s="27" t="s">
        <v>64</v>
      </c>
      <c r="S551" s="27" t="s">
        <v>50</v>
      </c>
      <c r="T551" s="27" t="s">
        <v>50</v>
      </c>
      <c r="U551" s="27" t="s">
        <v>50</v>
      </c>
      <c r="V551" s="27" t="s">
        <v>50</v>
      </c>
      <c r="W551" s="27" t="s">
        <v>50</v>
      </c>
      <c r="X551" s="27" t="s">
        <v>50</v>
      </c>
      <c r="Y551" s="35"/>
    </row>
    <row r="552" spans="1:25" s="205" customFormat="1" x14ac:dyDescent="0.25">
      <c r="A552" s="204">
        <v>43186</v>
      </c>
      <c r="B552" s="205" t="s">
        <v>849</v>
      </c>
      <c r="C552" s="205" t="s">
        <v>106</v>
      </c>
      <c r="D552" s="206">
        <v>38.187959999999997</v>
      </c>
      <c r="E552" s="206">
        <v>-121.65992</v>
      </c>
      <c r="F552" s="205" t="s">
        <v>7520</v>
      </c>
      <c r="G552" s="205" t="s">
        <v>90</v>
      </c>
      <c r="H552" s="205" t="s">
        <v>362</v>
      </c>
      <c r="I552" s="207">
        <v>0.31805555555555554</v>
      </c>
      <c r="J552" s="208">
        <v>127.68</v>
      </c>
      <c r="K552" s="208">
        <v>12.22</v>
      </c>
      <c r="L552" s="208">
        <v>76.319999999999993</v>
      </c>
      <c r="M552" s="208">
        <v>0.45</v>
      </c>
      <c r="N552" s="209">
        <v>15.26</v>
      </c>
      <c r="O552" s="205" t="s">
        <v>48</v>
      </c>
      <c r="P552" s="205">
        <v>5</v>
      </c>
      <c r="Q552" s="205">
        <v>5</v>
      </c>
      <c r="R552" s="205" t="s">
        <v>49</v>
      </c>
      <c r="S552" s="205" t="s">
        <v>449</v>
      </c>
      <c r="T552" s="205">
        <v>1</v>
      </c>
      <c r="U552" s="205">
        <v>240</v>
      </c>
      <c r="V552" s="205" t="s">
        <v>50</v>
      </c>
      <c r="W552" s="205">
        <v>5</v>
      </c>
      <c r="X552" s="205" t="s">
        <v>2525</v>
      </c>
      <c r="Y552" s="210" t="s">
        <v>7521</v>
      </c>
    </row>
    <row r="553" spans="1:25" s="205" customFormat="1" x14ac:dyDescent="0.25">
      <c r="A553" s="204">
        <v>43186</v>
      </c>
      <c r="B553" s="205" t="s">
        <v>849</v>
      </c>
      <c r="C553" s="205" t="s">
        <v>106</v>
      </c>
      <c r="D553" s="206">
        <v>38.187959999999997</v>
      </c>
      <c r="E553" s="206">
        <v>-121.65992</v>
      </c>
      <c r="F553" s="205" t="s">
        <v>7520</v>
      </c>
      <c r="G553" s="205" t="s">
        <v>90</v>
      </c>
      <c r="H553" s="205" t="s">
        <v>362</v>
      </c>
      <c r="J553" s="208"/>
      <c r="K553" s="208"/>
      <c r="L553" s="208"/>
      <c r="M553" s="208"/>
      <c r="N553" s="209"/>
      <c r="O553" s="205" t="s">
        <v>48</v>
      </c>
      <c r="S553" s="205" t="s">
        <v>31</v>
      </c>
      <c r="T553" s="205">
        <v>1</v>
      </c>
      <c r="U553" s="205">
        <v>111</v>
      </c>
      <c r="V553" s="205" t="s">
        <v>355</v>
      </c>
      <c r="W553" s="205" t="s">
        <v>50</v>
      </c>
      <c r="X553" s="205" t="s">
        <v>50</v>
      </c>
      <c r="Y553" s="210"/>
    </row>
    <row r="554" spans="1:25" s="205" customFormat="1" x14ac:dyDescent="0.25">
      <c r="A554" s="204">
        <v>43186</v>
      </c>
      <c r="B554" s="205" t="s">
        <v>849</v>
      </c>
      <c r="C554" s="205" t="s">
        <v>106</v>
      </c>
      <c r="D554" s="206">
        <v>38.187959999999997</v>
      </c>
      <c r="E554" s="206">
        <v>-121.65992</v>
      </c>
      <c r="F554" s="205" t="s">
        <v>7520</v>
      </c>
      <c r="G554" s="205" t="s">
        <v>90</v>
      </c>
      <c r="H554" s="205" t="s">
        <v>362</v>
      </c>
      <c r="J554" s="208"/>
      <c r="K554" s="208"/>
      <c r="L554" s="208"/>
      <c r="M554" s="208"/>
      <c r="N554" s="209"/>
      <c r="O554" s="205" t="s">
        <v>48</v>
      </c>
      <c r="S554" s="205" t="s">
        <v>702</v>
      </c>
      <c r="T554" s="205">
        <v>3</v>
      </c>
      <c r="U554" s="205" t="s">
        <v>7522</v>
      </c>
      <c r="V554" s="205" t="s">
        <v>50</v>
      </c>
      <c r="W554" s="205">
        <v>2</v>
      </c>
      <c r="X554" s="205" t="s">
        <v>50</v>
      </c>
      <c r="Y554" s="210" t="s">
        <v>7523</v>
      </c>
    </row>
    <row r="555" spans="1:25" s="27" customFormat="1" x14ac:dyDescent="0.25">
      <c r="A555" s="26">
        <v>43186</v>
      </c>
      <c r="B555" s="27" t="s">
        <v>849</v>
      </c>
      <c r="C555" s="27" t="s">
        <v>106</v>
      </c>
      <c r="D555" s="89">
        <v>38.559579999999997</v>
      </c>
      <c r="E555" s="89">
        <v>-121.56572</v>
      </c>
      <c r="F555" s="27" t="s">
        <v>7524</v>
      </c>
      <c r="G555" s="27" t="s">
        <v>90</v>
      </c>
      <c r="H555" s="27" t="s">
        <v>1787</v>
      </c>
      <c r="I555" s="84">
        <v>0.42499999999999999</v>
      </c>
      <c r="J555" s="82">
        <v>762.6</v>
      </c>
      <c r="K555" s="82">
        <v>13.36</v>
      </c>
      <c r="L555" s="82">
        <v>7.048</v>
      </c>
      <c r="M555" s="82">
        <v>1.49</v>
      </c>
      <c r="N555" s="4">
        <v>9.76</v>
      </c>
      <c r="O555" s="27" t="s">
        <v>48</v>
      </c>
      <c r="P555" s="27">
        <v>5</v>
      </c>
      <c r="Q555" s="27">
        <v>5</v>
      </c>
      <c r="R555" s="27" t="s">
        <v>49</v>
      </c>
      <c r="S555" s="27" t="s">
        <v>50</v>
      </c>
      <c r="T555" s="27" t="s">
        <v>50</v>
      </c>
      <c r="U555" s="27" t="s">
        <v>50</v>
      </c>
      <c r="V555" s="27" t="s">
        <v>50</v>
      </c>
      <c r="W555" s="27" t="s">
        <v>50</v>
      </c>
      <c r="X555" s="27" t="s">
        <v>50</v>
      </c>
      <c r="Y555" s="35"/>
    </row>
    <row r="556" spans="1:25" s="27" customFormat="1" x14ac:dyDescent="0.25">
      <c r="A556" s="26">
        <v>43186</v>
      </c>
      <c r="B556" s="27" t="s">
        <v>849</v>
      </c>
      <c r="C556" s="27" t="s">
        <v>106</v>
      </c>
      <c r="D556" s="89">
        <v>38.245669999999997</v>
      </c>
      <c r="E556" s="89">
        <v>-121.67010999999999</v>
      </c>
      <c r="F556" s="27" t="s">
        <v>7525</v>
      </c>
      <c r="G556" s="27" t="s">
        <v>90</v>
      </c>
      <c r="H556" s="27" t="s">
        <v>362</v>
      </c>
      <c r="I556" s="84">
        <v>0.47222222222222227</v>
      </c>
      <c r="J556" s="82">
        <v>128.30000000000001</v>
      </c>
      <c r="K556" s="82">
        <v>12.36</v>
      </c>
      <c r="L556" s="82">
        <v>34.24</v>
      </c>
      <c r="M556" s="82">
        <v>0.47599999999999998</v>
      </c>
      <c r="N556" s="4">
        <v>10.82</v>
      </c>
      <c r="O556" s="27" t="s">
        <v>48</v>
      </c>
      <c r="P556" s="27">
        <v>5</v>
      </c>
      <c r="Q556" s="27">
        <v>5</v>
      </c>
      <c r="R556" s="27" t="s">
        <v>64</v>
      </c>
      <c r="S556" s="27" t="s">
        <v>50</v>
      </c>
      <c r="T556" s="27" t="s">
        <v>50</v>
      </c>
      <c r="U556" s="27" t="s">
        <v>50</v>
      </c>
      <c r="V556" s="27" t="s">
        <v>50</v>
      </c>
      <c r="W556" s="27" t="s">
        <v>50</v>
      </c>
      <c r="X556" s="27" t="s">
        <v>50</v>
      </c>
      <c r="Y556" s="35"/>
    </row>
    <row r="557" spans="1:25" s="205" customFormat="1" x14ac:dyDescent="0.25">
      <c r="A557" s="204">
        <v>43186</v>
      </c>
      <c r="B557" s="205" t="s">
        <v>849</v>
      </c>
      <c r="C557" s="205" t="s">
        <v>118</v>
      </c>
      <c r="D557" s="206">
        <v>38.061169999999997</v>
      </c>
      <c r="E557" s="206">
        <v>-122.24332</v>
      </c>
      <c r="F557" s="205" t="s">
        <v>7526</v>
      </c>
      <c r="G557" s="205" t="s">
        <v>80</v>
      </c>
      <c r="H557" s="205" t="s">
        <v>120</v>
      </c>
      <c r="I557" s="207">
        <v>0.37916666666666665</v>
      </c>
      <c r="J557" s="208">
        <v>9837</v>
      </c>
      <c r="K557" s="208">
        <v>13.31667</v>
      </c>
      <c r="L557" s="208">
        <v>19.983329999999999</v>
      </c>
      <c r="M557" s="208">
        <v>0.38833299999999998</v>
      </c>
      <c r="N557" s="209">
        <v>17.533329999999999</v>
      </c>
      <c r="O557" s="205" t="s">
        <v>48</v>
      </c>
      <c r="P557" s="205">
        <v>6</v>
      </c>
      <c r="Q557" s="205">
        <v>10</v>
      </c>
      <c r="R557" s="205" t="s">
        <v>64</v>
      </c>
      <c r="S557" s="205" t="s">
        <v>449</v>
      </c>
      <c r="T557" s="205">
        <v>1</v>
      </c>
      <c r="U557" s="205">
        <v>203</v>
      </c>
      <c r="V557" s="205" t="s">
        <v>50</v>
      </c>
      <c r="W557" s="205">
        <v>2</v>
      </c>
      <c r="X557" s="205" t="s">
        <v>2525</v>
      </c>
      <c r="Y557" s="210" t="s">
        <v>7527</v>
      </c>
    </row>
    <row r="558" spans="1:25" s="205" customFormat="1" x14ac:dyDescent="0.25">
      <c r="A558" s="204">
        <v>43186</v>
      </c>
      <c r="B558" s="205" t="s">
        <v>849</v>
      </c>
      <c r="C558" s="205" t="s">
        <v>118</v>
      </c>
      <c r="D558" s="206">
        <v>38.153329999999997</v>
      </c>
      <c r="E558" s="206">
        <v>-122.2944</v>
      </c>
      <c r="F558" s="205" t="s">
        <v>7528</v>
      </c>
      <c r="G558" s="205" t="s">
        <v>80</v>
      </c>
      <c r="H558" s="205" t="s">
        <v>191</v>
      </c>
      <c r="I558" s="207">
        <v>0.45902777777777781</v>
      </c>
      <c r="J558" s="208">
        <v>9242</v>
      </c>
      <c r="K558" s="208">
        <v>13.66667</v>
      </c>
      <c r="L558" s="208">
        <v>31.4</v>
      </c>
      <c r="M558" s="208">
        <v>0.28666700000000001</v>
      </c>
      <c r="N558" s="209">
        <v>6.2</v>
      </c>
      <c r="O558" s="205" t="s">
        <v>48</v>
      </c>
      <c r="P558" s="205">
        <v>6</v>
      </c>
      <c r="Q558" s="205">
        <v>10</v>
      </c>
      <c r="R558" s="205" t="s">
        <v>64</v>
      </c>
      <c r="S558" s="205" t="s">
        <v>31</v>
      </c>
      <c r="T558" s="205">
        <v>1</v>
      </c>
      <c r="U558" s="205">
        <v>73</v>
      </c>
      <c r="V558" s="205" t="s">
        <v>66</v>
      </c>
      <c r="W558" s="205" t="s">
        <v>50</v>
      </c>
      <c r="X558" s="205" t="s">
        <v>50</v>
      </c>
      <c r="Y558" s="210"/>
    </row>
    <row r="559" spans="1:25" s="205" customFormat="1" x14ac:dyDescent="0.25">
      <c r="A559" s="204">
        <v>43187</v>
      </c>
      <c r="B559" s="205" t="s">
        <v>87</v>
      </c>
      <c r="C559" s="205" t="s">
        <v>78</v>
      </c>
      <c r="D559" s="206">
        <v>38.032559999999997</v>
      </c>
      <c r="E559" s="206">
        <v>-122.13569</v>
      </c>
      <c r="F559" s="205" t="s">
        <v>7529</v>
      </c>
      <c r="G559" s="205" t="s">
        <v>80</v>
      </c>
      <c r="H559" s="205" t="s">
        <v>81</v>
      </c>
      <c r="I559" s="207">
        <v>0.32569444444444445</v>
      </c>
      <c r="J559" s="208">
        <v>999.2</v>
      </c>
      <c r="K559" s="208">
        <v>13.28</v>
      </c>
      <c r="L559" s="208">
        <v>65.760000000000005</v>
      </c>
      <c r="M559" s="208">
        <v>0.21</v>
      </c>
      <c r="N559" s="209">
        <v>17.760000000000002</v>
      </c>
      <c r="O559" s="205" t="s">
        <v>48</v>
      </c>
      <c r="P559" s="205">
        <v>5</v>
      </c>
      <c r="Q559" s="205">
        <v>5</v>
      </c>
      <c r="R559" s="205" t="s">
        <v>49</v>
      </c>
      <c r="S559" s="205" t="s">
        <v>31</v>
      </c>
      <c r="T559" s="205">
        <v>1</v>
      </c>
      <c r="U559" s="205">
        <v>79</v>
      </c>
      <c r="V559" s="205" t="s">
        <v>66</v>
      </c>
      <c r="W559" s="205" t="s">
        <v>50</v>
      </c>
      <c r="X559" s="205" t="s">
        <v>50</v>
      </c>
      <c r="Y559" s="210"/>
    </row>
    <row r="560" spans="1:25" s="205" customFormat="1" x14ac:dyDescent="0.25">
      <c r="A560" s="204">
        <v>43187</v>
      </c>
      <c r="B560" s="205" t="s">
        <v>87</v>
      </c>
      <c r="C560" s="205" t="s">
        <v>78</v>
      </c>
      <c r="D560" s="206">
        <v>38.057850000000002</v>
      </c>
      <c r="E560" s="206">
        <v>-122.10495</v>
      </c>
      <c r="F560" s="205" t="s">
        <v>7530</v>
      </c>
      <c r="G560" s="205" t="s">
        <v>80</v>
      </c>
      <c r="H560" s="205" t="s">
        <v>81</v>
      </c>
      <c r="I560" s="207">
        <v>0.37013888888888885</v>
      </c>
      <c r="J560" s="208">
        <v>489.64</v>
      </c>
      <c r="K560" s="208">
        <v>13.26</v>
      </c>
      <c r="L560" s="208">
        <v>65.56</v>
      </c>
      <c r="M560" s="208">
        <v>0.20599999999999999</v>
      </c>
      <c r="N560" s="209">
        <v>10.76</v>
      </c>
      <c r="O560" s="205" t="s">
        <v>48</v>
      </c>
      <c r="P560" s="205">
        <v>5</v>
      </c>
      <c r="Q560" s="205">
        <v>5</v>
      </c>
      <c r="R560" s="205" t="s">
        <v>64</v>
      </c>
      <c r="S560" s="205" t="s">
        <v>31</v>
      </c>
      <c r="T560" s="205">
        <v>1</v>
      </c>
      <c r="U560" s="205">
        <v>85</v>
      </c>
      <c r="V560" s="205" t="s">
        <v>66</v>
      </c>
      <c r="W560" s="205" t="s">
        <v>50</v>
      </c>
      <c r="X560" s="205" t="s">
        <v>50</v>
      </c>
      <c r="Y560" s="210"/>
    </row>
    <row r="561" spans="1:25" s="149" customFormat="1" x14ac:dyDescent="0.25">
      <c r="A561" s="178">
        <v>43187</v>
      </c>
      <c r="B561" s="149" t="s">
        <v>87</v>
      </c>
      <c r="C561" s="149" t="s">
        <v>78</v>
      </c>
      <c r="D561" s="150">
        <v>38.078710000000001</v>
      </c>
      <c r="E561" s="150">
        <v>-122.09048</v>
      </c>
      <c r="F561" s="149" t="s">
        <v>7531</v>
      </c>
      <c r="G561" s="149" t="s">
        <v>80</v>
      </c>
      <c r="H561" s="149" t="s">
        <v>81</v>
      </c>
      <c r="I561" s="151">
        <v>0.40972222222222227</v>
      </c>
      <c r="J561" s="197" t="s">
        <v>50</v>
      </c>
      <c r="K561" s="197" t="s">
        <v>50</v>
      </c>
      <c r="L561" s="197" t="s">
        <v>50</v>
      </c>
      <c r="M561" s="197" t="s">
        <v>50</v>
      </c>
      <c r="N561" s="197" t="s">
        <v>50</v>
      </c>
      <c r="O561" s="149" t="s">
        <v>48</v>
      </c>
      <c r="P561" s="149">
        <v>0</v>
      </c>
      <c r="Q561" s="149" t="s">
        <v>50</v>
      </c>
      <c r="R561" s="149" t="s">
        <v>50</v>
      </c>
      <c r="S561" s="149" t="s">
        <v>50</v>
      </c>
      <c r="T561" s="149" t="s">
        <v>50</v>
      </c>
      <c r="U561" s="149" t="s">
        <v>50</v>
      </c>
      <c r="V561" s="149" t="s">
        <v>50</v>
      </c>
      <c r="W561" s="149" t="s">
        <v>50</v>
      </c>
      <c r="X561" s="149" t="s">
        <v>50</v>
      </c>
      <c r="Y561" s="152" t="s">
        <v>7532</v>
      </c>
    </row>
    <row r="562" spans="1:25" s="27" customFormat="1" x14ac:dyDescent="0.25">
      <c r="A562" s="26">
        <v>43187</v>
      </c>
      <c r="B562" s="27" t="s">
        <v>87</v>
      </c>
      <c r="C562" s="27" t="s">
        <v>845</v>
      </c>
      <c r="D562" s="89">
        <v>38.314520000000002</v>
      </c>
      <c r="E562" s="89">
        <v>-121.66719999999999</v>
      </c>
      <c r="F562" s="27" t="s">
        <v>7533</v>
      </c>
      <c r="G562" s="27" t="s">
        <v>90</v>
      </c>
      <c r="H562" s="27" t="s">
        <v>126</v>
      </c>
      <c r="I562" s="84">
        <v>0.32291666666666669</v>
      </c>
      <c r="J562" s="82">
        <v>506.6</v>
      </c>
      <c r="K562" s="82">
        <v>14.36</v>
      </c>
      <c r="L562" s="82">
        <v>11.465999999999999</v>
      </c>
      <c r="M562" s="82">
        <v>0.89</v>
      </c>
      <c r="N562" s="4">
        <v>6.62</v>
      </c>
      <c r="O562" s="27" t="s">
        <v>48</v>
      </c>
      <c r="P562" s="27">
        <v>5</v>
      </c>
      <c r="Q562" s="27">
        <v>5</v>
      </c>
      <c r="R562" s="27" t="s">
        <v>49</v>
      </c>
      <c r="S562" s="27" t="s">
        <v>50</v>
      </c>
      <c r="T562" s="27" t="s">
        <v>50</v>
      </c>
      <c r="U562" s="27" t="s">
        <v>50</v>
      </c>
      <c r="V562" s="27" t="s">
        <v>50</v>
      </c>
      <c r="W562" s="27" t="s">
        <v>50</v>
      </c>
      <c r="X562" s="27" t="s">
        <v>50</v>
      </c>
      <c r="Y562" s="35"/>
    </row>
    <row r="563" spans="1:25" s="27" customFormat="1" x14ac:dyDescent="0.25">
      <c r="A563" s="26">
        <v>43187</v>
      </c>
      <c r="B563" s="27" t="s">
        <v>87</v>
      </c>
      <c r="C563" s="27" t="s">
        <v>845</v>
      </c>
      <c r="D563" s="89">
        <v>38.250700000000002</v>
      </c>
      <c r="E563" s="89">
        <v>-121.71908999999999</v>
      </c>
      <c r="F563" s="27" t="s">
        <v>7534</v>
      </c>
      <c r="G563" s="27" t="s">
        <v>90</v>
      </c>
      <c r="H563" s="27" t="s">
        <v>126</v>
      </c>
      <c r="I563" s="84">
        <v>0.39583333333333331</v>
      </c>
      <c r="J563" s="82">
        <v>224.54000000000002</v>
      </c>
      <c r="K563" s="82">
        <v>13.86</v>
      </c>
      <c r="L563" s="82">
        <v>3.9039999999999999</v>
      </c>
      <c r="M563" s="82">
        <v>1.8</v>
      </c>
      <c r="N563" s="4">
        <v>4.7399999999999993</v>
      </c>
      <c r="O563" s="27" t="s">
        <v>48</v>
      </c>
      <c r="P563" s="27">
        <v>5</v>
      </c>
      <c r="Q563" s="27">
        <v>5</v>
      </c>
      <c r="R563" s="27" t="s">
        <v>49</v>
      </c>
      <c r="S563" s="27" t="s">
        <v>50</v>
      </c>
      <c r="T563" s="27" t="s">
        <v>50</v>
      </c>
      <c r="U563" s="27" t="s">
        <v>50</v>
      </c>
      <c r="V563" s="27" t="s">
        <v>50</v>
      </c>
      <c r="W563" s="27" t="s">
        <v>50</v>
      </c>
      <c r="X563" s="27" t="s">
        <v>50</v>
      </c>
      <c r="Y563" s="35" t="s">
        <v>7535</v>
      </c>
    </row>
    <row r="564" spans="1:25" s="205" customFormat="1" x14ac:dyDescent="0.25">
      <c r="A564" s="204">
        <v>43187</v>
      </c>
      <c r="B564" s="205" t="s">
        <v>87</v>
      </c>
      <c r="C564" s="205" t="s">
        <v>6879</v>
      </c>
      <c r="D564" s="206">
        <v>38.107190000000003</v>
      </c>
      <c r="E564" s="206">
        <v>-121.5686</v>
      </c>
      <c r="F564" s="205" t="s">
        <v>7536</v>
      </c>
      <c r="G564" s="205" t="s">
        <v>46</v>
      </c>
      <c r="H564" s="205" t="s">
        <v>6881</v>
      </c>
      <c r="I564" s="207">
        <v>0.30902777777777779</v>
      </c>
      <c r="J564" s="208">
        <v>84.333333333333329</v>
      </c>
      <c r="K564" s="208">
        <v>12.1</v>
      </c>
      <c r="L564" s="208" t="s">
        <v>50</v>
      </c>
      <c r="M564" s="208">
        <v>0.43333333333333335</v>
      </c>
      <c r="N564" s="209">
        <v>3.1500000000000004</v>
      </c>
      <c r="O564" s="205" t="s">
        <v>48</v>
      </c>
      <c r="P564" s="205">
        <v>6</v>
      </c>
      <c r="Q564" s="205">
        <v>10</v>
      </c>
      <c r="R564" s="205" t="s">
        <v>49</v>
      </c>
      <c r="S564" s="205" t="s">
        <v>702</v>
      </c>
      <c r="T564" s="205">
        <v>2</v>
      </c>
      <c r="U564" s="205" t="s">
        <v>7537</v>
      </c>
      <c r="V564" s="205" t="s">
        <v>50</v>
      </c>
      <c r="W564" s="205">
        <v>2</v>
      </c>
      <c r="X564" s="205" t="s">
        <v>50</v>
      </c>
      <c r="Y564" s="210" t="s">
        <v>766</v>
      </c>
    </row>
    <row r="565" spans="1:25" s="27" customFormat="1" x14ac:dyDescent="0.25">
      <c r="A565" s="26">
        <v>43187</v>
      </c>
      <c r="B565" s="27" t="s">
        <v>87</v>
      </c>
      <c r="C565" s="27" t="s">
        <v>6879</v>
      </c>
      <c r="D565" s="89">
        <v>38.18383</v>
      </c>
      <c r="E565" s="89">
        <v>-121.48759</v>
      </c>
      <c r="F565" s="27" t="s">
        <v>7538</v>
      </c>
      <c r="G565" s="27" t="s">
        <v>46</v>
      </c>
      <c r="H565" s="27" t="s">
        <v>6881</v>
      </c>
      <c r="I565" s="84">
        <v>0.40277777777777773</v>
      </c>
      <c r="J565" s="82">
        <v>89.433333333333323</v>
      </c>
      <c r="K565" s="82">
        <v>13.133333333333333</v>
      </c>
      <c r="L565" s="82">
        <v>18.616666666666664</v>
      </c>
      <c r="M565" s="82">
        <v>0.51333333333333331</v>
      </c>
      <c r="N565" s="4">
        <v>3.5166666666666662</v>
      </c>
      <c r="O565" s="27" t="s">
        <v>48</v>
      </c>
      <c r="P565" s="27">
        <v>6</v>
      </c>
      <c r="Q565" s="27">
        <v>10</v>
      </c>
      <c r="R565" s="27" t="s">
        <v>49</v>
      </c>
      <c r="S565" s="27" t="s">
        <v>50</v>
      </c>
      <c r="T565" s="27" t="s">
        <v>50</v>
      </c>
      <c r="U565" s="27" t="s">
        <v>50</v>
      </c>
      <c r="V565" s="27" t="s">
        <v>50</v>
      </c>
      <c r="W565" s="27" t="s">
        <v>50</v>
      </c>
      <c r="X565" s="27" t="s">
        <v>50</v>
      </c>
      <c r="Y565" s="35"/>
    </row>
    <row r="566" spans="1:25" s="27" customFormat="1" x14ac:dyDescent="0.25">
      <c r="A566" s="26">
        <v>43187</v>
      </c>
      <c r="B566" s="27" t="s">
        <v>87</v>
      </c>
      <c r="C566" s="27" t="s">
        <v>78</v>
      </c>
      <c r="D566" s="89">
        <v>38.059579999999997</v>
      </c>
      <c r="E566" s="89">
        <v>-122.04559</v>
      </c>
      <c r="F566" s="27" t="s">
        <v>7539</v>
      </c>
      <c r="G566" s="27" t="s">
        <v>27</v>
      </c>
      <c r="H566" s="27" t="s">
        <v>86</v>
      </c>
      <c r="I566" s="84">
        <v>0.42569444444444443</v>
      </c>
      <c r="J566" s="82">
        <v>286.5</v>
      </c>
      <c r="K566" s="82">
        <v>13.419999999999998</v>
      </c>
      <c r="L566" s="82">
        <v>36.619999999999997</v>
      </c>
      <c r="M566" s="82">
        <v>0.28399999999999997</v>
      </c>
      <c r="N566" s="4">
        <v>12.66</v>
      </c>
      <c r="O566" s="27" t="s">
        <v>48</v>
      </c>
      <c r="P566" s="27">
        <v>5</v>
      </c>
      <c r="Q566" s="27">
        <v>5</v>
      </c>
      <c r="R566" s="27" t="s">
        <v>64</v>
      </c>
      <c r="S566" s="27" t="s">
        <v>50</v>
      </c>
      <c r="T566" s="27" t="s">
        <v>50</v>
      </c>
      <c r="U566" s="27" t="s">
        <v>50</v>
      </c>
      <c r="V566" s="27" t="s">
        <v>50</v>
      </c>
      <c r="W566" s="27" t="s">
        <v>50</v>
      </c>
      <c r="X566" s="27" t="s">
        <v>50</v>
      </c>
      <c r="Y566" s="35"/>
    </row>
    <row r="567" spans="1:25" s="27" customFormat="1" x14ac:dyDescent="0.25">
      <c r="A567" s="26">
        <v>43188</v>
      </c>
      <c r="B567" s="27" t="s">
        <v>105</v>
      </c>
      <c r="C567" s="27" t="s">
        <v>78</v>
      </c>
      <c r="D567" s="89">
        <v>38.06671</v>
      </c>
      <c r="E567" s="89">
        <v>-121.98281</v>
      </c>
      <c r="F567" s="27" t="s">
        <v>7540</v>
      </c>
      <c r="G567" s="27" t="s">
        <v>27</v>
      </c>
      <c r="H567" s="27" t="s">
        <v>86</v>
      </c>
      <c r="I567" s="84">
        <v>0.33888888888888885</v>
      </c>
      <c r="J567" s="82">
        <v>175.72</v>
      </c>
      <c r="K567" s="82">
        <v>13.26</v>
      </c>
      <c r="L567" s="82">
        <v>35.64</v>
      </c>
      <c r="M567" s="82">
        <v>0.35399999999999998</v>
      </c>
      <c r="N567" s="4">
        <v>5.16</v>
      </c>
      <c r="O567" s="27" t="s">
        <v>48</v>
      </c>
      <c r="P567" s="27">
        <v>5</v>
      </c>
      <c r="Q567" s="27">
        <v>5</v>
      </c>
      <c r="R567" s="27" t="s">
        <v>49</v>
      </c>
      <c r="S567" s="27" t="s">
        <v>50</v>
      </c>
      <c r="T567" s="27" t="s">
        <v>50</v>
      </c>
      <c r="U567" s="27" t="s">
        <v>50</v>
      </c>
      <c r="V567" s="27" t="s">
        <v>50</v>
      </c>
      <c r="W567" s="27" t="s">
        <v>50</v>
      </c>
      <c r="X567" s="27" t="s">
        <v>50</v>
      </c>
      <c r="Y567" s="35"/>
    </row>
    <row r="568" spans="1:25" s="205" customFormat="1" x14ac:dyDescent="0.25">
      <c r="A568" s="204">
        <v>43188</v>
      </c>
      <c r="B568" s="205" t="s">
        <v>105</v>
      </c>
      <c r="C568" s="205" t="s">
        <v>78</v>
      </c>
      <c r="D568" s="206">
        <v>38.071109999999997</v>
      </c>
      <c r="E568" s="206">
        <v>-121.99654</v>
      </c>
      <c r="F568" s="205" t="s">
        <v>7541</v>
      </c>
      <c r="G568" s="205" t="s">
        <v>27</v>
      </c>
      <c r="H568" s="205" t="s">
        <v>86</v>
      </c>
      <c r="I568" s="207">
        <v>0.37986111111111115</v>
      </c>
      <c r="J568" s="208">
        <v>177.66</v>
      </c>
      <c r="K568" s="208">
        <v>13.32</v>
      </c>
      <c r="L568" s="208">
        <v>29.88</v>
      </c>
      <c r="M568" s="208">
        <v>0.35399999999999998</v>
      </c>
      <c r="N568" s="209">
        <v>3.9</v>
      </c>
      <c r="O568" s="205" t="s">
        <v>48</v>
      </c>
      <c r="P568" s="205">
        <v>5</v>
      </c>
      <c r="Q568" s="205">
        <v>5</v>
      </c>
      <c r="R568" s="205" t="s">
        <v>49</v>
      </c>
      <c r="S568" s="205" t="s">
        <v>702</v>
      </c>
      <c r="T568" s="205">
        <v>1</v>
      </c>
      <c r="U568" s="205">
        <v>36</v>
      </c>
      <c r="V568" s="205" t="s">
        <v>50</v>
      </c>
      <c r="W568" s="205">
        <v>2</v>
      </c>
      <c r="X568" s="205" t="s">
        <v>50</v>
      </c>
      <c r="Y568" s="210"/>
    </row>
    <row r="569" spans="1:25" s="205" customFormat="1" x14ac:dyDescent="0.25">
      <c r="A569" s="204">
        <v>43188</v>
      </c>
      <c r="B569" s="205" t="s">
        <v>105</v>
      </c>
      <c r="C569" s="205" t="s">
        <v>78</v>
      </c>
      <c r="D569" s="206">
        <v>38.06588</v>
      </c>
      <c r="E569" s="206">
        <v>-121.85312999999999</v>
      </c>
      <c r="F569" s="205" t="s">
        <v>7542</v>
      </c>
      <c r="G569" s="205" t="s">
        <v>27</v>
      </c>
      <c r="H569" s="205" t="s">
        <v>101</v>
      </c>
      <c r="I569" s="207">
        <v>0.44722222222222219</v>
      </c>
      <c r="J569" s="208">
        <v>151.96</v>
      </c>
      <c r="K569" s="208">
        <v>13.34</v>
      </c>
      <c r="L569" s="208">
        <v>16.88</v>
      </c>
      <c r="M569" s="208">
        <v>0.46400000000000002</v>
      </c>
      <c r="N569" s="209">
        <v>10.34</v>
      </c>
      <c r="O569" s="205" t="s">
        <v>48</v>
      </c>
      <c r="P569" s="205">
        <v>5</v>
      </c>
      <c r="Q569" s="205">
        <v>5</v>
      </c>
      <c r="R569" s="205" t="s">
        <v>64</v>
      </c>
      <c r="S569" s="205" t="s">
        <v>348</v>
      </c>
      <c r="T569" s="205">
        <v>2</v>
      </c>
      <c r="U569" s="205" t="s">
        <v>7543</v>
      </c>
      <c r="V569" s="205" t="s">
        <v>50</v>
      </c>
      <c r="W569" s="205">
        <v>5</v>
      </c>
      <c r="X569" s="205" t="s">
        <v>2525</v>
      </c>
      <c r="Y569" s="210" t="s">
        <v>7544</v>
      </c>
    </row>
    <row r="570" spans="1:25" s="27" customFormat="1" x14ac:dyDescent="0.25">
      <c r="A570" s="26">
        <v>43188</v>
      </c>
      <c r="B570" s="27" t="s">
        <v>105</v>
      </c>
      <c r="C570" s="27" t="s">
        <v>44</v>
      </c>
      <c r="D570" s="89">
        <v>38.021639999999998</v>
      </c>
      <c r="E570" s="89">
        <v>-121.56149000000001</v>
      </c>
      <c r="F570" s="27" t="s">
        <v>7545</v>
      </c>
      <c r="G570" s="27" t="s">
        <v>46</v>
      </c>
      <c r="H570" s="27" t="s">
        <v>74</v>
      </c>
      <c r="I570" s="84">
        <v>0.32569444444444445</v>
      </c>
      <c r="J570" s="82">
        <v>219.5</v>
      </c>
      <c r="K570" s="82">
        <v>14.4</v>
      </c>
      <c r="L570" s="82">
        <v>7.4420000000000002</v>
      </c>
      <c r="M570" s="82">
        <v>1.284</v>
      </c>
      <c r="N570" s="4">
        <v>8.42</v>
      </c>
      <c r="O570" s="27" t="s">
        <v>48</v>
      </c>
      <c r="P570" s="27">
        <v>6</v>
      </c>
      <c r="Q570" s="27">
        <v>10</v>
      </c>
      <c r="R570" s="27" t="s">
        <v>49</v>
      </c>
      <c r="S570" s="27" t="s">
        <v>50</v>
      </c>
      <c r="T570" s="27" t="s">
        <v>50</v>
      </c>
      <c r="U570" s="27" t="s">
        <v>50</v>
      </c>
      <c r="V570" s="27" t="s">
        <v>50</v>
      </c>
      <c r="W570" s="27" t="s">
        <v>50</v>
      </c>
      <c r="X570" s="27" t="s">
        <v>50</v>
      </c>
      <c r="Y570" s="35"/>
    </row>
    <row r="571" spans="1:25" s="27" customFormat="1" x14ac:dyDescent="0.25">
      <c r="A571" s="26">
        <v>43188</v>
      </c>
      <c r="B571" s="27" t="s">
        <v>105</v>
      </c>
      <c r="C571" s="27" t="s">
        <v>44</v>
      </c>
      <c r="D571" s="89">
        <v>38.037570000000002</v>
      </c>
      <c r="E571" s="89">
        <v>-121.48472</v>
      </c>
      <c r="F571" s="27" t="s">
        <v>7546</v>
      </c>
      <c r="G571" s="27" t="s">
        <v>46</v>
      </c>
      <c r="H571" s="27" t="s">
        <v>6840</v>
      </c>
      <c r="I571" s="84">
        <v>0.39930555555555558</v>
      </c>
      <c r="J571" s="82">
        <v>228.23330000000001</v>
      </c>
      <c r="K571" s="82">
        <v>14.73333</v>
      </c>
      <c r="L571" s="82">
        <v>13.48333</v>
      </c>
      <c r="M571" s="82">
        <v>0.83666700000000005</v>
      </c>
      <c r="N571" s="4">
        <v>5.9666670000000002</v>
      </c>
      <c r="O571" s="27" t="s">
        <v>48</v>
      </c>
      <c r="P571" s="27">
        <v>6</v>
      </c>
      <c r="Q571" s="27">
        <v>10</v>
      </c>
      <c r="R571" s="27" t="s">
        <v>49</v>
      </c>
      <c r="S571" s="27" t="s">
        <v>50</v>
      </c>
      <c r="T571" s="27" t="s">
        <v>50</v>
      </c>
      <c r="U571" s="27" t="s">
        <v>50</v>
      </c>
      <c r="V571" s="27" t="s">
        <v>50</v>
      </c>
      <c r="W571" s="27" t="s">
        <v>50</v>
      </c>
      <c r="X571" s="27" t="s">
        <v>50</v>
      </c>
      <c r="Y571" s="35"/>
    </row>
    <row r="572" spans="1:25" s="205" customFormat="1" x14ac:dyDescent="0.25">
      <c r="A572" s="204">
        <v>43188</v>
      </c>
      <c r="B572" s="205" t="s">
        <v>105</v>
      </c>
      <c r="C572" s="205" t="s">
        <v>6849</v>
      </c>
      <c r="D572" s="206">
        <v>38.54815</v>
      </c>
      <c r="E572" s="206">
        <v>-121.51259</v>
      </c>
      <c r="F572" s="205" t="s">
        <v>7547</v>
      </c>
      <c r="G572" s="205" t="s">
        <v>90</v>
      </c>
      <c r="H572" s="205" t="s">
        <v>6851</v>
      </c>
      <c r="I572" s="207">
        <v>0.37291666666666662</v>
      </c>
      <c r="J572" s="208">
        <v>79.566670000000002</v>
      </c>
      <c r="K572" s="208">
        <v>12.7</v>
      </c>
      <c r="L572" s="208">
        <v>35.9</v>
      </c>
      <c r="M572" s="208">
        <v>0.495</v>
      </c>
      <c r="N572" s="209">
        <v>7.6333330000000004</v>
      </c>
      <c r="O572" s="205" t="s">
        <v>48</v>
      </c>
      <c r="P572" s="205">
        <v>6</v>
      </c>
      <c r="Q572" s="205">
        <v>10</v>
      </c>
      <c r="R572" s="205" t="s">
        <v>49</v>
      </c>
      <c r="S572" s="205" t="s">
        <v>348</v>
      </c>
      <c r="T572" s="205">
        <v>6</v>
      </c>
      <c r="U572" s="205" t="s">
        <v>7548</v>
      </c>
      <c r="V572" s="205" t="s">
        <v>50</v>
      </c>
      <c r="W572" s="205">
        <v>4</v>
      </c>
      <c r="X572" s="205" t="s">
        <v>2525</v>
      </c>
      <c r="Y572" s="210" t="s">
        <v>7549</v>
      </c>
    </row>
    <row r="573" spans="1:25" s="205" customFormat="1" x14ac:dyDescent="0.25">
      <c r="A573" s="204">
        <v>43188</v>
      </c>
      <c r="B573" s="205" t="s">
        <v>105</v>
      </c>
      <c r="C573" s="205" t="s">
        <v>6849</v>
      </c>
      <c r="D573" s="206">
        <v>38.54815</v>
      </c>
      <c r="E573" s="206">
        <v>-121.51259</v>
      </c>
      <c r="F573" s="205" t="s">
        <v>7547</v>
      </c>
      <c r="G573" s="205" t="s">
        <v>90</v>
      </c>
      <c r="H573" s="205" t="s">
        <v>6851</v>
      </c>
      <c r="J573" s="208"/>
      <c r="K573" s="208"/>
      <c r="L573" s="208"/>
      <c r="M573" s="208"/>
      <c r="N573" s="209"/>
      <c r="S573" s="205" t="s">
        <v>702</v>
      </c>
      <c r="T573" s="205">
        <v>3</v>
      </c>
      <c r="U573" s="205" t="s">
        <v>7550</v>
      </c>
      <c r="V573" s="205" t="s">
        <v>50</v>
      </c>
      <c r="W573" s="205">
        <v>4</v>
      </c>
      <c r="X573" s="205" t="s">
        <v>50</v>
      </c>
      <c r="Y573" s="210"/>
    </row>
    <row r="574" spans="1:25" s="205" customFormat="1" x14ac:dyDescent="0.25">
      <c r="A574" s="204">
        <v>43188</v>
      </c>
      <c r="B574" s="205" t="s">
        <v>105</v>
      </c>
      <c r="C574" s="205" t="s">
        <v>6849</v>
      </c>
      <c r="D574" s="206">
        <v>38.491549999999997</v>
      </c>
      <c r="E574" s="206">
        <v>-121.55488</v>
      </c>
      <c r="F574" s="205" t="s">
        <v>7551</v>
      </c>
      <c r="G574" s="205" t="s">
        <v>90</v>
      </c>
      <c r="H574" s="205" t="s">
        <v>6851</v>
      </c>
      <c r="I574" s="207">
        <v>0.47638888888888892</v>
      </c>
      <c r="J574" s="208">
        <v>78.8</v>
      </c>
      <c r="K574" s="208">
        <v>12.783329999999999</v>
      </c>
      <c r="L574" s="208">
        <v>37.933329999999998</v>
      </c>
      <c r="M574" s="208">
        <v>0.47833300000000001</v>
      </c>
      <c r="N574" s="209">
        <v>6.85</v>
      </c>
      <c r="O574" s="205" t="s">
        <v>48</v>
      </c>
      <c r="P574" s="205">
        <v>6</v>
      </c>
      <c r="Q574" s="205">
        <v>10</v>
      </c>
      <c r="R574" s="205" t="s">
        <v>49</v>
      </c>
      <c r="S574" s="205" t="s">
        <v>702</v>
      </c>
      <c r="T574" s="205">
        <v>4</v>
      </c>
      <c r="U574" s="205" t="s">
        <v>7552</v>
      </c>
      <c r="V574" s="205" t="s">
        <v>50</v>
      </c>
      <c r="W574" s="205">
        <v>3</v>
      </c>
      <c r="X574" s="205" t="s">
        <v>50</v>
      </c>
      <c r="Y574" s="210"/>
    </row>
    <row r="575" spans="1:25" s="205" customFormat="1" x14ac:dyDescent="0.25">
      <c r="A575" s="204">
        <v>43188</v>
      </c>
      <c r="B575" s="205" t="s">
        <v>105</v>
      </c>
      <c r="C575" s="205" t="s">
        <v>6849</v>
      </c>
      <c r="D575" s="206">
        <v>38.491549999999997</v>
      </c>
      <c r="E575" s="206">
        <v>-121.55488</v>
      </c>
      <c r="F575" s="205" t="s">
        <v>7551</v>
      </c>
      <c r="G575" s="205" t="s">
        <v>90</v>
      </c>
      <c r="H575" s="205" t="s">
        <v>6851</v>
      </c>
      <c r="J575" s="208"/>
      <c r="K575" s="208"/>
      <c r="L575" s="208"/>
      <c r="M575" s="208"/>
      <c r="N575" s="209"/>
      <c r="S575" s="205" t="s">
        <v>348</v>
      </c>
      <c r="T575" s="205">
        <v>1</v>
      </c>
      <c r="U575" s="205">
        <v>90</v>
      </c>
      <c r="V575" s="205" t="s">
        <v>50</v>
      </c>
      <c r="W575" s="205">
        <v>4</v>
      </c>
      <c r="X575" s="205" t="s">
        <v>2525</v>
      </c>
      <c r="Y575" s="210" t="s">
        <v>575</v>
      </c>
    </row>
  </sheetData>
  <conditionalFormatting sqref="S1:S2">
    <cfRule type="cellIs" dxfId="907" priority="1" operator="equal">
      <formula>"DSM"</formula>
    </cfRule>
  </conditionalFormatting>
  <conditionalFormatting sqref="A3:V48 Y51:XFD55 Y3:XFD48 Z49:XFD50 A49:R52 Y57:XFD57 Z56:XFD56 Y60:XFD61 Z58:XFD59 A53:V61 A62:I62 Y63:XFD67 Z62:XFD62 A63:R64 A65:V65 A66:R68 A69:I69 Z68:XFD69 A70:R71 Y70:XFD81 A72:V77 A78:R81 A82:I82 AA82:XFD82 A83:R93 Y83:XFD93 A94:I94 Y95:XFD99 Z94:XFD94 A95:R99 A101:R104 A100:I100 Z100:XFD100 Y101:XFD115 A116:XFD122 A105:X115 A123:V124 P126:V126 R127:V127 A125:N128 S128:V128 F139:V139 A139:D139 Y149:XFD168 Z148:XFD148 Y147:XFD147 Z146:XFD146 A129:V138 Y123:XFD145 W126:X166 A140:V166 A167:R168 A169:I169 Z169:XFD169 A170:R172 Y170:XFD172 A173:XFD173 A174:R175 Y174:XFD175 A176:I176 Z176:XFD176 A177:R182 Y177:XFD182 A183:XFD183 A185:XFD189 A184:E184 A190:E190 G184:XFD184 G190:XFD190 A241:I241 Z241:XFD241 A191:XFD240 A242:XFD283 A285:XFD296 C297:XFD297 A298:XFD299 C300:XFD300 A301:XFD325 A326:K326 M326:XFD326 A327:XFD426 A427:C428 Y427:XFD428 A429:XFD445 F462:H462 C462 S462:X462">
    <cfRule type="expression" dxfId="906" priority="858">
      <formula>$S3="DSM"</formula>
    </cfRule>
    <cfRule type="expression" dxfId="905" priority="859">
      <formula>SEARCH("GST",$S3)</formula>
    </cfRule>
    <cfRule type="expression" dxfId="904" priority="860">
      <formula>SEARCH("RBT",$S3)</formula>
    </cfRule>
    <cfRule type="expression" dxfId="903" priority="861">
      <formula>SEARCH("LFS",$S3)</formula>
    </cfRule>
    <cfRule type="expression" dxfId="902" priority="862">
      <formula>SEARCH("CHN",$S3)</formula>
    </cfRule>
  </conditionalFormatting>
  <conditionalFormatting sqref="S3:S48 S53:S61 S65 S72:S77 S105:S124 S126:S166 S173 S183:S240 S242:S283 S285:S426 S429:S445 S475:S503 S505:S506 S510 S512:S525 S529:S530 S532 S534:S535 S537:S540 S546:S548 S550 S552:S554 S557:S560 S562:S569 S572:S575">
    <cfRule type="cellIs" dxfId="901" priority="857" operator="equal">
      <formula>"DSM"</formula>
    </cfRule>
  </conditionalFormatting>
  <conditionalFormatting sqref="S3:S48 S53:S61 S65 S72:S77 S105:S124 S126:S166 S173 S183:S240 S242:S283 S285:S426 S429:S445 S462">
    <cfRule type="expression" dxfId="900" priority="853">
      <formula>SEARCH("RBT",$S3)</formula>
    </cfRule>
    <cfRule type="expression" dxfId="899" priority="854">
      <formula>SEARCH("GST",$S3)</formula>
    </cfRule>
    <cfRule type="expression" dxfId="898" priority="855">
      <formula>SEARCH("CHN",$S3)</formula>
    </cfRule>
    <cfRule type="expression" dxfId="897" priority="856">
      <formula>SEARCH("LFS",$S3)</formula>
    </cfRule>
  </conditionalFormatting>
  <conditionalFormatting sqref="X3:X48 X53:X61 X65 X72:X77 X123:X124">
    <cfRule type="expression" dxfId="896" priority="848">
      <formula>$S3="DSM"</formula>
    </cfRule>
    <cfRule type="expression" dxfId="895" priority="849">
      <formula>SEARCH("GST",$S3)</formula>
    </cfRule>
    <cfRule type="expression" dxfId="894" priority="850">
      <formula>SEARCH("RBT",$S3)</formula>
    </cfRule>
    <cfRule type="expression" dxfId="893" priority="851">
      <formula>SEARCH("LFS",$S3)</formula>
    </cfRule>
    <cfRule type="expression" dxfId="892" priority="852">
      <formula>SEARCH("CHN",$S3)</formula>
    </cfRule>
  </conditionalFormatting>
  <conditionalFormatting sqref="W3:W48 W53:W61 W65 W72:W77 W123:W124">
    <cfRule type="expression" dxfId="891" priority="843">
      <formula>$S3="DSM"</formula>
    </cfRule>
    <cfRule type="expression" dxfId="890" priority="844">
      <formula>SEARCH("GST",$S3)</formula>
    </cfRule>
    <cfRule type="expression" dxfId="889" priority="845">
      <formula>SEARCH("RBT",$S3)</formula>
    </cfRule>
    <cfRule type="expression" dxfId="888" priority="846">
      <formula>SEARCH("LFS",$S3)</formula>
    </cfRule>
    <cfRule type="expression" dxfId="887" priority="847">
      <formula>SEARCH("CHN",$S3)</formula>
    </cfRule>
  </conditionalFormatting>
  <conditionalFormatting sqref="S49:V52">
    <cfRule type="expression" dxfId="886" priority="838">
      <formula>$S49="DSM"</formula>
    </cfRule>
    <cfRule type="expression" dxfId="885" priority="839">
      <formula>SEARCH("GST",$S49)</formula>
    </cfRule>
    <cfRule type="expression" dxfId="884" priority="840">
      <formula>SEARCH("RBT",$S49)</formula>
    </cfRule>
    <cfRule type="expression" dxfId="883" priority="841">
      <formula>SEARCH("LFS",$S49)</formula>
    </cfRule>
    <cfRule type="expression" dxfId="882" priority="842">
      <formula>SEARCH("CHN",$S49)</formula>
    </cfRule>
  </conditionalFormatting>
  <conditionalFormatting sqref="S49:S52">
    <cfRule type="cellIs" dxfId="881" priority="837" operator="equal">
      <formula>"DSM"</formula>
    </cfRule>
  </conditionalFormatting>
  <conditionalFormatting sqref="S49:S52">
    <cfRule type="expression" dxfId="880" priority="833">
      <formula>SEARCH("RBT",$S49)</formula>
    </cfRule>
    <cfRule type="expression" dxfId="879" priority="834">
      <formula>SEARCH("GST",$S49)</formula>
    </cfRule>
    <cfRule type="expression" dxfId="878" priority="835">
      <formula>SEARCH("CHN",$S49)</formula>
    </cfRule>
    <cfRule type="expression" dxfId="877" priority="836">
      <formula>SEARCH("LFS",$S49)</formula>
    </cfRule>
  </conditionalFormatting>
  <conditionalFormatting sqref="X49:X52">
    <cfRule type="expression" dxfId="876" priority="828">
      <formula>$S49="DSM"</formula>
    </cfRule>
    <cfRule type="expression" dxfId="875" priority="829">
      <formula>SEARCH("GST",$S49)</formula>
    </cfRule>
    <cfRule type="expression" dxfId="874" priority="830">
      <formula>SEARCH("RBT",$S49)</formula>
    </cfRule>
    <cfRule type="expression" dxfId="873" priority="831">
      <formula>SEARCH("LFS",$S49)</formula>
    </cfRule>
    <cfRule type="expression" dxfId="872" priority="832">
      <formula>SEARCH("CHN",$S49)</formula>
    </cfRule>
  </conditionalFormatting>
  <conditionalFormatting sqref="W49:W52">
    <cfRule type="expression" dxfId="871" priority="823">
      <formula>$S49="DSM"</formula>
    </cfRule>
    <cfRule type="expression" dxfId="870" priority="824">
      <formula>SEARCH("GST",$S49)</formula>
    </cfRule>
    <cfRule type="expression" dxfId="869" priority="825">
      <formula>SEARCH("RBT",$S49)</formula>
    </cfRule>
    <cfRule type="expression" dxfId="868" priority="826">
      <formula>SEARCH("LFS",$S49)</formula>
    </cfRule>
    <cfRule type="expression" dxfId="867" priority="827">
      <formula>SEARCH("CHN",$S49)</formula>
    </cfRule>
  </conditionalFormatting>
  <conditionalFormatting sqref="Y50">
    <cfRule type="expression" dxfId="866" priority="863">
      <formula>$S49="DSM"</formula>
    </cfRule>
    <cfRule type="expression" dxfId="865" priority="864">
      <formula>SEARCH("GST",$S49)</formula>
    </cfRule>
    <cfRule type="expression" dxfId="864" priority="865">
      <formula>SEARCH("RBT",$S49)</formula>
    </cfRule>
    <cfRule type="expression" dxfId="863" priority="866">
      <formula>SEARCH("LFS",$S49)</formula>
    </cfRule>
    <cfRule type="expression" dxfId="862" priority="867">
      <formula>SEARCH("CHN",$S49)</formula>
    </cfRule>
  </conditionalFormatting>
  <conditionalFormatting sqref="Y56">
    <cfRule type="expression" dxfId="861" priority="818">
      <formula>$S55="DSM"</formula>
    </cfRule>
    <cfRule type="expression" dxfId="860" priority="819">
      <formula>SEARCH("GST",$S55)</formula>
    </cfRule>
    <cfRule type="expression" dxfId="859" priority="820">
      <formula>SEARCH("RBT",$S55)</formula>
    </cfRule>
    <cfRule type="expression" dxfId="858" priority="821">
      <formula>SEARCH("LFS",$S55)</formula>
    </cfRule>
    <cfRule type="expression" dxfId="857" priority="822">
      <formula>SEARCH("CHN",$S55)</formula>
    </cfRule>
  </conditionalFormatting>
  <conditionalFormatting sqref="Y58">
    <cfRule type="expression" dxfId="856" priority="813">
      <formula>$S57="DSM"</formula>
    </cfRule>
    <cfRule type="expression" dxfId="855" priority="814">
      <formula>SEARCH("GST",$S57)</formula>
    </cfRule>
    <cfRule type="expression" dxfId="854" priority="815">
      <formula>SEARCH("RBT",$S57)</formula>
    </cfRule>
    <cfRule type="expression" dxfId="853" priority="816">
      <formula>SEARCH("LFS",$S57)</formula>
    </cfRule>
    <cfRule type="expression" dxfId="852" priority="817">
      <formula>SEARCH("CHN",$S57)</formula>
    </cfRule>
  </conditionalFormatting>
  <conditionalFormatting sqref="Y59">
    <cfRule type="expression" dxfId="851" priority="808">
      <formula>$S58="DSM"</formula>
    </cfRule>
    <cfRule type="expression" dxfId="850" priority="809">
      <formula>SEARCH("GST",$S58)</formula>
    </cfRule>
    <cfRule type="expression" dxfId="849" priority="810">
      <formula>SEARCH("RBT",$S58)</formula>
    </cfRule>
    <cfRule type="expression" dxfId="848" priority="811">
      <formula>SEARCH("LFS",$S58)</formula>
    </cfRule>
    <cfRule type="expression" dxfId="847" priority="812">
      <formula>SEARCH("CHN",$S58)</formula>
    </cfRule>
  </conditionalFormatting>
  <conditionalFormatting sqref="Y62 J62:V62 S63:V64">
    <cfRule type="expression" dxfId="846" priority="803">
      <formula>$S62="DSM"</formula>
    </cfRule>
    <cfRule type="expression" dxfId="845" priority="804">
      <formula>SEARCH("GST",$S62)</formula>
    </cfRule>
    <cfRule type="expression" dxfId="844" priority="805">
      <formula>SEARCH("RBT",$S62)</formula>
    </cfRule>
    <cfRule type="expression" dxfId="843" priority="806">
      <formula>SEARCH("LFS",$S62)</formula>
    </cfRule>
    <cfRule type="expression" dxfId="842" priority="807">
      <formula>SEARCH("CHN",$S62)</formula>
    </cfRule>
  </conditionalFormatting>
  <conditionalFormatting sqref="S62:S64">
    <cfRule type="cellIs" dxfId="841" priority="802" operator="equal">
      <formula>"DSM"</formula>
    </cfRule>
  </conditionalFormatting>
  <conditionalFormatting sqref="S62:S64">
    <cfRule type="expression" dxfId="840" priority="798">
      <formula>SEARCH("RBT",$S62)</formula>
    </cfRule>
    <cfRule type="expression" dxfId="839" priority="799">
      <formula>SEARCH("GST",$S62)</formula>
    </cfRule>
    <cfRule type="expression" dxfId="838" priority="800">
      <formula>SEARCH("CHN",$S62)</formula>
    </cfRule>
    <cfRule type="expression" dxfId="837" priority="801">
      <formula>SEARCH("LFS",$S62)</formula>
    </cfRule>
  </conditionalFormatting>
  <conditionalFormatting sqref="X62:X64">
    <cfRule type="expression" dxfId="836" priority="793">
      <formula>$S62="DSM"</formula>
    </cfRule>
    <cfRule type="expression" dxfId="835" priority="794">
      <formula>SEARCH("GST",$S62)</formula>
    </cfRule>
    <cfRule type="expression" dxfId="834" priority="795">
      <formula>SEARCH("RBT",$S62)</formula>
    </cfRule>
    <cfRule type="expression" dxfId="833" priority="796">
      <formula>SEARCH("LFS",$S62)</formula>
    </cfRule>
    <cfRule type="expression" dxfId="832" priority="797">
      <formula>SEARCH("CHN",$S62)</formula>
    </cfRule>
  </conditionalFormatting>
  <conditionalFormatting sqref="W62:W64">
    <cfRule type="expression" dxfId="831" priority="788">
      <formula>$S62="DSM"</formula>
    </cfRule>
    <cfRule type="expression" dxfId="830" priority="789">
      <formula>SEARCH("GST",$S62)</formula>
    </cfRule>
    <cfRule type="expression" dxfId="829" priority="790">
      <formula>SEARCH("RBT",$S62)</formula>
    </cfRule>
    <cfRule type="expression" dxfId="828" priority="791">
      <formula>SEARCH("LFS",$S62)</formula>
    </cfRule>
    <cfRule type="expression" dxfId="827" priority="792">
      <formula>SEARCH("CHN",$S62)</formula>
    </cfRule>
  </conditionalFormatting>
  <conditionalFormatting sqref="S66:V68">
    <cfRule type="expression" dxfId="826" priority="783">
      <formula>$S66="DSM"</formula>
    </cfRule>
    <cfRule type="expression" dxfId="825" priority="784">
      <formula>SEARCH("GST",$S66)</formula>
    </cfRule>
    <cfRule type="expression" dxfId="824" priority="785">
      <formula>SEARCH("RBT",$S66)</formula>
    </cfRule>
    <cfRule type="expression" dxfId="823" priority="786">
      <formula>SEARCH("LFS",$S66)</formula>
    </cfRule>
    <cfRule type="expression" dxfId="822" priority="787">
      <formula>SEARCH("CHN",$S66)</formula>
    </cfRule>
  </conditionalFormatting>
  <conditionalFormatting sqref="S66:S68">
    <cfRule type="cellIs" dxfId="821" priority="782" operator="equal">
      <formula>"DSM"</formula>
    </cfRule>
  </conditionalFormatting>
  <conditionalFormatting sqref="S66:S68">
    <cfRule type="expression" dxfId="820" priority="778">
      <formula>SEARCH("RBT",$S66)</formula>
    </cfRule>
    <cfRule type="expression" dxfId="819" priority="779">
      <formula>SEARCH("GST",$S66)</formula>
    </cfRule>
    <cfRule type="expression" dxfId="818" priority="780">
      <formula>SEARCH("CHN",$S66)</formula>
    </cfRule>
    <cfRule type="expression" dxfId="817" priority="781">
      <formula>SEARCH("LFS",$S66)</formula>
    </cfRule>
  </conditionalFormatting>
  <conditionalFormatting sqref="X66:X68">
    <cfRule type="expression" dxfId="816" priority="773">
      <formula>$S66="DSM"</formula>
    </cfRule>
    <cfRule type="expression" dxfId="815" priority="774">
      <formula>SEARCH("GST",$S66)</formula>
    </cfRule>
    <cfRule type="expression" dxfId="814" priority="775">
      <formula>SEARCH("RBT",$S66)</formula>
    </cfRule>
    <cfRule type="expression" dxfId="813" priority="776">
      <formula>SEARCH("LFS",$S66)</formula>
    </cfRule>
    <cfRule type="expression" dxfId="812" priority="777">
      <formula>SEARCH("CHN",$S66)</formula>
    </cfRule>
  </conditionalFormatting>
  <conditionalFormatting sqref="W66:W68">
    <cfRule type="expression" dxfId="811" priority="768">
      <formula>$S66="DSM"</formula>
    </cfRule>
    <cfRule type="expression" dxfId="810" priority="769">
      <formula>SEARCH("GST",$S66)</formula>
    </cfRule>
    <cfRule type="expression" dxfId="809" priority="770">
      <formula>SEARCH("RBT",$S66)</formula>
    </cfRule>
    <cfRule type="expression" dxfId="808" priority="771">
      <formula>SEARCH("LFS",$S66)</formula>
    </cfRule>
    <cfRule type="expression" dxfId="807" priority="772">
      <formula>SEARCH("CHN",$S66)</formula>
    </cfRule>
  </conditionalFormatting>
  <conditionalFormatting sqref="Y68">
    <cfRule type="expression" dxfId="806" priority="763">
      <formula>$S67="DSM"</formula>
    </cfRule>
    <cfRule type="expression" dxfId="805" priority="764">
      <formula>SEARCH("GST",$S67)</formula>
    </cfRule>
    <cfRule type="expression" dxfId="804" priority="765">
      <formula>SEARCH("RBT",$S67)</formula>
    </cfRule>
    <cfRule type="expression" dxfId="803" priority="766">
      <formula>SEARCH("LFS",$S67)</formula>
    </cfRule>
    <cfRule type="expression" dxfId="802" priority="767">
      <formula>SEARCH("CHN",$S67)</formula>
    </cfRule>
  </conditionalFormatting>
  <conditionalFormatting sqref="Y69 J69:V69 S70:V71">
    <cfRule type="expression" dxfId="801" priority="758">
      <formula>$S69="DSM"</formula>
    </cfRule>
    <cfRule type="expression" dxfId="800" priority="759">
      <formula>SEARCH("GST",$S69)</formula>
    </cfRule>
    <cfRule type="expression" dxfId="799" priority="760">
      <formula>SEARCH("RBT",$S69)</formula>
    </cfRule>
    <cfRule type="expression" dxfId="798" priority="761">
      <formula>SEARCH("LFS",$S69)</formula>
    </cfRule>
    <cfRule type="expression" dxfId="797" priority="762">
      <formula>SEARCH("CHN",$S69)</formula>
    </cfRule>
  </conditionalFormatting>
  <conditionalFormatting sqref="S69:S71">
    <cfRule type="cellIs" dxfId="796" priority="757" operator="equal">
      <formula>"DSM"</formula>
    </cfRule>
  </conditionalFormatting>
  <conditionalFormatting sqref="S69:S71">
    <cfRule type="expression" dxfId="795" priority="753">
      <formula>SEARCH("RBT",$S69)</formula>
    </cfRule>
    <cfRule type="expression" dxfId="794" priority="754">
      <formula>SEARCH("GST",$S69)</formula>
    </cfRule>
    <cfRule type="expression" dxfId="793" priority="755">
      <formula>SEARCH("CHN",$S69)</formula>
    </cfRule>
    <cfRule type="expression" dxfId="792" priority="756">
      <formula>SEARCH("LFS",$S69)</formula>
    </cfRule>
  </conditionalFormatting>
  <conditionalFormatting sqref="X69:X71">
    <cfRule type="expression" dxfId="791" priority="748">
      <formula>$S69="DSM"</formula>
    </cfRule>
    <cfRule type="expression" dxfId="790" priority="749">
      <formula>SEARCH("GST",$S69)</formula>
    </cfRule>
    <cfRule type="expression" dxfId="789" priority="750">
      <formula>SEARCH("RBT",$S69)</formula>
    </cfRule>
    <cfRule type="expression" dxfId="788" priority="751">
      <formula>SEARCH("LFS",$S69)</formula>
    </cfRule>
    <cfRule type="expression" dxfId="787" priority="752">
      <formula>SEARCH("CHN",$S69)</formula>
    </cfRule>
  </conditionalFormatting>
  <conditionalFormatting sqref="W69:W71">
    <cfRule type="expression" dxfId="786" priority="743">
      <formula>$S69="DSM"</formula>
    </cfRule>
    <cfRule type="expression" dxfId="785" priority="744">
      <formula>SEARCH("GST",$S69)</formula>
    </cfRule>
    <cfRule type="expression" dxfId="784" priority="745">
      <formula>SEARCH("RBT",$S69)</formula>
    </cfRule>
    <cfRule type="expression" dxfId="783" priority="746">
      <formula>SEARCH("LFS",$S69)</formula>
    </cfRule>
    <cfRule type="expression" dxfId="782" priority="747">
      <formula>SEARCH("CHN",$S69)</formula>
    </cfRule>
  </conditionalFormatting>
  <conditionalFormatting sqref="S78:V81">
    <cfRule type="expression" dxfId="781" priority="738">
      <formula>$S78="DSM"</formula>
    </cfRule>
    <cfRule type="expression" dxfId="780" priority="739">
      <formula>SEARCH("GST",$S78)</formula>
    </cfRule>
    <cfRule type="expression" dxfId="779" priority="740">
      <formula>SEARCH("RBT",$S78)</formula>
    </cfRule>
    <cfRule type="expression" dxfId="778" priority="741">
      <formula>SEARCH("LFS",$S78)</formula>
    </cfRule>
    <cfRule type="expression" dxfId="777" priority="742">
      <formula>SEARCH("CHN",$S78)</formula>
    </cfRule>
  </conditionalFormatting>
  <conditionalFormatting sqref="S78:S81">
    <cfRule type="cellIs" dxfId="776" priority="737" operator="equal">
      <formula>"DSM"</formula>
    </cfRule>
  </conditionalFormatting>
  <conditionalFormatting sqref="S78:S81">
    <cfRule type="expression" dxfId="775" priority="733">
      <formula>SEARCH("RBT",$S78)</formula>
    </cfRule>
    <cfRule type="expression" dxfId="774" priority="734">
      <formula>SEARCH("GST",$S78)</formula>
    </cfRule>
    <cfRule type="expression" dxfId="773" priority="735">
      <formula>SEARCH("CHN",$S78)</formula>
    </cfRule>
    <cfRule type="expression" dxfId="772" priority="736">
      <formula>SEARCH("LFS",$S78)</formula>
    </cfRule>
  </conditionalFormatting>
  <conditionalFormatting sqref="X78:X81">
    <cfRule type="expression" dxfId="771" priority="728">
      <formula>$S78="DSM"</formula>
    </cfRule>
    <cfRule type="expression" dxfId="770" priority="729">
      <formula>SEARCH("GST",$S78)</formula>
    </cfRule>
    <cfRule type="expression" dxfId="769" priority="730">
      <formula>SEARCH("RBT",$S78)</formula>
    </cfRule>
    <cfRule type="expression" dxfId="768" priority="731">
      <formula>SEARCH("LFS",$S78)</formula>
    </cfRule>
    <cfRule type="expression" dxfId="767" priority="732">
      <formula>SEARCH("CHN",$S78)</formula>
    </cfRule>
  </conditionalFormatting>
  <conditionalFormatting sqref="W78:W81">
    <cfRule type="expression" dxfId="766" priority="723">
      <formula>$S78="DSM"</formula>
    </cfRule>
    <cfRule type="expression" dxfId="765" priority="724">
      <formula>SEARCH("GST",$S78)</formula>
    </cfRule>
    <cfRule type="expression" dxfId="764" priority="725">
      <formula>SEARCH("RBT",$S78)</formula>
    </cfRule>
    <cfRule type="expression" dxfId="763" priority="726">
      <formula>SEARCH("LFS",$S78)</formula>
    </cfRule>
    <cfRule type="expression" dxfId="762" priority="727">
      <formula>SEARCH("CHN",$S78)</formula>
    </cfRule>
  </conditionalFormatting>
  <conditionalFormatting sqref="Z82 J82:W82">
    <cfRule type="expression" dxfId="761" priority="718">
      <formula>$S82="DSM"</formula>
    </cfRule>
    <cfRule type="expression" dxfId="760" priority="719">
      <formula>SEARCH("GST",$S82)</formula>
    </cfRule>
    <cfRule type="expression" dxfId="759" priority="720">
      <formula>SEARCH("RBT",$S82)</formula>
    </cfRule>
    <cfRule type="expression" dxfId="758" priority="721">
      <formula>SEARCH("LFS",$S82)</formula>
    </cfRule>
    <cfRule type="expression" dxfId="757" priority="722">
      <formula>SEARCH("CHN",$S82)</formula>
    </cfRule>
  </conditionalFormatting>
  <conditionalFormatting sqref="T82">
    <cfRule type="cellIs" dxfId="756" priority="717" operator="equal">
      <formula>"DSM"</formula>
    </cfRule>
  </conditionalFormatting>
  <conditionalFormatting sqref="T82">
    <cfRule type="expression" dxfId="755" priority="713">
      <formula>SEARCH("RBT",$S82)</formula>
    </cfRule>
    <cfRule type="expression" dxfId="754" priority="714">
      <formula>SEARCH("GST",$S82)</formula>
    </cfRule>
    <cfRule type="expression" dxfId="753" priority="715">
      <formula>SEARCH("CHN",$S82)</formula>
    </cfRule>
    <cfRule type="expression" dxfId="752" priority="716">
      <formula>SEARCH("LFS",$S82)</formula>
    </cfRule>
  </conditionalFormatting>
  <conditionalFormatting sqref="Y82">
    <cfRule type="expression" dxfId="751" priority="708">
      <formula>$S82="DSM"</formula>
    </cfRule>
    <cfRule type="expression" dxfId="750" priority="709">
      <formula>SEARCH("GST",$S82)</formula>
    </cfRule>
    <cfRule type="expression" dxfId="749" priority="710">
      <formula>SEARCH("RBT",$S82)</formula>
    </cfRule>
    <cfRule type="expression" dxfId="748" priority="711">
      <formula>SEARCH("LFS",$S82)</formula>
    </cfRule>
    <cfRule type="expression" dxfId="747" priority="712">
      <formula>SEARCH("CHN",$S82)</formula>
    </cfRule>
  </conditionalFormatting>
  <conditionalFormatting sqref="X82">
    <cfRule type="expression" dxfId="746" priority="703">
      <formula>$S82="DSM"</formula>
    </cfRule>
    <cfRule type="expression" dxfId="745" priority="704">
      <formula>SEARCH("GST",$S82)</formula>
    </cfRule>
    <cfRule type="expression" dxfId="744" priority="705">
      <formula>SEARCH("RBT",$S82)</formula>
    </cfRule>
    <cfRule type="expression" dxfId="743" priority="706">
      <formula>SEARCH("LFS",$S82)</formula>
    </cfRule>
    <cfRule type="expression" dxfId="742" priority="707">
      <formula>SEARCH("CHN",$S82)</formula>
    </cfRule>
  </conditionalFormatting>
  <conditionalFormatting sqref="S83:V86">
    <cfRule type="expression" dxfId="741" priority="698">
      <formula>$S83="DSM"</formula>
    </cfRule>
    <cfRule type="expression" dxfId="740" priority="699">
      <formula>SEARCH("GST",$S83)</formula>
    </cfRule>
    <cfRule type="expression" dxfId="739" priority="700">
      <formula>SEARCH("RBT",$S83)</formula>
    </cfRule>
    <cfRule type="expression" dxfId="738" priority="701">
      <formula>SEARCH("LFS",$S83)</formula>
    </cfRule>
    <cfRule type="expression" dxfId="737" priority="702">
      <formula>SEARCH("CHN",$S83)</formula>
    </cfRule>
  </conditionalFormatting>
  <conditionalFormatting sqref="S83:S86">
    <cfRule type="cellIs" dxfId="736" priority="697" operator="equal">
      <formula>"DSM"</formula>
    </cfRule>
  </conditionalFormatting>
  <conditionalFormatting sqref="S83:S86">
    <cfRule type="expression" dxfId="735" priority="693">
      <formula>SEARCH("RBT",$S83)</formula>
    </cfRule>
    <cfRule type="expression" dxfId="734" priority="694">
      <formula>SEARCH("GST",$S83)</formula>
    </cfRule>
    <cfRule type="expression" dxfId="733" priority="695">
      <formula>SEARCH("CHN",$S83)</formula>
    </cfRule>
    <cfRule type="expression" dxfId="732" priority="696">
      <formula>SEARCH("LFS",$S83)</formula>
    </cfRule>
  </conditionalFormatting>
  <conditionalFormatting sqref="X83:X86">
    <cfRule type="expression" dxfId="731" priority="688">
      <formula>$S83="DSM"</formula>
    </cfRule>
    <cfRule type="expression" dxfId="730" priority="689">
      <formula>SEARCH("GST",$S83)</formula>
    </cfRule>
    <cfRule type="expression" dxfId="729" priority="690">
      <formula>SEARCH("RBT",$S83)</formula>
    </cfRule>
    <cfRule type="expression" dxfId="728" priority="691">
      <formula>SEARCH("LFS",$S83)</formula>
    </cfRule>
    <cfRule type="expression" dxfId="727" priority="692">
      <formula>SEARCH("CHN",$S83)</formula>
    </cfRule>
  </conditionalFormatting>
  <conditionalFormatting sqref="W83:W86">
    <cfRule type="expression" dxfId="726" priority="683">
      <formula>$S83="DSM"</formula>
    </cfRule>
    <cfRule type="expression" dxfId="725" priority="684">
      <formula>SEARCH("GST",$S83)</formula>
    </cfRule>
    <cfRule type="expression" dxfId="724" priority="685">
      <formula>SEARCH("RBT",$S83)</formula>
    </cfRule>
    <cfRule type="expression" dxfId="723" priority="686">
      <formula>SEARCH("LFS",$S83)</formula>
    </cfRule>
    <cfRule type="expression" dxfId="722" priority="687">
      <formula>SEARCH("CHN",$S83)</formula>
    </cfRule>
  </conditionalFormatting>
  <conditionalFormatting sqref="S87:V93">
    <cfRule type="expression" dxfId="721" priority="678">
      <formula>$S87="DSM"</formula>
    </cfRule>
    <cfRule type="expression" dxfId="720" priority="679">
      <formula>SEARCH("GST",$S87)</formula>
    </cfRule>
    <cfRule type="expression" dxfId="719" priority="680">
      <formula>SEARCH("RBT",$S87)</formula>
    </cfRule>
    <cfRule type="expression" dxfId="718" priority="681">
      <formula>SEARCH("LFS",$S87)</formula>
    </cfRule>
    <cfRule type="expression" dxfId="717" priority="682">
      <formula>SEARCH("CHN",$S87)</formula>
    </cfRule>
  </conditionalFormatting>
  <conditionalFormatting sqref="S87:S93">
    <cfRule type="cellIs" dxfId="716" priority="677" operator="equal">
      <formula>"DSM"</formula>
    </cfRule>
  </conditionalFormatting>
  <conditionalFormatting sqref="S87:S93">
    <cfRule type="expression" dxfId="715" priority="673">
      <formula>SEARCH("RBT",$S87)</formula>
    </cfRule>
    <cfRule type="expression" dxfId="714" priority="674">
      <formula>SEARCH("GST",$S87)</formula>
    </cfRule>
    <cfRule type="expression" dxfId="713" priority="675">
      <formula>SEARCH("CHN",$S87)</formula>
    </cfRule>
    <cfRule type="expression" dxfId="712" priority="676">
      <formula>SEARCH("LFS",$S87)</formula>
    </cfRule>
  </conditionalFormatting>
  <conditionalFormatting sqref="X87:X93">
    <cfRule type="expression" dxfId="711" priority="668">
      <formula>$S87="DSM"</formula>
    </cfRule>
    <cfRule type="expression" dxfId="710" priority="669">
      <formula>SEARCH("GST",$S87)</formula>
    </cfRule>
    <cfRule type="expression" dxfId="709" priority="670">
      <formula>SEARCH("RBT",$S87)</formula>
    </cfRule>
    <cfRule type="expression" dxfId="708" priority="671">
      <formula>SEARCH("LFS",$S87)</formula>
    </cfRule>
    <cfRule type="expression" dxfId="707" priority="672">
      <formula>SEARCH("CHN",$S87)</formula>
    </cfRule>
  </conditionalFormatting>
  <conditionalFormatting sqref="W87:W93">
    <cfRule type="expression" dxfId="706" priority="663">
      <formula>$S87="DSM"</formula>
    </cfRule>
    <cfRule type="expression" dxfId="705" priority="664">
      <formula>SEARCH("GST",$S87)</formula>
    </cfRule>
    <cfRule type="expression" dxfId="704" priority="665">
      <formula>SEARCH("RBT",$S87)</formula>
    </cfRule>
    <cfRule type="expression" dxfId="703" priority="666">
      <formula>SEARCH("LFS",$S87)</formula>
    </cfRule>
    <cfRule type="expression" dxfId="702" priority="667">
      <formula>SEARCH("CHN",$S87)</formula>
    </cfRule>
  </conditionalFormatting>
  <conditionalFormatting sqref="J94:W94">
    <cfRule type="expression" dxfId="701" priority="658">
      <formula>$S94="DSM"</formula>
    </cfRule>
    <cfRule type="expression" dxfId="700" priority="659">
      <formula>SEARCH("GST",$S94)</formula>
    </cfRule>
    <cfRule type="expression" dxfId="699" priority="660">
      <formula>SEARCH("RBT",$S94)</formula>
    </cfRule>
    <cfRule type="expression" dxfId="698" priority="661">
      <formula>SEARCH("LFS",$S94)</formula>
    </cfRule>
    <cfRule type="expression" dxfId="697" priority="662">
      <formula>SEARCH("CHN",$S94)</formula>
    </cfRule>
  </conditionalFormatting>
  <conditionalFormatting sqref="T94">
    <cfRule type="cellIs" dxfId="696" priority="657" operator="equal">
      <formula>"DSM"</formula>
    </cfRule>
  </conditionalFormatting>
  <conditionalFormatting sqref="T94">
    <cfRule type="expression" dxfId="695" priority="653">
      <formula>SEARCH("RBT",$S94)</formula>
    </cfRule>
    <cfRule type="expression" dxfId="694" priority="654">
      <formula>SEARCH("GST",$S94)</formula>
    </cfRule>
    <cfRule type="expression" dxfId="693" priority="655">
      <formula>SEARCH("CHN",$S94)</formula>
    </cfRule>
    <cfRule type="expression" dxfId="692" priority="656">
      <formula>SEARCH("LFS",$S94)</formula>
    </cfRule>
  </conditionalFormatting>
  <conditionalFormatting sqref="Y94">
    <cfRule type="expression" dxfId="691" priority="648">
      <formula>$S94="DSM"</formula>
    </cfRule>
    <cfRule type="expression" dxfId="690" priority="649">
      <formula>SEARCH("GST",$S94)</formula>
    </cfRule>
    <cfRule type="expression" dxfId="689" priority="650">
      <formula>SEARCH("RBT",$S94)</formula>
    </cfRule>
    <cfRule type="expression" dxfId="688" priority="651">
      <formula>SEARCH("LFS",$S94)</formula>
    </cfRule>
    <cfRule type="expression" dxfId="687" priority="652">
      <formula>SEARCH("CHN",$S94)</formula>
    </cfRule>
  </conditionalFormatting>
  <conditionalFormatting sqref="X94">
    <cfRule type="expression" dxfId="686" priority="643">
      <formula>$S94="DSM"</formula>
    </cfRule>
    <cfRule type="expression" dxfId="685" priority="644">
      <formula>SEARCH("GST",$S94)</formula>
    </cfRule>
    <cfRule type="expression" dxfId="684" priority="645">
      <formula>SEARCH("RBT",$S94)</formula>
    </cfRule>
    <cfRule type="expression" dxfId="683" priority="646">
      <formula>SEARCH("LFS",$S94)</formula>
    </cfRule>
    <cfRule type="expression" dxfId="682" priority="647">
      <formula>SEARCH("CHN",$S94)</formula>
    </cfRule>
  </conditionalFormatting>
  <conditionalFormatting sqref="S96:V99 S101:V104">
    <cfRule type="expression" dxfId="681" priority="638">
      <formula>$S96="DSM"</formula>
    </cfRule>
    <cfRule type="expression" dxfId="680" priority="639">
      <formula>SEARCH("GST",$S96)</formula>
    </cfRule>
    <cfRule type="expression" dxfId="679" priority="640">
      <formula>SEARCH("RBT",$S96)</formula>
    </cfRule>
    <cfRule type="expression" dxfId="678" priority="641">
      <formula>SEARCH("LFS",$S96)</formula>
    </cfRule>
    <cfRule type="expression" dxfId="677" priority="642">
      <formula>SEARCH("CHN",$S96)</formula>
    </cfRule>
  </conditionalFormatting>
  <conditionalFormatting sqref="S96:S99 S101:S104">
    <cfRule type="cellIs" dxfId="676" priority="637" operator="equal">
      <formula>"DSM"</formula>
    </cfRule>
  </conditionalFormatting>
  <conditionalFormatting sqref="S96:S99 S101:S104">
    <cfRule type="expression" dxfId="675" priority="633">
      <formula>SEARCH("RBT",$S96)</formula>
    </cfRule>
    <cfRule type="expression" dxfId="674" priority="634">
      <formula>SEARCH("GST",$S96)</formula>
    </cfRule>
    <cfRule type="expression" dxfId="673" priority="635">
      <formula>SEARCH("CHN",$S96)</formula>
    </cfRule>
    <cfRule type="expression" dxfId="672" priority="636">
      <formula>SEARCH("LFS",$S96)</formula>
    </cfRule>
  </conditionalFormatting>
  <conditionalFormatting sqref="X96:X99 X101:X104">
    <cfRule type="expression" dxfId="671" priority="628">
      <formula>$S96="DSM"</formula>
    </cfRule>
    <cfRule type="expression" dxfId="670" priority="629">
      <formula>SEARCH("GST",$S96)</formula>
    </cfRule>
    <cfRule type="expression" dxfId="669" priority="630">
      <formula>SEARCH("RBT",$S96)</formula>
    </cfRule>
    <cfRule type="expression" dxfId="668" priority="631">
      <formula>SEARCH("LFS",$S96)</formula>
    </cfRule>
    <cfRule type="expression" dxfId="667" priority="632">
      <formula>SEARCH("CHN",$S96)</formula>
    </cfRule>
  </conditionalFormatting>
  <conditionalFormatting sqref="W96:W99 W101:W104">
    <cfRule type="expression" dxfId="666" priority="623">
      <formula>$S96="DSM"</formula>
    </cfRule>
    <cfRule type="expression" dxfId="665" priority="624">
      <formula>SEARCH("GST",$S96)</formula>
    </cfRule>
    <cfRule type="expression" dxfId="664" priority="625">
      <formula>SEARCH("RBT",$S96)</formula>
    </cfRule>
    <cfRule type="expression" dxfId="663" priority="626">
      <formula>SEARCH("LFS",$S96)</formula>
    </cfRule>
    <cfRule type="expression" dxfId="662" priority="627">
      <formula>SEARCH("CHN",$S96)</formula>
    </cfRule>
  </conditionalFormatting>
  <conditionalFormatting sqref="S95:V95">
    <cfRule type="expression" dxfId="661" priority="618">
      <formula>$S95="DSM"</formula>
    </cfRule>
    <cfRule type="expression" dxfId="660" priority="619">
      <formula>SEARCH("GST",$S95)</formula>
    </cfRule>
    <cfRule type="expression" dxfId="659" priority="620">
      <formula>SEARCH("RBT",$S95)</formula>
    </cfRule>
    <cfRule type="expression" dxfId="658" priority="621">
      <formula>SEARCH("LFS",$S95)</formula>
    </cfRule>
    <cfRule type="expression" dxfId="657" priority="622">
      <formula>SEARCH("CHN",$S95)</formula>
    </cfRule>
  </conditionalFormatting>
  <conditionalFormatting sqref="S95">
    <cfRule type="cellIs" dxfId="656" priority="617" operator="equal">
      <formula>"DSM"</formula>
    </cfRule>
  </conditionalFormatting>
  <conditionalFormatting sqref="S95">
    <cfRule type="expression" dxfId="655" priority="613">
      <formula>SEARCH("RBT",$S95)</formula>
    </cfRule>
    <cfRule type="expression" dxfId="654" priority="614">
      <formula>SEARCH("GST",$S95)</formula>
    </cfRule>
    <cfRule type="expression" dxfId="653" priority="615">
      <formula>SEARCH("CHN",$S95)</formula>
    </cfRule>
    <cfRule type="expression" dxfId="652" priority="616">
      <formula>SEARCH("LFS",$S95)</formula>
    </cfRule>
  </conditionalFormatting>
  <conditionalFormatting sqref="X95">
    <cfRule type="expression" dxfId="651" priority="608">
      <formula>$S95="DSM"</formula>
    </cfRule>
    <cfRule type="expression" dxfId="650" priority="609">
      <formula>SEARCH("GST",$S95)</formula>
    </cfRule>
    <cfRule type="expression" dxfId="649" priority="610">
      <formula>SEARCH("RBT",$S95)</formula>
    </cfRule>
    <cfRule type="expression" dxfId="648" priority="611">
      <formula>SEARCH("LFS",$S95)</formula>
    </cfRule>
    <cfRule type="expression" dxfId="647" priority="612">
      <formula>SEARCH("CHN",$S95)</formula>
    </cfRule>
  </conditionalFormatting>
  <conditionalFormatting sqref="W95">
    <cfRule type="expression" dxfId="646" priority="603">
      <formula>$S95="DSM"</formula>
    </cfRule>
    <cfRule type="expression" dxfId="645" priority="604">
      <formula>SEARCH("GST",$S95)</formula>
    </cfRule>
    <cfRule type="expression" dxfId="644" priority="605">
      <formula>SEARCH("RBT",$S95)</formula>
    </cfRule>
    <cfRule type="expression" dxfId="643" priority="606">
      <formula>SEARCH("LFS",$S95)</formula>
    </cfRule>
    <cfRule type="expression" dxfId="642" priority="607">
      <formula>SEARCH("CHN",$S95)</formula>
    </cfRule>
  </conditionalFormatting>
  <conditionalFormatting sqref="J100:W100">
    <cfRule type="expression" dxfId="641" priority="598">
      <formula>$S100="DSM"</formula>
    </cfRule>
    <cfRule type="expression" dxfId="640" priority="599">
      <formula>SEARCH("GST",$S100)</formula>
    </cfRule>
    <cfRule type="expression" dxfId="639" priority="600">
      <formula>SEARCH("RBT",$S100)</formula>
    </cfRule>
    <cfRule type="expression" dxfId="638" priority="601">
      <formula>SEARCH("LFS",$S100)</formula>
    </cfRule>
    <cfRule type="expression" dxfId="637" priority="602">
      <formula>SEARCH("CHN",$S100)</formula>
    </cfRule>
  </conditionalFormatting>
  <conditionalFormatting sqref="T100">
    <cfRule type="cellIs" dxfId="636" priority="597" operator="equal">
      <formula>"DSM"</formula>
    </cfRule>
  </conditionalFormatting>
  <conditionalFormatting sqref="T100">
    <cfRule type="expression" dxfId="635" priority="593">
      <formula>SEARCH("RBT",$S100)</formula>
    </cfRule>
    <cfRule type="expression" dxfId="634" priority="594">
      <formula>SEARCH("GST",$S100)</formula>
    </cfRule>
    <cfRule type="expression" dxfId="633" priority="595">
      <formula>SEARCH("CHN",$S100)</formula>
    </cfRule>
    <cfRule type="expression" dxfId="632" priority="596">
      <formula>SEARCH("LFS",$S100)</formula>
    </cfRule>
  </conditionalFormatting>
  <conditionalFormatting sqref="Y100">
    <cfRule type="expression" dxfId="631" priority="588">
      <formula>$S100="DSM"</formula>
    </cfRule>
    <cfRule type="expression" dxfId="630" priority="589">
      <formula>SEARCH("GST",$S100)</formula>
    </cfRule>
    <cfRule type="expression" dxfId="629" priority="590">
      <formula>SEARCH("RBT",$S100)</formula>
    </cfRule>
    <cfRule type="expression" dxfId="628" priority="591">
      <formula>SEARCH("LFS",$S100)</formula>
    </cfRule>
    <cfRule type="expression" dxfId="627" priority="592">
      <formula>SEARCH("CHN",$S100)</formula>
    </cfRule>
  </conditionalFormatting>
  <conditionalFormatting sqref="X100">
    <cfRule type="expression" dxfId="626" priority="583">
      <formula>$S100="DSM"</formula>
    </cfRule>
    <cfRule type="expression" dxfId="625" priority="584">
      <formula>SEARCH("GST",$S100)</formula>
    </cfRule>
    <cfRule type="expression" dxfId="624" priority="585">
      <formula>SEARCH("RBT",$S100)</formula>
    </cfRule>
    <cfRule type="expression" dxfId="623" priority="586">
      <formula>SEARCH("LFS",$S100)</formula>
    </cfRule>
    <cfRule type="expression" dxfId="622" priority="587">
      <formula>SEARCH("CHN",$S100)</formula>
    </cfRule>
  </conditionalFormatting>
  <conditionalFormatting sqref="O125:V125 O126">
    <cfRule type="expression" dxfId="621" priority="578">
      <formula>$S125="DSM"</formula>
    </cfRule>
    <cfRule type="expression" dxfId="620" priority="579">
      <formula>SEARCH("GST",$S125)</formula>
    </cfRule>
    <cfRule type="expression" dxfId="619" priority="580">
      <formula>SEARCH("RBT",$S125)</formula>
    </cfRule>
    <cfRule type="expression" dxfId="618" priority="581">
      <formula>SEARCH("LFS",$S125)</formula>
    </cfRule>
    <cfRule type="expression" dxfId="617" priority="582">
      <formula>SEARCH("CHN",$S125)</formula>
    </cfRule>
  </conditionalFormatting>
  <conditionalFormatting sqref="S125">
    <cfRule type="cellIs" dxfId="616" priority="577" operator="equal">
      <formula>"DSM"</formula>
    </cfRule>
  </conditionalFormatting>
  <conditionalFormatting sqref="S125">
    <cfRule type="expression" dxfId="615" priority="573">
      <formula>SEARCH("RBT",$S125)</formula>
    </cfRule>
    <cfRule type="expression" dxfId="614" priority="574">
      <formula>SEARCH("GST",$S125)</formula>
    </cfRule>
    <cfRule type="expression" dxfId="613" priority="575">
      <formula>SEARCH("CHN",$S125)</formula>
    </cfRule>
    <cfRule type="expression" dxfId="612" priority="576">
      <formula>SEARCH("LFS",$S125)</formula>
    </cfRule>
  </conditionalFormatting>
  <conditionalFormatting sqref="X125">
    <cfRule type="expression" dxfId="611" priority="568">
      <formula>$S125="DSM"</formula>
    </cfRule>
    <cfRule type="expression" dxfId="610" priority="569">
      <formula>SEARCH("GST",$S125)</formula>
    </cfRule>
    <cfRule type="expression" dxfId="609" priority="570">
      <formula>SEARCH("RBT",$S125)</formula>
    </cfRule>
    <cfRule type="expression" dxfId="608" priority="571">
      <formula>SEARCH("LFS",$S125)</formula>
    </cfRule>
    <cfRule type="expression" dxfId="607" priority="572">
      <formula>SEARCH("CHN",$S125)</formula>
    </cfRule>
  </conditionalFormatting>
  <conditionalFormatting sqref="W125">
    <cfRule type="expression" dxfId="606" priority="563">
      <formula>$S125="DSM"</formula>
    </cfRule>
    <cfRule type="expression" dxfId="605" priority="564">
      <formula>SEARCH("GST",$S125)</formula>
    </cfRule>
    <cfRule type="expression" dxfId="604" priority="565">
      <formula>SEARCH("RBT",$S125)</formula>
    </cfRule>
    <cfRule type="expression" dxfId="603" priority="566">
      <formula>SEARCH("LFS",$S125)</formula>
    </cfRule>
    <cfRule type="expression" dxfId="602" priority="567">
      <formula>SEARCH("CHN",$S125)</formula>
    </cfRule>
  </conditionalFormatting>
  <conditionalFormatting sqref="P127:Q127">
    <cfRule type="expression" dxfId="601" priority="558">
      <formula>$S127="DSM"</formula>
    </cfRule>
    <cfRule type="expression" dxfId="600" priority="559">
      <formula>SEARCH("GST",$S127)</formula>
    </cfRule>
    <cfRule type="expression" dxfId="599" priority="560">
      <formula>SEARCH("RBT",$S127)</formula>
    </cfRule>
    <cfRule type="expression" dxfId="598" priority="561">
      <formula>SEARCH("LFS",$S127)</formula>
    </cfRule>
    <cfRule type="expression" dxfId="597" priority="562">
      <formula>SEARCH("CHN",$S127)</formula>
    </cfRule>
  </conditionalFormatting>
  <conditionalFormatting sqref="O127">
    <cfRule type="expression" dxfId="596" priority="553">
      <formula>$S127="DSM"</formula>
    </cfRule>
    <cfRule type="expression" dxfId="595" priority="554">
      <formula>SEARCH("GST",$S127)</formula>
    </cfRule>
    <cfRule type="expression" dxfId="594" priority="555">
      <formula>SEARCH("RBT",$S127)</formula>
    </cfRule>
    <cfRule type="expression" dxfId="593" priority="556">
      <formula>SEARCH("LFS",$S127)</formula>
    </cfRule>
    <cfRule type="expression" dxfId="592" priority="557">
      <formula>SEARCH("CHN",$S127)</formula>
    </cfRule>
  </conditionalFormatting>
  <conditionalFormatting sqref="P128:R128">
    <cfRule type="expression" dxfId="591" priority="548">
      <formula>$S128="DSM"</formula>
    </cfRule>
    <cfRule type="expression" dxfId="590" priority="549">
      <formula>SEARCH("GST",$S128)</formula>
    </cfRule>
    <cfRule type="expression" dxfId="589" priority="550">
      <formula>SEARCH("RBT",$S128)</formula>
    </cfRule>
    <cfRule type="expression" dxfId="588" priority="551">
      <formula>SEARCH("LFS",$S128)</formula>
    </cfRule>
    <cfRule type="expression" dxfId="587" priority="552">
      <formula>SEARCH("CHN",$S128)</formula>
    </cfRule>
  </conditionalFormatting>
  <conditionalFormatting sqref="O128">
    <cfRule type="expression" dxfId="586" priority="543">
      <formula>$S128="DSM"</formula>
    </cfRule>
    <cfRule type="expression" dxfId="585" priority="544">
      <formula>SEARCH("GST",$S128)</formula>
    </cfRule>
    <cfRule type="expression" dxfId="584" priority="545">
      <formula>SEARCH("RBT",$S128)</formula>
    </cfRule>
    <cfRule type="expression" dxfId="583" priority="546">
      <formula>SEARCH("LFS",$S128)</formula>
    </cfRule>
    <cfRule type="expression" dxfId="582" priority="547">
      <formula>SEARCH("CHN",$S128)</formula>
    </cfRule>
  </conditionalFormatting>
  <conditionalFormatting sqref="Y148">
    <cfRule type="expression" dxfId="581" priority="868">
      <formula>$S146="DSM"</formula>
    </cfRule>
    <cfRule type="expression" dxfId="580" priority="869">
      <formula>SEARCH("GST",$S146)</formula>
    </cfRule>
    <cfRule type="expression" dxfId="579" priority="870">
      <formula>SEARCH("RBT",$S146)</formula>
    </cfRule>
    <cfRule type="expression" dxfId="578" priority="871">
      <formula>SEARCH("LFS",$S146)</formula>
    </cfRule>
    <cfRule type="expression" dxfId="577" priority="872">
      <formula>SEARCH("CHN",$S146)</formula>
    </cfRule>
  </conditionalFormatting>
  <conditionalFormatting sqref="S167:X168">
    <cfRule type="expression" dxfId="576" priority="538">
      <formula>$S167="DSM"</formula>
    </cfRule>
    <cfRule type="expression" dxfId="575" priority="539">
      <formula>SEARCH("GST",$S167)</formula>
    </cfRule>
    <cfRule type="expression" dxfId="574" priority="540">
      <formula>SEARCH("RBT",$S167)</formula>
    </cfRule>
    <cfRule type="expression" dxfId="573" priority="541">
      <formula>SEARCH("LFS",$S167)</formula>
    </cfRule>
    <cfRule type="expression" dxfId="572" priority="542">
      <formula>SEARCH("CHN",$S167)</formula>
    </cfRule>
  </conditionalFormatting>
  <conditionalFormatting sqref="S167:S168">
    <cfRule type="cellIs" dxfId="571" priority="537" operator="equal">
      <formula>"DSM"</formula>
    </cfRule>
  </conditionalFormatting>
  <conditionalFormatting sqref="S167:S168">
    <cfRule type="expression" dxfId="570" priority="533">
      <formula>SEARCH("RBT",$S167)</formula>
    </cfRule>
    <cfRule type="expression" dxfId="569" priority="534">
      <formula>SEARCH("GST",$S167)</formula>
    </cfRule>
    <cfRule type="expression" dxfId="568" priority="535">
      <formula>SEARCH("CHN",$S167)</formula>
    </cfRule>
    <cfRule type="expression" dxfId="567" priority="536">
      <formula>SEARCH("LFS",$S167)</formula>
    </cfRule>
  </conditionalFormatting>
  <conditionalFormatting sqref="J169:Y169">
    <cfRule type="expression" dxfId="566" priority="528">
      <formula>$S169="DSM"</formula>
    </cfRule>
    <cfRule type="expression" dxfId="565" priority="529">
      <formula>SEARCH("GST",$S169)</formula>
    </cfRule>
    <cfRule type="expression" dxfId="564" priority="530">
      <formula>SEARCH("RBT",$S169)</formula>
    </cfRule>
    <cfRule type="expression" dxfId="563" priority="531">
      <formula>SEARCH("LFS",$S169)</formula>
    </cfRule>
    <cfRule type="expression" dxfId="562" priority="532">
      <formula>SEARCH("CHN",$S169)</formula>
    </cfRule>
  </conditionalFormatting>
  <conditionalFormatting sqref="S169">
    <cfRule type="cellIs" dxfId="561" priority="527" operator="equal">
      <formula>"DSM"</formula>
    </cfRule>
  </conditionalFormatting>
  <conditionalFormatting sqref="S169">
    <cfRule type="expression" dxfId="560" priority="523">
      <formula>SEARCH("RBT",$S169)</formula>
    </cfRule>
    <cfRule type="expression" dxfId="559" priority="524">
      <formula>SEARCH("GST",$S169)</formula>
    </cfRule>
    <cfRule type="expression" dxfId="558" priority="525">
      <formula>SEARCH("CHN",$S169)</formula>
    </cfRule>
    <cfRule type="expression" dxfId="557" priority="526">
      <formula>SEARCH("LFS",$S169)</formula>
    </cfRule>
  </conditionalFormatting>
  <conditionalFormatting sqref="S170:X172">
    <cfRule type="expression" dxfId="556" priority="518">
      <formula>$S170="DSM"</formula>
    </cfRule>
    <cfRule type="expression" dxfId="555" priority="519">
      <formula>SEARCH("GST",$S170)</formula>
    </cfRule>
    <cfRule type="expression" dxfId="554" priority="520">
      <formula>SEARCH("RBT",$S170)</formula>
    </cfRule>
    <cfRule type="expression" dxfId="553" priority="521">
      <formula>SEARCH("LFS",$S170)</formula>
    </cfRule>
    <cfRule type="expression" dxfId="552" priority="522">
      <formula>SEARCH("CHN",$S170)</formula>
    </cfRule>
  </conditionalFormatting>
  <conditionalFormatting sqref="S170:S172">
    <cfRule type="cellIs" dxfId="551" priority="517" operator="equal">
      <formula>"DSM"</formula>
    </cfRule>
  </conditionalFormatting>
  <conditionalFormatting sqref="S170:S172">
    <cfRule type="expression" dxfId="550" priority="513">
      <formula>SEARCH("RBT",$S170)</formula>
    </cfRule>
    <cfRule type="expression" dxfId="549" priority="514">
      <formula>SEARCH("GST",$S170)</formula>
    </cfRule>
    <cfRule type="expression" dxfId="548" priority="515">
      <formula>SEARCH("CHN",$S170)</formula>
    </cfRule>
    <cfRule type="expression" dxfId="547" priority="516">
      <formula>SEARCH("LFS",$S170)</formula>
    </cfRule>
  </conditionalFormatting>
  <conditionalFormatting sqref="S174:X174">
    <cfRule type="expression" dxfId="546" priority="508">
      <formula>$S174="DSM"</formula>
    </cfRule>
    <cfRule type="expression" dxfId="545" priority="509">
      <formula>SEARCH("GST",$S174)</formula>
    </cfRule>
    <cfRule type="expression" dxfId="544" priority="510">
      <formula>SEARCH("RBT",$S174)</formula>
    </cfRule>
    <cfRule type="expression" dxfId="543" priority="511">
      <formula>SEARCH("LFS",$S174)</formula>
    </cfRule>
    <cfRule type="expression" dxfId="542" priority="512">
      <formula>SEARCH("CHN",$S174)</formula>
    </cfRule>
  </conditionalFormatting>
  <conditionalFormatting sqref="S174">
    <cfRule type="cellIs" dxfId="541" priority="507" operator="equal">
      <formula>"DSM"</formula>
    </cfRule>
  </conditionalFormatting>
  <conditionalFormatting sqref="S174">
    <cfRule type="expression" dxfId="540" priority="503">
      <formula>SEARCH("RBT",$S174)</formula>
    </cfRule>
    <cfRule type="expression" dxfId="539" priority="504">
      <formula>SEARCH("GST",$S174)</formula>
    </cfRule>
    <cfRule type="expression" dxfId="538" priority="505">
      <formula>SEARCH("CHN",$S174)</formula>
    </cfRule>
    <cfRule type="expression" dxfId="537" priority="506">
      <formula>SEARCH("LFS",$S174)</formula>
    </cfRule>
  </conditionalFormatting>
  <conditionalFormatting sqref="S175:X175">
    <cfRule type="expression" dxfId="536" priority="498">
      <formula>$S175="DSM"</formula>
    </cfRule>
    <cfRule type="expression" dxfId="535" priority="499">
      <formula>SEARCH("GST",$S175)</formula>
    </cfRule>
    <cfRule type="expression" dxfId="534" priority="500">
      <formula>SEARCH("RBT",$S175)</formula>
    </cfRule>
    <cfRule type="expression" dxfId="533" priority="501">
      <formula>SEARCH("LFS",$S175)</formula>
    </cfRule>
    <cfRule type="expression" dxfId="532" priority="502">
      <formula>SEARCH("CHN",$S175)</formula>
    </cfRule>
  </conditionalFormatting>
  <conditionalFormatting sqref="S175">
    <cfRule type="cellIs" dxfId="531" priority="497" operator="equal">
      <formula>"DSM"</formula>
    </cfRule>
  </conditionalFormatting>
  <conditionalFormatting sqref="S175">
    <cfRule type="expression" dxfId="530" priority="493">
      <formula>SEARCH("RBT",$S175)</formula>
    </cfRule>
    <cfRule type="expression" dxfId="529" priority="494">
      <formula>SEARCH("GST",$S175)</formula>
    </cfRule>
    <cfRule type="expression" dxfId="528" priority="495">
      <formula>SEARCH("CHN",$S175)</formula>
    </cfRule>
    <cfRule type="expression" dxfId="527" priority="496">
      <formula>SEARCH("LFS",$S175)</formula>
    </cfRule>
  </conditionalFormatting>
  <conditionalFormatting sqref="J176:Y176">
    <cfRule type="expression" dxfId="526" priority="488">
      <formula>$S176="DSM"</formula>
    </cfRule>
    <cfRule type="expression" dxfId="525" priority="489">
      <formula>SEARCH("GST",$S176)</formula>
    </cfRule>
    <cfRule type="expression" dxfId="524" priority="490">
      <formula>SEARCH("RBT",$S176)</formula>
    </cfRule>
    <cfRule type="expression" dxfId="523" priority="491">
      <formula>SEARCH("LFS",$S176)</formula>
    </cfRule>
    <cfRule type="expression" dxfId="522" priority="492">
      <formula>SEARCH("CHN",$S176)</formula>
    </cfRule>
  </conditionalFormatting>
  <conditionalFormatting sqref="S176">
    <cfRule type="cellIs" dxfId="521" priority="487" operator="equal">
      <formula>"DSM"</formula>
    </cfRule>
  </conditionalFormatting>
  <conditionalFormatting sqref="S176">
    <cfRule type="expression" dxfId="520" priority="483">
      <formula>SEARCH("RBT",$S176)</formula>
    </cfRule>
    <cfRule type="expression" dxfId="519" priority="484">
      <formula>SEARCH("GST",$S176)</formula>
    </cfRule>
    <cfRule type="expression" dxfId="518" priority="485">
      <formula>SEARCH("CHN",$S176)</formula>
    </cfRule>
    <cfRule type="expression" dxfId="517" priority="486">
      <formula>SEARCH("LFS",$S176)</formula>
    </cfRule>
  </conditionalFormatting>
  <conditionalFormatting sqref="S177:X182">
    <cfRule type="expression" dxfId="516" priority="478">
      <formula>$S177="DSM"</formula>
    </cfRule>
    <cfRule type="expression" dxfId="515" priority="479">
      <formula>SEARCH("GST",$S177)</formula>
    </cfRule>
    <cfRule type="expression" dxfId="514" priority="480">
      <formula>SEARCH("RBT",$S177)</formula>
    </cfRule>
    <cfRule type="expression" dxfId="513" priority="481">
      <formula>SEARCH("LFS",$S177)</formula>
    </cfRule>
    <cfRule type="expression" dxfId="512" priority="482">
      <formula>SEARCH("CHN",$S177)</formula>
    </cfRule>
  </conditionalFormatting>
  <conditionalFormatting sqref="S177:S182">
    <cfRule type="cellIs" dxfId="511" priority="477" operator="equal">
      <formula>"DSM"</formula>
    </cfRule>
  </conditionalFormatting>
  <conditionalFormatting sqref="S177:S182">
    <cfRule type="expression" dxfId="510" priority="473">
      <formula>SEARCH("RBT",$S177)</formula>
    </cfRule>
    <cfRule type="expression" dxfId="509" priority="474">
      <formula>SEARCH("GST",$S177)</formula>
    </cfRule>
    <cfRule type="expression" dxfId="508" priority="475">
      <formula>SEARCH("CHN",$S177)</formula>
    </cfRule>
    <cfRule type="expression" dxfId="507" priority="476">
      <formula>SEARCH("LFS",$S177)</formula>
    </cfRule>
  </conditionalFormatting>
  <conditionalFormatting sqref="F190">
    <cfRule type="expression" dxfId="506" priority="873">
      <formula>$S184="DSM"</formula>
    </cfRule>
    <cfRule type="expression" dxfId="505" priority="874">
      <formula>SEARCH("GST",$S184)</formula>
    </cfRule>
    <cfRule type="expression" dxfId="504" priority="875">
      <formula>SEARCH("RBT",$S184)</formula>
    </cfRule>
    <cfRule type="expression" dxfId="503" priority="876">
      <formula>SEARCH("LFS",$S184)</formula>
    </cfRule>
    <cfRule type="expression" dxfId="502" priority="877">
      <formula>SEARCH("CHN",$S184)</formula>
    </cfRule>
  </conditionalFormatting>
  <conditionalFormatting sqref="J241:Y241">
    <cfRule type="expression" dxfId="501" priority="468">
      <formula>$S241="DSM"</formula>
    </cfRule>
    <cfRule type="expression" dxfId="500" priority="469">
      <formula>SEARCH("GST",$S241)</formula>
    </cfRule>
    <cfRule type="expression" dxfId="499" priority="470">
      <formula>SEARCH("RBT",$S241)</formula>
    </cfRule>
    <cfRule type="expression" dxfId="498" priority="471">
      <formula>SEARCH("LFS",$S241)</formula>
    </cfRule>
    <cfRule type="expression" dxfId="497" priority="472">
      <formula>SEARCH("CHN",$S241)</formula>
    </cfRule>
  </conditionalFormatting>
  <conditionalFormatting sqref="S241">
    <cfRule type="cellIs" dxfId="496" priority="467" operator="equal">
      <formula>"DSM"</formula>
    </cfRule>
  </conditionalFormatting>
  <conditionalFormatting sqref="S241">
    <cfRule type="expression" dxfId="495" priority="463">
      <formula>SEARCH("RBT",$S241)</formula>
    </cfRule>
    <cfRule type="expression" dxfId="494" priority="464">
      <formula>SEARCH("GST",$S241)</formula>
    </cfRule>
    <cfRule type="expression" dxfId="493" priority="465">
      <formula>SEARCH("CHN",$S241)</formula>
    </cfRule>
    <cfRule type="expression" dxfId="492" priority="466">
      <formula>SEARCH("LFS",$S241)</formula>
    </cfRule>
  </conditionalFormatting>
  <conditionalFormatting sqref="A297:B297">
    <cfRule type="expression" dxfId="491" priority="878">
      <formula>$S300="DSM"</formula>
    </cfRule>
    <cfRule type="expression" dxfId="490" priority="879">
      <formula>SEARCH("GST",$S300)</formula>
    </cfRule>
    <cfRule type="expression" dxfId="489" priority="880">
      <formula>SEARCH("RBT",$S300)</formula>
    </cfRule>
    <cfRule type="expression" dxfId="488" priority="881">
      <formula>SEARCH("LFS",$S300)</formula>
    </cfRule>
    <cfRule type="expression" dxfId="487" priority="882">
      <formula>SEARCH("CHN",$S300)</formula>
    </cfRule>
  </conditionalFormatting>
  <conditionalFormatting sqref="D427:V427">
    <cfRule type="expression" dxfId="486" priority="458">
      <formula>$S427="DSM"</formula>
    </cfRule>
    <cfRule type="expression" dxfId="485" priority="459">
      <formula>SEARCH("GST",$S427)</formula>
    </cfRule>
    <cfRule type="expression" dxfId="484" priority="460">
      <formula>SEARCH("RBT",$S427)</formula>
    </cfRule>
    <cfRule type="expression" dxfId="483" priority="461">
      <formula>SEARCH("LFS",$S427)</formula>
    </cfRule>
    <cfRule type="expression" dxfId="482" priority="462">
      <formula>SEARCH("CHN",$S427)</formula>
    </cfRule>
  </conditionalFormatting>
  <conditionalFormatting sqref="S427">
    <cfRule type="cellIs" dxfId="481" priority="457" operator="equal">
      <formula>"DSM"</formula>
    </cfRule>
  </conditionalFormatting>
  <conditionalFormatting sqref="S427">
    <cfRule type="expression" dxfId="480" priority="453">
      <formula>SEARCH("RBT",$S427)</formula>
    </cfRule>
    <cfRule type="expression" dxfId="479" priority="454">
      <formula>SEARCH("GST",$S427)</formula>
    </cfRule>
    <cfRule type="expression" dxfId="478" priority="455">
      <formula>SEARCH("CHN",$S427)</formula>
    </cfRule>
    <cfRule type="expression" dxfId="477" priority="456">
      <formula>SEARCH("LFS",$S427)</formula>
    </cfRule>
  </conditionalFormatting>
  <conditionalFormatting sqref="X427">
    <cfRule type="expression" dxfId="476" priority="448">
      <formula>$S427="DSM"</formula>
    </cfRule>
    <cfRule type="expression" dxfId="475" priority="449">
      <formula>SEARCH("GST",$S427)</formula>
    </cfRule>
    <cfRule type="expression" dxfId="474" priority="450">
      <formula>SEARCH("RBT",$S427)</formula>
    </cfRule>
    <cfRule type="expression" dxfId="473" priority="451">
      <formula>SEARCH("LFS",$S427)</formula>
    </cfRule>
    <cfRule type="expression" dxfId="472" priority="452">
      <formula>SEARCH("CHN",$S427)</formula>
    </cfRule>
  </conditionalFormatting>
  <conditionalFormatting sqref="W427">
    <cfRule type="expression" dxfId="471" priority="443">
      <formula>$S427="DSM"</formula>
    </cfRule>
    <cfRule type="expression" dxfId="470" priority="444">
      <formula>SEARCH("GST",$S427)</formula>
    </cfRule>
    <cfRule type="expression" dxfId="469" priority="445">
      <formula>SEARCH("RBT",$S427)</formula>
    </cfRule>
    <cfRule type="expression" dxfId="468" priority="446">
      <formula>SEARCH("LFS",$S427)</formula>
    </cfRule>
    <cfRule type="expression" dxfId="467" priority="447">
      <formula>SEARCH("CHN",$S427)</formula>
    </cfRule>
  </conditionalFormatting>
  <conditionalFormatting sqref="D428:V428">
    <cfRule type="expression" dxfId="466" priority="438">
      <formula>$S428="DSM"</formula>
    </cfRule>
    <cfRule type="expression" dxfId="465" priority="439">
      <formula>SEARCH("GST",$S428)</formula>
    </cfRule>
    <cfRule type="expression" dxfId="464" priority="440">
      <formula>SEARCH("RBT",$S428)</formula>
    </cfRule>
    <cfRule type="expression" dxfId="463" priority="441">
      <formula>SEARCH("LFS",$S428)</formula>
    </cfRule>
    <cfRule type="expression" dxfId="462" priority="442">
      <formula>SEARCH("CHN",$S428)</formula>
    </cfRule>
  </conditionalFormatting>
  <conditionalFormatting sqref="S428">
    <cfRule type="cellIs" dxfId="461" priority="437" operator="equal">
      <formula>"DSM"</formula>
    </cfRule>
  </conditionalFormatting>
  <conditionalFormatting sqref="S428">
    <cfRule type="expression" dxfId="460" priority="433">
      <formula>SEARCH("RBT",$S428)</formula>
    </cfRule>
    <cfRule type="expression" dxfId="459" priority="434">
      <formula>SEARCH("GST",$S428)</formula>
    </cfRule>
    <cfRule type="expression" dxfId="458" priority="435">
      <formula>SEARCH("CHN",$S428)</formula>
    </cfRule>
    <cfRule type="expression" dxfId="457" priority="436">
      <formula>SEARCH("LFS",$S428)</formula>
    </cfRule>
  </conditionalFormatting>
  <conditionalFormatting sqref="X428">
    <cfRule type="expression" dxfId="456" priority="428">
      <formula>$S428="DSM"</formula>
    </cfRule>
    <cfRule type="expression" dxfId="455" priority="429">
      <formula>SEARCH("GST",$S428)</formula>
    </cfRule>
    <cfRule type="expression" dxfId="454" priority="430">
      <formula>SEARCH("RBT",$S428)</formula>
    </cfRule>
    <cfRule type="expression" dxfId="453" priority="431">
      <formula>SEARCH("LFS",$S428)</formula>
    </cfRule>
    <cfRule type="expression" dxfId="452" priority="432">
      <formula>SEARCH("CHN",$S428)</formula>
    </cfRule>
  </conditionalFormatting>
  <conditionalFormatting sqref="W428">
    <cfRule type="expression" dxfId="451" priority="423">
      <formula>$S428="DSM"</formula>
    </cfRule>
    <cfRule type="expression" dxfId="450" priority="424">
      <formula>SEARCH("GST",$S428)</formula>
    </cfRule>
    <cfRule type="expression" dxfId="449" priority="425">
      <formula>SEARCH("RBT",$S428)</formula>
    </cfRule>
    <cfRule type="expression" dxfId="448" priority="426">
      <formula>SEARCH("LFS",$S428)</formula>
    </cfRule>
    <cfRule type="expression" dxfId="447" priority="427">
      <formula>SEARCH("CHN",$S428)</formula>
    </cfRule>
  </conditionalFormatting>
  <conditionalFormatting sqref="F446:H446">
    <cfRule type="expression" dxfId="446" priority="418">
      <formula>$S446="DSM"</formula>
    </cfRule>
    <cfRule type="expression" dxfId="445" priority="419">
      <formula>SEARCH("GST",$S446)</formula>
    </cfRule>
    <cfRule type="expression" dxfId="444" priority="420">
      <formula>SEARCH("RBT",$S446)</formula>
    </cfRule>
    <cfRule type="expression" dxfId="443" priority="421">
      <formula>SEARCH("LFS",$S446)</formula>
    </cfRule>
    <cfRule type="expression" dxfId="442" priority="422">
      <formula>SEARCH("CHN",$S446)</formula>
    </cfRule>
  </conditionalFormatting>
  <conditionalFormatting sqref="C446">
    <cfRule type="expression" dxfId="441" priority="413">
      <formula>$S446="DSM"</formula>
    </cfRule>
    <cfRule type="expression" dxfId="440" priority="414">
      <formula>SEARCH("GST",$S446)</formula>
    </cfRule>
    <cfRule type="expression" dxfId="439" priority="415">
      <formula>SEARCH("RBT",$S446)</formula>
    </cfRule>
    <cfRule type="expression" dxfId="438" priority="416">
      <formula>SEARCH("LFS",$S446)</formula>
    </cfRule>
    <cfRule type="expression" dxfId="437" priority="417">
      <formula>SEARCH("CHN",$S446)</formula>
    </cfRule>
  </conditionalFormatting>
  <conditionalFormatting sqref="W447">
    <cfRule type="expression" dxfId="436" priority="408">
      <formula>$S447="DSM"</formula>
    </cfRule>
    <cfRule type="expression" dxfId="435" priority="409">
      <formula>SEARCH("GST",$S447)</formula>
    </cfRule>
    <cfRule type="expression" dxfId="434" priority="410">
      <formula>SEARCH("RBT",$S447)</formula>
    </cfRule>
    <cfRule type="expression" dxfId="433" priority="411">
      <formula>SEARCH("LFS",$S447)</formula>
    </cfRule>
    <cfRule type="expression" dxfId="432" priority="412">
      <formula>SEARCH("CHN",$S447)</formula>
    </cfRule>
  </conditionalFormatting>
  <conditionalFormatting sqref="S447:V447">
    <cfRule type="expression" dxfId="431" priority="403">
      <formula>$S447="DSM"</formula>
    </cfRule>
    <cfRule type="expression" dxfId="430" priority="404">
      <formula>SEARCH("GST",$S447)</formula>
    </cfRule>
    <cfRule type="expression" dxfId="429" priority="405">
      <formula>SEARCH("RBT",$S447)</formula>
    </cfRule>
    <cfRule type="expression" dxfId="428" priority="406">
      <formula>SEARCH("LFS",$S447)</formula>
    </cfRule>
    <cfRule type="expression" dxfId="427" priority="407">
      <formula>SEARCH("CHN",$S447)</formula>
    </cfRule>
  </conditionalFormatting>
  <conditionalFormatting sqref="S447">
    <cfRule type="cellIs" dxfId="426" priority="402" operator="equal">
      <formula>"DSM"</formula>
    </cfRule>
  </conditionalFormatting>
  <conditionalFormatting sqref="S447">
    <cfRule type="expression" dxfId="425" priority="398">
      <formula>SEARCH("RBT",$S447)</formula>
    </cfRule>
    <cfRule type="expression" dxfId="424" priority="399">
      <formula>SEARCH("GST",$S447)</formula>
    </cfRule>
    <cfRule type="expression" dxfId="423" priority="400">
      <formula>SEARCH("CHN",$S447)</formula>
    </cfRule>
    <cfRule type="expression" dxfId="422" priority="401">
      <formula>SEARCH("LFS",$S447)</formula>
    </cfRule>
  </conditionalFormatting>
  <conditionalFormatting sqref="S446:U446">
    <cfRule type="expression" dxfId="421" priority="393">
      <formula>$S446="DSM"</formula>
    </cfRule>
    <cfRule type="expression" dxfId="420" priority="394">
      <formula>SEARCH("GST",$S446)</formula>
    </cfRule>
    <cfRule type="expression" dxfId="419" priority="395">
      <formula>SEARCH("RBT",$S446)</formula>
    </cfRule>
    <cfRule type="expression" dxfId="418" priority="396">
      <formula>SEARCH("LFS",$S446)</formula>
    </cfRule>
    <cfRule type="expression" dxfId="417" priority="397">
      <formula>SEARCH("CHN",$S446)</formula>
    </cfRule>
  </conditionalFormatting>
  <conditionalFormatting sqref="S446">
    <cfRule type="cellIs" dxfId="416" priority="392" operator="equal">
      <formula>"DSM"</formula>
    </cfRule>
  </conditionalFormatting>
  <conditionalFormatting sqref="S446">
    <cfRule type="expression" dxfId="415" priority="388">
      <formula>SEARCH("RBT",$S446)</formula>
    </cfRule>
    <cfRule type="expression" dxfId="414" priority="389">
      <formula>SEARCH("GST",$S446)</formula>
    </cfRule>
    <cfRule type="expression" dxfId="413" priority="390">
      <formula>SEARCH("CHN",$S446)</formula>
    </cfRule>
    <cfRule type="expression" dxfId="412" priority="391">
      <formula>SEARCH("LFS",$S446)</formula>
    </cfRule>
  </conditionalFormatting>
  <conditionalFormatting sqref="W446:X446">
    <cfRule type="expression" dxfId="411" priority="383">
      <formula>$S446="DSM"</formula>
    </cfRule>
    <cfRule type="expression" dxfId="410" priority="384">
      <formula>SEARCH("GST",$S446)</formula>
    </cfRule>
    <cfRule type="expression" dxfId="409" priority="385">
      <formula>SEARCH("RBT",$S446)</formula>
    </cfRule>
    <cfRule type="expression" dxfId="408" priority="386">
      <formula>SEARCH("LFS",$S446)</formula>
    </cfRule>
    <cfRule type="expression" dxfId="407" priority="387">
      <formula>SEARCH("CHN",$S446)</formula>
    </cfRule>
  </conditionalFormatting>
  <conditionalFormatting sqref="C447">
    <cfRule type="expression" dxfId="406" priority="378">
      <formula>$S447="DSM"</formula>
    </cfRule>
    <cfRule type="expression" dxfId="405" priority="379">
      <formula>SEARCH("GST",$S447)</formula>
    </cfRule>
    <cfRule type="expression" dxfId="404" priority="380">
      <formula>SEARCH("RBT",$S447)</formula>
    </cfRule>
    <cfRule type="expression" dxfId="403" priority="381">
      <formula>SEARCH("LFS",$S447)</formula>
    </cfRule>
    <cfRule type="expression" dxfId="402" priority="382">
      <formula>SEARCH("CHN",$S447)</formula>
    </cfRule>
  </conditionalFormatting>
  <conditionalFormatting sqref="X447">
    <cfRule type="expression" dxfId="401" priority="373">
      <formula>$S447="DSM"</formula>
    </cfRule>
    <cfRule type="expression" dxfId="400" priority="374">
      <formula>SEARCH("GST",$S447)</formula>
    </cfRule>
    <cfRule type="expression" dxfId="399" priority="375">
      <formula>SEARCH("RBT",$S447)</formula>
    </cfRule>
    <cfRule type="expression" dxfId="398" priority="376">
      <formula>SEARCH("LFS",$S447)</formula>
    </cfRule>
    <cfRule type="expression" dxfId="397" priority="377">
      <formula>SEARCH("CHN",$S447)</formula>
    </cfRule>
  </conditionalFormatting>
  <conditionalFormatting sqref="G447:H447">
    <cfRule type="expression" dxfId="396" priority="368">
      <formula>$S447="DSM"</formula>
    </cfRule>
    <cfRule type="expression" dxfId="395" priority="369">
      <formula>SEARCH("GST",$S447)</formula>
    </cfRule>
    <cfRule type="expression" dxfId="394" priority="370">
      <formula>SEARCH("RBT",$S447)</formula>
    </cfRule>
    <cfRule type="expression" dxfId="393" priority="371">
      <formula>SEARCH("LFS",$S447)</formula>
    </cfRule>
    <cfRule type="expression" dxfId="392" priority="372">
      <formula>SEARCH("CHN",$S447)</formula>
    </cfRule>
  </conditionalFormatting>
  <conditionalFormatting sqref="F447">
    <cfRule type="expression" dxfId="391" priority="363">
      <formula>$S447="DSM"</formula>
    </cfRule>
    <cfRule type="expression" dxfId="390" priority="364">
      <formula>SEARCH("GST",$S447)</formula>
    </cfRule>
    <cfRule type="expression" dxfId="389" priority="365">
      <formula>SEARCH("RBT",$S447)</formula>
    </cfRule>
    <cfRule type="expression" dxfId="388" priority="366">
      <formula>SEARCH("LFS",$S447)</formula>
    </cfRule>
    <cfRule type="expression" dxfId="387" priority="367">
      <formula>SEARCH("CHN",$S447)</formula>
    </cfRule>
  </conditionalFormatting>
  <conditionalFormatting sqref="F448:H448">
    <cfRule type="expression" dxfId="386" priority="358">
      <formula>$S448="DSM"</formula>
    </cfRule>
    <cfRule type="expression" dxfId="385" priority="359">
      <formula>SEARCH("GST",$S448)</formula>
    </cfRule>
    <cfRule type="expression" dxfId="384" priority="360">
      <formula>SEARCH("RBT",$S448)</formula>
    </cfRule>
    <cfRule type="expression" dxfId="383" priority="361">
      <formula>SEARCH("LFS",$S448)</formula>
    </cfRule>
    <cfRule type="expression" dxfId="382" priority="362">
      <formula>SEARCH("CHN",$S448)</formula>
    </cfRule>
  </conditionalFormatting>
  <conditionalFormatting sqref="B448:C448">
    <cfRule type="expression" dxfId="381" priority="353">
      <formula>$S448="DSM"</formula>
    </cfRule>
    <cfRule type="expression" dxfId="380" priority="354">
      <formula>SEARCH("GST",$S448)</formula>
    </cfRule>
    <cfRule type="expression" dxfId="379" priority="355">
      <formula>SEARCH("RBT",$S448)</formula>
    </cfRule>
    <cfRule type="expression" dxfId="378" priority="356">
      <formula>SEARCH("LFS",$S448)</formula>
    </cfRule>
    <cfRule type="expression" dxfId="377" priority="357">
      <formula>SEARCH("CHN",$S448)</formula>
    </cfRule>
  </conditionalFormatting>
  <conditionalFormatting sqref="W448">
    <cfRule type="expression" dxfId="376" priority="348">
      <formula>$S448="DSM"</formula>
    </cfRule>
    <cfRule type="expression" dxfId="375" priority="349">
      <formula>SEARCH("GST",$S448)</formula>
    </cfRule>
    <cfRule type="expression" dxfId="374" priority="350">
      <formula>SEARCH("RBT",$S448)</formula>
    </cfRule>
    <cfRule type="expression" dxfId="373" priority="351">
      <formula>SEARCH("LFS",$S448)</formula>
    </cfRule>
    <cfRule type="expression" dxfId="372" priority="352">
      <formula>SEARCH("CHN",$S448)</formula>
    </cfRule>
  </conditionalFormatting>
  <conditionalFormatting sqref="S448:V448">
    <cfRule type="expression" dxfId="371" priority="343">
      <formula>$S448="DSM"</formula>
    </cfRule>
    <cfRule type="expression" dxfId="370" priority="344">
      <formula>SEARCH("GST",$S448)</formula>
    </cfRule>
    <cfRule type="expression" dxfId="369" priority="345">
      <formula>SEARCH("RBT",$S448)</formula>
    </cfRule>
    <cfRule type="expression" dxfId="368" priority="346">
      <formula>SEARCH("LFS",$S448)</formula>
    </cfRule>
    <cfRule type="expression" dxfId="367" priority="347">
      <formula>SEARCH("CHN",$S448)</formula>
    </cfRule>
  </conditionalFormatting>
  <conditionalFormatting sqref="S448">
    <cfRule type="cellIs" dxfId="366" priority="342" operator="equal">
      <formula>"DSM"</formula>
    </cfRule>
  </conditionalFormatting>
  <conditionalFormatting sqref="S448">
    <cfRule type="expression" dxfId="365" priority="338">
      <formula>SEARCH("RBT",$S448)</formula>
    </cfRule>
    <cfRule type="expression" dxfId="364" priority="339">
      <formula>SEARCH("GST",$S448)</formula>
    </cfRule>
    <cfRule type="expression" dxfId="363" priority="340">
      <formula>SEARCH("CHN",$S448)</formula>
    </cfRule>
    <cfRule type="expression" dxfId="362" priority="341">
      <formula>SEARCH("LFS",$S448)</formula>
    </cfRule>
  </conditionalFormatting>
  <conditionalFormatting sqref="X448">
    <cfRule type="expression" dxfId="361" priority="333">
      <formula>$S448="DSM"</formula>
    </cfRule>
    <cfRule type="expression" dxfId="360" priority="334">
      <formula>SEARCH("GST",$S448)</formula>
    </cfRule>
    <cfRule type="expression" dxfId="359" priority="335">
      <formula>SEARCH("RBT",$S448)</formula>
    </cfRule>
    <cfRule type="expression" dxfId="358" priority="336">
      <formula>SEARCH("LFS",$S448)</formula>
    </cfRule>
    <cfRule type="expression" dxfId="357" priority="337">
      <formula>SEARCH("CHN",$S448)</formula>
    </cfRule>
  </conditionalFormatting>
  <conditionalFormatting sqref="C449">
    <cfRule type="expression" dxfId="356" priority="328">
      <formula>$S449="DSM"</formula>
    </cfRule>
    <cfRule type="expression" dxfId="355" priority="329">
      <formula>SEARCH("GST",$S449)</formula>
    </cfRule>
    <cfRule type="expression" dxfId="354" priority="330">
      <formula>SEARCH("RBT",$S449)</formula>
    </cfRule>
    <cfRule type="expression" dxfId="353" priority="331">
      <formula>SEARCH("LFS",$S449)</formula>
    </cfRule>
    <cfRule type="expression" dxfId="352" priority="332">
      <formula>SEARCH("CHN",$S449)</formula>
    </cfRule>
  </conditionalFormatting>
  <conditionalFormatting sqref="F449:H449">
    <cfRule type="expression" dxfId="351" priority="323">
      <formula>$S449="DSM"</formula>
    </cfRule>
    <cfRule type="expression" dxfId="350" priority="324">
      <formula>SEARCH("GST",$S449)</formula>
    </cfRule>
    <cfRule type="expression" dxfId="349" priority="325">
      <formula>SEARCH("RBT",$S449)</formula>
    </cfRule>
    <cfRule type="expression" dxfId="348" priority="326">
      <formula>SEARCH("LFS",$S449)</formula>
    </cfRule>
    <cfRule type="expression" dxfId="347" priority="327">
      <formula>SEARCH("CHN",$S449)</formula>
    </cfRule>
  </conditionalFormatting>
  <conditionalFormatting sqref="S449:X449">
    <cfRule type="expression" dxfId="346" priority="318">
      <formula>$S449="DSM"</formula>
    </cfRule>
    <cfRule type="expression" dxfId="345" priority="319">
      <formula>SEARCH("GST",$S449)</formula>
    </cfRule>
    <cfRule type="expression" dxfId="344" priority="320">
      <formula>SEARCH("RBT",$S449)</formula>
    </cfRule>
    <cfRule type="expression" dxfId="343" priority="321">
      <formula>SEARCH("LFS",$S449)</formula>
    </cfRule>
    <cfRule type="expression" dxfId="342" priority="322">
      <formula>SEARCH("CHN",$S449)</formula>
    </cfRule>
  </conditionalFormatting>
  <conditionalFormatting sqref="S449">
    <cfRule type="cellIs" dxfId="341" priority="317" operator="equal">
      <formula>"DSM"</formula>
    </cfRule>
  </conditionalFormatting>
  <conditionalFormatting sqref="S449">
    <cfRule type="expression" dxfId="340" priority="313">
      <formula>SEARCH("RBT",$S449)</formula>
    </cfRule>
    <cfRule type="expression" dxfId="339" priority="314">
      <formula>SEARCH("GST",$S449)</formula>
    </cfRule>
    <cfRule type="expression" dxfId="338" priority="315">
      <formula>SEARCH("CHN",$S449)</formula>
    </cfRule>
    <cfRule type="expression" dxfId="337" priority="316">
      <formula>SEARCH("LFS",$S449)</formula>
    </cfRule>
  </conditionalFormatting>
  <conditionalFormatting sqref="B452:C453">
    <cfRule type="expression" dxfId="336" priority="273">
      <formula>$S452="DSM"</formula>
    </cfRule>
    <cfRule type="expression" dxfId="335" priority="274">
      <formula>SEARCH("GST",$S452)</formula>
    </cfRule>
    <cfRule type="expression" dxfId="334" priority="275">
      <formula>SEARCH("RBT",$S452)</formula>
    </cfRule>
    <cfRule type="expression" dxfId="333" priority="276">
      <formula>SEARCH("LFS",$S452)</formula>
    </cfRule>
    <cfRule type="expression" dxfId="332" priority="277">
      <formula>SEARCH("CHN",$S452)</formula>
    </cfRule>
  </conditionalFormatting>
  <conditionalFormatting sqref="F450:H450">
    <cfRule type="expression" dxfId="331" priority="308">
      <formula>$S450="DSM"</formula>
    </cfRule>
    <cfRule type="expression" dxfId="330" priority="309">
      <formula>SEARCH("GST",$S450)</formula>
    </cfRule>
    <cfRule type="expression" dxfId="329" priority="310">
      <formula>SEARCH("RBT",$S450)</formula>
    </cfRule>
    <cfRule type="expression" dxfId="328" priority="311">
      <formula>SEARCH("LFS",$S450)</formula>
    </cfRule>
    <cfRule type="expression" dxfId="327" priority="312">
      <formula>SEARCH("CHN",$S450)</formula>
    </cfRule>
  </conditionalFormatting>
  <conditionalFormatting sqref="S450:X450">
    <cfRule type="expression" dxfId="326" priority="303">
      <formula>$S450="DSM"</formula>
    </cfRule>
    <cfRule type="expression" dxfId="325" priority="304">
      <formula>SEARCH("GST",$S450)</formula>
    </cfRule>
    <cfRule type="expression" dxfId="324" priority="305">
      <formula>SEARCH("RBT",$S450)</formula>
    </cfRule>
    <cfRule type="expression" dxfId="323" priority="306">
      <formula>SEARCH("LFS",$S450)</formula>
    </cfRule>
    <cfRule type="expression" dxfId="322" priority="307">
      <formula>SEARCH("CHN",$S450)</formula>
    </cfRule>
  </conditionalFormatting>
  <conditionalFormatting sqref="S450">
    <cfRule type="cellIs" dxfId="321" priority="302" operator="equal">
      <formula>"DSM"</formula>
    </cfRule>
  </conditionalFormatting>
  <conditionalFormatting sqref="S450">
    <cfRule type="expression" dxfId="320" priority="298">
      <formula>SEARCH("RBT",$S450)</formula>
    </cfRule>
    <cfRule type="expression" dxfId="319" priority="299">
      <formula>SEARCH("GST",$S450)</formula>
    </cfRule>
    <cfRule type="expression" dxfId="318" priority="300">
      <formula>SEARCH("CHN",$S450)</formula>
    </cfRule>
    <cfRule type="expression" dxfId="317" priority="301">
      <formula>SEARCH("LFS",$S450)</formula>
    </cfRule>
  </conditionalFormatting>
  <conditionalFormatting sqref="F451:H451">
    <cfRule type="expression" dxfId="316" priority="293">
      <formula>$S451="DSM"</formula>
    </cfRule>
    <cfRule type="expression" dxfId="315" priority="294">
      <formula>SEARCH("GST",$S451)</formula>
    </cfRule>
    <cfRule type="expression" dxfId="314" priority="295">
      <formula>SEARCH("RBT",$S451)</formula>
    </cfRule>
    <cfRule type="expression" dxfId="313" priority="296">
      <formula>SEARCH("LFS",$S451)</formula>
    </cfRule>
    <cfRule type="expression" dxfId="312" priority="297">
      <formula>SEARCH("CHN",$S451)</formula>
    </cfRule>
  </conditionalFormatting>
  <conditionalFormatting sqref="S451:X451">
    <cfRule type="expression" dxfId="311" priority="288">
      <formula>$S451="DSM"</formula>
    </cfRule>
    <cfRule type="expression" dxfId="310" priority="289">
      <formula>SEARCH("GST",$S451)</formula>
    </cfRule>
    <cfRule type="expression" dxfId="309" priority="290">
      <formula>SEARCH("RBT",$S451)</formula>
    </cfRule>
    <cfRule type="expression" dxfId="308" priority="291">
      <formula>SEARCH("LFS",$S451)</formula>
    </cfRule>
    <cfRule type="expression" dxfId="307" priority="292">
      <formula>SEARCH("CHN",$S451)</formula>
    </cfRule>
  </conditionalFormatting>
  <conditionalFormatting sqref="S451">
    <cfRule type="cellIs" dxfId="306" priority="287" operator="equal">
      <formula>"DSM"</formula>
    </cfRule>
  </conditionalFormatting>
  <conditionalFormatting sqref="S451">
    <cfRule type="expression" dxfId="305" priority="283">
      <formula>SEARCH("RBT",$S451)</formula>
    </cfRule>
    <cfRule type="expression" dxfId="304" priority="284">
      <formula>SEARCH("GST",$S451)</formula>
    </cfRule>
    <cfRule type="expression" dxfId="303" priority="285">
      <formula>SEARCH("CHN",$S451)</formula>
    </cfRule>
    <cfRule type="expression" dxfId="302" priority="286">
      <formula>SEARCH("LFS",$S451)</formula>
    </cfRule>
  </conditionalFormatting>
  <conditionalFormatting sqref="F452:H453">
    <cfRule type="expression" dxfId="301" priority="278">
      <formula>$S452="DSM"</formula>
    </cfRule>
    <cfRule type="expression" dxfId="300" priority="279">
      <formula>SEARCH("GST",$S452)</formula>
    </cfRule>
    <cfRule type="expression" dxfId="299" priority="280">
      <formula>SEARCH("RBT",$S452)</formula>
    </cfRule>
    <cfRule type="expression" dxfId="298" priority="281">
      <formula>SEARCH("LFS",$S452)</formula>
    </cfRule>
    <cfRule type="expression" dxfId="297" priority="282">
      <formula>SEARCH("CHN",$S452)</formula>
    </cfRule>
  </conditionalFormatting>
  <conditionalFormatting sqref="S452:X452">
    <cfRule type="expression" dxfId="296" priority="268">
      <formula>$S452="DSM"</formula>
    </cfRule>
    <cfRule type="expression" dxfId="295" priority="269">
      <formula>SEARCH("GST",$S452)</formula>
    </cfRule>
    <cfRule type="expression" dxfId="294" priority="270">
      <formula>SEARCH("RBT",$S452)</formula>
    </cfRule>
    <cfRule type="expression" dxfId="293" priority="271">
      <formula>SEARCH("LFS",$S452)</formula>
    </cfRule>
    <cfRule type="expression" dxfId="292" priority="272">
      <formula>SEARCH("CHN",$S452)</formula>
    </cfRule>
  </conditionalFormatting>
  <conditionalFormatting sqref="S452">
    <cfRule type="cellIs" dxfId="291" priority="267" operator="equal">
      <formula>"DSM"</formula>
    </cfRule>
  </conditionalFormatting>
  <conditionalFormatting sqref="S452">
    <cfRule type="expression" dxfId="290" priority="263">
      <formula>SEARCH("RBT",$S452)</formula>
    </cfRule>
    <cfRule type="expression" dxfId="289" priority="264">
      <formula>SEARCH("GST",$S452)</formula>
    </cfRule>
    <cfRule type="expression" dxfId="288" priority="265">
      <formula>SEARCH("CHN",$S452)</formula>
    </cfRule>
    <cfRule type="expression" dxfId="287" priority="266">
      <formula>SEARCH("LFS",$S452)</formula>
    </cfRule>
  </conditionalFormatting>
  <conditionalFormatting sqref="S453:X453">
    <cfRule type="expression" dxfId="286" priority="258">
      <formula>$S453="DSM"</formula>
    </cfRule>
    <cfRule type="expression" dxfId="285" priority="259">
      <formula>SEARCH("GST",$S453)</formula>
    </cfRule>
    <cfRule type="expression" dxfId="284" priority="260">
      <formula>SEARCH("RBT",$S453)</formula>
    </cfRule>
    <cfRule type="expression" dxfId="283" priority="261">
      <formula>SEARCH("LFS",$S453)</formula>
    </cfRule>
    <cfRule type="expression" dxfId="282" priority="262">
      <formula>SEARCH("CHN",$S453)</formula>
    </cfRule>
  </conditionalFormatting>
  <conditionalFormatting sqref="S453">
    <cfRule type="cellIs" dxfId="281" priority="257" operator="equal">
      <formula>"DSM"</formula>
    </cfRule>
  </conditionalFormatting>
  <conditionalFormatting sqref="S453">
    <cfRule type="expression" dxfId="280" priority="253">
      <formula>SEARCH("RBT",$S453)</formula>
    </cfRule>
    <cfRule type="expression" dxfId="279" priority="254">
      <formula>SEARCH("GST",$S453)</formula>
    </cfRule>
    <cfRule type="expression" dxfId="278" priority="255">
      <formula>SEARCH("CHN",$S453)</formula>
    </cfRule>
    <cfRule type="expression" dxfId="277" priority="256">
      <formula>SEARCH("LFS",$S453)</formula>
    </cfRule>
  </conditionalFormatting>
  <conditionalFormatting sqref="F454:H454">
    <cfRule type="expression" dxfId="276" priority="248">
      <formula>$S454="DSM"</formula>
    </cfRule>
    <cfRule type="expression" dxfId="275" priority="249">
      <formula>SEARCH("GST",$S454)</formula>
    </cfRule>
    <cfRule type="expression" dxfId="274" priority="250">
      <formula>SEARCH("RBT",$S454)</formula>
    </cfRule>
    <cfRule type="expression" dxfId="273" priority="251">
      <formula>SEARCH("LFS",$S454)</formula>
    </cfRule>
    <cfRule type="expression" dxfId="272" priority="252">
      <formula>SEARCH("CHN",$S454)</formula>
    </cfRule>
  </conditionalFormatting>
  <conditionalFormatting sqref="B454:C454">
    <cfRule type="expression" dxfId="271" priority="243">
      <formula>$S454="DSM"</formula>
    </cfRule>
    <cfRule type="expression" dxfId="270" priority="244">
      <formula>SEARCH("GST",$S454)</formula>
    </cfRule>
    <cfRule type="expression" dxfId="269" priority="245">
      <formula>SEARCH("RBT",$S454)</formula>
    </cfRule>
    <cfRule type="expression" dxfId="268" priority="246">
      <formula>SEARCH("LFS",$S454)</formula>
    </cfRule>
    <cfRule type="expression" dxfId="267" priority="247">
      <formula>SEARCH("CHN",$S454)</formula>
    </cfRule>
  </conditionalFormatting>
  <conditionalFormatting sqref="S454:X454">
    <cfRule type="expression" dxfId="266" priority="238">
      <formula>$S454="DSM"</formula>
    </cfRule>
    <cfRule type="expression" dxfId="265" priority="239">
      <formula>SEARCH("GST",$S454)</formula>
    </cfRule>
    <cfRule type="expression" dxfId="264" priority="240">
      <formula>SEARCH("RBT",$S454)</formula>
    </cfRule>
    <cfRule type="expression" dxfId="263" priority="241">
      <formula>SEARCH("LFS",$S454)</formula>
    </cfRule>
    <cfRule type="expression" dxfId="262" priority="242">
      <formula>SEARCH("CHN",$S454)</formula>
    </cfRule>
  </conditionalFormatting>
  <conditionalFormatting sqref="S454">
    <cfRule type="cellIs" dxfId="261" priority="237" operator="equal">
      <formula>"DSM"</formula>
    </cfRule>
  </conditionalFormatting>
  <conditionalFormatting sqref="S454">
    <cfRule type="expression" dxfId="260" priority="233">
      <formula>SEARCH("RBT",$S454)</formula>
    </cfRule>
    <cfRule type="expression" dxfId="259" priority="234">
      <formula>SEARCH("GST",$S454)</formula>
    </cfRule>
    <cfRule type="expression" dxfId="258" priority="235">
      <formula>SEARCH("CHN",$S454)</formula>
    </cfRule>
    <cfRule type="expression" dxfId="257" priority="236">
      <formula>SEARCH("LFS",$S454)</formula>
    </cfRule>
  </conditionalFormatting>
  <conditionalFormatting sqref="F455:H455">
    <cfRule type="expression" dxfId="256" priority="228">
      <formula>$S455="DSM"</formula>
    </cfRule>
    <cfRule type="expression" dxfId="255" priority="229">
      <formula>SEARCH("GST",$S455)</formula>
    </cfRule>
    <cfRule type="expression" dxfId="254" priority="230">
      <formula>SEARCH("RBT",$S455)</formula>
    </cfRule>
    <cfRule type="expression" dxfId="253" priority="231">
      <formula>SEARCH("LFS",$S455)</formula>
    </cfRule>
    <cfRule type="expression" dxfId="252" priority="232">
      <formula>SEARCH("CHN",$S455)</formula>
    </cfRule>
  </conditionalFormatting>
  <conditionalFormatting sqref="C455">
    <cfRule type="expression" dxfId="251" priority="223">
      <formula>$S455="DSM"</formula>
    </cfRule>
    <cfRule type="expression" dxfId="250" priority="224">
      <formula>SEARCH("GST",$S455)</formula>
    </cfRule>
    <cfRule type="expression" dxfId="249" priority="225">
      <formula>SEARCH("RBT",$S455)</formula>
    </cfRule>
    <cfRule type="expression" dxfId="248" priority="226">
      <formula>SEARCH("LFS",$S455)</formula>
    </cfRule>
    <cfRule type="expression" dxfId="247" priority="227">
      <formula>SEARCH("CHN",$S455)</formula>
    </cfRule>
  </conditionalFormatting>
  <conditionalFormatting sqref="S455:X455">
    <cfRule type="expression" dxfId="246" priority="218">
      <formula>$S455="DSM"</formula>
    </cfRule>
    <cfRule type="expression" dxfId="245" priority="219">
      <formula>SEARCH("GST",$S455)</formula>
    </cfRule>
    <cfRule type="expression" dxfId="244" priority="220">
      <formula>SEARCH("RBT",$S455)</formula>
    </cfRule>
    <cfRule type="expression" dxfId="243" priority="221">
      <formula>SEARCH("LFS",$S455)</formula>
    </cfRule>
    <cfRule type="expression" dxfId="242" priority="222">
      <formula>SEARCH("CHN",$S455)</formula>
    </cfRule>
  </conditionalFormatting>
  <conditionalFormatting sqref="S455">
    <cfRule type="cellIs" dxfId="241" priority="217" operator="equal">
      <formula>"DSM"</formula>
    </cfRule>
  </conditionalFormatting>
  <conditionalFormatting sqref="S455">
    <cfRule type="expression" dxfId="240" priority="213">
      <formula>SEARCH("RBT",$S455)</formula>
    </cfRule>
    <cfRule type="expression" dxfId="239" priority="214">
      <formula>SEARCH("GST",$S455)</formula>
    </cfRule>
    <cfRule type="expression" dxfId="238" priority="215">
      <formula>SEARCH("CHN",$S455)</formula>
    </cfRule>
    <cfRule type="expression" dxfId="237" priority="216">
      <formula>SEARCH("LFS",$S455)</formula>
    </cfRule>
  </conditionalFormatting>
  <conditionalFormatting sqref="F456:H457">
    <cfRule type="expression" dxfId="236" priority="208">
      <formula>$S456="DSM"</formula>
    </cfRule>
    <cfRule type="expression" dxfId="235" priority="209">
      <formula>SEARCH("GST",$S456)</formula>
    </cfRule>
    <cfRule type="expression" dxfId="234" priority="210">
      <formula>SEARCH("RBT",$S456)</formula>
    </cfRule>
    <cfRule type="expression" dxfId="233" priority="211">
      <formula>SEARCH("LFS",$S456)</formula>
    </cfRule>
    <cfRule type="expression" dxfId="232" priority="212">
      <formula>SEARCH("CHN",$S456)</formula>
    </cfRule>
  </conditionalFormatting>
  <conditionalFormatting sqref="C456:C457">
    <cfRule type="expression" dxfId="231" priority="203">
      <formula>$S456="DSM"</formula>
    </cfRule>
    <cfRule type="expression" dxfId="230" priority="204">
      <formula>SEARCH("GST",$S456)</formula>
    </cfRule>
    <cfRule type="expression" dxfId="229" priority="205">
      <formula>SEARCH("RBT",$S456)</formula>
    </cfRule>
    <cfRule type="expression" dxfId="228" priority="206">
      <formula>SEARCH("LFS",$S456)</formula>
    </cfRule>
    <cfRule type="expression" dxfId="227" priority="207">
      <formula>SEARCH("CHN",$S456)</formula>
    </cfRule>
  </conditionalFormatting>
  <conditionalFormatting sqref="C458">
    <cfRule type="expression" dxfId="226" priority="198">
      <formula>$S458="DSM"</formula>
    </cfRule>
    <cfRule type="expression" dxfId="225" priority="199">
      <formula>SEARCH("GST",$S458)</formula>
    </cfRule>
    <cfRule type="expression" dxfId="224" priority="200">
      <formula>SEARCH("RBT",$S458)</formula>
    </cfRule>
    <cfRule type="expression" dxfId="223" priority="201">
      <formula>SEARCH("LFS",$S458)</formula>
    </cfRule>
    <cfRule type="expression" dxfId="222" priority="202">
      <formula>SEARCH("CHN",$S458)</formula>
    </cfRule>
  </conditionalFormatting>
  <conditionalFormatting sqref="F459:H459">
    <cfRule type="expression" dxfId="221" priority="193">
      <formula>$S459="DSM"</formula>
    </cfRule>
    <cfRule type="expression" dxfId="220" priority="194">
      <formula>SEARCH("GST",$S459)</formula>
    </cfRule>
    <cfRule type="expression" dxfId="219" priority="195">
      <formula>SEARCH("RBT",$S459)</formula>
    </cfRule>
    <cfRule type="expression" dxfId="218" priority="196">
      <formula>SEARCH("LFS",$S459)</formula>
    </cfRule>
    <cfRule type="expression" dxfId="217" priority="197">
      <formula>SEARCH("CHN",$S459)</formula>
    </cfRule>
  </conditionalFormatting>
  <conditionalFormatting sqref="S458:X458">
    <cfRule type="expression" dxfId="216" priority="188">
      <formula>$S458="DSM"</formula>
    </cfRule>
    <cfRule type="expression" dxfId="215" priority="189">
      <formula>SEARCH("GST",$S458)</formula>
    </cfRule>
    <cfRule type="expression" dxfId="214" priority="190">
      <formula>SEARCH("RBT",$S458)</formula>
    </cfRule>
    <cfRule type="expression" dxfId="213" priority="191">
      <formula>SEARCH("LFS",$S458)</formula>
    </cfRule>
    <cfRule type="expression" dxfId="212" priority="192">
      <formula>SEARCH("CHN",$S458)</formula>
    </cfRule>
  </conditionalFormatting>
  <conditionalFormatting sqref="S458">
    <cfRule type="cellIs" dxfId="211" priority="187" operator="equal">
      <formula>"DSM"</formula>
    </cfRule>
  </conditionalFormatting>
  <conditionalFormatting sqref="S458">
    <cfRule type="expression" dxfId="210" priority="183">
      <formula>SEARCH("RBT",$S458)</formula>
    </cfRule>
    <cfRule type="expression" dxfId="209" priority="184">
      <formula>SEARCH("GST",$S458)</formula>
    </cfRule>
    <cfRule type="expression" dxfId="208" priority="185">
      <formula>SEARCH("CHN",$S458)</formula>
    </cfRule>
    <cfRule type="expression" dxfId="207" priority="186">
      <formula>SEARCH("LFS",$S458)</formula>
    </cfRule>
  </conditionalFormatting>
  <conditionalFormatting sqref="S459:X459">
    <cfRule type="expression" dxfId="206" priority="178">
      <formula>$S459="DSM"</formula>
    </cfRule>
    <cfRule type="expression" dxfId="205" priority="179">
      <formula>SEARCH("GST",$S459)</formula>
    </cfRule>
    <cfRule type="expression" dxfId="204" priority="180">
      <formula>SEARCH("RBT",$S459)</formula>
    </cfRule>
    <cfRule type="expression" dxfId="203" priority="181">
      <formula>SEARCH("LFS",$S459)</formula>
    </cfRule>
    <cfRule type="expression" dxfId="202" priority="182">
      <formula>SEARCH("CHN",$S459)</formula>
    </cfRule>
  </conditionalFormatting>
  <conditionalFormatting sqref="S459">
    <cfRule type="cellIs" dxfId="201" priority="177" operator="equal">
      <formula>"DSM"</formula>
    </cfRule>
  </conditionalFormatting>
  <conditionalFormatting sqref="S459">
    <cfRule type="expression" dxfId="200" priority="173">
      <formula>SEARCH("RBT",$S459)</formula>
    </cfRule>
    <cfRule type="expression" dxfId="199" priority="174">
      <formula>SEARCH("GST",$S459)</formula>
    </cfRule>
    <cfRule type="expression" dxfId="198" priority="175">
      <formula>SEARCH("CHN",$S459)</formula>
    </cfRule>
    <cfRule type="expression" dxfId="197" priority="176">
      <formula>SEARCH("LFS",$S459)</formula>
    </cfRule>
  </conditionalFormatting>
  <conditionalFormatting sqref="W456:W457">
    <cfRule type="expression" dxfId="196" priority="168">
      <formula>$S456="DSM"</formula>
    </cfRule>
    <cfRule type="expression" dxfId="195" priority="169">
      <formula>SEARCH("GST",$S456)</formula>
    </cfRule>
    <cfRule type="expression" dxfId="194" priority="170">
      <formula>SEARCH("RBT",$S456)</formula>
    </cfRule>
    <cfRule type="expression" dxfId="193" priority="171">
      <formula>SEARCH("LFS",$S456)</formula>
    </cfRule>
    <cfRule type="expression" dxfId="192" priority="172">
      <formula>SEARCH("CHN",$S456)</formula>
    </cfRule>
  </conditionalFormatting>
  <conditionalFormatting sqref="S456:V457">
    <cfRule type="expression" dxfId="191" priority="163">
      <formula>$S456="DSM"</formula>
    </cfRule>
    <cfRule type="expression" dxfId="190" priority="164">
      <formula>SEARCH("GST",$S456)</formula>
    </cfRule>
    <cfRule type="expression" dxfId="189" priority="165">
      <formula>SEARCH("RBT",$S456)</formula>
    </cfRule>
    <cfRule type="expression" dxfId="188" priority="166">
      <formula>SEARCH("LFS",$S456)</formula>
    </cfRule>
    <cfRule type="expression" dxfId="187" priority="167">
      <formula>SEARCH("CHN",$S456)</formula>
    </cfRule>
  </conditionalFormatting>
  <conditionalFormatting sqref="S456:S457">
    <cfRule type="cellIs" dxfId="186" priority="162" operator="equal">
      <formula>"DSM"</formula>
    </cfRule>
  </conditionalFormatting>
  <conditionalFormatting sqref="S456:S457">
    <cfRule type="expression" dxfId="185" priority="158">
      <formula>SEARCH("RBT",$S456)</formula>
    </cfRule>
    <cfRule type="expression" dxfId="184" priority="159">
      <formula>SEARCH("GST",$S456)</formula>
    </cfRule>
    <cfRule type="expression" dxfId="183" priority="160">
      <formula>SEARCH("CHN",$S456)</formula>
    </cfRule>
    <cfRule type="expression" dxfId="182" priority="161">
      <formula>SEARCH("LFS",$S456)</formula>
    </cfRule>
  </conditionalFormatting>
  <conditionalFormatting sqref="X456:X457">
    <cfRule type="expression" dxfId="181" priority="153">
      <formula>$S456="DSM"</formula>
    </cfRule>
    <cfRule type="expression" dxfId="180" priority="154">
      <formula>SEARCH("GST",$S456)</formula>
    </cfRule>
    <cfRule type="expression" dxfId="179" priority="155">
      <formula>SEARCH("RBT",$S456)</formula>
    </cfRule>
    <cfRule type="expression" dxfId="178" priority="156">
      <formula>SEARCH("LFS",$S456)</formula>
    </cfRule>
    <cfRule type="expression" dxfId="177" priority="157">
      <formula>SEARCH("CHN",$S456)</formula>
    </cfRule>
  </conditionalFormatting>
  <conditionalFormatting sqref="F460:H460">
    <cfRule type="expression" dxfId="176" priority="148">
      <formula>$S460="DSM"</formula>
    </cfRule>
    <cfRule type="expression" dxfId="175" priority="149">
      <formula>SEARCH("GST",$S460)</formula>
    </cfRule>
    <cfRule type="expression" dxfId="174" priority="150">
      <formula>SEARCH("RBT",$S460)</formula>
    </cfRule>
    <cfRule type="expression" dxfId="173" priority="151">
      <formula>SEARCH("LFS",$S460)</formula>
    </cfRule>
    <cfRule type="expression" dxfId="172" priority="152">
      <formula>SEARCH("CHN",$S460)</formula>
    </cfRule>
  </conditionalFormatting>
  <conditionalFormatting sqref="C460">
    <cfRule type="expression" dxfId="171" priority="143">
      <formula>$S460="DSM"</formula>
    </cfRule>
    <cfRule type="expression" dxfId="170" priority="144">
      <formula>SEARCH("GST",$S460)</formula>
    </cfRule>
    <cfRule type="expression" dxfId="169" priority="145">
      <formula>SEARCH("RBT",$S460)</formula>
    </cfRule>
    <cfRule type="expression" dxfId="168" priority="146">
      <formula>SEARCH("LFS",$S460)</formula>
    </cfRule>
    <cfRule type="expression" dxfId="167" priority="147">
      <formula>SEARCH("CHN",$S460)</formula>
    </cfRule>
  </conditionalFormatting>
  <conditionalFormatting sqref="S460:X460">
    <cfRule type="expression" dxfId="166" priority="138">
      <formula>$S460="DSM"</formula>
    </cfRule>
    <cfRule type="expression" dxfId="165" priority="139">
      <formula>SEARCH("GST",$S460)</formula>
    </cfRule>
    <cfRule type="expression" dxfId="164" priority="140">
      <formula>SEARCH("RBT",$S460)</formula>
    </cfRule>
    <cfRule type="expression" dxfId="163" priority="141">
      <formula>SEARCH("LFS",$S460)</formula>
    </cfRule>
    <cfRule type="expression" dxfId="162" priority="142">
      <formula>SEARCH("CHN",$S460)</formula>
    </cfRule>
  </conditionalFormatting>
  <conditionalFormatting sqref="S460">
    <cfRule type="cellIs" dxfId="161" priority="137" operator="equal">
      <formula>"DSM"</formula>
    </cfRule>
  </conditionalFormatting>
  <conditionalFormatting sqref="S460">
    <cfRule type="expression" dxfId="160" priority="133">
      <formula>SEARCH("RBT",$S460)</formula>
    </cfRule>
    <cfRule type="expression" dxfId="159" priority="134">
      <formula>SEARCH("GST",$S460)</formula>
    </cfRule>
    <cfRule type="expression" dxfId="158" priority="135">
      <formula>SEARCH("CHN",$S460)</formula>
    </cfRule>
    <cfRule type="expression" dxfId="157" priority="136">
      <formula>SEARCH("LFS",$S460)</formula>
    </cfRule>
  </conditionalFormatting>
  <conditionalFormatting sqref="F461:H461">
    <cfRule type="expression" dxfId="156" priority="128">
      <formula>$S461="DSM"</formula>
    </cfRule>
    <cfRule type="expression" dxfId="155" priority="129">
      <formula>SEARCH("GST",$S461)</formula>
    </cfRule>
    <cfRule type="expression" dxfId="154" priority="130">
      <formula>SEARCH("RBT",$S461)</formula>
    </cfRule>
    <cfRule type="expression" dxfId="153" priority="131">
      <formula>SEARCH("LFS",$S461)</formula>
    </cfRule>
    <cfRule type="expression" dxfId="152" priority="132">
      <formula>SEARCH("CHN",$S461)</formula>
    </cfRule>
  </conditionalFormatting>
  <conditionalFormatting sqref="C461">
    <cfRule type="expression" dxfId="151" priority="123">
      <formula>$S461="DSM"</formula>
    </cfRule>
    <cfRule type="expression" dxfId="150" priority="124">
      <formula>SEARCH("GST",$S461)</formula>
    </cfRule>
    <cfRule type="expression" dxfId="149" priority="125">
      <formula>SEARCH("RBT",$S461)</formula>
    </cfRule>
    <cfRule type="expression" dxfId="148" priority="126">
      <formula>SEARCH("LFS",$S461)</formula>
    </cfRule>
    <cfRule type="expression" dxfId="147" priority="127">
      <formula>SEARCH("CHN",$S461)</formula>
    </cfRule>
  </conditionalFormatting>
  <conditionalFormatting sqref="S466">
    <cfRule type="expression" dxfId="146" priority="32">
      <formula>SEARCH("RBT",$S466)</formula>
    </cfRule>
    <cfRule type="expression" dxfId="145" priority="33">
      <formula>SEARCH("GST",$S466)</formula>
    </cfRule>
    <cfRule type="expression" dxfId="144" priority="34">
      <formula>SEARCH("CHN",$S466)</formula>
    </cfRule>
    <cfRule type="expression" dxfId="143" priority="35">
      <formula>SEARCH("LFS",$S466)</formula>
    </cfRule>
  </conditionalFormatting>
  <conditionalFormatting sqref="S461:X461">
    <cfRule type="expression" dxfId="142" priority="118">
      <formula>$S461="DSM"</formula>
    </cfRule>
    <cfRule type="expression" dxfId="141" priority="119">
      <formula>SEARCH("GST",$S461)</formula>
    </cfRule>
    <cfRule type="expression" dxfId="140" priority="120">
      <formula>SEARCH("RBT",$S461)</formula>
    </cfRule>
    <cfRule type="expression" dxfId="139" priority="121">
      <formula>SEARCH("LFS",$S461)</formula>
    </cfRule>
    <cfRule type="expression" dxfId="138" priority="122">
      <formula>SEARCH("CHN",$S461)</formula>
    </cfRule>
  </conditionalFormatting>
  <conditionalFormatting sqref="S461">
    <cfRule type="cellIs" dxfId="137" priority="117" operator="equal">
      <formula>"DSM"</formula>
    </cfRule>
  </conditionalFormatting>
  <conditionalFormatting sqref="S461">
    <cfRule type="expression" dxfId="136" priority="113">
      <formula>SEARCH("RBT",$S461)</formula>
    </cfRule>
    <cfRule type="expression" dxfId="135" priority="114">
      <formula>SEARCH("GST",$S461)</formula>
    </cfRule>
    <cfRule type="expression" dxfId="134" priority="115">
      <formula>SEARCH("CHN",$S461)</formula>
    </cfRule>
    <cfRule type="expression" dxfId="133" priority="116">
      <formula>SEARCH("LFS",$S461)</formula>
    </cfRule>
  </conditionalFormatting>
  <conditionalFormatting sqref="F463:H463">
    <cfRule type="expression" dxfId="132" priority="108">
      <formula>$S463="DSM"</formula>
    </cfRule>
    <cfRule type="expression" dxfId="131" priority="109">
      <formula>SEARCH("GST",$S463)</formula>
    </cfRule>
    <cfRule type="expression" dxfId="130" priority="110">
      <formula>SEARCH("RBT",$S463)</formula>
    </cfRule>
    <cfRule type="expression" dxfId="129" priority="111">
      <formula>SEARCH("LFS",$S463)</formula>
    </cfRule>
    <cfRule type="expression" dxfId="128" priority="112">
      <formula>SEARCH("CHN",$S463)</formula>
    </cfRule>
  </conditionalFormatting>
  <conditionalFormatting sqref="C463">
    <cfRule type="expression" dxfId="127" priority="103">
      <formula>$S463="DSM"</formula>
    </cfRule>
    <cfRule type="expression" dxfId="126" priority="104">
      <formula>SEARCH("GST",$S463)</formula>
    </cfRule>
    <cfRule type="expression" dxfId="125" priority="105">
      <formula>SEARCH("RBT",$S463)</formula>
    </cfRule>
    <cfRule type="expression" dxfId="124" priority="106">
      <formula>SEARCH("LFS",$S463)</formula>
    </cfRule>
    <cfRule type="expression" dxfId="123" priority="107">
      <formula>SEARCH("CHN",$S463)</formula>
    </cfRule>
  </conditionalFormatting>
  <conditionalFormatting sqref="S463:X463">
    <cfRule type="expression" dxfId="122" priority="98">
      <formula>$S463="DSM"</formula>
    </cfRule>
    <cfRule type="expression" dxfId="121" priority="99">
      <formula>SEARCH("GST",$S463)</formula>
    </cfRule>
    <cfRule type="expression" dxfId="120" priority="100">
      <formula>SEARCH("RBT",$S463)</formula>
    </cfRule>
    <cfRule type="expression" dxfId="119" priority="101">
      <formula>SEARCH("LFS",$S463)</formula>
    </cfRule>
    <cfRule type="expression" dxfId="118" priority="102">
      <formula>SEARCH("CHN",$S463)</formula>
    </cfRule>
  </conditionalFormatting>
  <conditionalFormatting sqref="S463">
    <cfRule type="cellIs" dxfId="117" priority="97" operator="equal">
      <formula>"DSM"</formula>
    </cfRule>
  </conditionalFormatting>
  <conditionalFormatting sqref="S463">
    <cfRule type="expression" dxfId="116" priority="93">
      <formula>SEARCH("RBT",$S463)</formula>
    </cfRule>
    <cfRule type="expression" dxfId="115" priority="94">
      <formula>SEARCH("GST",$S463)</formula>
    </cfRule>
    <cfRule type="expression" dxfId="114" priority="95">
      <formula>SEARCH("CHN",$S463)</formula>
    </cfRule>
    <cfRule type="expression" dxfId="113" priority="96">
      <formula>SEARCH("LFS",$S463)</formula>
    </cfRule>
  </conditionalFormatting>
  <conditionalFormatting sqref="S462">
    <cfRule type="cellIs" dxfId="112" priority="92" operator="equal">
      <formula>"DSM"</formula>
    </cfRule>
  </conditionalFormatting>
  <conditionalFormatting sqref="F464:H464">
    <cfRule type="expression" dxfId="111" priority="87">
      <formula>$S464="DSM"</formula>
    </cfRule>
    <cfRule type="expression" dxfId="110" priority="88">
      <formula>SEARCH("GST",$S464)</formula>
    </cfRule>
    <cfRule type="expression" dxfId="109" priority="89">
      <formula>SEARCH("RBT",$S464)</formula>
    </cfRule>
    <cfRule type="expression" dxfId="108" priority="90">
      <formula>SEARCH("LFS",$S464)</formula>
    </cfRule>
    <cfRule type="expression" dxfId="107" priority="91">
      <formula>SEARCH("CHN",$S464)</formula>
    </cfRule>
  </conditionalFormatting>
  <conditionalFormatting sqref="C464">
    <cfRule type="expression" dxfId="106" priority="82">
      <formula>$S464="DSM"</formula>
    </cfRule>
    <cfRule type="expression" dxfId="105" priority="83">
      <formula>SEARCH("GST",$S464)</formula>
    </cfRule>
    <cfRule type="expression" dxfId="104" priority="84">
      <formula>SEARCH("RBT",$S464)</formula>
    </cfRule>
    <cfRule type="expression" dxfId="103" priority="85">
      <formula>SEARCH("LFS",$S464)</formula>
    </cfRule>
    <cfRule type="expression" dxfId="102" priority="86">
      <formula>SEARCH("CHN",$S464)</formula>
    </cfRule>
  </conditionalFormatting>
  <conditionalFormatting sqref="S464:X464">
    <cfRule type="expression" dxfId="101" priority="77">
      <formula>$S464="DSM"</formula>
    </cfRule>
    <cfRule type="expression" dxfId="100" priority="78">
      <formula>SEARCH("GST",$S464)</formula>
    </cfRule>
    <cfRule type="expression" dxfId="99" priority="79">
      <formula>SEARCH("RBT",$S464)</formula>
    </cfRule>
    <cfRule type="expression" dxfId="98" priority="80">
      <formula>SEARCH("LFS",$S464)</formula>
    </cfRule>
    <cfRule type="expression" dxfId="97" priority="81">
      <formula>SEARCH("CHN",$S464)</formula>
    </cfRule>
  </conditionalFormatting>
  <conditionalFormatting sqref="S464">
    <cfRule type="cellIs" dxfId="96" priority="76" operator="equal">
      <formula>"DSM"</formula>
    </cfRule>
  </conditionalFormatting>
  <conditionalFormatting sqref="S464">
    <cfRule type="expression" dxfId="95" priority="72">
      <formula>SEARCH("RBT",$S464)</formula>
    </cfRule>
    <cfRule type="expression" dxfId="94" priority="73">
      <formula>SEARCH("GST",$S464)</formula>
    </cfRule>
    <cfRule type="expression" dxfId="93" priority="74">
      <formula>SEARCH("CHN",$S464)</formula>
    </cfRule>
    <cfRule type="expression" dxfId="92" priority="75">
      <formula>SEARCH("LFS",$S464)</formula>
    </cfRule>
  </conditionalFormatting>
  <conditionalFormatting sqref="F465:H465">
    <cfRule type="expression" dxfId="91" priority="67">
      <formula>$S465="DSM"</formula>
    </cfRule>
    <cfRule type="expression" dxfId="90" priority="68">
      <formula>SEARCH("GST",$S465)</formula>
    </cfRule>
    <cfRule type="expression" dxfId="89" priority="69">
      <formula>SEARCH("RBT",$S465)</formula>
    </cfRule>
    <cfRule type="expression" dxfId="88" priority="70">
      <formula>SEARCH("LFS",$S465)</formula>
    </cfRule>
    <cfRule type="expression" dxfId="87" priority="71">
      <formula>SEARCH("CHN",$S465)</formula>
    </cfRule>
  </conditionalFormatting>
  <conditionalFormatting sqref="C465">
    <cfRule type="expression" dxfId="86" priority="62">
      <formula>$S465="DSM"</formula>
    </cfRule>
    <cfRule type="expression" dxfId="85" priority="63">
      <formula>SEARCH("GST",$S465)</formula>
    </cfRule>
    <cfRule type="expression" dxfId="84" priority="64">
      <formula>SEARCH("RBT",$S465)</formula>
    </cfRule>
    <cfRule type="expression" dxfId="83" priority="65">
      <formula>SEARCH("LFS",$S465)</formula>
    </cfRule>
    <cfRule type="expression" dxfId="82" priority="66">
      <formula>SEARCH("CHN",$S465)</formula>
    </cfRule>
  </conditionalFormatting>
  <conditionalFormatting sqref="S465:X465">
    <cfRule type="expression" dxfId="81" priority="57">
      <formula>$S465="DSM"</formula>
    </cfRule>
    <cfRule type="expression" dxfId="80" priority="58">
      <formula>SEARCH("GST",$S465)</formula>
    </cfRule>
    <cfRule type="expression" dxfId="79" priority="59">
      <formula>SEARCH("RBT",$S465)</formula>
    </cfRule>
    <cfRule type="expression" dxfId="78" priority="60">
      <formula>SEARCH("LFS",$S465)</formula>
    </cfRule>
    <cfRule type="expression" dxfId="77" priority="61">
      <formula>SEARCH("CHN",$S465)</formula>
    </cfRule>
  </conditionalFormatting>
  <conditionalFormatting sqref="S465">
    <cfRule type="cellIs" dxfId="76" priority="56" operator="equal">
      <formula>"DSM"</formula>
    </cfRule>
  </conditionalFormatting>
  <conditionalFormatting sqref="S465">
    <cfRule type="expression" dxfId="75" priority="52">
      <formula>SEARCH("RBT",$S465)</formula>
    </cfRule>
    <cfRule type="expression" dxfId="74" priority="53">
      <formula>SEARCH("GST",$S465)</formula>
    </cfRule>
    <cfRule type="expression" dxfId="73" priority="54">
      <formula>SEARCH("CHN",$S465)</formula>
    </cfRule>
    <cfRule type="expression" dxfId="72" priority="55">
      <formula>SEARCH("LFS",$S465)</formula>
    </cfRule>
  </conditionalFormatting>
  <conditionalFormatting sqref="F466:H466">
    <cfRule type="expression" dxfId="71" priority="47">
      <formula>$S466="DSM"</formula>
    </cfRule>
    <cfRule type="expression" dxfId="70" priority="48">
      <formula>SEARCH("GST",$S466)</formula>
    </cfRule>
    <cfRule type="expression" dxfId="69" priority="49">
      <formula>SEARCH("RBT",$S466)</formula>
    </cfRule>
    <cfRule type="expression" dxfId="68" priority="50">
      <formula>SEARCH("LFS",$S466)</formula>
    </cfRule>
    <cfRule type="expression" dxfId="67" priority="51">
      <formula>SEARCH("CHN",$S466)</formula>
    </cfRule>
  </conditionalFormatting>
  <conditionalFormatting sqref="C466">
    <cfRule type="expression" dxfId="66" priority="42">
      <formula>$S466="DSM"</formula>
    </cfRule>
    <cfRule type="expression" dxfId="65" priority="43">
      <formula>SEARCH("GST",$S466)</formula>
    </cfRule>
    <cfRule type="expression" dxfId="64" priority="44">
      <formula>SEARCH("RBT",$S466)</formula>
    </cfRule>
    <cfRule type="expression" dxfId="63" priority="45">
      <formula>SEARCH("LFS",$S466)</formula>
    </cfRule>
    <cfRule type="expression" dxfId="62" priority="46">
      <formula>SEARCH("CHN",$S466)</formula>
    </cfRule>
  </conditionalFormatting>
  <conditionalFormatting sqref="S466:X466">
    <cfRule type="expression" dxfId="61" priority="37">
      <formula>$S466="DSM"</formula>
    </cfRule>
    <cfRule type="expression" dxfId="60" priority="38">
      <formula>SEARCH("GST",$S466)</formula>
    </cfRule>
    <cfRule type="expression" dxfId="59" priority="39">
      <formula>SEARCH("RBT",$S466)</formula>
    </cfRule>
    <cfRule type="expression" dxfId="58" priority="40">
      <formula>SEARCH("LFS",$S466)</formula>
    </cfRule>
    <cfRule type="expression" dxfId="57" priority="41">
      <formula>SEARCH("CHN",$S466)</formula>
    </cfRule>
  </conditionalFormatting>
  <conditionalFormatting sqref="S466">
    <cfRule type="cellIs" dxfId="56" priority="36" operator="equal">
      <formula>"DSM"</formula>
    </cfRule>
  </conditionalFormatting>
  <conditionalFormatting sqref="S467:X474">
    <cfRule type="expression" dxfId="55" priority="27">
      <formula>$S467="DSM"</formula>
    </cfRule>
    <cfRule type="expression" dxfId="54" priority="28">
      <formula>SEARCH("GST",$S467)</formula>
    </cfRule>
    <cfRule type="expression" dxfId="53" priority="29">
      <formula>SEARCH("RBT",$S467)</formula>
    </cfRule>
    <cfRule type="expression" dxfId="52" priority="30">
      <formula>SEARCH("LFS",$S467)</formula>
    </cfRule>
    <cfRule type="expression" dxfId="51" priority="31">
      <formula>SEARCH("CHN",$S467)</formula>
    </cfRule>
  </conditionalFormatting>
  <conditionalFormatting sqref="S467:S474">
    <cfRule type="cellIs" dxfId="50" priority="26" operator="equal">
      <formula>"DSM"</formula>
    </cfRule>
  </conditionalFormatting>
  <conditionalFormatting sqref="S467:S474">
    <cfRule type="expression" dxfId="49" priority="22">
      <formula>SEARCH("RBT",$S467)</formula>
    </cfRule>
    <cfRule type="expression" dxfId="48" priority="23">
      <formula>SEARCH("GST",$S467)</formula>
    </cfRule>
    <cfRule type="expression" dxfId="47" priority="24">
      <formula>SEARCH("CHN",$S467)</formula>
    </cfRule>
    <cfRule type="expression" dxfId="46" priority="25">
      <formula>SEARCH("LFS",$S467)</formula>
    </cfRule>
  </conditionalFormatting>
  <conditionalFormatting sqref="Y474">
    <cfRule type="expression" dxfId="45" priority="17">
      <formula>$S474="DSM"</formula>
    </cfRule>
    <cfRule type="expression" dxfId="44" priority="18">
      <formula>SEARCH("GST",$S474)</formula>
    </cfRule>
    <cfRule type="expression" dxfId="43" priority="19">
      <formula>SEARCH("RBT",$S474)</formula>
    </cfRule>
    <cfRule type="expression" dxfId="42" priority="20">
      <formula>SEARCH("LFS",$S474)</formula>
    </cfRule>
    <cfRule type="expression" dxfId="41" priority="21">
      <formula>SEARCH("CHN",$S474)</formula>
    </cfRule>
  </conditionalFormatting>
  <conditionalFormatting sqref="S504">
    <cfRule type="cellIs" dxfId="40" priority="16" operator="equal">
      <formula>"DSM"</formula>
    </cfRule>
  </conditionalFormatting>
  <conditionalFormatting sqref="S507:S509">
    <cfRule type="cellIs" dxfId="39" priority="15" operator="equal">
      <formula>"DSM"</formula>
    </cfRule>
  </conditionalFormatting>
  <conditionalFormatting sqref="S511">
    <cfRule type="cellIs" dxfId="38" priority="14" operator="equal">
      <formula>"DSM"</formula>
    </cfRule>
  </conditionalFormatting>
  <conditionalFormatting sqref="S526">
    <cfRule type="cellIs" dxfId="37" priority="13" operator="equal">
      <formula>"DSM"</formula>
    </cfRule>
  </conditionalFormatting>
  <conditionalFormatting sqref="S527">
    <cfRule type="cellIs" dxfId="36" priority="12" operator="equal">
      <formula>"DSM"</formula>
    </cfRule>
  </conditionalFormatting>
  <conditionalFormatting sqref="S528">
    <cfRule type="cellIs" dxfId="35" priority="11" operator="equal">
      <formula>"DSM"</formula>
    </cfRule>
  </conditionalFormatting>
  <conditionalFormatting sqref="S531">
    <cfRule type="cellIs" dxfId="34" priority="10" operator="equal">
      <formula>"DSM"</formula>
    </cfRule>
  </conditionalFormatting>
  <conditionalFormatting sqref="S533">
    <cfRule type="cellIs" dxfId="33" priority="9" operator="equal">
      <formula>"DSM"</formula>
    </cfRule>
  </conditionalFormatting>
  <conditionalFormatting sqref="S536">
    <cfRule type="cellIs" dxfId="32" priority="8" operator="equal">
      <formula>"DSM"</formula>
    </cfRule>
  </conditionalFormatting>
  <conditionalFormatting sqref="S541:S545">
    <cfRule type="cellIs" dxfId="31" priority="7" operator="equal">
      <formula>"DSM"</formula>
    </cfRule>
  </conditionalFormatting>
  <conditionalFormatting sqref="S549">
    <cfRule type="cellIs" dxfId="30" priority="6" operator="equal">
      <formula>"DSM"</formula>
    </cfRule>
  </conditionalFormatting>
  <conditionalFormatting sqref="S551">
    <cfRule type="cellIs" dxfId="29" priority="5" operator="equal">
      <formula>"DSM"</formula>
    </cfRule>
  </conditionalFormatting>
  <conditionalFormatting sqref="S555:S556">
    <cfRule type="cellIs" dxfId="28" priority="4" operator="equal">
      <formula>"DSM"</formula>
    </cfRule>
  </conditionalFormatting>
  <conditionalFormatting sqref="S561">
    <cfRule type="cellIs" dxfId="27" priority="3" operator="equal">
      <formula>"DSM"</formula>
    </cfRule>
  </conditionalFormatting>
  <conditionalFormatting sqref="S570:S571">
    <cfRule type="cellIs" dxfId="26" priority="2" operator="equal">
      <formula>"DSM"</formula>
    </cfRule>
  </conditionalFormatting>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tabColor theme="9" tint="0.59999389629810485"/>
  </sheetPr>
  <dimension ref="A1:Y559"/>
  <sheetViews>
    <sheetView topLeftCell="A522" workbookViewId="0">
      <selection activeCell="K558" sqref="K558"/>
    </sheetView>
  </sheetViews>
  <sheetFormatPr defaultColWidth="9.140625" defaultRowHeight="15" x14ac:dyDescent="0.25"/>
  <cols>
    <col min="1" max="1" width="10.7109375" customWidth="1"/>
    <col min="2" max="2" width="9.140625" bestFit="1" customWidth="1"/>
    <col min="3" max="3" width="30.85546875" bestFit="1" customWidth="1"/>
    <col min="4" max="5" width="15.7109375" customWidth="1"/>
    <col min="6" max="6" width="13.42578125" customWidth="1"/>
    <col min="7" max="7" width="10.42578125" customWidth="1"/>
    <col min="8" max="8" width="43.7109375" customWidth="1"/>
    <col min="9" max="9" width="10.42578125" customWidth="1"/>
    <col min="10" max="14" width="20.7109375" customWidth="1"/>
    <col min="15" max="15" width="8" customWidth="1"/>
    <col min="16" max="16" width="15.7109375" customWidth="1"/>
    <col min="17" max="17" width="13" customWidth="1"/>
    <col min="18" max="18" width="13.42578125" customWidth="1"/>
    <col min="19" max="19" width="7.7109375" customWidth="1"/>
    <col min="20" max="20" width="6.85546875" customWidth="1"/>
    <col min="21" max="21" width="14.7109375" bestFit="1" customWidth="1"/>
    <col min="22" max="22" width="11.85546875" customWidth="1"/>
    <col min="23" max="23" width="6.85546875" customWidth="1"/>
    <col min="24" max="24" width="11.42578125" customWidth="1"/>
    <col min="25" max="25" width="54.85546875" customWidth="1"/>
  </cols>
  <sheetData>
    <row r="1" spans="1:25" s="48" customFormat="1" x14ac:dyDescent="0.25">
      <c r="A1" s="147" t="s">
        <v>33</v>
      </c>
      <c r="B1" s="147"/>
      <c r="C1" s="147"/>
      <c r="D1" s="147"/>
      <c r="E1" s="147"/>
      <c r="F1" s="147"/>
      <c r="G1" s="147"/>
      <c r="H1" s="147"/>
      <c r="I1" s="147"/>
      <c r="J1" s="147"/>
      <c r="K1" s="147"/>
      <c r="L1" s="147"/>
      <c r="M1" s="147"/>
      <c r="N1" s="147"/>
      <c r="O1" s="147"/>
      <c r="P1" s="147"/>
      <c r="Q1" s="147"/>
      <c r="R1" s="147"/>
      <c r="S1" s="147"/>
      <c r="T1" s="147"/>
      <c r="U1" s="147"/>
      <c r="V1" s="147"/>
      <c r="W1" s="146"/>
      <c r="X1" s="146"/>
      <c r="Y1" s="5"/>
    </row>
    <row r="2" spans="1:25" s="141" customFormat="1" ht="15.75" thickBot="1" x14ac:dyDescent="0.3">
      <c r="A2" s="140" t="s">
        <v>1</v>
      </c>
      <c r="B2" s="140" t="s">
        <v>2</v>
      </c>
      <c r="C2" s="141" t="s">
        <v>3</v>
      </c>
      <c r="D2" s="141" t="s">
        <v>4</v>
      </c>
      <c r="E2" s="141" t="s">
        <v>5</v>
      </c>
      <c r="F2" s="94" t="s">
        <v>6</v>
      </c>
      <c r="G2" s="141" t="s">
        <v>7</v>
      </c>
      <c r="H2" s="141" t="s">
        <v>8</v>
      </c>
      <c r="I2" s="140" t="s">
        <v>9</v>
      </c>
      <c r="J2" s="142" t="s">
        <v>34</v>
      </c>
      <c r="K2" s="143" t="s">
        <v>35</v>
      </c>
      <c r="L2" s="142" t="s">
        <v>36</v>
      </c>
      <c r="M2" s="95" t="s">
        <v>37</v>
      </c>
      <c r="N2" s="144" t="s">
        <v>38</v>
      </c>
      <c r="O2" s="140" t="s">
        <v>10</v>
      </c>
      <c r="P2" s="140" t="s">
        <v>13</v>
      </c>
      <c r="Q2" s="140" t="s">
        <v>14</v>
      </c>
      <c r="R2" s="140" t="s">
        <v>39</v>
      </c>
      <c r="S2" s="140" t="s">
        <v>19</v>
      </c>
      <c r="T2" s="140" t="s">
        <v>20</v>
      </c>
      <c r="U2" s="140" t="s">
        <v>21</v>
      </c>
      <c r="V2" s="140" t="s">
        <v>40</v>
      </c>
      <c r="W2" s="140" t="s">
        <v>41</v>
      </c>
      <c r="X2" s="140" t="s">
        <v>42</v>
      </c>
      <c r="Y2" s="145" t="s">
        <v>22</v>
      </c>
    </row>
    <row r="3" spans="1:25" s="48" customFormat="1" x14ac:dyDescent="0.25">
      <c r="A3" s="6">
        <v>42919</v>
      </c>
      <c r="B3" s="92" t="str">
        <f>TEXT(A3,"ddd")</f>
        <v>Mon</v>
      </c>
      <c r="C3" s="631" t="s">
        <v>44</v>
      </c>
      <c r="D3" s="631">
        <v>38.056719999999999</v>
      </c>
      <c r="E3" s="631">
        <v>-121.62287999999999</v>
      </c>
      <c r="F3" s="27" t="s">
        <v>7553</v>
      </c>
      <c r="G3" s="631" t="s">
        <v>46</v>
      </c>
      <c r="H3" s="631" t="s">
        <v>47</v>
      </c>
      <c r="I3" s="7">
        <v>0.31041666666666667</v>
      </c>
      <c r="J3" s="8">
        <v>111.96</v>
      </c>
      <c r="K3" s="86">
        <v>22.949999809265137</v>
      </c>
      <c r="L3" s="8">
        <v>12.17</v>
      </c>
      <c r="M3" s="4">
        <v>0.84</v>
      </c>
      <c r="N3" s="90" t="s">
        <v>50</v>
      </c>
      <c r="O3" s="9" t="s">
        <v>48</v>
      </c>
      <c r="P3" s="9">
        <v>8</v>
      </c>
      <c r="Q3" s="9">
        <v>10</v>
      </c>
      <c r="R3" s="9" t="s">
        <v>49</v>
      </c>
      <c r="S3" s="9" t="s">
        <v>50</v>
      </c>
      <c r="T3" s="10" t="s">
        <v>50</v>
      </c>
      <c r="U3" s="10" t="s">
        <v>50</v>
      </c>
      <c r="V3" s="9" t="s">
        <v>50</v>
      </c>
      <c r="W3" s="9" t="s">
        <v>50</v>
      </c>
      <c r="X3" s="9" t="s">
        <v>50</v>
      </c>
      <c r="Y3" s="5"/>
    </row>
    <row r="4" spans="1:25" s="48" customFormat="1" x14ac:dyDescent="0.25">
      <c r="A4" s="6">
        <v>42919</v>
      </c>
      <c r="B4" s="92" t="str">
        <f t="shared" ref="B4:B67" si="0">TEXT(A4,"ddd")</f>
        <v>Mon</v>
      </c>
      <c r="C4" s="631" t="s">
        <v>44</v>
      </c>
      <c r="D4" s="631">
        <v>38.086289999999998</v>
      </c>
      <c r="E4" s="631">
        <v>-121.57483999999999</v>
      </c>
      <c r="F4" s="27" t="s">
        <v>7554</v>
      </c>
      <c r="G4" s="631" t="s">
        <v>46</v>
      </c>
      <c r="H4" s="631" t="s">
        <v>115</v>
      </c>
      <c r="I4" s="12">
        <v>0.40625</v>
      </c>
      <c r="J4" s="13">
        <v>105.95</v>
      </c>
      <c r="K4" s="86">
        <v>23.062500238418579</v>
      </c>
      <c r="L4" s="13">
        <v>11.57</v>
      </c>
      <c r="M4" s="13">
        <v>0.82</v>
      </c>
      <c r="N4" s="90" t="s">
        <v>50</v>
      </c>
      <c r="O4" s="14" t="s">
        <v>48</v>
      </c>
      <c r="P4" s="14">
        <v>8</v>
      </c>
      <c r="Q4" s="14">
        <v>10</v>
      </c>
      <c r="R4" s="14" t="s">
        <v>49</v>
      </c>
      <c r="S4" s="9" t="s">
        <v>50</v>
      </c>
      <c r="T4" s="10" t="s">
        <v>50</v>
      </c>
      <c r="U4" s="10" t="s">
        <v>50</v>
      </c>
      <c r="V4" s="9" t="s">
        <v>50</v>
      </c>
      <c r="W4" s="9" t="s">
        <v>50</v>
      </c>
      <c r="X4" s="9" t="s">
        <v>50</v>
      </c>
      <c r="Y4" s="5"/>
    </row>
    <row r="5" spans="1:25" s="48" customFormat="1" x14ac:dyDescent="0.25">
      <c r="A5" s="6">
        <v>42919</v>
      </c>
      <c r="B5" s="92" t="str">
        <f t="shared" si="0"/>
        <v>Mon</v>
      </c>
      <c r="C5" s="631" t="s">
        <v>6849</v>
      </c>
      <c r="D5" s="631">
        <v>38.27055</v>
      </c>
      <c r="E5" s="631">
        <v>-121.53453</v>
      </c>
      <c r="F5" s="27" t="s">
        <v>7555</v>
      </c>
      <c r="G5" s="631" t="s">
        <v>90</v>
      </c>
      <c r="H5" s="631" t="s">
        <v>6851</v>
      </c>
      <c r="I5" s="12">
        <v>0.48055555555555557</v>
      </c>
      <c r="J5" s="13">
        <v>111.68</v>
      </c>
      <c r="K5" s="86">
        <v>21.974999904632568</v>
      </c>
      <c r="L5" s="13">
        <v>11.04</v>
      </c>
      <c r="M5" s="13">
        <v>0.94</v>
      </c>
      <c r="N5" s="90" t="s">
        <v>50</v>
      </c>
      <c r="O5" s="14" t="s">
        <v>48</v>
      </c>
      <c r="P5" s="14">
        <v>8</v>
      </c>
      <c r="Q5" s="14">
        <v>10</v>
      </c>
      <c r="R5" s="14" t="s">
        <v>49</v>
      </c>
      <c r="S5" s="9" t="s">
        <v>50</v>
      </c>
      <c r="T5" s="10" t="s">
        <v>50</v>
      </c>
      <c r="U5" s="10" t="s">
        <v>50</v>
      </c>
      <c r="V5" s="9" t="s">
        <v>50</v>
      </c>
      <c r="W5" s="9" t="s">
        <v>50</v>
      </c>
      <c r="X5" s="9" t="s">
        <v>50</v>
      </c>
      <c r="Y5" s="5"/>
    </row>
    <row r="6" spans="1:25" s="48" customFormat="1" x14ac:dyDescent="0.25">
      <c r="A6" s="6">
        <v>42919</v>
      </c>
      <c r="B6" s="92" t="str">
        <f t="shared" si="0"/>
        <v>Mon</v>
      </c>
      <c r="C6" s="631" t="s">
        <v>6849</v>
      </c>
      <c r="D6" s="27">
        <v>38.403829999999999</v>
      </c>
      <c r="E6" s="631">
        <v>-121.51427</v>
      </c>
      <c r="F6" s="27" t="s">
        <v>7556</v>
      </c>
      <c r="G6" s="631" t="s">
        <v>90</v>
      </c>
      <c r="H6" s="631" t="s">
        <v>6851</v>
      </c>
      <c r="I6" s="12">
        <v>0.38125000000000003</v>
      </c>
      <c r="J6" s="13">
        <v>100.66</v>
      </c>
      <c r="K6" s="86">
        <v>21.240000152587889</v>
      </c>
      <c r="L6" s="13">
        <v>11.67</v>
      </c>
      <c r="M6" s="13">
        <v>0.82</v>
      </c>
      <c r="N6" s="90" t="s">
        <v>50</v>
      </c>
      <c r="O6" s="14" t="s">
        <v>48</v>
      </c>
      <c r="P6" s="14">
        <v>5</v>
      </c>
      <c r="Q6" s="14">
        <v>5</v>
      </c>
      <c r="R6" s="14" t="s">
        <v>49</v>
      </c>
      <c r="S6" s="9" t="s">
        <v>50</v>
      </c>
      <c r="T6" s="10" t="s">
        <v>50</v>
      </c>
      <c r="U6" s="10" t="s">
        <v>50</v>
      </c>
      <c r="V6" s="9" t="s">
        <v>50</v>
      </c>
      <c r="W6" s="9" t="s">
        <v>50</v>
      </c>
      <c r="X6" s="9" t="s">
        <v>50</v>
      </c>
      <c r="Y6" s="5"/>
    </row>
    <row r="7" spans="1:25" s="149" customFormat="1" x14ac:dyDescent="0.25">
      <c r="A7" s="179">
        <v>42919</v>
      </c>
      <c r="B7" s="148" t="str">
        <f t="shared" si="0"/>
        <v>Mon</v>
      </c>
      <c r="C7" s="149" t="s">
        <v>6849</v>
      </c>
      <c r="D7" s="149">
        <v>38.241630000000001</v>
      </c>
      <c r="E7" s="149">
        <v>-121.5151</v>
      </c>
      <c r="F7" s="149" t="s">
        <v>7557</v>
      </c>
      <c r="G7" s="149" t="s">
        <v>90</v>
      </c>
      <c r="H7" s="149" t="s">
        <v>6892</v>
      </c>
      <c r="I7" s="165">
        <v>0.43263888888888885</v>
      </c>
      <c r="J7" s="163" t="s">
        <v>50</v>
      </c>
      <c r="K7" s="163" t="s">
        <v>50</v>
      </c>
      <c r="L7" s="163" t="s">
        <v>50</v>
      </c>
      <c r="M7" s="163" t="s">
        <v>50</v>
      </c>
      <c r="N7" s="177" t="s">
        <v>50</v>
      </c>
      <c r="O7" s="161" t="s">
        <v>48</v>
      </c>
      <c r="P7" s="161">
        <v>0</v>
      </c>
      <c r="Q7" s="161" t="s">
        <v>50</v>
      </c>
      <c r="R7" s="161" t="s">
        <v>50</v>
      </c>
      <c r="S7" s="181" t="s">
        <v>50</v>
      </c>
      <c r="T7" s="157" t="s">
        <v>50</v>
      </c>
      <c r="U7" s="157" t="s">
        <v>50</v>
      </c>
      <c r="V7" s="181" t="s">
        <v>50</v>
      </c>
      <c r="W7" s="181" t="s">
        <v>50</v>
      </c>
      <c r="X7" s="181" t="s">
        <v>50</v>
      </c>
      <c r="Y7" s="152" t="s">
        <v>7558</v>
      </c>
    </row>
    <row r="8" spans="1:25" s="48" customFormat="1" x14ac:dyDescent="0.25">
      <c r="A8" s="6">
        <v>42919</v>
      </c>
      <c r="B8" s="92" t="str">
        <f t="shared" si="0"/>
        <v>Mon</v>
      </c>
      <c r="C8" s="631" t="s">
        <v>118</v>
      </c>
      <c r="D8" s="631">
        <v>38.058450000000001</v>
      </c>
      <c r="E8" s="631">
        <v>-122.23008</v>
      </c>
      <c r="F8" s="27" t="s">
        <v>7559</v>
      </c>
      <c r="G8" s="631" t="s">
        <v>80</v>
      </c>
      <c r="H8" s="631" t="s">
        <v>120</v>
      </c>
      <c r="I8" s="12">
        <v>0.37152777777777773</v>
      </c>
      <c r="J8" s="13">
        <v>30919.5</v>
      </c>
      <c r="K8" s="86">
        <v>19.58750057220459</v>
      </c>
      <c r="L8" s="13">
        <v>24.18</v>
      </c>
      <c r="M8" s="13">
        <v>0.57625000000000004</v>
      </c>
      <c r="N8" s="90" t="s">
        <v>50</v>
      </c>
      <c r="O8" s="14" t="s">
        <v>48</v>
      </c>
      <c r="P8" s="14">
        <v>8</v>
      </c>
      <c r="Q8" s="14">
        <v>10</v>
      </c>
      <c r="R8" s="14" t="s">
        <v>64</v>
      </c>
      <c r="S8" s="9" t="s">
        <v>50</v>
      </c>
      <c r="T8" s="10" t="s">
        <v>50</v>
      </c>
      <c r="U8" s="10" t="s">
        <v>50</v>
      </c>
      <c r="V8" s="9" t="s">
        <v>50</v>
      </c>
      <c r="W8" s="9" t="s">
        <v>50</v>
      </c>
      <c r="X8" s="9" t="s">
        <v>50</v>
      </c>
      <c r="Y8" s="5"/>
    </row>
    <row r="9" spans="1:25" s="48" customFormat="1" x14ac:dyDescent="0.25">
      <c r="A9" s="6">
        <v>42919</v>
      </c>
      <c r="B9" s="92" t="str">
        <f t="shared" si="0"/>
        <v>Mon</v>
      </c>
      <c r="C9" s="631" t="s">
        <v>118</v>
      </c>
      <c r="D9" s="631">
        <v>38.05312</v>
      </c>
      <c r="E9" s="631">
        <v>-122.18585</v>
      </c>
      <c r="F9" s="27" t="s">
        <v>7560</v>
      </c>
      <c r="G9" s="631" t="s">
        <v>80</v>
      </c>
      <c r="H9" s="631" t="s">
        <v>120</v>
      </c>
      <c r="I9" s="12">
        <v>0.49652777777777773</v>
      </c>
      <c r="J9" s="13">
        <v>13299.13</v>
      </c>
      <c r="K9" s="86">
        <v>20.150000095367432</v>
      </c>
      <c r="L9" s="13">
        <v>18.84</v>
      </c>
      <c r="M9" s="13">
        <v>0.56000000000000005</v>
      </c>
      <c r="N9" s="90" t="s">
        <v>50</v>
      </c>
      <c r="O9" s="14" t="s">
        <v>48</v>
      </c>
      <c r="P9" s="14">
        <v>8</v>
      </c>
      <c r="Q9" s="14">
        <v>10</v>
      </c>
      <c r="R9" s="14" t="s">
        <v>64</v>
      </c>
      <c r="S9" s="9" t="s">
        <v>50</v>
      </c>
      <c r="T9" s="10" t="s">
        <v>50</v>
      </c>
      <c r="U9" s="10" t="s">
        <v>50</v>
      </c>
      <c r="V9" s="9" t="s">
        <v>50</v>
      </c>
      <c r="W9" s="9" t="s">
        <v>50</v>
      </c>
      <c r="X9" s="9" t="s">
        <v>50</v>
      </c>
      <c r="Y9" s="5"/>
    </row>
    <row r="10" spans="1:25" s="48" customFormat="1" x14ac:dyDescent="0.25">
      <c r="A10" s="11">
        <v>42921</v>
      </c>
      <c r="B10" s="92" t="str">
        <f t="shared" si="0"/>
        <v>Wed</v>
      </c>
      <c r="C10" s="631" t="s">
        <v>6849</v>
      </c>
      <c r="D10" s="631">
        <v>38.351170000000003</v>
      </c>
      <c r="E10" s="27">
        <v>-121.64003</v>
      </c>
      <c r="F10" s="27" t="s">
        <v>7561</v>
      </c>
      <c r="G10" s="631" t="s">
        <v>90</v>
      </c>
      <c r="H10" s="631" t="s">
        <v>7562</v>
      </c>
      <c r="I10" s="12">
        <v>0.34236111111111112</v>
      </c>
      <c r="J10" s="13">
        <v>51.8</v>
      </c>
      <c r="K10" s="86">
        <v>22.5</v>
      </c>
      <c r="L10" s="13">
        <v>37.700000000000003</v>
      </c>
      <c r="M10" s="13">
        <v>0.33</v>
      </c>
      <c r="N10" s="90" t="s">
        <v>50</v>
      </c>
      <c r="O10" s="14" t="s">
        <v>48</v>
      </c>
      <c r="P10" s="14">
        <v>1</v>
      </c>
      <c r="Q10" s="14">
        <v>5</v>
      </c>
      <c r="R10" s="14" t="s">
        <v>49</v>
      </c>
      <c r="S10" s="14" t="s">
        <v>323</v>
      </c>
      <c r="T10" s="15">
        <v>35</v>
      </c>
      <c r="U10" s="15" t="s">
        <v>7563</v>
      </c>
      <c r="V10" s="14" t="s">
        <v>7564</v>
      </c>
      <c r="W10" s="14" t="s">
        <v>50</v>
      </c>
      <c r="X10" s="14" t="s">
        <v>50</v>
      </c>
      <c r="Y10" s="5"/>
    </row>
    <row r="11" spans="1:25" s="48" customFormat="1" x14ac:dyDescent="0.25">
      <c r="A11" s="11">
        <v>42921</v>
      </c>
      <c r="B11" s="92" t="str">
        <f t="shared" si="0"/>
        <v>Wed</v>
      </c>
      <c r="C11" s="631" t="s">
        <v>6849</v>
      </c>
      <c r="D11" s="631">
        <v>38.249699999999997</v>
      </c>
      <c r="E11" s="27">
        <v>-121.71133</v>
      </c>
      <c r="F11" s="27" t="s">
        <v>7565</v>
      </c>
      <c r="G11" s="631" t="s">
        <v>90</v>
      </c>
      <c r="H11" s="631" t="s">
        <v>7562</v>
      </c>
      <c r="I11" s="12">
        <v>0.42708333333333331</v>
      </c>
      <c r="J11" s="13" t="s">
        <v>50</v>
      </c>
      <c r="K11" s="31" t="s">
        <v>50</v>
      </c>
      <c r="L11" s="13">
        <v>12.904999999999999</v>
      </c>
      <c r="M11" s="13">
        <v>1.19</v>
      </c>
      <c r="N11" s="90" t="s">
        <v>50</v>
      </c>
      <c r="O11" s="14" t="s">
        <v>48</v>
      </c>
      <c r="P11" s="14">
        <v>2</v>
      </c>
      <c r="Q11" s="14">
        <v>5</v>
      </c>
      <c r="R11" s="14" t="s">
        <v>49</v>
      </c>
      <c r="S11" s="14" t="s">
        <v>323</v>
      </c>
      <c r="T11" s="15">
        <v>2</v>
      </c>
      <c r="U11" s="15">
        <v>43</v>
      </c>
      <c r="V11" s="14" t="s">
        <v>7564</v>
      </c>
      <c r="W11" s="14" t="s">
        <v>50</v>
      </c>
      <c r="X11" s="14" t="s">
        <v>50</v>
      </c>
      <c r="Y11" s="5"/>
    </row>
    <row r="12" spans="1:25" s="48" customFormat="1" x14ac:dyDescent="0.25">
      <c r="A12" s="11">
        <v>42921</v>
      </c>
      <c r="B12" s="92" t="str">
        <f t="shared" si="0"/>
        <v>Wed</v>
      </c>
      <c r="C12" s="631" t="s">
        <v>44</v>
      </c>
      <c r="D12" s="631">
        <v>38.03152</v>
      </c>
      <c r="E12" s="631">
        <v>-121.47851</v>
      </c>
      <c r="F12" s="27" t="s">
        <v>7566</v>
      </c>
      <c r="G12" s="631" t="s">
        <v>46</v>
      </c>
      <c r="H12" s="631" t="s">
        <v>6840</v>
      </c>
      <c r="I12" s="12">
        <v>0.31944444444444448</v>
      </c>
      <c r="J12" s="13">
        <v>97.29</v>
      </c>
      <c r="K12" s="86">
        <v>22.137500524520874</v>
      </c>
      <c r="L12" s="13">
        <v>17.175000000000001</v>
      </c>
      <c r="M12" s="13">
        <v>0.71750000000000003</v>
      </c>
      <c r="N12" s="90" t="s">
        <v>50</v>
      </c>
      <c r="O12" s="14" t="s">
        <v>48</v>
      </c>
      <c r="P12" s="14">
        <v>8</v>
      </c>
      <c r="Q12" s="14">
        <v>10</v>
      </c>
      <c r="R12" s="14" t="s">
        <v>49</v>
      </c>
      <c r="S12" s="14" t="s">
        <v>50</v>
      </c>
      <c r="T12" s="15" t="s">
        <v>50</v>
      </c>
      <c r="U12" s="15" t="s">
        <v>50</v>
      </c>
      <c r="V12" s="14" t="s">
        <v>50</v>
      </c>
      <c r="W12" s="14" t="s">
        <v>50</v>
      </c>
      <c r="X12" s="14" t="s">
        <v>50</v>
      </c>
      <c r="Y12" s="5"/>
    </row>
    <row r="13" spans="1:25" s="48" customFormat="1" x14ac:dyDescent="0.25">
      <c r="A13" s="11">
        <v>42921</v>
      </c>
      <c r="B13" s="92" t="str">
        <f t="shared" si="0"/>
        <v>Wed</v>
      </c>
      <c r="C13" s="631" t="s">
        <v>44</v>
      </c>
      <c r="D13" s="631">
        <v>38.042389999999997</v>
      </c>
      <c r="E13" s="631">
        <v>-121.4923</v>
      </c>
      <c r="F13" s="27" t="s">
        <v>7567</v>
      </c>
      <c r="G13" s="631" t="s">
        <v>46</v>
      </c>
      <c r="H13" s="631" t="s">
        <v>115</v>
      </c>
      <c r="I13" s="12">
        <v>0.41736111111111113</v>
      </c>
      <c r="J13" s="13">
        <v>109.4</v>
      </c>
      <c r="K13" s="86">
        <v>22.849999904632568</v>
      </c>
      <c r="L13" s="13">
        <v>14.73</v>
      </c>
      <c r="M13" s="13">
        <v>0.64</v>
      </c>
      <c r="N13" s="90" t="s">
        <v>50</v>
      </c>
      <c r="O13" s="14" t="s">
        <v>48</v>
      </c>
      <c r="P13" s="14">
        <v>8</v>
      </c>
      <c r="Q13" s="14">
        <v>10</v>
      </c>
      <c r="R13" s="14" t="s">
        <v>49</v>
      </c>
      <c r="S13" s="14" t="s">
        <v>50</v>
      </c>
      <c r="T13" s="15" t="s">
        <v>50</v>
      </c>
      <c r="U13" s="15" t="s">
        <v>50</v>
      </c>
      <c r="V13" s="14" t="s">
        <v>50</v>
      </c>
      <c r="W13" s="14" t="s">
        <v>50</v>
      </c>
      <c r="X13" s="14" t="s">
        <v>50</v>
      </c>
      <c r="Y13" s="5"/>
    </row>
    <row r="14" spans="1:25" s="48" customFormat="1" x14ac:dyDescent="0.25">
      <c r="A14" s="11">
        <v>42921</v>
      </c>
      <c r="B14" s="92" t="str">
        <f t="shared" si="0"/>
        <v>Wed</v>
      </c>
      <c r="C14" s="631" t="s">
        <v>118</v>
      </c>
      <c r="D14" s="631">
        <v>38.046770000000002</v>
      </c>
      <c r="E14" s="631">
        <v>-122.27161</v>
      </c>
      <c r="F14" s="27" t="s">
        <v>7568</v>
      </c>
      <c r="G14" s="631" t="s">
        <v>80</v>
      </c>
      <c r="H14" s="631" t="s">
        <v>123</v>
      </c>
      <c r="I14" s="12">
        <v>0.39930555555555558</v>
      </c>
      <c r="J14" s="13">
        <v>21405.75</v>
      </c>
      <c r="K14" s="86">
        <v>19.137500047683716</v>
      </c>
      <c r="L14" s="13">
        <v>26.04</v>
      </c>
      <c r="M14" s="13">
        <v>0.55000000000000004</v>
      </c>
      <c r="N14" s="90" t="s">
        <v>50</v>
      </c>
      <c r="O14" s="14" t="s">
        <v>48</v>
      </c>
      <c r="P14" s="14">
        <v>8</v>
      </c>
      <c r="Q14" s="14">
        <v>10</v>
      </c>
      <c r="R14" s="14" t="s">
        <v>64</v>
      </c>
      <c r="S14" s="14" t="s">
        <v>50</v>
      </c>
      <c r="T14" s="15" t="s">
        <v>50</v>
      </c>
      <c r="U14" s="15" t="s">
        <v>50</v>
      </c>
      <c r="V14" s="14" t="s">
        <v>50</v>
      </c>
      <c r="W14" s="14" t="s">
        <v>50</v>
      </c>
      <c r="X14" s="14" t="s">
        <v>50</v>
      </c>
      <c r="Y14" s="5"/>
    </row>
    <row r="15" spans="1:25" s="48" customFormat="1" x14ac:dyDescent="0.25">
      <c r="A15" s="11">
        <v>42921</v>
      </c>
      <c r="B15" s="92" t="str">
        <f t="shared" si="0"/>
        <v>Wed</v>
      </c>
      <c r="C15" s="631" t="s">
        <v>118</v>
      </c>
      <c r="D15" s="631">
        <v>38.054929999999999</v>
      </c>
      <c r="E15" s="631">
        <v>-122.32138</v>
      </c>
      <c r="F15" s="27" t="s">
        <v>7569</v>
      </c>
      <c r="G15" s="631" t="s">
        <v>80</v>
      </c>
      <c r="H15" s="631" t="s">
        <v>123</v>
      </c>
      <c r="I15" s="12">
        <v>0.63472222222222219</v>
      </c>
      <c r="J15" s="13">
        <v>22958</v>
      </c>
      <c r="K15" s="86">
        <v>20.387500047683716</v>
      </c>
      <c r="L15" s="13">
        <v>15.83</v>
      </c>
      <c r="M15" s="13">
        <v>0.57999999999999996</v>
      </c>
      <c r="N15" s="90" t="s">
        <v>50</v>
      </c>
      <c r="O15" s="14" t="s">
        <v>48</v>
      </c>
      <c r="P15" s="14">
        <v>8</v>
      </c>
      <c r="Q15" s="14">
        <v>10</v>
      </c>
      <c r="R15" s="14" t="s">
        <v>49</v>
      </c>
      <c r="S15" s="14" t="s">
        <v>50</v>
      </c>
      <c r="T15" s="15" t="s">
        <v>50</v>
      </c>
      <c r="U15" s="15" t="s">
        <v>50</v>
      </c>
      <c r="V15" s="14" t="s">
        <v>50</v>
      </c>
      <c r="W15" s="14" t="s">
        <v>50</v>
      </c>
      <c r="X15" s="14" t="s">
        <v>50</v>
      </c>
      <c r="Y15" s="5"/>
    </row>
    <row r="16" spans="1:25" s="48" customFormat="1" x14ac:dyDescent="0.25">
      <c r="A16" s="11">
        <v>42922</v>
      </c>
      <c r="B16" s="92" t="str">
        <f t="shared" si="0"/>
        <v>Thu</v>
      </c>
      <c r="C16" s="631" t="s">
        <v>7570</v>
      </c>
      <c r="D16" s="631">
        <v>38.101469999999999</v>
      </c>
      <c r="E16" s="631">
        <v>-122.04022000000001</v>
      </c>
      <c r="F16" s="27" t="s">
        <v>7571</v>
      </c>
      <c r="G16" s="631" t="s">
        <v>27</v>
      </c>
      <c r="H16" s="631" t="s">
        <v>86</v>
      </c>
      <c r="I16" s="12">
        <v>0.35972222222222222</v>
      </c>
      <c r="J16" s="13">
        <v>2720.5</v>
      </c>
      <c r="K16" s="86">
        <v>20.299999237060547</v>
      </c>
      <c r="L16" s="13">
        <v>65.2</v>
      </c>
      <c r="M16" s="13">
        <v>0.34499999999999997</v>
      </c>
      <c r="N16" s="90" t="s">
        <v>50</v>
      </c>
      <c r="O16" s="14" t="s">
        <v>48</v>
      </c>
      <c r="P16" s="14">
        <v>2</v>
      </c>
      <c r="Q16" s="14">
        <v>5</v>
      </c>
      <c r="R16" s="14" t="s">
        <v>49</v>
      </c>
      <c r="S16" s="14" t="s">
        <v>323</v>
      </c>
      <c r="T16" s="15">
        <v>3</v>
      </c>
      <c r="U16" s="15" t="s">
        <v>6375</v>
      </c>
      <c r="V16" s="14" t="s">
        <v>66</v>
      </c>
      <c r="W16" s="14" t="s">
        <v>50</v>
      </c>
      <c r="X16" s="14" t="s">
        <v>50</v>
      </c>
      <c r="Y16" s="5"/>
    </row>
    <row r="17" spans="1:25" s="48" customFormat="1" x14ac:dyDescent="0.25">
      <c r="A17" s="11">
        <v>42922</v>
      </c>
      <c r="B17" s="92" t="str">
        <f t="shared" si="0"/>
        <v>Thu</v>
      </c>
      <c r="C17" s="631" t="s">
        <v>7570</v>
      </c>
      <c r="D17" s="631">
        <v>38.069330000000001</v>
      </c>
      <c r="E17" s="631">
        <v>-121.97768000000001</v>
      </c>
      <c r="F17" s="27" t="s">
        <v>7572</v>
      </c>
      <c r="G17" s="631" t="s">
        <v>27</v>
      </c>
      <c r="H17" s="631" t="s">
        <v>86</v>
      </c>
      <c r="I17" s="12">
        <v>0.39930555555555558</v>
      </c>
      <c r="J17" s="13">
        <v>429.43</v>
      </c>
      <c r="K17" s="86">
        <v>21</v>
      </c>
      <c r="L17" s="13">
        <v>53.37</v>
      </c>
      <c r="M17" s="13">
        <v>0.39</v>
      </c>
      <c r="N17" s="90" t="s">
        <v>50</v>
      </c>
      <c r="O17" s="14" t="s">
        <v>48</v>
      </c>
      <c r="P17" s="14">
        <v>3</v>
      </c>
      <c r="Q17" s="14">
        <v>5</v>
      </c>
      <c r="R17" s="14" t="s">
        <v>49</v>
      </c>
      <c r="S17" s="14" t="s">
        <v>323</v>
      </c>
      <c r="T17" s="15">
        <v>2</v>
      </c>
      <c r="U17" s="15" t="s">
        <v>7573</v>
      </c>
      <c r="V17" s="14" t="s">
        <v>66</v>
      </c>
      <c r="W17" s="14" t="s">
        <v>50</v>
      </c>
      <c r="X17" s="14" t="s">
        <v>50</v>
      </c>
      <c r="Y17" s="5"/>
    </row>
    <row r="18" spans="1:25" s="48" customFormat="1" x14ac:dyDescent="0.25">
      <c r="A18" s="11">
        <v>42922</v>
      </c>
      <c r="B18" s="92" t="str">
        <f t="shared" si="0"/>
        <v>Thu</v>
      </c>
      <c r="C18" s="631" t="s">
        <v>44</v>
      </c>
      <c r="D18" s="631">
        <v>38.183660000000003</v>
      </c>
      <c r="E18" s="631">
        <v>-121.48757999999999</v>
      </c>
      <c r="F18" s="27" t="s">
        <v>7574</v>
      </c>
      <c r="G18" s="631" t="s">
        <v>46</v>
      </c>
      <c r="H18" s="631" t="s">
        <v>6881</v>
      </c>
      <c r="I18" s="12">
        <v>0.33680555555555558</v>
      </c>
      <c r="J18" s="13">
        <v>44.75</v>
      </c>
      <c r="K18" s="86">
        <v>18.550000190734863</v>
      </c>
      <c r="L18" s="13">
        <v>11.7</v>
      </c>
      <c r="M18" s="13">
        <v>0.84</v>
      </c>
      <c r="N18" s="90" t="s">
        <v>50</v>
      </c>
      <c r="O18" s="14" t="s">
        <v>48</v>
      </c>
      <c r="P18" s="14">
        <v>8</v>
      </c>
      <c r="Q18" s="14">
        <v>10</v>
      </c>
      <c r="R18" s="14" t="s">
        <v>49</v>
      </c>
      <c r="S18" s="14" t="s">
        <v>50</v>
      </c>
      <c r="T18" s="15" t="s">
        <v>50</v>
      </c>
      <c r="U18" s="15" t="s">
        <v>50</v>
      </c>
      <c r="V18" s="14" t="s">
        <v>50</v>
      </c>
      <c r="W18" s="14" t="s">
        <v>50</v>
      </c>
      <c r="X18" s="14" t="s">
        <v>50</v>
      </c>
      <c r="Y18" s="5"/>
    </row>
    <row r="19" spans="1:25" s="48" customFormat="1" x14ac:dyDescent="0.25">
      <c r="A19" s="11">
        <v>42922</v>
      </c>
      <c r="B19" s="92" t="str">
        <f t="shared" si="0"/>
        <v>Thu</v>
      </c>
      <c r="C19" s="631" t="s">
        <v>44</v>
      </c>
      <c r="D19" s="631">
        <v>38.117040000000003</v>
      </c>
      <c r="E19" s="631">
        <v>-121.54634</v>
      </c>
      <c r="F19" s="27" t="s">
        <v>7575</v>
      </c>
      <c r="G19" s="631" t="s">
        <v>46</v>
      </c>
      <c r="H19" s="631" t="s">
        <v>6881</v>
      </c>
      <c r="I19" s="12">
        <v>0.54513888888888895</v>
      </c>
      <c r="J19" s="13">
        <v>100.77500000000001</v>
      </c>
      <c r="K19" s="86">
        <v>22.499999761581421</v>
      </c>
      <c r="L19" s="13">
        <v>6.5750000000000002</v>
      </c>
      <c r="M19" s="13">
        <v>1.2549999999999999</v>
      </c>
      <c r="N19" s="90" t="s">
        <v>50</v>
      </c>
      <c r="O19" s="14" t="s">
        <v>48</v>
      </c>
      <c r="P19" s="14">
        <v>8</v>
      </c>
      <c r="Q19" s="14">
        <v>10</v>
      </c>
      <c r="R19" s="14" t="s">
        <v>64</v>
      </c>
      <c r="S19" s="14" t="s">
        <v>50</v>
      </c>
      <c r="T19" s="15" t="s">
        <v>50</v>
      </c>
      <c r="U19" s="15" t="s">
        <v>50</v>
      </c>
      <c r="V19" s="14" t="s">
        <v>50</v>
      </c>
      <c r="W19" s="14" t="s">
        <v>50</v>
      </c>
      <c r="X19" s="14" t="s">
        <v>50</v>
      </c>
      <c r="Y19" s="5"/>
    </row>
    <row r="20" spans="1:25" s="48" customFormat="1" x14ac:dyDescent="0.25">
      <c r="A20" s="11">
        <v>42922</v>
      </c>
      <c r="B20" s="92" t="str">
        <f t="shared" si="0"/>
        <v>Thu</v>
      </c>
      <c r="C20" s="631" t="s">
        <v>106</v>
      </c>
      <c r="D20" s="631">
        <v>38.42445</v>
      </c>
      <c r="E20" s="16">
        <v>-121.60612999999999</v>
      </c>
      <c r="F20" s="27" t="s">
        <v>7576</v>
      </c>
      <c r="G20" s="631" t="s">
        <v>90</v>
      </c>
      <c r="H20" s="631" t="s">
        <v>7577</v>
      </c>
      <c r="I20" s="12">
        <v>0.34652777777777777</v>
      </c>
      <c r="J20" s="13">
        <v>663.5</v>
      </c>
      <c r="K20" s="86">
        <v>22.949999809265137</v>
      </c>
      <c r="L20" s="13">
        <v>28.6</v>
      </c>
      <c r="M20" s="13">
        <v>0.35499999999999998</v>
      </c>
      <c r="N20" s="90" t="s">
        <v>50</v>
      </c>
      <c r="O20" s="14" t="s">
        <v>48</v>
      </c>
      <c r="P20" s="14">
        <v>2</v>
      </c>
      <c r="Q20" s="14">
        <v>2.5</v>
      </c>
      <c r="R20" s="14" t="s">
        <v>49</v>
      </c>
      <c r="S20" s="14" t="s">
        <v>323</v>
      </c>
      <c r="T20" s="15">
        <v>3</v>
      </c>
      <c r="U20" s="15" t="s">
        <v>5205</v>
      </c>
      <c r="V20" s="14" t="s">
        <v>66</v>
      </c>
      <c r="W20" s="14" t="s">
        <v>50</v>
      </c>
      <c r="X20" s="14" t="s">
        <v>50</v>
      </c>
      <c r="Y20" s="5" t="s">
        <v>7578</v>
      </c>
    </row>
    <row r="21" spans="1:25" s="48" customFormat="1" x14ac:dyDescent="0.25">
      <c r="A21" s="11">
        <v>42922</v>
      </c>
      <c r="B21" s="92" t="str">
        <f t="shared" si="0"/>
        <v>Thu</v>
      </c>
      <c r="C21" s="631" t="s">
        <v>106</v>
      </c>
      <c r="D21" s="631">
        <v>38.387970000000003</v>
      </c>
      <c r="E21" s="631">
        <v>-121.62307</v>
      </c>
      <c r="F21" s="27" t="s">
        <v>7579</v>
      </c>
      <c r="G21" s="631" t="s">
        <v>90</v>
      </c>
      <c r="H21" s="631" t="s">
        <v>7577</v>
      </c>
      <c r="I21" s="21">
        <v>0.41250000000000003</v>
      </c>
      <c r="J21" s="4">
        <v>602.5</v>
      </c>
      <c r="K21" s="86">
        <v>22.800000190734863</v>
      </c>
      <c r="L21" s="4">
        <v>31.85</v>
      </c>
      <c r="M21" s="4">
        <v>0.33</v>
      </c>
      <c r="N21" s="90" t="s">
        <v>50</v>
      </c>
      <c r="O21" s="631" t="s">
        <v>48</v>
      </c>
      <c r="P21" s="631">
        <v>2</v>
      </c>
      <c r="Q21" s="631">
        <v>5</v>
      </c>
      <c r="R21" s="631" t="s">
        <v>49</v>
      </c>
      <c r="S21" s="14" t="s">
        <v>323</v>
      </c>
      <c r="T21" s="15">
        <v>6</v>
      </c>
      <c r="U21" s="15" t="s">
        <v>7580</v>
      </c>
      <c r="V21" s="14" t="s">
        <v>66</v>
      </c>
      <c r="W21" s="14" t="s">
        <v>50</v>
      </c>
      <c r="X21" s="14" t="s">
        <v>50</v>
      </c>
      <c r="Y21" s="5" t="s">
        <v>7581</v>
      </c>
    </row>
    <row r="22" spans="1:25" s="48" customFormat="1" x14ac:dyDescent="0.25">
      <c r="A22" s="11">
        <v>42923</v>
      </c>
      <c r="B22" s="92" t="str">
        <f t="shared" si="0"/>
        <v>Fri</v>
      </c>
      <c r="C22" s="631" t="s">
        <v>95</v>
      </c>
      <c r="D22" s="631">
        <v>38.107709999999997</v>
      </c>
      <c r="E22" s="631">
        <v>-121.61306999999999</v>
      </c>
      <c r="F22" s="27" t="s">
        <v>7582</v>
      </c>
      <c r="G22" s="631" t="s">
        <v>46</v>
      </c>
      <c r="H22" s="631" t="s">
        <v>97</v>
      </c>
      <c r="I22" s="12">
        <v>0.32222222222222224</v>
      </c>
      <c r="J22" s="13">
        <v>81.614000000000004</v>
      </c>
      <c r="K22" s="86">
        <v>22.91999969482422</v>
      </c>
      <c r="L22" s="13">
        <v>11.32</v>
      </c>
      <c r="M22" s="13">
        <v>1.1419999999999999</v>
      </c>
      <c r="N22" s="90" t="s">
        <v>50</v>
      </c>
      <c r="O22" s="14" t="s">
        <v>48</v>
      </c>
      <c r="P22" s="14">
        <v>5</v>
      </c>
      <c r="Q22" s="14">
        <v>5</v>
      </c>
      <c r="R22" s="14" t="s">
        <v>49</v>
      </c>
      <c r="S22" s="14" t="s">
        <v>50</v>
      </c>
      <c r="T22" s="15" t="s">
        <v>50</v>
      </c>
      <c r="U22" s="15" t="s">
        <v>50</v>
      </c>
      <c r="V22" s="14" t="s">
        <v>50</v>
      </c>
      <c r="W22" s="14" t="s">
        <v>50</v>
      </c>
      <c r="X22" s="14" t="s">
        <v>50</v>
      </c>
      <c r="Y22" s="5"/>
    </row>
    <row r="23" spans="1:25" s="48" customFormat="1" x14ac:dyDescent="0.25">
      <c r="A23" s="11">
        <v>42923</v>
      </c>
      <c r="B23" s="92" t="str">
        <f t="shared" si="0"/>
        <v>Fri</v>
      </c>
      <c r="C23" s="631" t="s">
        <v>95</v>
      </c>
      <c r="D23" s="631">
        <v>38.057229999999997</v>
      </c>
      <c r="E23" s="631">
        <v>-121.67135</v>
      </c>
      <c r="F23" s="27" t="s">
        <v>7583</v>
      </c>
      <c r="G23" s="631" t="s">
        <v>46</v>
      </c>
      <c r="H23" s="631" t="s">
        <v>97</v>
      </c>
      <c r="I23" s="12">
        <v>0.38472222222222219</v>
      </c>
      <c r="J23" s="13">
        <v>103.46</v>
      </c>
      <c r="K23" s="86">
        <v>22.700000762939453</v>
      </c>
      <c r="L23" s="13">
        <v>12.48</v>
      </c>
      <c r="M23" s="13">
        <v>0.874</v>
      </c>
      <c r="N23" s="90" t="s">
        <v>50</v>
      </c>
      <c r="O23" s="14" t="s">
        <v>48</v>
      </c>
      <c r="P23" s="14">
        <v>5</v>
      </c>
      <c r="Q23" s="14">
        <v>5</v>
      </c>
      <c r="R23" s="14" t="s">
        <v>49</v>
      </c>
      <c r="S23" s="14" t="s">
        <v>50</v>
      </c>
      <c r="T23" s="15" t="s">
        <v>50</v>
      </c>
      <c r="U23" s="15" t="s">
        <v>50</v>
      </c>
      <c r="V23" s="14" t="s">
        <v>50</v>
      </c>
      <c r="W23" s="14" t="s">
        <v>50</v>
      </c>
      <c r="X23" s="14" t="s">
        <v>50</v>
      </c>
      <c r="Y23" s="5"/>
    </row>
    <row r="24" spans="1:25" s="48" customFormat="1" x14ac:dyDescent="0.25">
      <c r="A24" s="11">
        <v>42923</v>
      </c>
      <c r="B24" s="92" t="str">
        <f t="shared" si="0"/>
        <v>Fri</v>
      </c>
      <c r="C24" s="631" t="s">
        <v>88</v>
      </c>
      <c r="D24" s="631">
        <v>38.174520000000001</v>
      </c>
      <c r="E24" s="631">
        <v>-121.6707</v>
      </c>
      <c r="F24" s="27" t="s">
        <v>7584</v>
      </c>
      <c r="G24" s="631" t="s">
        <v>90</v>
      </c>
      <c r="H24" s="631" t="s">
        <v>91</v>
      </c>
      <c r="I24" s="12">
        <v>0.31319444444444444</v>
      </c>
      <c r="J24" s="13">
        <v>108.86</v>
      </c>
      <c r="K24" s="86">
        <v>22.399999618530273</v>
      </c>
      <c r="L24" s="13">
        <v>16.34</v>
      </c>
      <c r="M24" s="13">
        <v>0.92</v>
      </c>
      <c r="N24" s="90" t="s">
        <v>50</v>
      </c>
      <c r="O24" s="14" t="s">
        <v>48</v>
      </c>
      <c r="P24" s="14">
        <v>5</v>
      </c>
      <c r="Q24" s="14">
        <v>5</v>
      </c>
      <c r="R24" s="14" t="s">
        <v>49</v>
      </c>
      <c r="S24" s="14" t="s">
        <v>50</v>
      </c>
      <c r="T24" s="15" t="s">
        <v>50</v>
      </c>
      <c r="U24" s="15" t="s">
        <v>50</v>
      </c>
      <c r="V24" s="14" t="s">
        <v>50</v>
      </c>
      <c r="W24" s="14" t="s">
        <v>50</v>
      </c>
      <c r="X24" s="14" t="s">
        <v>50</v>
      </c>
      <c r="Y24" s="5"/>
    </row>
    <row r="25" spans="1:25" s="48" customFormat="1" x14ac:dyDescent="0.25">
      <c r="A25" s="11">
        <v>42923</v>
      </c>
      <c r="B25" s="92" t="str">
        <f t="shared" si="0"/>
        <v>Fri</v>
      </c>
      <c r="C25" s="631" t="s">
        <v>88</v>
      </c>
      <c r="D25" s="631">
        <v>38.08858</v>
      </c>
      <c r="E25" s="631">
        <v>-121.68537999999999</v>
      </c>
      <c r="F25" s="27" t="s">
        <v>7585</v>
      </c>
      <c r="G25" s="631" t="s">
        <v>90</v>
      </c>
      <c r="H25" s="631" t="s">
        <v>91</v>
      </c>
      <c r="I25" s="12">
        <v>0.3979166666666667</v>
      </c>
      <c r="J25" s="13">
        <v>91.98</v>
      </c>
      <c r="K25" s="86">
        <v>22.939999771118163</v>
      </c>
      <c r="L25" s="13">
        <v>20.14</v>
      </c>
      <c r="M25" s="13">
        <v>0.66</v>
      </c>
      <c r="N25" s="90" t="s">
        <v>50</v>
      </c>
      <c r="O25" s="14" t="s">
        <v>48</v>
      </c>
      <c r="P25" s="14">
        <v>5</v>
      </c>
      <c r="Q25" s="14">
        <v>5</v>
      </c>
      <c r="R25" s="14" t="s">
        <v>49</v>
      </c>
      <c r="S25" s="14" t="s">
        <v>50</v>
      </c>
      <c r="T25" s="15" t="s">
        <v>50</v>
      </c>
      <c r="U25" s="15" t="s">
        <v>50</v>
      </c>
      <c r="V25" s="14" t="s">
        <v>50</v>
      </c>
      <c r="W25" s="14" t="s">
        <v>50</v>
      </c>
      <c r="X25" s="14" t="s">
        <v>50</v>
      </c>
      <c r="Y25" s="5"/>
    </row>
    <row r="26" spans="1:25" s="149" customFormat="1" x14ac:dyDescent="0.25">
      <c r="A26" s="160">
        <v>42923</v>
      </c>
      <c r="B26" s="148" t="str">
        <f t="shared" si="0"/>
        <v>Fri</v>
      </c>
      <c r="C26" s="149" t="s">
        <v>95</v>
      </c>
      <c r="D26" s="149">
        <v>38.015079999999998</v>
      </c>
      <c r="E26" s="149">
        <v>-121.73181</v>
      </c>
      <c r="F26" s="149" t="s">
        <v>7586</v>
      </c>
      <c r="G26" s="149" t="s">
        <v>27</v>
      </c>
      <c r="H26" s="149" t="s">
        <v>95</v>
      </c>
      <c r="I26" s="165">
        <v>0.33958333333333335</v>
      </c>
      <c r="J26" s="163" t="s">
        <v>50</v>
      </c>
      <c r="K26" s="163" t="s">
        <v>50</v>
      </c>
      <c r="L26" s="163" t="s">
        <v>50</v>
      </c>
      <c r="M26" s="163" t="s">
        <v>50</v>
      </c>
      <c r="N26" s="177" t="s">
        <v>50</v>
      </c>
      <c r="O26" s="161" t="s">
        <v>48</v>
      </c>
      <c r="P26" s="161">
        <v>0</v>
      </c>
      <c r="Q26" s="161" t="s">
        <v>50</v>
      </c>
      <c r="R26" s="161" t="s">
        <v>50</v>
      </c>
      <c r="S26" s="181" t="s">
        <v>50</v>
      </c>
      <c r="T26" s="157" t="s">
        <v>50</v>
      </c>
      <c r="U26" s="157" t="s">
        <v>50</v>
      </c>
      <c r="V26" s="181" t="s">
        <v>50</v>
      </c>
      <c r="W26" s="181" t="s">
        <v>50</v>
      </c>
      <c r="X26" s="181" t="s">
        <v>50</v>
      </c>
      <c r="Y26" s="152" t="s">
        <v>72</v>
      </c>
    </row>
    <row r="27" spans="1:25" s="48" customFormat="1" x14ac:dyDescent="0.25">
      <c r="A27" s="44">
        <v>42923</v>
      </c>
      <c r="B27" s="92" t="str">
        <f t="shared" si="0"/>
        <v>Fri</v>
      </c>
      <c r="C27" s="631" t="s">
        <v>95</v>
      </c>
      <c r="D27" s="631">
        <v>38.044460000000001</v>
      </c>
      <c r="E27" s="631">
        <v>-121.70674</v>
      </c>
      <c r="F27" s="27" t="s">
        <v>7587</v>
      </c>
      <c r="G27" s="631" t="s">
        <v>27</v>
      </c>
      <c r="H27" s="631" t="s">
        <v>95</v>
      </c>
      <c r="I27" s="12">
        <v>0.34930555555555554</v>
      </c>
      <c r="J27" s="13">
        <v>106.34</v>
      </c>
      <c r="K27" s="86">
        <v>22.58000030517578</v>
      </c>
      <c r="L27" s="13">
        <v>20.78</v>
      </c>
      <c r="M27" s="13">
        <v>0.58199999999999996</v>
      </c>
      <c r="N27" s="90" t="s">
        <v>50</v>
      </c>
      <c r="O27" s="14" t="s">
        <v>48</v>
      </c>
      <c r="P27" s="14">
        <v>5</v>
      </c>
      <c r="Q27" s="14">
        <v>5</v>
      </c>
      <c r="R27" s="14" t="s">
        <v>49</v>
      </c>
      <c r="S27" s="14" t="s">
        <v>323</v>
      </c>
      <c r="T27" s="10">
        <v>1</v>
      </c>
      <c r="U27" s="10">
        <v>39</v>
      </c>
      <c r="V27" s="14" t="s">
        <v>66</v>
      </c>
      <c r="W27" s="14" t="s">
        <v>50</v>
      </c>
      <c r="X27" s="14" t="s">
        <v>50</v>
      </c>
      <c r="Y27" s="5" t="s">
        <v>7588</v>
      </c>
    </row>
    <row r="28" spans="1:25" s="131" customFormat="1" ht="15.75" thickBot="1" x14ac:dyDescent="0.3">
      <c r="A28" s="137">
        <v>42923</v>
      </c>
      <c r="B28" s="107" t="str">
        <f t="shared" si="0"/>
        <v>Fri</v>
      </c>
      <c r="C28" s="131" t="s">
        <v>95</v>
      </c>
      <c r="D28" s="131">
        <v>38.054340000000003</v>
      </c>
      <c r="E28" s="131">
        <v>-121.84623000000001</v>
      </c>
      <c r="F28" s="108" t="s">
        <v>7589</v>
      </c>
      <c r="G28" s="131" t="s">
        <v>27</v>
      </c>
      <c r="H28" s="131" t="s">
        <v>95</v>
      </c>
      <c r="I28" s="132">
        <v>0.42083333333333334</v>
      </c>
      <c r="J28" s="127">
        <v>121.68</v>
      </c>
      <c r="K28" s="128">
        <v>22.379999542236327</v>
      </c>
      <c r="L28" s="127">
        <v>27.24</v>
      </c>
      <c r="M28" s="127">
        <v>0.53600000000000003</v>
      </c>
      <c r="N28" s="125" t="s">
        <v>50</v>
      </c>
      <c r="O28" s="129" t="s">
        <v>48</v>
      </c>
      <c r="P28" s="129">
        <v>5</v>
      </c>
      <c r="Q28" s="129">
        <v>5</v>
      </c>
      <c r="R28" s="129" t="s">
        <v>49</v>
      </c>
      <c r="S28" s="138" t="s">
        <v>50</v>
      </c>
      <c r="T28" s="139" t="s">
        <v>50</v>
      </c>
      <c r="U28" s="139" t="s">
        <v>50</v>
      </c>
      <c r="V28" s="138" t="s">
        <v>50</v>
      </c>
      <c r="W28" s="138" t="s">
        <v>50</v>
      </c>
      <c r="X28" s="138" t="s">
        <v>50</v>
      </c>
      <c r="Y28" s="134"/>
    </row>
    <row r="29" spans="1:25" s="48" customFormat="1" ht="15.75" thickTop="1" x14ac:dyDescent="0.25">
      <c r="A29" s="6">
        <v>42926</v>
      </c>
      <c r="B29" s="92" t="str">
        <f t="shared" si="0"/>
        <v>Mon</v>
      </c>
      <c r="C29" s="631" t="s">
        <v>95</v>
      </c>
      <c r="D29" s="631">
        <v>38.097619999999999</v>
      </c>
      <c r="E29" s="631">
        <v>-121.62184000000001</v>
      </c>
      <c r="F29" s="27" t="s">
        <v>7590</v>
      </c>
      <c r="G29" s="631" t="s">
        <v>46</v>
      </c>
      <c r="H29" s="631" t="s">
        <v>97</v>
      </c>
      <c r="I29" s="7">
        <v>0.31319444444444444</v>
      </c>
      <c r="J29" s="8">
        <f>AVERAGE(92,92.5,92.7,92.6,92.6)</f>
        <v>92.47999999999999</v>
      </c>
      <c r="K29" s="105">
        <v>23.560000228881837</v>
      </c>
      <c r="L29" s="8">
        <f>AVERAGE(13.4,16.4,15.5,19.2,15.5)</f>
        <v>16</v>
      </c>
      <c r="M29" s="8">
        <f>AVERAGE(0.7,0.7,0.78,0.83,0.8)</f>
        <v>0.7619999999999999</v>
      </c>
      <c r="N29" s="90" t="s">
        <v>50</v>
      </c>
      <c r="O29" s="9" t="s">
        <v>48</v>
      </c>
      <c r="P29" s="9">
        <v>5</v>
      </c>
      <c r="Q29" s="9">
        <v>5</v>
      </c>
      <c r="R29" s="9" t="s">
        <v>49</v>
      </c>
      <c r="S29" s="9" t="s">
        <v>50</v>
      </c>
      <c r="T29" s="9" t="s">
        <v>50</v>
      </c>
      <c r="U29" s="9" t="s">
        <v>50</v>
      </c>
      <c r="V29" s="9" t="s">
        <v>50</v>
      </c>
      <c r="W29" s="9" t="s">
        <v>50</v>
      </c>
      <c r="X29" s="9" t="s">
        <v>50</v>
      </c>
      <c r="Y29" s="5"/>
    </row>
    <row r="30" spans="1:25" s="48" customFormat="1" x14ac:dyDescent="0.25">
      <c r="A30" s="11">
        <v>42926</v>
      </c>
      <c r="B30" s="92" t="str">
        <f t="shared" si="0"/>
        <v>Mon</v>
      </c>
      <c r="C30" s="631" t="s">
        <v>95</v>
      </c>
      <c r="D30" s="631">
        <v>38.094589999999997</v>
      </c>
      <c r="E30" s="27">
        <v>-121.63002</v>
      </c>
      <c r="F30" s="27" t="s">
        <v>7591</v>
      </c>
      <c r="G30" s="631" t="s">
        <v>46</v>
      </c>
      <c r="H30" s="631" t="s">
        <v>97</v>
      </c>
      <c r="I30" s="12">
        <v>0.37152777777777773</v>
      </c>
      <c r="J30" s="13">
        <f>AVERAGE(94,94.2,93.9,93.8,93.5)</f>
        <v>93.88000000000001</v>
      </c>
      <c r="K30" s="86">
        <v>23.700000762939453</v>
      </c>
      <c r="L30" s="13">
        <f>AVERAGE(17.5,19.4,19.6,14.8,16.2)</f>
        <v>17.5</v>
      </c>
      <c r="M30" s="13">
        <f>AVERAGE(0.73,0.8,0.7,0.81,0.75)</f>
        <v>0.75800000000000001</v>
      </c>
      <c r="N30" s="90" t="s">
        <v>50</v>
      </c>
      <c r="O30" s="14" t="s">
        <v>48</v>
      </c>
      <c r="P30" s="14">
        <v>5</v>
      </c>
      <c r="Q30" s="14">
        <v>5</v>
      </c>
      <c r="R30" s="14" t="s">
        <v>49</v>
      </c>
      <c r="S30" s="14" t="s">
        <v>50</v>
      </c>
      <c r="T30" s="10" t="s">
        <v>50</v>
      </c>
      <c r="U30" s="10" t="s">
        <v>50</v>
      </c>
      <c r="V30" s="14" t="s">
        <v>50</v>
      </c>
      <c r="W30" s="14" t="s">
        <v>50</v>
      </c>
      <c r="X30" s="14" t="s">
        <v>50</v>
      </c>
      <c r="Y30" s="5"/>
    </row>
    <row r="31" spans="1:25" s="48" customFormat="1" x14ac:dyDescent="0.25">
      <c r="A31" s="11">
        <v>42926</v>
      </c>
      <c r="B31" s="92" t="str">
        <f t="shared" si="0"/>
        <v>Mon</v>
      </c>
      <c r="C31" s="631" t="s">
        <v>95</v>
      </c>
      <c r="D31" s="631">
        <v>38.088639999999998</v>
      </c>
      <c r="E31" s="631">
        <v>-121.68516</v>
      </c>
      <c r="F31" s="27" t="s">
        <v>7592</v>
      </c>
      <c r="G31" s="631" t="s">
        <v>46</v>
      </c>
      <c r="H31" s="631" t="s">
        <v>97</v>
      </c>
      <c r="I31" s="12">
        <v>0.36736111111111108</v>
      </c>
      <c r="J31" s="13">
        <f>AVERAGE(111.5,111.3,111.1,110.1,109.5)</f>
        <v>110.7</v>
      </c>
      <c r="K31" s="86">
        <v>23.560000228881837</v>
      </c>
      <c r="L31" s="13">
        <f>AVERAGE(13,12.6,13.9,17.3,16.3)</f>
        <v>14.62</v>
      </c>
      <c r="M31" s="13">
        <f>AVERAGE(0.64,0.77,0.77,0.75,0.8)</f>
        <v>0.74600000000000011</v>
      </c>
      <c r="N31" s="90" t="s">
        <v>50</v>
      </c>
      <c r="O31" s="14" t="s">
        <v>48</v>
      </c>
      <c r="P31" s="14">
        <v>5</v>
      </c>
      <c r="Q31" s="14">
        <v>5</v>
      </c>
      <c r="R31" s="14" t="s">
        <v>64</v>
      </c>
      <c r="S31" s="14" t="s">
        <v>50</v>
      </c>
      <c r="T31" s="10" t="s">
        <v>50</v>
      </c>
      <c r="U31" s="10" t="s">
        <v>50</v>
      </c>
      <c r="V31" s="14" t="s">
        <v>50</v>
      </c>
      <c r="W31" s="14" t="s">
        <v>50</v>
      </c>
      <c r="X31" s="14" t="s">
        <v>50</v>
      </c>
      <c r="Y31" s="5"/>
    </row>
    <row r="32" spans="1:25" s="48" customFormat="1" x14ac:dyDescent="0.25">
      <c r="A32" s="11">
        <v>42926</v>
      </c>
      <c r="B32" s="92" t="str">
        <f t="shared" si="0"/>
        <v>Mon</v>
      </c>
      <c r="C32" s="631" t="s">
        <v>95</v>
      </c>
      <c r="D32" s="631">
        <v>38.075310000000002</v>
      </c>
      <c r="E32" s="631">
        <v>-121.68104</v>
      </c>
      <c r="F32" s="27" t="s">
        <v>7593</v>
      </c>
      <c r="G32" s="631" t="s">
        <v>46</v>
      </c>
      <c r="H32" s="631" t="s">
        <v>97</v>
      </c>
      <c r="I32" s="12">
        <v>0.42083333333333334</v>
      </c>
      <c r="J32" s="13">
        <f>AVERAGE(110,111.4,119.9,108,108.4)</f>
        <v>111.54</v>
      </c>
      <c r="K32" s="86">
        <v>23.739999771118164</v>
      </c>
      <c r="L32" s="13">
        <f>AVERAGE(19.7,21.6,19.7,19.8,22.2)</f>
        <v>20.6</v>
      </c>
      <c r="M32" s="13">
        <f>AVERAGE(0.7,0.64,0.68,0.69,0.64)</f>
        <v>0.67</v>
      </c>
      <c r="N32" s="90" t="s">
        <v>50</v>
      </c>
      <c r="O32" s="14" t="s">
        <v>48</v>
      </c>
      <c r="P32" s="14">
        <v>5</v>
      </c>
      <c r="Q32" s="14">
        <v>5</v>
      </c>
      <c r="R32" s="14" t="s">
        <v>49</v>
      </c>
      <c r="S32" s="14" t="s">
        <v>50</v>
      </c>
      <c r="T32" s="15" t="s">
        <v>50</v>
      </c>
      <c r="U32" s="15" t="s">
        <v>50</v>
      </c>
      <c r="V32" s="14" t="s">
        <v>50</v>
      </c>
      <c r="W32" s="14" t="s">
        <v>50</v>
      </c>
      <c r="X32" s="14" t="s">
        <v>50</v>
      </c>
      <c r="Y32" s="5"/>
    </row>
    <row r="33" spans="1:25" s="48" customFormat="1" x14ac:dyDescent="0.25">
      <c r="A33" s="11">
        <v>42926</v>
      </c>
      <c r="B33" s="92" t="str">
        <f t="shared" si="0"/>
        <v>Mon</v>
      </c>
      <c r="C33" s="631" t="s">
        <v>6849</v>
      </c>
      <c r="D33" s="631">
        <v>38.171129999999998</v>
      </c>
      <c r="E33" s="631">
        <v>-121.58022</v>
      </c>
      <c r="F33" s="27" t="s">
        <v>7594</v>
      </c>
      <c r="G33" s="631" t="s">
        <v>90</v>
      </c>
      <c r="H33" s="27" t="s">
        <v>6892</v>
      </c>
      <c r="I33" s="12">
        <v>0.3833333333333333</v>
      </c>
      <c r="J33" s="13">
        <f>AVERAGE(124,124.1,123.6,123.4,123.4,123.5,123.5,123.9)</f>
        <v>123.675</v>
      </c>
      <c r="K33" s="86">
        <v>23.312499523162842</v>
      </c>
      <c r="L33" s="13">
        <f>AVERAGE(10.7,9.06,11.2,8.79,10.4,10.6,10.9,12.3)</f>
        <v>10.49375</v>
      </c>
      <c r="M33" s="13">
        <f>AVERAGE(1.03,0.95,1.01,0.98,1,0.93,0.94,0.93)</f>
        <v>0.97124999999999995</v>
      </c>
      <c r="N33" s="90" t="s">
        <v>50</v>
      </c>
      <c r="O33" s="14" t="s">
        <v>48</v>
      </c>
      <c r="P33" s="14">
        <v>8</v>
      </c>
      <c r="Q33" s="14">
        <v>10</v>
      </c>
      <c r="R33" s="14" t="s">
        <v>49</v>
      </c>
      <c r="S33" s="14" t="s">
        <v>50</v>
      </c>
      <c r="T33" s="15" t="s">
        <v>50</v>
      </c>
      <c r="U33" s="15" t="s">
        <v>50</v>
      </c>
      <c r="V33" s="14" t="s">
        <v>50</v>
      </c>
      <c r="W33" s="14" t="s">
        <v>50</v>
      </c>
      <c r="X33" s="14" t="s">
        <v>50</v>
      </c>
      <c r="Y33" s="5"/>
    </row>
    <row r="34" spans="1:25" s="48" customFormat="1" x14ac:dyDescent="0.25">
      <c r="A34" s="11">
        <v>42926</v>
      </c>
      <c r="B34" s="92" t="str">
        <f t="shared" si="0"/>
        <v>Mon</v>
      </c>
      <c r="C34" s="631" t="s">
        <v>6849</v>
      </c>
      <c r="D34" s="631">
        <v>38.282670000000003</v>
      </c>
      <c r="E34" s="631">
        <v>-121.55022</v>
      </c>
      <c r="F34" s="27" t="s">
        <v>7595</v>
      </c>
      <c r="G34" s="631" t="s">
        <v>90</v>
      </c>
      <c r="H34" s="631" t="s">
        <v>6851</v>
      </c>
      <c r="I34" s="12">
        <v>0.53472222222222221</v>
      </c>
      <c r="J34" s="13">
        <f>AVERAGE(122.1,122,122.5,122.5,123,124,124.2,125)</f>
        <v>123.16250000000001</v>
      </c>
      <c r="K34" s="86">
        <v>23.274999618530273</v>
      </c>
      <c r="L34" s="13">
        <f>AVERAGE(10.1,11.2,11.7,15.2,9.72,11.1,13.1,11.2)</f>
        <v>11.664999999999999</v>
      </c>
      <c r="M34" s="13">
        <f>AVERAGE(0.98,1.04,1.02,1.01,1,1.03,1.01,0.97)</f>
        <v>1.0075000000000001</v>
      </c>
      <c r="N34" s="90" t="s">
        <v>50</v>
      </c>
      <c r="O34" s="14" t="s">
        <v>48</v>
      </c>
      <c r="P34" s="14">
        <v>8</v>
      </c>
      <c r="Q34" s="14">
        <v>10</v>
      </c>
      <c r="R34" s="14" t="s">
        <v>49</v>
      </c>
      <c r="S34" s="14" t="s">
        <v>50</v>
      </c>
      <c r="T34" s="15" t="s">
        <v>50</v>
      </c>
      <c r="U34" s="15" t="s">
        <v>50</v>
      </c>
      <c r="V34" s="14" t="s">
        <v>50</v>
      </c>
      <c r="W34" s="14" t="s">
        <v>50</v>
      </c>
      <c r="X34" s="14" t="s">
        <v>50</v>
      </c>
      <c r="Y34" s="5"/>
    </row>
    <row r="35" spans="1:25" s="48" customFormat="1" x14ac:dyDescent="0.25">
      <c r="A35" s="11">
        <v>42927</v>
      </c>
      <c r="B35" s="92" t="str">
        <f t="shared" si="0"/>
        <v>Tue</v>
      </c>
      <c r="C35" s="631" t="s">
        <v>88</v>
      </c>
      <c r="D35" s="631">
        <v>38.092950000000002</v>
      </c>
      <c r="E35" s="631">
        <v>-121.70676</v>
      </c>
      <c r="F35" s="27" t="s">
        <v>7596</v>
      </c>
      <c r="G35" s="631" t="s">
        <v>90</v>
      </c>
      <c r="H35" s="631" t="s">
        <v>91</v>
      </c>
      <c r="I35" s="12">
        <v>0.31180555555555556</v>
      </c>
      <c r="J35" s="13">
        <v>124.04</v>
      </c>
      <c r="K35" s="86">
        <v>22.819999694824219</v>
      </c>
      <c r="L35" s="13">
        <v>15.12</v>
      </c>
      <c r="M35" s="13">
        <v>0.69</v>
      </c>
      <c r="N35" s="90" t="s">
        <v>50</v>
      </c>
      <c r="O35" s="14" t="s">
        <v>48</v>
      </c>
      <c r="P35" s="14">
        <v>5</v>
      </c>
      <c r="Q35" s="14">
        <v>5</v>
      </c>
      <c r="R35" s="14" t="s">
        <v>49</v>
      </c>
      <c r="S35" s="14" t="s">
        <v>50</v>
      </c>
      <c r="T35" s="15" t="s">
        <v>50</v>
      </c>
      <c r="U35" s="15" t="s">
        <v>50</v>
      </c>
      <c r="V35" s="14" t="s">
        <v>50</v>
      </c>
      <c r="W35" s="14" t="s">
        <v>50</v>
      </c>
      <c r="X35" s="14" t="s">
        <v>50</v>
      </c>
      <c r="Y35" s="5"/>
    </row>
    <row r="36" spans="1:25" s="48" customFormat="1" x14ac:dyDescent="0.25">
      <c r="A36" s="11">
        <v>42927</v>
      </c>
      <c r="B36" s="92" t="str">
        <f t="shared" si="0"/>
        <v>Tue</v>
      </c>
      <c r="C36" s="631" t="s">
        <v>88</v>
      </c>
      <c r="D36" s="631">
        <v>38.100340000000003</v>
      </c>
      <c r="E36" s="631">
        <v>-121.71695</v>
      </c>
      <c r="F36" s="27" t="s">
        <v>7597</v>
      </c>
      <c r="G36" s="631" t="s">
        <v>90</v>
      </c>
      <c r="H36" s="631" t="s">
        <v>91</v>
      </c>
      <c r="I36" s="12">
        <v>0.36249999999999999</v>
      </c>
      <c r="J36" s="13">
        <v>121.54</v>
      </c>
      <c r="K36" s="86">
        <v>22.979999923706053</v>
      </c>
      <c r="L36" s="13">
        <v>16.5</v>
      </c>
      <c r="M36" s="13">
        <v>0.66</v>
      </c>
      <c r="N36" s="90" t="s">
        <v>50</v>
      </c>
      <c r="O36" s="14" t="s">
        <v>48</v>
      </c>
      <c r="P36" s="14">
        <v>5</v>
      </c>
      <c r="Q36" s="32">
        <v>5</v>
      </c>
      <c r="R36" s="14" t="s">
        <v>49</v>
      </c>
      <c r="S36" s="14" t="s">
        <v>50</v>
      </c>
      <c r="T36" s="10" t="s">
        <v>50</v>
      </c>
      <c r="U36" s="10" t="s">
        <v>50</v>
      </c>
      <c r="V36" s="14" t="s">
        <v>50</v>
      </c>
      <c r="W36" s="14" t="s">
        <v>50</v>
      </c>
      <c r="X36" s="14" t="s">
        <v>50</v>
      </c>
      <c r="Y36" s="5"/>
    </row>
    <row r="37" spans="1:25" s="48" customFormat="1" x14ac:dyDescent="0.25">
      <c r="A37" s="11">
        <v>42927</v>
      </c>
      <c r="B37" s="92" t="str">
        <f t="shared" si="0"/>
        <v>Tue</v>
      </c>
      <c r="C37" s="631" t="s">
        <v>44</v>
      </c>
      <c r="D37" s="631">
        <v>38.202419999999996</v>
      </c>
      <c r="E37" s="631">
        <v>-121.45913</v>
      </c>
      <c r="F37" s="27" t="s">
        <v>7598</v>
      </c>
      <c r="G37" s="631" t="s">
        <v>46</v>
      </c>
      <c r="H37" s="631" t="s">
        <v>6881</v>
      </c>
      <c r="I37" s="12">
        <v>0.3347222222222222</v>
      </c>
      <c r="J37" s="13">
        <v>68.69</v>
      </c>
      <c r="K37" s="86">
        <v>25.187500238418579</v>
      </c>
      <c r="L37" s="13">
        <v>10.43</v>
      </c>
      <c r="M37" s="13">
        <v>0.71</v>
      </c>
      <c r="N37" s="90" t="s">
        <v>50</v>
      </c>
      <c r="O37" s="14" t="s">
        <v>48</v>
      </c>
      <c r="P37" s="14">
        <v>8</v>
      </c>
      <c r="Q37" s="14">
        <v>10</v>
      </c>
      <c r="R37" s="14" t="s">
        <v>49</v>
      </c>
      <c r="S37" s="14" t="s">
        <v>50</v>
      </c>
      <c r="T37" s="10" t="s">
        <v>50</v>
      </c>
      <c r="U37" s="10" t="s">
        <v>50</v>
      </c>
      <c r="V37" s="14" t="s">
        <v>50</v>
      </c>
      <c r="W37" s="14" t="s">
        <v>50</v>
      </c>
      <c r="X37" s="14" t="s">
        <v>50</v>
      </c>
      <c r="Y37" s="5" t="s">
        <v>7599</v>
      </c>
    </row>
    <row r="38" spans="1:25" s="149" customFormat="1" x14ac:dyDescent="0.25">
      <c r="A38" s="160">
        <v>42927</v>
      </c>
      <c r="B38" s="148" t="str">
        <f t="shared" si="0"/>
        <v>Tue</v>
      </c>
      <c r="C38" s="149" t="s">
        <v>7570</v>
      </c>
      <c r="D38" s="149" t="s">
        <v>50</v>
      </c>
      <c r="E38" s="149" t="s">
        <v>50</v>
      </c>
      <c r="F38" s="149" t="s">
        <v>50</v>
      </c>
      <c r="G38" s="149" t="s">
        <v>27</v>
      </c>
      <c r="H38" s="149" t="s">
        <v>50</v>
      </c>
      <c r="I38" s="165" t="s">
        <v>50</v>
      </c>
      <c r="J38" s="163" t="s">
        <v>50</v>
      </c>
      <c r="K38" s="163" t="s">
        <v>50</v>
      </c>
      <c r="L38" s="163" t="s">
        <v>50</v>
      </c>
      <c r="M38" s="163" t="s">
        <v>50</v>
      </c>
      <c r="N38" s="177" t="s">
        <v>50</v>
      </c>
      <c r="O38" s="161" t="s">
        <v>48</v>
      </c>
      <c r="P38" s="161">
        <v>0</v>
      </c>
      <c r="Q38" s="161" t="s">
        <v>50</v>
      </c>
      <c r="R38" s="161" t="s">
        <v>50</v>
      </c>
      <c r="S38" s="161" t="s">
        <v>50</v>
      </c>
      <c r="T38" s="157" t="s">
        <v>50</v>
      </c>
      <c r="U38" s="157" t="s">
        <v>50</v>
      </c>
      <c r="V38" s="161" t="s">
        <v>50</v>
      </c>
      <c r="W38" s="161" t="s">
        <v>50</v>
      </c>
      <c r="X38" s="161" t="s">
        <v>50</v>
      </c>
      <c r="Y38" s="152" t="s">
        <v>7600</v>
      </c>
    </row>
    <row r="39" spans="1:25" s="48" customFormat="1" x14ac:dyDescent="0.25">
      <c r="A39" s="11">
        <v>42928</v>
      </c>
      <c r="B39" s="92" t="str">
        <f t="shared" si="0"/>
        <v>Wed</v>
      </c>
      <c r="C39" s="631" t="s">
        <v>845</v>
      </c>
      <c r="D39" s="631">
        <v>38.350389999999997</v>
      </c>
      <c r="E39" s="631">
        <v>-121.64024999999999</v>
      </c>
      <c r="F39" s="27" t="s">
        <v>7601</v>
      </c>
      <c r="G39" s="631" t="s">
        <v>90</v>
      </c>
      <c r="H39" s="631" t="s">
        <v>7562</v>
      </c>
      <c r="I39" s="12">
        <v>0.34722222222222227</v>
      </c>
      <c r="J39" s="13">
        <f>AVERAGE(330,348.3)</f>
        <v>339.15</v>
      </c>
      <c r="K39" s="86">
        <v>23.449999809265137</v>
      </c>
      <c r="L39" s="13">
        <f>AVERAGE(39.3,46.6)</f>
        <v>42.95</v>
      </c>
      <c r="M39" s="13">
        <f>AVERAGE(0.38,0.3)</f>
        <v>0.33999999999999997</v>
      </c>
      <c r="N39" s="90" t="s">
        <v>50</v>
      </c>
      <c r="O39" s="14" t="s">
        <v>48</v>
      </c>
      <c r="P39" s="14">
        <v>2</v>
      </c>
      <c r="Q39" s="14">
        <v>3</v>
      </c>
      <c r="R39" s="14" t="s">
        <v>49</v>
      </c>
      <c r="S39" s="14" t="s">
        <v>323</v>
      </c>
      <c r="T39" s="10">
        <v>25</v>
      </c>
      <c r="U39" s="10" t="s">
        <v>7602</v>
      </c>
      <c r="V39" s="14" t="s">
        <v>66</v>
      </c>
      <c r="W39" s="14" t="s">
        <v>50</v>
      </c>
      <c r="X39" s="14" t="s">
        <v>50</v>
      </c>
      <c r="Y39" s="5"/>
    </row>
    <row r="40" spans="1:25" s="48" customFormat="1" x14ac:dyDescent="0.25">
      <c r="A40" s="11">
        <v>42928</v>
      </c>
      <c r="B40" s="92" t="str">
        <f t="shared" si="0"/>
        <v>Wed</v>
      </c>
      <c r="C40" s="631" t="s">
        <v>845</v>
      </c>
      <c r="D40" s="631">
        <v>38.248069999999998</v>
      </c>
      <c r="E40" s="631">
        <v>-121.68642</v>
      </c>
      <c r="F40" s="27" t="s">
        <v>7603</v>
      </c>
      <c r="G40" s="631" t="s">
        <v>90</v>
      </c>
      <c r="H40" s="631" t="s">
        <v>7562</v>
      </c>
      <c r="I40" s="12">
        <v>0.43194444444444446</v>
      </c>
      <c r="J40" s="13">
        <f>AVERAGE(123.3,123.2,124.6,127.1,127.8)</f>
        <v>125.2</v>
      </c>
      <c r="K40" s="86">
        <v>22.939999771118163</v>
      </c>
      <c r="L40" s="13">
        <f>AVERAGE(22.8,9.57,8.9,9.52,10.7)</f>
        <v>12.298000000000002</v>
      </c>
      <c r="M40" s="13">
        <f>AVERAGE(0.88,0.9,0.92,0.87,0.92)</f>
        <v>0.89800000000000002</v>
      </c>
      <c r="N40" s="90" t="s">
        <v>50</v>
      </c>
      <c r="O40" s="14" t="s">
        <v>48</v>
      </c>
      <c r="P40" s="14">
        <v>5</v>
      </c>
      <c r="Q40" s="14">
        <v>5</v>
      </c>
      <c r="R40" s="14" t="s">
        <v>49</v>
      </c>
      <c r="S40" s="14" t="s">
        <v>50</v>
      </c>
      <c r="T40" s="14" t="s">
        <v>50</v>
      </c>
      <c r="U40" s="14" t="s">
        <v>50</v>
      </c>
      <c r="V40" s="14" t="s">
        <v>50</v>
      </c>
      <c r="W40" s="14" t="s">
        <v>50</v>
      </c>
      <c r="X40" s="14" t="s">
        <v>50</v>
      </c>
      <c r="Y40" s="5" t="s">
        <v>7604</v>
      </c>
    </row>
    <row r="41" spans="1:25" s="48" customFormat="1" x14ac:dyDescent="0.25">
      <c r="A41" s="11">
        <v>42928</v>
      </c>
      <c r="B41" s="92" t="str">
        <f t="shared" si="0"/>
        <v>Wed</v>
      </c>
      <c r="C41" s="631" t="s">
        <v>44</v>
      </c>
      <c r="D41" s="631">
        <v>38.077629999999999</v>
      </c>
      <c r="E41" s="631">
        <v>-121.46993000000001</v>
      </c>
      <c r="F41" s="27" t="s">
        <v>7605</v>
      </c>
      <c r="G41" s="631" t="s">
        <v>46</v>
      </c>
      <c r="H41" s="631" t="s">
        <v>6883</v>
      </c>
      <c r="I41" s="12">
        <v>0.33333333333333331</v>
      </c>
      <c r="J41" s="13">
        <f>AVERAGE(97.6,97.3,98.1,96.3,95.9,97.4,100.1,98.1)</f>
        <v>97.600000000000009</v>
      </c>
      <c r="K41" s="86">
        <v>24.012500047683716</v>
      </c>
      <c r="L41" s="13">
        <f>AVERAGE(21.2,8.31,8.26,7.25,10.3,9.19,7.83,8.09)</f>
        <v>10.053749999999999</v>
      </c>
      <c r="M41" s="13">
        <f>AVERAGE(1.2,0.96,1.1,1.15,0.98,0.9,0.94,1.1)</f>
        <v>1.04125</v>
      </c>
      <c r="N41" s="90" t="s">
        <v>50</v>
      </c>
      <c r="O41" s="14" t="s">
        <v>48</v>
      </c>
      <c r="P41" s="14">
        <v>8</v>
      </c>
      <c r="Q41" s="14">
        <v>10</v>
      </c>
      <c r="R41" s="14" t="s">
        <v>49</v>
      </c>
      <c r="S41" s="14" t="s">
        <v>50</v>
      </c>
      <c r="T41" s="14" t="s">
        <v>50</v>
      </c>
      <c r="U41" s="14" t="s">
        <v>50</v>
      </c>
      <c r="V41" s="14" t="s">
        <v>50</v>
      </c>
      <c r="W41" s="14" t="s">
        <v>50</v>
      </c>
      <c r="X41" s="14" t="s">
        <v>50</v>
      </c>
      <c r="Y41" s="5" t="s">
        <v>7606</v>
      </c>
    </row>
    <row r="42" spans="1:25" s="48" customFormat="1" x14ac:dyDescent="0.25">
      <c r="A42" s="11">
        <v>42928</v>
      </c>
      <c r="B42" s="92" t="str">
        <f t="shared" si="0"/>
        <v>Wed</v>
      </c>
      <c r="C42" s="631" t="s">
        <v>44</v>
      </c>
      <c r="D42" s="631">
        <v>38.037190000000002</v>
      </c>
      <c r="E42" s="631">
        <v>-121.48575</v>
      </c>
      <c r="F42" s="27" t="s">
        <v>7607</v>
      </c>
      <c r="G42" s="631" t="s">
        <v>46</v>
      </c>
      <c r="H42" s="631" t="s">
        <v>6840</v>
      </c>
      <c r="I42" s="12">
        <v>0.48680555555555555</v>
      </c>
      <c r="J42" s="13">
        <f>AVERAGE(135.7,136.6,137.4,137.6,138.6,139.3,138.2,138.8)</f>
        <v>137.77500000000001</v>
      </c>
      <c r="K42" s="86">
        <v>24.75</v>
      </c>
      <c r="L42" s="13">
        <f>AVERAGE(10.1,11.1,13.2,11.5,12.3,10.5,11.3,11)</f>
        <v>11.375</v>
      </c>
      <c r="M42" s="13">
        <f>AVERAGE(0.8,0.75,0.85,0.78,0.9,0.85,0.8,0.78)</f>
        <v>0.81374999999999997</v>
      </c>
      <c r="N42" s="90" t="s">
        <v>50</v>
      </c>
      <c r="O42" s="14" t="s">
        <v>48</v>
      </c>
      <c r="P42" s="14">
        <v>8</v>
      </c>
      <c r="Q42" s="14">
        <v>10</v>
      </c>
      <c r="R42" s="14" t="s">
        <v>49</v>
      </c>
      <c r="S42" s="14" t="s">
        <v>50</v>
      </c>
      <c r="T42" s="15" t="s">
        <v>50</v>
      </c>
      <c r="U42" s="15" t="s">
        <v>50</v>
      </c>
      <c r="V42" s="14" t="s">
        <v>50</v>
      </c>
      <c r="W42" s="14" t="s">
        <v>50</v>
      </c>
      <c r="X42" s="14" t="s">
        <v>50</v>
      </c>
      <c r="Y42" s="5" t="s">
        <v>7608</v>
      </c>
    </row>
    <row r="43" spans="1:25" s="48" customFormat="1" x14ac:dyDescent="0.25">
      <c r="A43" s="11">
        <v>42928</v>
      </c>
      <c r="B43" s="92" t="str">
        <f t="shared" si="0"/>
        <v>Wed</v>
      </c>
      <c r="C43" s="631" t="s">
        <v>118</v>
      </c>
      <c r="D43" s="631">
        <v>38.063160000000003</v>
      </c>
      <c r="E43" s="631">
        <v>-122.26299</v>
      </c>
      <c r="F43" s="27" t="s">
        <v>7609</v>
      </c>
      <c r="G43" s="631" t="s">
        <v>80</v>
      </c>
      <c r="H43" s="631" t="s">
        <v>123</v>
      </c>
      <c r="I43" s="12">
        <v>0.3972222222222222</v>
      </c>
      <c r="J43" s="13">
        <f>AVERAGE(19428,21742,20977,20574,20081,19642,19407,19120)</f>
        <v>20121.375</v>
      </c>
      <c r="K43" s="86">
        <v>19.787500381469727</v>
      </c>
      <c r="L43" s="13">
        <f>AVERAGE(56.2,88.1,59.1,87.5,90.4,82.1,53.3,52.6)</f>
        <v>71.162499999999994</v>
      </c>
      <c r="M43" s="13">
        <f>AVERAGE(0.3,0.21,0.32,0.3,0.28,0.31,0.32,0.38)</f>
        <v>0.30249999999999999</v>
      </c>
      <c r="N43" s="90" t="s">
        <v>50</v>
      </c>
      <c r="O43" s="14" t="s">
        <v>48</v>
      </c>
      <c r="P43" s="14">
        <v>8</v>
      </c>
      <c r="Q43" s="14">
        <v>10</v>
      </c>
      <c r="R43" s="14" t="s">
        <v>49</v>
      </c>
      <c r="S43" s="14" t="s">
        <v>50</v>
      </c>
      <c r="T43" s="10" t="s">
        <v>50</v>
      </c>
      <c r="U43" s="10" t="s">
        <v>50</v>
      </c>
      <c r="V43" s="14" t="s">
        <v>50</v>
      </c>
      <c r="W43" s="14" t="s">
        <v>50</v>
      </c>
      <c r="X43" s="14" t="s">
        <v>50</v>
      </c>
      <c r="Y43" s="5"/>
    </row>
    <row r="44" spans="1:25" s="48" customFormat="1" x14ac:dyDescent="0.25">
      <c r="A44" s="11">
        <v>42928</v>
      </c>
      <c r="B44" s="92" t="str">
        <f t="shared" si="0"/>
        <v>Wed</v>
      </c>
      <c r="C44" s="631" t="s">
        <v>118</v>
      </c>
      <c r="D44" s="631">
        <v>38.050040000000003</v>
      </c>
      <c r="E44" s="631">
        <v>-122.28099</v>
      </c>
      <c r="F44" s="27" t="s">
        <v>7610</v>
      </c>
      <c r="G44" s="631" t="s">
        <v>80</v>
      </c>
      <c r="H44" s="631" t="s">
        <v>123</v>
      </c>
      <c r="I44" s="12">
        <v>0.4993055555555555</v>
      </c>
      <c r="J44" s="13">
        <f>AVERAGE(22168,22263)</f>
        <v>22215.5</v>
      </c>
      <c r="K44" s="86">
        <v>20.200000762939453</v>
      </c>
      <c r="L44" s="13">
        <f>AVERAGE(40.6,34.8,35.9)</f>
        <v>37.1</v>
      </c>
      <c r="M44" s="13">
        <f>AVERAGE(0.38,0.36,0.47,0.4)</f>
        <v>0.40249999999999997</v>
      </c>
      <c r="N44" s="90" t="s">
        <v>50</v>
      </c>
      <c r="O44" s="14" t="s">
        <v>48</v>
      </c>
      <c r="P44" s="14">
        <v>4</v>
      </c>
      <c r="Q44" s="14">
        <v>10</v>
      </c>
      <c r="R44" s="14" t="s">
        <v>49</v>
      </c>
      <c r="S44" s="14" t="s">
        <v>50</v>
      </c>
      <c r="T44" s="15" t="s">
        <v>50</v>
      </c>
      <c r="U44" s="15" t="s">
        <v>50</v>
      </c>
      <c r="V44" s="14" t="s">
        <v>50</v>
      </c>
      <c r="W44" s="14" t="s">
        <v>50</v>
      </c>
      <c r="X44" s="14" t="s">
        <v>50</v>
      </c>
      <c r="Y44" s="5" t="s">
        <v>7611</v>
      </c>
    </row>
    <row r="45" spans="1:25" s="48" customFormat="1" x14ac:dyDescent="0.25">
      <c r="A45" s="11">
        <v>42929</v>
      </c>
      <c r="B45" s="92" t="str">
        <f t="shared" si="0"/>
        <v>Thu</v>
      </c>
      <c r="C45" s="631" t="s">
        <v>106</v>
      </c>
      <c r="D45" s="631">
        <v>38.560859999999998</v>
      </c>
      <c r="E45" s="631">
        <v>-121.56267</v>
      </c>
      <c r="F45" s="27" t="s">
        <v>7612</v>
      </c>
      <c r="G45" s="631" t="s">
        <v>90</v>
      </c>
      <c r="H45" s="631" t="s">
        <v>7577</v>
      </c>
      <c r="I45" s="12">
        <v>0.35833333333333334</v>
      </c>
      <c r="J45" s="13">
        <v>815.8</v>
      </c>
      <c r="K45" s="86">
        <v>25.640000534057616</v>
      </c>
      <c r="L45" s="13">
        <v>5.5540000000000003</v>
      </c>
      <c r="M45" s="13">
        <v>1.536</v>
      </c>
      <c r="N45" s="90" t="s">
        <v>50</v>
      </c>
      <c r="O45" s="14" t="s">
        <v>48</v>
      </c>
      <c r="P45" s="14">
        <v>5</v>
      </c>
      <c r="Q45" s="14">
        <v>5</v>
      </c>
      <c r="R45" s="14" t="s">
        <v>64</v>
      </c>
      <c r="S45" s="14" t="s">
        <v>50</v>
      </c>
      <c r="T45" s="15" t="s">
        <v>50</v>
      </c>
      <c r="U45" s="15" t="s">
        <v>50</v>
      </c>
      <c r="V45" s="14" t="s">
        <v>50</v>
      </c>
      <c r="W45" s="14" t="s">
        <v>50</v>
      </c>
      <c r="X45" s="14" t="s">
        <v>50</v>
      </c>
      <c r="Y45" s="5" t="s">
        <v>7613</v>
      </c>
    </row>
    <row r="46" spans="1:25" s="48" customFormat="1" x14ac:dyDescent="0.25">
      <c r="A46" s="11">
        <v>42929</v>
      </c>
      <c r="B46" s="92" t="str">
        <f t="shared" si="0"/>
        <v>Thu</v>
      </c>
      <c r="C46" s="631" t="s">
        <v>106</v>
      </c>
      <c r="D46" s="631">
        <v>38.445619999999998</v>
      </c>
      <c r="E46" s="631">
        <v>-121.59631</v>
      </c>
      <c r="F46" s="27" t="s">
        <v>7614</v>
      </c>
      <c r="G46" s="631" t="s">
        <v>90</v>
      </c>
      <c r="H46" s="631" t="s">
        <v>7577</v>
      </c>
      <c r="I46" s="12">
        <v>0.41250000000000003</v>
      </c>
      <c r="J46" s="13">
        <v>674.5</v>
      </c>
      <c r="K46" s="86">
        <v>23.949999809265137</v>
      </c>
      <c r="L46" s="13">
        <v>29.5</v>
      </c>
      <c r="M46" s="13">
        <v>0.37</v>
      </c>
      <c r="N46" s="90" t="s">
        <v>50</v>
      </c>
      <c r="O46" s="14" t="s">
        <v>48</v>
      </c>
      <c r="P46" s="14">
        <v>2</v>
      </c>
      <c r="Q46" s="14">
        <v>3</v>
      </c>
      <c r="R46" s="14" t="s">
        <v>49</v>
      </c>
      <c r="S46" s="14" t="s">
        <v>323</v>
      </c>
      <c r="T46" s="18">
        <v>7</v>
      </c>
      <c r="U46" s="18" t="s">
        <v>7615</v>
      </c>
      <c r="V46" s="14" t="s">
        <v>66</v>
      </c>
      <c r="W46" s="14" t="s">
        <v>50</v>
      </c>
      <c r="X46" s="14" t="s">
        <v>50</v>
      </c>
      <c r="Y46" s="5" t="s">
        <v>7616</v>
      </c>
    </row>
    <row r="47" spans="1:25" s="48" customFormat="1" x14ac:dyDescent="0.25">
      <c r="A47" s="11">
        <v>42929</v>
      </c>
      <c r="B47" s="92" t="str">
        <f t="shared" si="0"/>
        <v>Thu</v>
      </c>
      <c r="C47" s="631" t="s">
        <v>44</v>
      </c>
      <c r="D47" s="631">
        <v>38.117840000000001</v>
      </c>
      <c r="E47" s="631">
        <v>-121.58653</v>
      </c>
      <c r="F47" s="27" t="s">
        <v>7617</v>
      </c>
      <c r="G47" s="631" t="s">
        <v>46</v>
      </c>
      <c r="H47" s="631" t="s">
        <v>6881</v>
      </c>
      <c r="I47" s="12">
        <v>0.30624999999999997</v>
      </c>
      <c r="J47" s="13">
        <v>117.71250000000001</v>
      </c>
      <c r="K47" s="86">
        <v>23.625000476837158</v>
      </c>
      <c r="L47" s="13">
        <v>5.7324999999999999</v>
      </c>
      <c r="M47" s="13">
        <v>1.8</v>
      </c>
      <c r="N47" s="90" t="s">
        <v>50</v>
      </c>
      <c r="O47" s="14" t="s">
        <v>48</v>
      </c>
      <c r="P47" s="14">
        <v>8</v>
      </c>
      <c r="Q47" s="14">
        <v>10</v>
      </c>
      <c r="R47" s="14" t="s">
        <v>64</v>
      </c>
      <c r="S47" s="14" t="s">
        <v>50</v>
      </c>
      <c r="T47" s="15" t="s">
        <v>50</v>
      </c>
      <c r="U47" s="15" t="s">
        <v>50</v>
      </c>
      <c r="V47" s="14" t="s">
        <v>50</v>
      </c>
      <c r="W47" s="14" t="s">
        <v>50</v>
      </c>
      <c r="X47" s="14" t="s">
        <v>50</v>
      </c>
      <c r="Y47" s="5" t="s">
        <v>7618</v>
      </c>
    </row>
    <row r="48" spans="1:25" s="48" customFormat="1" x14ac:dyDescent="0.25">
      <c r="A48" s="11">
        <v>42929</v>
      </c>
      <c r="B48" s="92" t="str">
        <f t="shared" si="0"/>
        <v>Thu</v>
      </c>
      <c r="C48" s="631" t="s">
        <v>44</v>
      </c>
      <c r="D48" s="631">
        <v>38.094580000000001</v>
      </c>
      <c r="E48" s="631">
        <v>-121.58476</v>
      </c>
      <c r="F48" s="27" t="s">
        <v>7619</v>
      </c>
      <c r="G48" s="631" t="s">
        <v>46</v>
      </c>
      <c r="H48" s="631" t="s">
        <v>115</v>
      </c>
      <c r="I48" s="12">
        <v>0.43541666666666662</v>
      </c>
      <c r="J48" s="13">
        <v>111</v>
      </c>
      <c r="K48" s="86">
        <v>24.225000143051147</v>
      </c>
      <c r="L48" s="13">
        <v>19.975000000000001</v>
      </c>
      <c r="M48" s="13">
        <v>0.82374999999999998</v>
      </c>
      <c r="N48" s="90" t="s">
        <v>50</v>
      </c>
      <c r="O48" s="14" t="s">
        <v>48</v>
      </c>
      <c r="P48" s="14">
        <v>8</v>
      </c>
      <c r="Q48" s="14">
        <v>10</v>
      </c>
      <c r="R48" s="14" t="s">
        <v>49</v>
      </c>
      <c r="S48" s="14" t="s">
        <v>50</v>
      </c>
      <c r="T48" s="15" t="s">
        <v>50</v>
      </c>
      <c r="U48" s="15" t="s">
        <v>50</v>
      </c>
      <c r="V48" s="14" t="s">
        <v>50</v>
      </c>
      <c r="W48" s="14" t="s">
        <v>50</v>
      </c>
      <c r="X48" s="14" t="s">
        <v>50</v>
      </c>
      <c r="Y48" s="5" t="s">
        <v>7620</v>
      </c>
    </row>
    <row r="49" spans="1:25" s="149" customFormat="1" x14ac:dyDescent="0.25">
      <c r="A49" s="160">
        <v>42929</v>
      </c>
      <c r="B49" s="148" t="str">
        <f t="shared" si="0"/>
        <v>Thu</v>
      </c>
      <c r="C49" s="149" t="s">
        <v>7570</v>
      </c>
      <c r="D49" s="149" t="s">
        <v>50</v>
      </c>
      <c r="E49" s="149" t="s">
        <v>50</v>
      </c>
      <c r="F49" s="149" t="s">
        <v>50</v>
      </c>
      <c r="G49" s="149" t="s">
        <v>27</v>
      </c>
      <c r="H49" s="149" t="s">
        <v>50</v>
      </c>
      <c r="I49" s="165" t="s">
        <v>50</v>
      </c>
      <c r="J49" s="163" t="s">
        <v>50</v>
      </c>
      <c r="K49" s="163" t="s">
        <v>50</v>
      </c>
      <c r="L49" s="163" t="s">
        <v>50</v>
      </c>
      <c r="M49" s="163" t="s">
        <v>50</v>
      </c>
      <c r="N49" s="177" t="s">
        <v>50</v>
      </c>
      <c r="O49" s="161" t="s">
        <v>48</v>
      </c>
      <c r="P49" s="161">
        <v>0</v>
      </c>
      <c r="Q49" s="161" t="s">
        <v>50</v>
      </c>
      <c r="R49" s="161" t="s">
        <v>50</v>
      </c>
      <c r="S49" s="161" t="s">
        <v>50</v>
      </c>
      <c r="T49" s="157" t="s">
        <v>50</v>
      </c>
      <c r="U49" s="157" t="s">
        <v>50</v>
      </c>
      <c r="V49" s="161" t="s">
        <v>50</v>
      </c>
      <c r="W49" s="161" t="s">
        <v>50</v>
      </c>
      <c r="X49" s="161" t="s">
        <v>50</v>
      </c>
      <c r="Y49" s="152" t="s">
        <v>7621</v>
      </c>
    </row>
    <row r="50" spans="1:25" s="108" customFormat="1" ht="15.75" thickBot="1" x14ac:dyDescent="0.3">
      <c r="A50" s="117">
        <v>42930</v>
      </c>
      <c r="B50" s="107" t="str">
        <f t="shared" si="0"/>
        <v>Fri</v>
      </c>
      <c r="C50" s="108" t="s">
        <v>44</v>
      </c>
      <c r="D50" s="108">
        <v>38.012180000000001</v>
      </c>
      <c r="E50" s="108">
        <v>-121.51738</v>
      </c>
      <c r="F50" s="108" t="s">
        <v>7622</v>
      </c>
      <c r="G50" s="108" t="s">
        <v>46</v>
      </c>
      <c r="H50" s="108" t="s">
        <v>6939</v>
      </c>
      <c r="I50" s="122">
        <v>0.31805555555555554</v>
      </c>
      <c r="J50" s="123">
        <v>126.3</v>
      </c>
      <c r="K50" s="128">
        <v>24.387499570846558</v>
      </c>
      <c r="L50" s="123">
        <v>11.6525</v>
      </c>
      <c r="M50" s="123">
        <v>0.96125000000000005</v>
      </c>
      <c r="N50" s="125" t="s">
        <v>50</v>
      </c>
      <c r="O50" s="118" t="s">
        <v>48</v>
      </c>
      <c r="P50" s="118">
        <v>8</v>
      </c>
      <c r="Q50" s="118">
        <v>10</v>
      </c>
      <c r="R50" s="118" t="s">
        <v>64</v>
      </c>
      <c r="S50" s="118" t="s">
        <v>50</v>
      </c>
      <c r="T50" s="114" t="s">
        <v>50</v>
      </c>
      <c r="U50" s="114" t="s">
        <v>50</v>
      </c>
      <c r="V50" s="118" t="s">
        <v>50</v>
      </c>
      <c r="W50" s="118" t="s">
        <v>50</v>
      </c>
      <c r="X50" s="118" t="s">
        <v>50</v>
      </c>
      <c r="Y50" s="113"/>
    </row>
    <row r="51" spans="1:25" s="48" customFormat="1" ht="15.75" thickTop="1" x14ac:dyDescent="0.25">
      <c r="A51" s="29">
        <v>42933</v>
      </c>
      <c r="B51" s="92" t="str">
        <f t="shared" si="0"/>
        <v>Mon</v>
      </c>
      <c r="C51" s="631" t="s">
        <v>44</v>
      </c>
      <c r="D51" s="631">
        <v>38.075650000000003</v>
      </c>
      <c r="E51" s="631">
        <v>-121.5641</v>
      </c>
      <c r="F51" s="27" t="s">
        <v>7623</v>
      </c>
      <c r="G51" s="631" t="s">
        <v>46</v>
      </c>
      <c r="H51" s="631" t="s">
        <v>115</v>
      </c>
      <c r="I51" s="7">
        <v>0.31805555555555554</v>
      </c>
      <c r="J51" s="8">
        <v>121.4375</v>
      </c>
      <c r="K51" s="105">
        <v>24.862499475479126</v>
      </c>
      <c r="L51" s="8">
        <v>10.487500000000001</v>
      </c>
      <c r="M51" s="8">
        <v>0.97375</v>
      </c>
      <c r="N51" s="90" t="s">
        <v>50</v>
      </c>
      <c r="O51" s="9" t="s">
        <v>48</v>
      </c>
      <c r="P51" s="9">
        <v>8</v>
      </c>
      <c r="Q51" s="9">
        <v>10</v>
      </c>
      <c r="R51" s="9" t="s">
        <v>64</v>
      </c>
      <c r="S51" s="33" t="s">
        <v>50</v>
      </c>
      <c r="T51" s="34" t="s">
        <v>50</v>
      </c>
      <c r="U51" s="34" t="s">
        <v>50</v>
      </c>
      <c r="V51" s="33" t="s">
        <v>50</v>
      </c>
      <c r="W51" s="33" t="s">
        <v>50</v>
      </c>
      <c r="X51" s="33" t="s">
        <v>50</v>
      </c>
      <c r="Y51" s="5" t="s">
        <v>7624</v>
      </c>
    </row>
    <row r="52" spans="1:25" s="48" customFormat="1" x14ac:dyDescent="0.25">
      <c r="A52" s="36">
        <v>42933</v>
      </c>
      <c r="B52" s="92" t="str">
        <f t="shared" si="0"/>
        <v>Mon</v>
      </c>
      <c r="C52" s="631" t="s">
        <v>44</v>
      </c>
      <c r="D52" s="631">
        <v>38.085059999999999</v>
      </c>
      <c r="E52" s="631">
        <v>-121.54031999999999</v>
      </c>
      <c r="F52" s="27" t="s">
        <v>7625</v>
      </c>
      <c r="G52" s="631" t="s">
        <v>46</v>
      </c>
      <c r="H52" s="631" t="s">
        <v>6881</v>
      </c>
      <c r="I52" s="12">
        <v>0.4291666666666667</v>
      </c>
      <c r="J52" s="13">
        <v>116.91249999999999</v>
      </c>
      <c r="K52" s="86">
        <v>24.837499856948853</v>
      </c>
      <c r="L52" s="13">
        <v>8.2662499999999994</v>
      </c>
      <c r="M52" s="13">
        <v>1.04375</v>
      </c>
      <c r="N52" s="90" t="s">
        <v>50</v>
      </c>
      <c r="O52" s="14" t="s">
        <v>48</v>
      </c>
      <c r="P52" s="14">
        <v>8</v>
      </c>
      <c r="Q52" s="14">
        <v>10</v>
      </c>
      <c r="R52" s="14" t="s">
        <v>64</v>
      </c>
      <c r="S52" s="32" t="s">
        <v>50</v>
      </c>
      <c r="T52" s="34" t="s">
        <v>50</v>
      </c>
      <c r="U52" s="34" t="s">
        <v>50</v>
      </c>
      <c r="V52" s="32" t="s">
        <v>50</v>
      </c>
      <c r="W52" s="32" t="s">
        <v>50</v>
      </c>
      <c r="X52" s="32" t="s">
        <v>50</v>
      </c>
      <c r="Y52" s="5"/>
    </row>
    <row r="53" spans="1:25" s="48" customFormat="1" x14ac:dyDescent="0.25">
      <c r="A53" s="36">
        <v>42933</v>
      </c>
      <c r="B53" s="92" t="str">
        <f t="shared" si="0"/>
        <v>Mon</v>
      </c>
      <c r="C53" s="631" t="s">
        <v>106</v>
      </c>
      <c r="D53" s="631">
        <v>38.561929999999997</v>
      </c>
      <c r="E53" s="631">
        <v>-121.55515</v>
      </c>
      <c r="F53" s="27" t="s">
        <v>7626</v>
      </c>
      <c r="G53" s="631" t="s">
        <v>90</v>
      </c>
      <c r="H53" s="631" t="s">
        <v>7577</v>
      </c>
      <c r="I53" s="12">
        <v>0.3743055555555555</v>
      </c>
      <c r="J53" s="13">
        <v>861.2</v>
      </c>
      <c r="K53" s="86">
        <v>26.779999542236329</v>
      </c>
      <c r="L53" s="13">
        <v>5.0720000000000001</v>
      </c>
      <c r="M53" s="13">
        <v>1.782</v>
      </c>
      <c r="N53" s="90" t="s">
        <v>50</v>
      </c>
      <c r="O53" s="14" t="s">
        <v>48</v>
      </c>
      <c r="P53" s="14">
        <v>5</v>
      </c>
      <c r="Q53" s="14">
        <v>5</v>
      </c>
      <c r="R53" s="14" t="s">
        <v>64</v>
      </c>
      <c r="S53" s="32" t="s">
        <v>50</v>
      </c>
      <c r="T53" s="34" t="s">
        <v>50</v>
      </c>
      <c r="U53" s="34" t="s">
        <v>50</v>
      </c>
      <c r="V53" s="32" t="s">
        <v>50</v>
      </c>
      <c r="W53" s="32" t="s">
        <v>50</v>
      </c>
      <c r="X53" s="32" t="s">
        <v>50</v>
      </c>
      <c r="Y53" s="5" t="s">
        <v>7627</v>
      </c>
    </row>
    <row r="54" spans="1:25" s="48" customFormat="1" x14ac:dyDescent="0.25">
      <c r="A54" s="36">
        <v>42933</v>
      </c>
      <c r="B54" s="92" t="str">
        <f t="shared" si="0"/>
        <v>Mon</v>
      </c>
      <c r="C54" s="631" t="s">
        <v>106</v>
      </c>
      <c r="D54" s="631">
        <v>38.438470000000002</v>
      </c>
      <c r="E54" s="631">
        <v>-121.60007</v>
      </c>
      <c r="F54" s="27" t="s">
        <v>7628</v>
      </c>
      <c r="G54" s="631" t="s">
        <v>90</v>
      </c>
      <c r="H54" s="631" t="s">
        <v>7577</v>
      </c>
      <c r="I54" s="12">
        <v>0.44305555555555554</v>
      </c>
      <c r="J54" s="13">
        <v>669</v>
      </c>
      <c r="K54" s="86">
        <v>24.799999237060547</v>
      </c>
      <c r="L54" s="13">
        <v>33.1</v>
      </c>
      <c r="M54" s="13">
        <v>0.31</v>
      </c>
      <c r="N54" s="90" t="s">
        <v>50</v>
      </c>
      <c r="O54" s="14" t="s">
        <v>48</v>
      </c>
      <c r="P54" s="14">
        <v>1</v>
      </c>
      <c r="Q54" s="14">
        <v>3</v>
      </c>
      <c r="R54" s="14" t="s">
        <v>64</v>
      </c>
      <c r="S54" s="14" t="s">
        <v>323</v>
      </c>
      <c r="T54" s="19">
        <v>40</v>
      </c>
      <c r="U54" s="18" t="s">
        <v>7629</v>
      </c>
      <c r="V54" s="14" t="s">
        <v>66</v>
      </c>
      <c r="W54" s="14" t="s">
        <v>50</v>
      </c>
      <c r="X54" s="14" t="s">
        <v>50</v>
      </c>
      <c r="Y54" s="5" t="s">
        <v>7630</v>
      </c>
    </row>
    <row r="55" spans="1:25" s="48" customFormat="1" x14ac:dyDescent="0.25">
      <c r="A55" s="36">
        <v>42933</v>
      </c>
      <c r="B55" s="92" t="str">
        <f t="shared" si="0"/>
        <v>Mon</v>
      </c>
      <c r="C55" s="631" t="s">
        <v>118</v>
      </c>
      <c r="D55" s="631">
        <v>38.0625</v>
      </c>
      <c r="E55" s="631">
        <v>-122.06044</v>
      </c>
      <c r="F55" s="27" t="s">
        <v>7631</v>
      </c>
      <c r="G55" s="631" t="s">
        <v>80</v>
      </c>
      <c r="H55" s="631" t="s">
        <v>81</v>
      </c>
      <c r="I55" s="12">
        <v>0.38055555555555554</v>
      </c>
      <c r="J55" s="13">
        <v>8134.625</v>
      </c>
      <c r="K55" s="86">
        <v>21.949999809265137</v>
      </c>
      <c r="L55" s="13">
        <v>19.2</v>
      </c>
      <c r="M55" s="13">
        <v>0.57374999999999998</v>
      </c>
      <c r="N55" s="90" t="s">
        <v>50</v>
      </c>
      <c r="O55" s="14" t="s">
        <v>48</v>
      </c>
      <c r="P55" s="14">
        <v>8</v>
      </c>
      <c r="Q55" s="14">
        <v>10</v>
      </c>
      <c r="R55" s="14" t="s">
        <v>64</v>
      </c>
      <c r="S55" s="32" t="s">
        <v>50</v>
      </c>
      <c r="T55" s="34" t="s">
        <v>50</v>
      </c>
      <c r="U55" s="34" t="s">
        <v>50</v>
      </c>
      <c r="V55" s="32" t="s">
        <v>50</v>
      </c>
      <c r="W55" s="32" t="s">
        <v>50</v>
      </c>
      <c r="X55" s="32" t="s">
        <v>50</v>
      </c>
      <c r="Y55" s="5" t="s">
        <v>7110</v>
      </c>
    </row>
    <row r="56" spans="1:25" s="48" customFormat="1" x14ac:dyDescent="0.25">
      <c r="A56" s="36">
        <v>42933</v>
      </c>
      <c r="B56" s="92" t="str">
        <f t="shared" si="0"/>
        <v>Mon</v>
      </c>
      <c r="C56" s="631" t="s">
        <v>118</v>
      </c>
      <c r="D56" s="631">
        <v>38.046390000000002</v>
      </c>
      <c r="E56" s="631">
        <v>-122.10691</v>
      </c>
      <c r="F56" s="27" t="s">
        <v>7632</v>
      </c>
      <c r="G56" s="631" t="s">
        <v>80</v>
      </c>
      <c r="H56" s="631" t="s">
        <v>81</v>
      </c>
      <c r="I56" s="12">
        <v>0.49444444444444446</v>
      </c>
      <c r="J56" s="13">
        <v>10699.13</v>
      </c>
      <c r="K56" s="86">
        <v>22.037500143051147</v>
      </c>
      <c r="L56" s="13">
        <v>12.737500000000001</v>
      </c>
      <c r="M56" s="13">
        <v>0.64375000000000004</v>
      </c>
      <c r="N56" s="90" t="s">
        <v>50</v>
      </c>
      <c r="O56" s="14" t="s">
        <v>48</v>
      </c>
      <c r="P56" s="14">
        <v>8</v>
      </c>
      <c r="Q56" s="14">
        <v>10</v>
      </c>
      <c r="R56" s="14" t="s">
        <v>49</v>
      </c>
      <c r="S56" s="32" t="s">
        <v>50</v>
      </c>
      <c r="T56" s="34" t="s">
        <v>50</v>
      </c>
      <c r="U56" s="34" t="s">
        <v>50</v>
      </c>
      <c r="V56" s="32" t="s">
        <v>50</v>
      </c>
      <c r="W56" s="32" t="s">
        <v>50</v>
      </c>
      <c r="X56" s="32" t="s">
        <v>50</v>
      </c>
      <c r="Y56" s="5"/>
    </row>
    <row r="57" spans="1:25" s="48" customFormat="1" x14ac:dyDescent="0.25">
      <c r="A57" s="36">
        <v>42934</v>
      </c>
      <c r="B57" s="92" t="str">
        <f t="shared" si="0"/>
        <v>Tue</v>
      </c>
      <c r="C57" s="631" t="s">
        <v>118</v>
      </c>
      <c r="D57" s="631">
        <v>38.06765</v>
      </c>
      <c r="E57" s="631">
        <v>-122.23882999999999</v>
      </c>
      <c r="F57" s="27" t="s">
        <v>7633</v>
      </c>
      <c r="G57" s="631" t="s">
        <v>80</v>
      </c>
      <c r="H57" s="631" t="s">
        <v>120</v>
      </c>
      <c r="I57" s="12">
        <v>0.32569444444444445</v>
      </c>
      <c r="J57" s="13">
        <f>AVERAGE(17449,17891,19560,21813,20502,20640,21009,21874)</f>
        <v>20092.25</v>
      </c>
      <c r="K57" s="86">
        <v>20.087500333786011</v>
      </c>
      <c r="L57" s="13">
        <f>AVERAGE(15.1,16.7,14.2,26.3,22.8,18.1,20,23)</f>
        <v>19.524999999999999</v>
      </c>
      <c r="M57" s="13">
        <f>AVERAGE(0.6,0.58,0.6,0.57,0.59,0.61,0.62,0.56)</f>
        <v>0.59124999999999983</v>
      </c>
      <c r="N57" s="90" t="s">
        <v>50</v>
      </c>
      <c r="O57" s="14" t="s">
        <v>48</v>
      </c>
      <c r="P57" s="14">
        <v>8</v>
      </c>
      <c r="Q57" s="14">
        <v>10</v>
      </c>
      <c r="R57" s="14" t="s">
        <v>64</v>
      </c>
      <c r="S57" s="14" t="s">
        <v>50</v>
      </c>
      <c r="T57" s="15" t="s">
        <v>50</v>
      </c>
      <c r="U57" s="15" t="s">
        <v>50</v>
      </c>
      <c r="V57" s="14" t="s">
        <v>50</v>
      </c>
      <c r="W57" s="14" t="s">
        <v>50</v>
      </c>
      <c r="X57" s="14" t="s">
        <v>50</v>
      </c>
      <c r="Y57" s="5"/>
    </row>
    <row r="58" spans="1:25" s="48" customFormat="1" x14ac:dyDescent="0.25">
      <c r="A58" s="36">
        <v>42934</v>
      </c>
      <c r="B58" s="92" t="str">
        <f t="shared" si="0"/>
        <v>Tue</v>
      </c>
      <c r="C58" s="631" t="s">
        <v>118</v>
      </c>
      <c r="D58" s="631">
        <v>38.046759999999999</v>
      </c>
      <c r="E58" s="631">
        <v>-122.17254</v>
      </c>
      <c r="F58" s="27" t="s">
        <v>7634</v>
      </c>
      <c r="G58" s="631" t="s">
        <v>80</v>
      </c>
      <c r="H58" s="631" t="s">
        <v>120</v>
      </c>
      <c r="I58" s="12">
        <v>0.44722222222222219</v>
      </c>
      <c r="J58" s="13">
        <f>AVERAGE(16017,16444,16959,16955,17667,17259,15143,15250)</f>
        <v>16461.75</v>
      </c>
      <c r="K58" s="86">
        <v>20.849999904632568</v>
      </c>
      <c r="L58" s="13">
        <f>AVERAGE(17.8,15.6,14.7,12.2,10.1,10.8,11.7,12.7)</f>
        <v>13.2</v>
      </c>
      <c r="M58" s="13">
        <f>AVERAGE(0.73,0.72,0.76,0.75,0.75,0.78,0.72,0.78)</f>
        <v>0.74875000000000003</v>
      </c>
      <c r="N58" s="90" t="s">
        <v>50</v>
      </c>
      <c r="O58" s="14" t="s">
        <v>48</v>
      </c>
      <c r="P58" s="14">
        <v>8</v>
      </c>
      <c r="Q58" s="14">
        <v>10</v>
      </c>
      <c r="R58" s="14" t="s">
        <v>64</v>
      </c>
      <c r="S58" s="14" t="s">
        <v>50</v>
      </c>
      <c r="T58" s="15" t="s">
        <v>50</v>
      </c>
      <c r="U58" s="15" t="s">
        <v>50</v>
      </c>
      <c r="V58" s="14" t="s">
        <v>50</v>
      </c>
      <c r="W58" s="14" t="s">
        <v>50</v>
      </c>
      <c r="X58" s="14" t="s">
        <v>50</v>
      </c>
      <c r="Y58" s="5"/>
    </row>
    <row r="59" spans="1:25" s="48" customFormat="1" x14ac:dyDescent="0.25">
      <c r="A59" s="36">
        <v>42934</v>
      </c>
      <c r="B59" s="92" t="str">
        <f t="shared" si="0"/>
        <v>Tue</v>
      </c>
      <c r="C59" s="631" t="s">
        <v>88</v>
      </c>
      <c r="D59" s="631">
        <v>38.176450000000003</v>
      </c>
      <c r="E59" s="631">
        <v>-121.66733000000001</v>
      </c>
      <c r="F59" s="27" t="s">
        <v>7635</v>
      </c>
      <c r="G59" s="631" t="s">
        <v>90</v>
      </c>
      <c r="H59" s="631" t="s">
        <v>91</v>
      </c>
      <c r="I59" s="12">
        <v>0.32500000000000001</v>
      </c>
      <c r="J59" s="13">
        <f>AVERAGE(111.8,114,124.3,133.2,130.6)</f>
        <v>122.78</v>
      </c>
      <c r="K59" s="86">
        <v>23.240000152587889</v>
      </c>
      <c r="L59" s="13">
        <f>AVERAGE(8.15,7.68,8.22,6.87,7.52)</f>
        <v>7.6879999999999997</v>
      </c>
      <c r="M59" s="13">
        <f>AVERAGE(0.95,0.94,0.96,0.9,0.9)</f>
        <v>0.92999999999999994</v>
      </c>
      <c r="N59" s="90" t="s">
        <v>50</v>
      </c>
      <c r="O59" s="14" t="s">
        <v>48</v>
      </c>
      <c r="P59" s="14">
        <v>5</v>
      </c>
      <c r="Q59" s="14">
        <v>5</v>
      </c>
      <c r="R59" s="14" t="s">
        <v>64</v>
      </c>
      <c r="S59" s="14" t="s">
        <v>50</v>
      </c>
      <c r="T59" s="10" t="s">
        <v>50</v>
      </c>
      <c r="U59" s="10" t="s">
        <v>50</v>
      </c>
      <c r="V59" s="14" t="s">
        <v>50</v>
      </c>
      <c r="W59" s="14" t="s">
        <v>50</v>
      </c>
      <c r="X59" s="14" t="s">
        <v>50</v>
      </c>
      <c r="Y59" s="5" t="s">
        <v>7636</v>
      </c>
    </row>
    <row r="60" spans="1:25" s="48" customFormat="1" x14ac:dyDescent="0.25">
      <c r="A60" s="36">
        <v>42934</v>
      </c>
      <c r="B60" s="92" t="str">
        <f t="shared" si="0"/>
        <v>Tue</v>
      </c>
      <c r="C60" s="631" t="s">
        <v>88</v>
      </c>
      <c r="D60" s="631">
        <v>38.099550000000001</v>
      </c>
      <c r="E60" s="631">
        <v>-121.72049</v>
      </c>
      <c r="F60" s="27" t="s">
        <v>7637</v>
      </c>
      <c r="G60" s="631" t="s">
        <v>90</v>
      </c>
      <c r="H60" s="631" t="s">
        <v>91</v>
      </c>
      <c r="I60" s="12">
        <v>0.38819444444444445</v>
      </c>
      <c r="J60" s="13">
        <f>AVERAGE(124.3,124.1,124.3,123.9,123.8)</f>
        <v>124.08</v>
      </c>
      <c r="K60" s="86">
        <v>23.600000381469727</v>
      </c>
      <c r="L60" s="13">
        <f>AVERAGE(8.88,8.75,10.1,13.1,13.2)</f>
        <v>10.806000000000001</v>
      </c>
      <c r="M60" s="13">
        <f>AVERAGE(0.84,0.77,0.83,0.79,0.77)</f>
        <v>0.8</v>
      </c>
      <c r="N60" s="90" t="s">
        <v>50</v>
      </c>
      <c r="O60" s="14" t="s">
        <v>48</v>
      </c>
      <c r="P60" s="14">
        <v>5</v>
      </c>
      <c r="Q60" s="14">
        <v>5</v>
      </c>
      <c r="R60" s="14" t="s">
        <v>64</v>
      </c>
      <c r="S60" s="14" t="s">
        <v>50</v>
      </c>
      <c r="T60" s="18" t="s">
        <v>50</v>
      </c>
      <c r="U60" s="18" t="s">
        <v>50</v>
      </c>
      <c r="V60" s="14" t="s">
        <v>50</v>
      </c>
      <c r="W60" s="14" t="s">
        <v>50</v>
      </c>
      <c r="X60" s="14" t="s">
        <v>50</v>
      </c>
      <c r="Y60" s="5" t="s">
        <v>7638</v>
      </c>
    </row>
    <row r="61" spans="1:25" s="48" customFormat="1" x14ac:dyDescent="0.25">
      <c r="A61" s="36">
        <v>42934</v>
      </c>
      <c r="B61" s="92" t="str">
        <f t="shared" si="0"/>
        <v>Tue</v>
      </c>
      <c r="C61" s="631" t="s">
        <v>44</v>
      </c>
      <c r="D61" s="631">
        <v>38.084099999999999</v>
      </c>
      <c r="E61" s="631">
        <v>-121.50268</v>
      </c>
      <c r="F61" s="27" t="s">
        <v>7639</v>
      </c>
      <c r="G61" s="631" t="s">
        <v>46</v>
      </c>
      <c r="H61" s="631" t="s">
        <v>6881</v>
      </c>
      <c r="I61" s="12">
        <v>0.31041666666666667</v>
      </c>
      <c r="J61" s="13">
        <f>AVERAGE(114.3,115.3,115.4,115.2,115.7,115.2,113.3,115.5)</f>
        <v>114.9875</v>
      </c>
      <c r="K61" s="86">
        <v>24.012500047683716</v>
      </c>
      <c r="L61" s="13">
        <f>AVERAGE(9.2,16.1,7.73,8.83,7.61,7.76,5.95,5.95)</f>
        <v>8.6412499999999994</v>
      </c>
      <c r="M61" s="13">
        <f>AVERAGE(1.45,1.35,1.4,1.35,1.2,1.2,1.3,1.5)</f>
        <v>1.34375</v>
      </c>
      <c r="N61" s="90" t="s">
        <v>50</v>
      </c>
      <c r="O61" s="14" t="s">
        <v>48</v>
      </c>
      <c r="P61" s="14">
        <v>8</v>
      </c>
      <c r="Q61" s="14">
        <v>10</v>
      </c>
      <c r="R61" s="14" t="s">
        <v>49</v>
      </c>
      <c r="S61" s="14" t="s">
        <v>50</v>
      </c>
      <c r="T61" s="18" t="s">
        <v>50</v>
      </c>
      <c r="U61" s="18" t="s">
        <v>50</v>
      </c>
      <c r="V61" s="14" t="s">
        <v>50</v>
      </c>
      <c r="W61" s="14" t="s">
        <v>50</v>
      </c>
      <c r="X61" s="14" t="s">
        <v>50</v>
      </c>
      <c r="Y61" s="5"/>
    </row>
    <row r="62" spans="1:25" s="48" customFormat="1" x14ac:dyDescent="0.25">
      <c r="A62" s="36">
        <v>42934</v>
      </c>
      <c r="B62" s="92" t="str">
        <f t="shared" si="0"/>
        <v>Tue</v>
      </c>
      <c r="C62" s="631" t="s">
        <v>44</v>
      </c>
      <c r="D62" s="631">
        <v>38.017049999999998</v>
      </c>
      <c r="E62" s="631">
        <v>-121.4525</v>
      </c>
      <c r="F62" s="27" t="s">
        <v>7640</v>
      </c>
      <c r="G62" s="631" t="s">
        <v>46</v>
      </c>
      <c r="H62" s="631" t="s">
        <v>6840</v>
      </c>
      <c r="I62" s="12">
        <v>0.45763888888888887</v>
      </c>
      <c r="J62" s="13">
        <f>AVERAGE(172.3,169.3,172,168.9,167.9,164,168.5,165.3)</f>
        <v>168.52500000000001</v>
      </c>
      <c r="K62" s="86">
        <v>24.225000381469727</v>
      </c>
      <c r="L62" s="13">
        <f>AVERAGE(10.8,10.3,11.7,11.9,13.2,9.98,9.61,10.4)</f>
        <v>10.98625</v>
      </c>
      <c r="M62" s="13">
        <f>AVERAGE(0.92,1,0.99,0.89,0.88,0.95,1.05,0.95)</f>
        <v>0.9537500000000001</v>
      </c>
      <c r="N62" s="90" t="s">
        <v>50</v>
      </c>
      <c r="O62" s="14" t="s">
        <v>48</v>
      </c>
      <c r="P62" s="14">
        <v>8</v>
      </c>
      <c r="Q62" s="14">
        <v>10</v>
      </c>
      <c r="R62" s="14" t="s">
        <v>64</v>
      </c>
      <c r="S62" s="14" t="s">
        <v>50</v>
      </c>
      <c r="T62" s="18" t="s">
        <v>50</v>
      </c>
      <c r="U62" s="18" t="s">
        <v>50</v>
      </c>
      <c r="V62" s="14" t="s">
        <v>50</v>
      </c>
      <c r="W62" s="14" t="s">
        <v>50</v>
      </c>
      <c r="X62" s="14" t="s">
        <v>50</v>
      </c>
      <c r="Y62" s="5"/>
    </row>
    <row r="63" spans="1:25" s="48" customFormat="1" x14ac:dyDescent="0.25">
      <c r="A63" s="36">
        <v>42935</v>
      </c>
      <c r="B63" s="92" t="str">
        <f t="shared" si="0"/>
        <v>Wed</v>
      </c>
      <c r="C63" s="631" t="s">
        <v>6849</v>
      </c>
      <c r="D63" s="631">
        <v>38.196429999999999</v>
      </c>
      <c r="E63" s="631">
        <v>-121.54707000000001</v>
      </c>
      <c r="F63" s="27" t="s">
        <v>7641</v>
      </c>
      <c r="G63" s="631" t="s">
        <v>90</v>
      </c>
      <c r="H63" s="631" t="s">
        <v>6892</v>
      </c>
      <c r="I63" s="12">
        <v>0.40347222222222223</v>
      </c>
      <c r="J63" s="13">
        <v>113.6875</v>
      </c>
      <c r="K63" s="86">
        <v>23.237500429153442</v>
      </c>
      <c r="L63" s="13">
        <v>12.696249999999999</v>
      </c>
      <c r="M63" s="13">
        <v>0.86</v>
      </c>
      <c r="N63" s="90" t="s">
        <v>50</v>
      </c>
      <c r="O63" s="14" t="s">
        <v>48</v>
      </c>
      <c r="P63" s="14">
        <v>8</v>
      </c>
      <c r="Q63" s="14">
        <v>10</v>
      </c>
      <c r="R63" s="14" t="s">
        <v>49</v>
      </c>
      <c r="S63" s="14" t="s">
        <v>50</v>
      </c>
      <c r="T63" s="18" t="s">
        <v>50</v>
      </c>
      <c r="U63" s="18" t="s">
        <v>50</v>
      </c>
      <c r="V63" s="14" t="s">
        <v>50</v>
      </c>
      <c r="W63" s="14" t="s">
        <v>50</v>
      </c>
      <c r="X63" s="14" t="s">
        <v>50</v>
      </c>
      <c r="Y63" s="5"/>
    </row>
    <row r="64" spans="1:25" s="48" customFormat="1" x14ac:dyDescent="0.25">
      <c r="A64" s="36">
        <v>42935</v>
      </c>
      <c r="B64" s="92" t="str">
        <f t="shared" si="0"/>
        <v>Wed</v>
      </c>
      <c r="C64" s="631" t="s">
        <v>6849</v>
      </c>
      <c r="D64" s="631">
        <v>38.410919999999997</v>
      </c>
      <c r="E64" s="631">
        <v>-121.51842000000001</v>
      </c>
      <c r="F64" s="27" t="s">
        <v>7642</v>
      </c>
      <c r="G64" s="631" t="s">
        <v>90</v>
      </c>
      <c r="H64" s="631" t="s">
        <v>6851</v>
      </c>
      <c r="I64" s="12">
        <v>0.57916666666666672</v>
      </c>
      <c r="J64" s="13">
        <f>AVERAGE(108.6,107.8,109.8,113,113.1,114,114.4,114.1)</f>
        <v>111.85</v>
      </c>
      <c r="K64" s="86">
        <v>22.362499475479126</v>
      </c>
      <c r="L64" s="13">
        <f>AVERAGE(13.4,10.5,10,10.4,7.92,8.87,9.04,10.5)</f>
        <v>10.078749999999999</v>
      </c>
      <c r="M64" s="13">
        <f>AVERAGE(0.96,0.83,0.95,0.9,0.9,0.9,0.9,0.86)</f>
        <v>0.90000000000000013</v>
      </c>
      <c r="N64" s="90" t="s">
        <v>50</v>
      </c>
      <c r="O64" s="14" t="s">
        <v>48</v>
      </c>
      <c r="P64" s="14">
        <v>8</v>
      </c>
      <c r="Q64" s="14">
        <v>10</v>
      </c>
      <c r="R64" s="14" t="s">
        <v>49</v>
      </c>
      <c r="S64" s="14" t="s">
        <v>50</v>
      </c>
      <c r="T64" s="18" t="s">
        <v>50</v>
      </c>
      <c r="U64" s="18" t="s">
        <v>50</v>
      </c>
      <c r="V64" s="14" t="s">
        <v>50</v>
      </c>
      <c r="W64" s="14" t="s">
        <v>50</v>
      </c>
      <c r="X64" s="14" t="s">
        <v>50</v>
      </c>
      <c r="Y64" s="5"/>
    </row>
    <row r="65" spans="1:25" s="48" customFormat="1" x14ac:dyDescent="0.25">
      <c r="A65" s="36">
        <v>42935</v>
      </c>
      <c r="B65" s="92" t="str">
        <f t="shared" si="0"/>
        <v>Wed</v>
      </c>
      <c r="C65" s="631" t="s">
        <v>95</v>
      </c>
      <c r="D65" s="631">
        <v>38.03546</v>
      </c>
      <c r="E65" s="631">
        <v>-121.70461</v>
      </c>
      <c r="F65" s="27" t="s">
        <v>7643</v>
      </c>
      <c r="G65" s="631" t="s">
        <v>27</v>
      </c>
      <c r="H65" s="631" t="s">
        <v>95</v>
      </c>
      <c r="I65" s="12">
        <v>0.35833333333333334</v>
      </c>
      <c r="J65" s="13">
        <v>103.44</v>
      </c>
      <c r="K65" s="86">
        <v>23.939999771118163</v>
      </c>
      <c r="L65" s="13">
        <v>11.1</v>
      </c>
      <c r="M65" s="13">
        <v>0.8</v>
      </c>
      <c r="N65" s="90" t="s">
        <v>50</v>
      </c>
      <c r="O65" s="14" t="s">
        <v>48</v>
      </c>
      <c r="P65" s="14">
        <v>5</v>
      </c>
      <c r="Q65" s="14">
        <v>5</v>
      </c>
      <c r="R65" s="14" t="s">
        <v>49</v>
      </c>
      <c r="S65" s="14" t="s">
        <v>50</v>
      </c>
      <c r="T65" s="18" t="s">
        <v>50</v>
      </c>
      <c r="U65" s="18" t="s">
        <v>50</v>
      </c>
      <c r="V65" s="14" t="s">
        <v>50</v>
      </c>
      <c r="W65" s="14" t="s">
        <v>50</v>
      </c>
      <c r="X65" s="14" t="s">
        <v>50</v>
      </c>
      <c r="Y65" s="5" t="s">
        <v>7644</v>
      </c>
    </row>
    <row r="66" spans="1:25" s="48" customFormat="1" x14ac:dyDescent="0.25">
      <c r="A66" s="36">
        <v>42935</v>
      </c>
      <c r="B66" s="92" t="str">
        <f t="shared" si="0"/>
        <v>Wed</v>
      </c>
      <c r="C66" s="631" t="s">
        <v>95</v>
      </c>
      <c r="D66" s="631">
        <v>38.085619999999999</v>
      </c>
      <c r="E66" s="631">
        <v>-121.6799</v>
      </c>
      <c r="F66" s="27" t="s">
        <v>7645</v>
      </c>
      <c r="G66" s="631" t="s">
        <v>46</v>
      </c>
      <c r="H66" s="631" t="s">
        <v>97</v>
      </c>
      <c r="I66" s="12">
        <v>0.41875000000000001</v>
      </c>
      <c r="J66" s="13">
        <v>99.82</v>
      </c>
      <c r="K66" s="86">
        <v>24.359999465942384</v>
      </c>
      <c r="L66" s="13">
        <v>11.295999999999999</v>
      </c>
      <c r="M66" s="13">
        <v>0.87</v>
      </c>
      <c r="N66" s="90" t="s">
        <v>50</v>
      </c>
      <c r="O66" s="14" t="s">
        <v>48</v>
      </c>
      <c r="P66" s="14">
        <v>5</v>
      </c>
      <c r="Q66" s="14">
        <v>5</v>
      </c>
      <c r="R66" s="14" t="s">
        <v>49</v>
      </c>
      <c r="S66" s="14" t="s">
        <v>50</v>
      </c>
      <c r="T66" s="18" t="s">
        <v>50</v>
      </c>
      <c r="U66" s="18" t="s">
        <v>50</v>
      </c>
      <c r="V66" s="14" t="s">
        <v>50</v>
      </c>
      <c r="W66" s="14" t="s">
        <v>50</v>
      </c>
      <c r="X66" s="14" t="s">
        <v>50</v>
      </c>
      <c r="Y66" s="5"/>
    </row>
    <row r="67" spans="1:25" s="48" customFormat="1" x14ac:dyDescent="0.25">
      <c r="A67" s="36">
        <v>42935</v>
      </c>
      <c r="B67" s="92" t="str">
        <f t="shared" si="0"/>
        <v>Wed</v>
      </c>
      <c r="C67" s="631" t="s">
        <v>44</v>
      </c>
      <c r="D67" s="631">
        <v>38.161659999999998</v>
      </c>
      <c r="E67" s="631">
        <v>-121.53444</v>
      </c>
      <c r="F67" s="27" t="s">
        <v>7646</v>
      </c>
      <c r="G67" s="631" t="s">
        <v>46</v>
      </c>
      <c r="H67" s="631" t="s">
        <v>6881</v>
      </c>
      <c r="I67" s="12">
        <v>0.39930555555555558</v>
      </c>
      <c r="J67" s="13">
        <v>111.25</v>
      </c>
      <c r="K67" s="86">
        <v>23.362500190734863</v>
      </c>
      <c r="L67" s="13">
        <v>9.9187499999999993</v>
      </c>
      <c r="M67" s="13">
        <v>1.0075000000000001</v>
      </c>
      <c r="N67" s="90" t="s">
        <v>50</v>
      </c>
      <c r="O67" s="14" t="s">
        <v>48</v>
      </c>
      <c r="P67" s="14">
        <v>8</v>
      </c>
      <c r="Q67" s="14">
        <v>10</v>
      </c>
      <c r="R67" s="14" t="s">
        <v>49</v>
      </c>
      <c r="S67" s="14" t="s">
        <v>50</v>
      </c>
      <c r="T67" s="18" t="s">
        <v>50</v>
      </c>
      <c r="U67" s="18" t="s">
        <v>50</v>
      </c>
      <c r="V67" s="14" t="s">
        <v>50</v>
      </c>
      <c r="W67" s="14" t="s">
        <v>50</v>
      </c>
      <c r="X67" s="14" t="s">
        <v>50</v>
      </c>
      <c r="Y67" s="5"/>
    </row>
    <row r="68" spans="1:25" s="48" customFormat="1" x14ac:dyDescent="0.25">
      <c r="A68" s="36">
        <v>42935</v>
      </c>
      <c r="B68" s="92" t="str">
        <f t="shared" ref="B68:B131" si="1">TEXT(A68,"ddd")</f>
        <v>Wed</v>
      </c>
      <c r="C68" s="631" t="s">
        <v>44</v>
      </c>
      <c r="D68" s="631">
        <v>38.140599999999999</v>
      </c>
      <c r="E68" s="631">
        <v>-121.50526000000001</v>
      </c>
      <c r="F68" s="27" t="s">
        <v>7647</v>
      </c>
      <c r="G68" s="631" t="s">
        <v>46</v>
      </c>
      <c r="H68" s="631" t="s">
        <v>6881</v>
      </c>
      <c r="I68" s="12">
        <v>0.4284722222222222</v>
      </c>
      <c r="J68" s="13">
        <v>84.825000000000003</v>
      </c>
      <c r="K68" s="86">
        <v>22.549999952316284</v>
      </c>
      <c r="L68" s="13">
        <v>8.8424999999999994</v>
      </c>
      <c r="M68" s="13">
        <v>1.075</v>
      </c>
      <c r="N68" s="90" t="s">
        <v>50</v>
      </c>
      <c r="O68" s="14" t="s">
        <v>48</v>
      </c>
      <c r="P68" s="14">
        <v>8</v>
      </c>
      <c r="Q68" s="14">
        <v>10</v>
      </c>
      <c r="R68" s="14" t="s">
        <v>49</v>
      </c>
      <c r="S68" s="14" t="s">
        <v>50</v>
      </c>
      <c r="T68" s="18" t="s">
        <v>50</v>
      </c>
      <c r="U68" s="18" t="s">
        <v>50</v>
      </c>
      <c r="V68" s="14" t="s">
        <v>50</v>
      </c>
      <c r="W68" s="14" t="s">
        <v>50</v>
      </c>
      <c r="X68" s="14" t="s">
        <v>50</v>
      </c>
      <c r="Y68" s="5"/>
    </row>
    <row r="69" spans="1:25" s="48" customFormat="1" x14ac:dyDescent="0.25">
      <c r="A69" s="36">
        <v>42936</v>
      </c>
      <c r="B69" s="92" t="str">
        <f t="shared" si="1"/>
        <v>Thu</v>
      </c>
      <c r="C69" s="631" t="s">
        <v>845</v>
      </c>
      <c r="D69" s="631">
        <v>38.377160000000003</v>
      </c>
      <c r="E69" s="631">
        <v>-121.62773</v>
      </c>
      <c r="F69" s="27" t="s">
        <v>7648</v>
      </c>
      <c r="G69" s="631" t="s">
        <v>90</v>
      </c>
      <c r="H69" s="631" t="s">
        <v>7562</v>
      </c>
      <c r="I69" s="12">
        <v>0.3354166666666667</v>
      </c>
      <c r="J69" s="13">
        <v>578</v>
      </c>
      <c r="K69" s="86">
        <v>23.600000381469727</v>
      </c>
      <c r="L69" s="13">
        <v>30.5</v>
      </c>
      <c r="M69" s="13">
        <v>0.28999999999999998</v>
      </c>
      <c r="N69" s="90" t="s">
        <v>50</v>
      </c>
      <c r="O69" s="14" t="s">
        <v>48</v>
      </c>
      <c r="P69" s="14">
        <v>1</v>
      </c>
      <c r="Q69" s="14">
        <v>3</v>
      </c>
      <c r="R69" s="14" t="s">
        <v>49</v>
      </c>
      <c r="S69" s="14" t="s">
        <v>323</v>
      </c>
      <c r="T69" s="14">
        <v>38</v>
      </c>
      <c r="U69" s="14" t="s">
        <v>7649</v>
      </c>
      <c r="V69" s="14" t="s">
        <v>66</v>
      </c>
      <c r="W69" s="14" t="s">
        <v>50</v>
      </c>
      <c r="X69" s="14" t="s">
        <v>50</v>
      </c>
      <c r="Y69" s="5" t="s">
        <v>7650</v>
      </c>
    </row>
    <row r="70" spans="1:25" s="48" customFormat="1" x14ac:dyDescent="0.25">
      <c r="A70" s="36">
        <v>42936</v>
      </c>
      <c r="B70" s="92" t="str">
        <f t="shared" si="1"/>
        <v>Thu</v>
      </c>
      <c r="C70" s="631" t="s">
        <v>845</v>
      </c>
      <c r="D70" s="631">
        <v>38.204410000000003</v>
      </c>
      <c r="E70" s="631">
        <v>-121.65607</v>
      </c>
      <c r="F70" s="27" t="s">
        <v>7651</v>
      </c>
      <c r="G70" s="631" t="s">
        <v>90</v>
      </c>
      <c r="H70" s="631" t="s">
        <v>7562</v>
      </c>
      <c r="I70" s="12">
        <v>0.42708333333333331</v>
      </c>
      <c r="J70" s="13">
        <v>131.19999999999999</v>
      </c>
      <c r="K70" s="86">
        <v>22.899999618530273</v>
      </c>
      <c r="L70" s="13">
        <v>11.47</v>
      </c>
      <c r="M70" s="13">
        <v>0.86666699999999997</v>
      </c>
      <c r="N70" s="90" t="s">
        <v>50</v>
      </c>
      <c r="O70" s="14" t="s">
        <v>48</v>
      </c>
      <c r="P70" s="14">
        <v>3</v>
      </c>
      <c r="Q70" s="14">
        <v>5</v>
      </c>
      <c r="R70" s="14" t="s">
        <v>49</v>
      </c>
      <c r="S70" s="14" t="s">
        <v>50</v>
      </c>
      <c r="T70" s="18" t="s">
        <v>50</v>
      </c>
      <c r="U70" s="18" t="s">
        <v>50</v>
      </c>
      <c r="V70" s="14" t="s">
        <v>50</v>
      </c>
      <c r="W70" s="14" t="s">
        <v>50</v>
      </c>
      <c r="X70" s="14" t="s">
        <v>50</v>
      </c>
      <c r="Y70" s="5" t="s">
        <v>7652</v>
      </c>
    </row>
    <row r="71" spans="1:25" s="48" customFormat="1" x14ac:dyDescent="0.25">
      <c r="A71" s="36">
        <v>42936</v>
      </c>
      <c r="B71" s="92" t="str">
        <f t="shared" si="1"/>
        <v>Thu</v>
      </c>
      <c r="C71" s="631" t="s">
        <v>95</v>
      </c>
      <c r="D71" s="631">
        <v>38.017560000000003</v>
      </c>
      <c r="E71" s="631">
        <v>-121.78607</v>
      </c>
      <c r="F71" s="27" t="s">
        <v>7653</v>
      </c>
      <c r="G71" s="631" t="s">
        <v>27</v>
      </c>
      <c r="H71" s="631" t="s">
        <v>95</v>
      </c>
      <c r="I71" s="12">
        <v>0.33055555555555555</v>
      </c>
      <c r="J71" s="13">
        <v>224.82</v>
      </c>
      <c r="K71" s="86">
        <v>23.54000015258789</v>
      </c>
      <c r="L71" s="13">
        <v>24</v>
      </c>
      <c r="M71" s="13">
        <v>0.65</v>
      </c>
      <c r="N71" s="90" t="s">
        <v>50</v>
      </c>
      <c r="O71" s="14" t="s">
        <v>48</v>
      </c>
      <c r="P71" s="14">
        <v>5</v>
      </c>
      <c r="Q71" s="14">
        <v>5</v>
      </c>
      <c r="R71" s="14" t="s">
        <v>49</v>
      </c>
      <c r="S71" s="14" t="s">
        <v>50</v>
      </c>
      <c r="T71" s="18" t="s">
        <v>50</v>
      </c>
      <c r="U71" s="18" t="s">
        <v>50</v>
      </c>
      <c r="V71" s="14" t="s">
        <v>50</v>
      </c>
      <c r="W71" s="14" t="s">
        <v>50</v>
      </c>
      <c r="X71" s="14" t="s">
        <v>50</v>
      </c>
      <c r="Y71" s="5"/>
    </row>
    <row r="72" spans="1:25" s="48" customFormat="1" x14ac:dyDescent="0.25">
      <c r="A72" s="36">
        <v>42936</v>
      </c>
      <c r="B72" s="92" t="str">
        <f t="shared" si="1"/>
        <v>Thu</v>
      </c>
      <c r="C72" s="631" t="s">
        <v>95</v>
      </c>
      <c r="D72" s="631">
        <v>38.028410000000001</v>
      </c>
      <c r="E72" s="27">
        <v>-121.75948</v>
      </c>
      <c r="F72" s="27" t="s">
        <v>7654</v>
      </c>
      <c r="G72" s="631" t="s">
        <v>27</v>
      </c>
      <c r="H72" s="631" t="s">
        <v>95</v>
      </c>
      <c r="I72" s="12">
        <v>0.37777777777777777</v>
      </c>
      <c r="J72" s="13">
        <v>150.56</v>
      </c>
      <c r="K72" s="86">
        <v>23.640000534057616</v>
      </c>
      <c r="L72" s="13">
        <v>22.02</v>
      </c>
      <c r="M72" s="13">
        <v>0.67</v>
      </c>
      <c r="N72" s="90" t="s">
        <v>50</v>
      </c>
      <c r="O72" s="14" t="s">
        <v>48</v>
      </c>
      <c r="P72" s="14">
        <v>5</v>
      </c>
      <c r="Q72" s="14">
        <v>5</v>
      </c>
      <c r="R72" s="14" t="s">
        <v>49</v>
      </c>
      <c r="S72" s="14" t="s">
        <v>50</v>
      </c>
      <c r="T72" s="18" t="s">
        <v>50</v>
      </c>
      <c r="U72" s="18" t="s">
        <v>50</v>
      </c>
      <c r="V72" s="14" t="s">
        <v>50</v>
      </c>
      <c r="W72" s="14" t="s">
        <v>50</v>
      </c>
      <c r="X72" s="14" t="s">
        <v>50</v>
      </c>
      <c r="Y72" s="5"/>
    </row>
    <row r="73" spans="1:25" s="48" customFormat="1" x14ac:dyDescent="0.25">
      <c r="A73" s="36">
        <v>42936</v>
      </c>
      <c r="B73" s="92" t="str">
        <f t="shared" si="1"/>
        <v>Thu</v>
      </c>
      <c r="C73" s="631" t="s">
        <v>7570</v>
      </c>
      <c r="D73" s="631">
        <v>38.177759999999999</v>
      </c>
      <c r="E73" s="631">
        <v>-122.00904</v>
      </c>
      <c r="F73" s="27" t="s">
        <v>7655</v>
      </c>
      <c r="G73" s="631" t="s">
        <v>27</v>
      </c>
      <c r="H73" s="631" t="s">
        <v>62</v>
      </c>
      <c r="I73" s="12">
        <v>0.36527777777777781</v>
      </c>
      <c r="J73" s="13">
        <v>2433.1999999999998</v>
      </c>
      <c r="K73" s="86">
        <v>23</v>
      </c>
      <c r="L73" s="13">
        <v>96.62</v>
      </c>
      <c r="M73" s="13">
        <v>0.22</v>
      </c>
      <c r="N73" s="90" t="s">
        <v>50</v>
      </c>
      <c r="O73" s="14" t="s">
        <v>48</v>
      </c>
      <c r="P73" s="14">
        <v>5</v>
      </c>
      <c r="Q73" s="14">
        <v>5</v>
      </c>
      <c r="R73" s="14" t="s">
        <v>64</v>
      </c>
      <c r="S73" s="14" t="s">
        <v>50</v>
      </c>
      <c r="T73" s="18" t="s">
        <v>50</v>
      </c>
      <c r="U73" s="18" t="s">
        <v>50</v>
      </c>
      <c r="V73" s="14" t="s">
        <v>50</v>
      </c>
      <c r="W73" s="14" t="s">
        <v>50</v>
      </c>
      <c r="X73" s="14" t="s">
        <v>50</v>
      </c>
      <c r="Y73" s="5"/>
    </row>
    <row r="74" spans="1:25" s="131" customFormat="1" ht="15.75" thickBot="1" x14ac:dyDescent="0.3">
      <c r="A74" s="117">
        <v>42936</v>
      </c>
      <c r="B74" s="107" t="str">
        <f t="shared" si="1"/>
        <v>Thu</v>
      </c>
      <c r="C74" s="131" t="s">
        <v>7570</v>
      </c>
      <c r="D74" s="131">
        <v>38.10492</v>
      </c>
      <c r="E74" s="131">
        <v>-122.03776999999999</v>
      </c>
      <c r="F74" s="108" t="s">
        <v>7656</v>
      </c>
      <c r="G74" s="131" t="s">
        <v>27</v>
      </c>
      <c r="H74" s="131" t="s">
        <v>86</v>
      </c>
      <c r="I74" s="132">
        <v>0.48819444444444443</v>
      </c>
      <c r="J74" s="127">
        <v>9906</v>
      </c>
      <c r="K74" s="128">
        <v>21.399999618530273</v>
      </c>
      <c r="L74" s="127">
        <v>93.65</v>
      </c>
      <c r="M74" s="127">
        <v>0.28999999999999998</v>
      </c>
      <c r="N74" s="125" t="s">
        <v>50</v>
      </c>
      <c r="O74" s="129" t="s">
        <v>48</v>
      </c>
      <c r="P74" s="129">
        <v>2</v>
      </c>
      <c r="Q74" s="129">
        <v>5</v>
      </c>
      <c r="R74" s="129" t="s">
        <v>64</v>
      </c>
      <c r="S74" s="129" t="s">
        <v>323</v>
      </c>
      <c r="T74" s="225">
        <v>10</v>
      </c>
      <c r="U74" s="133" t="s">
        <v>7657</v>
      </c>
      <c r="V74" s="129" t="s">
        <v>66</v>
      </c>
      <c r="W74" s="129" t="s">
        <v>50</v>
      </c>
      <c r="X74" s="129" t="s">
        <v>50</v>
      </c>
      <c r="Y74" s="134" t="s">
        <v>7658</v>
      </c>
    </row>
    <row r="75" spans="1:25" s="48" customFormat="1" ht="15.75" thickTop="1" x14ac:dyDescent="0.25">
      <c r="A75" s="29">
        <v>42940</v>
      </c>
      <c r="B75" s="92" t="str">
        <f t="shared" si="1"/>
        <v>Mon</v>
      </c>
      <c r="C75" s="631" t="s">
        <v>95</v>
      </c>
      <c r="D75" s="631">
        <v>38.088679999999997</v>
      </c>
      <c r="E75" s="631">
        <v>-121.62598</v>
      </c>
      <c r="F75" s="27" t="s">
        <v>7659</v>
      </c>
      <c r="G75" s="631" t="s">
        <v>46</v>
      </c>
      <c r="H75" s="631" t="s">
        <v>97</v>
      </c>
      <c r="I75" s="7">
        <v>0.38055555555555554</v>
      </c>
      <c r="J75" s="37">
        <v>104.31999999999998</v>
      </c>
      <c r="K75" s="105">
        <v>26.319999313354494</v>
      </c>
      <c r="L75" s="37">
        <v>11.846</v>
      </c>
      <c r="M75" s="37">
        <v>0.89200000000000002</v>
      </c>
      <c r="N75" s="90" t="s">
        <v>50</v>
      </c>
      <c r="O75" s="9" t="s">
        <v>48</v>
      </c>
      <c r="P75" s="9">
        <v>5</v>
      </c>
      <c r="Q75" s="9">
        <v>5</v>
      </c>
      <c r="R75" s="9" t="s">
        <v>49</v>
      </c>
      <c r="S75" s="9" t="s">
        <v>50</v>
      </c>
      <c r="T75" s="136" t="s">
        <v>50</v>
      </c>
      <c r="U75" s="136" t="s">
        <v>50</v>
      </c>
      <c r="V75" s="9" t="s">
        <v>50</v>
      </c>
      <c r="W75" s="9" t="s">
        <v>50</v>
      </c>
      <c r="X75" s="9" t="s">
        <v>50</v>
      </c>
      <c r="Y75" s="5"/>
    </row>
    <row r="76" spans="1:25" s="48" customFormat="1" x14ac:dyDescent="0.25">
      <c r="A76" s="36">
        <v>42940</v>
      </c>
      <c r="B76" s="92" t="str">
        <f t="shared" si="1"/>
        <v>Mon</v>
      </c>
      <c r="C76" s="631" t="s">
        <v>95</v>
      </c>
      <c r="D76" s="631">
        <v>38.087440000000001</v>
      </c>
      <c r="E76" s="631">
        <v>-121.63695</v>
      </c>
      <c r="F76" s="27" t="s">
        <v>7660</v>
      </c>
      <c r="G76" s="631" t="s">
        <v>46</v>
      </c>
      <c r="H76" s="631" t="s">
        <v>97</v>
      </c>
      <c r="I76" s="12">
        <v>0.4284722222222222</v>
      </c>
      <c r="J76" s="13">
        <v>114.26</v>
      </c>
      <c r="K76" s="86">
        <v>24.58000030517578</v>
      </c>
      <c r="L76" s="13">
        <v>15.8</v>
      </c>
      <c r="M76" s="13">
        <v>0.81799999999999995</v>
      </c>
      <c r="N76" s="90" t="s">
        <v>50</v>
      </c>
      <c r="O76" s="14" t="s">
        <v>48</v>
      </c>
      <c r="P76" s="14">
        <v>5</v>
      </c>
      <c r="Q76" s="14">
        <v>5</v>
      </c>
      <c r="R76" s="14" t="s">
        <v>49</v>
      </c>
      <c r="S76" s="14" t="s">
        <v>50</v>
      </c>
      <c r="T76" s="18" t="s">
        <v>50</v>
      </c>
      <c r="U76" s="18" t="s">
        <v>50</v>
      </c>
      <c r="V76" s="14" t="s">
        <v>50</v>
      </c>
      <c r="W76" s="14" t="s">
        <v>50</v>
      </c>
      <c r="X76" s="14" t="s">
        <v>50</v>
      </c>
      <c r="Y76" s="5" t="s">
        <v>7661</v>
      </c>
    </row>
    <row r="77" spans="1:25" s="48" customFormat="1" x14ac:dyDescent="0.25">
      <c r="A77" s="36">
        <v>42940</v>
      </c>
      <c r="B77" s="92" t="str">
        <f t="shared" si="1"/>
        <v>Mon</v>
      </c>
      <c r="C77" s="631" t="s">
        <v>44</v>
      </c>
      <c r="D77" s="631">
        <v>37.99736</v>
      </c>
      <c r="E77" s="631">
        <v>-121.51949</v>
      </c>
      <c r="F77" s="27" t="s">
        <v>7662</v>
      </c>
      <c r="G77" s="631" t="s">
        <v>46</v>
      </c>
      <c r="H77" s="631" t="s">
        <v>6939</v>
      </c>
      <c r="I77" s="12">
        <v>0.33888888888888885</v>
      </c>
      <c r="J77" s="13">
        <v>134.61250000000001</v>
      </c>
      <c r="K77" s="86">
        <v>26.1875</v>
      </c>
      <c r="L77" s="13">
        <v>10.366250000000001</v>
      </c>
      <c r="M77" s="13">
        <v>0.90500000000000003</v>
      </c>
      <c r="N77" s="90" t="s">
        <v>50</v>
      </c>
      <c r="O77" s="14" t="s">
        <v>48</v>
      </c>
      <c r="P77" s="14">
        <v>8</v>
      </c>
      <c r="Q77" s="14">
        <v>10</v>
      </c>
      <c r="R77" s="14" t="s">
        <v>49</v>
      </c>
      <c r="S77" s="14" t="s">
        <v>50</v>
      </c>
      <c r="T77" s="18" t="s">
        <v>50</v>
      </c>
      <c r="U77" s="18" t="s">
        <v>50</v>
      </c>
      <c r="V77" s="14" t="s">
        <v>50</v>
      </c>
      <c r="W77" s="14" t="s">
        <v>50</v>
      </c>
      <c r="X77" s="14" t="s">
        <v>50</v>
      </c>
      <c r="Y77" s="35" t="s">
        <v>7663</v>
      </c>
    </row>
    <row r="78" spans="1:25" s="48" customFormat="1" x14ac:dyDescent="0.25">
      <c r="A78" s="36">
        <v>42940</v>
      </c>
      <c r="B78" s="92" t="str">
        <f t="shared" si="1"/>
        <v>Mon</v>
      </c>
      <c r="C78" s="631" t="s">
        <v>44</v>
      </c>
      <c r="D78" s="631">
        <v>37.998150000000003</v>
      </c>
      <c r="E78" s="631">
        <v>-121.52485</v>
      </c>
      <c r="F78" s="27" t="s">
        <v>7664</v>
      </c>
      <c r="G78" s="631" t="s">
        <v>46</v>
      </c>
      <c r="H78" s="631" t="s">
        <v>6939</v>
      </c>
      <c r="I78" s="12">
        <v>0.49374999999999997</v>
      </c>
      <c r="J78" s="13">
        <v>133.55000000000001</v>
      </c>
      <c r="K78" s="86">
        <v>25.337499856948853</v>
      </c>
      <c r="L78" s="13">
        <v>9.6575000000000006</v>
      </c>
      <c r="M78" s="13">
        <v>0.99875000000000003</v>
      </c>
      <c r="N78" s="90" t="s">
        <v>50</v>
      </c>
      <c r="O78" s="14" t="s">
        <v>48</v>
      </c>
      <c r="P78" s="14">
        <v>8</v>
      </c>
      <c r="Q78" s="14">
        <v>10</v>
      </c>
      <c r="R78" s="14" t="s">
        <v>64</v>
      </c>
      <c r="S78" s="14" t="s">
        <v>50</v>
      </c>
      <c r="T78" s="18" t="s">
        <v>50</v>
      </c>
      <c r="U78" s="18" t="s">
        <v>50</v>
      </c>
      <c r="V78" s="14" t="s">
        <v>50</v>
      </c>
      <c r="W78" s="14" t="s">
        <v>50</v>
      </c>
      <c r="X78" s="14" t="s">
        <v>50</v>
      </c>
      <c r="Y78" s="5"/>
    </row>
    <row r="79" spans="1:25" s="48" customFormat="1" x14ac:dyDescent="0.25">
      <c r="A79" s="36">
        <v>42940</v>
      </c>
      <c r="B79" s="92" t="str">
        <f t="shared" si="1"/>
        <v>Mon</v>
      </c>
      <c r="C79" s="631" t="s">
        <v>88</v>
      </c>
      <c r="D79" s="631">
        <v>38.108780000000003</v>
      </c>
      <c r="E79" s="631">
        <v>-121.71243</v>
      </c>
      <c r="F79" s="27" t="s">
        <v>7665</v>
      </c>
      <c r="G79" s="631" t="s">
        <v>90</v>
      </c>
      <c r="H79" s="27" t="s">
        <v>91</v>
      </c>
      <c r="I79" s="12">
        <v>0.5180555555555556</v>
      </c>
      <c r="J79" s="13">
        <v>119.24</v>
      </c>
      <c r="K79" s="86">
        <v>23.7000003814697</v>
      </c>
      <c r="L79" s="13">
        <v>9.0719999999999992</v>
      </c>
      <c r="M79" s="13">
        <v>0.86399999999999999</v>
      </c>
      <c r="N79" s="90" t="s">
        <v>50</v>
      </c>
      <c r="O79" s="14" t="s">
        <v>48</v>
      </c>
      <c r="P79" s="14">
        <v>5</v>
      </c>
      <c r="Q79" s="14">
        <v>5</v>
      </c>
      <c r="R79" s="14" t="s">
        <v>49</v>
      </c>
      <c r="S79" s="14" t="s">
        <v>50</v>
      </c>
      <c r="T79" s="18" t="s">
        <v>50</v>
      </c>
      <c r="U79" s="18" t="s">
        <v>50</v>
      </c>
      <c r="V79" s="14" t="s">
        <v>50</v>
      </c>
      <c r="W79" s="14" t="s">
        <v>50</v>
      </c>
      <c r="X79" s="14" t="s">
        <v>50</v>
      </c>
      <c r="Y79" s="5"/>
    </row>
    <row r="80" spans="1:25" s="48" customFormat="1" x14ac:dyDescent="0.25">
      <c r="A80" s="36">
        <v>42940</v>
      </c>
      <c r="B80" s="92" t="str">
        <f t="shared" si="1"/>
        <v>Mon</v>
      </c>
      <c r="C80" s="631" t="s">
        <v>88</v>
      </c>
      <c r="D80" s="631">
        <v>38.096989999999998</v>
      </c>
      <c r="E80" s="631">
        <v>-121.72266</v>
      </c>
      <c r="F80" s="27" t="s">
        <v>7666</v>
      </c>
      <c r="G80" s="631" t="s">
        <v>90</v>
      </c>
      <c r="H80" s="27" t="s">
        <v>91</v>
      </c>
      <c r="I80" s="12">
        <v>0.3972222222222222</v>
      </c>
      <c r="J80" s="13">
        <v>154.85</v>
      </c>
      <c r="K80" s="86">
        <v>23.649999618530273</v>
      </c>
      <c r="L80" s="13">
        <v>20.399999999999999</v>
      </c>
      <c r="M80" s="13">
        <v>0.53500000000000003</v>
      </c>
      <c r="N80" s="90" t="s">
        <v>50</v>
      </c>
      <c r="O80" s="14" t="s">
        <v>48</v>
      </c>
      <c r="P80" s="14">
        <v>6</v>
      </c>
      <c r="Q80" s="14">
        <v>5</v>
      </c>
      <c r="R80" s="14" t="s">
        <v>49</v>
      </c>
      <c r="S80" s="14" t="s">
        <v>50</v>
      </c>
      <c r="T80" s="18" t="s">
        <v>50</v>
      </c>
      <c r="U80" s="18" t="s">
        <v>50</v>
      </c>
      <c r="V80" s="14" t="s">
        <v>50</v>
      </c>
      <c r="W80" s="14" t="s">
        <v>50</v>
      </c>
      <c r="X80" s="14" t="s">
        <v>50</v>
      </c>
      <c r="Y80" s="5" t="s">
        <v>7667</v>
      </c>
    </row>
    <row r="81" spans="1:25" s="48" customFormat="1" ht="13.5" customHeight="1" x14ac:dyDescent="0.25">
      <c r="A81" s="36">
        <v>42941</v>
      </c>
      <c r="B81" s="92" t="str">
        <f t="shared" si="1"/>
        <v>Tue</v>
      </c>
      <c r="C81" s="631" t="s">
        <v>95</v>
      </c>
      <c r="D81" s="631">
        <v>38.021720000000002</v>
      </c>
      <c r="E81" s="631">
        <v>-121.80132</v>
      </c>
      <c r="F81" s="27" t="s">
        <v>7668</v>
      </c>
      <c r="G81" s="631" t="s">
        <v>27</v>
      </c>
      <c r="H81" s="631" t="s">
        <v>95</v>
      </c>
      <c r="I81" s="12">
        <v>0.34097222222222223</v>
      </c>
      <c r="J81" s="13">
        <f>AVERAGE(1621,1698,1688,1637,1536)</f>
        <v>1636</v>
      </c>
      <c r="K81" s="86">
        <v>22.279999542236329</v>
      </c>
      <c r="L81" s="13">
        <f>AVERAGE(21.3,21.9,29.2,31.2,38.5)</f>
        <v>28.420000000000005</v>
      </c>
      <c r="M81" s="13">
        <f>AVERAGE(0.6,0.6,0.55,0.5,0.5)</f>
        <v>0.55000000000000004</v>
      </c>
      <c r="N81" s="90" t="s">
        <v>50</v>
      </c>
      <c r="O81" s="14" t="s">
        <v>48</v>
      </c>
      <c r="P81" s="14">
        <v>5</v>
      </c>
      <c r="Q81" s="14">
        <v>5</v>
      </c>
      <c r="R81" s="14" t="s">
        <v>49</v>
      </c>
      <c r="S81" s="14" t="s">
        <v>50</v>
      </c>
      <c r="T81" s="15" t="s">
        <v>50</v>
      </c>
      <c r="U81" s="15" t="s">
        <v>50</v>
      </c>
      <c r="V81" s="14" t="s">
        <v>50</v>
      </c>
      <c r="W81" s="14" t="s">
        <v>50</v>
      </c>
      <c r="X81" s="14" t="s">
        <v>50</v>
      </c>
      <c r="Y81" s="5"/>
    </row>
    <row r="82" spans="1:25" s="48" customFormat="1" x14ac:dyDescent="0.25">
      <c r="A82" s="36">
        <v>42941</v>
      </c>
      <c r="B82" s="92" t="str">
        <f t="shared" si="1"/>
        <v>Tue</v>
      </c>
      <c r="C82" s="631" t="s">
        <v>95</v>
      </c>
      <c r="D82" s="631">
        <v>38.02111</v>
      </c>
      <c r="E82" s="631">
        <v>-121.73278000000001</v>
      </c>
      <c r="F82" s="27" t="s">
        <v>7669</v>
      </c>
      <c r="G82" s="631" t="s">
        <v>27</v>
      </c>
      <c r="H82" s="631" t="s">
        <v>95</v>
      </c>
      <c r="I82" s="12">
        <v>0.39027777777777778</v>
      </c>
      <c r="J82" s="13">
        <f>AVERAGE(350.3,290.4,289.1,285.7,242.3)</f>
        <v>291.56</v>
      </c>
      <c r="K82" s="86">
        <v>22.219999694824217</v>
      </c>
      <c r="L82" s="13">
        <f>AVERAGE(12.1,12.9,10.6,11.4,9.7)</f>
        <v>11.34</v>
      </c>
      <c r="M82" s="13">
        <f>AVERAGE(0.8,0.75,0.7,0.8,0.85)</f>
        <v>0.78</v>
      </c>
      <c r="N82" s="90" t="s">
        <v>50</v>
      </c>
      <c r="O82" s="14" t="s">
        <v>48</v>
      </c>
      <c r="P82" s="14">
        <v>5</v>
      </c>
      <c r="Q82" s="14">
        <v>5</v>
      </c>
      <c r="R82" s="14" t="s">
        <v>49</v>
      </c>
      <c r="S82" s="14" t="s">
        <v>50</v>
      </c>
      <c r="T82" s="15" t="s">
        <v>50</v>
      </c>
      <c r="U82" s="15" t="s">
        <v>50</v>
      </c>
      <c r="V82" s="14" t="s">
        <v>50</v>
      </c>
      <c r="W82" s="14" t="s">
        <v>50</v>
      </c>
      <c r="X82" s="14" t="s">
        <v>50</v>
      </c>
      <c r="Y82" s="5"/>
    </row>
    <row r="83" spans="1:25" s="48" customFormat="1" x14ac:dyDescent="0.25">
      <c r="A83" s="36">
        <v>42941</v>
      </c>
      <c r="B83" s="92" t="str">
        <f t="shared" si="1"/>
        <v>Tue</v>
      </c>
      <c r="C83" s="631" t="s">
        <v>118</v>
      </c>
      <c r="D83" s="631">
        <v>38.063510000000001</v>
      </c>
      <c r="E83" s="631">
        <v>-122.23254</v>
      </c>
      <c r="F83" s="27" t="s">
        <v>7670</v>
      </c>
      <c r="G83" s="631" t="s">
        <v>80</v>
      </c>
      <c r="H83" s="631" t="s">
        <v>120</v>
      </c>
      <c r="I83" s="12">
        <v>0.38472222222222219</v>
      </c>
      <c r="J83" s="13">
        <f>AVERAGE(24333,23082,22835,21373,20803,20535,19039,18654)</f>
        <v>21331.75</v>
      </c>
      <c r="K83" s="86">
        <v>20.174999952316284</v>
      </c>
      <c r="L83" s="13">
        <f>AVERAGE(63.4,83.6,96.4,98.8,89.2,84.4,80.9,95.1)</f>
        <v>86.474999999999994</v>
      </c>
      <c r="M83" s="13">
        <f>AVERAGE(0.28,0.2,0.21,0.19,0.18,0.19,0.21,0.23)</f>
        <v>0.21124999999999999</v>
      </c>
      <c r="N83" s="90" t="s">
        <v>50</v>
      </c>
      <c r="O83" s="14" t="s">
        <v>48</v>
      </c>
      <c r="P83" s="14">
        <v>8</v>
      </c>
      <c r="Q83" s="14">
        <v>10</v>
      </c>
      <c r="R83" s="14" t="s">
        <v>49</v>
      </c>
      <c r="S83" s="14" t="s">
        <v>50</v>
      </c>
      <c r="T83" s="18" t="s">
        <v>50</v>
      </c>
      <c r="U83" s="18" t="s">
        <v>50</v>
      </c>
      <c r="V83" s="14" t="s">
        <v>50</v>
      </c>
      <c r="W83" s="14" t="s">
        <v>50</v>
      </c>
      <c r="X83" s="14" t="s">
        <v>50</v>
      </c>
      <c r="Y83" s="5"/>
    </row>
    <row r="84" spans="1:25" s="48" customFormat="1" x14ac:dyDescent="0.25">
      <c r="A84" s="36">
        <v>42941</v>
      </c>
      <c r="B84" s="92" t="str">
        <f t="shared" si="1"/>
        <v>Tue</v>
      </c>
      <c r="C84" s="631" t="s">
        <v>118</v>
      </c>
      <c r="D84" s="631">
        <v>38.061149999999998</v>
      </c>
      <c r="E84" s="631">
        <v>-122.24182999999999</v>
      </c>
      <c r="F84" s="27" t="s">
        <v>7671</v>
      </c>
      <c r="G84" s="631" t="s">
        <v>80</v>
      </c>
      <c r="H84" s="631" t="s">
        <v>120</v>
      </c>
      <c r="I84" s="12">
        <v>0.49513888888888885</v>
      </c>
      <c r="J84" s="13">
        <f>AVERAGE(18822,18425,18447,18140,17865,18183,18742,20221)</f>
        <v>18605.625</v>
      </c>
      <c r="K84" s="86">
        <v>20.675000190734863</v>
      </c>
      <c r="L84" s="13">
        <f>AVERAGE(52.9,47,60.9,83.7,37.7,34.6,22.5,17.8)</f>
        <v>44.637500000000003</v>
      </c>
      <c r="M84" s="13">
        <f>AVERAGE(0.35,0.25,0.28,0.32,0.4,0.42,0.43,0.48)</f>
        <v>0.36625000000000002</v>
      </c>
      <c r="N84" s="90" t="s">
        <v>50</v>
      </c>
      <c r="O84" s="14" t="s">
        <v>48</v>
      </c>
      <c r="P84" s="14">
        <v>8</v>
      </c>
      <c r="Q84" s="14">
        <v>10</v>
      </c>
      <c r="R84" s="14" t="s">
        <v>49</v>
      </c>
      <c r="S84" s="14" t="s">
        <v>50</v>
      </c>
      <c r="T84" s="18" t="s">
        <v>50</v>
      </c>
      <c r="U84" s="18" t="s">
        <v>50</v>
      </c>
      <c r="V84" s="14" t="s">
        <v>50</v>
      </c>
      <c r="W84" s="14" t="s">
        <v>50</v>
      </c>
      <c r="X84" s="14" t="s">
        <v>50</v>
      </c>
      <c r="Y84" s="5"/>
    </row>
    <row r="85" spans="1:25" s="48" customFormat="1" x14ac:dyDescent="0.25">
      <c r="A85" s="36">
        <v>42941</v>
      </c>
      <c r="B85" s="92" t="str">
        <f t="shared" si="1"/>
        <v>Tue</v>
      </c>
      <c r="C85" s="631" t="s">
        <v>845</v>
      </c>
      <c r="D85" s="631">
        <v>38.231850000000001</v>
      </c>
      <c r="E85" s="631">
        <v>-121.67412</v>
      </c>
      <c r="F85" s="27" t="s">
        <v>7672</v>
      </c>
      <c r="G85" s="631" t="s">
        <v>90</v>
      </c>
      <c r="H85" s="631" t="s">
        <v>7562</v>
      </c>
      <c r="I85" s="12">
        <v>0.33194444444444443</v>
      </c>
      <c r="J85" s="13">
        <f>AVERAGE(120.3,121.1,124.8,125.9,128.3)</f>
        <v>124.08000000000001</v>
      </c>
      <c r="K85" s="86">
        <v>23.019999313354493</v>
      </c>
      <c r="L85" s="13">
        <f>AVERAGE(6.18,6.66,12.5,11.2,10)</f>
        <v>9.3079999999999998</v>
      </c>
      <c r="M85" s="13">
        <f>AVERAGE(1.12,1.1,0.99,0.83,0.8)</f>
        <v>0.96799999999999997</v>
      </c>
      <c r="N85" s="90" t="s">
        <v>50</v>
      </c>
      <c r="O85" s="14" t="s">
        <v>48</v>
      </c>
      <c r="P85" s="14">
        <v>5</v>
      </c>
      <c r="Q85" s="14">
        <v>5</v>
      </c>
      <c r="R85" s="14" t="s">
        <v>49</v>
      </c>
      <c r="S85" s="14" t="s">
        <v>50</v>
      </c>
      <c r="T85" s="18" t="s">
        <v>50</v>
      </c>
      <c r="U85" s="18" t="s">
        <v>50</v>
      </c>
      <c r="V85" s="14" t="s">
        <v>50</v>
      </c>
      <c r="W85" s="14" t="s">
        <v>50</v>
      </c>
      <c r="X85" s="14" t="s">
        <v>50</v>
      </c>
      <c r="Y85" s="5" t="s">
        <v>7673</v>
      </c>
    </row>
    <row r="86" spans="1:25" s="48" customFormat="1" x14ac:dyDescent="0.25">
      <c r="A86" s="36">
        <v>42941</v>
      </c>
      <c r="B86" s="92" t="str">
        <f t="shared" si="1"/>
        <v>Tue</v>
      </c>
      <c r="C86" s="631" t="s">
        <v>845</v>
      </c>
      <c r="D86" s="631">
        <v>38.307389999999998</v>
      </c>
      <c r="E86" s="631">
        <v>-121.73284</v>
      </c>
      <c r="F86" s="27" t="s">
        <v>7674</v>
      </c>
      <c r="G86" s="631" t="s">
        <v>90</v>
      </c>
      <c r="H86" s="631" t="s">
        <v>7562</v>
      </c>
      <c r="I86" s="12">
        <v>0.50624999999999998</v>
      </c>
      <c r="J86" s="13">
        <f>AVERAGE(185.5,184.4,181.2,187.8,184.2)</f>
        <v>184.61999999999998</v>
      </c>
      <c r="K86" s="86">
        <v>23.340000152587891</v>
      </c>
      <c r="L86" s="13">
        <f>AVERAGE(12.6,11.6,13.1,12.9,13.5)</f>
        <v>12.739999999999998</v>
      </c>
      <c r="M86" s="13">
        <f>AVERAGE(0.67,0.62,0.62,0.6,0.63)</f>
        <v>0.628</v>
      </c>
      <c r="N86" s="90" t="s">
        <v>50</v>
      </c>
      <c r="O86" s="14" t="s">
        <v>48</v>
      </c>
      <c r="P86" s="14">
        <v>5</v>
      </c>
      <c r="Q86" s="14">
        <v>5</v>
      </c>
      <c r="R86" s="14" t="s">
        <v>64</v>
      </c>
      <c r="S86" s="14" t="s">
        <v>50</v>
      </c>
      <c r="T86" s="18" t="s">
        <v>50</v>
      </c>
      <c r="U86" s="18" t="s">
        <v>50</v>
      </c>
      <c r="V86" s="14" t="s">
        <v>50</v>
      </c>
      <c r="W86" s="14" t="s">
        <v>50</v>
      </c>
      <c r="X86" s="14" t="s">
        <v>50</v>
      </c>
      <c r="Y86" s="5" t="s">
        <v>7675</v>
      </c>
    </row>
    <row r="87" spans="1:25" s="149" customFormat="1" x14ac:dyDescent="0.25">
      <c r="A87" s="160">
        <v>42942</v>
      </c>
      <c r="B87" s="148" t="str">
        <f t="shared" si="1"/>
        <v>Wed</v>
      </c>
      <c r="C87" s="149" t="s">
        <v>118</v>
      </c>
      <c r="D87" s="149">
        <v>38.061010000000003</v>
      </c>
      <c r="E87" s="149">
        <v>-122.24124</v>
      </c>
      <c r="F87" s="149" t="s">
        <v>7676</v>
      </c>
      <c r="G87" s="149" t="s">
        <v>80</v>
      </c>
      <c r="H87" s="149" t="s">
        <v>120</v>
      </c>
      <c r="I87" s="165">
        <v>0.31944444444444448</v>
      </c>
      <c r="J87" s="163" t="s">
        <v>50</v>
      </c>
      <c r="K87" s="163" t="s">
        <v>50</v>
      </c>
      <c r="L87" s="163" t="s">
        <v>50</v>
      </c>
      <c r="M87" s="163" t="s">
        <v>50</v>
      </c>
      <c r="N87" s="177" t="s">
        <v>50</v>
      </c>
      <c r="O87" s="161" t="s">
        <v>48</v>
      </c>
      <c r="P87" s="161">
        <v>0</v>
      </c>
      <c r="Q87" s="161" t="s">
        <v>50</v>
      </c>
      <c r="R87" s="161" t="s">
        <v>50</v>
      </c>
      <c r="S87" s="181" t="s">
        <v>50</v>
      </c>
      <c r="T87" s="157" t="s">
        <v>50</v>
      </c>
      <c r="U87" s="157" t="s">
        <v>50</v>
      </c>
      <c r="V87" s="181" t="s">
        <v>50</v>
      </c>
      <c r="W87" s="181" t="s">
        <v>50</v>
      </c>
      <c r="X87" s="181" t="s">
        <v>50</v>
      </c>
      <c r="Y87" s="152" t="s">
        <v>7677</v>
      </c>
    </row>
    <row r="88" spans="1:25" s="48" customFormat="1" x14ac:dyDescent="0.25">
      <c r="A88" s="36">
        <v>42942</v>
      </c>
      <c r="B88" s="92" t="str">
        <f t="shared" si="1"/>
        <v>Wed</v>
      </c>
      <c r="C88" s="631" t="s">
        <v>118</v>
      </c>
      <c r="D88" s="631">
        <v>38.052410000000002</v>
      </c>
      <c r="E88" s="631">
        <v>-122.29414</v>
      </c>
      <c r="F88" s="27" t="s">
        <v>7678</v>
      </c>
      <c r="G88" s="631" t="s">
        <v>80</v>
      </c>
      <c r="H88" s="631" t="s">
        <v>123</v>
      </c>
      <c r="I88" s="12">
        <v>0.32708333333333334</v>
      </c>
      <c r="J88" s="13">
        <v>26125.88</v>
      </c>
      <c r="K88" s="86">
        <v>19.787500143051147</v>
      </c>
      <c r="L88" s="13">
        <v>55.575000000000003</v>
      </c>
      <c r="M88" s="13">
        <v>0.39624999999999999</v>
      </c>
      <c r="N88" s="90" t="s">
        <v>50</v>
      </c>
      <c r="O88" s="14" t="s">
        <v>48</v>
      </c>
      <c r="P88" s="14">
        <v>8</v>
      </c>
      <c r="Q88" s="14">
        <v>10</v>
      </c>
      <c r="R88" s="14" t="s">
        <v>49</v>
      </c>
      <c r="S88" s="33" t="s">
        <v>50</v>
      </c>
      <c r="T88" s="34" t="s">
        <v>50</v>
      </c>
      <c r="U88" s="34" t="s">
        <v>50</v>
      </c>
      <c r="V88" s="33" t="s">
        <v>50</v>
      </c>
      <c r="W88" s="33" t="s">
        <v>50</v>
      </c>
      <c r="X88" s="33" t="s">
        <v>50</v>
      </c>
      <c r="Y88" s="5"/>
    </row>
    <row r="89" spans="1:25" s="48" customFormat="1" x14ac:dyDescent="0.25">
      <c r="A89" s="36">
        <v>42942</v>
      </c>
      <c r="B89" s="92" t="str">
        <f t="shared" si="1"/>
        <v>Wed</v>
      </c>
      <c r="C89" s="631" t="s">
        <v>118</v>
      </c>
      <c r="D89" s="631">
        <v>38.136629999999997</v>
      </c>
      <c r="E89" s="631">
        <v>-122.28179</v>
      </c>
      <c r="F89" s="27" t="s">
        <v>7679</v>
      </c>
      <c r="G89" s="631" t="s">
        <v>80</v>
      </c>
      <c r="H89" s="631" t="s">
        <v>191</v>
      </c>
      <c r="I89" s="12">
        <v>0.48194444444444445</v>
      </c>
      <c r="J89" s="13">
        <v>20524.5</v>
      </c>
      <c r="K89" s="86">
        <v>20.399999618530273</v>
      </c>
      <c r="L89" s="13">
        <v>37.799999999999997</v>
      </c>
      <c r="M89" s="13">
        <v>0.41499999999999998</v>
      </c>
      <c r="N89" s="90" t="s">
        <v>50</v>
      </c>
      <c r="O89" s="14" t="s">
        <v>48</v>
      </c>
      <c r="P89" s="14">
        <v>2</v>
      </c>
      <c r="Q89" s="14">
        <v>10</v>
      </c>
      <c r="R89" s="14" t="s">
        <v>64</v>
      </c>
      <c r="S89" s="14" t="s">
        <v>323</v>
      </c>
      <c r="T89" s="15">
        <v>2</v>
      </c>
      <c r="U89" s="15" t="s">
        <v>7680</v>
      </c>
      <c r="V89" s="14" t="s">
        <v>66</v>
      </c>
      <c r="W89" s="14" t="s">
        <v>50</v>
      </c>
      <c r="X89" s="14" t="s">
        <v>50</v>
      </c>
      <c r="Y89" s="631"/>
    </row>
    <row r="90" spans="1:25" s="48" customFormat="1" x14ac:dyDescent="0.25">
      <c r="A90" s="36">
        <v>42942</v>
      </c>
      <c r="B90" s="92" t="str">
        <f t="shared" si="1"/>
        <v>Wed</v>
      </c>
      <c r="C90" s="38" t="s">
        <v>44</v>
      </c>
      <c r="D90" s="631">
        <v>38.061109999999999</v>
      </c>
      <c r="E90" s="631">
        <v>-121.60244</v>
      </c>
      <c r="F90" s="631" t="s">
        <v>7681</v>
      </c>
      <c r="G90" s="631" t="s">
        <v>46</v>
      </c>
      <c r="H90" s="39" t="s">
        <v>47</v>
      </c>
      <c r="I90" s="12">
        <v>0.31458333333333333</v>
      </c>
      <c r="J90" s="13">
        <v>162.21250000000001</v>
      </c>
      <c r="K90" s="86">
        <v>23.374999523162842</v>
      </c>
      <c r="L90" s="13">
        <v>12.2</v>
      </c>
      <c r="M90" s="13">
        <v>0.81625000000000003</v>
      </c>
      <c r="N90" s="90" t="s">
        <v>50</v>
      </c>
      <c r="O90" s="14" t="s">
        <v>48</v>
      </c>
      <c r="P90" s="14">
        <v>8</v>
      </c>
      <c r="Q90" s="14">
        <v>10</v>
      </c>
      <c r="R90" s="14" t="s">
        <v>49</v>
      </c>
      <c r="S90" s="33" t="s">
        <v>50</v>
      </c>
      <c r="T90" s="34" t="s">
        <v>50</v>
      </c>
      <c r="U90" s="34" t="s">
        <v>50</v>
      </c>
      <c r="V90" s="33" t="s">
        <v>50</v>
      </c>
      <c r="W90" s="33" t="s">
        <v>50</v>
      </c>
      <c r="X90" s="33" t="s">
        <v>50</v>
      </c>
      <c r="Y90" s="631"/>
    </row>
    <row r="91" spans="1:25" s="48" customFormat="1" x14ac:dyDescent="0.25">
      <c r="A91" s="36">
        <v>42942</v>
      </c>
      <c r="B91" s="92" t="str">
        <f t="shared" si="1"/>
        <v>Wed</v>
      </c>
      <c r="C91" s="38" t="s">
        <v>44</v>
      </c>
      <c r="D91" s="631">
        <v>38.051319999999997</v>
      </c>
      <c r="E91" s="631">
        <v>-121.58028</v>
      </c>
      <c r="F91" s="27" t="s">
        <v>7682</v>
      </c>
      <c r="G91" s="631" t="s">
        <v>46</v>
      </c>
      <c r="H91" s="631" t="s">
        <v>74</v>
      </c>
      <c r="I91" s="12">
        <v>0.41597222222222219</v>
      </c>
      <c r="J91" s="13">
        <v>126.35</v>
      </c>
      <c r="K91" s="86">
        <v>23.487499952316284</v>
      </c>
      <c r="L91" s="13">
        <v>9.4525000000000006</v>
      </c>
      <c r="M91" s="13">
        <v>0.86</v>
      </c>
      <c r="N91" s="90" t="s">
        <v>50</v>
      </c>
      <c r="O91" s="14" t="s">
        <v>48</v>
      </c>
      <c r="P91" s="14">
        <v>8</v>
      </c>
      <c r="Q91" s="14">
        <v>10</v>
      </c>
      <c r="R91" s="14" t="s">
        <v>64</v>
      </c>
      <c r="S91" s="33" t="s">
        <v>50</v>
      </c>
      <c r="T91" s="34" t="s">
        <v>50</v>
      </c>
      <c r="U91" s="34" t="s">
        <v>50</v>
      </c>
      <c r="V91" s="33" t="s">
        <v>50</v>
      </c>
      <c r="W91" s="33" t="s">
        <v>50</v>
      </c>
      <c r="X91" s="33" t="s">
        <v>50</v>
      </c>
      <c r="Y91" s="631"/>
    </row>
    <row r="92" spans="1:25" s="48" customFormat="1" x14ac:dyDescent="0.25">
      <c r="A92" s="36">
        <v>42942</v>
      </c>
      <c r="B92" s="92" t="str">
        <f t="shared" si="1"/>
        <v>Wed</v>
      </c>
      <c r="C92" s="631" t="s">
        <v>106</v>
      </c>
      <c r="D92" s="631">
        <v>38.384070000000001</v>
      </c>
      <c r="E92" s="631">
        <v>-121.62434</v>
      </c>
      <c r="F92" s="27" t="s">
        <v>7683</v>
      </c>
      <c r="G92" s="631" t="s">
        <v>90</v>
      </c>
      <c r="H92" s="631" t="s">
        <v>7577</v>
      </c>
      <c r="I92" s="12">
        <v>0.35347222222222219</v>
      </c>
      <c r="J92" s="13">
        <v>437</v>
      </c>
      <c r="K92" s="86">
        <v>23.700000762939453</v>
      </c>
      <c r="L92" s="13">
        <v>27.8</v>
      </c>
      <c r="M92" s="13">
        <v>0.34</v>
      </c>
      <c r="N92" s="90" t="s">
        <v>50</v>
      </c>
      <c r="O92" s="14" t="s">
        <v>48</v>
      </c>
      <c r="P92" s="14">
        <v>1</v>
      </c>
      <c r="Q92" s="14">
        <v>3</v>
      </c>
      <c r="R92" s="14" t="s">
        <v>49</v>
      </c>
      <c r="S92" s="14" t="s">
        <v>323</v>
      </c>
      <c r="T92" s="15">
        <v>36</v>
      </c>
      <c r="U92" s="15" t="s">
        <v>7684</v>
      </c>
      <c r="V92" s="14" t="s">
        <v>66</v>
      </c>
      <c r="W92" s="14" t="s">
        <v>50</v>
      </c>
      <c r="X92" s="14" t="s">
        <v>50</v>
      </c>
      <c r="Y92" s="5" t="s">
        <v>7685</v>
      </c>
    </row>
    <row r="93" spans="1:25" s="48" customFormat="1" x14ac:dyDescent="0.25">
      <c r="A93" s="36">
        <v>42942</v>
      </c>
      <c r="B93" s="92" t="str">
        <f t="shared" si="1"/>
        <v>Wed</v>
      </c>
      <c r="C93" s="631" t="s">
        <v>106</v>
      </c>
      <c r="D93" s="631">
        <v>38.4069</v>
      </c>
      <c r="E93" s="631">
        <v>-121.61405000000001</v>
      </c>
      <c r="F93" s="27" t="s">
        <v>7686</v>
      </c>
      <c r="G93" s="631" t="s">
        <v>90</v>
      </c>
      <c r="H93" s="631" t="s">
        <v>7577</v>
      </c>
      <c r="I93" s="12">
        <v>0.43333333333333335</v>
      </c>
      <c r="J93" s="13">
        <v>579</v>
      </c>
      <c r="K93" s="86">
        <v>23.899999618530273</v>
      </c>
      <c r="L93" s="13">
        <v>45</v>
      </c>
      <c r="M93" s="13">
        <v>0.26</v>
      </c>
      <c r="N93" s="90" t="s">
        <v>50</v>
      </c>
      <c r="O93" s="14" t="s">
        <v>48</v>
      </c>
      <c r="P93" s="14">
        <v>1</v>
      </c>
      <c r="Q93" s="14">
        <v>3</v>
      </c>
      <c r="R93" s="14" t="s">
        <v>49</v>
      </c>
      <c r="S93" s="14" t="s">
        <v>323</v>
      </c>
      <c r="T93" s="15">
        <v>26</v>
      </c>
      <c r="U93" s="15" t="s">
        <v>7687</v>
      </c>
      <c r="V93" s="14" t="s">
        <v>66</v>
      </c>
      <c r="W93" s="14" t="s">
        <v>50</v>
      </c>
      <c r="X93" s="14" t="s">
        <v>50</v>
      </c>
      <c r="Y93" s="5" t="s">
        <v>7688</v>
      </c>
    </row>
    <row r="94" spans="1:25" s="48" customFormat="1" x14ac:dyDescent="0.25">
      <c r="A94" s="36">
        <v>42943</v>
      </c>
      <c r="B94" s="92" t="str">
        <f t="shared" si="1"/>
        <v>Thu</v>
      </c>
      <c r="C94" s="631" t="s">
        <v>7570</v>
      </c>
      <c r="D94" s="631">
        <v>38.171729999999997</v>
      </c>
      <c r="E94" s="631">
        <v>-121.92957</v>
      </c>
      <c r="F94" s="27" t="s">
        <v>7689</v>
      </c>
      <c r="G94" s="631" t="s">
        <v>27</v>
      </c>
      <c r="H94" s="631" t="s">
        <v>62</v>
      </c>
      <c r="I94" s="12">
        <v>0.34722222222222227</v>
      </c>
      <c r="J94" s="13">
        <v>3466.6</v>
      </c>
      <c r="K94" s="86">
        <v>22</v>
      </c>
      <c r="L94" s="13">
        <v>75.040000000000006</v>
      </c>
      <c r="M94" s="13">
        <v>0.17799999999999999</v>
      </c>
      <c r="N94" s="90" t="s">
        <v>50</v>
      </c>
      <c r="O94" s="14" t="s">
        <v>48</v>
      </c>
      <c r="P94" s="14">
        <v>5</v>
      </c>
      <c r="Q94" s="14">
        <v>5</v>
      </c>
      <c r="R94" s="14" t="s">
        <v>49</v>
      </c>
      <c r="S94" s="33" t="s">
        <v>50</v>
      </c>
      <c r="T94" s="34" t="s">
        <v>50</v>
      </c>
      <c r="U94" s="34" t="s">
        <v>50</v>
      </c>
      <c r="V94" s="33" t="s">
        <v>50</v>
      </c>
      <c r="W94" s="33" t="s">
        <v>50</v>
      </c>
      <c r="X94" s="33" t="s">
        <v>50</v>
      </c>
      <c r="Y94" s="631"/>
    </row>
    <row r="95" spans="1:25" s="48" customFormat="1" x14ac:dyDescent="0.25">
      <c r="A95" s="36">
        <v>42943</v>
      </c>
      <c r="B95" s="92" t="str">
        <f t="shared" si="1"/>
        <v>Thu</v>
      </c>
      <c r="C95" s="631" t="s">
        <v>7570</v>
      </c>
      <c r="D95" s="631">
        <v>38.098840000000003</v>
      </c>
      <c r="E95" s="631">
        <v>-122.0643</v>
      </c>
      <c r="F95" s="27" t="s">
        <v>7690</v>
      </c>
      <c r="G95" s="631" t="s">
        <v>27</v>
      </c>
      <c r="H95" s="631" t="s">
        <v>86</v>
      </c>
      <c r="I95" s="12">
        <v>0.46527777777777773</v>
      </c>
      <c r="J95" s="13">
        <v>10709</v>
      </c>
      <c r="K95" s="86">
        <v>22.339999771118165</v>
      </c>
      <c r="L95" s="13">
        <v>117.2</v>
      </c>
      <c r="M95" s="13">
        <v>0.14000000000000001</v>
      </c>
      <c r="N95" s="90" t="s">
        <v>50</v>
      </c>
      <c r="O95" s="14" t="s">
        <v>48</v>
      </c>
      <c r="P95" s="14">
        <v>5</v>
      </c>
      <c r="Q95" s="14">
        <v>5</v>
      </c>
      <c r="R95" s="14" t="s">
        <v>49</v>
      </c>
      <c r="S95" s="14" t="s">
        <v>323</v>
      </c>
      <c r="T95" s="15">
        <v>2</v>
      </c>
      <c r="U95" s="15" t="s">
        <v>5077</v>
      </c>
      <c r="V95" s="14" t="s">
        <v>66</v>
      </c>
      <c r="W95" s="14" t="s">
        <v>50</v>
      </c>
      <c r="X95" s="14" t="s">
        <v>50</v>
      </c>
      <c r="Y95" s="16"/>
    </row>
    <row r="96" spans="1:25" s="48" customFormat="1" x14ac:dyDescent="0.25">
      <c r="A96" s="36">
        <v>42943</v>
      </c>
      <c r="B96" s="92" t="str">
        <f t="shared" si="1"/>
        <v>Thu</v>
      </c>
      <c r="C96" s="631" t="s">
        <v>6849</v>
      </c>
      <c r="D96" s="631">
        <v>38.255479999999999</v>
      </c>
      <c r="E96" s="631">
        <v>-121.51467</v>
      </c>
      <c r="F96" s="27" t="s">
        <v>7691</v>
      </c>
      <c r="G96" s="631" t="s">
        <v>90</v>
      </c>
      <c r="H96" s="631" t="s">
        <v>6851</v>
      </c>
      <c r="I96" s="12">
        <v>0.3666666666666667</v>
      </c>
      <c r="J96" s="13">
        <v>116.47499999999999</v>
      </c>
      <c r="K96" s="86">
        <v>22.525000095367432</v>
      </c>
      <c r="L96" s="13">
        <v>9.3312500000000007</v>
      </c>
      <c r="M96" s="13">
        <v>1.1937500000000001</v>
      </c>
      <c r="N96" s="90" t="s">
        <v>50</v>
      </c>
      <c r="O96" s="14" t="s">
        <v>48</v>
      </c>
      <c r="P96" s="14">
        <v>8</v>
      </c>
      <c r="Q96" s="14">
        <v>10</v>
      </c>
      <c r="R96" s="14" t="s">
        <v>49</v>
      </c>
      <c r="S96" s="33" t="s">
        <v>50</v>
      </c>
      <c r="T96" s="34" t="s">
        <v>50</v>
      </c>
      <c r="U96" s="34" t="s">
        <v>50</v>
      </c>
      <c r="V96" s="33" t="s">
        <v>50</v>
      </c>
      <c r="W96" s="33" t="s">
        <v>50</v>
      </c>
      <c r="X96" s="33" t="s">
        <v>50</v>
      </c>
      <c r="Y96" s="5"/>
    </row>
    <row r="97" spans="1:25" s="48" customFormat="1" x14ac:dyDescent="0.25">
      <c r="A97" s="36">
        <v>42943</v>
      </c>
      <c r="B97" s="92" t="str">
        <f t="shared" si="1"/>
        <v>Thu</v>
      </c>
      <c r="C97" s="631" t="s">
        <v>6849</v>
      </c>
      <c r="D97" s="631">
        <v>38.436799999999998</v>
      </c>
      <c r="E97" s="631">
        <v>-121.50830000000001</v>
      </c>
      <c r="F97" s="27" t="s">
        <v>7692</v>
      </c>
      <c r="G97" s="631" t="s">
        <v>90</v>
      </c>
      <c r="H97" s="631" t="s">
        <v>6851</v>
      </c>
      <c r="I97" s="12">
        <v>0.53402777777777777</v>
      </c>
      <c r="J97" s="13">
        <v>120.52500000000001</v>
      </c>
      <c r="K97" s="86">
        <v>22.474999904632568</v>
      </c>
      <c r="L97" s="13">
        <v>12.262499999999999</v>
      </c>
      <c r="M97" s="13">
        <v>1.10625</v>
      </c>
      <c r="N97" s="90" t="s">
        <v>50</v>
      </c>
      <c r="O97" s="14" t="s">
        <v>48</v>
      </c>
      <c r="P97" s="14">
        <v>8</v>
      </c>
      <c r="Q97" s="14">
        <v>10</v>
      </c>
      <c r="R97" s="14" t="s">
        <v>49</v>
      </c>
      <c r="S97" s="33" t="s">
        <v>50</v>
      </c>
      <c r="T97" s="34" t="s">
        <v>50</v>
      </c>
      <c r="U97" s="34" t="s">
        <v>50</v>
      </c>
      <c r="V97" s="33" t="s">
        <v>50</v>
      </c>
      <c r="W97" s="33" t="s">
        <v>50</v>
      </c>
      <c r="X97" s="33" t="s">
        <v>50</v>
      </c>
      <c r="Y97" s="5"/>
    </row>
    <row r="98" spans="1:25" s="48" customFormat="1" x14ac:dyDescent="0.25">
      <c r="A98" s="36">
        <v>42943</v>
      </c>
      <c r="B98" s="92" t="str">
        <f t="shared" si="1"/>
        <v>Thu</v>
      </c>
      <c r="C98" s="631" t="s">
        <v>44</v>
      </c>
      <c r="D98" s="631">
        <v>38.151910000000001</v>
      </c>
      <c r="E98" s="631">
        <v>-121.50371</v>
      </c>
      <c r="F98" s="27" t="s">
        <v>7693</v>
      </c>
      <c r="G98" s="631" t="s">
        <v>46</v>
      </c>
      <c r="H98" s="631" t="s">
        <v>6881</v>
      </c>
      <c r="I98" s="12">
        <v>0.33194444444444443</v>
      </c>
      <c r="J98" s="13">
        <v>118.9</v>
      </c>
      <c r="K98" s="86">
        <v>23.011110941569012</v>
      </c>
      <c r="L98" s="13">
        <v>8.2533329999999996</v>
      </c>
      <c r="M98" s="13">
        <v>1.0555559999999999</v>
      </c>
      <c r="N98" s="90" t="s">
        <v>50</v>
      </c>
      <c r="O98" s="14" t="s">
        <v>48</v>
      </c>
      <c r="P98" s="14">
        <v>9</v>
      </c>
      <c r="Q98" s="14">
        <v>10</v>
      </c>
      <c r="R98" s="14" t="s">
        <v>49</v>
      </c>
      <c r="S98" s="33" t="s">
        <v>50</v>
      </c>
      <c r="T98" s="34" t="s">
        <v>50</v>
      </c>
      <c r="U98" s="34" t="s">
        <v>50</v>
      </c>
      <c r="V98" s="33" t="s">
        <v>50</v>
      </c>
      <c r="W98" s="33" t="s">
        <v>50</v>
      </c>
      <c r="X98" s="33" t="s">
        <v>50</v>
      </c>
      <c r="Y98" s="5"/>
    </row>
    <row r="99" spans="1:25" s="131" customFormat="1" ht="15.75" thickBot="1" x14ac:dyDescent="0.3">
      <c r="A99" s="117">
        <v>42943</v>
      </c>
      <c r="B99" s="107" t="str">
        <f t="shared" si="1"/>
        <v>Thu</v>
      </c>
      <c r="C99" s="131" t="s">
        <v>44</v>
      </c>
      <c r="D99" s="131">
        <v>38.12097</v>
      </c>
      <c r="E99" s="131">
        <v>-121.53048</v>
      </c>
      <c r="F99" s="108" t="s">
        <v>7694</v>
      </c>
      <c r="G99" s="131" t="s">
        <v>46</v>
      </c>
      <c r="H99" s="131" t="s">
        <v>6881</v>
      </c>
      <c r="I99" s="132">
        <v>0.49652777777777773</v>
      </c>
      <c r="J99" s="127">
        <v>121.325</v>
      </c>
      <c r="K99" s="128">
        <v>23.5625</v>
      </c>
      <c r="L99" s="127">
        <v>5.0225</v>
      </c>
      <c r="M99" s="127">
        <v>1.8</v>
      </c>
      <c r="N99" s="125" t="s">
        <v>50</v>
      </c>
      <c r="O99" s="129" t="s">
        <v>48</v>
      </c>
      <c r="P99" s="129">
        <v>8</v>
      </c>
      <c r="Q99" s="129">
        <v>10</v>
      </c>
      <c r="R99" s="129" t="s">
        <v>49</v>
      </c>
      <c r="S99" s="135" t="s">
        <v>50</v>
      </c>
      <c r="T99" s="114" t="s">
        <v>50</v>
      </c>
      <c r="U99" s="114" t="s">
        <v>50</v>
      </c>
      <c r="V99" s="135" t="s">
        <v>50</v>
      </c>
      <c r="W99" s="135" t="s">
        <v>50</v>
      </c>
      <c r="X99" s="135" t="s">
        <v>50</v>
      </c>
      <c r="Y99" s="134"/>
    </row>
    <row r="100" spans="1:25" s="149" customFormat="1" ht="15.75" thickTop="1" x14ac:dyDescent="0.25">
      <c r="A100" s="179">
        <v>42947</v>
      </c>
      <c r="B100" s="148" t="str">
        <f t="shared" si="1"/>
        <v>Mon</v>
      </c>
      <c r="C100" s="149" t="s">
        <v>7570</v>
      </c>
      <c r="D100" s="149">
        <v>38.05921</v>
      </c>
      <c r="E100" s="149">
        <v>-121.96841999999999</v>
      </c>
      <c r="F100" s="149" t="s">
        <v>7695</v>
      </c>
      <c r="G100" s="149" t="s">
        <v>27</v>
      </c>
      <c r="H100" s="149" t="s">
        <v>170</v>
      </c>
      <c r="I100" s="180">
        <v>0.35000000000000003</v>
      </c>
      <c r="J100" s="177">
        <v>3739</v>
      </c>
      <c r="K100" s="184">
        <v>21.600000381469727</v>
      </c>
      <c r="L100" s="177">
        <v>26.05</v>
      </c>
      <c r="M100" s="177">
        <v>0.37</v>
      </c>
      <c r="N100" s="177" t="s">
        <v>50</v>
      </c>
      <c r="O100" s="181" t="s">
        <v>48</v>
      </c>
      <c r="P100" s="181">
        <v>1</v>
      </c>
      <c r="Q100" s="181">
        <v>5</v>
      </c>
      <c r="R100" s="181" t="s">
        <v>64</v>
      </c>
      <c r="S100" s="181" t="s">
        <v>50</v>
      </c>
      <c r="T100" s="157" t="s">
        <v>50</v>
      </c>
      <c r="U100" s="157" t="s">
        <v>50</v>
      </c>
      <c r="V100" s="181" t="s">
        <v>50</v>
      </c>
      <c r="W100" s="181" t="s">
        <v>50</v>
      </c>
      <c r="X100" s="181" t="s">
        <v>50</v>
      </c>
      <c r="Y100" s="152" t="s">
        <v>7696</v>
      </c>
    </row>
    <row r="101" spans="1:25" s="48" customFormat="1" x14ac:dyDescent="0.25">
      <c r="A101" s="36">
        <v>42947</v>
      </c>
      <c r="B101" s="92" t="str">
        <f t="shared" si="1"/>
        <v>Mon</v>
      </c>
      <c r="C101" s="631" t="s">
        <v>95</v>
      </c>
      <c r="D101" s="631">
        <v>38.103189999999998</v>
      </c>
      <c r="E101" s="631">
        <v>-121.60597</v>
      </c>
      <c r="F101" s="27" t="s">
        <v>7697</v>
      </c>
      <c r="G101" s="631" t="s">
        <v>46</v>
      </c>
      <c r="H101" s="631" t="s">
        <v>97</v>
      </c>
      <c r="I101" s="12">
        <v>0.45694444444444443</v>
      </c>
      <c r="J101" s="13">
        <v>122.2</v>
      </c>
      <c r="K101" s="86">
        <v>24.120000457763673</v>
      </c>
      <c r="L101" s="13">
        <v>11.061999999999999</v>
      </c>
      <c r="M101" s="13">
        <v>0.78600000000000003</v>
      </c>
      <c r="N101" s="90" t="s">
        <v>50</v>
      </c>
      <c r="O101" s="14" t="s">
        <v>48</v>
      </c>
      <c r="P101" s="14">
        <v>5</v>
      </c>
      <c r="Q101" s="14">
        <v>5</v>
      </c>
      <c r="R101" s="14" t="s">
        <v>64</v>
      </c>
      <c r="S101" s="14" t="s">
        <v>50</v>
      </c>
      <c r="T101" s="34" t="s">
        <v>50</v>
      </c>
      <c r="U101" s="34" t="s">
        <v>50</v>
      </c>
      <c r="V101" s="33" t="s">
        <v>50</v>
      </c>
      <c r="W101" s="33" t="s">
        <v>50</v>
      </c>
      <c r="X101" s="33" t="s">
        <v>50</v>
      </c>
      <c r="Y101" s="5" t="s">
        <v>7698</v>
      </c>
    </row>
    <row r="102" spans="1:25" s="48" customFormat="1" x14ac:dyDescent="0.25">
      <c r="A102" s="36">
        <v>42947</v>
      </c>
      <c r="B102" s="92" t="str">
        <f t="shared" si="1"/>
        <v>Mon</v>
      </c>
      <c r="C102" s="631" t="s">
        <v>95</v>
      </c>
      <c r="D102" s="631">
        <v>38.096409999999999</v>
      </c>
      <c r="E102" s="631">
        <v>-121.63200000000001</v>
      </c>
      <c r="F102" s="27" t="s">
        <v>7699</v>
      </c>
      <c r="G102" s="631" t="s">
        <v>46</v>
      </c>
      <c r="H102" s="631" t="s">
        <v>97</v>
      </c>
      <c r="I102" s="12">
        <v>0.5229166666666667</v>
      </c>
      <c r="J102" s="13">
        <v>133.16</v>
      </c>
      <c r="K102" s="86">
        <v>24.240000152587889</v>
      </c>
      <c r="L102" s="13">
        <v>11.336</v>
      </c>
      <c r="M102" s="13">
        <v>0.84</v>
      </c>
      <c r="N102" s="90" t="s">
        <v>50</v>
      </c>
      <c r="O102" s="14" t="s">
        <v>48</v>
      </c>
      <c r="P102" s="14">
        <v>5</v>
      </c>
      <c r="Q102" s="14">
        <v>5</v>
      </c>
      <c r="R102" s="14" t="s">
        <v>64</v>
      </c>
      <c r="S102" s="14" t="s">
        <v>50</v>
      </c>
      <c r="T102" s="34" t="s">
        <v>50</v>
      </c>
      <c r="U102" s="34" t="s">
        <v>50</v>
      </c>
      <c r="V102" s="33" t="s">
        <v>50</v>
      </c>
      <c r="W102" s="33" t="s">
        <v>50</v>
      </c>
      <c r="X102" s="33" t="s">
        <v>50</v>
      </c>
      <c r="Y102" s="5"/>
    </row>
    <row r="103" spans="1:25" s="48" customFormat="1" x14ac:dyDescent="0.25">
      <c r="A103" s="36">
        <v>42947</v>
      </c>
      <c r="B103" s="92" t="str">
        <f t="shared" si="1"/>
        <v>Mon</v>
      </c>
      <c r="C103" s="631" t="s">
        <v>6849</v>
      </c>
      <c r="D103" s="631">
        <v>38.130180000000003</v>
      </c>
      <c r="E103" s="631">
        <v>-121.58165</v>
      </c>
      <c r="F103" s="27" t="s">
        <v>7700</v>
      </c>
      <c r="G103" s="631" t="s">
        <v>90</v>
      </c>
      <c r="H103" s="631" t="s">
        <v>6851</v>
      </c>
      <c r="I103" s="12">
        <v>0.36180555555555555</v>
      </c>
      <c r="J103" s="13">
        <v>114.075</v>
      </c>
      <c r="K103" s="86">
        <v>22.787499666213989</v>
      </c>
      <c r="L103" s="13">
        <v>8.0287500000000005</v>
      </c>
      <c r="M103" s="13">
        <v>1.0362499999999999</v>
      </c>
      <c r="N103" s="90" t="s">
        <v>50</v>
      </c>
      <c r="O103" s="14" t="s">
        <v>48</v>
      </c>
      <c r="P103" s="14">
        <v>8</v>
      </c>
      <c r="Q103" s="14">
        <v>10</v>
      </c>
      <c r="R103" s="14" t="s">
        <v>49</v>
      </c>
      <c r="S103" s="14" t="s">
        <v>50</v>
      </c>
      <c r="T103" s="34" t="s">
        <v>50</v>
      </c>
      <c r="U103" s="34" t="s">
        <v>50</v>
      </c>
      <c r="V103" s="33" t="s">
        <v>50</v>
      </c>
      <c r="W103" s="33" t="s">
        <v>50</v>
      </c>
      <c r="X103" s="33" t="s">
        <v>50</v>
      </c>
      <c r="Y103" s="5"/>
    </row>
    <row r="104" spans="1:25" s="48" customFormat="1" x14ac:dyDescent="0.25">
      <c r="A104" s="36">
        <v>42947</v>
      </c>
      <c r="B104" s="92" t="str">
        <f t="shared" si="1"/>
        <v>Mon</v>
      </c>
      <c r="C104" s="631" t="s">
        <v>6849</v>
      </c>
      <c r="D104" s="631">
        <v>38.287080000000003</v>
      </c>
      <c r="E104" s="631">
        <v>-121.55591</v>
      </c>
      <c r="F104" s="27" t="s">
        <v>7701</v>
      </c>
      <c r="G104" s="631" t="s">
        <v>90</v>
      </c>
      <c r="H104" s="631" t="s">
        <v>6851</v>
      </c>
      <c r="I104" s="12">
        <v>0.50347222222222221</v>
      </c>
      <c r="J104" s="13">
        <v>112.375</v>
      </c>
      <c r="K104" s="86">
        <v>22.550000190734863</v>
      </c>
      <c r="L104" s="13">
        <v>11.515000000000001</v>
      </c>
      <c r="M104" s="13">
        <v>0.90375000000000005</v>
      </c>
      <c r="N104" s="90" t="s">
        <v>50</v>
      </c>
      <c r="O104" s="14" t="s">
        <v>48</v>
      </c>
      <c r="P104" s="14">
        <v>8</v>
      </c>
      <c r="Q104" s="14">
        <v>10</v>
      </c>
      <c r="R104" s="14" t="s">
        <v>49</v>
      </c>
      <c r="S104" s="14" t="s">
        <v>50</v>
      </c>
      <c r="T104" s="34" t="s">
        <v>50</v>
      </c>
      <c r="U104" s="34" t="s">
        <v>50</v>
      </c>
      <c r="V104" s="33" t="s">
        <v>50</v>
      </c>
      <c r="W104" s="33" t="s">
        <v>50</v>
      </c>
      <c r="X104" s="33" t="s">
        <v>50</v>
      </c>
      <c r="Y104" s="5"/>
    </row>
    <row r="105" spans="1:25" s="48" customFormat="1" x14ac:dyDescent="0.25">
      <c r="A105" s="36">
        <v>42947</v>
      </c>
      <c r="B105" s="92" t="str">
        <f t="shared" si="1"/>
        <v>Mon</v>
      </c>
      <c r="C105" s="631" t="s">
        <v>118</v>
      </c>
      <c r="D105" s="631">
        <v>38.06156</v>
      </c>
      <c r="E105" s="631">
        <v>-122.32258</v>
      </c>
      <c r="F105" s="27" t="s">
        <v>7702</v>
      </c>
      <c r="G105" s="631" t="s">
        <v>80</v>
      </c>
      <c r="H105" s="631" t="s">
        <v>123</v>
      </c>
      <c r="I105" s="12">
        <v>0.39861111111111108</v>
      </c>
      <c r="J105" s="13">
        <v>26099.5</v>
      </c>
      <c r="K105" s="86">
        <v>19.862500190734863</v>
      </c>
      <c r="L105" s="13">
        <v>10.487500000000001</v>
      </c>
      <c r="M105" s="13">
        <v>0.83750000000000002</v>
      </c>
      <c r="N105" s="90" t="s">
        <v>50</v>
      </c>
      <c r="O105" s="14" t="s">
        <v>48</v>
      </c>
      <c r="P105" s="14">
        <v>8</v>
      </c>
      <c r="Q105" s="14">
        <v>10</v>
      </c>
      <c r="R105" s="14" t="s">
        <v>49</v>
      </c>
      <c r="S105" s="14" t="s">
        <v>50</v>
      </c>
      <c r="T105" s="34" t="s">
        <v>50</v>
      </c>
      <c r="U105" s="34" t="s">
        <v>50</v>
      </c>
      <c r="V105" s="33" t="s">
        <v>50</v>
      </c>
      <c r="W105" s="33" t="s">
        <v>50</v>
      </c>
      <c r="X105" s="33" t="s">
        <v>50</v>
      </c>
      <c r="Y105" s="5"/>
    </row>
    <row r="106" spans="1:25" s="48" customFormat="1" x14ac:dyDescent="0.25">
      <c r="A106" s="36">
        <v>42948</v>
      </c>
      <c r="B106" s="92" t="str">
        <f t="shared" si="1"/>
        <v>Tue</v>
      </c>
      <c r="C106" s="631" t="s">
        <v>7570</v>
      </c>
      <c r="D106" s="631">
        <v>38.060029999999998</v>
      </c>
      <c r="E106" s="631">
        <v>-122.03454000000001</v>
      </c>
      <c r="F106" s="27" t="s">
        <v>7703</v>
      </c>
      <c r="G106" s="631" t="s">
        <v>27</v>
      </c>
      <c r="H106" s="631" t="s">
        <v>86</v>
      </c>
      <c r="I106" s="12">
        <v>0.3659722222222222</v>
      </c>
      <c r="J106" s="13">
        <v>6313.5</v>
      </c>
      <c r="K106" s="86">
        <v>22.25</v>
      </c>
      <c r="L106" s="13">
        <v>18.649999999999999</v>
      </c>
      <c r="M106" s="13">
        <v>0.56999999999999995</v>
      </c>
      <c r="N106" s="90" t="s">
        <v>50</v>
      </c>
      <c r="O106" s="14" t="s">
        <v>48</v>
      </c>
      <c r="P106" s="14">
        <v>2</v>
      </c>
      <c r="Q106" s="14">
        <v>5</v>
      </c>
      <c r="R106" s="14" t="s">
        <v>64</v>
      </c>
      <c r="S106" s="14" t="s">
        <v>323</v>
      </c>
      <c r="T106" s="14">
        <v>1</v>
      </c>
      <c r="U106" s="14">
        <v>52</v>
      </c>
      <c r="V106" s="32" t="s">
        <v>66</v>
      </c>
      <c r="W106" s="32" t="s">
        <v>50</v>
      </c>
      <c r="X106" s="14" t="s">
        <v>50</v>
      </c>
      <c r="Y106" s="5"/>
    </row>
    <row r="107" spans="1:25" s="48" customFormat="1" x14ac:dyDescent="0.25">
      <c r="A107" s="36">
        <v>42948</v>
      </c>
      <c r="B107" s="92" t="str">
        <f t="shared" si="1"/>
        <v>Tue</v>
      </c>
      <c r="C107" s="631" t="s">
        <v>7570</v>
      </c>
      <c r="D107" s="631">
        <v>38.064799999999998</v>
      </c>
      <c r="E107" s="631">
        <v>-121.97307000000001</v>
      </c>
      <c r="F107" s="27" t="s">
        <v>7704</v>
      </c>
      <c r="G107" s="631" t="s">
        <v>27</v>
      </c>
      <c r="H107" s="631" t="s">
        <v>86</v>
      </c>
      <c r="I107" s="12">
        <v>0.3972222222222222</v>
      </c>
      <c r="J107" s="13">
        <v>5099.3999999999996</v>
      </c>
      <c r="K107" s="86">
        <v>22.039999771118165</v>
      </c>
      <c r="L107" s="13">
        <v>26.54</v>
      </c>
      <c r="M107" s="13">
        <v>0.47199999999999998</v>
      </c>
      <c r="N107" s="90" t="s">
        <v>50</v>
      </c>
      <c r="O107" s="14" t="s">
        <v>48</v>
      </c>
      <c r="P107" s="14">
        <v>5</v>
      </c>
      <c r="Q107" s="14">
        <v>5</v>
      </c>
      <c r="R107" s="14" t="s">
        <v>64</v>
      </c>
      <c r="S107" s="14" t="s">
        <v>50</v>
      </c>
      <c r="T107" s="34" t="s">
        <v>50</v>
      </c>
      <c r="U107" s="34" t="s">
        <v>50</v>
      </c>
      <c r="V107" s="33" t="s">
        <v>50</v>
      </c>
      <c r="W107" s="33" t="s">
        <v>50</v>
      </c>
      <c r="X107" s="33" t="s">
        <v>50</v>
      </c>
      <c r="Y107" s="5"/>
    </row>
    <row r="108" spans="1:25" s="149" customFormat="1" x14ac:dyDescent="0.25">
      <c r="A108" s="160">
        <v>42948</v>
      </c>
      <c r="B108" s="148" t="str">
        <f t="shared" si="1"/>
        <v>Tue</v>
      </c>
      <c r="C108" s="149" t="s">
        <v>106</v>
      </c>
      <c r="D108" s="149">
        <v>38.396729999999998</v>
      </c>
      <c r="E108" s="149">
        <v>-121.62317</v>
      </c>
      <c r="F108" s="149" t="s">
        <v>7705</v>
      </c>
      <c r="G108" s="149" t="s">
        <v>90</v>
      </c>
      <c r="H108" s="149" t="s">
        <v>7577</v>
      </c>
      <c r="I108" s="165">
        <v>0.34861111111111115</v>
      </c>
      <c r="J108" s="163" t="s">
        <v>50</v>
      </c>
      <c r="K108" s="163" t="s">
        <v>50</v>
      </c>
      <c r="L108" s="163" t="s">
        <v>50</v>
      </c>
      <c r="M108" s="163" t="s">
        <v>50</v>
      </c>
      <c r="N108" s="177" t="s">
        <v>50</v>
      </c>
      <c r="O108" s="161" t="s">
        <v>48</v>
      </c>
      <c r="P108" s="161">
        <v>0</v>
      </c>
      <c r="Q108" s="161" t="s">
        <v>50</v>
      </c>
      <c r="R108" s="161" t="s">
        <v>50</v>
      </c>
      <c r="S108" s="181" t="s">
        <v>50</v>
      </c>
      <c r="T108" s="157" t="s">
        <v>50</v>
      </c>
      <c r="U108" s="157" t="s">
        <v>50</v>
      </c>
      <c r="V108" s="181" t="s">
        <v>50</v>
      </c>
      <c r="W108" s="181" t="s">
        <v>50</v>
      </c>
      <c r="X108" s="181" t="s">
        <v>50</v>
      </c>
      <c r="Y108" s="152" t="s">
        <v>7706</v>
      </c>
    </row>
    <row r="109" spans="1:25" s="48" customFormat="1" x14ac:dyDescent="0.25">
      <c r="A109" s="36">
        <v>42948</v>
      </c>
      <c r="B109" s="92" t="str">
        <f t="shared" si="1"/>
        <v>Tue</v>
      </c>
      <c r="C109" s="631" t="s">
        <v>106</v>
      </c>
      <c r="D109" s="16">
        <v>38.401330000000002</v>
      </c>
      <c r="E109" s="631">
        <v>-121.61668</v>
      </c>
      <c r="F109" s="27" t="s">
        <v>7707</v>
      </c>
      <c r="G109" s="631" t="s">
        <v>90</v>
      </c>
      <c r="H109" s="631" t="s">
        <v>7577</v>
      </c>
      <c r="I109" s="12">
        <v>0.35625000000000001</v>
      </c>
      <c r="J109" s="13">
        <v>554.5</v>
      </c>
      <c r="K109" s="86">
        <v>24.050000190734863</v>
      </c>
      <c r="L109" s="13">
        <v>17.399999999999999</v>
      </c>
      <c r="M109" s="13">
        <v>0.47</v>
      </c>
      <c r="N109" s="90" t="s">
        <v>50</v>
      </c>
      <c r="O109" s="14" t="s">
        <v>48</v>
      </c>
      <c r="P109" s="14">
        <v>2</v>
      </c>
      <c r="Q109" s="14">
        <v>5</v>
      </c>
      <c r="R109" s="14" t="s">
        <v>64</v>
      </c>
      <c r="S109" s="14" t="s">
        <v>323</v>
      </c>
      <c r="T109" s="15">
        <v>2</v>
      </c>
      <c r="U109" s="15" t="s">
        <v>7708</v>
      </c>
      <c r="V109" s="14" t="s">
        <v>66</v>
      </c>
      <c r="W109" s="14" t="s">
        <v>50</v>
      </c>
      <c r="X109" s="14" t="s">
        <v>50</v>
      </c>
      <c r="Y109" s="5" t="s">
        <v>7709</v>
      </c>
    </row>
    <row r="110" spans="1:25" s="48" customFormat="1" x14ac:dyDescent="0.25">
      <c r="A110" s="36">
        <v>42948</v>
      </c>
      <c r="B110" s="92" t="str">
        <f t="shared" si="1"/>
        <v>Tue</v>
      </c>
      <c r="C110" s="631" t="s">
        <v>106</v>
      </c>
      <c r="D110" s="631">
        <v>38.512740000000001</v>
      </c>
      <c r="E110" s="631">
        <v>-121.5842</v>
      </c>
      <c r="F110" s="27" t="s">
        <v>7710</v>
      </c>
      <c r="G110" s="631" t="s">
        <v>90</v>
      </c>
      <c r="H110" s="631" t="s">
        <v>7577</v>
      </c>
      <c r="I110" s="12">
        <v>0.41111111111111115</v>
      </c>
      <c r="J110" s="13">
        <v>797.8</v>
      </c>
      <c r="K110" s="86">
        <v>25.640000152587891</v>
      </c>
      <c r="L110" s="13">
        <v>9.6959999999999997</v>
      </c>
      <c r="M110" s="13">
        <v>0.84199999999999997</v>
      </c>
      <c r="N110" s="90" t="s">
        <v>50</v>
      </c>
      <c r="O110" s="14" t="s">
        <v>48</v>
      </c>
      <c r="P110" s="14">
        <v>5</v>
      </c>
      <c r="Q110" s="14">
        <v>5</v>
      </c>
      <c r="R110" s="14" t="s">
        <v>64</v>
      </c>
      <c r="S110" s="14" t="s">
        <v>50</v>
      </c>
      <c r="T110" s="34" t="s">
        <v>50</v>
      </c>
      <c r="U110" s="34" t="s">
        <v>50</v>
      </c>
      <c r="V110" s="33" t="s">
        <v>50</v>
      </c>
      <c r="W110" s="33" t="s">
        <v>50</v>
      </c>
      <c r="X110" s="33" t="s">
        <v>50</v>
      </c>
      <c r="Y110" s="5" t="s">
        <v>7711</v>
      </c>
    </row>
    <row r="111" spans="1:25" s="48" customFormat="1" x14ac:dyDescent="0.25">
      <c r="A111" s="36">
        <v>42948</v>
      </c>
      <c r="B111" s="92" t="str">
        <f t="shared" si="1"/>
        <v>Tue</v>
      </c>
      <c r="C111" s="631" t="s">
        <v>118</v>
      </c>
      <c r="D111" s="631">
        <v>38.044339999999998</v>
      </c>
      <c r="E111" s="631">
        <v>-122.28738</v>
      </c>
      <c r="F111" s="27" t="s">
        <v>7712</v>
      </c>
      <c r="G111" s="631" t="s">
        <v>80</v>
      </c>
      <c r="H111" s="631" t="s">
        <v>123</v>
      </c>
      <c r="I111" s="12">
        <v>0.4465277777777778</v>
      </c>
      <c r="J111" s="13">
        <v>26562.38</v>
      </c>
      <c r="K111" s="86">
        <v>18.000000044703484</v>
      </c>
      <c r="L111" s="13">
        <v>7.5650000000000004</v>
      </c>
      <c r="M111" s="13">
        <v>0.96875</v>
      </c>
      <c r="N111" s="90" t="s">
        <v>50</v>
      </c>
      <c r="O111" s="14" t="s">
        <v>48</v>
      </c>
      <c r="P111" s="14">
        <v>8</v>
      </c>
      <c r="Q111" s="14">
        <v>10</v>
      </c>
      <c r="R111" s="14" t="s">
        <v>64</v>
      </c>
      <c r="S111" s="14" t="s">
        <v>50</v>
      </c>
      <c r="T111" s="34" t="s">
        <v>50</v>
      </c>
      <c r="U111" s="34" t="s">
        <v>50</v>
      </c>
      <c r="V111" s="33" t="s">
        <v>50</v>
      </c>
      <c r="W111" s="33" t="s">
        <v>50</v>
      </c>
      <c r="X111" s="33" t="s">
        <v>50</v>
      </c>
      <c r="Y111" s="5"/>
    </row>
    <row r="112" spans="1:25" s="48" customFormat="1" x14ac:dyDescent="0.25">
      <c r="A112" s="36">
        <v>42948</v>
      </c>
      <c r="B112" s="92" t="str">
        <f t="shared" si="1"/>
        <v>Tue</v>
      </c>
      <c r="C112" s="631" t="s">
        <v>118</v>
      </c>
      <c r="D112" s="631">
        <v>38.046950000000002</v>
      </c>
      <c r="E112" s="631">
        <v>-122.27388999999999</v>
      </c>
      <c r="F112" s="27" t="s">
        <v>7713</v>
      </c>
      <c r="G112" s="631" t="s">
        <v>80</v>
      </c>
      <c r="H112" s="631" t="s">
        <v>123</v>
      </c>
      <c r="I112" s="12">
        <v>0.31527777777777777</v>
      </c>
      <c r="J112" s="13">
        <v>26387.75</v>
      </c>
      <c r="K112" s="86">
        <v>19.562500238418579</v>
      </c>
      <c r="L112" s="13">
        <v>14.175000000000001</v>
      </c>
      <c r="M112" s="13">
        <v>0.68500000000000005</v>
      </c>
      <c r="N112" s="90" t="s">
        <v>50</v>
      </c>
      <c r="O112" s="14" t="s">
        <v>48</v>
      </c>
      <c r="P112" s="14">
        <v>8</v>
      </c>
      <c r="Q112" s="14">
        <v>10</v>
      </c>
      <c r="R112" s="14" t="s">
        <v>64</v>
      </c>
      <c r="S112" s="14" t="s">
        <v>50</v>
      </c>
      <c r="T112" s="34" t="s">
        <v>50</v>
      </c>
      <c r="U112" s="34" t="s">
        <v>50</v>
      </c>
      <c r="V112" s="33" t="s">
        <v>50</v>
      </c>
      <c r="W112" s="33" t="s">
        <v>50</v>
      </c>
      <c r="X112" s="33" t="s">
        <v>50</v>
      </c>
      <c r="Y112" s="5"/>
    </row>
    <row r="113" spans="1:25" s="48" customFormat="1" x14ac:dyDescent="0.25">
      <c r="A113" s="36">
        <v>42948</v>
      </c>
      <c r="B113" s="92" t="str">
        <f t="shared" si="1"/>
        <v>Tue</v>
      </c>
      <c r="C113" s="631" t="s">
        <v>118</v>
      </c>
      <c r="D113" s="631">
        <v>38.05979</v>
      </c>
      <c r="E113" s="631">
        <v>-122.31892000000001</v>
      </c>
      <c r="F113" s="27" t="s">
        <v>7714</v>
      </c>
      <c r="G113" s="631" t="s">
        <v>80</v>
      </c>
      <c r="H113" s="631" t="s">
        <v>123</v>
      </c>
      <c r="I113" s="12">
        <v>0.57777777777777783</v>
      </c>
      <c r="J113" s="13">
        <v>26801.13</v>
      </c>
      <c r="K113" s="86">
        <v>20.737499475479126</v>
      </c>
      <c r="L113" s="13">
        <v>13.605</v>
      </c>
      <c r="M113" s="13">
        <v>0.65749999999999997</v>
      </c>
      <c r="N113" s="90" t="s">
        <v>50</v>
      </c>
      <c r="O113" s="14" t="s">
        <v>48</v>
      </c>
      <c r="P113" s="14">
        <v>8</v>
      </c>
      <c r="Q113" s="14">
        <v>10</v>
      </c>
      <c r="R113" s="14" t="s">
        <v>49</v>
      </c>
      <c r="S113" s="14" t="s">
        <v>50</v>
      </c>
      <c r="T113" s="34" t="s">
        <v>50</v>
      </c>
      <c r="U113" s="34" t="s">
        <v>50</v>
      </c>
      <c r="V113" s="33" t="s">
        <v>50</v>
      </c>
      <c r="W113" s="33" t="s">
        <v>50</v>
      </c>
      <c r="X113" s="33" t="s">
        <v>50</v>
      </c>
      <c r="Y113" s="5"/>
    </row>
    <row r="114" spans="1:25" s="48" customFormat="1" x14ac:dyDescent="0.25">
      <c r="A114" s="36">
        <v>42949</v>
      </c>
      <c r="B114" s="92" t="str">
        <f t="shared" si="1"/>
        <v>Wed</v>
      </c>
      <c r="C114" s="631" t="s">
        <v>845</v>
      </c>
      <c r="D114" s="631">
        <v>38.286450000000002</v>
      </c>
      <c r="E114" s="631">
        <v>-121.69252</v>
      </c>
      <c r="F114" s="27" t="s">
        <v>7715</v>
      </c>
      <c r="G114" s="631" t="s">
        <v>90</v>
      </c>
      <c r="H114" s="631" t="s">
        <v>7562</v>
      </c>
      <c r="I114" s="12">
        <v>0.32500000000000001</v>
      </c>
      <c r="J114" s="13">
        <v>216.1</v>
      </c>
      <c r="K114" s="86">
        <v>23.5</v>
      </c>
      <c r="L114" s="13">
        <v>8.5760000000000005</v>
      </c>
      <c r="M114" s="13">
        <v>0.874</v>
      </c>
      <c r="N114" s="90" t="s">
        <v>50</v>
      </c>
      <c r="O114" s="14" t="s">
        <v>48</v>
      </c>
      <c r="P114" s="14">
        <v>5</v>
      </c>
      <c r="Q114" s="14">
        <v>5</v>
      </c>
      <c r="R114" s="14" t="s">
        <v>49</v>
      </c>
      <c r="S114" s="14" t="s">
        <v>50</v>
      </c>
      <c r="T114" s="34" t="s">
        <v>50</v>
      </c>
      <c r="U114" s="34" t="s">
        <v>50</v>
      </c>
      <c r="V114" s="33" t="s">
        <v>50</v>
      </c>
      <c r="W114" s="33" t="s">
        <v>50</v>
      </c>
      <c r="X114" s="33" t="s">
        <v>50</v>
      </c>
      <c r="Y114" s="5" t="s">
        <v>7711</v>
      </c>
    </row>
    <row r="115" spans="1:25" s="48" customFormat="1" x14ac:dyDescent="0.25">
      <c r="A115" s="36">
        <v>42949</v>
      </c>
      <c r="B115" s="92" t="str">
        <f t="shared" si="1"/>
        <v>Wed</v>
      </c>
      <c r="C115" s="631" t="s">
        <v>845</v>
      </c>
      <c r="D115" s="631">
        <v>38.268720000000002</v>
      </c>
      <c r="E115" s="631">
        <v>-121.66873</v>
      </c>
      <c r="F115" s="27" t="s">
        <v>7716</v>
      </c>
      <c r="G115" s="631" t="s">
        <v>90</v>
      </c>
      <c r="H115" s="631" t="s">
        <v>7562</v>
      </c>
      <c r="I115" s="12">
        <v>0.3972222222222222</v>
      </c>
      <c r="J115" s="13">
        <v>178.28</v>
      </c>
      <c r="K115" s="86">
        <v>23.45999984741211</v>
      </c>
      <c r="L115" s="13">
        <v>14.7</v>
      </c>
      <c r="M115" s="13">
        <v>0.62</v>
      </c>
      <c r="N115" s="90" t="s">
        <v>50</v>
      </c>
      <c r="O115" s="14" t="s">
        <v>48</v>
      </c>
      <c r="P115" s="14">
        <v>5</v>
      </c>
      <c r="Q115" s="14">
        <v>5</v>
      </c>
      <c r="R115" s="14" t="s">
        <v>49</v>
      </c>
      <c r="S115" s="14" t="s">
        <v>50</v>
      </c>
      <c r="T115" s="34" t="s">
        <v>50</v>
      </c>
      <c r="U115" s="34" t="s">
        <v>50</v>
      </c>
      <c r="V115" s="33" t="s">
        <v>50</v>
      </c>
      <c r="W115" s="33" t="s">
        <v>50</v>
      </c>
      <c r="X115" s="33" t="s">
        <v>50</v>
      </c>
      <c r="Y115" s="5" t="s">
        <v>7711</v>
      </c>
    </row>
    <row r="116" spans="1:25" s="48" customFormat="1" x14ac:dyDescent="0.25">
      <c r="A116" s="36">
        <v>42949</v>
      </c>
      <c r="B116" s="92" t="str">
        <f t="shared" si="1"/>
        <v>Wed</v>
      </c>
      <c r="C116" s="631" t="s">
        <v>95</v>
      </c>
      <c r="D116" s="631">
        <v>38.047409999999999</v>
      </c>
      <c r="E116" s="631">
        <v>-121.78585</v>
      </c>
      <c r="F116" s="27" t="s">
        <v>7717</v>
      </c>
      <c r="G116" s="631" t="s">
        <v>27</v>
      </c>
      <c r="H116" s="631" t="s">
        <v>95</v>
      </c>
      <c r="I116" s="12">
        <v>0.33819444444444446</v>
      </c>
      <c r="J116" s="13">
        <v>456.94</v>
      </c>
      <c r="K116" s="86">
        <v>22.839999389648437</v>
      </c>
      <c r="L116" s="13">
        <v>15</v>
      </c>
      <c r="M116" s="13">
        <v>0.83199999999999996</v>
      </c>
      <c r="N116" s="90" t="s">
        <v>50</v>
      </c>
      <c r="O116" s="14" t="s">
        <v>48</v>
      </c>
      <c r="P116" s="14">
        <v>5</v>
      </c>
      <c r="Q116" s="14">
        <v>5</v>
      </c>
      <c r="R116" s="14" t="s">
        <v>64</v>
      </c>
      <c r="S116" s="14" t="s">
        <v>50</v>
      </c>
      <c r="T116" s="34" t="s">
        <v>50</v>
      </c>
      <c r="U116" s="34" t="s">
        <v>50</v>
      </c>
      <c r="V116" s="33" t="s">
        <v>50</v>
      </c>
      <c r="W116" s="33" t="s">
        <v>50</v>
      </c>
      <c r="X116" s="33" t="s">
        <v>50</v>
      </c>
      <c r="Y116" s="5"/>
    </row>
    <row r="117" spans="1:25" s="48" customFormat="1" x14ac:dyDescent="0.25">
      <c r="A117" s="36">
        <v>42949</v>
      </c>
      <c r="B117" s="92" t="str">
        <f t="shared" si="1"/>
        <v>Wed</v>
      </c>
      <c r="C117" s="631" t="s">
        <v>95</v>
      </c>
      <c r="D117" s="631">
        <v>38.025460000000002</v>
      </c>
      <c r="E117" s="631">
        <v>-121.72145999999999</v>
      </c>
      <c r="F117" s="27" t="s">
        <v>7718</v>
      </c>
      <c r="G117" s="631" t="s">
        <v>27</v>
      </c>
      <c r="H117" s="631" t="s">
        <v>95</v>
      </c>
      <c r="I117" s="12">
        <v>0.41041666666666665</v>
      </c>
      <c r="J117" s="13">
        <v>276.8</v>
      </c>
      <c r="K117" s="86">
        <v>23.259999847412111</v>
      </c>
      <c r="L117" s="13">
        <v>10.19</v>
      </c>
      <c r="M117" s="13">
        <v>1.052</v>
      </c>
      <c r="N117" s="90" t="s">
        <v>50</v>
      </c>
      <c r="O117" s="14" t="s">
        <v>48</v>
      </c>
      <c r="P117" s="14">
        <v>5</v>
      </c>
      <c r="Q117" s="14">
        <v>5</v>
      </c>
      <c r="R117" s="14" t="s">
        <v>64</v>
      </c>
      <c r="S117" s="14" t="s">
        <v>50</v>
      </c>
      <c r="T117" s="34" t="s">
        <v>50</v>
      </c>
      <c r="U117" s="34" t="s">
        <v>50</v>
      </c>
      <c r="V117" s="33" t="s">
        <v>50</v>
      </c>
      <c r="W117" s="33" t="s">
        <v>50</v>
      </c>
      <c r="X117" s="33" t="s">
        <v>50</v>
      </c>
      <c r="Y117" s="5"/>
    </row>
    <row r="118" spans="1:25" s="48" customFormat="1" x14ac:dyDescent="0.25">
      <c r="A118" s="36">
        <v>42949</v>
      </c>
      <c r="B118" s="92" t="str">
        <f t="shared" si="1"/>
        <v>Wed</v>
      </c>
      <c r="C118" s="631" t="s">
        <v>118</v>
      </c>
      <c r="D118" s="631">
        <v>38.067839999999997</v>
      </c>
      <c r="E118" s="631">
        <v>-122.08344</v>
      </c>
      <c r="F118" s="27" t="s">
        <v>7719</v>
      </c>
      <c r="G118" s="631" t="s">
        <v>80</v>
      </c>
      <c r="H118" s="631" t="s">
        <v>81</v>
      </c>
      <c r="I118" s="12">
        <v>0.31527777777777777</v>
      </c>
      <c r="J118" s="13">
        <v>12436</v>
      </c>
      <c r="K118" s="86">
        <v>20.899999618530273</v>
      </c>
      <c r="L118" s="13">
        <v>23.45</v>
      </c>
      <c r="M118" s="13">
        <v>0.53500000000000003</v>
      </c>
      <c r="N118" s="90" t="s">
        <v>50</v>
      </c>
      <c r="O118" s="14" t="s">
        <v>48</v>
      </c>
      <c r="P118" s="14">
        <v>2</v>
      </c>
      <c r="Q118" s="14">
        <v>10</v>
      </c>
      <c r="R118" s="14" t="s">
        <v>49</v>
      </c>
      <c r="S118" s="14" t="s">
        <v>323</v>
      </c>
      <c r="T118" s="18">
        <v>4</v>
      </c>
      <c r="U118" s="18" t="s">
        <v>7720</v>
      </c>
      <c r="V118" s="14" t="s">
        <v>66</v>
      </c>
      <c r="W118" s="14" t="s">
        <v>50</v>
      </c>
      <c r="X118" s="14" t="s">
        <v>50</v>
      </c>
      <c r="Y118" s="5" t="s">
        <v>7721</v>
      </c>
    </row>
    <row r="119" spans="1:25" s="48" customFormat="1" x14ac:dyDescent="0.25">
      <c r="A119" s="36">
        <v>42949</v>
      </c>
      <c r="B119" s="92" t="str">
        <f t="shared" si="1"/>
        <v>Wed</v>
      </c>
      <c r="C119" s="631" t="s">
        <v>118</v>
      </c>
      <c r="D119" s="631">
        <v>38.039909999999999</v>
      </c>
      <c r="E119" s="631">
        <v>-122.14946</v>
      </c>
      <c r="F119" s="27" t="s">
        <v>7722</v>
      </c>
      <c r="G119" s="631" t="s">
        <v>80</v>
      </c>
      <c r="H119" s="631" t="s">
        <v>120</v>
      </c>
      <c r="I119" s="12">
        <v>0.35972222222222222</v>
      </c>
      <c r="J119" s="13">
        <v>14424</v>
      </c>
      <c r="K119" s="86">
        <v>20.799999237060547</v>
      </c>
      <c r="L119" s="13">
        <v>38.85</v>
      </c>
      <c r="M119" s="13">
        <v>0.45500000000000002</v>
      </c>
      <c r="N119" s="90" t="s">
        <v>50</v>
      </c>
      <c r="O119" s="14" t="s">
        <v>48</v>
      </c>
      <c r="P119" s="14">
        <v>2</v>
      </c>
      <c r="Q119" s="14">
        <v>10</v>
      </c>
      <c r="R119" s="14" t="s">
        <v>64</v>
      </c>
      <c r="S119" s="14" t="s">
        <v>323</v>
      </c>
      <c r="T119" s="18">
        <v>4</v>
      </c>
      <c r="U119" s="18" t="s">
        <v>5215</v>
      </c>
      <c r="V119" s="14" t="s">
        <v>66</v>
      </c>
      <c r="W119" s="14" t="s">
        <v>50</v>
      </c>
      <c r="X119" s="14" t="s">
        <v>50</v>
      </c>
      <c r="Y119" s="5" t="s">
        <v>7658</v>
      </c>
    </row>
    <row r="120" spans="1:25" s="48" customFormat="1" x14ac:dyDescent="0.25">
      <c r="A120" s="36">
        <v>42949</v>
      </c>
      <c r="B120" s="92" t="str">
        <f t="shared" si="1"/>
        <v>Wed</v>
      </c>
      <c r="C120" s="631" t="s">
        <v>118</v>
      </c>
      <c r="D120" s="631">
        <v>38.110199999999999</v>
      </c>
      <c r="E120" s="631">
        <v>-122.27307</v>
      </c>
      <c r="F120" s="27" t="s">
        <v>7723</v>
      </c>
      <c r="G120" s="631" t="s">
        <v>80</v>
      </c>
      <c r="H120" s="631" t="s">
        <v>191</v>
      </c>
      <c r="I120" s="12">
        <v>0.42430555555555555</v>
      </c>
      <c r="J120" s="13">
        <v>21501</v>
      </c>
      <c r="K120" s="86">
        <v>20.562500238418579</v>
      </c>
      <c r="L120" s="13">
        <v>24.875</v>
      </c>
      <c r="M120" s="13">
        <v>0.52749999999999997</v>
      </c>
      <c r="N120" s="90" t="s">
        <v>50</v>
      </c>
      <c r="O120" s="14" t="s">
        <v>48</v>
      </c>
      <c r="P120" s="14">
        <v>8</v>
      </c>
      <c r="Q120" s="14">
        <v>10</v>
      </c>
      <c r="R120" s="14" t="s">
        <v>64</v>
      </c>
      <c r="S120" s="14" t="s">
        <v>50</v>
      </c>
      <c r="T120" s="34" t="s">
        <v>50</v>
      </c>
      <c r="U120" s="34" t="s">
        <v>50</v>
      </c>
      <c r="V120" s="33" t="s">
        <v>50</v>
      </c>
      <c r="W120" s="33" t="s">
        <v>50</v>
      </c>
      <c r="X120" s="33" t="s">
        <v>50</v>
      </c>
      <c r="Y120" s="5"/>
    </row>
    <row r="121" spans="1:25" s="48" customFormat="1" x14ac:dyDescent="0.25">
      <c r="A121" s="36">
        <v>42950</v>
      </c>
      <c r="B121" s="92" t="str">
        <f t="shared" si="1"/>
        <v>Thu</v>
      </c>
      <c r="C121" s="631" t="s">
        <v>88</v>
      </c>
      <c r="D121" s="631">
        <v>38.050730000000001</v>
      </c>
      <c r="E121" s="631">
        <v>-121.87784000000001</v>
      </c>
      <c r="F121" s="27" t="s">
        <v>7724</v>
      </c>
      <c r="G121" s="27" t="s">
        <v>27</v>
      </c>
      <c r="H121" s="631" t="s">
        <v>25</v>
      </c>
      <c r="I121" s="12">
        <v>0.32708333333333334</v>
      </c>
      <c r="J121" s="13">
        <f>AVERAGE(2070,2286)</f>
        <v>2178</v>
      </c>
      <c r="K121" s="86">
        <v>22.449999809265137</v>
      </c>
      <c r="L121" s="13">
        <f>AVERAGE(26.9,24.1)</f>
        <v>25.5</v>
      </c>
      <c r="M121" s="13">
        <f>AVERAGE(0.45,0.45)</f>
        <v>0.45</v>
      </c>
      <c r="N121" s="90" t="s">
        <v>50</v>
      </c>
      <c r="O121" s="14" t="s">
        <v>48</v>
      </c>
      <c r="P121" s="14">
        <v>2</v>
      </c>
      <c r="Q121" s="14">
        <v>5</v>
      </c>
      <c r="R121" s="14" t="s">
        <v>64</v>
      </c>
      <c r="S121" s="14" t="s">
        <v>323</v>
      </c>
      <c r="T121" s="15">
        <v>1</v>
      </c>
      <c r="U121" s="15">
        <v>52</v>
      </c>
      <c r="V121" s="14" t="s">
        <v>66</v>
      </c>
      <c r="W121" s="14" t="s">
        <v>50</v>
      </c>
      <c r="X121" s="14" t="s">
        <v>50</v>
      </c>
      <c r="Y121" s="5"/>
    </row>
    <row r="122" spans="1:25" s="48" customFormat="1" x14ac:dyDescent="0.25">
      <c r="A122" s="36">
        <v>42950</v>
      </c>
      <c r="B122" s="92" t="str">
        <f t="shared" si="1"/>
        <v>Thu</v>
      </c>
      <c r="C122" s="631" t="s">
        <v>88</v>
      </c>
      <c r="D122" s="631">
        <v>38.032910000000001</v>
      </c>
      <c r="E122" s="631">
        <v>-121.76524000000001</v>
      </c>
      <c r="F122" s="27" t="s">
        <v>7725</v>
      </c>
      <c r="G122" s="27" t="s">
        <v>27</v>
      </c>
      <c r="H122" s="631" t="s">
        <v>25</v>
      </c>
      <c r="I122" s="12">
        <v>0.36874999999999997</v>
      </c>
      <c r="J122" s="13">
        <f>AVERAGE(459,488,410.8,423.2,364.9)</f>
        <v>429.18</v>
      </c>
      <c r="K122" s="86">
        <v>23.220000076293946</v>
      </c>
      <c r="L122" s="13">
        <f>AVERAGE(30,26.4,24.1,21.5,19.9)</f>
        <v>24.380000000000003</v>
      </c>
      <c r="M122" s="13">
        <f>AVERAGE(0.5,0.54,0.5,0.53,0.61)</f>
        <v>0.53600000000000003</v>
      </c>
      <c r="N122" s="90" t="s">
        <v>50</v>
      </c>
      <c r="O122" s="14" t="s">
        <v>48</v>
      </c>
      <c r="P122" s="14">
        <v>5</v>
      </c>
      <c r="Q122" s="14">
        <v>5</v>
      </c>
      <c r="R122" s="14" t="s">
        <v>49</v>
      </c>
      <c r="S122" s="14" t="s">
        <v>50</v>
      </c>
      <c r="T122" s="18" t="s">
        <v>50</v>
      </c>
      <c r="U122" s="18" t="s">
        <v>50</v>
      </c>
      <c r="V122" s="14" t="s">
        <v>50</v>
      </c>
      <c r="W122" s="14" t="s">
        <v>50</v>
      </c>
      <c r="X122" s="14" t="s">
        <v>50</v>
      </c>
      <c r="Y122" s="5"/>
    </row>
    <row r="123" spans="1:25" s="48" customFormat="1" x14ac:dyDescent="0.25">
      <c r="A123" s="36">
        <v>42950</v>
      </c>
      <c r="B123" s="92" t="str">
        <f t="shared" si="1"/>
        <v>Thu</v>
      </c>
      <c r="C123" s="631" t="s">
        <v>7570</v>
      </c>
      <c r="D123" s="631">
        <v>38.10127</v>
      </c>
      <c r="E123" s="631">
        <v>-122.04351</v>
      </c>
      <c r="F123" s="27" t="s">
        <v>7726</v>
      </c>
      <c r="G123" s="27" t="s">
        <v>27</v>
      </c>
      <c r="H123" s="631" t="s">
        <v>86</v>
      </c>
      <c r="I123" s="12">
        <v>0.39861111111111108</v>
      </c>
      <c r="J123" s="13">
        <f>AVERAGE(9028,8893)</f>
        <v>8960.5</v>
      </c>
      <c r="K123" s="86">
        <v>21.600000381469727</v>
      </c>
      <c r="L123" s="13">
        <f>AVERAGE(26.9,31)</f>
        <v>28.95</v>
      </c>
      <c r="M123" s="13">
        <f>AVERAGE(0.44,0.42)</f>
        <v>0.43</v>
      </c>
      <c r="N123" s="90" t="s">
        <v>50</v>
      </c>
      <c r="O123" s="14" t="s">
        <v>48</v>
      </c>
      <c r="P123" s="14">
        <v>2</v>
      </c>
      <c r="Q123" s="14">
        <v>5</v>
      </c>
      <c r="R123" s="14" t="s">
        <v>64</v>
      </c>
      <c r="S123" s="14" t="s">
        <v>323</v>
      </c>
      <c r="T123" s="18">
        <v>3</v>
      </c>
      <c r="U123" s="18" t="s">
        <v>7727</v>
      </c>
      <c r="V123" s="14" t="s">
        <v>66</v>
      </c>
      <c r="W123" s="14" t="s">
        <v>50</v>
      </c>
      <c r="X123" s="14" t="s">
        <v>50</v>
      </c>
      <c r="Y123" s="5" t="s">
        <v>7658</v>
      </c>
    </row>
    <row r="124" spans="1:25" s="48" customFormat="1" x14ac:dyDescent="0.25">
      <c r="A124" s="36">
        <v>42950</v>
      </c>
      <c r="B124" s="92" t="str">
        <f t="shared" si="1"/>
        <v>Thu</v>
      </c>
      <c r="C124" s="631" t="s">
        <v>7570</v>
      </c>
      <c r="D124" s="631">
        <v>38.060720000000003</v>
      </c>
      <c r="E124" s="631">
        <v>-121.95072</v>
      </c>
      <c r="F124" s="27" t="s">
        <v>7728</v>
      </c>
      <c r="G124" s="27" t="s">
        <v>27</v>
      </c>
      <c r="H124" s="631" t="s">
        <v>170</v>
      </c>
      <c r="I124" s="12">
        <v>0.44513888888888892</v>
      </c>
      <c r="J124" s="13">
        <f>AVERAGE(2672,2724,2941,3122,3342)</f>
        <v>2960.2</v>
      </c>
      <c r="K124" s="86">
        <v>18.204000616073607</v>
      </c>
      <c r="L124" s="13">
        <f>AVERAGE(30.1,24.4,27.6,28.5,23.5)</f>
        <v>26.82</v>
      </c>
      <c r="M124" s="13">
        <f>AVERAGE(0.58,0.51,0.49,0.52,0.5)</f>
        <v>0.51999999999999991</v>
      </c>
      <c r="N124" s="90" t="s">
        <v>50</v>
      </c>
      <c r="O124" s="14" t="s">
        <v>48</v>
      </c>
      <c r="P124" s="14">
        <v>5</v>
      </c>
      <c r="Q124" s="14">
        <v>5</v>
      </c>
      <c r="R124" s="14" t="s">
        <v>64</v>
      </c>
      <c r="S124" s="14" t="s">
        <v>50</v>
      </c>
      <c r="T124" s="18" t="s">
        <v>50</v>
      </c>
      <c r="U124" s="18" t="s">
        <v>50</v>
      </c>
      <c r="V124" s="14" t="s">
        <v>50</v>
      </c>
      <c r="W124" s="14" t="s">
        <v>50</v>
      </c>
      <c r="X124" s="14" t="s">
        <v>50</v>
      </c>
      <c r="Y124" s="5"/>
    </row>
    <row r="125" spans="1:25" s="131" customFormat="1" ht="15.75" thickBot="1" x14ac:dyDescent="0.3">
      <c r="A125" s="117">
        <v>42950</v>
      </c>
      <c r="B125" s="107" t="str">
        <f t="shared" si="1"/>
        <v>Thu</v>
      </c>
      <c r="C125" s="131" t="s">
        <v>118</v>
      </c>
      <c r="D125" s="131">
        <v>38.062019999999997</v>
      </c>
      <c r="E125" s="131">
        <v>-122.27019</v>
      </c>
      <c r="F125" s="108" t="s">
        <v>7729</v>
      </c>
      <c r="G125" s="131" t="s">
        <v>80</v>
      </c>
      <c r="H125" s="131" t="s">
        <v>123</v>
      </c>
      <c r="I125" s="132">
        <v>0.30138888888888887</v>
      </c>
      <c r="J125" s="127">
        <f>AVERAGE(21818,21824,21134,20050,20004,20705,20644,20063)</f>
        <v>20780.25</v>
      </c>
      <c r="K125" s="128">
        <v>19.962499856948853</v>
      </c>
      <c r="L125" s="127">
        <f>AVERAGE(28,28.6,24.2,16.5,17.5,20.5,19.3,13.8)</f>
        <v>21.050000000000004</v>
      </c>
      <c r="M125" s="127">
        <f>AVERAGE(0.57,0.58,0.62,0.59,0.63,0.67,0.66,0.68)</f>
        <v>0.62499999999999989</v>
      </c>
      <c r="N125" s="125" t="s">
        <v>50</v>
      </c>
      <c r="O125" s="129" t="s">
        <v>48</v>
      </c>
      <c r="P125" s="129">
        <v>8</v>
      </c>
      <c r="Q125" s="129">
        <v>10</v>
      </c>
      <c r="R125" s="129" t="s">
        <v>64</v>
      </c>
      <c r="S125" s="129" t="s">
        <v>50</v>
      </c>
      <c r="T125" s="133" t="s">
        <v>50</v>
      </c>
      <c r="U125" s="133" t="s">
        <v>50</v>
      </c>
      <c r="V125" s="129" t="s">
        <v>50</v>
      </c>
      <c r="W125" s="129" t="s">
        <v>50</v>
      </c>
      <c r="X125" s="129" t="s">
        <v>50</v>
      </c>
      <c r="Y125" s="134" t="s">
        <v>7730</v>
      </c>
    </row>
    <row r="126" spans="1:25" s="48" customFormat="1" ht="15.75" thickTop="1" x14ac:dyDescent="0.25">
      <c r="A126" s="6">
        <v>42954</v>
      </c>
      <c r="B126" s="92" t="str">
        <f t="shared" si="1"/>
        <v>Mon</v>
      </c>
      <c r="C126" s="631" t="s">
        <v>6849</v>
      </c>
      <c r="D126" s="631">
        <v>38.25206</v>
      </c>
      <c r="E126" s="631">
        <v>-121.51195</v>
      </c>
      <c r="F126" s="27" t="s">
        <v>7731</v>
      </c>
      <c r="G126" s="631" t="s">
        <v>90</v>
      </c>
      <c r="H126" s="631" t="s">
        <v>6851</v>
      </c>
      <c r="I126" s="7">
        <v>0.44166666666666665</v>
      </c>
      <c r="J126" s="8">
        <f>AVERAGE(106.4,106.9,106.8,107.2,107.4,107.9,108.3,108.6)</f>
        <v>107.4375</v>
      </c>
      <c r="K126" s="105">
        <v>21.837499380111694</v>
      </c>
      <c r="L126" s="8">
        <f>AVERAGE(8.09,9.67,11.6,12.6,13.6,13.6,10.6,10.4)</f>
        <v>11.27</v>
      </c>
      <c r="M126" s="8">
        <f>AVERAGE(1.21,1.15,1.1,0.99,0.95,0.9,1,0.94)</f>
        <v>1.03</v>
      </c>
      <c r="N126" s="90" t="s">
        <v>50</v>
      </c>
      <c r="O126" s="9" t="s">
        <v>48</v>
      </c>
      <c r="P126" s="9">
        <v>8</v>
      </c>
      <c r="Q126" s="9">
        <v>10</v>
      </c>
      <c r="R126" s="9" t="s">
        <v>49</v>
      </c>
      <c r="S126" s="9" t="s">
        <v>50</v>
      </c>
      <c r="T126" s="15" t="s">
        <v>50</v>
      </c>
      <c r="U126" s="15" t="s">
        <v>50</v>
      </c>
      <c r="V126" s="9" t="s">
        <v>50</v>
      </c>
      <c r="W126" s="9" t="s">
        <v>50</v>
      </c>
      <c r="X126" s="9" t="s">
        <v>50</v>
      </c>
      <c r="Y126" s="5"/>
    </row>
    <row r="127" spans="1:25" s="48" customFormat="1" x14ac:dyDescent="0.25">
      <c r="A127" s="11">
        <v>42954</v>
      </c>
      <c r="B127" s="92" t="str">
        <f t="shared" si="1"/>
        <v>Mon</v>
      </c>
      <c r="C127" s="631" t="s">
        <v>6849</v>
      </c>
      <c r="D127" s="631">
        <v>38.43817</v>
      </c>
      <c r="E127" s="631">
        <v>-121.50588999999999</v>
      </c>
      <c r="F127" s="27" t="s">
        <v>7732</v>
      </c>
      <c r="G127" s="631" t="s">
        <v>90</v>
      </c>
      <c r="H127" s="631" t="s">
        <v>6851</v>
      </c>
      <c r="I127" s="12">
        <v>0.58194444444444449</v>
      </c>
      <c r="J127" s="13">
        <f>AVERAGE(114.6,112.3,113.2,112.4,112.5,112.2,112.6,112)</f>
        <v>112.72500000000001</v>
      </c>
      <c r="K127" s="86">
        <v>21.774999856948853</v>
      </c>
      <c r="L127" s="13">
        <f>AVERAGE(12.9,10.9,12.6,13.6,13.7,15.4,13.4,12.3)</f>
        <v>13.100000000000001</v>
      </c>
      <c r="M127" s="13">
        <f>AVERAGE(0.9,0.88,0.9,0.8,0.79,0.9,0.82,0.98)</f>
        <v>0.87125000000000008</v>
      </c>
      <c r="N127" s="90" t="s">
        <v>50</v>
      </c>
      <c r="O127" s="14" t="s">
        <v>48</v>
      </c>
      <c r="P127" s="14">
        <v>8</v>
      </c>
      <c r="Q127" s="14">
        <v>10</v>
      </c>
      <c r="R127" s="14" t="s">
        <v>49</v>
      </c>
      <c r="S127" s="14" t="s">
        <v>702</v>
      </c>
      <c r="T127" s="10">
        <v>1</v>
      </c>
      <c r="U127" s="10">
        <v>120</v>
      </c>
      <c r="V127" s="14" t="s">
        <v>50</v>
      </c>
      <c r="W127" s="14">
        <v>5</v>
      </c>
      <c r="X127" s="14" t="s">
        <v>50</v>
      </c>
      <c r="Y127" s="5" t="s">
        <v>7733</v>
      </c>
    </row>
    <row r="128" spans="1:25" s="149" customFormat="1" x14ac:dyDescent="0.25">
      <c r="A128" s="160">
        <v>42955</v>
      </c>
      <c r="B128" s="148" t="str">
        <f t="shared" si="1"/>
        <v>Tue</v>
      </c>
      <c r="C128" s="149" t="s">
        <v>118</v>
      </c>
      <c r="D128" s="149">
        <v>38.064230000000002</v>
      </c>
      <c r="E128" s="149">
        <v>-122.32906</v>
      </c>
      <c r="F128" s="149" t="s">
        <v>7734</v>
      </c>
      <c r="G128" s="149" t="s">
        <v>80</v>
      </c>
      <c r="H128" s="149" t="s">
        <v>123</v>
      </c>
      <c r="I128" s="165">
        <v>0.3756944444444445</v>
      </c>
      <c r="J128" s="163" t="s">
        <v>50</v>
      </c>
      <c r="K128" s="163" t="s">
        <v>50</v>
      </c>
      <c r="L128" s="163" t="s">
        <v>50</v>
      </c>
      <c r="M128" s="163" t="s">
        <v>50</v>
      </c>
      <c r="N128" s="177" t="s">
        <v>50</v>
      </c>
      <c r="O128" s="161" t="s">
        <v>48</v>
      </c>
      <c r="P128" s="161">
        <v>0</v>
      </c>
      <c r="Q128" s="161" t="s">
        <v>50</v>
      </c>
      <c r="R128" s="161" t="s">
        <v>50</v>
      </c>
      <c r="S128" s="161" t="s">
        <v>50</v>
      </c>
      <c r="T128" s="162" t="s">
        <v>50</v>
      </c>
      <c r="U128" s="162" t="s">
        <v>50</v>
      </c>
      <c r="V128" s="161" t="s">
        <v>50</v>
      </c>
      <c r="W128" s="161" t="s">
        <v>50</v>
      </c>
      <c r="X128" s="161" t="s">
        <v>50</v>
      </c>
      <c r="Y128" s="152" t="s">
        <v>7735</v>
      </c>
    </row>
    <row r="129" spans="1:25" s="48" customFormat="1" x14ac:dyDescent="0.25">
      <c r="A129" s="11">
        <v>42955</v>
      </c>
      <c r="B129" s="92" t="str">
        <f t="shared" si="1"/>
        <v>Tue</v>
      </c>
      <c r="C129" s="631" t="s">
        <v>118</v>
      </c>
      <c r="D129" s="631">
        <v>38.045490000000001</v>
      </c>
      <c r="E129" s="631">
        <v>-122.32511</v>
      </c>
      <c r="F129" s="27" t="s">
        <v>7736</v>
      </c>
      <c r="G129" s="631" t="s">
        <v>80</v>
      </c>
      <c r="H129" s="631" t="s">
        <v>123</v>
      </c>
      <c r="I129" s="12">
        <v>0.39097222222222222</v>
      </c>
      <c r="J129" s="13">
        <v>28706</v>
      </c>
      <c r="K129" s="86">
        <v>20.437499761581421</v>
      </c>
      <c r="L129" s="13">
        <v>32.85</v>
      </c>
      <c r="M129" s="13">
        <v>0.46500000000000002</v>
      </c>
      <c r="N129" s="90" t="s">
        <v>50</v>
      </c>
      <c r="O129" s="14" t="s">
        <v>48</v>
      </c>
      <c r="P129" s="14">
        <v>8</v>
      </c>
      <c r="Q129" s="14">
        <v>10</v>
      </c>
      <c r="R129" s="14" t="s">
        <v>49</v>
      </c>
      <c r="S129" s="14" t="s">
        <v>50</v>
      </c>
      <c r="T129" s="18" t="s">
        <v>50</v>
      </c>
      <c r="U129" s="18" t="s">
        <v>50</v>
      </c>
      <c r="V129" s="14" t="s">
        <v>50</v>
      </c>
      <c r="W129" s="14" t="s">
        <v>50</v>
      </c>
      <c r="X129" s="14" t="s">
        <v>50</v>
      </c>
      <c r="Y129" s="5"/>
    </row>
    <row r="130" spans="1:25" s="48" customFormat="1" x14ac:dyDescent="0.25">
      <c r="A130" s="11">
        <v>42955</v>
      </c>
      <c r="B130" s="92" t="str">
        <f t="shared" si="1"/>
        <v>Tue</v>
      </c>
      <c r="C130" s="631" t="s">
        <v>106</v>
      </c>
      <c r="D130" s="631">
        <v>38.561239999999998</v>
      </c>
      <c r="E130" s="631">
        <v>-121.54268999999999</v>
      </c>
      <c r="F130" s="27" t="s">
        <v>7737</v>
      </c>
      <c r="G130" s="631" t="s">
        <v>90</v>
      </c>
      <c r="H130" s="631" t="s">
        <v>7577</v>
      </c>
      <c r="I130" s="12">
        <v>0.37222222222222223</v>
      </c>
      <c r="J130" s="13">
        <v>694.8</v>
      </c>
      <c r="K130" s="86">
        <v>25.879999542236327</v>
      </c>
      <c r="L130" s="13">
        <v>2.72</v>
      </c>
      <c r="M130" s="13">
        <v>1.8</v>
      </c>
      <c r="N130" s="90" t="s">
        <v>50</v>
      </c>
      <c r="O130" s="14" t="s">
        <v>48</v>
      </c>
      <c r="P130" s="14">
        <v>5</v>
      </c>
      <c r="Q130" s="14">
        <v>5</v>
      </c>
      <c r="R130" s="14" t="s">
        <v>49</v>
      </c>
      <c r="S130" s="14" t="s">
        <v>50</v>
      </c>
      <c r="T130" s="18" t="s">
        <v>50</v>
      </c>
      <c r="U130" s="18" t="s">
        <v>50</v>
      </c>
      <c r="V130" s="14" t="s">
        <v>50</v>
      </c>
      <c r="W130" s="14" t="s">
        <v>50</v>
      </c>
      <c r="X130" s="14" t="s">
        <v>50</v>
      </c>
      <c r="Y130" s="5"/>
    </row>
    <row r="131" spans="1:25" s="48" customFormat="1" x14ac:dyDescent="0.25">
      <c r="A131" s="11">
        <v>42955</v>
      </c>
      <c r="B131" s="92" t="str">
        <f t="shared" si="1"/>
        <v>Tue</v>
      </c>
      <c r="C131" s="631" t="s">
        <v>106</v>
      </c>
      <c r="D131" s="631">
        <v>38.495809999999999</v>
      </c>
      <c r="E131" s="631">
        <v>-121.58485</v>
      </c>
      <c r="F131" s="27" t="s">
        <v>7738</v>
      </c>
      <c r="G131" s="631" t="s">
        <v>90</v>
      </c>
      <c r="H131" s="631" t="s">
        <v>7577</v>
      </c>
      <c r="I131" s="12">
        <v>0.44722222222222219</v>
      </c>
      <c r="J131" s="13">
        <v>778.4</v>
      </c>
      <c r="K131" s="86">
        <v>24.819999694824219</v>
      </c>
      <c r="L131" s="13">
        <v>15.98</v>
      </c>
      <c r="M131" s="13">
        <v>0.49199999999999999</v>
      </c>
      <c r="N131" s="90" t="s">
        <v>50</v>
      </c>
      <c r="O131" s="14" t="s">
        <v>48</v>
      </c>
      <c r="P131" s="14">
        <v>5</v>
      </c>
      <c r="Q131" s="14">
        <v>5</v>
      </c>
      <c r="R131" s="14" t="s">
        <v>49</v>
      </c>
      <c r="S131" s="14" t="s">
        <v>50</v>
      </c>
      <c r="T131" s="10" t="s">
        <v>50</v>
      </c>
      <c r="U131" s="10" t="s">
        <v>50</v>
      </c>
      <c r="V131" s="14" t="s">
        <v>50</v>
      </c>
      <c r="W131" s="14" t="s">
        <v>50</v>
      </c>
      <c r="X131" s="14" t="s">
        <v>50</v>
      </c>
      <c r="Y131" s="5"/>
    </row>
    <row r="132" spans="1:25" s="48" customFormat="1" x14ac:dyDescent="0.25">
      <c r="A132" s="11">
        <v>42955</v>
      </c>
      <c r="B132" s="92" t="str">
        <f t="shared" ref="B132:B195" si="2">TEXT(A132,"ddd")</f>
        <v>Tue</v>
      </c>
      <c r="C132" s="631" t="s">
        <v>118</v>
      </c>
      <c r="D132" s="631">
        <v>38.063189999999999</v>
      </c>
      <c r="E132" s="631">
        <v>-122.26697</v>
      </c>
      <c r="F132" s="27" t="s">
        <v>7739</v>
      </c>
      <c r="G132" s="631" t="s">
        <v>80</v>
      </c>
      <c r="H132" s="631" t="s">
        <v>123</v>
      </c>
      <c r="I132" s="12">
        <v>0.50277777777777777</v>
      </c>
      <c r="J132" s="13">
        <v>25391.25</v>
      </c>
      <c r="K132" s="86">
        <v>20.662500143051147</v>
      </c>
      <c r="L132" s="13">
        <v>41.537500000000001</v>
      </c>
      <c r="M132" s="13">
        <v>0.54374999999999996</v>
      </c>
      <c r="N132" s="90" t="s">
        <v>50</v>
      </c>
      <c r="O132" s="14" t="s">
        <v>48</v>
      </c>
      <c r="P132" s="14">
        <v>8</v>
      </c>
      <c r="Q132" s="14">
        <v>10</v>
      </c>
      <c r="R132" s="14" t="s">
        <v>64</v>
      </c>
      <c r="S132" s="14" t="s">
        <v>50</v>
      </c>
      <c r="T132" s="14" t="s">
        <v>50</v>
      </c>
      <c r="U132" s="14" t="s">
        <v>50</v>
      </c>
      <c r="V132" s="14" t="s">
        <v>50</v>
      </c>
      <c r="W132" s="14" t="s">
        <v>50</v>
      </c>
      <c r="X132" s="14" t="s">
        <v>50</v>
      </c>
      <c r="Y132" s="5"/>
    </row>
    <row r="133" spans="1:25" s="48" customFormat="1" x14ac:dyDescent="0.25">
      <c r="A133" s="11">
        <v>42955</v>
      </c>
      <c r="B133" s="92" t="str">
        <f t="shared" si="2"/>
        <v>Tue</v>
      </c>
      <c r="C133" s="631" t="s">
        <v>95</v>
      </c>
      <c r="D133" s="631">
        <v>38.0261</v>
      </c>
      <c r="E133" s="631">
        <v>-121.76456</v>
      </c>
      <c r="F133" s="27" t="s">
        <v>7740</v>
      </c>
      <c r="G133" s="631" t="s">
        <v>27</v>
      </c>
      <c r="H133" s="631" t="s">
        <v>95</v>
      </c>
      <c r="I133" s="12">
        <v>0.35000000000000003</v>
      </c>
      <c r="J133" s="13">
        <v>952.6</v>
      </c>
      <c r="K133" s="86">
        <v>22.95999984741211</v>
      </c>
      <c r="L133" s="13">
        <v>20.98</v>
      </c>
      <c r="M133" s="13">
        <v>0.75800000000000001</v>
      </c>
      <c r="N133" s="90" t="s">
        <v>50</v>
      </c>
      <c r="O133" s="14" t="s">
        <v>48</v>
      </c>
      <c r="P133" s="14">
        <v>5</v>
      </c>
      <c r="Q133" s="14">
        <v>5</v>
      </c>
      <c r="R133" s="14" t="s">
        <v>49</v>
      </c>
      <c r="S133" s="14" t="s">
        <v>50</v>
      </c>
      <c r="T133" s="18" t="s">
        <v>50</v>
      </c>
      <c r="U133" s="18" t="s">
        <v>50</v>
      </c>
      <c r="V133" s="14" t="s">
        <v>50</v>
      </c>
      <c r="W133" s="14" t="s">
        <v>50</v>
      </c>
      <c r="X133" s="14" t="s">
        <v>50</v>
      </c>
      <c r="Y133" s="5"/>
    </row>
    <row r="134" spans="1:25" s="48" customFormat="1" x14ac:dyDescent="0.25">
      <c r="A134" s="11">
        <v>42955</v>
      </c>
      <c r="B134" s="92" t="str">
        <f t="shared" si="2"/>
        <v>Tue</v>
      </c>
      <c r="C134" s="631" t="s">
        <v>95</v>
      </c>
      <c r="D134" s="631">
        <v>38.043109999999999</v>
      </c>
      <c r="E134" s="631">
        <v>-121.70583000000001</v>
      </c>
      <c r="F134" s="27" t="s">
        <v>7741</v>
      </c>
      <c r="G134" s="631" t="s">
        <v>27</v>
      </c>
      <c r="H134" s="631" t="s">
        <v>95</v>
      </c>
      <c r="I134" s="12">
        <v>0.39999999999999997</v>
      </c>
      <c r="J134" s="13">
        <v>1166.2</v>
      </c>
      <c r="K134" s="86">
        <v>23.019999694824218</v>
      </c>
      <c r="L134" s="13">
        <v>18</v>
      </c>
      <c r="M134" s="13">
        <v>0.81599999999999995</v>
      </c>
      <c r="N134" s="90" t="s">
        <v>50</v>
      </c>
      <c r="O134" s="14" t="s">
        <v>48</v>
      </c>
      <c r="P134" s="14">
        <v>5</v>
      </c>
      <c r="Q134" s="14">
        <v>5</v>
      </c>
      <c r="R134" s="14" t="s">
        <v>49</v>
      </c>
      <c r="S134" s="14" t="s">
        <v>50</v>
      </c>
      <c r="T134" s="18" t="s">
        <v>50</v>
      </c>
      <c r="U134" s="18" t="s">
        <v>50</v>
      </c>
      <c r="V134" s="14" t="s">
        <v>50</v>
      </c>
      <c r="W134" s="14" t="s">
        <v>50</v>
      </c>
      <c r="X134" s="14" t="s">
        <v>50</v>
      </c>
      <c r="Y134" s="5"/>
    </row>
    <row r="135" spans="1:25" s="48" customFormat="1" x14ac:dyDescent="0.25">
      <c r="A135" s="11">
        <v>42956</v>
      </c>
      <c r="B135" s="92" t="str">
        <f t="shared" si="2"/>
        <v>Wed</v>
      </c>
      <c r="C135" s="631" t="s">
        <v>95</v>
      </c>
      <c r="D135" s="631">
        <v>38.033200000000001</v>
      </c>
      <c r="E135" s="631">
        <v>-121.8293</v>
      </c>
      <c r="F135" s="27" t="s">
        <v>7742</v>
      </c>
      <c r="G135" s="631" t="s">
        <v>27</v>
      </c>
      <c r="H135" s="631" t="s">
        <v>95</v>
      </c>
      <c r="I135" s="12">
        <v>0.36041666666666666</v>
      </c>
      <c r="J135" s="13">
        <v>1939.5</v>
      </c>
      <c r="K135" s="86">
        <v>21.84999942779541</v>
      </c>
      <c r="L135" s="13">
        <v>29.2</v>
      </c>
      <c r="M135" s="13">
        <v>0.32</v>
      </c>
      <c r="N135" s="90" t="s">
        <v>50</v>
      </c>
      <c r="O135" s="14" t="s">
        <v>48</v>
      </c>
      <c r="P135" s="14">
        <v>2</v>
      </c>
      <c r="Q135" s="14">
        <v>5</v>
      </c>
      <c r="R135" s="14" t="s">
        <v>49</v>
      </c>
      <c r="S135" s="14" t="s">
        <v>323</v>
      </c>
      <c r="T135" s="79">
        <v>1</v>
      </c>
      <c r="U135" s="79">
        <v>43</v>
      </c>
      <c r="V135" s="32" t="s">
        <v>66</v>
      </c>
      <c r="W135" s="32" t="s">
        <v>50</v>
      </c>
      <c r="X135" s="14" t="s">
        <v>50</v>
      </c>
      <c r="Y135" s="35" t="s">
        <v>7743</v>
      </c>
    </row>
    <row r="136" spans="1:25" s="48" customFormat="1" x14ac:dyDescent="0.25">
      <c r="A136" s="11">
        <v>42956</v>
      </c>
      <c r="B136" s="92" t="str">
        <f t="shared" si="2"/>
        <v>Wed</v>
      </c>
      <c r="C136" s="631" t="s">
        <v>95</v>
      </c>
      <c r="D136" s="631">
        <v>38.019739999999999</v>
      </c>
      <c r="E136" s="631">
        <v>-121.74912999999999</v>
      </c>
      <c r="F136" s="27" t="s">
        <v>7744</v>
      </c>
      <c r="G136" s="631" t="s">
        <v>27</v>
      </c>
      <c r="H136" s="631" t="s">
        <v>95</v>
      </c>
      <c r="I136" s="12">
        <v>0.44722222222222219</v>
      </c>
      <c r="J136" s="13">
        <v>391.22</v>
      </c>
      <c r="K136" s="86">
        <v>22.539999771118165</v>
      </c>
      <c r="L136" s="13">
        <v>11.888</v>
      </c>
      <c r="M136" s="13">
        <v>1.1539999999999999</v>
      </c>
      <c r="N136" s="90" t="s">
        <v>50</v>
      </c>
      <c r="O136" s="14" t="s">
        <v>48</v>
      </c>
      <c r="P136" s="14">
        <v>5</v>
      </c>
      <c r="Q136" s="14">
        <v>5</v>
      </c>
      <c r="R136" s="14" t="s">
        <v>49</v>
      </c>
      <c r="S136" s="14" t="s">
        <v>50</v>
      </c>
      <c r="T136" s="79" t="s">
        <v>50</v>
      </c>
      <c r="U136" s="79" t="s">
        <v>50</v>
      </c>
      <c r="V136" s="32" t="s">
        <v>50</v>
      </c>
      <c r="W136" s="32" t="s">
        <v>50</v>
      </c>
      <c r="X136" s="14" t="s">
        <v>50</v>
      </c>
      <c r="Y136" s="35"/>
    </row>
    <row r="137" spans="1:25" s="48" customFormat="1" x14ac:dyDescent="0.25">
      <c r="A137" s="11">
        <v>42956</v>
      </c>
      <c r="B137" s="92" t="str">
        <f t="shared" si="2"/>
        <v>Wed</v>
      </c>
      <c r="C137" s="631" t="s">
        <v>118</v>
      </c>
      <c r="D137" s="631">
        <v>38.052840000000003</v>
      </c>
      <c r="E137" s="631">
        <v>-122.05629</v>
      </c>
      <c r="F137" s="27" t="s">
        <v>7745</v>
      </c>
      <c r="G137" s="631" t="s">
        <v>80</v>
      </c>
      <c r="H137" s="631" t="s">
        <v>81</v>
      </c>
      <c r="I137" s="12">
        <v>0.33055555555555555</v>
      </c>
      <c r="J137" s="13">
        <v>14564.5</v>
      </c>
      <c r="K137" s="86">
        <v>20.674999952316284</v>
      </c>
      <c r="L137" s="13">
        <v>37.862499999999997</v>
      </c>
      <c r="M137" s="13">
        <v>0.5675</v>
      </c>
      <c r="N137" s="90" t="s">
        <v>50</v>
      </c>
      <c r="O137" s="14" t="s">
        <v>48</v>
      </c>
      <c r="P137" s="14">
        <v>8</v>
      </c>
      <c r="Q137" s="14">
        <v>10</v>
      </c>
      <c r="R137" s="14" t="s">
        <v>49</v>
      </c>
      <c r="S137" s="14" t="s">
        <v>50</v>
      </c>
      <c r="T137" s="79" t="s">
        <v>50</v>
      </c>
      <c r="U137" s="79" t="s">
        <v>50</v>
      </c>
      <c r="V137" s="32" t="s">
        <v>50</v>
      </c>
      <c r="W137" s="32" t="s">
        <v>50</v>
      </c>
      <c r="X137" s="14" t="s">
        <v>50</v>
      </c>
      <c r="Y137" s="35"/>
    </row>
    <row r="138" spans="1:25" s="48" customFormat="1" x14ac:dyDescent="0.25">
      <c r="A138" s="11">
        <v>42956</v>
      </c>
      <c r="B138" s="92" t="str">
        <f t="shared" si="2"/>
        <v>Wed</v>
      </c>
      <c r="C138" s="631" t="s">
        <v>118</v>
      </c>
      <c r="D138" s="631">
        <v>38.052970000000002</v>
      </c>
      <c r="E138" s="631">
        <v>-122.12025</v>
      </c>
      <c r="F138" s="27" t="s">
        <v>7746</v>
      </c>
      <c r="G138" s="631" t="s">
        <v>80</v>
      </c>
      <c r="H138" s="631" t="s">
        <v>81</v>
      </c>
      <c r="I138" s="12">
        <v>0.44791666666666669</v>
      </c>
      <c r="J138" s="13">
        <v>24642.400000000001</v>
      </c>
      <c r="K138" s="86">
        <v>20.740000534057618</v>
      </c>
      <c r="L138" s="13">
        <v>93.6</v>
      </c>
      <c r="M138" s="13">
        <v>0.27800000000000002</v>
      </c>
      <c r="N138" s="90" t="s">
        <v>50</v>
      </c>
      <c r="O138" s="14" t="s">
        <v>48</v>
      </c>
      <c r="P138" s="14">
        <v>5</v>
      </c>
      <c r="Q138" s="14">
        <v>10</v>
      </c>
      <c r="R138" s="14" t="s">
        <v>49</v>
      </c>
      <c r="S138" s="14" t="s">
        <v>323</v>
      </c>
      <c r="T138" s="79">
        <v>1</v>
      </c>
      <c r="U138" s="79">
        <v>72</v>
      </c>
      <c r="V138" s="32" t="s">
        <v>66</v>
      </c>
      <c r="W138" s="32" t="s">
        <v>50</v>
      </c>
      <c r="X138" s="14" t="s">
        <v>50</v>
      </c>
      <c r="Y138" s="35"/>
    </row>
    <row r="139" spans="1:25" s="48" customFormat="1" x14ac:dyDescent="0.25">
      <c r="A139" s="11">
        <v>42956</v>
      </c>
      <c r="B139" s="92" t="str">
        <f t="shared" si="2"/>
        <v>Wed</v>
      </c>
      <c r="C139" s="631" t="s">
        <v>95</v>
      </c>
      <c r="D139" s="631">
        <v>38.082850000000001</v>
      </c>
      <c r="E139" s="631">
        <v>-121.67807999999999</v>
      </c>
      <c r="F139" s="27" t="s">
        <v>7747</v>
      </c>
      <c r="G139" s="631" t="s">
        <v>46</v>
      </c>
      <c r="H139" s="631" t="s">
        <v>97</v>
      </c>
      <c r="I139" s="12">
        <v>0.41041666666666665</v>
      </c>
      <c r="J139" s="13">
        <v>290.39999999999998</v>
      </c>
      <c r="K139" s="86">
        <v>22.799999237060547</v>
      </c>
      <c r="L139" s="13">
        <v>20.45</v>
      </c>
      <c r="M139" s="13">
        <v>0.70499999999999996</v>
      </c>
      <c r="N139" s="90" t="s">
        <v>50</v>
      </c>
      <c r="O139" s="14" t="s">
        <v>48</v>
      </c>
      <c r="P139" s="14">
        <v>2</v>
      </c>
      <c r="Q139" s="14">
        <v>5</v>
      </c>
      <c r="R139" s="14" t="s">
        <v>49</v>
      </c>
      <c r="S139" s="14" t="s">
        <v>323</v>
      </c>
      <c r="T139" s="79">
        <v>1</v>
      </c>
      <c r="U139" s="79">
        <v>38</v>
      </c>
      <c r="V139" s="32" t="s">
        <v>66</v>
      </c>
      <c r="W139" s="32" t="s">
        <v>50</v>
      </c>
      <c r="X139" s="14" t="s">
        <v>50</v>
      </c>
      <c r="Y139" s="35" t="s">
        <v>7743</v>
      </c>
    </row>
    <row r="140" spans="1:25" s="48" customFormat="1" x14ac:dyDescent="0.25">
      <c r="A140" s="11">
        <v>42956</v>
      </c>
      <c r="B140" s="92" t="str">
        <f t="shared" si="2"/>
        <v>Wed</v>
      </c>
      <c r="C140" s="631" t="s">
        <v>88</v>
      </c>
      <c r="D140" s="16">
        <v>38.058970000000002</v>
      </c>
      <c r="E140" s="16">
        <v>-121.84408000000001</v>
      </c>
      <c r="F140" s="27" t="s">
        <v>7748</v>
      </c>
      <c r="G140" s="631" t="s">
        <v>27</v>
      </c>
      <c r="H140" s="631" t="s">
        <v>25</v>
      </c>
      <c r="I140" s="12">
        <v>0.33402777777777781</v>
      </c>
      <c r="J140" s="13">
        <v>3084.8</v>
      </c>
      <c r="K140" s="86">
        <v>21.360000228881837</v>
      </c>
      <c r="L140" s="13">
        <v>20.74</v>
      </c>
      <c r="M140" s="13">
        <v>0.55200000000000005</v>
      </c>
      <c r="N140" s="90" t="s">
        <v>50</v>
      </c>
      <c r="O140" s="14" t="s">
        <v>48</v>
      </c>
      <c r="P140" s="14">
        <v>5</v>
      </c>
      <c r="Q140" s="14">
        <v>5</v>
      </c>
      <c r="R140" s="14" t="s">
        <v>49</v>
      </c>
      <c r="S140" s="14" t="s">
        <v>50</v>
      </c>
      <c r="T140" s="32" t="s">
        <v>50</v>
      </c>
      <c r="U140" s="32" t="s">
        <v>50</v>
      </c>
      <c r="V140" s="32" t="s">
        <v>50</v>
      </c>
      <c r="W140" s="32" t="s">
        <v>50</v>
      </c>
      <c r="X140" s="14" t="s">
        <v>50</v>
      </c>
      <c r="Y140" s="35"/>
    </row>
    <row r="141" spans="1:25" s="48" customFormat="1" x14ac:dyDescent="0.25">
      <c r="A141" s="11">
        <v>42956</v>
      </c>
      <c r="B141" s="92" t="str">
        <f t="shared" si="2"/>
        <v>Wed</v>
      </c>
      <c r="C141" s="631" t="s">
        <v>88</v>
      </c>
      <c r="D141" s="16">
        <v>38.116540000000001</v>
      </c>
      <c r="E141" s="16">
        <v>-121.69643000000001</v>
      </c>
      <c r="F141" s="27" t="s">
        <v>7749</v>
      </c>
      <c r="G141" s="631" t="s">
        <v>27</v>
      </c>
      <c r="H141" s="631" t="s">
        <v>25</v>
      </c>
      <c r="I141" s="12">
        <v>0.40208333333333335</v>
      </c>
      <c r="J141" s="13">
        <v>117.78</v>
      </c>
      <c r="K141" s="86">
        <v>22.260000228881836</v>
      </c>
      <c r="L141" s="13">
        <v>13.52</v>
      </c>
      <c r="M141" s="13">
        <v>0.78200000000000003</v>
      </c>
      <c r="N141" s="90" t="s">
        <v>50</v>
      </c>
      <c r="O141" s="14" t="s">
        <v>48</v>
      </c>
      <c r="P141" s="14">
        <v>5</v>
      </c>
      <c r="Q141" s="14">
        <v>5</v>
      </c>
      <c r="R141" s="14" t="s">
        <v>49</v>
      </c>
      <c r="S141" s="14" t="s">
        <v>50</v>
      </c>
      <c r="T141" s="32" t="s">
        <v>50</v>
      </c>
      <c r="U141" s="32" t="s">
        <v>50</v>
      </c>
      <c r="V141" s="32" t="s">
        <v>50</v>
      </c>
      <c r="W141" s="32" t="s">
        <v>50</v>
      </c>
      <c r="X141" s="14" t="s">
        <v>50</v>
      </c>
      <c r="Y141" s="35"/>
    </row>
    <row r="142" spans="1:25" s="48" customFormat="1" x14ac:dyDescent="0.25">
      <c r="A142" s="44">
        <v>42957</v>
      </c>
      <c r="B142" s="92" t="str">
        <f t="shared" si="2"/>
        <v>Thu</v>
      </c>
      <c r="C142" s="631" t="s">
        <v>118</v>
      </c>
      <c r="D142" s="631">
        <v>38.190370000000001</v>
      </c>
      <c r="E142" s="631">
        <v>-122.31343</v>
      </c>
      <c r="F142" s="27" t="s">
        <v>7750</v>
      </c>
      <c r="G142" s="631" t="s">
        <v>80</v>
      </c>
      <c r="H142" s="631" t="s">
        <v>191</v>
      </c>
      <c r="I142" s="12">
        <v>0.31805555555555554</v>
      </c>
      <c r="J142" s="13">
        <v>24454.625</v>
      </c>
      <c r="K142" s="86">
        <v>20.737499952316284</v>
      </c>
      <c r="L142" s="13">
        <v>53.637500000000003</v>
      </c>
      <c r="M142" s="13">
        <v>0.42125000000000001</v>
      </c>
      <c r="N142" s="90" t="s">
        <v>50</v>
      </c>
      <c r="O142" s="14" t="s">
        <v>48</v>
      </c>
      <c r="P142" s="14">
        <v>8</v>
      </c>
      <c r="Q142" s="14">
        <v>10</v>
      </c>
      <c r="R142" s="14" t="s">
        <v>49</v>
      </c>
      <c r="S142" s="14" t="s">
        <v>50</v>
      </c>
      <c r="T142" s="32" t="s">
        <v>50</v>
      </c>
      <c r="U142" s="32" t="s">
        <v>50</v>
      </c>
      <c r="V142" s="32" t="s">
        <v>50</v>
      </c>
      <c r="W142" s="32" t="s">
        <v>50</v>
      </c>
      <c r="X142" s="14" t="s">
        <v>50</v>
      </c>
      <c r="Y142" s="35"/>
    </row>
    <row r="143" spans="1:25" s="48" customFormat="1" x14ac:dyDescent="0.25">
      <c r="A143" s="11">
        <v>42957</v>
      </c>
      <c r="B143" s="92" t="str">
        <f t="shared" si="2"/>
        <v>Thu</v>
      </c>
      <c r="C143" s="631" t="s">
        <v>118</v>
      </c>
      <c r="D143" s="631">
        <v>38.060699999999997</v>
      </c>
      <c r="E143" s="631">
        <v>-122.29306</v>
      </c>
      <c r="F143" s="27" t="s">
        <v>7751</v>
      </c>
      <c r="G143" s="631" t="s">
        <v>80</v>
      </c>
      <c r="H143" s="631" t="s">
        <v>123</v>
      </c>
      <c r="I143" s="12">
        <v>0.44930555555555557</v>
      </c>
      <c r="J143" s="13">
        <v>24932.83</v>
      </c>
      <c r="K143" s="86">
        <v>20.6</v>
      </c>
      <c r="L143" s="13">
        <v>31.93</v>
      </c>
      <c r="M143" s="13">
        <v>0.5383</v>
      </c>
      <c r="N143" s="90" t="s">
        <v>50</v>
      </c>
      <c r="O143" s="14" t="s">
        <v>48</v>
      </c>
      <c r="P143" s="14">
        <v>6</v>
      </c>
      <c r="Q143" s="14">
        <v>10</v>
      </c>
      <c r="R143" s="14" t="s">
        <v>49</v>
      </c>
      <c r="S143" s="14" t="s">
        <v>50</v>
      </c>
      <c r="T143" s="79" t="s">
        <v>50</v>
      </c>
      <c r="U143" s="79" t="s">
        <v>50</v>
      </c>
      <c r="V143" s="32" t="s">
        <v>50</v>
      </c>
      <c r="W143" s="80" t="s">
        <v>50</v>
      </c>
      <c r="X143" s="14" t="s">
        <v>50</v>
      </c>
      <c r="Y143" s="35"/>
    </row>
    <row r="144" spans="1:25" s="48" customFormat="1" x14ac:dyDescent="0.25">
      <c r="A144" s="11">
        <v>42957</v>
      </c>
      <c r="B144" s="92" t="str">
        <f t="shared" si="2"/>
        <v>Thu</v>
      </c>
      <c r="C144" s="631" t="s">
        <v>845</v>
      </c>
      <c r="D144" s="631">
        <v>38.332430000000002</v>
      </c>
      <c r="E144" s="631">
        <v>-121.64794000000001</v>
      </c>
      <c r="F144" s="27" t="s">
        <v>7752</v>
      </c>
      <c r="G144" s="631" t="s">
        <v>90</v>
      </c>
      <c r="H144" s="631" t="s">
        <v>126</v>
      </c>
      <c r="I144" s="12">
        <v>0.34375</v>
      </c>
      <c r="J144" s="13">
        <v>246.7</v>
      </c>
      <c r="K144" s="86">
        <v>22.949999809265137</v>
      </c>
      <c r="L144" s="13">
        <v>19.600000000000001</v>
      </c>
      <c r="M144" s="13">
        <v>0.495</v>
      </c>
      <c r="N144" s="90" t="s">
        <v>50</v>
      </c>
      <c r="O144" s="14" t="s">
        <v>48</v>
      </c>
      <c r="P144" s="14">
        <v>2</v>
      </c>
      <c r="Q144" s="14">
        <v>5</v>
      </c>
      <c r="R144" s="14" t="s">
        <v>49</v>
      </c>
      <c r="S144" s="14" t="s">
        <v>323</v>
      </c>
      <c r="T144" s="79">
        <v>1</v>
      </c>
      <c r="U144" s="79">
        <v>45</v>
      </c>
      <c r="V144" s="32" t="s">
        <v>66</v>
      </c>
      <c r="W144" s="32" t="s">
        <v>50</v>
      </c>
      <c r="X144" s="32" t="s">
        <v>50</v>
      </c>
      <c r="Y144" s="35" t="s">
        <v>5604</v>
      </c>
    </row>
    <row r="145" spans="1:25" s="48" customFormat="1" x14ac:dyDescent="0.25">
      <c r="A145" s="11">
        <v>42957</v>
      </c>
      <c r="B145" s="92" t="str">
        <f t="shared" si="2"/>
        <v>Thu</v>
      </c>
      <c r="C145" s="631" t="s">
        <v>845</v>
      </c>
      <c r="D145" s="631">
        <v>38.259650000000001</v>
      </c>
      <c r="E145" s="631">
        <v>-121.69508</v>
      </c>
      <c r="F145" s="27" t="s">
        <v>7753</v>
      </c>
      <c r="G145" s="631" t="s">
        <v>90</v>
      </c>
      <c r="H145" s="631" t="s">
        <v>126</v>
      </c>
      <c r="I145" s="12">
        <v>0.39513888888888887</v>
      </c>
      <c r="J145" s="13">
        <v>122.96</v>
      </c>
      <c r="K145" s="86">
        <v>21.5</v>
      </c>
      <c r="L145" s="13">
        <v>11.84</v>
      </c>
      <c r="M145" s="13">
        <v>0.91200000000000003</v>
      </c>
      <c r="N145" s="90" t="s">
        <v>50</v>
      </c>
      <c r="O145" s="14" t="s">
        <v>48</v>
      </c>
      <c r="P145" s="14">
        <v>5</v>
      </c>
      <c r="Q145" s="14">
        <v>5</v>
      </c>
      <c r="R145" s="14" t="s">
        <v>49</v>
      </c>
      <c r="S145" s="14" t="s">
        <v>50</v>
      </c>
      <c r="T145" s="79" t="s">
        <v>50</v>
      </c>
      <c r="U145" s="79" t="s">
        <v>50</v>
      </c>
      <c r="V145" s="32" t="s">
        <v>50</v>
      </c>
      <c r="W145" s="32" t="s">
        <v>50</v>
      </c>
      <c r="X145" s="14" t="s">
        <v>50</v>
      </c>
      <c r="Y145" s="35"/>
    </row>
    <row r="146" spans="1:25" s="48" customFormat="1" x14ac:dyDescent="0.25">
      <c r="A146" s="20">
        <v>42957</v>
      </c>
      <c r="B146" s="92" t="str">
        <f t="shared" si="2"/>
        <v>Thu</v>
      </c>
      <c r="C146" s="631" t="s">
        <v>7570</v>
      </c>
      <c r="D146" s="631">
        <v>38.061369999999997</v>
      </c>
      <c r="E146" s="631">
        <v>-122.03424</v>
      </c>
      <c r="F146" s="27" t="s">
        <v>7754</v>
      </c>
      <c r="G146" s="631" t="s">
        <v>27</v>
      </c>
      <c r="H146" s="631" t="s">
        <v>86</v>
      </c>
      <c r="I146" s="21">
        <v>0.35069444444444442</v>
      </c>
      <c r="J146" s="4">
        <v>10106.4</v>
      </c>
      <c r="K146" s="86">
        <v>21.759999847412111</v>
      </c>
      <c r="L146" s="4">
        <v>22.56</v>
      </c>
      <c r="M146" s="4">
        <v>0.504</v>
      </c>
      <c r="N146" s="90" t="s">
        <v>50</v>
      </c>
      <c r="O146" s="631" t="s">
        <v>48</v>
      </c>
      <c r="P146" s="631">
        <v>5</v>
      </c>
      <c r="Q146" s="631">
        <v>5</v>
      </c>
      <c r="R146" s="631" t="s">
        <v>49</v>
      </c>
      <c r="S146" s="631" t="s">
        <v>50</v>
      </c>
      <c r="T146" s="27" t="s">
        <v>50</v>
      </c>
      <c r="U146" s="27" t="s">
        <v>50</v>
      </c>
      <c r="V146" s="27" t="s">
        <v>50</v>
      </c>
      <c r="W146" s="27" t="s">
        <v>50</v>
      </c>
      <c r="X146" s="631" t="s">
        <v>50</v>
      </c>
      <c r="Y146" s="35"/>
    </row>
    <row r="147" spans="1:25" s="48" customFormat="1" x14ac:dyDescent="0.25">
      <c r="A147" s="11">
        <v>42957</v>
      </c>
      <c r="B147" s="92" t="str">
        <f t="shared" si="2"/>
        <v>Thu</v>
      </c>
      <c r="C147" s="631" t="s">
        <v>7570</v>
      </c>
      <c r="D147" s="631">
        <v>38.064950000000003</v>
      </c>
      <c r="E147" s="631">
        <v>-122.03767000000001</v>
      </c>
      <c r="F147" s="27" t="s">
        <v>7755</v>
      </c>
      <c r="G147" s="631" t="s">
        <v>27</v>
      </c>
      <c r="H147" s="631" t="s">
        <v>86</v>
      </c>
      <c r="I147" s="12">
        <v>0.4291666666666667</v>
      </c>
      <c r="J147" s="13">
        <v>8537</v>
      </c>
      <c r="K147" s="86">
        <v>22.199999809265137</v>
      </c>
      <c r="L147" s="13">
        <v>46.2</v>
      </c>
      <c r="M147" s="13">
        <v>0.3967</v>
      </c>
      <c r="N147" s="90" t="s">
        <v>50</v>
      </c>
      <c r="O147" s="14" t="s">
        <v>48</v>
      </c>
      <c r="P147" s="14">
        <v>3</v>
      </c>
      <c r="Q147" s="14">
        <v>5</v>
      </c>
      <c r="R147" s="14" t="s">
        <v>49</v>
      </c>
      <c r="S147" s="14" t="s">
        <v>323</v>
      </c>
      <c r="T147" s="79">
        <v>1</v>
      </c>
      <c r="U147" s="79">
        <v>60</v>
      </c>
      <c r="V147" s="32" t="s">
        <v>66</v>
      </c>
      <c r="W147" s="32" t="s">
        <v>50</v>
      </c>
      <c r="X147" s="32" t="s">
        <v>50</v>
      </c>
      <c r="Y147" s="35" t="s">
        <v>5604</v>
      </c>
    </row>
    <row r="148" spans="1:25" s="48" customFormat="1" x14ac:dyDescent="0.25">
      <c r="A148" s="11">
        <v>42958</v>
      </c>
      <c r="B148" s="92" t="str">
        <f t="shared" si="2"/>
        <v>Fri</v>
      </c>
      <c r="C148" s="631" t="s">
        <v>7570</v>
      </c>
      <c r="D148" s="631">
        <v>38.060369999999999</v>
      </c>
      <c r="E148" s="631">
        <v>-122.02974</v>
      </c>
      <c r="F148" s="27" t="s">
        <v>7756</v>
      </c>
      <c r="G148" s="631" t="s">
        <v>27</v>
      </c>
      <c r="H148" s="631" t="s">
        <v>86</v>
      </c>
      <c r="I148" s="12">
        <v>0.3520833333333333</v>
      </c>
      <c r="J148" s="13">
        <v>10473.200000000001</v>
      </c>
      <c r="K148" s="86">
        <v>21.54000015258789</v>
      </c>
      <c r="L148" s="13">
        <v>16.899999999999999</v>
      </c>
      <c r="M148" s="13">
        <v>0.55200000000000005</v>
      </c>
      <c r="N148" s="90" t="s">
        <v>50</v>
      </c>
      <c r="O148" s="14" t="s">
        <v>48</v>
      </c>
      <c r="P148" s="14">
        <v>5</v>
      </c>
      <c r="Q148" s="14">
        <v>5</v>
      </c>
      <c r="R148" s="14" t="s">
        <v>49</v>
      </c>
      <c r="S148" s="631" t="s">
        <v>50</v>
      </c>
      <c r="T148" s="27" t="s">
        <v>50</v>
      </c>
      <c r="U148" s="27" t="s">
        <v>50</v>
      </c>
      <c r="V148" s="27" t="s">
        <v>50</v>
      </c>
      <c r="W148" s="27" t="s">
        <v>50</v>
      </c>
      <c r="X148" s="631" t="s">
        <v>50</v>
      </c>
      <c r="Y148" s="35"/>
    </row>
    <row r="149" spans="1:25" s="131" customFormat="1" ht="15.75" thickBot="1" x14ac:dyDescent="0.3">
      <c r="A149" s="130">
        <v>42958</v>
      </c>
      <c r="B149" s="107" t="str">
        <f t="shared" si="2"/>
        <v>Fri</v>
      </c>
      <c r="C149" s="131" t="s">
        <v>7570</v>
      </c>
      <c r="D149" s="131">
        <v>38.06729</v>
      </c>
      <c r="E149" s="131">
        <v>-121.96924</v>
      </c>
      <c r="F149" s="108" t="s">
        <v>7757</v>
      </c>
      <c r="G149" s="131" t="s">
        <v>27</v>
      </c>
      <c r="H149" s="131" t="s">
        <v>86</v>
      </c>
      <c r="I149" s="132">
        <v>0.41666666666666669</v>
      </c>
      <c r="J149" s="127">
        <v>6374.5</v>
      </c>
      <c r="K149" s="128">
        <v>22.600000381469727</v>
      </c>
      <c r="L149" s="127">
        <v>45.05</v>
      </c>
      <c r="M149" s="127">
        <v>0.43</v>
      </c>
      <c r="N149" s="125" t="s">
        <v>50</v>
      </c>
      <c r="O149" s="129" t="s">
        <v>48</v>
      </c>
      <c r="P149" s="129">
        <v>2</v>
      </c>
      <c r="Q149" s="129">
        <v>5</v>
      </c>
      <c r="R149" s="129" t="s">
        <v>49</v>
      </c>
      <c r="S149" s="129" t="s">
        <v>323</v>
      </c>
      <c r="T149" s="119">
        <v>2</v>
      </c>
      <c r="U149" s="119" t="s">
        <v>7758</v>
      </c>
      <c r="V149" s="118" t="s">
        <v>66</v>
      </c>
      <c r="W149" s="118" t="s">
        <v>50</v>
      </c>
      <c r="X149" s="129" t="s">
        <v>50</v>
      </c>
      <c r="Y149" s="113" t="s">
        <v>5837</v>
      </c>
    </row>
    <row r="150" spans="1:25" s="149" customFormat="1" ht="15.75" thickTop="1" x14ac:dyDescent="0.25">
      <c r="A150" s="179">
        <v>42961</v>
      </c>
      <c r="B150" s="148" t="str">
        <f t="shared" si="2"/>
        <v>Mon</v>
      </c>
      <c r="C150" s="149" t="s">
        <v>95</v>
      </c>
      <c r="D150" s="149">
        <v>38.116630000000001</v>
      </c>
      <c r="E150" s="149">
        <v>-121.62809</v>
      </c>
      <c r="F150" s="149" t="s">
        <v>7759</v>
      </c>
      <c r="G150" s="149" t="s">
        <v>46</v>
      </c>
      <c r="H150" s="149" t="s">
        <v>97</v>
      </c>
      <c r="I150" s="180">
        <v>0.37916666666666665</v>
      </c>
      <c r="J150" s="177">
        <v>139.19999999999999</v>
      </c>
      <c r="K150" s="184">
        <v>23.5</v>
      </c>
      <c r="L150" s="177">
        <v>25.6</v>
      </c>
      <c r="M150" s="177">
        <v>1.33</v>
      </c>
      <c r="N150" s="177" t="s">
        <v>50</v>
      </c>
      <c r="O150" s="181" t="s">
        <v>48</v>
      </c>
      <c r="P150" s="181">
        <v>1</v>
      </c>
      <c r="Q150" s="181">
        <v>5</v>
      </c>
      <c r="R150" s="181" t="s">
        <v>49</v>
      </c>
      <c r="S150" s="181" t="s">
        <v>50</v>
      </c>
      <c r="T150" s="149" t="s">
        <v>50</v>
      </c>
      <c r="U150" s="149" t="s">
        <v>50</v>
      </c>
      <c r="V150" s="149" t="s">
        <v>50</v>
      </c>
      <c r="W150" s="149" t="s">
        <v>50</v>
      </c>
      <c r="X150" s="149" t="s">
        <v>50</v>
      </c>
      <c r="Y150" s="152" t="s">
        <v>7760</v>
      </c>
    </row>
    <row r="151" spans="1:25" s="48" customFormat="1" x14ac:dyDescent="0.25">
      <c r="A151" s="11">
        <v>42961</v>
      </c>
      <c r="B151" s="92" t="str">
        <f t="shared" si="2"/>
        <v>Mon</v>
      </c>
      <c r="C151" s="27" t="s">
        <v>95</v>
      </c>
      <c r="D151" s="631">
        <v>38.105969999999999</v>
      </c>
      <c r="E151" s="631">
        <v>-121.60813</v>
      </c>
      <c r="F151" s="27" t="s">
        <v>7761</v>
      </c>
      <c r="G151" s="631" t="s">
        <v>46</v>
      </c>
      <c r="H151" s="631" t="s">
        <v>97</v>
      </c>
      <c r="I151" s="12">
        <v>0.40625</v>
      </c>
      <c r="J151" s="13">
        <v>148</v>
      </c>
      <c r="K151" s="86">
        <v>23.439999771118163</v>
      </c>
      <c r="L151" s="13">
        <v>12.5</v>
      </c>
      <c r="M151" s="13">
        <v>1.3660000000000001</v>
      </c>
      <c r="N151" s="90" t="s">
        <v>50</v>
      </c>
      <c r="O151" s="14" t="s">
        <v>48</v>
      </c>
      <c r="P151" s="14">
        <v>5</v>
      </c>
      <c r="Q151" s="14">
        <v>5</v>
      </c>
      <c r="R151" s="14" t="s">
        <v>64</v>
      </c>
      <c r="S151" s="14" t="s">
        <v>50</v>
      </c>
      <c r="T151" s="27" t="s">
        <v>50</v>
      </c>
      <c r="U151" s="27" t="s">
        <v>50</v>
      </c>
      <c r="V151" s="27" t="s">
        <v>50</v>
      </c>
      <c r="W151" s="27" t="s">
        <v>50</v>
      </c>
      <c r="X151" s="631" t="s">
        <v>50</v>
      </c>
      <c r="Y151" s="5" t="s">
        <v>7762</v>
      </c>
    </row>
    <row r="152" spans="1:25" s="48" customFormat="1" x14ac:dyDescent="0.25">
      <c r="A152" s="11">
        <v>42961</v>
      </c>
      <c r="B152" s="92" t="str">
        <f t="shared" si="2"/>
        <v>Mon</v>
      </c>
      <c r="C152" s="27" t="s">
        <v>95</v>
      </c>
      <c r="D152" s="631">
        <v>38.036490000000001</v>
      </c>
      <c r="E152" s="631">
        <v>-121.70988</v>
      </c>
      <c r="F152" s="27" t="s">
        <v>7763</v>
      </c>
      <c r="G152" s="631" t="s">
        <v>27</v>
      </c>
      <c r="H152" s="631" t="s">
        <v>95</v>
      </c>
      <c r="I152" s="12">
        <v>0.46736111111111112</v>
      </c>
      <c r="J152" s="13">
        <v>489.8</v>
      </c>
      <c r="K152" s="86">
        <v>23.100000381469727</v>
      </c>
      <c r="L152" s="13">
        <v>12.5</v>
      </c>
      <c r="M152" s="13">
        <v>1.1639999999999999</v>
      </c>
      <c r="N152" s="90" t="s">
        <v>50</v>
      </c>
      <c r="O152" s="14" t="s">
        <v>48</v>
      </c>
      <c r="P152" s="14">
        <v>5</v>
      </c>
      <c r="Q152" s="14">
        <v>5</v>
      </c>
      <c r="R152" s="14" t="s">
        <v>64</v>
      </c>
      <c r="S152" s="14" t="s">
        <v>50</v>
      </c>
      <c r="T152" s="27" t="s">
        <v>50</v>
      </c>
      <c r="U152" s="27" t="s">
        <v>50</v>
      </c>
      <c r="V152" s="27" t="s">
        <v>50</v>
      </c>
      <c r="W152" s="27" t="s">
        <v>50</v>
      </c>
      <c r="X152" s="631" t="s">
        <v>50</v>
      </c>
      <c r="Y152" s="5"/>
    </row>
    <row r="153" spans="1:25" s="149" customFormat="1" x14ac:dyDescent="0.25">
      <c r="A153" s="160">
        <v>42961</v>
      </c>
      <c r="B153" s="148" t="str">
        <f t="shared" si="2"/>
        <v>Mon</v>
      </c>
      <c r="C153" s="149" t="s">
        <v>118</v>
      </c>
      <c r="D153" s="149">
        <v>38.078609999999998</v>
      </c>
      <c r="E153" s="149">
        <v>-122.09871</v>
      </c>
      <c r="F153" s="149" t="s">
        <v>7764</v>
      </c>
      <c r="G153" s="149" t="s">
        <v>80</v>
      </c>
      <c r="H153" s="149" t="s">
        <v>81</v>
      </c>
      <c r="I153" s="165">
        <v>0.38611111111111113</v>
      </c>
      <c r="J153" s="163" t="s">
        <v>50</v>
      </c>
      <c r="K153" s="163" t="s">
        <v>50</v>
      </c>
      <c r="L153" s="163" t="s">
        <v>50</v>
      </c>
      <c r="M153" s="163" t="s">
        <v>50</v>
      </c>
      <c r="N153" s="177" t="s">
        <v>50</v>
      </c>
      <c r="O153" s="161" t="s">
        <v>48</v>
      </c>
      <c r="P153" s="161">
        <v>0</v>
      </c>
      <c r="Q153" s="161" t="s">
        <v>50</v>
      </c>
      <c r="R153" s="161" t="s">
        <v>50</v>
      </c>
      <c r="S153" s="161" t="s">
        <v>50</v>
      </c>
      <c r="T153" s="162" t="s">
        <v>50</v>
      </c>
      <c r="U153" s="162" t="s">
        <v>50</v>
      </c>
      <c r="V153" s="161" t="s">
        <v>50</v>
      </c>
      <c r="W153" s="161" t="s">
        <v>50</v>
      </c>
      <c r="X153" s="161" t="s">
        <v>50</v>
      </c>
      <c r="Y153" s="152" t="s">
        <v>7765</v>
      </c>
    </row>
    <row r="154" spans="1:25" s="149" customFormat="1" x14ac:dyDescent="0.25">
      <c r="A154" s="160">
        <v>42961</v>
      </c>
      <c r="B154" s="148" t="str">
        <f t="shared" si="2"/>
        <v>Mon</v>
      </c>
      <c r="C154" s="149" t="s">
        <v>118</v>
      </c>
      <c r="D154" s="149">
        <v>38.044289999999997</v>
      </c>
      <c r="E154" s="16">
        <v>38.08314</v>
      </c>
      <c r="F154" s="149" t="s">
        <v>7766</v>
      </c>
      <c r="G154" s="149" t="s">
        <v>80</v>
      </c>
      <c r="H154" s="149" t="s">
        <v>81</v>
      </c>
      <c r="I154" s="165">
        <v>0.39027777777777778</v>
      </c>
      <c r="J154" s="163" t="s">
        <v>50</v>
      </c>
      <c r="K154" s="163" t="s">
        <v>50</v>
      </c>
      <c r="L154" s="163" t="s">
        <v>50</v>
      </c>
      <c r="M154" s="163" t="s">
        <v>50</v>
      </c>
      <c r="N154" s="177" t="s">
        <v>50</v>
      </c>
      <c r="O154" s="161" t="s">
        <v>48</v>
      </c>
      <c r="P154" s="161">
        <v>0</v>
      </c>
      <c r="Q154" s="161" t="s">
        <v>50</v>
      </c>
      <c r="R154" s="161" t="s">
        <v>50</v>
      </c>
      <c r="S154" s="161" t="s">
        <v>50</v>
      </c>
      <c r="T154" s="162" t="s">
        <v>50</v>
      </c>
      <c r="U154" s="162" t="s">
        <v>50</v>
      </c>
      <c r="V154" s="161" t="s">
        <v>50</v>
      </c>
      <c r="W154" s="161" t="s">
        <v>50</v>
      </c>
      <c r="X154" s="161" t="s">
        <v>50</v>
      </c>
      <c r="Y154" s="152" t="s">
        <v>7765</v>
      </c>
    </row>
    <row r="155" spans="1:25" s="149" customFormat="1" x14ac:dyDescent="0.25">
      <c r="A155" s="160">
        <v>42961</v>
      </c>
      <c r="B155" s="148" t="str">
        <f t="shared" si="2"/>
        <v>Mon</v>
      </c>
      <c r="C155" s="149" t="s">
        <v>118</v>
      </c>
      <c r="D155" s="149">
        <v>38.052860000000003</v>
      </c>
      <c r="E155" s="149">
        <v>-122.30589999999999</v>
      </c>
      <c r="F155" s="149" t="s">
        <v>7767</v>
      </c>
      <c r="G155" s="149" t="s">
        <v>80</v>
      </c>
      <c r="H155" s="149" t="s">
        <v>123</v>
      </c>
      <c r="I155" s="165">
        <v>0.42708333333333331</v>
      </c>
      <c r="J155" s="163" t="s">
        <v>50</v>
      </c>
      <c r="K155" s="163" t="s">
        <v>50</v>
      </c>
      <c r="L155" s="163" t="s">
        <v>50</v>
      </c>
      <c r="M155" s="163" t="s">
        <v>50</v>
      </c>
      <c r="N155" s="177" t="s">
        <v>50</v>
      </c>
      <c r="O155" s="161" t="s">
        <v>48</v>
      </c>
      <c r="P155" s="161">
        <v>0</v>
      </c>
      <c r="Q155" s="161" t="s">
        <v>50</v>
      </c>
      <c r="R155" s="161" t="s">
        <v>50</v>
      </c>
      <c r="S155" s="161" t="s">
        <v>50</v>
      </c>
      <c r="T155" s="162" t="s">
        <v>50</v>
      </c>
      <c r="U155" s="162" t="s">
        <v>50</v>
      </c>
      <c r="V155" s="161" t="s">
        <v>50</v>
      </c>
      <c r="W155" s="161" t="s">
        <v>50</v>
      </c>
      <c r="X155" s="161" t="s">
        <v>50</v>
      </c>
      <c r="Y155" s="152" t="s">
        <v>7768</v>
      </c>
    </row>
    <row r="156" spans="1:25" s="149" customFormat="1" x14ac:dyDescent="0.25">
      <c r="A156" s="160">
        <v>42961</v>
      </c>
      <c r="B156" s="148" t="str">
        <f t="shared" si="2"/>
        <v>Mon</v>
      </c>
      <c r="C156" s="149" t="s">
        <v>118</v>
      </c>
      <c r="D156" s="149">
        <v>38.03631</v>
      </c>
      <c r="E156" s="149">
        <v>-122.32023</v>
      </c>
      <c r="F156" s="149" t="s">
        <v>7769</v>
      </c>
      <c r="G156" s="149" t="s">
        <v>80</v>
      </c>
      <c r="H156" s="149" t="s">
        <v>123</v>
      </c>
      <c r="I156" s="165">
        <v>0.43055555555555558</v>
      </c>
      <c r="J156" s="163" t="s">
        <v>50</v>
      </c>
      <c r="K156" s="163" t="s">
        <v>50</v>
      </c>
      <c r="L156" s="163" t="s">
        <v>50</v>
      </c>
      <c r="M156" s="163" t="s">
        <v>50</v>
      </c>
      <c r="N156" s="177" t="s">
        <v>50</v>
      </c>
      <c r="O156" s="161" t="s">
        <v>48</v>
      </c>
      <c r="P156" s="161">
        <v>0</v>
      </c>
      <c r="Q156" s="161" t="s">
        <v>50</v>
      </c>
      <c r="R156" s="161" t="s">
        <v>50</v>
      </c>
      <c r="S156" s="161" t="s">
        <v>50</v>
      </c>
      <c r="T156" s="162" t="s">
        <v>50</v>
      </c>
      <c r="U156" s="162" t="s">
        <v>50</v>
      </c>
      <c r="V156" s="161" t="s">
        <v>50</v>
      </c>
      <c r="W156" s="161" t="s">
        <v>50</v>
      </c>
      <c r="X156" s="161" t="s">
        <v>50</v>
      </c>
      <c r="Y156" s="152" t="s">
        <v>7768</v>
      </c>
    </row>
    <row r="157" spans="1:25" s="149" customFormat="1" x14ac:dyDescent="0.25">
      <c r="A157" s="160">
        <v>42961</v>
      </c>
      <c r="B157" s="148" t="str">
        <f t="shared" si="2"/>
        <v>Mon</v>
      </c>
      <c r="C157" s="149" t="s">
        <v>118</v>
      </c>
      <c r="D157" s="149">
        <v>38.08681</v>
      </c>
      <c r="E157" s="149">
        <v>-122.25125</v>
      </c>
      <c r="F157" s="149" t="s">
        <v>7770</v>
      </c>
      <c r="G157" s="149" t="s">
        <v>80</v>
      </c>
      <c r="H157" s="149" t="s">
        <v>191</v>
      </c>
      <c r="I157" s="165">
        <v>0.45833333333333331</v>
      </c>
      <c r="J157" s="163">
        <v>24430</v>
      </c>
      <c r="K157" s="183">
        <v>20.399999618530273</v>
      </c>
      <c r="L157" s="163">
        <v>29.4</v>
      </c>
      <c r="M157" s="163">
        <v>0.48</v>
      </c>
      <c r="N157" s="177" t="s">
        <v>50</v>
      </c>
      <c r="O157" s="161" t="s">
        <v>48</v>
      </c>
      <c r="P157" s="161">
        <v>1</v>
      </c>
      <c r="Q157" s="161">
        <v>3</v>
      </c>
      <c r="R157" s="161" t="s">
        <v>49</v>
      </c>
      <c r="S157" s="161" t="s">
        <v>50</v>
      </c>
      <c r="T157" s="162" t="s">
        <v>50</v>
      </c>
      <c r="U157" s="162" t="s">
        <v>50</v>
      </c>
      <c r="V157" s="161" t="s">
        <v>50</v>
      </c>
      <c r="W157" s="161" t="s">
        <v>50</v>
      </c>
      <c r="X157" s="161" t="s">
        <v>50</v>
      </c>
      <c r="Y157" s="152" t="s">
        <v>7771</v>
      </c>
    </row>
    <row r="158" spans="1:25" s="48" customFormat="1" x14ac:dyDescent="0.25">
      <c r="A158" s="11">
        <v>42961</v>
      </c>
      <c r="B158" s="92" t="str">
        <f t="shared" si="2"/>
        <v>Mon</v>
      </c>
      <c r="C158" s="631" t="s">
        <v>6849</v>
      </c>
      <c r="D158" s="631">
        <v>38.130339999999997</v>
      </c>
      <c r="E158" s="631">
        <v>-121.58045</v>
      </c>
      <c r="F158" s="27" t="s">
        <v>7772</v>
      </c>
      <c r="G158" s="631" t="s">
        <v>90</v>
      </c>
      <c r="H158" s="631" t="s">
        <v>6892</v>
      </c>
      <c r="I158" s="12">
        <v>0.34097222222222223</v>
      </c>
      <c r="J158" s="31">
        <v>112.9375</v>
      </c>
      <c r="K158" s="86">
        <v>22.437499761581421</v>
      </c>
      <c r="L158" s="31">
        <v>8.4700000000000006</v>
      </c>
      <c r="M158" s="31">
        <v>1.2975000000000001</v>
      </c>
      <c r="N158" s="90" t="s">
        <v>50</v>
      </c>
      <c r="O158" s="32" t="s">
        <v>48</v>
      </c>
      <c r="P158" s="32">
        <v>8</v>
      </c>
      <c r="Q158" s="14">
        <v>10</v>
      </c>
      <c r="R158" s="14" t="s">
        <v>49</v>
      </c>
      <c r="S158" s="14" t="s">
        <v>50</v>
      </c>
      <c r="T158" s="18" t="s">
        <v>50</v>
      </c>
      <c r="U158" s="18" t="s">
        <v>50</v>
      </c>
      <c r="V158" s="14" t="s">
        <v>50</v>
      </c>
      <c r="W158" s="14" t="s">
        <v>50</v>
      </c>
      <c r="X158" s="14" t="s">
        <v>50</v>
      </c>
      <c r="Y158" s="5" t="s">
        <v>7773</v>
      </c>
    </row>
    <row r="159" spans="1:25" s="48" customFormat="1" x14ac:dyDescent="0.25">
      <c r="A159" s="11">
        <v>42961</v>
      </c>
      <c r="B159" s="92" t="str">
        <f t="shared" si="2"/>
        <v>Mon</v>
      </c>
      <c r="C159" s="631" t="s">
        <v>6849</v>
      </c>
      <c r="D159" s="631">
        <v>38.279260000000001</v>
      </c>
      <c r="E159" s="631">
        <v>-121.54537000000001</v>
      </c>
      <c r="F159" s="27" t="s">
        <v>7774</v>
      </c>
      <c r="G159" s="631" t="s">
        <v>90</v>
      </c>
      <c r="H159" s="631" t="s">
        <v>6851</v>
      </c>
      <c r="I159" s="12">
        <v>0.52152777777777781</v>
      </c>
      <c r="J159" s="31">
        <v>117.3875</v>
      </c>
      <c r="K159" s="86">
        <v>22.087500095367432</v>
      </c>
      <c r="L159" s="31">
        <v>10.6225</v>
      </c>
      <c r="M159" s="31">
        <v>1.2475000000000001</v>
      </c>
      <c r="N159" s="90" t="s">
        <v>50</v>
      </c>
      <c r="O159" s="32" t="s">
        <v>48</v>
      </c>
      <c r="P159" s="32">
        <v>8</v>
      </c>
      <c r="Q159" s="14">
        <v>10</v>
      </c>
      <c r="R159" s="14" t="s">
        <v>49</v>
      </c>
      <c r="S159" s="14" t="s">
        <v>50</v>
      </c>
      <c r="T159" s="18" t="s">
        <v>50</v>
      </c>
      <c r="U159" s="18" t="s">
        <v>50</v>
      </c>
      <c r="V159" s="14" t="s">
        <v>50</v>
      </c>
      <c r="W159" s="14" t="s">
        <v>50</v>
      </c>
      <c r="X159" s="14" t="s">
        <v>50</v>
      </c>
      <c r="Y159" s="5" t="s">
        <v>7773</v>
      </c>
    </row>
    <row r="160" spans="1:25" s="48" customFormat="1" x14ac:dyDescent="0.25">
      <c r="A160" s="11">
        <v>42962</v>
      </c>
      <c r="B160" s="92" t="str">
        <f t="shared" si="2"/>
        <v>Tue</v>
      </c>
      <c r="C160" s="631" t="s">
        <v>7570</v>
      </c>
      <c r="D160" s="631">
        <v>38.16724</v>
      </c>
      <c r="E160" s="631">
        <v>-121.93980999999999</v>
      </c>
      <c r="F160" s="27" t="s">
        <v>7775</v>
      </c>
      <c r="G160" s="631" t="s">
        <v>27</v>
      </c>
      <c r="H160" s="631" t="s">
        <v>62</v>
      </c>
      <c r="I160" s="12">
        <v>0.36805555555555558</v>
      </c>
      <c r="J160" s="31">
        <v>6288.2</v>
      </c>
      <c r="K160" s="86">
        <v>21.41999969482422</v>
      </c>
      <c r="L160" s="31" t="s">
        <v>50</v>
      </c>
      <c r="M160" s="31">
        <v>0.36</v>
      </c>
      <c r="N160" s="90" t="s">
        <v>50</v>
      </c>
      <c r="O160" s="32" t="s">
        <v>48</v>
      </c>
      <c r="P160" s="32">
        <v>5</v>
      </c>
      <c r="Q160" s="14">
        <v>5</v>
      </c>
      <c r="R160" s="14" t="s">
        <v>64</v>
      </c>
      <c r="S160" s="14" t="s">
        <v>50</v>
      </c>
      <c r="T160" s="18" t="s">
        <v>50</v>
      </c>
      <c r="U160" s="18" t="s">
        <v>50</v>
      </c>
      <c r="V160" s="14" t="s">
        <v>50</v>
      </c>
      <c r="W160" s="14" t="s">
        <v>50</v>
      </c>
      <c r="X160" s="14" t="s">
        <v>50</v>
      </c>
      <c r="Y160" s="5" t="s">
        <v>766</v>
      </c>
    </row>
    <row r="161" spans="1:25" s="48" customFormat="1" x14ac:dyDescent="0.25">
      <c r="A161" s="11">
        <v>42962</v>
      </c>
      <c r="B161" s="92" t="str">
        <f t="shared" si="2"/>
        <v>Tue</v>
      </c>
      <c r="C161" s="631" t="s">
        <v>106</v>
      </c>
      <c r="D161" s="631">
        <v>38.565069999999999</v>
      </c>
      <c r="E161" s="631">
        <v>-121.55181</v>
      </c>
      <c r="F161" s="27" t="s">
        <v>7776</v>
      </c>
      <c r="G161" s="631" t="s">
        <v>90</v>
      </c>
      <c r="H161" s="631" t="s">
        <v>7577</v>
      </c>
      <c r="I161" s="12">
        <v>0.35694444444444445</v>
      </c>
      <c r="J161" s="13">
        <v>801</v>
      </c>
      <c r="K161" s="86">
        <v>25.220000076293946</v>
      </c>
      <c r="L161" s="13">
        <v>5.1139999999999999</v>
      </c>
      <c r="M161" s="13">
        <v>1.6459999999999999</v>
      </c>
      <c r="N161" s="90" t="s">
        <v>50</v>
      </c>
      <c r="O161" s="14" t="s">
        <v>48</v>
      </c>
      <c r="P161" s="14">
        <v>5</v>
      </c>
      <c r="Q161" s="14">
        <v>5</v>
      </c>
      <c r="R161" s="14" t="s">
        <v>49</v>
      </c>
      <c r="S161" s="14" t="s">
        <v>50</v>
      </c>
      <c r="T161" s="18" t="s">
        <v>50</v>
      </c>
      <c r="U161" s="18" t="s">
        <v>50</v>
      </c>
      <c r="V161" s="14" t="s">
        <v>50</v>
      </c>
      <c r="W161" s="14" t="s">
        <v>50</v>
      </c>
      <c r="X161" s="14" t="s">
        <v>50</v>
      </c>
      <c r="Y161" s="5" t="s">
        <v>7777</v>
      </c>
    </row>
    <row r="162" spans="1:25" s="27" customFormat="1" x14ac:dyDescent="0.25">
      <c r="A162" s="36">
        <v>42962</v>
      </c>
      <c r="B162" s="92" t="str">
        <f t="shared" si="2"/>
        <v>Tue</v>
      </c>
      <c r="C162" s="27" t="s">
        <v>106</v>
      </c>
      <c r="D162" s="27">
        <v>38.389220000000002</v>
      </c>
      <c r="E162" s="27">
        <v>-121.62242999999999</v>
      </c>
      <c r="F162" s="27" t="s">
        <v>7778</v>
      </c>
      <c r="G162" s="27" t="s">
        <v>90</v>
      </c>
      <c r="H162" s="27" t="s">
        <v>7577</v>
      </c>
      <c r="I162" s="30">
        <v>0.43472222222222223</v>
      </c>
      <c r="J162" s="31">
        <v>434.4</v>
      </c>
      <c r="K162" s="86">
        <v>22.774999618530273</v>
      </c>
      <c r="L162" s="31">
        <v>38.6</v>
      </c>
      <c r="M162" s="31">
        <v>0.28000000000000003</v>
      </c>
      <c r="N162" s="90" t="s">
        <v>50</v>
      </c>
      <c r="O162" s="32" t="s">
        <v>48</v>
      </c>
      <c r="P162" s="32">
        <v>4</v>
      </c>
      <c r="Q162" s="32">
        <v>5</v>
      </c>
      <c r="R162" s="32" t="s">
        <v>64</v>
      </c>
      <c r="S162" s="32" t="s">
        <v>323</v>
      </c>
      <c r="T162" s="79">
        <v>1</v>
      </c>
      <c r="U162" s="79">
        <v>54</v>
      </c>
      <c r="V162" s="32" t="s">
        <v>66</v>
      </c>
      <c r="W162" s="32" t="s">
        <v>50</v>
      </c>
      <c r="X162" s="32" t="s">
        <v>50</v>
      </c>
      <c r="Y162" s="35" t="s">
        <v>5604</v>
      </c>
    </row>
    <row r="163" spans="1:25" s="27" customFormat="1" x14ac:dyDescent="0.25">
      <c r="A163" s="36">
        <v>42962</v>
      </c>
      <c r="B163" s="92" t="str">
        <f t="shared" si="2"/>
        <v>Tue</v>
      </c>
      <c r="C163" s="27" t="s">
        <v>118</v>
      </c>
      <c r="D163" s="27">
        <v>38.060630000000003</v>
      </c>
      <c r="E163" s="27">
        <v>-122.26877</v>
      </c>
      <c r="F163" s="27" t="s">
        <v>7779</v>
      </c>
      <c r="G163" s="27" t="s">
        <v>80</v>
      </c>
      <c r="H163" s="27" t="s">
        <v>123</v>
      </c>
      <c r="I163" s="30">
        <v>0.30694444444444441</v>
      </c>
      <c r="J163" s="31">
        <v>57208</v>
      </c>
      <c r="K163" s="86">
        <v>19.874999523162842</v>
      </c>
      <c r="L163" s="31">
        <v>18.162500000000001</v>
      </c>
      <c r="M163" s="31">
        <v>0.71499999999999997</v>
      </c>
      <c r="N163" s="90" t="s">
        <v>50</v>
      </c>
      <c r="O163" s="32" t="s">
        <v>48</v>
      </c>
      <c r="P163" s="32">
        <v>8</v>
      </c>
      <c r="Q163" s="32">
        <v>10</v>
      </c>
      <c r="R163" s="32" t="s">
        <v>64</v>
      </c>
      <c r="S163" s="14" t="s">
        <v>50</v>
      </c>
      <c r="T163" s="18" t="s">
        <v>50</v>
      </c>
      <c r="U163" s="18" t="s">
        <v>50</v>
      </c>
      <c r="V163" s="14" t="s">
        <v>50</v>
      </c>
      <c r="W163" s="14" t="s">
        <v>50</v>
      </c>
      <c r="X163" s="14" t="s">
        <v>50</v>
      </c>
      <c r="Y163" s="35"/>
    </row>
    <row r="164" spans="1:25" s="27" customFormat="1" x14ac:dyDescent="0.25">
      <c r="A164" s="36">
        <v>42962</v>
      </c>
      <c r="B164" s="92" t="str">
        <f t="shared" si="2"/>
        <v>Tue</v>
      </c>
      <c r="C164" s="27" t="s">
        <v>118</v>
      </c>
      <c r="D164" s="27">
        <v>38.026380000000003</v>
      </c>
      <c r="E164" s="27">
        <v>-122.29692</v>
      </c>
      <c r="F164" s="27" t="s">
        <v>7780</v>
      </c>
      <c r="G164" s="27" t="s">
        <v>80</v>
      </c>
      <c r="H164" s="27" t="s">
        <v>123</v>
      </c>
      <c r="I164" s="30">
        <v>0.4375</v>
      </c>
      <c r="J164" s="31">
        <v>33115.5</v>
      </c>
      <c r="K164" s="86">
        <v>19.112499952316284</v>
      </c>
      <c r="L164" s="31">
        <v>15.762499999999999</v>
      </c>
      <c r="M164" s="31">
        <v>0.63124999999999998</v>
      </c>
      <c r="N164" s="90" t="s">
        <v>50</v>
      </c>
      <c r="O164" s="32" t="s">
        <v>48</v>
      </c>
      <c r="P164" s="32">
        <v>8</v>
      </c>
      <c r="Q164" s="32">
        <v>10</v>
      </c>
      <c r="R164" s="32" t="s">
        <v>64</v>
      </c>
      <c r="S164" s="32" t="s">
        <v>31</v>
      </c>
      <c r="T164" s="32">
        <v>1</v>
      </c>
      <c r="U164" s="32">
        <v>50</v>
      </c>
      <c r="V164" s="32" t="s">
        <v>66</v>
      </c>
      <c r="W164" s="32" t="s">
        <v>50</v>
      </c>
      <c r="X164" s="32" t="s">
        <v>50</v>
      </c>
      <c r="Y164" s="35"/>
    </row>
    <row r="165" spans="1:25" s="27" customFormat="1" x14ac:dyDescent="0.25">
      <c r="A165" s="36">
        <v>42963</v>
      </c>
      <c r="B165" s="92" t="str">
        <f t="shared" si="2"/>
        <v>Wed</v>
      </c>
      <c r="C165" s="27" t="s">
        <v>7570</v>
      </c>
      <c r="D165" s="27">
        <v>38.133450000000003</v>
      </c>
      <c r="E165" s="27">
        <v>-122.05862999999999</v>
      </c>
      <c r="F165" s="27" t="s">
        <v>7781</v>
      </c>
      <c r="G165" s="27" t="s">
        <v>27</v>
      </c>
      <c r="H165" s="27" t="s">
        <v>62</v>
      </c>
      <c r="I165" s="30">
        <v>0.3666666666666667</v>
      </c>
      <c r="J165" s="31">
        <v>9018.5</v>
      </c>
      <c r="K165" s="86">
        <v>20.049999237060547</v>
      </c>
      <c r="L165" s="31">
        <v>69.45</v>
      </c>
      <c r="M165" s="31">
        <v>0.315</v>
      </c>
      <c r="N165" s="90" t="s">
        <v>50</v>
      </c>
      <c r="O165" s="32" t="s">
        <v>48</v>
      </c>
      <c r="P165" s="32">
        <v>2</v>
      </c>
      <c r="Q165" s="32">
        <v>5</v>
      </c>
      <c r="R165" s="32" t="s">
        <v>64</v>
      </c>
      <c r="S165" s="32" t="s">
        <v>323</v>
      </c>
      <c r="T165" s="32">
        <v>3</v>
      </c>
      <c r="U165" s="32" t="s">
        <v>7782</v>
      </c>
      <c r="V165" s="32" t="s">
        <v>66</v>
      </c>
      <c r="W165" s="32" t="s">
        <v>50</v>
      </c>
      <c r="X165" s="32" t="s">
        <v>50</v>
      </c>
      <c r="Y165" s="35" t="s">
        <v>7783</v>
      </c>
    </row>
    <row r="166" spans="1:25" s="27" customFormat="1" x14ac:dyDescent="0.25">
      <c r="A166" s="36">
        <v>42963</v>
      </c>
      <c r="B166" s="92" t="str">
        <f t="shared" si="2"/>
        <v>Wed</v>
      </c>
      <c r="C166" s="27" t="s">
        <v>7570</v>
      </c>
      <c r="D166" s="27">
        <v>38.058900000000001</v>
      </c>
      <c r="E166" s="27">
        <v>-122.00704</v>
      </c>
      <c r="F166" s="27" t="s">
        <v>7784</v>
      </c>
      <c r="G166" s="27" t="s">
        <v>27</v>
      </c>
      <c r="H166" s="27" t="s">
        <v>86</v>
      </c>
      <c r="I166" s="30">
        <v>0.41875000000000001</v>
      </c>
      <c r="J166" s="31">
        <v>8138</v>
      </c>
      <c r="K166" s="86">
        <v>21.140000534057616</v>
      </c>
      <c r="L166" s="31">
        <v>20.76</v>
      </c>
      <c r="M166" s="31">
        <v>0.71799999999999997</v>
      </c>
      <c r="N166" s="90" t="s">
        <v>50</v>
      </c>
      <c r="O166" s="32" t="s">
        <v>48</v>
      </c>
      <c r="P166" s="32">
        <v>5</v>
      </c>
      <c r="Q166" s="32">
        <v>5</v>
      </c>
      <c r="R166" s="32" t="s">
        <v>64</v>
      </c>
      <c r="S166" s="14" t="s">
        <v>50</v>
      </c>
      <c r="T166" s="18" t="s">
        <v>50</v>
      </c>
      <c r="U166" s="18" t="s">
        <v>50</v>
      </c>
      <c r="V166" s="14" t="s">
        <v>50</v>
      </c>
      <c r="W166" s="14" t="s">
        <v>50</v>
      </c>
      <c r="X166" s="14" t="s">
        <v>50</v>
      </c>
      <c r="Y166" s="35"/>
    </row>
    <row r="167" spans="1:25" s="27" customFormat="1" x14ac:dyDescent="0.25">
      <c r="A167" s="36">
        <v>42963</v>
      </c>
      <c r="B167" s="92" t="str">
        <f t="shared" si="2"/>
        <v>Wed</v>
      </c>
      <c r="C167" s="27" t="s">
        <v>7570</v>
      </c>
      <c r="D167" s="27">
        <v>38.047969999999999</v>
      </c>
      <c r="E167" s="27">
        <v>-121.89138</v>
      </c>
      <c r="F167" s="27" t="s">
        <v>7785</v>
      </c>
      <c r="G167" s="27" t="s">
        <v>27</v>
      </c>
      <c r="H167" s="27" t="s">
        <v>170</v>
      </c>
      <c r="I167" s="30">
        <v>0.48194444444444445</v>
      </c>
      <c r="J167" s="31">
        <v>3154.25</v>
      </c>
      <c r="K167" s="86">
        <v>21.474999904632568</v>
      </c>
      <c r="L167" s="31">
        <v>20.9</v>
      </c>
      <c r="M167" s="31">
        <v>0.6825</v>
      </c>
      <c r="N167" s="90" t="s">
        <v>50</v>
      </c>
      <c r="O167" s="32" t="s">
        <v>48</v>
      </c>
      <c r="P167" s="32">
        <v>4</v>
      </c>
      <c r="Q167" s="32">
        <v>5</v>
      </c>
      <c r="R167" s="32" t="s">
        <v>64</v>
      </c>
      <c r="S167" s="32" t="s">
        <v>323</v>
      </c>
      <c r="T167" s="32">
        <v>1</v>
      </c>
      <c r="U167" s="32">
        <v>52</v>
      </c>
      <c r="V167" s="32" t="s">
        <v>66</v>
      </c>
      <c r="W167" s="32" t="s">
        <v>50</v>
      </c>
      <c r="X167" s="32" t="s">
        <v>50</v>
      </c>
      <c r="Y167" s="35" t="s">
        <v>5604</v>
      </c>
    </row>
    <row r="168" spans="1:25" s="27" customFormat="1" x14ac:dyDescent="0.25">
      <c r="A168" s="36">
        <v>42963</v>
      </c>
      <c r="B168" s="92" t="str">
        <f t="shared" si="2"/>
        <v>Wed</v>
      </c>
      <c r="C168" s="27" t="s">
        <v>118</v>
      </c>
      <c r="D168" s="27">
        <v>38.044440000000002</v>
      </c>
      <c r="E168" s="27">
        <v>-122.16934999999999</v>
      </c>
      <c r="F168" s="27" t="s">
        <v>7786</v>
      </c>
      <c r="G168" s="27" t="s">
        <v>80</v>
      </c>
      <c r="H168" s="27" t="s">
        <v>120</v>
      </c>
      <c r="I168" s="30">
        <v>0.30694444444444441</v>
      </c>
      <c r="J168" s="31">
        <v>15872.67</v>
      </c>
      <c r="K168" s="86">
        <v>20.483333269755047</v>
      </c>
      <c r="L168" s="31">
        <v>23.783329999999999</v>
      </c>
      <c r="M168" s="31">
        <v>0.58166700000000005</v>
      </c>
      <c r="N168" s="90" t="s">
        <v>50</v>
      </c>
      <c r="O168" s="32" t="s">
        <v>48</v>
      </c>
      <c r="P168" s="32">
        <v>6</v>
      </c>
      <c r="Q168" s="32">
        <v>10</v>
      </c>
      <c r="R168" s="32" t="s">
        <v>64</v>
      </c>
      <c r="S168" s="32" t="s">
        <v>323</v>
      </c>
      <c r="T168" s="79">
        <v>1</v>
      </c>
      <c r="U168" s="79">
        <v>56</v>
      </c>
      <c r="V168" s="32" t="s">
        <v>66</v>
      </c>
      <c r="W168" s="32" t="s">
        <v>50</v>
      </c>
      <c r="X168" s="32" t="s">
        <v>50</v>
      </c>
      <c r="Y168" s="35"/>
    </row>
    <row r="169" spans="1:25" s="27" customFormat="1" x14ac:dyDescent="0.25">
      <c r="A169" s="36">
        <v>42963</v>
      </c>
      <c r="B169" s="92" t="str">
        <f t="shared" si="2"/>
        <v>Wed</v>
      </c>
      <c r="C169" s="27" t="s">
        <v>118</v>
      </c>
      <c r="D169" s="27">
        <v>38.056420000000003</v>
      </c>
      <c r="E169" s="27">
        <v>-122.19240000000001</v>
      </c>
      <c r="F169" s="27" t="s">
        <v>7787</v>
      </c>
      <c r="G169" s="27" t="s">
        <v>80</v>
      </c>
      <c r="H169" s="27" t="s">
        <v>120</v>
      </c>
      <c r="I169" s="30">
        <v>0.40902777777777777</v>
      </c>
      <c r="J169" s="31">
        <v>22232.880000000001</v>
      </c>
      <c r="K169" s="86">
        <v>20.34999942779541</v>
      </c>
      <c r="L169" s="31">
        <v>16.649999999999999</v>
      </c>
      <c r="M169" s="31">
        <v>0.64624999999999999</v>
      </c>
      <c r="N169" s="90" t="s">
        <v>50</v>
      </c>
      <c r="O169" s="32" t="s">
        <v>48</v>
      </c>
      <c r="P169" s="32">
        <v>8</v>
      </c>
      <c r="Q169" s="32">
        <v>10</v>
      </c>
      <c r="R169" s="32" t="s">
        <v>64</v>
      </c>
      <c r="S169" s="14" t="s">
        <v>50</v>
      </c>
      <c r="T169" s="18" t="s">
        <v>50</v>
      </c>
      <c r="U169" s="18" t="s">
        <v>50</v>
      </c>
      <c r="V169" s="14" t="s">
        <v>50</v>
      </c>
      <c r="W169" s="14" t="s">
        <v>50</v>
      </c>
      <c r="X169" s="14" t="s">
        <v>50</v>
      </c>
      <c r="Y169" s="35"/>
    </row>
    <row r="170" spans="1:25" s="27" customFormat="1" x14ac:dyDescent="0.25">
      <c r="A170" s="36">
        <v>42963</v>
      </c>
      <c r="B170" s="92" t="str">
        <f t="shared" si="2"/>
        <v>Wed</v>
      </c>
      <c r="C170" s="27" t="s">
        <v>845</v>
      </c>
      <c r="D170" s="27">
        <v>38.260919999999999</v>
      </c>
      <c r="E170" s="27">
        <v>-121.66543</v>
      </c>
      <c r="F170" s="27" t="s">
        <v>7788</v>
      </c>
      <c r="G170" s="27" t="s">
        <v>90</v>
      </c>
      <c r="H170" s="27" t="s">
        <v>126</v>
      </c>
      <c r="I170" s="30">
        <v>0.32222222222222224</v>
      </c>
      <c r="J170" s="31">
        <v>198.06</v>
      </c>
      <c r="K170" s="86">
        <v>22.459999465942381</v>
      </c>
      <c r="L170" s="31">
        <v>10.327999999999999</v>
      </c>
      <c r="M170" s="31">
        <v>0.93799999999999994</v>
      </c>
      <c r="N170" s="90" t="s">
        <v>50</v>
      </c>
      <c r="O170" s="32" t="s">
        <v>48</v>
      </c>
      <c r="P170" s="32">
        <v>5</v>
      </c>
      <c r="Q170" s="32">
        <v>5</v>
      </c>
      <c r="R170" s="32" t="s">
        <v>64</v>
      </c>
      <c r="S170" s="14" t="s">
        <v>50</v>
      </c>
      <c r="T170" s="18" t="s">
        <v>50</v>
      </c>
      <c r="U170" s="18" t="s">
        <v>50</v>
      </c>
      <c r="V170" s="14" t="s">
        <v>50</v>
      </c>
      <c r="W170" s="14" t="s">
        <v>50</v>
      </c>
      <c r="X170" s="14" t="s">
        <v>50</v>
      </c>
      <c r="Y170" s="5" t="s">
        <v>7711</v>
      </c>
    </row>
    <row r="171" spans="1:25" s="27" customFormat="1" x14ac:dyDescent="0.25">
      <c r="A171" s="36">
        <v>42963</v>
      </c>
      <c r="B171" s="92" t="str">
        <f t="shared" si="2"/>
        <v>Wed</v>
      </c>
      <c r="C171" s="27" t="s">
        <v>845</v>
      </c>
      <c r="D171" s="27">
        <v>38.247869999999999</v>
      </c>
      <c r="E171" s="27">
        <v>-121.69552</v>
      </c>
      <c r="F171" s="27" t="s">
        <v>7789</v>
      </c>
      <c r="G171" s="27" t="s">
        <v>90</v>
      </c>
      <c r="H171" s="27" t="s">
        <v>126</v>
      </c>
      <c r="I171" s="30">
        <v>0.44236111111111115</v>
      </c>
      <c r="J171" s="31">
        <v>692.62</v>
      </c>
      <c r="K171" s="86">
        <v>21.839999771118165</v>
      </c>
      <c r="L171" s="31">
        <v>10.548</v>
      </c>
      <c r="M171" s="31">
        <v>0.98</v>
      </c>
      <c r="N171" s="90" t="s">
        <v>50</v>
      </c>
      <c r="O171" s="32" t="s">
        <v>48</v>
      </c>
      <c r="P171" s="32">
        <v>5</v>
      </c>
      <c r="Q171" s="32">
        <v>5</v>
      </c>
      <c r="R171" s="32" t="s">
        <v>49</v>
      </c>
      <c r="S171" s="14" t="s">
        <v>50</v>
      </c>
      <c r="T171" s="18" t="s">
        <v>50</v>
      </c>
      <c r="U171" s="18" t="s">
        <v>50</v>
      </c>
      <c r="V171" s="14" t="s">
        <v>50</v>
      </c>
      <c r="W171" s="14" t="s">
        <v>50</v>
      </c>
      <c r="X171" s="14" t="s">
        <v>50</v>
      </c>
      <c r="Y171" s="5" t="s">
        <v>7711</v>
      </c>
    </row>
    <row r="172" spans="1:25" s="27" customFormat="1" x14ac:dyDescent="0.25">
      <c r="A172" s="36">
        <v>42964</v>
      </c>
      <c r="B172" s="92" t="str">
        <f t="shared" si="2"/>
        <v>Thu</v>
      </c>
      <c r="C172" s="27" t="s">
        <v>88</v>
      </c>
      <c r="D172" s="27">
        <v>38.084899999999998</v>
      </c>
      <c r="E172" s="27">
        <v>-121.71066</v>
      </c>
      <c r="F172" s="27" t="s">
        <v>7790</v>
      </c>
      <c r="G172" s="27" t="s">
        <v>90</v>
      </c>
      <c r="H172" s="27" t="s">
        <v>91</v>
      </c>
      <c r="I172" s="30">
        <v>0.31666666666666665</v>
      </c>
      <c r="J172" s="13">
        <f>AVERAGE(250.6,249.2,248.6,248.1,247.7)</f>
        <v>248.84</v>
      </c>
      <c r="K172" s="86">
        <v>22.620000457763673</v>
      </c>
      <c r="L172" s="13">
        <f>AVERAGE(10.4,12.5,11.9,12.1,11.3)</f>
        <v>11.64</v>
      </c>
      <c r="M172" s="13">
        <f>AVERAGE(1.04,1,1.02,0.95,1)</f>
        <v>1.002</v>
      </c>
      <c r="N172" s="90" t="s">
        <v>50</v>
      </c>
      <c r="O172" s="14" t="s">
        <v>48</v>
      </c>
      <c r="P172" s="32">
        <v>5</v>
      </c>
      <c r="Q172" s="32">
        <v>5</v>
      </c>
      <c r="R172" s="32" t="s">
        <v>64</v>
      </c>
      <c r="S172" s="32" t="s">
        <v>50</v>
      </c>
      <c r="T172" s="32" t="s">
        <v>50</v>
      </c>
      <c r="U172" s="32" t="s">
        <v>50</v>
      </c>
      <c r="V172" s="32" t="s">
        <v>50</v>
      </c>
      <c r="W172" s="32" t="s">
        <v>50</v>
      </c>
      <c r="X172" s="32" t="s">
        <v>50</v>
      </c>
      <c r="Y172" s="35"/>
    </row>
    <row r="173" spans="1:25" s="27" customFormat="1" x14ac:dyDescent="0.25">
      <c r="A173" s="36">
        <v>42964</v>
      </c>
      <c r="B173" s="92" t="str">
        <f t="shared" si="2"/>
        <v>Thu</v>
      </c>
      <c r="C173" s="27" t="s">
        <v>88</v>
      </c>
      <c r="D173" s="16">
        <v>38.107300000000002</v>
      </c>
      <c r="E173" s="27">
        <v>-121.71364</v>
      </c>
      <c r="F173" s="27" t="s">
        <v>7791</v>
      </c>
      <c r="G173" s="27" t="s">
        <v>90</v>
      </c>
      <c r="H173" s="27" t="s">
        <v>91</v>
      </c>
      <c r="I173" s="30">
        <v>0.36805555555555558</v>
      </c>
      <c r="J173" s="13">
        <f>AVERAGE(111.4,111.6,111.6,111.3,111.4)</f>
        <v>111.46000000000001</v>
      </c>
      <c r="K173" s="86">
        <v>21.740000152587889</v>
      </c>
      <c r="L173" s="13">
        <f>AVERAGE(7.71,7.04,8,6.86,7.02)</f>
        <v>7.3259999999999987</v>
      </c>
      <c r="M173" s="13">
        <f>AVERAGE(1.25,1.22,1.42,1.26,1.32)</f>
        <v>1.294</v>
      </c>
      <c r="N173" s="90" t="s">
        <v>50</v>
      </c>
      <c r="O173" s="14" t="s">
        <v>48</v>
      </c>
      <c r="P173" s="32">
        <v>5</v>
      </c>
      <c r="Q173" s="32">
        <v>5</v>
      </c>
      <c r="R173" s="32" t="s">
        <v>49</v>
      </c>
      <c r="S173" s="32" t="s">
        <v>50</v>
      </c>
      <c r="T173" s="32" t="s">
        <v>50</v>
      </c>
      <c r="U173" s="32" t="s">
        <v>50</v>
      </c>
      <c r="V173" s="32" t="s">
        <v>50</v>
      </c>
      <c r="W173" s="32" t="s">
        <v>50</v>
      </c>
      <c r="X173" s="32" t="s">
        <v>50</v>
      </c>
      <c r="Y173" s="35"/>
    </row>
    <row r="174" spans="1:25" s="27" customFormat="1" x14ac:dyDescent="0.25">
      <c r="A174" s="36">
        <v>42964</v>
      </c>
      <c r="B174" s="92" t="str">
        <f t="shared" si="2"/>
        <v>Thu</v>
      </c>
      <c r="C174" s="27" t="s">
        <v>118</v>
      </c>
      <c r="D174" s="27">
        <v>38.030709999999999</v>
      </c>
      <c r="E174" s="27">
        <v>-122.13941</v>
      </c>
      <c r="F174" s="27" t="s">
        <v>7792</v>
      </c>
      <c r="G174" s="27" t="s">
        <v>80</v>
      </c>
      <c r="H174" s="631" t="s">
        <v>81</v>
      </c>
      <c r="I174" s="30">
        <v>0.31944444444444448</v>
      </c>
      <c r="J174" s="13">
        <f>AVERAGE(13785,13424)</f>
        <v>13604.5</v>
      </c>
      <c r="K174" s="86">
        <v>20.75</v>
      </c>
      <c r="L174" s="13">
        <f>AVERAGE(21.7,29.2)</f>
        <v>25.45</v>
      </c>
      <c r="M174" s="13">
        <f>AVERAGE(0.72,0.75)</f>
        <v>0.73499999999999999</v>
      </c>
      <c r="N174" s="90" t="s">
        <v>50</v>
      </c>
      <c r="O174" s="14" t="s">
        <v>48</v>
      </c>
      <c r="P174" s="32">
        <v>2</v>
      </c>
      <c r="Q174" s="32">
        <v>10</v>
      </c>
      <c r="R174" s="32" t="s">
        <v>64</v>
      </c>
      <c r="S174" s="32" t="s">
        <v>323</v>
      </c>
      <c r="T174" s="79">
        <v>2</v>
      </c>
      <c r="U174" s="79">
        <v>53</v>
      </c>
      <c r="V174" s="32" t="s">
        <v>66</v>
      </c>
      <c r="W174" s="32" t="s">
        <v>50</v>
      </c>
      <c r="X174" s="32" t="s">
        <v>50</v>
      </c>
      <c r="Y174" s="35"/>
    </row>
    <row r="175" spans="1:25" s="27" customFormat="1" x14ac:dyDescent="0.25">
      <c r="A175" s="36">
        <v>42964</v>
      </c>
      <c r="B175" s="92" t="str">
        <f t="shared" si="2"/>
        <v>Thu</v>
      </c>
      <c r="C175" s="27" t="s">
        <v>118</v>
      </c>
      <c r="D175" s="27">
        <v>38.038789999999999</v>
      </c>
      <c r="E175" s="27">
        <v>-122.15004</v>
      </c>
      <c r="F175" s="27" t="s">
        <v>7793</v>
      </c>
      <c r="G175" s="27" t="s">
        <v>80</v>
      </c>
      <c r="H175" s="27" t="s">
        <v>120</v>
      </c>
      <c r="I175" s="30">
        <v>0.35555555555555557</v>
      </c>
      <c r="J175" s="13">
        <f>AVERAGE(15422,14626)</f>
        <v>15024</v>
      </c>
      <c r="K175" s="86">
        <v>20.550000190734863</v>
      </c>
      <c r="L175" s="13">
        <f>AVERAGE(27.4,29.5)</f>
        <v>28.45</v>
      </c>
      <c r="M175" s="13">
        <f>AVERAGE(0.61,0.64)</f>
        <v>0.625</v>
      </c>
      <c r="N175" s="90" t="s">
        <v>50</v>
      </c>
      <c r="O175" s="14" t="s">
        <v>48</v>
      </c>
      <c r="P175" s="32">
        <v>2</v>
      </c>
      <c r="Q175" s="32">
        <v>10</v>
      </c>
      <c r="R175" s="32" t="s">
        <v>64</v>
      </c>
      <c r="S175" s="32" t="s">
        <v>323</v>
      </c>
      <c r="T175" s="79">
        <v>1</v>
      </c>
      <c r="U175" s="79">
        <v>47</v>
      </c>
      <c r="V175" s="32" t="s">
        <v>66</v>
      </c>
      <c r="W175" s="32" t="s">
        <v>50</v>
      </c>
      <c r="X175" s="32" t="s">
        <v>50</v>
      </c>
      <c r="Y175" s="35"/>
    </row>
    <row r="176" spans="1:25" s="27" customFormat="1" x14ac:dyDescent="0.25">
      <c r="A176" s="36">
        <v>42964</v>
      </c>
      <c r="B176" s="92" t="str">
        <f t="shared" si="2"/>
        <v>Thu</v>
      </c>
      <c r="C176" s="27" t="s">
        <v>95</v>
      </c>
      <c r="D176" s="27">
        <v>38.026879999999998</v>
      </c>
      <c r="E176" s="27">
        <v>-121.83693</v>
      </c>
      <c r="F176" s="27" t="s">
        <v>7794</v>
      </c>
      <c r="G176" s="27" t="s">
        <v>27</v>
      </c>
      <c r="H176" s="27" t="s">
        <v>95</v>
      </c>
      <c r="I176" s="30">
        <v>0.32777777777777778</v>
      </c>
      <c r="J176" s="13">
        <f>AVERAGE(680,638,645,705,626)</f>
        <v>658.8</v>
      </c>
      <c r="K176" s="86">
        <v>22.45999984741211</v>
      </c>
      <c r="L176" s="13">
        <f>AVERAGE(14.6,17.4,17.7,16.5,18.3)</f>
        <v>16.899999999999999</v>
      </c>
      <c r="M176" s="13">
        <f>AVERAGE(0.83,0.84,0.84,0.91,0.93)</f>
        <v>0.86999999999999988</v>
      </c>
      <c r="N176" s="90" t="s">
        <v>50</v>
      </c>
      <c r="O176" s="14" t="s">
        <v>48</v>
      </c>
      <c r="P176" s="32">
        <v>5</v>
      </c>
      <c r="Q176" s="32">
        <v>5</v>
      </c>
      <c r="R176" s="32" t="s">
        <v>64</v>
      </c>
      <c r="S176" s="32" t="s">
        <v>50</v>
      </c>
      <c r="T176" s="79" t="s">
        <v>50</v>
      </c>
      <c r="U176" s="79" t="s">
        <v>50</v>
      </c>
      <c r="V176" s="32" t="s">
        <v>50</v>
      </c>
      <c r="W176" s="32" t="s">
        <v>50</v>
      </c>
      <c r="X176" s="32" t="s">
        <v>50</v>
      </c>
      <c r="Y176" s="35"/>
    </row>
    <row r="177" spans="1:25" s="108" customFormat="1" ht="15.75" thickBot="1" x14ac:dyDescent="0.3">
      <c r="A177" s="117">
        <v>42964</v>
      </c>
      <c r="B177" s="107" t="str">
        <f t="shared" si="2"/>
        <v>Thu</v>
      </c>
      <c r="C177" s="108" t="s">
        <v>95</v>
      </c>
      <c r="D177" s="108">
        <v>38.083289999999998</v>
      </c>
      <c r="E177" s="108">
        <v>-121.67764</v>
      </c>
      <c r="F177" s="108" t="s">
        <v>7795</v>
      </c>
      <c r="G177" s="108" t="s">
        <v>46</v>
      </c>
      <c r="H177" s="108" t="s">
        <v>97</v>
      </c>
      <c r="I177" s="122">
        <v>0.40625</v>
      </c>
      <c r="J177" s="127">
        <f>AVERAGE(170.8,168,164.3,167.7,165.9)</f>
        <v>167.33999999999997</v>
      </c>
      <c r="K177" s="128">
        <v>23.140000534057616</v>
      </c>
      <c r="L177" s="127">
        <f>AVERAGE(12.3,13.4,16,14.5,12)</f>
        <v>13.64</v>
      </c>
      <c r="M177" s="127">
        <f>AVERAGE(1.04,1.22,1.24,1.16,1.27)</f>
        <v>1.1859999999999999</v>
      </c>
      <c r="N177" s="125" t="s">
        <v>50</v>
      </c>
      <c r="O177" s="129" t="s">
        <v>48</v>
      </c>
      <c r="P177" s="118">
        <v>5</v>
      </c>
      <c r="Q177" s="118">
        <v>5</v>
      </c>
      <c r="R177" s="118" t="s">
        <v>64</v>
      </c>
      <c r="S177" s="118" t="s">
        <v>50</v>
      </c>
      <c r="T177" s="119" t="s">
        <v>50</v>
      </c>
      <c r="U177" s="119" t="s">
        <v>50</v>
      </c>
      <c r="V177" s="118" t="s">
        <v>50</v>
      </c>
      <c r="W177" s="118" t="s">
        <v>50</v>
      </c>
      <c r="X177" s="118" t="s">
        <v>50</v>
      </c>
      <c r="Y177" s="113"/>
    </row>
    <row r="178" spans="1:25" s="149" customFormat="1" ht="15.75" thickTop="1" x14ac:dyDescent="0.25">
      <c r="A178" s="179">
        <v>42968</v>
      </c>
      <c r="B178" s="148" t="str">
        <f t="shared" si="2"/>
        <v>Mon</v>
      </c>
      <c r="C178" s="149" t="s">
        <v>88</v>
      </c>
      <c r="D178" s="149">
        <v>38.058570000000003</v>
      </c>
      <c r="E178" s="149">
        <v>-121.86838</v>
      </c>
      <c r="F178" s="149" t="s">
        <v>7796</v>
      </c>
      <c r="G178" s="149" t="s">
        <v>27</v>
      </c>
      <c r="H178" s="149" t="s">
        <v>25</v>
      </c>
      <c r="I178" s="180">
        <v>0.35486111111111113</v>
      </c>
      <c r="J178" s="177" t="s">
        <v>50</v>
      </c>
      <c r="K178" s="177" t="s">
        <v>50</v>
      </c>
      <c r="L178" s="177" t="s">
        <v>50</v>
      </c>
      <c r="M178" s="177" t="s">
        <v>50</v>
      </c>
      <c r="N178" s="177" t="s">
        <v>50</v>
      </c>
      <c r="O178" s="181" t="s">
        <v>48</v>
      </c>
      <c r="P178" s="181">
        <v>0</v>
      </c>
      <c r="Q178" s="181" t="s">
        <v>50</v>
      </c>
      <c r="R178" s="181" t="s">
        <v>50</v>
      </c>
      <c r="S178" s="181" t="s">
        <v>50</v>
      </c>
      <c r="T178" s="182" t="s">
        <v>50</v>
      </c>
      <c r="U178" s="182" t="s">
        <v>50</v>
      </c>
      <c r="V178" s="181" t="s">
        <v>50</v>
      </c>
      <c r="W178" s="181" t="s">
        <v>50</v>
      </c>
      <c r="X178" s="181" t="s">
        <v>50</v>
      </c>
      <c r="Y178" s="152" t="s">
        <v>7797</v>
      </c>
    </row>
    <row r="179" spans="1:25" s="27" customFormat="1" x14ac:dyDescent="0.25">
      <c r="A179" s="36">
        <v>42968</v>
      </c>
      <c r="B179" s="92" t="str">
        <f t="shared" si="2"/>
        <v>Mon</v>
      </c>
      <c r="C179" s="27" t="s">
        <v>88</v>
      </c>
      <c r="D179" s="27">
        <v>38.052509999999998</v>
      </c>
      <c r="E179" s="27">
        <v>-121.86897999999999</v>
      </c>
      <c r="F179" s="27" t="s">
        <v>7798</v>
      </c>
      <c r="G179" s="27" t="s">
        <v>27</v>
      </c>
      <c r="H179" s="27" t="s">
        <v>25</v>
      </c>
      <c r="I179" s="30">
        <v>0.36249999999999999</v>
      </c>
      <c r="J179" s="13">
        <f>AVERAGE(2632,3304)</f>
        <v>2968</v>
      </c>
      <c r="K179" s="86">
        <v>20.84999942779541</v>
      </c>
      <c r="L179" s="13">
        <f>AVERAGE(24.6,35.2)</f>
        <v>29.900000000000002</v>
      </c>
      <c r="M179" s="13">
        <f>AVERAGE(0.45,0.4)</f>
        <v>0.42500000000000004</v>
      </c>
      <c r="N179" s="90" t="s">
        <v>50</v>
      </c>
      <c r="O179" s="14" t="s">
        <v>48</v>
      </c>
      <c r="P179" s="32">
        <v>2</v>
      </c>
      <c r="Q179" s="32">
        <v>5</v>
      </c>
      <c r="R179" s="32" t="s">
        <v>49</v>
      </c>
      <c r="S179" s="32" t="s">
        <v>323</v>
      </c>
      <c r="T179" s="79">
        <v>1</v>
      </c>
      <c r="U179" s="79">
        <v>48</v>
      </c>
      <c r="V179" s="32" t="s">
        <v>66</v>
      </c>
      <c r="W179" s="32" t="s">
        <v>50</v>
      </c>
      <c r="X179" s="32" t="s">
        <v>50</v>
      </c>
      <c r="Y179" s="35" t="s">
        <v>7799</v>
      </c>
    </row>
    <row r="180" spans="1:25" s="27" customFormat="1" x14ac:dyDescent="0.25">
      <c r="A180" s="36">
        <v>42968</v>
      </c>
      <c r="B180" s="92" t="str">
        <f t="shared" si="2"/>
        <v>Mon</v>
      </c>
      <c r="C180" s="27" t="s">
        <v>88</v>
      </c>
      <c r="D180" s="27">
        <v>38.163339999999998</v>
      </c>
      <c r="E180" s="27">
        <v>-121.67635</v>
      </c>
      <c r="F180" s="27" t="s">
        <v>7800</v>
      </c>
      <c r="G180" s="27" t="s">
        <v>90</v>
      </c>
      <c r="H180" s="27" t="s">
        <v>91</v>
      </c>
      <c r="I180" s="30">
        <v>0.42777777777777781</v>
      </c>
      <c r="J180" s="13">
        <f>AVERAGE(110.8,110.5,110.6,110.4,110.2)</f>
        <v>110.5</v>
      </c>
      <c r="K180" s="86">
        <v>21.54000015258789</v>
      </c>
      <c r="L180" s="13">
        <f>AVERAGE(15.5,11.9,10.2,8.32,8.57)</f>
        <v>10.898</v>
      </c>
      <c r="M180" s="13">
        <f>AVERAGE(1.2,1.3,1.3,1.33,1.3)</f>
        <v>1.286</v>
      </c>
      <c r="N180" s="90" t="s">
        <v>50</v>
      </c>
      <c r="O180" s="14" t="s">
        <v>48</v>
      </c>
      <c r="P180" s="32">
        <v>5</v>
      </c>
      <c r="Q180" s="32">
        <v>5</v>
      </c>
      <c r="R180" s="32" t="s">
        <v>49</v>
      </c>
      <c r="S180" s="32" t="s">
        <v>50</v>
      </c>
      <c r="T180" s="79" t="s">
        <v>50</v>
      </c>
      <c r="U180" s="79" t="s">
        <v>50</v>
      </c>
      <c r="V180" s="32" t="s">
        <v>50</v>
      </c>
      <c r="W180" s="32" t="s">
        <v>50</v>
      </c>
      <c r="X180" s="32" t="s">
        <v>50</v>
      </c>
      <c r="Y180" s="35"/>
    </row>
    <row r="181" spans="1:25" s="149" customFormat="1" x14ac:dyDescent="0.25">
      <c r="A181" s="160">
        <v>42968</v>
      </c>
      <c r="B181" s="148" t="str">
        <f t="shared" si="2"/>
        <v>Mon</v>
      </c>
      <c r="C181" s="149" t="s">
        <v>95</v>
      </c>
      <c r="D181" s="149">
        <v>38.092129999999997</v>
      </c>
      <c r="E181" s="149">
        <v>-121.62245</v>
      </c>
      <c r="F181" s="149" t="s">
        <v>7801</v>
      </c>
      <c r="G181" s="149" t="s">
        <v>46</v>
      </c>
      <c r="H181" s="149" t="s">
        <v>97</v>
      </c>
      <c r="I181" s="165">
        <v>0.36319444444444443</v>
      </c>
      <c r="J181" s="163" t="s">
        <v>50</v>
      </c>
      <c r="K181" s="163" t="s">
        <v>50</v>
      </c>
      <c r="L181" s="163" t="s">
        <v>50</v>
      </c>
      <c r="M181" s="163" t="s">
        <v>50</v>
      </c>
      <c r="N181" s="177" t="s">
        <v>50</v>
      </c>
      <c r="O181" s="161" t="s">
        <v>48</v>
      </c>
      <c r="P181" s="161">
        <v>0</v>
      </c>
      <c r="Q181" s="161" t="s">
        <v>50</v>
      </c>
      <c r="R181" s="161" t="s">
        <v>50</v>
      </c>
      <c r="S181" s="161" t="s">
        <v>50</v>
      </c>
      <c r="T181" s="162" t="s">
        <v>50</v>
      </c>
      <c r="U181" s="162" t="s">
        <v>50</v>
      </c>
      <c r="V181" s="161" t="s">
        <v>50</v>
      </c>
      <c r="W181" s="161" t="s">
        <v>50</v>
      </c>
      <c r="X181" s="161" t="s">
        <v>50</v>
      </c>
      <c r="Y181" s="152" t="s">
        <v>7802</v>
      </c>
    </row>
    <row r="182" spans="1:25" s="27" customFormat="1" x14ac:dyDescent="0.25">
      <c r="A182" s="36">
        <v>42968</v>
      </c>
      <c r="B182" s="92" t="str">
        <f t="shared" si="2"/>
        <v>Mon</v>
      </c>
      <c r="C182" s="27" t="s">
        <v>95</v>
      </c>
      <c r="D182" s="27">
        <v>38.104370000000003</v>
      </c>
      <c r="E182" s="16">
        <v>-121.61244000000001</v>
      </c>
      <c r="F182" s="27" t="s">
        <v>7803</v>
      </c>
      <c r="G182" s="27" t="s">
        <v>46</v>
      </c>
      <c r="H182" s="27" t="s">
        <v>97</v>
      </c>
      <c r="I182" s="30">
        <v>0.3756944444444445</v>
      </c>
      <c r="J182" s="13">
        <f>AVERAGE(147.2,142.9,145.7,143.9,140.5)</f>
        <v>144.04000000000002</v>
      </c>
      <c r="K182" s="86">
        <v>22.299999237060547</v>
      </c>
      <c r="L182" s="13">
        <f>AVERAGE(9.56,9.6,9.72,10.4,11.6)</f>
        <v>10.176</v>
      </c>
      <c r="M182" s="13">
        <f>AVERAGE(0.83,0.89,0.84,0.91,0.94)</f>
        <v>0.88200000000000001</v>
      </c>
      <c r="N182" s="90" t="s">
        <v>50</v>
      </c>
      <c r="O182" s="14" t="s">
        <v>48</v>
      </c>
      <c r="P182" s="32">
        <v>5</v>
      </c>
      <c r="Q182" s="32">
        <v>5</v>
      </c>
      <c r="R182" s="32" t="s">
        <v>49</v>
      </c>
      <c r="S182" s="32" t="s">
        <v>50</v>
      </c>
      <c r="T182" s="79" t="s">
        <v>50</v>
      </c>
      <c r="U182" s="79" t="s">
        <v>50</v>
      </c>
      <c r="V182" s="32" t="s">
        <v>50</v>
      </c>
      <c r="W182" s="32" t="s">
        <v>50</v>
      </c>
      <c r="X182" s="32" t="s">
        <v>50</v>
      </c>
      <c r="Y182" s="35"/>
    </row>
    <row r="183" spans="1:25" s="27" customFormat="1" x14ac:dyDescent="0.25">
      <c r="A183" s="36">
        <v>42968</v>
      </c>
      <c r="B183" s="92" t="str">
        <f t="shared" si="2"/>
        <v>Mon</v>
      </c>
      <c r="C183" s="27" t="s">
        <v>95</v>
      </c>
      <c r="D183" s="27">
        <v>38.044159999999998</v>
      </c>
      <c r="E183" s="27">
        <v>-121.69616000000001</v>
      </c>
      <c r="F183" s="27" t="s">
        <v>7804</v>
      </c>
      <c r="G183" s="27" t="s">
        <v>27</v>
      </c>
      <c r="H183" s="27" t="s">
        <v>95</v>
      </c>
      <c r="I183" s="30">
        <v>0.4597222222222222</v>
      </c>
      <c r="J183" s="13">
        <f>AVERAGE(245.4,245.7,268.5,264.9,226.5)</f>
        <v>250.2</v>
      </c>
      <c r="K183" s="86">
        <v>21.859999465942384</v>
      </c>
      <c r="L183" s="13">
        <f>AVERAGE(9.78,7.89,7.59,8.34,11.6)</f>
        <v>9.0399999999999991</v>
      </c>
      <c r="M183" s="13">
        <f>AVERAGE(1.01,1.09,0.99,1.03,0.96)</f>
        <v>1.016</v>
      </c>
      <c r="N183" s="90" t="s">
        <v>50</v>
      </c>
      <c r="O183" s="14" t="s">
        <v>48</v>
      </c>
      <c r="P183" s="32">
        <v>5</v>
      </c>
      <c r="Q183" s="32">
        <v>5</v>
      </c>
      <c r="R183" s="32" t="s">
        <v>49</v>
      </c>
      <c r="S183" s="32" t="s">
        <v>50</v>
      </c>
      <c r="T183" s="79" t="s">
        <v>50</v>
      </c>
      <c r="U183" s="79" t="s">
        <v>50</v>
      </c>
      <c r="V183" s="32" t="s">
        <v>50</v>
      </c>
      <c r="W183" s="32" t="s">
        <v>50</v>
      </c>
      <c r="X183" s="32" t="s">
        <v>50</v>
      </c>
      <c r="Y183" s="35" t="s">
        <v>7805</v>
      </c>
    </row>
    <row r="184" spans="1:25" s="27" customFormat="1" x14ac:dyDescent="0.25">
      <c r="A184" s="36">
        <v>42968</v>
      </c>
      <c r="B184" s="92" t="str">
        <f t="shared" si="2"/>
        <v>Mon</v>
      </c>
      <c r="C184" s="27" t="s">
        <v>118</v>
      </c>
      <c r="D184" s="27">
        <v>38.18092</v>
      </c>
      <c r="E184" s="27">
        <v>-122.30088000000001</v>
      </c>
      <c r="F184" s="27" t="s">
        <v>7806</v>
      </c>
      <c r="G184" s="27" t="s">
        <v>80</v>
      </c>
      <c r="H184" s="27" t="s">
        <v>191</v>
      </c>
      <c r="I184" s="30">
        <v>0.40763888888888888</v>
      </c>
      <c r="J184" s="13">
        <f>AVERAGE(22187,22246,22220,22296,22359,22332,22296,22165)</f>
        <v>22262.625</v>
      </c>
      <c r="K184" s="86">
        <v>20.312499761581421</v>
      </c>
      <c r="L184" s="13">
        <f>AVERAGE(32.4,31.7,46.7,92.1,77.7,97.2,89.9,65)</f>
        <v>66.587499999999991</v>
      </c>
      <c r="M184" s="13">
        <f>AVERAGE(0.48,0.4,0.44,0.3,0.28,0.28,0.28,0.23)</f>
        <v>0.33624999999999999</v>
      </c>
      <c r="N184" s="90" t="s">
        <v>50</v>
      </c>
      <c r="O184" s="14" t="s">
        <v>48</v>
      </c>
      <c r="P184" s="32">
        <v>8</v>
      </c>
      <c r="Q184" s="32">
        <v>10</v>
      </c>
      <c r="R184" s="32" t="s">
        <v>64</v>
      </c>
      <c r="S184" s="32" t="s">
        <v>50</v>
      </c>
      <c r="T184" s="79" t="s">
        <v>50</v>
      </c>
      <c r="U184" s="79" t="s">
        <v>50</v>
      </c>
      <c r="V184" s="32" t="s">
        <v>50</v>
      </c>
      <c r="W184" s="32" t="s">
        <v>50</v>
      </c>
      <c r="X184" s="32" t="s">
        <v>50</v>
      </c>
      <c r="Y184" s="35"/>
    </row>
    <row r="185" spans="1:25" s="27" customFormat="1" x14ac:dyDescent="0.25">
      <c r="A185" s="36">
        <v>42968</v>
      </c>
      <c r="B185" s="92" t="str">
        <f t="shared" si="2"/>
        <v>Mon</v>
      </c>
      <c r="C185" s="27" t="s">
        <v>118</v>
      </c>
      <c r="D185" s="27">
        <v>38.106870000000001</v>
      </c>
      <c r="E185" s="27">
        <v>-122.27065</v>
      </c>
      <c r="F185" s="27" t="s">
        <v>7807</v>
      </c>
      <c r="G185" s="27" t="s">
        <v>80</v>
      </c>
      <c r="H185" s="27" t="s">
        <v>191</v>
      </c>
      <c r="I185" s="30">
        <v>0.52777777777777779</v>
      </c>
      <c r="J185" s="13">
        <f>AVERAGE(19764,19802,19833,20098,20975,20661,21055,21728)</f>
        <v>20489.5</v>
      </c>
      <c r="K185" s="86">
        <v>20.15000057220459</v>
      </c>
      <c r="L185" s="13">
        <f>AVERAGE(74.7,56.4,56.5,54,67.3,50,73.6,74)</f>
        <v>63.3125</v>
      </c>
      <c r="M185" s="13">
        <f>AVERAGE(0.29,0.23,0.31,0.29,0.28,0.28,0.28,0.27)</f>
        <v>0.27875000000000005</v>
      </c>
      <c r="N185" s="90" t="s">
        <v>50</v>
      </c>
      <c r="O185" s="14" t="s">
        <v>48</v>
      </c>
      <c r="P185" s="32">
        <v>8</v>
      </c>
      <c r="Q185" s="32">
        <v>10</v>
      </c>
      <c r="R185" s="32" t="s">
        <v>64</v>
      </c>
      <c r="S185" s="32" t="s">
        <v>50</v>
      </c>
      <c r="T185" s="79" t="s">
        <v>50</v>
      </c>
      <c r="U185" s="79" t="s">
        <v>50</v>
      </c>
      <c r="V185" s="32" t="s">
        <v>50</v>
      </c>
      <c r="W185" s="32" t="s">
        <v>50</v>
      </c>
      <c r="X185" s="32" t="s">
        <v>50</v>
      </c>
      <c r="Y185" s="35"/>
    </row>
    <row r="186" spans="1:25" s="149" customFormat="1" x14ac:dyDescent="0.25">
      <c r="A186" s="160">
        <v>42969</v>
      </c>
      <c r="B186" s="148" t="str">
        <f t="shared" si="2"/>
        <v>Tue</v>
      </c>
      <c r="C186" s="149" t="s">
        <v>7570</v>
      </c>
      <c r="D186" s="149">
        <v>38.055970000000002</v>
      </c>
      <c r="E186" s="149">
        <v>-122.04036000000001</v>
      </c>
      <c r="F186" s="149" t="s">
        <v>7808</v>
      </c>
      <c r="G186" s="149" t="s">
        <v>27</v>
      </c>
      <c r="H186" s="149" t="s">
        <v>86</v>
      </c>
      <c r="I186" s="165">
        <v>0.35625000000000001</v>
      </c>
      <c r="J186" s="163" t="s">
        <v>50</v>
      </c>
      <c r="K186" s="163" t="s">
        <v>50</v>
      </c>
      <c r="L186" s="163" t="s">
        <v>50</v>
      </c>
      <c r="M186" s="163" t="s">
        <v>50</v>
      </c>
      <c r="N186" s="177" t="s">
        <v>50</v>
      </c>
      <c r="O186" s="161" t="s">
        <v>48</v>
      </c>
      <c r="P186" s="161">
        <v>0</v>
      </c>
      <c r="Q186" s="161" t="s">
        <v>50</v>
      </c>
      <c r="R186" s="161" t="s">
        <v>50</v>
      </c>
      <c r="S186" s="161" t="s">
        <v>50</v>
      </c>
      <c r="T186" s="162" t="s">
        <v>50</v>
      </c>
      <c r="U186" s="162" t="s">
        <v>50</v>
      </c>
      <c r="V186" s="161" t="s">
        <v>50</v>
      </c>
      <c r="W186" s="161" t="s">
        <v>50</v>
      </c>
      <c r="X186" s="161" t="s">
        <v>50</v>
      </c>
      <c r="Y186" s="152" t="s">
        <v>7809</v>
      </c>
    </row>
    <row r="187" spans="1:25" s="27" customFormat="1" x14ac:dyDescent="0.25">
      <c r="A187" s="36">
        <v>42969</v>
      </c>
      <c r="B187" s="92" t="str">
        <f t="shared" si="2"/>
        <v>Tue</v>
      </c>
      <c r="C187" s="27" t="s">
        <v>7570</v>
      </c>
      <c r="D187" s="27">
        <v>38.082590000000003</v>
      </c>
      <c r="E187" s="27">
        <v>-122.04039</v>
      </c>
      <c r="F187" s="27" t="s">
        <v>7810</v>
      </c>
      <c r="G187" s="27" t="s">
        <v>27</v>
      </c>
      <c r="H187" s="27" t="s">
        <v>86</v>
      </c>
      <c r="I187" s="30">
        <v>0.37847222222222227</v>
      </c>
      <c r="J187" s="13">
        <f>AVERAGE(10399,9050)</f>
        <v>9724.5</v>
      </c>
      <c r="K187" s="86">
        <v>20.149999618530273</v>
      </c>
      <c r="L187" s="13">
        <f>AVERAGE(63.3,80.8)</f>
        <v>72.05</v>
      </c>
      <c r="M187" s="13">
        <f>AVERAGE(0.26,0.25)</f>
        <v>0.255</v>
      </c>
      <c r="N187" s="90" t="s">
        <v>50</v>
      </c>
      <c r="O187" s="14" t="s">
        <v>48</v>
      </c>
      <c r="P187" s="32">
        <v>2</v>
      </c>
      <c r="Q187" s="32">
        <v>5</v>
      </c>
      <c r="R187" s="32" t="s">
        <v>49</v>
      </c>
      <c r="S187" s="32" t="s">
        <v>323</v>
      </c>
      <c r="T187" s="81">
        <v>5</v>
      </c>
      <c r="U187" s="81" t="s">
        <v>7811</v>
      </c>
      <c r="V187" s="32" t="s">
        <v>66</v>
      </c>
      <c r="W187" s="32" t="s">
        <v>50</v>
      </c>
      <c r="X187" s="32" t="s">
        <v>50</v>
      </c>
      <c r="Y187" s="35" t="s">
        <v>7812</v>
      </c>
    </row>
    <row r="188" spans="1:25" s="27" customFormat="1" x14ac:dyDescent="0.25">
      <c r="A188" s="36">
        <v>42969</v>
      </c>
      <c r="B188" s="92" t="str">
        <f t="shared" si="2"/>
        <v>Tue</v>
      </c>
      <c r="C188" s="27" t="s">
        <v>7570</v>
      </c>
      <c r="D188" s="27">
        <v>38.110639999999997</v>
      </c>
      <c r="E188" s="27">
        <v>-122.05485</v>
      </c>
      <c r="F188" s="27" t="s">
        <v>7813</v>
      </c>
      <c r="G188" s="27" t="s">
        <v>27</v>
      </c>
      <c r="H188" s="27" t="s">
        <v>86</v>
      </c>
      <c r="I188" s="30">
        <v>0.44027777777777777</v>
      </c>
      <c r="J188" s="13">
        <f>AVERAGE(9066,9072)</f>
        <v>9069</v>
      </c>
      <c r="K188" s="86">
        <v>20.25</v>
      </c>
      <c r="L188" s="13">
        <f>AVERAGE(95.4,107)</f>
        <v>101.2</v>
      </c>
      <c r="M188" s="13">
        <f>AVERAGE(0.3,0.32)</f>
        <v>0.31</v>
      </c>
      <c r="N188" s="90" t="s">
        <v>50</v>
      </c>
      <c r="O188" s="14" t="s">
        <v>48</v>
      </c>
      <c r="P188" s="32">
        <v>2</v>
      </c>
      <c r="Q188" s="32">
        <v>5</v>
      </c>
      <c r="R188" s="32" t="s">
        <v>64</v>
      </c>
      <c r="S188" s="32" t="s">
        <v>323</v>
      </c>
      <c r="T188" s="81">
        <v>1</v>
      </c>
      <c r="U188" s="81">
        <v>46</v>
      </c>
      <c r="V188" s="32" t="s">
        <v>66</v>
      </c>
      <c r="W188" s="32" t="s">
        <v>50</v>
      </c>
      <c r="X188" s="32" t="s">
        <v>50</v>
      </c>
      <c r="Y188" s="35" t="s">
        <v>7799</v>
      </c>
    </row>
    <row r="189" spans="1:25" s="27" customFormat="1" x14ac:dyDescent="0.25">
      <c r="A189" s="36">
        <v>42969</v>
      </c>
      <c r="B189" s="92" t="str">
        <f t="shared" si="2"/>
        <v>Tue</v>
      </c>
      <c r="C189" s="27" t="s">
        <v>106</v>
      </c>
      <c r="D189" s="27">
        <v>38.561120000000003</v>
      </c>
      <c r="E189" s="27">
        <v>-121.54621</v>
      </c>
      <c r="F189" s="27" t="s">
        <v>7814</v>
      </c>
      <c r="G189" s="27" t="s">
        <v>90</v>
      </c>
      <c r="H189" s="631" t="s">
        <v>7577</v>
      </c>
      <c r="I189" s="30">
        <v>0.35347222222222219</v>
      </c>
      <c r="J189" s="13">
        <f>AVERAGE(1433,1391,1388,1279,1391)</f>
        <v>1376.4</v>
      </c>
      <c r="K189" s="86">
        <v>25.319999694824219</v>
      </c>
      <c r="L189" s="13">
        <f>AVERAGE(3.4,4.39,6.46,5.25,3.86)</f>
        <v>4.6719999999999997</v>
      </c>
      <c r="M189" s="13">
        <f>AVERAGE(1.8,1.8,1.8,1.8,1.8)</f>
        <v>1.8</v>
      </c>
      <c r="N189" s="90" t="s">
        <v>50</v>
      </c>
      <c r="O189" s="14" t="s">
        <v>48</v>
      </c>
      <c r="P189" s="32">
        <v>5</v>
      </c>
      <c r="Q189" s="32">
        <v>5</v>
      </c>
      <c r="R189" s="32" t="s">
        <v>49</v>
      </c>
      <c r="S189" s="32" t="s">
        <v>50</v>
      </c>
      <c r="T189" s="79" t="s">
        <v>50</v>
      </c>
      <c r="U189" s="79" t="s">
        <v>50</v>
      </c>
      <c r="V189" s="32" t="s">
        <v>50</v>
      </c>
      <c r="W189" s="32" t="s">
        <v>50</v>
      </c>
      <c r="X189" s="32" t="s">
        <v>50</v>
      </c>
      <c r="Y189" s="35"/>
    </row>
    <row r="190" spans="1:25" s="27" customFormat="1" x14ac:dyDescent="0.25">
      <c r="A190" s="36">
        <v>42969</v>
      </c>
      <c r="B190" s="92" t="str">
        <f t="shared" si="2"/>
        <v>Tue</v>
      </c>
      <c r="C190" s="27" t="s">
        <v>106</v>
      </c>
      <c r="D190" s="27">
        <v>38.395690000000002</v>
      </c>
      <c r="E190" s="27">
        <v>-121.61882</v>
      </c>
      <c r="F190" s="27" t="s">
        <v>7815</v>
      </c>
      <c r="G190" s="27" t="s">
        <v>90</v>
      </c>
      <c r="H190" s="631" t="s">
        <v>7577</v>
      </c>
      <c r="I190" s="30">
        <v>0.42083333333333334</v>
      </c>
      <c r="J190" s="13">
        <f>AVERAGE(1160,1420)</f>
        <v>1290</v>
      </c>
      <c r="K190" s="86">
        <v>22.84999942779541</v>
      </c>
      <c r="L190" s="13">
        <f>AVERAGE(46.3,56.3)</f>
        <v>51.3</v>
      </c>
      <c r="M190" s="13">
        <f>AVERAGE(0.3,0.3)</f>
        <v>0.3</v>
      </c>
      <c r="N190" s="90" t="s">
        <v>50</v>
      </c>
      <c r="O190" s="14" t="s">
        <v>48</v>
      </c>
      <c r="P190" s="32">
        <v>2</v>
      </c>
      <c r="Q190" s="32">
        <v>5</v>
      </c>
      <c r="R190" s="32" t="s">
        <v>49</v>
      </c>
      <c r="S190" s="32" t="s">
        <v>323</v>
      </c>
      <c r="T190" s="79">
        <v>1</v>
      </c>
      <c r="U190" s="79">
        <v>49</v>
      </c>
      <c r="V190" s="32" t="s">
        <v>66</v>
      </c>
      <c r="W190" s="32" t="s">
        <v>50</v>
      </c>
      <c r="X190" s="32" t="s">
        <v>50</v>
      </c>
      <c r="Y190" s="35" t="s">
        <v>7799</v>
      </c>
    </row>
    <row r="191" spans="1:25" s="27" customFormat="1" x14ac:dyDescent="0.25">
      <c r="A191" s="36">
        <v>42969</v>
      </c>
      <c r="B191" s="92" t="str">
        <f t="shared" si="2"/>
        <v>Tue</v>
      </c>
      <c r="C191" s="27" t="s">
        <v>118</v>
      </c>
      <c r="D191" s="27">
        <v>38.052050000000001</v>
      </c>
      <c r="E191" s="27">
        <v>-122.27093000000001</v>
      </c>
      <c r="F191" s="27" t="s">
        <v>7816</v>
      </c>
      <c r="G191" s="27" t="s">
        <v>80</v>
      </c>
      <c r="H191" s="27" t="s">
        <v>123</v>
      </c>
      <c r="I191" s="30">
        <v>0.30416666666666664</v>
      </c>
      <c r="J191" s="13">
        <f>AVERAGE(27652,27487,27193,26430,25465,24809,24506,26053)</f>
        <v>26199.375</v>
      </c>
      <c r="K191" s="86">
        <v>19.762499809265137</v>
      </c>
      <c r="L191" s="13">
        <f>AVERAGE(75.8,85.9,97.5,103,104,82.8,91.5,96.3,)</f>
        <v>81.86666666666666</v>
      </c>
      <c r="M191" s="13">
        <f>AVERAGE(0.23,0.24,0.26,0.27,0.29,0.24,0.28,0.24)</f>
        <v>0.25624999999999998</v>
      </c>
      <c r="N191" s="90" t="s">
        <v>50</v>
      </c>
      <c r="O191" s="14" t="s">
        <v>48</v>
      </c>
      <c r="P191" s="32">
        <v>8</v>
      </c>
      <c r="Q191" s="32">
        <v>10</v>
      </c>
      <c r="R191" s="32" t="s">
        <v>49</v>
      </c>
      <c r="S191" s="32" t="s">
        <v>31</v>
      </c>
      <c r="T191" s="79">
        <v>6</v>
      </c>
      <c r="U191" s="79" t="s">
        <v>7817</v>
      </c>
      <c r="V191" s="32" t="s">
        <v>66</v>
      </c>
      <c r="W191" s="32" t="s">
        <v>50</v>
      </c>
      <c r="X191" s="32" t="s">
        <v>50</v>
      </c>
      <c r="Y191" s="35"/>
    </row>
    <row r="192" spans="1:25" s="27" customFormat="1" x14ac:dyDescent="0.25">
      <c r="A192" s="36">
        <v>42969</v>
      </c>
      <c r="B192" s="92" t="str">
        <f t="shared" si="2"/>
        <v>Tue</v>
      </c>
      <c r="C192" s="27" t="s">
        <v>118</v>
      </c>
      <c r="D192" s="27">
        <v>38.049639999999997</v>
      </c>
      <c r="E192" s="27">
        <v>-122.26482</v>
      </c>
      <c r="F192" s="27" t="s">
        <v>7818</v>
      </c>
      <c r="G192" s="27" t="s">
        <v>80</v>
      </c>
      <c r="H192" s="27" t="s">
        <v>123</v>
      </c>
      <c r="I192" s="30">
        <v>0.39999999999999997</v>
      </c>
      <c r="J192" s="13">
        <f>AVERAGE(23333,22867,22258,21478,22522,22804,23249,24518)</f>
        <v>22878.625</v>
      </c>
      <c r="K192" s="86">
        <v>20.099999666213989</v>
      </c>
      <c r="L192" s="13">
        <f>AVERAGE(80.7,92.5,70.7,82.2,57.7,48.7,25.6,31.7)</f>
        <v>61.224999999999994</v>
      </c>
      <c r="M192" s="13">
        <f>AVERAGE(0.29,0.26,0.29,0.29,0.45,0.28,0.43,0.41)</f>
        <v>0.33750000000000002</v>
      </c>
      <c r="N192" s="90" t="s">
        <v>50</v>
      </c>
      <c r="O192" s="14" t="s">
        <v>48</v>
      </c>
      <c r="P192" s="32">
        <v>8</v>
      </c>
      <c r="Q192" s="32">
        <v>10</v>
      </c>
      <c r="R192" s="32" t="s">
        <v>49</v>
      </c>
      <c r="S192" s="32" t="s">
        <v>50</v>
      </c>
      <c r="T192" s="79" t="s">
        <v>50</v>
      </c>
      <c r="U192" s="79" t="s">
        <v>50</v>
      </c>
      <c r="V192" s="32" t="s">
        <v>50</v>
      </c>
      <c r="W192" s="32" t="s">
        <v>50</v>
      </c>
      <c r="X192" s="32" t="s">
        <v>50</v>
      </c>
      <c r="Y192" s="35"/>
    </row>
    <row r="193" spans="1:25" s="27" customFormat="1" x14ac:dyDescent="0.25">
      <c r="A193" s="36">
        <v>42969</v>
      </c>
      <c r="B193" s="92" t="str">
        <f t="shared" si="2"/>
        <v>Tue</v>
      </c>
      <c r="C193" s="27" t="s">
        <v>118</v>
      </c>
      <c r="D193" s="27">
        <v>38.0428</v>
      </c>
      <c r="E193" s="27">
        <v>-122.29389</v>
      </c>
      <c r="F193" s="27" t="s">
        <v>7819</v>
      </c>
      <c r="G193" s="27" t="s">
        <v>80</v>
      </c>
      <c r="H193" s="27" t="s">
        <v>123</v>
      </c>
      <c r="I193" s="84">
        <v>0.49722222222222223</v>
      </c>
      <c r="J193" s="13">
        <f>AVERAGE(24172,23126,23181,23841,23960,24922,25765,26793)</f>
        <v>24470</v>
      </c>
      <c r="K193" s="86">
        <v>20.312499761581421</v>
      </c>
      <c r="L193" s="13">
        <f>AVERAGE(26.7,23.5,22.5,17.7,28.2,26.5,30.2,68.4)</f>
        <v>30.462500000000002</v>
      </c>
      <c r="M193" s="13">
        <f>AVERAGE(0.52,0.48,0.54,0.58,0.61,0.43,0.44,0.27)</f>
        <v>0.48375000000000001</v>
      </c>
      <c r="N193" s="90" t="s">
        <v>50</v>
      </c>
      <c r="O193" s="14" t="s">
        <v>48</v>
      </c>
      <c r="P193" s="32">
        <v>8</v>
      </c>
      <c r="Q193" s="32">
        <v>10</v>
      </c>
      <c r="R193" s="27" t="s">
        <v>64</v>
      </c>
      <c r="S193" s="32" t="s">
        <v>31</v>
      </c>
      <c r="T193" s="79">
        <v>2</v>
      </c>
      <c r="U193" s="79" t="s">
        <v>7820</v>
      </c>
      <c r="V193" s="32" t="s">
        <v>66</v>
      </c>
      <c r="W193" s="32" t="s">
        <v>50</v>
      </c>
      <c r="X193" s="32" t="s">
        <v>50</v>
      </c>
      <c r="Y193" s="35"/>
    </row>
    <row r="194" spans="1:25" s="27" customFormat="1" x14ac:dyDescent="0.25">
      <c r="A194" s="36">
        <v>42970</v>
      </c>
      <c r="B194" s="92" t="str">
        <f t="shared" si="2"/>
        <v>Wed</v>
      </c>
      <c r="C194" s="27" t="s">
        <v>118</v>
      </c>
      <c r="D194" s="27">
        <v>38.026060000000001</v>
      </c>
      <c r="E194" s="27">
        <v>-122.14924000000001</v>
      </c>
      <c r="F194" s="27" t="s">
        <v>7821</v>
      </c>
      <c r="G194" s="27" t="s">
        <v>80</v>
      </c>
      <c r="H194" s="27" t="s">
        <v>120</v>
      </c>
      <c r="I194" s="30">
        <v>0.30208333333333331</v>
      </c>
      <c r="J194" s="13">
        <f>AVERAGE(20288,19766,19095,18955)</f>
        <v>19526</v>
      </c>
      <c r="K194" s="86">
        <v>19.84999942779541</v>
      </c>
      <c r="L194" s="13">
        <f>AVERAGE(17.4,33.9,42.5,63.4)</f>
        <v>39.299999999999997</v>
      </c>
      <c r="M194" s="13">
        <f>AVERAGE(0.59,0.51,0.42,0.3)</f>
        <v>0.45500000000000002</v>
      </c>
      <c r="N194" s="90" t="s">
        <v>50</v>
      </c>
      <c r="O194" s="14" t="s">
        <v>48</v>
      </c>
      <c r="P194" s="32">
        <v>4</v>
      </c>
      <c r="Q194" s="32">
        <v>10</v>
      </c>
      <c r="R194" s="32" t="s">
        <v>49</v>
      </c>
      <c r="S194" s="32" t="s">
        <v>323</v>
      </c>
      <c r="T194" s="79">
        <v>1</v>
      </c>
      <c r="U194" s="79">
        <v>44</v>
      </c>
      <c r="V194" s="32" t="s">
        <v>66</v>
      </c>
      <c r="W194" s="32" t="s">
        <v>50</v>
      </c>
      <c r="X194" s="32" t="s">
        <v>50</v>
      </c>
      <c r="Y194" s="35"/>
    </row>
    <row r="195" spans="1:25" s="27" customFormat="1" x14ac:dyDescent="0.25">
      <c r="A195" s="36">
        <v>42970</v>
      </c>
      <c r="B195" s="92" t="str">
        <f t="shared" si="2"/>
        <v>Wed</v>
      </c>
      <c r="C195" s="27" t="s">
        <v>118</v>
      </c>
      <c r="D195" s="27">
        <v>38.026060000000001</v>
      </c>
      <c r="E195" s="27">
        <v>-122.14924000000001</v>
      </c>
      <c r="F195" s="27" t="s">
        <v>7821</v>
      </c>
      <c r="G195" s="27" t="s">
        <v>80</v>
      </c>
      <c r="H195" s="27" t="s">
        <v>120</v>
      </c>
      <c r="I195" s="30">
        <v>0.30208333333333331</v>
      </c>
      <c r="J195" s="31"/>
      <c r="K195" s="86"/>
      <c r="L195" s="31"/>
      <c r="M195" s="31"/>
      <c r="N195" s="90" t="s">
        <v>50</v>
      </c>
      <c r="O195" s="32"/>
      <c r="P195" s="32"/>
      <c r="Q195" s="32"/>
      <c r="R195" s="32"/>
      <c r="S195" s="32" t="s">
        <v>31</v>
      </c>
      <c r="T195" s="81">
        <v>1</v>
      </c>
      <c r="U195" s="81">
        <v>76</v>
      </c>
      <c r="V195" s="32" t="s">
        <v>66</v>
      </c>
      <c r="W195" s="32" t="s">
        <v>50</v>
      </c>
      <c r="X195" s="32" t="s">
        <v>50</v>
      </c>
      <c r="Y195" s="35"/>
    </row>
    <row r="196" spans="1:25" s="27" customFormat="1" x14ac:dyDescent="0.25">
      <c r="A196" s="36">
        <v>42970</v>
      </c>
      <c r="B196" s="92" t="str">
        <f t="shared" ref="B196:B259" si="3">TEXT(A196,"ddd")</f>
        <v>Wed</v>
      </c>
      <c r="C196" s="27" t="s">
        <v>118</v>
      </c>
      <c r="D196" s="27">
        <v>38.029150000000001</v>
      </c>
      <c r="E196" s="27">
        <v>-122.16422</v>
      </c>
      <c r="F196" s="27" t="s">
        <v>7822</v>
      </c>
      <c r="G196" s="27" t="s">
        <v>80</v>
      </c>
      <c r="H196" s="27" t="s">
        <v>120</v>
      </c>
      <c r="I196" s="30">
        <v>0.35416666666666669</v>
      </c>
      <c r="J196" s="13">
        <f>AVERAGE(18053,18022,16582)</f>
        <v>17552.333333333332</v>
      </c>
      <c r="K196" s="86">
        <v>19.899999618530273</v>
      </c>
      <c r="L196" s="13">
        <f>AVERAGE(42.1,52.6,58.5)</f>
        <v>51.066666666666663</v>
      </c>
      <c r="M196" s="13">
        <f>AVERAGE(0.32,0.31,0.31)</f>
        <v>0.3133333333333333</v>
      </c>
      <c r="N196" s="90" t="s">
        <v>50</v>
      </c>
      <c r="O196" s="14" t="s">
        <v>48</v>
      </c>
      <c r="P196" s="32">
        <v>3</v>
      </c>
      <c r="Q196" s="32">
        <v>10</v>
      </c>
      <c r="R196" s="32" t="s">
        <v>49</v>
      </c>
      <c r="S196" s="32" t="s">
        <v>323</v>
      </c>
      <c r="T196" s="79">
        <v>1</v>
      </c>
      <c r="U196" s="79">
        <v>50</v>
      </c>
      <c r="V196" s="32" t="s">
        <v>66</v>
      </c>
      <c r="W196" s="32" t="s">
        <v>50</v>
      </c>
      <c r="X196" s="32" t="s">
        <v>50</v>
      </c>
      <c r="Y196" s="35"/>
    </row>
    <row r="197" spans="1:25" s="27" customFormat="1" x14ac:dyDescent="0.25">
      <c r="A197" s="36">
        <v>42970</v>
      </c>
      <c r="B197" s="92" t="str">
        <f t="shared" si="3"/>
        <v>Wed</v>
      </c>
      <c r="C197" s="27" t="s">
        <v>118</v>
      </c>
      <c r="D197" s="27">
        <v>38.044220000000003</v>
      </c>
      <c r="E197" s="27">
        <v>-122.31538999999999</v>
      </c>
      <c r="F197" s="27" t="s">
        <v>7823</v>
      </c>
      <c r="G197" s="27" t="s">
        <v>80</v>
      </c>
      <c r="H197" s="27" t="s">
        <v>123</v>
      </c>
      <c r="I197" s="30">
        <v>0.43888888888888888</v>
      </c>
      <c r="J197" s="13">
        <f>AVERAGE(24743,24761)</f>
        <v>24752</v>
      </c>
      <c r="K197" s="86">
        <v>20</v>
      </c>
      <c r="L197" s="13">
        <f>AVERAGE(55.1,52.1)</f>
        <v>53.6</v>
      </c>
      <c r="M197" s="13">
        <f>AVERAGE(0.42,0.36)</f>
        <v>0.39</v>
      </c>
      <c r="N197" s="90" t="s">
        <v>50</v>
      </c>
      <c r="O197" s="14" t="s">
        <v>48</v>
      </c>
      <c r="P197" s="32">
        <v>2</v>
      </c>
      <c r="Q197" s="32">
        <v>10</v>
      </c>
      <c r="R197" s="32" t="s">
        <v>49</v>
      </c>
      <c r="S197" s="32" t="s">
        <v>323</v>
      </c>
      <c r="T197" s="79">
        <v>1</v>
      </c>
      <c r="U197" s="79">
        <v>54</v>
      </c>
      <c r="V197" s="32" t="s">
        <v>66</v>
      </c>
      <c r="W197" s="32" t="s">
        <v>50</v>
      </c>
      <c r="X197" s="32" t="s">
        <v>50</v>
      </c>
      <c r="Y197" s="35"/>
    </row>
    <row r="198" spans="1:25" s="27" customFormat="1" x14ac:dyDescent="0.25">
      <c r="A198" s="36">
        <v>42970</v>
      </c>
      <c r="B198" s="92" t="str">
        <f t="shared" si="3"/>
        <v>Wed</v>
      </c>
      <c r="C198" s="27" t="s">
        <v>95</v>
      </c>
      <c r="D198" s="27">
        <v>38.030760000000001</v>
      </c>
      <c r="E198" s="27">
        <v>-121.73685</v>
      </c>
      <c r="F198" s="27" t="s">
        <v>7824</v>
      </c>
      <c r="G198" s="27" t="s">
        <v>27</v>
      </c>
      <c r="H198" s="27" t="s">
        <v>95</v>
      </c>
      <c r="I198" s="30">
        <v>0.34097222222222223</v>
      </c>
      <c r="J198" s="13">
        <f>AVERAGE(562,588,559,532,524)</f>
        <v>553</v>
      </c>
      <c r="K198" s="86">
        <v>21.299999237060547</v>
      </c>
      <c r="L198" s="13">
        <f>AVERAGE(29.7,22.9,22.9,22.1,23.6)</f>
        <v>24.24</v>
      </c>
      <c r="M198" s="13">
        <f>AVERAGE(0.81,0.62,0.46,0.55,0.52)</f>
        <v>0.59200000000000008</v>
      </c>
      <c r="N198" s="90" t="s">
        <v>50</v>
      </c>
      <c r="O198" s="14" t="s">
        <v>48</v>
      </c>
      <c r="P198" s="32">
        <v>5</v>
      </c>
      <c r="Q198" s="32">
        <v>5</v>
      </c>
      <c r="R198" s="32" t="s">
        <v>49</v>
      </c>
      <c r="S198" s="32" t="s">
        <v>50</v>
      </c>
      <c r="T198" s="79" t="s">
        <v>50</v>
      </c>
      <c r="U198" s="79" t="s">
        <v>50</v>
      </c>
      <c r="V198" s="32" t="s">
        <v>50</v>
      </c>
      <c r="W198" s="32" t="s">
        <v>50</v>
      </c>
      <c r="X198" s="32" t="s">
        <v>50</v>
      </c>
      <c r="Y198" s="35"/>
    </row>
    <row r="199" spans="1:25" s="27" customFormat="1" x14ac:dyDescent="0.25">
      <c r="A199" s="36">
        <v>42970</v>
      </c>
      <c r="B199" s="92" t="str">
        <f t="shared" si="3"/>
        <v>Wed</v>
      </c>
      <c r="C199" s="27" t="s">
        <v>95</v>
      </c>
      <c r="D199" s="85">
        <v>38.049999999999997</v>
      </c>
      <c r="E199" s="27">
        <v>-121.84295</v>
      </c>
      <c r="F199" s="27" t="s">
        <v>7825</v>
      </c>
      <c r="G199" s="27" t="s">
        <v>27</v>
      </c>
      <c r="H199" s="27" t="s">
        <v>95</v>
      </c>
      <c r="I199" s="30">
        <v>0.4201388888888889</v>
      </c>
      <c r="J199" s="13">
        <f>AVERAGE(1453,1229)</f>
        <v>1341</v>
      </c>
      <c r="K199" s="86">
        <v>21.15000057220459</v>
      </c>
      <c r="L199" s="13">
        <f>AVERAGE(30,41.8)</f>
        <v>35.9</v>
      </c>
      <c r="M199" s="13">
        <f>AVERAGE(0.26,0.35)</f>
        <v>0.30499999999999999</v>
      </c>
      <c r="N199" s="90" t="s">
        <v>50</v>
      </c>
      <c r="O199" s="14" t="s">
        <v>48</v>
      </c>
      <c r="P199" s="32">
        <v>2</v>
      </c>
      <c r="Q199" s="32">
        <v>5</v>
      </c>
      <c r="R199" s="32" t="s">
        <v>49</v>
      </c>
      <c r="S199" s="32" t="s">
        <v>323</v>
      </c>
      <c r="T199" s="79">
        <v>1</v>
      </c>
      <c r="U199" s="79">
        <v>45</v>
      </c>
      <c r="V199" s="32" t="s">
        <v>66</v>
      </c>
      <c r="W199" s="32" t="s">
        <v>50</v>
      </c>
      <c r="X199" s="32" t="s">
        <v>50</v>
      </c>
      <c r="Y199" s="35" t="s">
        <v>7799</v>
      </c>
    </row>
    <row r="200" spans="1:25" s="27" customFormat="1" x14ac:dyDescent="0.25">
      <c r="A200" s="36">
        <v>42970</v>
      </c>
      <c r="B200" s="92" t="str">
        <f t="shared" si="3"/>
        <v>Wed</v>
      </c>
      <c r="C200" s="27" t="s">
        <v>6849</v>
      </c>
      <c r="D200" s="27">
        <v>38.325679999999998</v>
      </c>
      <c r="E200" s="27">
        <v>-121.58556</v>
      </c>
      <c r="F200" s="27" t="s">
        <v>7826</v>
      </c>
      <c r="G200" s="27" t="s">
        <v>90</v>
      </c>
      <c r="H200" s="27" t="s">
        <v>6851</v>
      </c>
      <c r="I200" s="30">
        <v>0.34722222222222227</v>
      </c>
      <c r="J200" s="13">
        <f>AVERAGE(832,788,809,807,823,839,826,811)</f>
        <v>816.875</v>
      </c>
      <c r="K200" s="86">
        <v>22.112500190734863</v>
      </c>
      <c r="L200" s="13">
        <f>AVERAGE(6.39,7.9,7.06,6.85,7.08,8.67,6.55,8.75)</f>
        <v>7.4062499999999991</v>
      </c>
      <c r="M200" s="13">
        <f>AVERAGE(1.5,1.42,1.45,1.5,1.35,1.4,1.21,1.36)</f>
        <v>1.3987500000000002</v>
      </c>
      <c r="N200" s="90" t="s">
        <v>50</v>
      </c>
      <c r="O200" s="14" t="s">
        <v>48</v>
      </c>
      <c r="P200" s="32">
        <v>8</v>
      </c>
      <c r="Q200" s="32">
        <v>10</v>
      </c>
      <c r="R200" s="32" t="s">
        <v>49</v>
      </c>
      <c r="S200" s="32" t="s">
        <v>50</v>
      </c>
      <c r="T200" s="79" t="s">
        <v>50</v>
      </c>
      <c r="U200" s="79" t="s">
        <v>50</v>
      </c>
      <c r="V200" s="32" t="s">
        <v>50</v>
      </c>
      <c r="W200" s="32" t="s">
        <v>50</v>
      </c>
      <c r="X200" s="32" t="s">
        <v>50</v>
      </c>
      <c r="Y200" s="35"/>
    </row>
    <row r="201" spans="1:25" s="27" customFormat="1" x14ac:dyDescent="0.25">
      <c r="A201" s="36">
        <v>42970</v>
      </c>
      <c r="B201" s="92" t="str">
        <f t="shared" si="3"/>
        <v>Wed</v>
      </c>
      <c r="C201" s="27" t="s">
        <v>6849</v>
      </c>
      <c r="D201" s="27">
        <v>38.176639999999999</v>
      </c>
      <c r="E201" s="27">
        <v>-121.66099</v>
      </c>
      <c r="F201" s="27" t="s">
        <v>7827</v>
      </c>
      <c r="G201" s="27" t="s">
        <v>90</v>
      </c>
      <c r="H201" s="27" t="s">
        <v>6892</v>
      </c>
      <c r="I201" s="30">
        <v>0.45694444444444443</v>
      </c>
      <c r="J201" s="13">
        <f>AVERAGE(762,757,739,744,735,696,706,728)</f>
        <v>733.375</v>
      </c>
      <c r="K201" s="86">
        <v>22.937499761581421</v>
      </c>
      <c r="L201" s="13">
        <f>AVERAGE(11.1,8.83,8.38,9.85,9.15,8.06,11,8.42)</f>
        <v>9.3487500000000008</v>
      </c>
      <c r="M201" s="13">
        <f>AVERAGE(1.32,1.6,1.5,1.5,1.5,1.33,1.5)</f>
        <v>1.4642857142857142</v>
      </c>
      <c r="N201" s="90" t="s">
        <v>50</v>
      </c>
      <c r="O201" s="14" t="s">
        <v>48</v>
      </c>
      <c r="P201" s="32">
        <v>8</v>
      </c>
      <c r="Q201" s="32">
        <v>10</v>
      </c>
      <c r="R201" s="32" t="s">
        <v>49</v>
      </c>
      <c r="S201" s="32" t="s">
        <v>50</v>
      </c>
      <c r="T201" s="79" t="s">
        <v>50</v>
      </c>
      <c r="U201" s="79" t="s">
        <v>50</v>
      </c>
      <c r="V201" s="32" t="s">
        <v>50</v>
      </c>
      <c r="W201" s="32" t="s">
        <v>50</v>
      </c>
      <c r="X201" s="32" t="s">
        <v>50</v>
      </c>
      <c r="Y201" s="35" t="s">
        <v>7828</v>
      </c>
    </row>
    <row r="202" spans="1:25" s="27" customFormat="1" x14ac:dyDescent="0.25">
      <c r="A202" s="36">
        <v>42971</v>
      </c>
      <c r="B202" s="92" t="str">
        <f t="shared" si="3"/>
        <v>Thu</v>
      </c>
      <c r="C202" s="27" t="s">
        <v>845</v>
      </c>
      <c r="D202" s="27">
        <v>38.361690000000003</v>
      </c>
      <c r="E202" s="27">
        <v>-121.63491999999999</v>
      </c>
      <c r="F202" s="27" t="s">
        <v>7829</v>
      </c>
      <c r="G202" s="27" t="s">
        <v>90</v>
      </c>
      <c r="H202" s="27" t="s">
        <v>126</v>
      </c>
      <c r="I202" s="30">
        <v>0.3347222222222222</v>
      </c>
      <c r="J202" s="13">
        <f>AVERAGE(830,940,956,904,951)</f>
        <v>916.2</v>
      </c>
      <c r="K202" s="86">
        <v>22.660000610351563</v>
      </c>
      <c r="L202" s="13">
        <f>AVERAGE(28.7,32.2,31.6,39.5,36.3)</f>
        <v>33.660000000000004</v>
      </c>
      <c r="M202" s="13">
        <f>AVERAGE(0.45,0.45,0.35,0.45,0.4)</f>
        <v>0.42000000000000004</v>
      </c>
      <c r="N202" s="90" t="s">
        <v>50</v>
      </c>
      <c r="O202" s="14" t="s">
        <v>48</v>
      </c>
      <c r="P202" s="32">
        <v>5</v>
      </c>
      <c r="Q202" s="32">
        <v>5</v>
      </c>
      <c r="R202" s="32" t="s">
        <v>64</v>
      </c>
      <c r="S202" s="32" t="s">
        <v>50</v>
      </c>
      <c r="T202" s="79" t="s">
        <v>50</v>
      </c>
      <c r="U202" s="79" t="s">
        <v>50</v>
      </c>
      <c r="V202" s="32" t="s">
        <v>50</v>
      </c>
      <c r="W202" s="32" t="s">
        <v>50</v>
      </c>
      <c r="X202" s="32" t="s">
        <v>50</v>
      </c>
      <c r="Y202" s="35"/>
    </row>
    <row r="203" spans="1:25" s="27" customFormat="1" x14ac:dyDescent="0.25">
      <c r="A203" s="36">
        <v>42971</v>
      </c>
      <c r="B203" s="92" t="str">
        <f t="shared" si="3"/>
        <v>Thu</v>
      </c>
      <c r="C203" s="27" t="s">
        <v>845</v>
      </c>
      <c r="D203" s="27">
        <v>38.282730000000001</v>
      </c>
      <c r="E203" s="27">
        <v>-121.71644999999999</v>
      </c>
      <c r="F203" s="27" t="s">
        <v>7830</v>
      </c>
      <c r="G203" s="27" t="s">
        <v>90</v>
      </c>
      <c r="H203" s="27" t="s">
        <v>126</v>
      </c>
      <c r="I203" s="30">
        <v>0.42499999999999999</v>
      </c>
      <c r="J203" s="13">
        <f>AVERAGE(588,665,644,763,648)</f>
        <v>661.6</v>
      </c>
      <c r="K203" s="86">
        <v>21.440000152587892</v>
      </c>
      <c r="L203" s="13">
        <f>AVERAGE(12.8,11.4,10.8,9.84,7.76)</f>
        <v>10.52</v>
      </c>
      <c r="M203" s="13">
        <f>AVERAGE(1.2,0.9,0.95,0.95,1.7)</f>
        <v>1.1400000000000001</v>
      </c>
      <c r="N203" s="90" t="s">
        <v>50</v>
      </c>
      <c r="O203" s="14" t="s">
        <v>48</v>
      </c>
      <c r="P203" s="32">
        <v>5</v>
      </c>
      <c r="Q203" s="32">
        <v>5</v>
      </c>
      <c r="R203" s="32" t="s">
        <v>49</v>
      </c>
      <c r="S203" s="32" t="s">
        <v>50</v>
      </c>
      <c r="T203" s="79" t="s">
        <v>50</v>
      </c>
      <c r="U203" s="79" t="s">
        <v>50</v>
      </c>
      <c r="V203" s="32" t="s">
        <v>50</v>
      </c>
      <c r="W203" s="32" t="s">
        <v>50</v>
      </c>
      <c r="X203" s="32" t="s">
        <v>50</v>
      </c>
      <c r="Y203" s="35" t="s">
        <v>7831</v>
      </c>
    </row>
    <row r="204" spans="1:25" s="108" customFormat="1" ht="15.75" thickBot="1" x14ac:dyDescent="0.3">
      <c r="A204" s="117">
        <v>42971</v>
      </c>
      <c r="B204" s="107" t="str">
        <f t="shared" si="3"/>
        <v>Thu</v>
      </c>
      <c r="C204" s="108" t="s">
        <v>7570</v>
      </c>
      <c r="D204" s="108">
        <v>38.060229999999997</v>
      </c>
      <c r="E204" s="108">
        <v>-121.97149</v>
      </c>
      <c r="F204" s="108" t="s">
        <v>7832</v>
      </c>
      <c r="G204" s="108" t="s">
        <v>27</v>
      </c>
      <c r="H204" s="108" t="s">
        <v>86</v>
      </c>
      <c r="I204" s="122">
        <v>0.35347222222222219</v>
      </c>
      <c r="J204" s="127">
        <f>AVERAGE(6024,6220,6403,6371,6340)</f>
        <v>6271.6</v>
      </c>
      <c r="K204" s="128">
        <v>20.479999923706053</v>
      </c>
      <c r="L204" s="127">
        <f>AVERAGE(27,24,21.9,27.7,31.3)</f>
        <v>26.380000000000003</v>
      </c>
      <c r="M204" s="127">
        <f>AVERAGE(0.42,0.45,0.46,0.42,0.46)</f>
        <v>0.442</v>
      </c>
      <c r="N204" s="125" t="s">
        <v>50</v>
      </c>
      <c r="O204" s="129" t="s">
        <v>48</v>
      </c>
      <c r="P204" s="118">
        <v>5</v>
      </c>
      <c r="Q204" s="118">
        <v>5</v>
      </c>
      <c r="R204" s="118" t="s">
        <v>49</v>
      </c>
      <c r="S204" s="118" t="s">
        <v>50</v>
      </c>
      <c r="T204" s="119" t="s">
        <v>50</v>
      </c>
      <c r="U204" s="119" t="s">
        <v>50</v>
      </c>
      <c r="V204" s="118" t="s">
        <v>50</v>
      </c>
      <c r="W204" s="118" t="s">
        <v>50</v>
      </c>
      <c r="X204" s="118" t="s">
        <v>50</v>
      </c>
      <c r="Y204" s="113"/>
    </row>
    <row r="205" spans="1:25" s="149" customFormat="1" ht="15.75" thickTop="1" x14ac:dyDescent="0.25">
      <c r="A205" s="179">
        <v>42975</v>
      </c>
      <c r="B205" s="148" t="str">
        <f t="shared" si="3"/>
        <v>Mon</v>
      </c>
      <c r="C205" s="149" t="s">
        <v>88</v>
      </c>
      <c r="D205" s="149">
        <v>38.073120000000003</v>
      </c>
      <c r="E205" s="149">
        <v>-121.85665</v>
      </c>
      <c r="F205" s="149" t="s">
        <v>7833</v>
      </c>
      <c r="G205" s="149" t="s">
        <v>27</v>
      </c>
      <c r="H205" s="149" t="s">
        <v>25</v>
      </c>
      <c r="I205" s="180">
        <v>0.34166666666666662</v>
      </c>
      <c r="J205" s="177" t="s">
        <v>50</v>
      </c>
      <c r="K205" s="177" t="s">
        <v>50</v>
      </c>
      <c r="L205" s="177" t="s">
        <v>50</v>
      </c>
      <c r="M205" s="177" t="s">
        <v>50</v>
      </c>
      <c r="N205" s="177" t="s">
        <v>50</v>
      </c>
      <c r="O205" s="181" t="s">
        <v>48</v>
      </c>
      <c r="P205" s="181">
        <v>0</v>
      </c>
      <c r="Q205" s="181" t="s">
        <v>50</v>
      </c>
      <c r="R205" s="181" t="s">
        <v>50</v>
      </c>
      <c r="S205" s="181" t="s">
        <v>50</v>
      </c>
      <c r="T205" s="182" t="s">
        <v>50</v>
      </c>
      <c r="U205" s="182" t="s">
        <v>50</v>
      </c>
      <c r="V205" s="181" t="s">
        <v>50</v>
      </c>
      <c r="W205" s="181" t="s">
        <v>50</v>
      </c>
      <c r="X205" s="181" t="s">
        <v>50</v>
      </c>
      <c r="Y205" s="152" t="s">
        <v>7834</v>
      </c>
    </row>
    <row r="206" spans="1:25" s="27" customFormat="1" x14ac:dyDescent="0.25">
      <c r="A206" s="36">
        <v>42975</v>
      </c>
      <c r="B206" s="92" t="str">
        <f t="shared" si="3"/>
        <v>Mon</v>
      </c>
      <c r="C206" s="27" t="s">
        <v>88</v>
      </c>
      <c r="D206" s="27">
        <v>38.067540000000001</v>
      </c>
      <c r="E206" s="27">
        <v>-121.84463</v>
      </c>
      <c r="F206" s="27" t="s">
        <v>7835</v>
      </c>
      <c r="G206" s="27" t="s">
        <v>27</v>
      </c>
      <c r="H206" s="27" t="s">
        <v>25</v>
      </c>
      <c r="I206" s="30">
        <v>0.35069444444444442</v>
      </c>
      <c r="J206" s="31">
        <v>884</v>
      </c>
      <c r="K206" s="86">
        <v>21.949999809265137</v>
      </c>
      <c r="L206" s="31">
        <v>22.4</v>
      </c>
      <c r="M206" s="31">
        <v>0.64500000000000002</v>
      </c>
      <c r="N206" s="90" t="s">
        <v>50</v>
      </c>
      <c r="O206" s="32" t="s">
        <v>48</v>
      </c>
      <c r="P206" s="32">
        <v>2</v>
      </c>
      <c r="Q206" s="32">
        <v>5</v>
      </c>
      <c r="R206" s="32" t="s">
        <v>64</v>
      </c>
      <c r="S206" s="32" t="s">
        <v>323</v>
      </c>
      <c r="T206" s="79">
        <v>2</v>
      </c>
      <c r="U206" s="79" t="s">
        <v>7836</v>
      </c>
      <c r="V206" s="32" t="s">
        <v>66</v>
      </c>
      <c r="W206" s="32" t="s">
        <v>50</v>
      </c>
      <c r="X206" s="32" t="s">
        <v>50</v>
      </c>
      <c r="Y206" s="35" t="s">
        <v>7837</v>
      </c>
    </row>
    <row r="207" spans="1:25" s="27" customFormat="1" x14ac:dyDescent="0.25">
      <c r="A207" s="36">
        <v>42975</v>
      </c>
      <c r="B207" s="92" t="str">
        <f t="shared" si="3"/>
        <v>Mon</v>
      </c>
      <c r="C207" s="27" t="s">
        <v>88</v>
      </c>
      <c r="D207" s="27">
        <v>38.163939999999997</v>
      </c>
      <c r="E207" s="27">
        <v>-121.67838</v>
      </c>
      <c r="F207" s="27" t="s">
        <v>7838</v>
      </c>
      <c r="G207" s="27" t="s">
        <v>90</v>
      </c>
      <c r="H207" s="27" t="s">
        <v>91</v>
      </c>
      <c r="I207" s="30">
        <v>0.39652777777777781</v>
      </c>
      <c r="J207" s="31">
        <v>129.32</v>
      </c>
      <c r="K207" s="86">
        <v>22.560000228881837</v>
      </c>
      <c r="L207" s="31">
        <v>7.008</v>
      </c>
      <c r="M207" s="31">
        <v>1.208</v>
      </c>
      <c r="N207" s="90" t="s">
        <v>50</v>
      </c>
      <c r="O207" s="32" t="s">
        <v>48</v>
      </c>
      <c r="P207" s="32">
        <v>5</v>
      </c>
      <c r="Q207" s="32">
        <v>5</v>
      </c>
      <c r="R207" s="32" t="s">
        <v>64</v>
      </c>
      <c r="S207" s="32" t="s">
        <v>50</v>
      </c>
      <c r="T207" s="79" t="s">
        <v>50</v>
      </c>
      <c r="U207" s="79" t="s">
        <v>50</v>
      </c>
      <c r="V207" s="32" t="s">
        <v>50</v>
      </c>
      <c r="W207" s="32" t="s">
        <v>50</v>
      </c>
      <c r="X207" s="32" t="s">
        <v>50</v>
      </c>
      <c r="Y207" s="35"/>
    </row>
    <row r="208" spans="1:25" s="27" customFormat="1" x14ac:dyDescent="0.25">
      <c r="A208" s="36">
        <v>42975</v>
      </c>
      <c r="B208" s="92" t="str">
        <f t="shared" si="3"/>
        <v>Mon</v>
      </c>
      <c r="C208" s="27" t="s">
        <v>7570</v>
      </c>
      <c r="D208" s="27">
        <v>38.167470000000002</v>
      </c>
      <c r="E208" s="27">
        <v>-121.94334000000001</v>
      </c>
      <c r="F208" s="27" t="s">
        <v>7839</v>
      </c>
      <c r="G208" s="27" t="s">
        <v>27</v>
      </c>
      <c r="H208" s="27" t="s">
        <v>62</v>
      </c>
      <c r="I208" s="30">
        <v>0.35694444444444445</v>
      </c>
      <c r="J208" s="31">
        <v>6688.4</v>
      </c>
      <c r="K208" s="86">
        <v>22.7000003814697</v>
      </c>
      <c r="L208" s="31">
        <v>27.18</v>
      </c>
      <c r="M208" s="31">
        <v>0.46800000000000003</v>
      </c>
      <c r="N208" s="90" t="s">
        <v>50</v>
      </c>
      <c r="O208" s="32" t="s">
        <v>48</v>
      </c>
      <c r="P208" s="32">
        <v>5</v>
      </c>
      <c r="Q208" s="32">
        <v>5</v>
      </c>
      <c r="R208" s="32" t="s">
        <v>64</v>
      </c>
      <c r="S208" s="32" t="s">
        <v>50</v>
      </c>
      <c r="T208" s="79" t="s">
        <v>50</v>
      </c>
      <c r="U208" s="79" t="s">
        <v>50</v>
      </c>
      <c r="V208" s="32" t="s">
        <v>50</v>
      </c>
      <c r="W208" s="32" t="s">
        <v>50</v>
      </c>
      <c r="X208" s="32" t="s">
        <v>50</v>
      </c>
      <c r="Y208" s="35"/>
    </row>
    <row r="209" spans="1:25" s="27" customFormat="1" x14ac:dyDescent="0.25">
      <c r="A209" s="36">
        <v>42975</v>
      </c>
      <c r="B209" s="92" t="str">
        <f t="shared" si="3"/>
        <v>Mon</v>
      </c>
      <c r="C209" s="27" t="s">
        <v>7570</v>
      </c>
      <c r="D209" s="27">
        <v>38.054490000000001</v>
      </c>
      <c r="E209" s="27">
        <v>-121.97403</v>
      </c>
      <c r="F209" s="27" t="s">
        <v>7840</v>
      </c>
      <c r="G209" s="27" t="s">
        <v>27</v>
      </c>
      <c r="H209" s="27" t="s">
        <v>86</v>
      </c>
      <c r="I209" s="30">
        <v>0.4513888888888889</v>
      </c>
      <c r="J209" s="31">
        <v>4985.8</v>
      </c>
      <c r="K209" s="86">
        <v>21.939999771118163</v>
      </c>
      <c r="L209" s="31">
        <v>17.02</v>
      </c>
      <c r="M209" s="31">
        <v>0.67600000000000005</v>
      </c>
      <c r="N209" s="90" t="s">
        <v>50</v>
      </c>
      <c r="O209" s="32" t="s">
        <v>48</v>
      </c>
      <c r="P209" s="32">
        <v>5</v>
      </c>
      <c r="Q209" s="32">
        <v>5</v>
      </c>
      <c r="R209" s="32" t="s">
        <v>64</v>
      </c>
      <c r="S209" s="32" t="s">
        <v>50</v>
      </c>
      <c r="T209" s="79" t="s">
        <v>50</v>
      </c>
      <c r="U209" s="79" t="s">
        <v>50</v>
      </c>
      <c r="V209" s="32" t="s">
        <v>50</v>
      </c>
      <c r="W209" s="32" t="s">
        <v>50</v>
      </c>
      <c r="X209" s="32" t="s">
        <v>50</v>
      </c>
      <c r="Y209" s="35"/>
    </row>
    <row r="210" spans="1:25" s="27" customFormat="1" x14ac:dyDescent="0.25">
      <c r="A210" s="36">
        <v>42975</v>
      </c>
      <c r="B210" s="92" t="str">
        <f t="shared" si="3"/>
        <v>Mon</v>
      </c>
      <c r="C210" s="27" t="s">
        <v>118</v>
      </c>
      <c r="D210" s="27">
        <v>38.036189999999998</v>
      </c>
      <c r="E210" s="27">
        <v>-122.17053</v>
      </c>
      <c r="F210" s="27" t="s">
        <v>7841</v>
      </c>
      <c r="G210" s="27" t="s">
        <v>80</v>
      </c>
      <c r="H210" s="27" t="s">
        <v>120</v>
      </c>
      <c r="I210" s="30">
        <v>0.40138888888888885</v>
      </c>
      <c r="J210" s="31">
        <v>16287.63</v>
      </c>
      <c r="K210" s="86">
        <v>20.924999713897705</v>
      </c>
      <c r="L210" s="31">
        <v>13.35</v>
      </c>
      <c r="M210" s="31">
        <v>0.72375</v>
      </c>
      <c r="N210" s="90" t="s">
        <v>50</v>
      </c>
      <c r="O210" s="32" t="s">
        <v>48</v>
      </c>
      <c r="P210" s="32">
        <v>8</v>
      </c>
      <c r="Q210" s="32">
        <v>10</v>
      </c>
      <c r="R210" s="32" t="s">
        <v>49</v>
      </c>
      <c r="S210" s="32" t="s">
        <v>50</v>
      </c>
      <c r="T210" s="79" t="s">
        <v>50</v>
      </c>
      <c r="U210" s="79" t="s">
        <v>50</v>
      </c>
      <c r="V210" s="32" t="s">
        <v>50</v>
      </c>
      <c r="W210" s="32" t="s">
        <v>50</v>
      </c>
      <c r="X210" s="32" t="s">
        <v>50</v>
      </c>
      <c r="Y210" s="35"/>
    </row>
    <row r="211" spans="1:25" s="27" customFormat="1" x14ac:dyDescent="0.25">
      <c r="A211" s="36">
        <v>42975</v>
      </c>
      <c r="B211" s="92" t="str">
        <f t="shared" si="3"/>
        <v>Mon</v>
      </c>
      <c r="C211" s="27" t="s">
        <v>118</v>
      </c>
      <c r="D211" s="27">
        <v>38.047409999999999</v>
      </c>
      <c r="E211" s="27">
        <v>-122.17813</v>
      </c>
      <c r="F211" s="27" t="s">
        <v>7842</v>
      </c>
      <c r="G211" s="27" t="s">
        <v>80</v>
      </c>
      <c r="H211" s="27" t="s">
        <v>120</v>
      </c>
      <c r="I211" s="30">
        <v>0.52708333333333335</v>
      </c>
      <c r="J211" s="31">
        <v>15311.5</v>
      </c>
      <c r="K211" s="86">
        <v>21.3125</v>
      </c>
      <c r="L211" s="31">
        <v>13.737500000000001</v>
      </c>
      <c r="M211" s="31">
        <v>0.68374999999999997</v>
      </c>
      <c r="N211" s="90" t="s">
        <v>50</v>
      </c>
      <c r="O211" s="32" t="s">
        <v>48</v>
      </c>
      <c r="P211" s="32">
        <v>8</v>
      </c>
      <c r="Q211" s="32">
        <v>10</v>
      </c>
      <c r="R211" s="32" t="s">
        <v>49</v>
      </c>
      <c r="S211" s="32" t="s">
        <v>50</v>
      </c>
      <c r="T211" s="79" t="s">
        <v>50</v>
      </c>
      <c r="U211" s="79" t="s">
        <v>50</v>
      </c>
      <c r="V211" s="32" t="s">
        <v>50</v>
      </c>
      <c r="W211" s="32" t="s">
        <v>50</v>
      </c>
      <c r="X211" s="32" t="s">
        <v>50</v>
      </c>
      <c r="Y211" s="35"/>
    </row>
    <row r="212" spans="1:25" s="27" customFormat="1" x14ac:dyDescent="0.25">
      <c r="A212" s="36">
        <v>42976</v>
      </c>
      <c r="B212" s="92" t="str">
        <f t="shared" si="3"/>
        <v>Tue</v>
      </c>
      <c r="C212" s="27" t="s">
        <v>118</v>
      </c>
      <c r="D212" s="27">
        <v>38.040059999999997</v>
      </c>
      <c r="E212" s="27">
        <v>-122.27907999999999</v>
      </c>
      <c r="F212" s="27" t="s">
        <v>7843</v>
      </c>
      <c r="G212" s="27" t="s">
        <v>80</v>
      </c>
      <c r="H212" s="27" t="s">
        <v>123</v>
      </c>
      <c r="I212" s="30">
        <v>0.32500000000000001</v>
      </c>
      <c r="J212" s="13">
        <f>AVERAGE(25860,26161,26336,28348,29224,29782,30150,28606)</f>
        <v>28058.375</v>
      </c>
      <c r="K212" s="86">
        <v>20.037499904632568</v>
      </c>
      <c r="L212" s="13">
        <f>AVERAGE(14.8,14.9,12.9,10.5,9.32,8.63,11.1)</f>
        <v>11.735714285714284</v>
      </c>
      <c r="M212" s="13">
        <f>AVERAGE(0.9,0.87,0.91,0.94,0.98,1,0.93,0.98)</f>
        <v>0.93874999999999997</v>
      </c>
      <c r="N212" s="90" t="s">
        <v>50</v>
      </c>
      <c r="O212" s="14" t="s">
        <v>48</v>
      </c>
      <c r="P212" s="32">
        <v>8</v>
      </c>
      <c r="Q212" s="32">
        <v>10</v>
      </c>
      <c r="R212" s="32" t="s">
        <v>64</v>
      </c>
      <c r="S212" s="32" t="s">
        <v>50</v>
      </c>
      <c r="T212" s="79" t="s">
        <v>50</v>
      </c>
      <c r="U212" s="79" t="s">
        <v>50</v>
      </c>
      <c r="V212" s="32" t="s">
        <v>50</v>
      </c>
      <c r="W212" s="32" t="s">
        <v>50</v>
      </c>
      <c r="X212" s="32" t="s">
        <v>50</v>
      </c>
      <c r="Y212" s="35"/>
    </row>
    <row r="213" spans="1:25" s="27" customFormat="1" x14ac:dyDescent="0.25">
      <c r="A213" s="36">
        <v>42976</v>
      </c>
      <c r="B213" s="92" t="str">
        <f t="shared" si="3"/>
        <v>Tue</v>
      </c>
      <c r="C213" s="27" t="s">
        <v>118</v>
      </c>
      <c r="D213" s="27">
        <v>38.031950000000002</v>
      </c>
      <c r="E213" s="27">
        <v>-122.29125999999999</v>
      </c>
      <c r="F213" s="27" t="s">
        <v>7844</v>
      </c>
      <c r="G213" s="27" t="s">
        <v>80</v>
      </c>
      <c r="H213" s="27" t="s">
        <v>123</v>
      </c>
      <c r="I213" s="30">
        <v>0.41944444444444445</v>
      </c>
      <c r="J213" s="13">
        <f>AVERAGE(28794,29103,28972,29777,28013,28052,27300,26694)</f>
        <v>28338.125</v>
      </c>
      <c r="K213" s="86">
        <v>20.25</v>
      </c>
      <c r="L213" s="13">
        <f>AVERAGE(8.67,9.43,8.16,6.39,8.24,9.7,7.81,7.57)</f>
        <v>8.2462499999999999</v>
      </c>
      <c r="M213" s="13">
        <f>AVERAGE(0.95,0.98,0.95,0.98,0.86,0.91,0.97,0.98)</f>
        <v>0.94750000000000001</v>
      </c>
      <c r="N213" s="90" t="s">
        <v>50</v>
      </c>
      <c r="O213" s="14" t="s">
        <v>48</v>
      </c>
      <c r="P213" s="32">
        <v>8</v>
      </c>
      <c r="Q213" s="32">
        <v>10</v>
      </c>
      <c r="R213" s="32" t="s">
        <v>49</v>
      </c>
      <c r="S213" s="32" t="s">
        <v>50</v>
      </c>
      <c r="T213" s="32" t="s">
        <v>50</v>
      </c>
      <c r="U213" s="32" t="s">
        <v>50</v>
      </c>
      <c r="V213" s="32" t="s">
        <v>50</v>
      </c>
      <c r="W213" s="32" t="s">
        <v>50</v>
      </c>
      <c r="X213" s="32" t="s">
        <v>50</v>
      </c>
      <c r="Y213" s="35"/>
    </row>
    <row r="214" spans="1:25" s="27" customFormat="1" x14ac:dyDescent="0.25">
      <c r="A214" s="36">
        <v>42976</v>
      </c>
      <c r="B214" s="92" t="str">
        <f t="shared" si="3"/>
        <v>Tue</v>
      </c>
      <c r="C214" s="27" t="s">
        <v>95</v>
      </c>
      <c r="D214" s="27">
        <v>38.027140000000003</v>
      </c>
      <c r="E214" s="27">
        <v>-121.69637</v>
      </c>
      <c r="F214" s="27" t="s">
        <v>7845</v>
      </c>
      <c r="G214" s="27" t="s">
        <v>27</v>
      </c>
      <c r="H214" s="27" t="s">
        <v>95</v>
      </c>
      <c r="I214" s="30">
        <v>0.34930555555555554</v>
      </c>
      <c r="J214" s="13">
        <f>AVERAGE(255.9,264.4,255.7,239.1,238.6)</f>
        <v>250.74</v>
      </c>
      <c r="K214" s="86">
        <v>23.159999847412109</v>
      </c>
      <c r="L214" s="13">
        <f>AVERAGE(4.06,5.4,6.02,6.47,5.75)</f>
        <v>5.54</v>
      </c>
      <c r="M214" s="13">
        <f>AVERAGE(1.62,1.55,1.55,1.55,1.55)</f>
        <v>1.5639999999999998</v>
      </c>
      <c r="N214" s="90" t="s">
        <v>50</v>
      </c>
      <c r="O214" s="14" t="s">
        <v>48</v>
      </c>
      <c r="P214" s="32">
        <v>5</v>
      </c>
      <c r="Q214" s="32">
        <v>5</v>
      </c>
      <c r="R214" s="32" t="s">
        <v>64</v>
      </c>
      <c r="S214" s="32" t="s">
        <v>50</v>
      </c>
      <c r="T214" s="79" t="s">
        <v>50</v>
      </c>
      <c r="U214" s="79" t="s">
        <v>50</v>
      </c>
      <c r="V214" s="32" t="s">
        <v>50</v>
      </c>
      <c r="W214" s="32" t="s">
        <v>50</v>
      </c>
      <c r="X214" s="32" t="s">
        <v>50</v>
      </c>
      <c r="Y214" s="35"/>
    </row>
    <row r="215" spans="1:25" s="27" customFormat="1" x14ac:dyDescent="0.25">
      <c r="A215" s="36">
        <v>42976</v>
      </c>
      <c r="B215" s="92" t="str">
        <f t="shared" si="3"/>
        <v>Tue</v>
      </c>
      <c r="C215" s="27" t="s">
        <v>95</v>
      </c>
      <c r="D215" s="27">
        <v>38.064239999999998</v>
      </c>
      <c r="E215" s="27">
        <v>-121.68197000000001</v>
      </c>
      <c r="F215" s="27" t="s">
        <v>7846</v>
      </c>
      <c r="G215" s="27" t="s">
        <v>46</v>
      </c>
      <c r="H215" s="27" t="s">
        <v>97</v>
      </c>
      <c r="I215" s="30">
        <v>0.39930555555555558</v>
      </c>
      <c r="J215" s="13">
        <f>AVERAGE(201.4,199.4,198.9,202.3,209.2)</f>
        <v>202.24</v>
      </c>
      <c r="K215" s="86">
        <v>23.100000381469727</v>
      </c>
      <c r="L215" s="13">
        <f>AVERAGE(8.02,9.16,9.81,8.55,8.45)</f>
        <v>8.7980000000000018</v>
      </c>
      <c r="M215" s="13">
        <f>AVERAGE(1.2,1.16,1.2,1.25,1.18)</f>
        <v>1.198</v>
      </c>
      <c r="N215" s="90" t="s">
        <v>50</v>
      </c>
      <c r="O215" s="14" t="s">
        <v>48</v>
      </c>
      <c r="P215" s="32">
        <v>5</v>
      </c>
      <c r="Q215" s="32">
        <v>5</v>
      </c>
      <c r="R215" s="32" t="s">
        <v>64</v>
      </c>
      <c r="S215" s="32" t="s">
        <v>50</v>
      </c>
      <c r="T215" s="32" t="s">
        <v>50</v>
      </c>
      <c r="U215" s="32" t="s">
        <v>50</v>
      </c>
      <c r="V215" s="32" t="s">
        <v>50</v>
      </c>
      <c r="W215" s="32" t="s">
        <v>50</v>
      </c>
      <c r="X215" s="32" t="s">
        <v>50</v>
      </c>
      <c r="Y215" s="35"/>
    </row>
    <row r="216" spans="1:25" s="27" customFormat="1" x14ac:dyDescent="0.25">
      <c r="A216" s="36">
        <v>42976</v>
      </c>
      <c r="B216" s="92" t="str">
        <f t="shared" si="3"/>
        <v>Tue</v>
      </c>
      <c r="C216" s="27" t="s">
        <v>845</v>
      </c>
      <c r="D216" s="27">
        <v>38.243819999999999</v>
      </c>
      <c r="E216" s="27">
        <v>-121.69324</v>
      </c>
      <c r="F216" s="27" t="s">
        <v>7847</v>
      </c>
      <c r="G216" s="27" t="s">
        <v>90</v>
      </c>
      <c r="H216" s="27" t="s">
        <v>126</v>
      </c>
      <c r="I216" s="30">
        <v>0.32777777777777778</v>
      </c>
      <c r="J216" s="13">
        <f>AVERAGE(149.6,150.2,149.9,149.3,149.6)</f>
        <v>149.72</v>
      </c>
      <c r="K216" s="86">
        <v>23.060000228881837</v>
      </c>
      <c r="L216" s="13">
        <f>AVERAGE(4.99,5.15,6.69,6.65,7.17)</f>
        <v>6.1300000000000008</v>
      </c>
      <c r="M216" s="13">
        <f>AVERAGE(1.31,1.15,1.1,1.16,1.08)</f>
        <v>1.1599999999999999</v>
      </c>
      <c r="N216" s="90" t="s">
        <v>50</v>
      </c>
      <c r="O216" s="14" t="s">
        <v>48</v>
      </c>
      <c r="P216" s="32">
        <v>5</v>
      </c>
      <c r="Q216" s="32">
        <v>5</v>
      </c>
      <c r="R216" s="32" t="s">
        <v>64</v>
      </c>
      <c r="S216" s="32" t="s">
        <v>50</v>
      </c>
      <c r="T216" s="32" t="s">
        <v>50</v>
      </c>
      <c r="U216" s="32" t="s">
        <v>50</v>
      </c>
      <c r="V216" s="32" t="s">
        <v>50</v>
      </c>
      <c r="W216" s="32" t="s">
        <v>50</v>
      </c>
      <c r="X216" s="32" t="s">
        <v>50</v>
      </c>
      <c r="Y216" s="5" t="s">
        <v>7711</v>
      </c>
    </row>
    <row r="217" spans="1:25" s="27" customFormat="1" x14ac:dyDescent="0.25">
      <c r="A217" s="36">
        <v>42976</v>
      </c>
      <c r="B217" s="92" t="str">
        <f t="shared" si="3"/>
        <v>Tue</v>
      </c>
      <c r="C217" s="27" t="s">
        <v>845</v>
      </c>
      <c r="D217" s="27">
        <v>38.285359999999997</v>
      </c>
      <c r="E217" s="27">
        <v>-121.71741</v>
      </c>
      <c r="F217" s="27" t="s">
        <v>7848</v>
      </c>
      <c r="G217" s="27" t="s">
        <v>90</v>
      </c>
      <c r="H217" s="27" t="s">
        <v>126</v>
      </c>
      <c r="I217" s="30">
        <v>0.37361111111111112</v>
      </c>
      <c r="J217" s="13">
        <f>AVERAGE(163,164.3,160.5,159.5,163.1)</f>
        <v>162.07999999999998</v>
      </c>
      <c r="K217" s="86">
        <v>23.08000030517578</v>
      </c>
      <c r="L217" s="13">
        <f>AVERAGE(6.82,5.93,5.67,4.68,5.14)</f>
        <v>5.6480000000000006</v>
      </c>
      <c r="M217" s="13">
        <f>AVERAGE(1.29,1.29,1.25,1.48,1.35)</f>
        <v>1.3320000000000001</v>
      </c>
      <c r="N217" s="90" t="s">
        <v>50</v>
      </c>
      <c r="O217" s="14" t="s">
        <v>48</v>
      </c>
      <c r="P217" s="32">
        <v>5</v>
      </c>
      <c r="Q217" s="32">
        <v>5</v>
      </c>
      <c r="R217" s="32" t="s">
        <v>64</v>
      </c>
      <c r="S217" s="32" t="s">
        <v>50</v>
      </c>
      <c r="T217" s="79" t="s">
        <v>50</v>
      </c>
      <c r="U217" s="79" t="s">
        <v>50</v>
      </c>
      <c r="V217" s="32" t="s">
        <v>50</v>
      </c>
      <c r="W217" s="32" t="s">
        <v>50</v>
      </c>
      <c r="X217" s="32" t="s">
        <v>50</v>
      </c>
      <c r="Y217" s="5" t="s">
        <v>7711</v>
      </c>
    </row>
    <row r="218" spans="1:25" s="27" customFormat="1" x14ac:dyDescent="0.25">
      <c r="A218" s="36">
        <v>42977</v>
      </c>
      <c r="B218" s="92" t="str">
        <f t="shared" si="3"/>
        <v>Wed</v>
      </c>
      <c r="C218" s="27" t="s">
        <v>7570</v>
      </c>
      <c r="D218" s="27">
        <v>38.065930000000002</v>
      </c>
      <c r="E218" s="27">
        <v>-122.0193</v>
      </c>
      <c r="F218" s="27" t="s">
        <v>7849</v>
      </c>
      <c r="G218" s="27" t="s">
        <v>27</v>
      </c>
      <c r="H218" s="27" t="s">
        <v>86</v>
      </c>
      <c r="I218" s="30">
        <v>0.34930555555555554</v>
      </c>
      <c r="J218" s="31">
        <v>3586.5</v>
      </c>
      <c r="K218" s="86">
        <v>21.899999618530273</v>
      </c>
      <c r="L218" s="31">
        <v>26.55</v>
      </c>
      <c r="M218" s="31">
        <v>0.39500000000000002</v>
      </c>
      <c r="N218" s="90" t="s">
        <v>50</v>
      </c>
      <c r="O218" s="32" t="s">
        <v>48</v>
      </c>
      <c r="P218" s="32">
        <v>2</v>
      </c>
      <c r="Q218" s="32">
        <v>5</v>
      </c>
      <c r="R218" s="32" t="s">
        <v>49</v>
      </c>
      <c r="S218" s="32" t="s">
        <v>323</v>
      </c>
      <c r="T218" s="32">
        <v>1</v>
      </c>
      <c r="U218" s="32">
        <v>53</v>
      </c>
      <c r="V218" s="32" t="s">
        <v>66</v>
      </c>
      <c r="W218" s="32" t="s">
        <v>50</v>
      </c>
      <c r="X218" s="32" t="s">
        <v>50</v>
      </c>
      <c r="Y218" s="35" t="s">
        <v>7799</v>
      </c>
    </row>
    <row r="219" spans="1:25" s="27" customFormat="1" x14ac:dyDescent="0.25">
      <c r="A219" s="36">
        <v>42977</v>
      </c>
      <c r="B219" s="92" t="str">
        <f t="shared" si="3"/>
        <v>Wed</v>
      </c>
      <c r="C219" s="27" t="s">
        <v>7570</v>
      </c>
      <c r="D219" s="27">
        <v>38.09789</v>
      </c>
      <c r="E219" s="27">
        <v>-122.02972</v>
      </c>
      <c r="F219" s="27" t="s">
        <v>7850</v>
      </c>
      <c r="G219" s="27" t="s">
        <v>27</v>
      </c>
      <c r="H219" s="27" t="s">
        <v>86</v>
      </c>
      <c r="I219" s="30">
        <v>0.41180555555555554</v>
      </c>
      <c r="J219" s="31">
        <v>10059.200000000001</v>
      </c>
      <c r="K219" s="86">
        <v>21.466666857401531</v>
      </c>
      <c r="L219" s="31">
        <v>56.82</v>
      </c>
      <c r="M219" s="31">
        <v>0.32600000000000001</v>
      </c>
      <c r="N219" s="90" t="s">
        <v>50</v>
      </c>
      <c r="O219" s="32" t="s">
        <v>48</v>
      </c>
      <c r="P219" s="32">
        <v>5</v>
      </c>
      <c r="Q219" s="32">
        <v>5</v>
      </c>
      <c r="R219" s="32" t="s">
        <v>64</v>
      </c>
      <c r="S219" s="32" t="s">
        <v>50</v>
      </c>
      <c r="T219" s="79" t="s">
        <v>50</v>
      </c>
      <c r="U219" s="79" t="s">
        <v>50</v>
      </c>
      <c r="V219" s="32" t="s">
        <v>50</v>
      </c>
      <c r="W219" s="32" t="s">
        <v>50</v>
      </c>
      <c r="X219" s="32" t="s">
        <v>50</v>
      </c>
      <c r="Y219" s="35"/>
    </row>
    <row r="220" spans="1:25" s="27" customFormat="1" x14ac:dyDescent="0.25">
      <c r="A220" s="36">
        <v>42977</v>
      </c>
      <c r="B220" s="92" t="str">
        <f t="shared" si="3"/>
        <v>Wed</v>
      </c>
      <c r="C220" s="27" t="s">
        <v>118</v>
      </c>
      <c r="D220" s="27">
        <v>38.037010000000002</v>
      </c>
      <c r="E220" s="16">
        <v>-122.12264</v>
      </c>
      <c r="F220" s="27" t="s">
        <v>7851</v>
      </c>
      <c r="G220" s="27" t="s">
        <v>80</v>
      </c>
      <c r="H220" s="27" t="s">
        <v>81</v>
      </c>
      <c r="I220" s="30">
        <v>0.30972222222222223</v>
      </c>
      <c r="J220" s="31">
        <v>12068.88</v>
      </c>
      <c r="K220" s="86">
        <v>20.987499952316284</v>
      </c>
      <c r="L220" s="31">
        <v>15.5375</v>
      </c>
      <c r="M220" s="31">
        <v>0.65249999999999997</v>
      </c>
      <c r="N220" s="90" t="s">
        <v>50</v>
      </c>
      <c r="O220" s="32" t="s">
        <v>48</v>
      </c>
      <c r="P220" s="32">
        <v>8</v>
      </c>
      <c r="Q220" s="32">
        <v>10</v>
      </c>
      <c r="R220" s="32" t="s">
        <v>64</v>
      </c>
      <c r="S220" s="32" t="s">
        <v>50</v>
      </c>
      <c r="T220" s="79" t="s">
        <v>50</v>
      </c>
      <c r="U220" s="79" t="s">
        <v>50</v>
      </c>
      <c r="V220" s="32" t="s">
        <v>50</v>
      </c>
      <c r="W220" s="32" t="s">
        <v>50</v>
      </c>
      <c r="X220" s="32" t="s">
        <v>50</v>
      </c>
      <c r="Y220" s="35"/>
    </row>
    <row r="221" spans="1:25" s="27" customFormat="1" x14ac:dyDescent="0.25">
      <c r="A221" s="36">
        <v>42977</v>
      </c>
      <c r="B221" s="92" t="str">
        <f t="shared" si="3"/>
        <v>Wed</v>
      </c>
      <c r="C221" s="27" t="s">
        <v>118</v>
      </c>
      <c r="D221" s="27">
        <v>38.0563</v>
      </c>
      <c r="E221" s="27">
        <v>-122.1187</v>
      </c>
      <c r="F221" s="27" t="s">
        <v>7852</v>
      </c>
      <c r="G221" s="27" t="s">
        <v>80</v>
      </c>
      <c r="H221" s="27" t="s">
        <v>81</v>
      </c>
      <c r="I221" s="30">
        <v>0.39652777777777781</v>
      </c>
      <c r="J221" s="31">
        <v>13407.13</v>
      </c>
      <c r="K221" s="86">
        <v>20.899999618530273</v>
      </c>
      <c r="L221" s="31">
        <v>29.9375</v>
      </c>
      <c r="M221" s="31">
        <v>0.36875000000000002</v>
      </c>
      <c r="N221" s="90" t="s">
        <v>50</v>
      </c>
      <c r="O221" s="32" t="s">
        <v>48</v>
      </c>
      <c r="P221" s="32">
        <v>8</v>
      </c>
      <c r="Q221" s="32">
        <v>10</v>
      </c>
      <c r="R221" s="32" t="s">
        <v>64</v>
      </c>
      <c r="S221" s="32" t="s">
        <v>50</v>
      </c>
      <c r="T221" s="79" t="s">
        <v>50</v>
      </c>
      <c r="U221" s="79" t="s">
        <v>50</v>
      </c>
      <c r="V221" s="32" t="s">
        <v>50</v>
      </c>
      <c r="W221" s="32" t="s">
        <v>50</v>
      </c>
      <c r="X221" s="32" t="s">
        <v>50</v>
      </c>
      <c r="Y221" s="35"/>
    </row>
    <row r="222" spans="1:25" s="27" customFormat="1" x14ac:dyDescent="0.25">
      <c r="A222" s="36">
        <v>42977</v>
      </c>
      <c r="B222" s="92" t="str">
        <f t="shared" si="3"/>
        <v>Wed</v>
      </c>
      <c r="C222" s="27" t="s">
        <v>118</v>
      </c>
      <c r="D222" s="27">
        <v>38.057920000000003</v>
      </c>
      <c r="E222" s="27">
        <v>-122.23</v>
      </c>
      <c r="F222" s="27" t="s">
        <v>7853</v>
      </c>
      <c r="G222" s="27" t="s">
        <v>80</v>
      </c>
      <c r="H222" s="27" t="s">
        <v>120</v>
      </c>
      <c r="I222" s="30">
        <v>0.50902777777777775</v>
      </c>
      <c r="J222" s="31">
        <v>21608.5</v>
      </c>
      <c r="K222" s="86">
        <v>20.712500333786011</v>
      </c>
      <c r="L222" s="31">
        <v>10.7675</v>
      </c>
      <c r="M222" s="31">
        <v>0.84875</v>
      </c>
      <c r="N222" s="90" t="s">
        <v>50</v>
      </c>
      <c r="O222" s="32" t="s">
        <v>48</v>
      </c>
      <c r="P222" s="32">
        <v>8</v>
      </c>
      <c r="Q222" s="32">
        <v>10</v>
      </c>
      <c r="R222" s="32" t="s">
        <v>49</v>
      </c>
      <c r="S222" s="32" t="s">
        <v>50</v>
      </c>
      <c r="T222" s="79" t="s">
        <v>50</v>
      </c>
      <c r="U222" s="79" t="s">
        <v>50</v>
      </c>
      <c r="V222" s="32" t="s">
        <v>50</v>
      </c>
      <c r="W222" s="32" t="s">
        <v>50</v>
      </c>
      <c r="X222" s="32" t="s">
        <v>50</v>
      </c>
      <c r="Y222" s="35"/>
    </row>
    <row r="223" spans="1:25" s="27" customFormat="1" x14ac:dyDescent="0.25">
      <c r="A223" s="36">
        <v>42977</v>
      </c>
      <c r="B223" s="92" t="str">
        <f t="shared" si="3"/>
        <v>Wed</v>
      </c>
      <c r="C223" s="27" t="s">
        <v>106</v>
      </c>
      <c r="D223" s="27">
        <v>38.390610000000002</v>
      </c>
      <c r="E223" s="27">
        <v>-121.62109</v>
      </c>
      <c r="F223" s="27" t="s">
        <v>7854</v>
      </c>
      <c r="G223" s="27" t="s">
        <v>90</v>
      </c>
      <c r="H223" s="27" t="s">
        <v>7577</v>
      </c>
      <c r="I223" s="30">
        <v>0.34652777777777777</v>
      </c>
      <c r="J223" s="31">
        <v>576.79999999999995</v>
      </c>
      <c r="K223" s="86">
        <v>23.259999847412111</v>
      </c>
      <c r="L223" s="31">
        <v>26.34</v>
      </c>
      <c r="M223" s="31">
        <v>0.46200000000000002</v>
      </c>
      <c r="N223" s="90" t="s">
        <v>50</v>
      </c>
      <c r="O223" s="32" t="s">
        <v>48</v>
      </c>
      <c r="P223" s="32">
        <v>5</v>
      </c>
      <c r="Q223" s="32">
        <v>5</v>
      </c>
      <c r="R223" s="32" t="s">
        <v>64</v>
      </c>
      <c r="S223" s="32" t="s">
        <v>50</v>
      </c>
      <c r="T223" s="79" t="s">
        <v>50</v>
      </c>
      <c r="U223" s="79" t="s">
        <v>50</v>
      </c>
      <c r="V223" s="32" t="s">
        <v>50</v>
      </c>
      <c r="W223" s="32" t="s">
        <v>50</v>
      </c>
      <c r="X223" s="32" t="s">
        <v>50</v>
      </c>
      <c r="Y223" s="5" t="s">
        <v>7711</v>
      </c>
    </row>
    <row r="224" spans="1:25" s="27" customFormat="1" x14ac:dyDescent="0.25">
      <c r="A224" s="36">
        <v>42977</v>
      </c>
      <c r="B224" s="92" t="str">
        <f t="shared" si="3"/>
        <v>Wed</v>
      </c>
      <c r="C224" s="27" t="s">
        <v>106</v>
      </c>
      <c r="D224" s="27">
        <v>38.426180000000002</v>
      </c>
      <c r="E224" s="27">
        <v>-121.60544</v>
      </c>
      <c r="F224" s="27" t="s">
        <v>7855</v>
      </c>
      <c r="G224" s="27" t="s">
        <v>90</v>
      </c>
      <c r="H224" s="27" t="s">
        <v>7577</v>
      </c>
      <c r="I224" s="30">
        <v>0.44166666666666665</v>
      </c>
      <c r="J224" s="31">
        <v>606.79999999999995</v>
      </c>
      <c r="K224" s="86">
        <v>23.779999923706054</v>
      </c>
      <c r="L224" s="31">
        <v>49.22</v>
      </c>
      <c r="M224" s="31">
        <v>0.23799999999999999</v>
      </c>
      <c r="N224" s="90" t="s">
        <v>50</v>
      </c>
      <c r="O224" s="32" t="s">
        <v>48</v>
      </c>
      <c r="P224" s="32">
        <v>5</v>
      </c>
      <c r="Q224" s="32">
        <v>5</v>
      </c>
      <c r="R224" s="32" t="s">
        <v>64</v>
      </c>
      <c r="S224" s="32" t="s">
        <v>50</v>
      </c>
      <c r="T224" s="79" t="s">
        <v>50</v>
      </c>
      <c r="U224" s="79" t="s">
        <v>50</v>
      </c>
      <c r="V224" s="32" t="s">
        <v>50</v>
      </c>
      <c r="W224" s="32" t="s">
        <v>50</v>
      </c>
      <c r="X224" s="32" t="s">
        <v>50</v>
      </c>
      <c r="Y224" s="5" t="s">
        <v>7711</v>
      </c>
    </row>
    <row r="225" spans="1:25" s="27" customFormat="1" x14ac:dyDescent="0.25">
      <c r="A225" s="36">
        <v>42978</v>
      </c>
      <c r="B225" s="92" t="str">
        <f t="shared" si="3"/>
        <v>Thu</v>
      </c>
      <c r="C225" s="27" t="s">
        <v>118</v>
      </c>
      <c r="D225" s="27">
        <v>38.050269999999998</v>
      </c>
      <c r="E225" s="27">
        <v>-122.30725</v>
      </c>
      <c r="F225" s="27" t="s">
        <v>7856</v>
      </c>
      <c r="G225" s="27" t="s">
        <v>80</v>
      </c>
      <c r="H225" s="27" t="s">
        <v>123</v>
      </c>
      <c r="I225" s="30">
        <v>0.29236111111111113</v>
      </c>
      <c r="J225" s="31">
        <v>21663.88</v>
      </c>
      <c r="K225" s="86">
        <v>20.474999904632568</v>
      </c>
      <c r="L225" s="31">
        <v>11.7</v>
      </c>
      <c r="M225" s="31">
        <v>0.80625000000000002</v>
      </c>
      <c r="N225" s="90" t="s">
        <v>50</v>
      </c>
      <c r="O225" s="32" t="s">
        <v>48</v>
      </c>
      <c r="P225" s="32">
        <v>8</v>
      </c>
      <c r="Q225" s="32">
        <v>10</v>
      </c>
      <c r="R225" s="32" t="s">
        <v>64</v>
      </c>
      <c r="S225" s="32" t="s">
        <v>50</v>
      </c>
      <c r="T225" s="79" t="s">
        <v>50</v>
      </c>
      <c r="U225" s="79" t="s">
        <v>50</v>
      </c>
      <c r="V225" s="32" t="s">
        <v>50</v>
      </c>
      <c r="W225" s="32" t="s">
        <v>50</v>
      </c>
      <c r="X225" s="32" t="s">
        <v>50</v>
      </c>
      <c r="Y225" s="35"/>
    </row>
    <row r="226" spans="1:25" s="27" customFormat="1" x14ac:dyDescent="0.25">
      <c r="A226" s="36">
        <v>42978</v>
      </c>
      <c r="B226" s="92" t="str">
        <f t="shared" si="3"/>
        <v>Thu</v>
      </c>
      <c r="C226" s="27" t="s">
        <v>6849</v>
      </c>
      <c r="D226" s="27">
        <v>38.164340000000003</v>
      </c>
      <c r="E226" s="27">
        <v>-121.60423</v>
      </c>
      <c r="F226" s="27" t="s">
        <v>7857</v>
      </c>
      <c r="G226" s="27" t="s">
        <v>90</v>
      </c>
      <c r="H226" s="27" t="s">
        <v>6892</v>
      </c>
      <c r="I226" s="30">
        <v>0.33194444444444443</v>
      </c>
      <c r="J226" s="31">
        <v>122.33750000000001</v>
      </c>
      <c r="K226" s="86">
        <v>21.874999523162842</v>
      </c>
      <c r="L226" s="31">
        <v>27.225000000000001</v>
      </c>
      <c r="M226" s="31">
        <v>0.73624999999999996</v>
      </c>
      <c r="N226" s="90" t="s">
        <v>50</v>
      </c>
      <c r="O226" s="32" t="s">
        <v>48</v>
      </c>
      <c r="P226" s="32">
        <v>8</v>
      </c>
      <c r="Q226" s="32">
        <v>10</v>
      </c>
      <c r="R226" s="32" t="s">
        <v>49</v>
      </c>
      <c r="S226" s="32" t="s">
        <v>50</v>
      </c>
      <c r="T226" s="79" t="s">
        <v>50</v>
      </c>
      <c r="U226" s="79" t="s">
        <v>50</v>
      </c>
      <c r="V226" s="32" t="s">
        <v>50</v>
      </c>
      <c r="W226" s="32" t="s">
        <v>50</v>
      </c>
      <c r="X226" s="32" t="s">
        <v>50</v>
      </c>
      <c r="Y226" s="35"/>
    </row>
    <row r="227" spans="1:25" s="27" customFormat="1" x14ac:dyDescent="0.25">
      <c r="A227" s="36">
        <v>42978</v>
      </c>
      <c r="B227" s="92" t="str">
        <f t="shared" si="3"/>
        <v>Thu</v>
      </c>
      <c r="C227" s="27" t="s">
        <v>6849</v>
      </c>
      <c r="D227" s="27">
        <v>38.516669999999998</v>
      </c>
      <c r="E227" s="27">
        <v>-121.54013999999999</v>
      </c>
      <c r="F227" s="27" t="s">
        <v>7858</v>
      </c>
      <c r="G227" s="27" t="s">
        <v>90</v>
      </c>
      <c r="H227" s="27" t="s">
        <v>6851</v>
      </c>
      <c r="I227" s="30">
        <v>0.52013888888888882</v>
      </c>
      <c r="J227" s="13">
        <f>AVERAGE(109.2,109.1,109,109,109.4,109.2,109.3,109.9)</f>
        <v>109.2625</v>
      </c>
      <c r="K227" s="86">
        <v>21.25</v>
      </c>
      <c r="L227" s="13">
        <f>AVERAGE(37.7,31.9,23.8,17.6,20,17.1,16.7,16)</f>
        <v>22.599999999999998</v>
      </c>
      <c r="M227" s="13">
        <f>AVERAGE(0.76,0.67,0.63,0.7,0.62,0.65,0.76,0.77)</f>
        <v>0.69500000000000006</v>
      </c>
      <c r="N227" s="90" t="s">
        <v>50</v>
      </c>
      <c r="O227" s="14" t="s">
        <v>48</v>
      </c>
      <c r="P227" s="32">
        <v>8</v>
      </c>
      <c r="Q227" s="32">
        <v>10</v>
      </c>
      <c r="R227" s="32" t="s">
        <v>49</v>
      </c>
      <c r="S227" s="32" t="s">
        <v>50</v>
      </c>
      <c r="T227" s="79" t="s">
        <v>50</v>
      </c>
      <c r="U227" s="79" t="s">
        <v>50</v>
      </c>
      <c r="V227" s="32" t="s">
        <v>50</v>
      </c>
      <c r="W227" s="32" t="s">
        <v>50</v>
      </c>
      <c r="X227" s="32" t="s">
        <v>50</v>
      </c>
      <c r="Y227" s="35"/>
    </row>
    <row r="228" spans="1:25" s="27" customFormat="1" x14ac:dyDescent="0.25">
      <c r="A228" s="36">
        <v>42978</v>
      </c>
      <c r="B228" s="92" t="str">
        <f t="shared" si="3"/>
        <v>Thu</v>
      </c>
      <c r="C228" s="27" t="s">
        <v>95</v>
      </c>
      <c r="D228" s="27">
        <v>38.031059999999997</v>
      </c>
      <c r="E228" s="27">
        <v>-121.73581</v>
      </c>
      <c r="F228" s="27" t="s">
        <v>7859</v>
      </c>
      <c r="G228" s="27" t="s">
        <v>27</v>
      </c>
      <c r="H228" s="27" t="s">
        <v>95</v>
      </c>
      <c r="I228" s="30">
        <v>0.38819444444444445</v>
      </c>
      <c r="J228" s="31">
        <v>229.14</v>
      </c>
      <c r="K228" s="86">
        <v>22.7000003814697</v>
      </c>
      <c r="L228" s="31">
        <v>6.2160000000000002</v>
      </c>
      <c r="M228" s="31">
        <v>1.0660000000000001</v>
      </c>
      <c r="N228" s="90" t="s">
        <v>50</v>
      </c>
      <c r="O228" s="32" t="s">
        <v>48</v>
      </c>
      <c r="P228" s="32">
        <v>5</v>
      </c>
      <c r="Q228" s="32">
        <v>5</v>
      </c>
      <c r="R228" s="32" t="s">
        <v>49</v>
      </c>
      <c r="S228" s="32" t="s">
        <v>50</v>
      </c>
      <c r="T228" s="79" t="s">
        <v>50</v>
      </c>
      <c r="U228" s="79" t="s">
        <v>50</v>
      </c>
      <c r="V228" s="32" t="s">
        <v>50</v>
      </c>
      <c r="W228" s="32" t="s">
        <v>50</v>
      </c>
      <c r="X228" s="32" t="s">
        <v>50</v>
      </c>
      <c r="Y228" s="35"/>
    </row>
    <row r="229" spans="1:25" s="108" customFormat="1" ht="15.75" thickBot="1" x14ac:dyDescent="0.3">
      <c r="A229" s="117">
        <v>42978</v>
      </c>
      <c r="B229" s="107" t="str">
        <f t="shared" si="3"/>
        <v>Thu</v>
      </c>
      <c r="C229" s="108" t="s">
        <v>95</v>
      </c>
      <c r="D229" s="108">
        <v>38.042900000000003</v>
      </c>
      <c r="E229" s="108">
        <v>-121.70954999999999</v>
      </c>
      <c r="F229" s="108" t="s">
        <v>7860</v>
      </c>
      <c r="G229" s="108" t="s">
        <v>27</v>
      </c>
      <c r="H229" s="108" t="s">
        <v>95</v>
      </c>
      <c r="I229" s="122">
        <v>0.3444444444444445</v>
      </c>
      <c r="J229" s="127">
        <f>AVERAGE(202.6,202.3,200.6,200.1,200.7)</f>
        <v>201.26</v>
      </c>
      <c r="K229" s="128">
        <v>22.799999237060547</v>
      </c>
      <c r="L229" s="127">
        <f>AVERAGE(6.2,6.91,8.42,8.3,6.34)</f>
        <v>7.234</v>
      </c>
      <c r="M229" s="127">
        <f>AVERAGE(1.14,1.05,1.1,1.01,1.04)</f>
        <v>1.0680000000000001</v>
      </c>
      <c r="N229" s="125" t="s">
        <v>50</v>
      </c>
      <c r="O229" s="129" t="s">
        <v>48</v>
      </c>
      <c r="P229" s="118">
        <v>5</v>
      </c>
      <c r="Q229" s="118">
        <v>5</v>
      </c>
      <c r="R229" s="118" t="s">
        <v>49</v>
      </c>
      <c r="S229" s="118" t="s">
        <v>50</v>
      </c>
      <c r="T229" s="118" t="s">
        <v>50</v>
      </c>
      <c r="U229" s="118" t="s">
        <v>50</v>
      </c>
      <c r="V229" s="118" t="s">
        <v>50</v>
      </c>
      <c r="W229" s="118" t="s">
        <v>50</v>
      </c>
      <c r="X229" s="118" t="s">
        <v>50</v>
      </c>
      <c r="Y229" s="113"/>
    </row>
    <row r="230" spans="1:25" s="27" customFormat="1" ht="15.75" thickTop="1" x14ac:dyDescent="0.25">
      <c r="A230" s="29">
        <v>42983</v>
      </c>
      <c r="B230" s="92" t="str">
        <f t="shared" si="3"/>
        <v>Tue</v>
      </c>
      <c r="C230" s="27" t="s">
        <v>118</v>
      </c>
      <c r="D230" s="27">
        <v>38.036940000000001</v>
      </c>
      <c r="E230" s="27">
        <v>-122.30804000000001</v>
      </c>
      <c r="F230" s="27" t="s">
        <v>7861</v>
      </c>
      <c r="G230" s="27" t="s">
        <v>80</v>
      </c>
      <c r="H230" s="27" t="s">
        <v>123</v>
      </c>
      <c r="I230" s="120">
        <v>0.43402777777777773</v>
      </c>
      <c r="J230" s="121">
        <v>25968.13</v>
      </c>
      <c r="K230" s="121">
        <v>21.512499999999999</v>
      </c>
      <c r="L230" s="121">
        <v>13.8375</v>
      </c>
      <c r="M230" s="121">
        <v>0.8</v>
      </c>
      <c r="N230" s="90" t="s">
        <v>50</v>
      </c>
      <c r="O230" s="33" t="s">
        <v>48</v>
      </c>
      <c r="P230" s="33">
        <v>8</v>
      </c>
      <c r="Q230" s="33">
        <v>10</v>
      </c>
      <c r="R230" s="33" t="s">
        <v>64</v>
      </c>
      <c r="S230" s="33" t="s">
        <v>50</v>
      </c>
      <c r="T230" s="33" t="s">
        <v>50</v>
      </c>
      <c r="U230" s="33" t="s">
        <v>50</v>
      </c>
      <c r="V230" s="33" t="s">
        <v>50</v>
      </c>
      <c r="W230" s="33" t="s">
        <v>50</v>
      </c>
      <c r="X230" s="33" t="s">
        <v>50</v>
      </c>
      <c r="Y230" s="35"/>
    </row>
    <row r="231" spans="1:25" s="27" customFormat="1" x14ac:dyDescent="0.25">
      <c r="A231" s="36">
        <v>42983</v>
      </c>
      <c r="B231" s="92" t="str">
        <f t="shared" si="3"/>
        <v>Tue</v>
      </c>
      <c r="C231" s="27" t="s">
        <v>106</v>
      </c>
      <c r="D231" s="27">
        <v>38.561529999999998</v>
      </c>
      <c r="E231" s="27">
        <v>-121.55345</v>
      </c>
      <c r="F231" s="27" t="s">
        <v>7862</v>
      </c>
      <c r="G231" s="27" t="s">
        <v>90</v>
      </c>
      <c r="H231" s="27" t="s">
        <v>7577</v>
      </c>
      <c r="I231" s="30">
        <v>0.37013888888888885</v>
      </c>
      <c r="J231" s="31">
        <v>781.2</v>
      </c>
      <c r="K231" s="31">
        <v>25.34</v>
      </c>
      <c r="L231" s="31">
        <v>2.75</v>
      </c>
      <c r="M231" s="31">
        <v>1.8</v>
      </c>
      <c r="N231" s="90" t="s">
        <v>50</v>
      </c>
      <c r="O231" s="32" t="s">
        <v>48</v>
      </c>
      <c r="P231" s="32">
        <v>5</v>
      </c>
      <c r="Q231" s="32">
        <v>5</v>
      </c>
      <c r="R231" s="32" t="s">
        <v>49</v>
      </c>
      <c r="S231" s="32" t="s">
        <v>50</v>
      </c>
      <c r="T231" s="32" t="s">
        <v>50</v>
      </c>
      <c r="U231" s="32" t="s">
        <v>50</v>
      </c>
      <c r="V231" s="32" t="s">
        <v>50</v>
      </c>
      <c r="W231" s="32" t="s">
        <v>50</v>
      </c>
      <c r="X231" s="32" t="s">
        <v>50</v>
      </c>
      <c r="Y231" s="35" t="s">
        <v>6188</v>
      </c>
    </row>
    <row r="232" spans="1:25" s="27" customFormat="1" x14ac:dyDescent="0.25">
      <c r="A232" s="36">
        <v>42983</v>
      </c>
      <c r="B232" s="92" t="str">
        <f t="shared" si="3"/>
        <v>Tue</v>
      </c>
      <c r="C232" s="27" t="s">
        <v>106</v>
      </c>
      <c r="D232" s="27">
        <v>38.386180000000003</v>
      </c>
      <c r="E232" s="27">
        <v>-121.62339</v>
      </c>
      <c r="F232" s="27" t="s">
        <v>7863</v>
      </c>
      <c r="G232" s="27" t="s">
        <v>90</v>
      </c>
      <c r="H232" s="27" t="s">
        <v>7577</v>
      </c>
      <c r="I232" s="30">
        <v>0.43194444444444446</v>
      </c>
      <c r="J232" s="31">
        <v>550.6</v>
      </c>
      <c r="K232" s="31">
        <v>24.24</v>
      </c>
      <c r="L232" s="31">
        <v>24.82</v>
      </c>
      <c r="M232" s="31">
        <v>0.48</v>
      </c>
      <c r="N232" s="90" t="s">
        <v>50</v>
      </c>
      <c r="O232" s="32" t="s">
        <v>48</v>
      </c>
      <c r="P232" s="32">
        <v>5</v>
      </c>
      <c r="Q232" s="32">
        <v>5</v>
      </c>
      <c r="R232" s="32" t="s">
        <v>49</v>
      </c>
      <c r="S232" s="32" t="s">
        <v>50</v>
      </c>
      <c r="T232" s="32" t="s">
        <v>50</v>
      </c>
      <c r="U232" s="32" t="s">
        <v>50</v>
      </c>
      <c r="V232" s="32" t="s">
        <v>50</v>
      </c>
      <c r="W232" s="32" t="s">
        <v>50</v>
      </c>
      <c r="X232" s="32" t="s">
        <v>50</v>
      </c>
      <c r="Y232" s="35" t="s">
        <v>6188</v>
      </c>
    </row>
    <row r="233" spans="1:25" s="27" customFormat="1" x14ac:dyDescent="0.25">
      <c r="A233" s="36">
        <v>42983</v>
      </c>
      <c r="B233" s="92" t="str">
        <f t="shared" si="3"/>
        <v>Tue</v>
      </c>
      <c r="C233" s="27" t="s">
        <v>7570</v>
      </c>
      <c r="D233" s="16">
        <v>38.162190000000002</v>
      </c>
      <c r="E233" s="27">
        <v>-122.04564000000001</v>
      </c>
      <c r="F233" s="27" t="s">
        <v>7864</v>
      </c>
      <c r="G233" s="27" t="s">
        <v>27</v>
      </c>
      <c r="H233" s="27" t="s">
        <v>62</v>
      </c>
      <c r="I233" s="30">
        <v>0.37986111111111115</v>
      </c>
      <c r="J233" s="31">
        <v>7743.4</v>
      </c>
      <c r="K233" s="31">
        <v>23.56</v>
      </c>
      <c r="L233" s="31">
        <v>50.82</v>
      </c>
      <c r="M233" s="31">
        <v>0.34799999999999998</v>
      </c>
      <c r="N233" s="90" t="s">
        <v>50</v>
      </c>
      <c r="O233" s="32" t="s">
        <v>48</v>
      </c>
      <c r="P233" s="32">
        <v>5</v>
      </c>
      <c r="Q233" s="32">
        <v>5</v>
      </c>
      <c r="R233" s="32" t="s">
        <v>64</v>
      </c>
      <c r="S233" s="32" t="s">
        <v>50</v>
      </c>
      <c r="T233" s="32" t="s">
        <v>50</v>
      </c>
      <c r="U233" s="32" t="s">
        <v>50</v>
      </c>
      <c r="V233" s="32" t="s">
        <v>50</v>
      </c>
      <c r="W233" s="32" t="s">
        <v>50</v>
      </c>
      <c r="X233" s="32" t="s">
        <v>50</v>
      </c>
      <c r="Y233" s="35" t="s">
        <v>6188</v>
      </c>
    </row>
    <row r="234" spans="1:25" s="27" customFormat="1" x14ac:dyDescent="0.25">
      <c r="A234" s="36">
        <v>42983</v>
      </c>
      <c r="B234" s="92" t="str">
        <f t="shared" si="3"/>
        <v>Tue</v>
      </c>
      <c r="C234" s="27" t="s">
        <v>7570</v>
      </c>
      <c r="D234" s="27">
        <v>38.054220000000001</v>
      </c>
      <c r="E234" s="27">
        <v>-121.9551</v>
      </c>
      <c r="F234" s="27" t="s">
        <v>7865</v>
      </c>
      <c r="G234" s="27" t="s">
        <v>27</v>
      </c>
      <c r="H234" s="27" t="s">
        <v>170</v>
      </c>
      <c r="I234" s="30">
        <v>0.45347222222222222</v>
      </c>
      <c r="J234" s="31">
        <v>2973.8</v>
      </c>
      <c r="K234" s="31">
        <v>23.14</v>
      </c>
      <c r="L234" s="31">
        <v>26.1</v>
      </c>
      <c r="M234" s="31">
        <v>0.64800000000000002</v>
      </c>
      <c r="N234" s="90" t="s">
        <v>50</v>
      </c>
      <c r="O234" s="32" t="s">
        <v>48</v>
      </c>
      <c r="P234" s="32">
        <v>5</v>
      </c>
      <c r="Q234" s="32">
        <v>5</v>
      </c>
      <c r="R234" s="32" t="s">
        <v>64</v>
      </c>
      <c r="S234" s="32" t="s">
        <v>50</v>
      </c>
      <c r="T234" s="32" t="s">
        <v>50</v>
      </c>
      <c r="U234" s="32" t="s">
        <v>50</v>
      </c>
      <c r="V234" s="32" t="s">
        <v>50</v>
      </c>
      <c r="W234" s="32" t="s">
        <v>50</v>
      </c>
      <c r="X234" s="32" t="s">
        <v>50</v>
      </c>
      <c r="Y234" s="35" t="s">
        <v>6188</v>
      </c>
    </row>
    <row r="235" spans="1:25" s="27" customFormat="1" x14ac:dyDescent="0.25">
      <c r="A235" s="36">
        <v>42984</v>
      </c>
      <c r="B235" s="92" t="str">
        <f t="shared" si="3"/>
        <v>Wed</v>
      </c>
      <c r="C235" s="27" t="s">
        <v>95</v>
      </c>
      <c r="D235" s="27">
        <v>38.08614</v>
      </c>
      <c r="E235" s="27">
        <v>-121.64624999999999</v>
      </c>
      <c r="F235" s="27" t="s">
        <v>7866</v>
      </c>
      <c r="G235" s="27" t="s">
        <v>46</v>
      </c>
      <c r="H235" s="27" t="s">
        <v>97</v>
      </c>
      <c r="I235" s="30">
        <v>0.35833333333333334</v>
      </c>
      <c r="J235" s="31">
        <v>164.5</v>
      </c>
      <c r="K235" s="31">
        <v>24</v>
      </c>
      <c r="L235" s="31">
        <v>176.80799999999999</v>
      </c>
      <c r="M235" s="31">
        <v>1.1439999999999999</v>
      </c>
      <c r="N235" s="90" t="s">
        <v>50</v>
      </c>
      <c r="O235" s="32" t="s">
        <v>48</v>
      </c>
      <c r="P235" s="32">
        <v>5</v>
      </c>
      <c r="Q235" s="32">
        <v>5</v>
      </c>
      <c r="R235" s="32" t="s">
        <v>49</v>
      </c>
      <c r="S235" s="32" t="s">
        <v>50</v>
      </c>
      <c r="T235" s="32" t="s">
        <v>50</v>
      </c>
      <c r="U235" s="32" t="s">
        <v>50</v>
      </c>
      <c r="V235" s="32" t="s">
        <v>50</v>
      </c>
      <c r="W235" s="32" t="s">
        <v>50</v>
      </c>
      <c r="X235" s="32" t="s">
        <v>50</v>
      </c>
      <c r="Y235" s="35" t="s">
        <v>7867</v>
      </c>
    </row>
    <row r="236" spans="1:25" s="27" customFormat="1" x14ac:dyDescent="0.25">
      <c r="A236" s="36">
        <v>42984</v>
      </c>
      <c r="B236" s="92" t="str">
        <f t="shared" si="3"/>
        <v>Wed</v>
      </c>
      <c r="C236" s="27" t="s">
        <v>95</v>
      </c>
      <c r="D236" s="27">
        <v>38.043770000000002</v>
      </c>
      <c r="E236" s="27">
        <v>-121.70807000000001</v>
      </c>
      <c r="F236" s="27" t="s">
        <v>7868</v>
      </c>
      <c r="G236" s="27" t="s">
        <v>27</v>
      </c>
      <c r="H236" s="27" t="s">
        <v>95</v>
      </c>
      <c r="I236" s="30">
        <v>0.41736111111111113</v>
      </c>
      <c r="J236" s="31">
        <v>220.42</v>
      </c>
      <c r="K236" s="31">
        <v>23.9</v>
      </c>
      <c r="L236" s="31">
        <v>10.874000000000001</v>
      </c>
      <c r="M236" s="31">
        <v>1.006</v>
      </c>
      <c r="N236" s="90" t="s">
        <v>50</v>
      </c>
      <c r="O236" s="32" t="s">
        <v>48</v>
      </c>
      <c r="P236" s="32">
        <v>5</v>
      </c>
      <c r="Q236" s="32">
        <v>5</v>
      </c>
      <c r="R236" s="32" t="s">
        <v>49</v>
      </c>
      <c r="S236" s="32" t="s">
        <v>50</v>
      </c>
      <c r="T236" s="32" t="s">
        <v>50</v>
      </c>
      <c r="U236" s="32" t="s">
        <v>50</v>
      </c>
      <c r="V236" s="32" t="s">
        <v>50</v>
      </c>
      <c r="W236" s="32" t="s">
        <v>50</v>
      </c>
      <c r="X236" s="32" t="s">
        <v>50</v>
      </c>
      <c r="Y236" s="35"/>
    </row>
    <row r="237" spans="1:25" s="27" customFormat="1" x14ac:dyDescent="0.25">
      <c r="A237" s="36">
        <v>42984</v>
      </c>
      <c r="B237" s="92" t="str">
        <f t="shared" si="3"/>
        <v>Wed</v>
      </c>
      <c r="C237" s="27" t="s">
        <v>6849</v>
      </c>
      <c r="D237" s="27">
        <v>38.517150000000001</v>
      </c>
      <c r="E237" s="27">
        <v>-121.53747</v>
      </c>
      <c r="F237" s="27" t="s">
        <v>7869</v>
      </c>
      <c r="G237" s="27" t="s">
        <v>90</v>
      </c>
      <c r="H237" s="27" t="s">
        <v>6851</v>
      </c>
      <c r="I237" s="30">
        <v>0.4152777777777778</v>
      </c>
      <c r="J237" s="31">
        <v>129.75</v>
      </c>
      <c r="K237" s="31">
        <v>20.887499999999999</v>
      </c>
      <c r="L237" s="31">
        <v>16.1875</v>
      </c>
      <c r="M237" s="31">
        <v>0.82250000000000001</v>
      </c>
      <c r="N237" s="90" t="s">
        <v>50</v>
      </c>
      <c r="O237" s="32" t="s">
        <v>48</v>
      </c>
      <c r="P237" s="32">
        <v>8</v>
      </c>
      <c r="Q237" s="32">
        <v>10</v>
      </c>
      <c r="R237" s="32" t="s">
        <v>49</v>
      </c>
      <c r="S237" s="32" t="s">
        <v>50</v>
      </c>
      <c r="T237" s="32" t="s">
        <v>50</v>
      </c>
      <c r="U237" s="32" t="s">
        <v>50</v>
      </c>
      <c r="V237" s="32" t="s">
        <v>50</v>
      </c>
      <c r="W237" s="32" t="s">
        <v>50</v>
      </c>
      <c r="X237" s="32" t="s">
        <v>50</v>
      </c>
      <c r="Y237" s="35" t="s">
        <v>6188</v>
      </c>
    </row>
    <row r="238" spans="1:25" s="27" customFormat="1" x14ac:dyDescent="0.25">
      <c r="A238" s="36">
        <v>42984</v>
      </c>
      <c r="B238" s="92" t="str">
        <f t="shared" si="3"/>
        <v>Wed</v>
      </c>
      <c r="C238" s="27" t="s">
        <v>6849</v>
      </c>
      <c r="D238" s="27">
        <v>38.193359999999998</v>
      </c>
      <c r="E238" s="27">
        <v>-121.62497</v>
      </c>
      <c r="F238" s="27" t="s">
        <v>7870</v>
      </c>
      <c r="G238" s="27" t="s">
        <v>90</v>
      </c>
      <c r="H238" s="27" t="s">
        <v>6851</v>
      </c>
      <c r="I238" s="30">
        <v>0.57638888888888895</v>
      </c>
      <c r="J238" s="31">
        <v>144.72499999999999</v>
      </c>
      <c r="K238" s="31">
        <v>22.05714</v>
      </c>
      <c r="L238" s="31">
        <v>8.6987500000000004</v>
      </c>
      <c r="M238" s="31">
        <v>1.05</v>
      </c>
      <c r="N238" s="90" t="s">
        <v>50</v>
      </c>
      <c r="O238" s="32" t="s">
        <v>48</v>
      </c>
      <c r="P238" s="32">
        <v>8</v>
      </c>
      <c r="Q238" s="32">
        <v>10</v>
      </c>
      <c r="R238" s="32" t="s">
        <v>64</v>
      </c>
      <c r="S238" s="32" t="s">
        <v>50</v>
      </c>
      <c r="T238" s="32" t="s">
        <v>50</v>
      </c>
      <c r="U238" s="32" t="s">
        <v>50</v>
      </c>
      <c r="V238" s="32" t="s">
        <v>50</v>
      </c>
      <c r="W238" s="32" t="s">
        <v>50</v>
      </c>
      <c r="X238" s="32" t="s">
        <v>50</v>
      </c>
      <c r="Y238" s="35" t="s">
        <v>6188</v>
      </c>
    </row>
    <row r="239" spans="1:25" s="27" customFormat="1" x14ac:dyDescent="0.25">
      <c r="A239" s="36">
        <v>42984</v>
      </c>
      <c r="B239" s="92" t="str">
        <f t="shared" si="3"/>
        <v>Wed</v>
      </c>
      <c r="C239" s="27" t="s">
        <v>118</v>
      </c>
      <c r="D239" s="27">
        <v>38.055169999999997</v>
      </c>
      <c r="E239" s="27">
        <v>-122.28868</v>
      </c>
      <c r="F239" s="27" t="s">
        <v>7871</v>
      </c>
      <c r="G239" s="27" t="s">
        <v>80</v>
      </c>
      <c r="H239" s="27" t="s">
        <v>123</v>
      </c>
      <c r="I239" s="83">
        <v>0.32361111111111113</v>
      </c>
      <c r="J239" s="31">
        <v>23612.5</v>
      </c>
      <c r="K239" s="31">
        <v>21.6</v>
      </c>
      <c r="L239" s="31">
        <v>25.912500000000001</v>
      </c>
      <c r="M239" s="31">
        <v>0.62624999999999997</v>
      </c>
      <c r="N239" s="90" t="s">
        <v>50</v>
      </c>
      <c r="O239" s="32" t="s">
        <v>48</v>
      </c>
      <c r="P239" s="32">
        <v>8</v>
      </c>
      <c r="Q239" s="32">
        <v>10</v>
      </c>
      <c r="R239" s="32" t="s">
        <v>49</v>
      </c>
      <c r="S239" s="32" t="s">
        <v>50</v>
      </c>
      <c r="T239" s="32" t="s">
        <v>50</v>
      </c>
      <c r="U239" s="32" t="s">
        <v>50</v>
      </c>
      <c r="V239" s="32" t="s">
        <v>50</v>
      </c>
      <c r="W239" s="32" t="s">
        <v>50</v>
      </c>
      <c r="X239" s="32" t="s">
        <v>50</v>
      </c>
      <c r="Y239" s="35"/>
    </row>
    <row r="240" spans="1:25" s="27" customFormat="1" x14ac:dyDescent="0.25">
      <c r="A240" s="36">
        <v>42984</v>
      </c>
      <c r="B240" s="92" t="str">
        <f t="shared" si="3"/>
        <v>Wed</v>
      </c>
      <c r="C240" s="27" t="s">
        <v>118</v>
      </c>
      <c r="D240" s="27">
        <v>38.061169999999997</v>
      </c>
      <c r="E240" s="27">
        <v>-122.28994</v>
      </c>
      <c r="F240" s="27" t="s">
        <v>7872</v>
      </c>
      <c r="G240" s="27" t="s">
        <v>80</v>
      </c>
      <c r="H240" s="27" t="s">
        <v>123</v>
      </c>
      <c r="I240" s="83">
        <v>0.43541666666666662</v>
      </c>
      <c r="J240" s="31">
        <v>21279.200000000001</v>
      </c>
      <c r="K240" s="31">
        <v>21.84</v>
      </c>
      <c r="L240" s="31">
        <v>18.18</v>
      </c>
      <c r="M240" s="31">
        <v>0.69399999999999995</v>
      </c>
      <c r="N240" s="90" t="s">
        <v>50</v>
      </c>
      <c r="O240" s="32" t="s">
        <v>48</v>
      </c>
      <c r="P240" s="32">
        <v>5</v>
      </c>
      <c r="Q240" s="32">
        <v>10</v>
      </c>
      <c r="R240" s="32" t="s">
        <v>49</v>
      </c>
      <c r="S240" s="32" t="s">
        <v>50</v>
      </c>
      <c r="T240" s="32" t="s">
        <v>50</v>
      </c>
      <c r="U240" s="32" t="s">
        <v>50</v>
      </c>
      <c r="V240" s="32" t="s">
        <v>50</v>
      </c>
      <c r="W240" s="32" t="s">
        <v>50</v>
      </c>
      <c r="X240" s="32" t="s">
        <v>50</v>
      </c>
      <c r="Y240" s="35" t="s">
        <v>7873</v>
      </c>
    </row>
    <row r="241" spans="1:25" s="27" customFormat="1" x14ac:dyDescent="0.25">
      <c r="A241" s="36">
        <v>42985</v>
      </c>
      <c r="B241" s="92" t="str">
        <f t="shared" si="3"/>
        <v>Thu</v>
      </c>
      <c r="C241" s="27" t="s">
        <v>118</v>
      </c>
      <c r="D241" s="27">
        <v>38.094329999999999</v>
      </c>
      <c r="E241" s="27">
        <v>-122.07031000000001</v>
      </c>
      <c r="F241" s="27" t="s">
        <v>7874</v>
      </c>
      <c r="G241" s="27" t="s">
        <v>80</v>
      </c>
      <c r="H241" s="27" t="s">
        <v>81</v>
      </c>
      <c r="I241" s="83">
        <v>0.32291666666666669</v>
      </c>
      <c r="J241" s="13">
        <f>AVERAGE(10320,9330)</f>
        <v>9825</v>
      </c>
      <c r="K241" s="86">
        <f>AVERAGE(22.4,22.5)</f>
        <v>22.45</v>
      </c>
      <c r="L241" s="13">
        <f>AVERAGE(88.4,104)</f>
        <v>96.2</v>
      </c>
      <c r="M241" s="13">
        <f>AVERAGE(0.29,0.3)</f>
        <v>0.29499999999999998</v>
      </c>
      <c r="N241" s="90" t="s">
        <v>50</v>
      </c>
      <c r="O241" s="14" t="s">
        <v>48</v>
      </c>
      <c r="P241" s="32">
        <v>2</v>
      </c>
      <c r="Q241" s="32">
        <v>10</v>
      </c>
      <c r="R241" s="32" t="s">
        <v>49</v>
      </c>
      <c r="S241" s="32" t="s">
        <v>323</v>
      </c>
      <c r="T241" s="79">
        <v>2</v>
      </c>
      <c r="U241" s="79" t="s">
        <v>7875</v>
      </c>
      <c r="V241" s="32" t="s">
        <v>66</v>
      </c>
      <c r="W241" s="32" t="s">
        <v>50</v>
      </c>
      <c r="X241" s="32" t="s">
        <v>50</v>
      </c>
      <c r="Y241" s="35" t="s">
        <v>7876</v>
      </c>
    </row>
    <row r="242" spans="1:25" s="27" customFormat="1" x14ac:dyDescent="0.25">
      <c r="A242" s="36">
        <v>42985</v>
      </c>
      <c r="B242" s="92" t="str">
        <f t="shared" si="3"/>
        <v>Thu</v>
      </c>
      <c r="C242" s="27" t="s">
        <v>118</v>
      </c>
      <c r="D242" s="27">
        <v>38.064390000000003</v>
      </c>
      <c r="E242" s="27">
        <v>-122.0939</v>
      </c>
      <c r="F242" s="27" t="s">
        <v>7877</v>
      </c>
      <c r="G242" s="27" t="s">
        <v>80</v>
      </c>
      <c r="H242" s="27" t="s">
        <v>81</v>
      </c>
      <c r="I242" s="83">
        <v>0.46458333333333335</v>
      </c>
      <c r="J242" s="13">
        <f>AVERAGE(11195,11601)</f>
        <v>11398</v>
      </c>
      <c r="K242" s="86">
        <f>AVERAGE(22.1,22.1)</f>
        <v>22.1</v>
      </c>
      <c r="L242" s="13">
        <f>AVERAGE(37.4,34.1)</f>
        <v>35.75</v>
      </c>
      <c r="M242" s="13">
        <f>AVERAGE(0.52,0.49)</f>
        <v>0.505</v>
      </c>
      <c r="N242" s="90" t="s">
        <v>50</v>
      </c>
      <c r="O242" s="14" t="s">
        <v>48</v>
      </c>
      <c r="P242" s="32">
        <v>2</v>
      </c>
      <c r="Q242" s="32">
        <v>10</v>
      </c>
      <c r="R242" s="32" t="s">
        <v>64</v>
      </c>
      <c r="S242" s="32" t="s">
        <v>323</v>
      </c>
      <c r="T242" s="79">
        <v>1</v>
      </c>
      <c r="U242" s="79">
        <v>52</v>
      </c>
      <c r="V242" s="32" t="s">
        <v>66</v>
      </c>
      <c r="W242" s="32" t="s">
        <v>50</v>
      </c>
      <c r="X242" s="32" t="s">
        <v>50</v>
      </c>
      <c r="Y242" s="35"/>
    </row>
    <row r="243" spans="1:25" s="27" customFormat="1" x14ac:dyDescent="0.25">
      <c r="A243" s="36">
        <v>42985</v>
      </c>
      <c r="B243" s="92" t="str">
        <f t="shared" si="3"/>
        <v>Thu</v>
      </c>
      <c r="C243" s="27" t="s">
        <v>118</v>
      </c>
      <c r="D243" s="27">
        <v>38.072090000000003</v>
      </c>
      <c r="E243" s="27">
        <v>-122.08078999999999</v>
      </c>
      <c r="F243" s="27" t="s">
        <v>7878</v>
      </c>
      <c r="G243" s="27" t="s">
        <v>80</v>
      </c>
      <c r="H243" s="27" t="s">
        <v>81</v>
      </c>
      <c r="I243" s="84">
        <v>0.36805555555555558</v>
      </c>
      <c r="J243" s="13">
        <f>AVERAGE(11881,11353,11533,11010,10194,9868)</f>
        <v>10973.166666666666</v>
      </c>
      <c r="K243" s="86">
        <f>AVERAGE(22.2,22.2,22.1,22.2,22.2,22.2)</f>
        <v>22.183333333333334</v>
      </c>
      <c r="L243" s="13">
        <f>AVERAGE(85.7,107,75.1,67.8,48.5,46.1)</f>
        <v>71.7</v>
      </c>
      <c r="M243" s="13">
        <f>AVERAGE(0.31,0.3,0.34,0.32,0.38,0.38)</f>
        <v>0.33833333333333332</v>
      </c>
      <c r="N243" s="90" t="s">
        <v>50</v>
      </c>
      <c r="O243" s="14" t="s">
        <v>48</v>
      </c>
      <c r="P243" s="32">
        <v>6</v>
      </c>
      <c r="Q243" s="32">
        <v>10</v>
      </c>
      <c r="R243" s="32" t="s">
        <v>49</v>
      </c>
      <c r="S243" s="32" t="s">
        <v>323</v>
      </c>
      <c r="T243" s="79">
        <v>3</v>
      </c>
      <c r="U243" s="79" t="s">
        <v>7879</v>
      </c>
      <c r="V243" s="32" t="s">
        <v>66</v>
      </c>
      <c r="W243" s="32" t="s">
        <v>50</v>
      </c>
      <c r="X243" s="32" t="s">
        <v>50</v>
      </c>
      <c r="Y243" s="35"/>
    </row>
    <row r="244" spans="1:25" s="27" customFormat="1" x14ac:dyDescent="0.25">
      <c r="A244" s="36">
        <v>42985</v>
      </c>
      <c r="B244" s="92" t="str">
        <f t="shared" si="3"/>
        <v>Thu</v>
      </c>
      <c r="C244" s="27" t="s">
        <v>118</v>
      </c>
      <c r="D244" s="27">
        <v>38.041429999999998</v>
      </c>
      <c r="E244" s="27">
        <v>-122.16553</v>
      </c>
      <c r="F244" s="27" t="s">
        <v>7880</v>
      </c>
      <c r="G244" s="27" t="s">
        <v>80</v>
      </c>
      <c r="H244" s="27" t="s">
        <v>120</v>
      </c>
      <c r="I244" s="84">
        <v>0.50416666666666665</v>
      </c>
      <c r="J244" s="13">
        <f>AVERAGE(13770,14280,13810,14490,14973,15368,16812,17364)</f>
        <v>15108.375</v>
      </c>
      <c r="K244" s="86">
        <f>AVERAGE(22.1,22.1,22.1,22.1,22,22,22,21.9)</f>
        <v>22.037500000000001</v>
      </c>
      <c r="L244" s="13">
        <f>AVERAGE(27.9,25.2,25.1,22.4,20.8,25.4,19.7,17.3)</f>
        <v>22.974999999999998</v>
      </c>
      <c r="M244" s="13">
        <f>AVERAGE(0.62,0.65,0.65,0.58,0.64,0.64,0.74,0.75)</f>
        <v>0.65875000000000006</v>
      </c>
      <c r="N244" s="90" t="s">
        <v>50</v>
      </c>
      <c r="O244" s="14" t="s">
        <v>48</v>
      </c>
      <c r="P244" s="32">
        <v>8</v>
      </c>
      <c r="Q244" s="32">
        <v>10</v>
      </c>
      <c r="R244" s="32" t="s">
        <v>64</v>
      </c>
      <c r="S244" s="32" t="s">
        <v>50</v>
      </c>
      <c r="T244" s="81" t="s">
        <v>50</v>
      </c>
      <c r="U244" s="81" t="s">
        <v>50</v>
      </c>
      <c r="V244" s="32" t="s">
        <v>50</v>
      </c>
      <c r="W244" s="32" t="s">
        <v>50</v>
      </c>
      <c r="X244" s="32" t="s">
        <v>50</v>
      </c>
      <c r="Y244" s="35"/>
    </row>
    <row r="245" spans="1:25" s="27" customFormat="1" x14ac:dyDescent="0.25">
      <c r="A245" s="36">
        <v>42985</v>
      </c>
      <c r="B245" s="92" t="str">
        <f t="shared" si="3"/>
        <v>Thu</v>
      </c>
      <c r="C245" s="27" t="s">
        <v>845</v>
      </c>
      <c r="D245" s="27">
        <v>38.374020000000002</v>
      </c>
      <c r="E245" s="27">
        <v>-121.62938</v>
      </c>
      <c r="F245" s="27" t="s">
        <v>7881</v>
      </c>
      <c r="G245" s="27" t="s">
        <v>90</v>
      </c>
      <c r="H245" s="27" t="s">
        <v>126</v>
      </c>
      <c r="I245" s="83">
        <v>0.33402777777777781</v>
      </c>
      <c r="J245" s="13">
        <f>AVERAGE(422,428.4,471,469,478)</f>
        <v>453.68</v>
      </c>
      <c r="K245" s="13">
        <f>AVERAGE(23.9,23.9,24,24,24)</f>
        <v>23.96</v>
      </c>
      <c r="L245" s="13">
        <f>AVERAGE(27.1,40,51.4,58.3,60.9)</f>
        <v>47.540000000000006</v>
      </c>
      <c r="M245" s="13">
        <f>AVERAGE(0.37,0.32,0.33,0.3,0.28)</f>
        <v>0.32</v>
      </c>
      <c r="N245" s="90" t="s">
        <v>50</v>
      </c>
      <c r="O245" s="14" t="s">
        <v>48</v>
      </c>
      <c r="P245" s="32">
        <v>5</v>
      </c>
      <c r="Q245" s="32">
        <v>5</v>
      </c>
      <c r="R245" s="32" t="s">
        <v>49</v>
      </c>
      <c r="S245" s="32" t="s">
        <v>50</v>
      </c>
      <c r="T245" s="79" t="s">
        <v>50</v>
      </c>
      <c r="U245" s="79" t="s">
        <v>50</v>
      </c>
      <c r="V245" s="32" t="s">
        <v>50</v>
      </c>
      <c r="W245" s="32" t="s">
        <v>50</v>
      </c>
      <c r="X245" s="32" t="s">
        <v>50</v>
      </c>
      <c r="Y245" s="35" t="s">
        <v>6188</v>
      </c>
    </row>
    <row r="246" spans="1:25" s="27" customFormat="1" x14ac:dyDescent="0.25">
      <c r="A246" s="36">
        <v>42985</v>
      </c>
      <c r="B246" s="92" t="str">
        <f t="shared" si="3"/>
        <v>Thu</v>
      </c>
      <c r="C246" s="27" t="s">
        <v>845</v>
      </c>
      <c r="D246" s="27">
        <v>38.313180000000003</v>
      </c>
      <c r="E246" s="27">
        <v>-121.69279</v>
      </c>
      <c r="F246" s="27" t="s">
        <v>7882</v>
      </c>
      <c r="G246" s="27" t="s">
        <v>90</v>
      </c>
      <c r="H246" s="27" t="s">
        <v>126</v>
      </c>
      <c r="I246" s="83">
        <v>0.47291666666666665</v>
      </c>
      <c r="J246" s="13">
        <f>AVERAGE(226.3,235.1,235.1,234.9,235.4)</f>
        <v>233.35999999999999</v>
      </c>
      <c r="K246" s="13">
        <f>AVERAGE(23.9,23.8,23.7,23.7,23.8)</f>
        <v>23.78</v>
      </c>
      <c r="L246" s="13">
        <f>AVERAGE(19.2,13.5,13.3,12.7,12.8)</f>
        <v>14.3</v>
      </c>
      <c r="M246" s="13">
        <f>AVERAGE(0.82,0.82,0.82,0.82,0.82)</f>
        <v>0.82</v>
      </c>
      <c r="N246" s="90" t="s">
        <v>50</v>
      </c>
      <c r="O246" s="14" t="s">
        <v>48</v>
      </c>
      <c r="P246" s="32">
        <v>5</v>
      </c>
      <c r="Q246" s="32">
        <v>5</v>
      </c>
      <c r="R246" s="32" t="s">
        <v>49</v>
      </c>
      <c r="S246" s="32" t="s">
        <v>50</v>
      </c>
      <c r="T246" s="79" t="s">
        <v>50</v>
      </c>
      <c r="U246" s="79" t="s">
        <v>50</v>
      </c>
      <c r="V246" s="32" t="s">
        <v>50</v>
      </c>
      <c r="W246" s="32" t="s">
        <v>50</v>
      </c>
      <c r="X246" s="32" t="s">
        <v>50</v>
      </c>
      <c r="Y246" s="35" t="s">
        <v>6188</v>
      </c>
    </row>
    <row r="247" spans="1:25" s="27" customFormat="1" x14ac:dyDescent="0.25">
      <c r="A247" s="36">
        <v>42985</v>
      </c>
      <c r="B247" s="92" t="str">
        <f t="shared" si="3"/>
        <v>Thu</v>
      </c>
      <c r="C247" s="27" t="s">
        <v>7570</v>
      </c>
      <c r="D247" s="27">
        <v>38.0625</v>
      </c>
      <c r="E247" s="27">
        <v>-122.00364999999999</v>
      </c>
      <c r="F247" s="27" t="s">
        <v>7883</v>
      </c>
      <c r="G247" s="27" t="s">
        <v>27</v>
      </c>
      <c r="H247" s="27" t="s">
        <v>86</v>
      </c>
      <c r="I247" s="84">
        <v>0.35347222222222219</v>
      </c>
      <c r="J247" s="13">
        <f>AVERAGE(7122,6858,7776)</f>
        <v>7252</v>
      </c>
      <c r="K247" s="13">
        <f>AVERAGE(22.6,22.5,22.5)</f>
        <v>22.533333333333331</v>
      </c>
      <c r="L247" s="13">
        <f>AVERAGE(29.4,31.9,37.1)</f>
        <v>32.800000000000004</v>
      </c>
      <c r="M247" s="13">
        <f>AVERAGE(0.43,0.47,0.43)</f>
        <v>0.4433333333333333</v>
      </c>
      <c r="N247" s="90" t="s">
        <v>50</v>
      </c>
      <c r="O247" s="14" t="s">
        <v>48</v>
      </c>
      <c r="P247" s="32">
        <v>3</v>
      </c>
      <c r="Q247" s="32">
        <v>5</v>
      </c>
      <c r="R247" s="32" t="s">
        <v>49</v>
      </c>
      <c r="S247" s="32" t="s">
        <v>323</v>
      </c>
      <c r="T247" s="79">
        <v>1</v>
      </c>
      <c r="U247" s="79">
        <v>49</v>
      </c>
      <c r="V247" s="32" t="s">
        <v>66</v>
      </c>
      <c r="W247" s="32" t="s">
        <v>50</v>
      </c>
      <c r="X247" s="32" t="s">
        <v>50</v>
      </c>
      <c r="Y247" s="35" t="s">
        <v>6476</v>
      </c>
    </row>
    <row r="248" spans="1:25" s="27" customFormat="1" x14ac:dyDescent="0.25">
      <c r="A248" s="36">
        <v>42985</v>
      </c>
      <c r="B248" s="92" t="str">
        <f t="shared" si="3"/>
        <v>Thu</v>
      </c>
      <c r="C248" s="27" t="s">
        <v>7570</v>
      </c>
      <c r="D248" s="27">
        <v>38.0625</v>
      </c>
      <c r="E248" s="27">
        <v>-122.00364999999999</v>
      </c>
      <c r="F248" s="27" t="s">
        <v>7883</v>
      </c>
      <c r="G248" s="27" t="s">
        <v>27</v>
      </c>
      <c r="H248" s="27" t="s">
        <v>86</v>
      </c>
      <c r="I248" s="84">
        <v>0.35347222222222219</v>
      </c>
      <c r="J248" s="13"/>
      <c r="K248" s="13"/>
      <c r="L248" s="13"/>
      <c r="M248" s="13"/>
      <c r="N248" s="90" t="s">
        <v>50</v>
      </c>
      <c r="O248" s="14"/>
      <c r="P248" s="34"/>
      <c r="Q248" s="32"/>
      <c r="R248" s="32"/>
      <c r="S248" s="32" t="s">
        <v>31</v>
      </c>
      <c r="T248" s="79">
        <v>1</v>
      </c>
      <c r="U248" s="79">
        <v>55</v>
      </c>
      <c r="V248" s="32" t="s">
        <v>66</v>
      </c>
      <c r="W248" s="32" t="s">
        <v>50</v>
      </c>
      <c r="X248" s="32" t="s">
        <v>50</v>
      </c>
      <c r="Y248" s="35" t="s">
        <v>7884</v>
      </c>
    </row>
    <row r="249" spans="1:25" s="27" customFormat="1" x14ac:dyDescent="0.25">
      <c r="A249" s="36">
        <v>42985</v>
      </c>
      <c r="B249" s="92" t="str">
        <f t="shared" si="3"/>
        <v>Thu</v>
      </c>
      <c r="C249" s="27" t="s">
        <v>7570</v>
      </c>
      <c r="D249" s="27">
        <v>38.096510000000002</v>
      </c>
      <c r="E249" s="27">
        <v>-122.06901000000001</v>
      </c>
      <c r="F249" s="27" t="s">
        <v>7885</v>
      </c>
      <c r="G249" s="27" t="s">
        <v>27</v>
      </c>
      <c r="H249" s="27" t="s">
        <v>86</v>
      </c>
      <c r="I249" s="30">
        <v>0.42430555555555555</v>
      </c>
      <c r="J249" s="13">
        <f>AVERAGE(8920,9145,8840,8813)</f>
        <v>8929.5</v>
      </c>
      <c r="K249" s="13">
        <f>AVERAGE(22.7,22.6,22.3,22.8)</f>
        <v>22.599999999999998</v>
      </c>
      <c r="L249" s="13">
        <f>AVERAGE(104,144,108,85.3)</f>
        <v>110.325</v>
      </c>
      <c r="M249" s="13">
        <f>AVERAGE(0.24,0.24,0.24,0.29)</f>
        <v>0.2525</v>
      </c>
      <c r="N249" s="90" t="s">
        <v>50</v>
      </c>
      <c r="O249" s="14" t="s">
        <v>48</v>
      </c>
      <c r="P249" s="27">
        <v>4</v>
      </c>
      <c r="Q249" s="32">
        <v>5</v>
      </c>
      <c r="R249" s="32" t="s">
        <v>49</v>
      </c>
      <c r="S249" s="32" t="s">
        <v>323</v>
      </c>
      <c r="T249" s="79">
        <v>1</v>
      </c>
      <c r="U249" s="79">
        <v>47</v>
      </c>
      <c r="V249" s="32" t="s">
        <v>66</v>
      </c>
      <c r="W249" s="32" t="s">
        <v>50</v>
      </c>
      <c r="X249" s="32" t="s">
        <v>50</v>
      </c>
      <c r="Y249" s="35" t="s">
        <v>6476</v>
      </c>
    </row>
    <row r="250" spans="1:25" s="27" customFormat="1" x14ac:dyDescent="0.25">
      <c r="A250" s="36">
        <v>42986</v>
      </c>
      <c r="B250" s="92" t="str">
        <f t="shared" si="3"/>
        <v>Fri</v>
      </c>
      <c r="C250" s="27" t="s">
        <v>118</v>
      </c>
      <c r="D250" s="27">
        <v>38.033880000000003</v>
      </c>
      <c r="E250" s="27">
        <v>-122.31355000000001</v>
      </c>
      <c r="F250" s="27" t="s">
        <v>7886</v>
      </c>
      <c r="G250" s="27" t="s">
        <v>80</v>
      </c>
      <c r="H250" s="27" t="s">
        <v>123</v>
      </c>
      <c r="I250" s="30">
        <v>0.31180555555555556</v>
      </c>
      <c r="J250" s="31">
        <v>28586.75</v>
      </c>
      <c r="K250" s="31">
        <v>20.662500000000001</v>
      </c>
      <c r="L250" s="31">
        <v>36.637500000000003</v>
      </c>
      <c r="M250" s="31">
        <v>0.57499999999999996</v>
      </c>
      <c r="N250" s="90" t="s">
        <v>50</v>
      </c>
      <c r="O250" s="32" t="s">
        <v>48</v>
      </c>
      <c r="P250" s="32">
        <v>8</v>
      </c>
      <c r="Q250" s="32">
        <v>10</v>
      </c>
      <c r="R250" s="32" t="s">
        <v>49</v>
      </c>
      <c r="S250" s="32" t="s">
        <v>31</v>
      </c>
      <c r="T250" s="79">
        <v>2</v>
      </c>
      <c r="U250" s="79" t="s">
        <v>7887</v>
      </c>
      <c r="V250" s="32" t="s">
        <v>66</v>
      </c>
      <c r="W250" s="32" t="s">
        <v>50</v>
      </c>
      <c r="X250" s="32" t="s">
        <v>50</v>
      </c>
      <c r="Y250" s="35" t="s">
        <v>7888</v>
      </c>
    </row>
    <row r="251" spans="1:25" s="27" customFormat="1" x14ac:dyDescent="0.25">
      <c r="A251" s="26">
        <v>42986</v>
      </c>
      <c r="B251" s="92" t="str">
        <f t="shared" si="3"/>
        <v>Fri</v>
      </c>
      <c r="C251" s="27" t="s">
        <v>95</v>
      </c>
      <c r="D251" s="27">
        <v>38.05715</v>
      </c>
      <c r="E251" s="27">
        <v>-121.84529000000001</v>
      </c>
      <c r="F251" s="27" t="s">
        <v>7889</v>
      </c>
      <c r="G251" s="27" t="s">
        <v>27</v>
      </c>
      <c r="H251" s="27" t="s">
        <v>95</v>
      </c>
      <c r="I251" s="84">
        <v>0.33194444444444443</v>
      </c>
      <c r="J251" s="82">
        <v>3309.6</v>
      </c>
      <c r="K251" s="82">
        <v>23.16</v>
      </c>
      <c r="L251" s="82">
        <v>26.8</v>
      </c>
      <c r="M251" s="82">
        <v>0.58799999999999997</v>
      </c>
      <c r="N251" s="90" t="s">
        <v>50</v>
      </c>
      <c r="O251" s="27" t="s">
        <v>48</v>
      </c>
      <c r="P251" s="27">
        <v>5</v>
      </c>
      <c r="Q251" s="27">
        <v>5</v>
      </c>
      <c r="R251" s="27" t="s">
        <v>49</v>
      </c>
      <c r="S251" s="32" t="s">
        <v>50</v>
      </c>
      <c r="T251" s="79" t="s">
        <v>50</v>
      </c>
      <c r="U251" s="79" t="s">
        <v>50</v>
      </c>
      <c r="V251" s="32" t="s">
        <v>50</v>
      </c>
      <c r="W251" s="32" t="s">
        <v>50</v>
      </c>
      <c r="X251" s="32" t="s">
        <v>50</v>
      </c>
      <c r="Y251" s="35"/>
    </row>
    <row r="252" spans="1:25" s="27" customFormat="1" x14ac:dyDescent="0.25">
      <c r="A252" s="26">
        <v>42986</v>
      </c>
      <c r="B252" s="92" t="str">
        <f t="shared" si="3"/>
        <v>Fri</v>
      </c>
      <c r="C252" s="27" t="s">
        <v>95</v>
      </c>
      <c r="D252" s="27">
        <v>38.01587</v>
      </c>
      <c r="E252" s="27">
        <v>-121.78549</v>
      </c>
      <c r="F252" s="27" t="s">
        <v>7890</v>
      </c>
      <c r="G252" s="27" t="s">
        <v>27</v>
      </c>
      <c r="H252" s="27" t="s">
        <v>95</v>
      </c>
      <c r="I252" s="30">
        <v>0.38819444444444445</v>
      </c>
      <c r="J252" s="31">
        <v>1477.8</v>
      </c>
      <c r="K252" s="31">
        <v>23.64</v>
      </c>
      <c r="L252" s="31">
        <v>17.84</v>
      </c>
      <c r="M252" s="31">
        <v>0.872</v>
      </c>
      <c r="N252" s="90" t="s">
        <v>50</v>
      </c>
      <c r="O252" s="32" t="s">
        <v>48</v>
      </c>
      <c r="P252" s="32">
        <v>5</v>
      </c>
      <c r="Q252" s="32">
        <v>5</v>
      </c>
      <c r="R252" s="32" t="s">
        <v>49</v>
      </c>
      <c r="S252" s="32" t="s">
        <v>50</v>
      </c>
      <c r="T252" s="79" t="s">
        <v>50</v>
      </c>
      <c r="U252" s="79" t="s">
        <v>50</v>
      </c>
      <c r="V252" s="32" t="s">
        <v>50</v>
      </c>
      <c r="W252" s="32" t="s">
        <v>50</v>
      </c>
      <c r="X252" s="32" t="s">
        <v>50</v>
      </c>
      <c r="Y252" s="35"/>
    </row>
    <row r="253" spans="1:25" s="27" customFormat="1" x14ac:dyDescent="0.25">
      <c r="A253" s="26">
        <v>42986</v>
      </c>
      <c r="B253" s="92" t="str">
        <f t="shared" si="3"/>
        <v>Fri</v>
      </c>
      <c r="C253" s="27" t="s">
        <v>88</v>
      </c>
      <c r="D253" s="27">
        <v>38.057519999999997</v>
      </c>
      <c r="E253" s="27">
        <v>-121.87247000000001</v>
      </c>
      <c r="F253" s="27" t="s">
        <v>7891</v>
      </c>
      <c r="G253" s="27" t="s">
        <v>27</v>
      </c>
      <c r="H253" s="27" t="s">
        <v>25</v>
      </c>
      <c r="I253" s="30">
        <v>0.33888888888888885</v>
      </c>
      <c r="J253" s="31">
        <v>2317.6</v>
      </c>
      <c r="K253" s="31">
        <v>22.14</v>
      </c>
      <c r="L253" s="31">
        <v>20.32</v>
      </c>
      <c r="M253" s="31">
        <v>0.52600000000000002</v>
      </c>
      <c r="N253" s="90" t="s">
        <v>50</v>
      </c>
      <c r="O253" s="32" t="s">
        <v>48</v>
      </c>
      <c r="P253" s="32">
        <v>5</v>
      </c>
      <c r="Q253" s="32">
        <v>5</v>
      </c>
      <c r="R253" s="32" t="s">
        <v>49</v>
      </c>
      <c r="S253" s="32" t="s">
        <v>323</v>
      </c>
      <c r="T253" s="79">
        <v>1</v>
      </c>
      <c r="U253" s="79">
        <v>55</v>
      </c>
      <c r="V253" s="32" t="s">
        <v>66</v>
      </c>
      <c r="W253" s="32" t="s">
        <v>50</v>
      </c>
      <c r="X253" s="32" t="s">
        <v>50</v>
      </c>
      <c r="Y253" s="35" t="s">
        <v>6476</v>
      </c>
    </row>
    <row r="254" spans="1:25" s="108" customFormat="1" ht="15.75" thickBot="1" x14ac:dyDescent="0.3">
      <c r="A254" s="126">
        <v>42986</v>
      </c>
      <c r="B254" s="107" t="str">
        <f t="shared" si="3"/>
        <v>Fri</v>
      </c>
      <c r="C254" s="108" t="s">
        <v>88</v>
      </c>
      <c r="D254" s="108">
        <v>38.112499999999997</v>
      </c>
      <c r="E254" s="108">
        <v>-121.69019</v>
      </c>
      <c r="F254" s="108" t="s">
        <v>7892</v>
      </c>
      <c r="G254" s="108" t="s">
        <v>90</v>
      </c>
      <c r="H254" s="108" t="s">
        <v>25</v>
      </c>
      <c r="I254" s="122">
        <v>0.41666666666666669</v>
      </c>
      <c r="J254" s="123">
        <v>168.66</v>
      </c>
      <c r="K254" s="123">
        <v>22.8</v>
      </c>
      <c r="L254" s="123">
        <v>9.2119999999999997</v>
      </c>
      <c r="M254" s="123">
        <v>1.1459999999999999</v>
      </c>
      <c r="N254" s="125" t="s">
        <v>50</v>
      </c>
      <c r="O254" s="118" t="s">
        <v>48</v>
      </c>
      <c r="P254" s="118">
        <v>5</v>
      </c>
      <c r="Q254" s="118">
        <v>5</v>
      </c>
      <c r="R254" s="118" t="s">
        <v>49</v>
      </c>
      <c r="S254" s="118" t="s">
        <v>50</v>
      </c>
      <c r="T254" s="119" t="s">
        <v>50</v>
      </c>
      <c r="U254" s="119" t="s">
        <v>50</v>
      </c>
      <c r="V254" s="118" t="s">
        <v>50</v>
      </c>
      <c r="W254" s="118" t="s">
        <v>50</v>
      </c>
      <c r="X254" s="118" t="s">
        <v>50</v>
      </c>
      <c r="Y254" s="113" t="s">
        <v>6188</v>
      </c>
    </row>
    <row r="255" spans="1:25" s="27" customFormat="1" ht="15.75" thickTop="1" x14ac:dyDescent="0.25">
      <c r="A255" s="26">
        <v>42989</v>
      </c>
      <c r="B255" s="92" t="str">
        <f t="shared" si="3"/>
        <v>Mon</v>
      </c>
      <c r="C255" s="27" t="s">
        <v>7570</v>
      </c>
      <c r="D255" s="27">
        <v>38.060429999999997</v>
      </c>
      <c r="E255" s="27">
        <v>-122.04561</v>
      </c>
      <c r="F255" s="27" t="s">
        <v>7893</v>
      </c>
      <c r="G255" s="27" t="s">
        <v>27</v>
      </c>
      <c r="H255" s="27" t="s">
        <v>86</v>
      </c>
      <c r="I255" s="120">
        <v>0.35000000000000003</v>
      </c>
      <c r="J255" s="8">
        <f>AVERAGE(11300,12416)</f>
        <v>11858</v>
      </c>
      <c r="K255" s="8">
        <f>AVERAGE(22.1,22.2)</f>
        <v>22.15</v>
      </c>
      <c r="L255" s="8">
        <f>AVERAGE(28.1,28.1)</f>
        <v>28.1</v>
      </c>
      <c r="M255" s="8">
        <f>AVERAGE(0.51,0.49)</f>
        <v>0.5</v>
      </c>
      <c r="N255" s="90" t="s">
        <v>50</v>
      </c>
      <c r="O255" s="9" t="s">
        <v>48</v>
      </c>
      <c r="P255" s="33">
        <v>2</v>
      </c>
      <c r="Q255" s="33">
        <v>5</v>
      </c>
      <c r="R255" s="33" t="s">
        <v>64</v>
      </c>
      <c r="S255" s="33" t="s">
        <v>323</v>
      </c>
      <c r="T255" s="116">
        <v>1</v>
      </c>
      <c r="U255" s="116">
        <v>53</v>
      </c>
      <c r="V255" s="33" t="s">
        <v>66</v>
      </c>
      <c r="W255" s="33" t="s">
        <v>50</v>
      </c>
      <c r="X255" s="33" t="s">
        <v>50</v>
      </c>
      <c r="Y255" s="35" t="s">
        <v>7799</v>
      </c>
    </row>
    <row r="256" spans="1:25" s="27" customFormat="1" x14ac:dyDescent="0.25">
      <c r="A256" s="26">
        <v>42989</v>
      </c>
      <c r="B256" s="92" t="str">
        <f t="shared" si="3"/>
        <v>Mon</v>
      </c>
      <c r="C256" s="27" t="s">
        <v>7570</v>
      </c>
      <c r="D256" s="27">
        <v>38.094580000000001</v>
      </c>
      <c r="E256" s="27">
        <v>-122.05826999999999</v>
      </c>
      <c r="F256" s="27" t="s">
        <v>7894</v>
      </c>
      <c r="G256" s="27" t="s">
        <v>27</v>
      </c>
      <c r="H256" s="27" t="s">
        <v>86</v>
      </c>
      <c r="I256" s="30">
        <v>0.39097222222222222</v>
      </c>
      <c r="J256" s="13">
        <f>AVERAGE(11220,11854)</f>
        <v>11537</v>
      </c>
      <c r="K256" s="13">
        <f>AVERAGE(22.3,22.3)</f>
        <v>22.3</v>
      </c>
      <c r="L256" s="13">
        <f>AVERAGE(33.2,27.8)</f>
        <v>30.5</v>
      </c>
      <c r="M256" s="13">
        <f>AVERAGE(0.43,0.44)</f>
        <v>0.435</v>
      </c>
      <c r="N256" s="90" t="s">
        <v>50</v>
      </c>
      <c r="O256" s="14" t="s">
        <v>48</v>
      </c>
      <c r="P256" s="32">
        <v>2</v>
      </c>
      <c r="Q256" s="32">
        <v>5</v>
      </c>
      <c r="R256" s="32" t="s">
        <v>49</v>
      </c>
      <c r="S256" s="32" t="s">
        <v>323</v>
      </c>
      <c r="T256" s="79">
        <v>1</v>
      </c>
      <c r="U256" s="79">
        <v>47</v>
      </c>
      <c r="V256" s="32" t="s">
        <v>66</v>
      </c>
      <c r="W256" s="32" t="s">
        <v>50</v>
      </c>
      <c r="X256" s="32" t="s">
        <v>50</v>
      </c>
      <c r="Y256" s="35" t="s">
        <v>7895</v>
      </c>
    </row>
    <row r="257" spans="1:25" s="149" customFormat="1" x14ac:dyDescent="0.25">
      <c r="A257" s="178">
        <v>42989</v>
      </c>
      <c r="B257" s="148" t="str">
        <f t="shared" si="3"/>
        <v>Mon</v>
      </c>
      <c r="C257" s="149" t="s">
        <v>118</v>
      </c>
      <c r="D257" s="149">
        <v>38.0627</v>
      </c>
      <c r="E257" s="149">
        <v>-122.32961</v>
      </c>
      <c r="F257" s="149" t="s">
        <v>7896</v>
      </c>
      <c r="G257" s="149" t="s">
        <v>80</v>
      </c>
      <c r="H257" s="149" t="s">
        <v>123</v>
      </c>
      <c r="I257" s="165">
        <v>0.37638888888888888</v>
      </c>
      <c r="J257" s="163" t="s">
        <v>50</v>
      </c>
      <c r="K257" s="163" t="s">
        <v>50</v>
      </c>
      <c r="L257" s="163" t="s">
        <v>50</v>
      </c>
      <c r="M257" s="163" t="s">
        <v>50</v>
      </c>
      <c r="N257" s="177" t="s">
        <v>50</v>
      </c>
      <c r="O257" s="161" t="s">
        <v>48</v>
      </c>
      <c r="P257" s="161">
        <v>0</v>
      </c>
      <c r="Q257" s="161" t="s">
        <v>50</v>
      </c>
      <c r="R257" s="161" t="s">
        <v>50</v>
      </c>
      <c r="S257" s="161" t="s">
        <v>50</v>
      </c>
      <c r="T257" s="162" t="s">
        <v>50</v>
      </c>
      <c r="U257" s="162" t="s">
        <v>50</v>
      </c>
      <c r="V257" s="161" t="s">
        <v>50</v>
      </c>
      <c r="W257" s="161" t="s">
        <v>50</v>
      </c>
      <c r="X257" s="161" t="s">
        <v>50</v>
      </c>
      <c r="Y257" s="152" t="s">
        <v>7049</v>
      </c>
    </row>
    <row r="258" spans="1:25" s="27" customFormat="1" x14ac:dyDescent="0.25">
      <c r="A258" s="26">
        <v>42989</v>
      </c>
      <c r="B258" s="92" t="str">
        <f t="shared" si="3"/>
        <v>Mon</v>
      </c>
      <c r="C258" s="27" t="s">
        <v>118</v>
      </c>
      <c r="D258" s="27">
        <v>38.044020000000003</v>
      </c>
      <c r="E258" s="27">
        <v>-122.32295999999999</v>
      </c>
      <c r="F258" s="27" t="s">
        <v>7897</v>
      </c>
      <c r="G258" s="27" t="s">
        <v>80</v>
      </c>
      <c r="H258" s="27" t="s">
        <v>123</v>
      </c>
      <c r="I258" s="30">
        <v>0.38680555555555557</v>
      </c>
      <c r="J258" s="13">
        <f>AVERAGE(31562,32478,31699,31755,29149,28968,25564,27779)</f>
        <v>29869.25</v>
      </c>
      <c r="K258" s="13">
        <f>AVERAGE(22.8,22.3,22,21.9,22.2,22.1,22.4,22.1)</f>
        <v>22.225000000000001</v>
      </c>
      <c r="L258" s="13">
        <f>AVERAGE(24,28.5,24.3,16,13.2,9.96,14.2,8.95)</f>
        <v>17.388749999999998</v>
      </c>
      <c r="M258" s="13">
        <f>AVERAGE(0.47,0.47,0.48,0.51,0.53,0.64,0.91,0.91)</f>
        <v>0.61499999999999999</v>
      </c>
      <c r="N258" s="90" t="s">
        <v>50</v>
      </c>
      <c r="O258" s="14" t="s">
        <v>48</v>
      </c>
      <c r="P258" s="32">
        <v>8</v>
      </c>
      <c r="Q258" s="32">
        <v>10</v>
      </c>
      <c r="R258" s="32" t="s">
        <v>49</v>
      </c>
      <c r="S258" s="32" t="s">
        <v>50</v>
      </c>
      <c r="T258" s="79" t="s">
        <v>50</v>
      </c>
      <c r="U258" s="79" t="s">
        <v>50</v>
      </c>
      <c r="V258" s="32" t="s">
        <v>50</v>
      </c>
      <c r="W258" s="32" t="s">
        <v>50</v>
      </c>
      <c r="X258" s="32" t="s">
        <v>50</v>
      </c>
      <c r="Y258" s="35"/>
    </row>
    <row r="259" spans="1:25" s="27" customFormat="1" x14ac:dyDescent="0.25">
      <c r="A259" s="26">
        <v>42989</v>
      </c>
      <c r="B259" s="92" t="str">
        <f t="shared" si="3"/>
        <v>Mon</v>
      </c>
      <c r="C259" s="27" t="s">
        <v>118</v>
      </c>
      <c r="D259" s="27">
        <v>38.036409999999997</v>
      </c>
      <c r="E259" s="27">
        <v>-122.31352</v>
      </c>
      <c r="F259" s="27" t="s">
        <v>7898</v>
      </c>
      <c r="G259" s="27" t="s">
        <v>80</v>
      </c>
      <c r="H259" s="27" t="s">
        <v>123</v>
      </c>
      <c r="I259" s="30">
        <v>0.49791666666666662</v>
      </c>
      <c r="J259" s="13">
        <f>AVERAGE(32505,32589,32317,32257,33074,32257,33380,33894)</f>
        <v>32784.125</v>
      </c>
      <c r="K259" s="13">
        <f>AVERAGE(23,22.7,22.9,22.7,22.3,24.8,23.1,23.3)</f>
        <v>23.1</v>
      </c>
      <c r="L259" s="13">
        <f>AVERAGE(16.5,13.4,11.1,10.6,13.6,10.7,8.06,9.88)</f>
        <v>11.73</v>
      </c>
      <c r="M259" s="13">
        <f>AVERAGE(0.68,0.69,0.83,0.89,0.78,0.86,0.96,0.96)</f>
        <v>0.83125000000000004</v>
      </c>
      <c r="N259" s="90" t="s">
        <v>50</v>
      </c>
      <c r="O259" s="14" t="s">
        <v>48</v>
      </c>
      <c r="P259" s="32">
        <v>8</v>
      </c>
      <c r="Q259" s="32">
        <v>10</v>
      </c>
      <c r="R259" s="32" t="s">
        <v>64</v>
      </c>
      <c r="S259" s="32" t="s">
        <v>50</v>
      </c>
      <c r="T259" s="79" t="s">
        <v>50</v>
      </c>
      <c r="U259" s="79" t="s">
        <v>50</v>
      </c>
      <c r="V259" s="32" t="s">
        <v>50</v>
      </c>
      <c r="W259" s="32" t="s">
        <v>50</v>
      </c>
      <c r="X259" s="32" t="s">
        <v>50</v>
      </c>
      <c r="Y259" s="35"/>
    </row>
    <row r="260" spans="1:25" s="27" customFormat="1" x14ac:dyDescent="0.25">
      <c r="A260" s="26">
        <v>42989</v>
      </c>
      <c r="B260" s="92" t="str">
        <f t="shared" ref="B260:B323" si="4">TEXT(A260,"ddd")</f>
        <v>Mon</v>
      </c>
      <c r="C260" s="27" t="s">
        <v>845</v>
      </c>
      <c r="D260" s="27">
        <v>38.252319999999997</v>
      </c>
      <c r="E260" s="27">
        <v>-121.66829</v>
      </c>
      <c r="F260" s="27" t="s">
        <v>7899</v>
      </c>
      <c r="G260" s="27" t="s">
        <v>90</v>
      </c>
      <c r="H260" s="27" t="s">
        <v>126</v>
      </c>
      <c r="I260" s="30">
        <v>0.38958333333333334</v>
      </c>
      <c r="J260" s="13">
        <f>AVERAGE(143.2,144.4,145.1,142.5,145.1)</f>
        <v>144.06</v>
      </c>
      <c r="K260" s="13">
        <f>AVERAGE(22.1,22,22.1,21.9,22.1)</f>
        <v>22.04</v>
      </c>
      <c r="L260" s="13">
        <f>AVERAGE(8.3,7.39,6.52,6.18,5.27)</f>
        <v>6.7319999999999993</v>
      </c>
      <c r="M260" s="13">
        <f>AVERAGE(1.22,1.25,1.28,1.3,1.51)</f>
        <v>1.3119999999999998</v>
      </c>
      <c r="N260" s="90" t="s">
        <v>50</v>
      </c>
      <c r="O260" s="14" t="s">
        <v>48</v>
      </c>
      <c r="P260" s="32">
        <v>5</v>
      </c>
      <c r="Q260" s="32">
        <v>5</v>
      </c>
      <c r="R260" s="32" t="s">
        <v>64</v>
      </c>
      <c r="S260" s="32" t="s">
        <v>50</v>
      </c>
      <c r="T260" s="79" t="s">
        <v>50</v>
      </c>
      <c r="U260" s="79" t="s">
        <v>50</v>
      </c>
      <c r="V260" s="32" t="s">
        <v>50</v>
      </c>
      <c r="W260" s="32" t="s">
        <v>50</v>
      </c>
      <c r="X260" s="32" t="s">
        <v>50</v>
      </c>
      <c r="Y260" s="35"/>
    </row>
    <row r="261" spans="1:25" s="27" customFormat="1" x14ac:dyDescent="0.25">
      <c r="A261" s="26">
        <v>42989</v>
      </c>
      <c r="B261" s="92" t="str">
        <f t="shared" si="4"/>
        <v>Mon</v>
      </c>
      <c r="C261" s="27" t="s">
        <v>845</v>
      </c>
      <c r="D261" s="27">
        <v>38.33907</v>
      </c>
      <c r="E261" s="27">
        <v>-121.64572</v>
      </c>
      <c r="F261" s="27" t="s">
        <v>7900</v>
      </c>
      <c r="G261" s="27" t="s">
        <v>90</v>
      </c>
      <c r="H261" s="27" t="s">
        <v>126</v>
      </c>
      <c r="I261" s="30">
        <v>0.33749999999999997</v>
      </c>
      <c r="J261" s="13">
        <f>AVERAGE(313.3,301.6,297.5,291.4,288.8)</f>
        <v>298.52000000000004</v>
      </c>
      <c r="K261" s="13">
        <f>AVERAGE(24.1)</f>
        <v>24.1</v>
      </c>
      <c r="L261" s="13">
        <f>AVERAGE(11.4,14.3,13.8,15.4,12.7)</f>
        <v>13.52</v>
      </c>
      <c r="M261" s="13">
        <f>AVERAGE(0.66,0.7,0.7,0.73,0.72)</f>
        <v>0.70199999999999996</v>
      </c>
      <c r="N261" s="90" t="s">
        <v>50</v>
      </c>
      <c r="O261" s="14" t="s">
        <v>48</v>
      </c>
      <c r="P261" s="32">
        <v>5</v>
      </c>
      <c r="Q261" s="32">
        <v>5</v>
      </c>
      <c r="R261" s="32" t="s">
        <v>64</v>
      </c>
      <c r="S261" s="32" t="s">
        <v>50</v>
      </c>
      <c r="T261" s="79" t="s">
        <v>50</v>
      </c>
      <c r="U261" s="79" t="s">
        <v>50</v>
      </c>
      <c r="V261" s="32" t="s">
        <v>50</v>
      </c>
      <c r="W261" s="32" t="s">
        <v>50</v>
      </c>
      <c r="X261" s="32" t="s">
        <v>50</v>
      </c>
      <c r="Y261" s="35"/>
    </row>
    <row r="262" spans="1:25" s="27" customFormat="1" x14ac:dyDescent="0.25">
      <c r="A262" s="26">
        <v>42990</v>
      </c>
      <c r="B262" s="92" t="str">
        <f t="shared" si="4"/>
        <v>Tue</v>
      </c>
      <c r="C262" s="27" t="s">
        <v>118</v>
      </c>
      <c r="D262" s="27">
        <v>38.066549999999999</v>
      </c>
      <c r="E262" s="27">
        <v>-122.26841</v>
      </c>
      <c r="F262" s="27" t="s">
        <v>7901</v>
      </c>
      <c r="G262" s="27" t="s">
        <v>80</v>
      </c>
      <c r="H262" s="27" t="s">
        <v>123</v>
      </c>
      <c r="I262" s="30">
        <v>0.31666666666666665</v>
      </c>
      <c r="J262" s="13">
        <f>AVERAGE(33400,37495,36905,36510,35765,35529,37798,39214)</f>
        <v>36577</v>
      </c>
      <c r="K262" s="13">
        <f>AVERAGE(23.5,23,23.1,23.7,23,23.3,23.7,23)</f>
        <v>23.287499999999998</v>
      </c>
      <c r="L262" s="13">
        <f>AVERAGE(20.1,25,22.2,17.3,13.7,15.6,17.8,38.6)</f>
        <v>21.287499999999998</v>
      </c>
      <c r="M262" s="13">
        <f>AVERAGE(0.51,0.6,0.61,0.65,0.75,0.71,0.63,0.48)</f>
        <v>0.61749999999999994</v>
      </c>
      <c r="N262" s="90" t="s">
        <v>50</v>
      </c>
      <c r="O262" s="14" t="s">
        <v>48</v>
      </c>
      <c r="P262" s="32">
        <v>8</v>
      </c>
      <c r="Q262" s="32">
        <v>10</v>
      </c>
      <c r="R262" s="32" t="s">
        <v>49</v>
      </c>
      <c r="S262" s="32" t="s">
        <v>323</v>
      </c>
      <c r="T262" s="79">
        <v>1</v>
      </c>
      <c r="U262" s="79">
        <v>51</v>
      </c>
      <c r="V262" s="32" t="s">
        <v>66</v>
      </c>
      <c r="W262" s="32" t="s">
        <v>50</v>
      </c>
      <c r="X262" s="32" t="s">
        <v>50</v>
      </c>
      <c r="Y262" s="87"/>
    </row>
    <row r="263" spans="1:25" s="149" customFormat="1" x14ac:dyDescent="0.25">
      <c r="A263" s="178">
        <v>42990</v>
      </c>
      <c r="B263" s="148" t="str">
        <f t="shared" si="4"/>
        <v>Tue</v>
      </c>
      <c r="C263" s="149" t="s">
        <v>118</v>
      </c>
      <c r="D263" s="149">
        <v>38.058750000000003</v>
      </c>
      <c r="E263" s="149">
        <v>-122.23851999999999</v>
      </c>
      <c r="F263" s="149" t="s">
        <v>7902</v>
      </c>
      <c r="G263" s="149" t="s">
        <v>80</v>
      </c>
      <c r="H263" s="149" t="s">
        <v>120</v>
      </c>
      <c r="I263" s="165">
        <v>0.43194444444444446</v>
      </c>
      <c r="J263" s="163">
        <v>37281</v>
      </c>
      <c r="K263" s="163">
        <v>24.6</v>
      </c>
      <c r="L263" s="163">
        <v>15.4</v>
      </c>
      <c r="M263" s="163">
        <v>0.74</v>
      </c>
      <c r="N263" s="177" t="s">
        <v>50</v>
      </c>
      <c r="O263" s="161" t="s">
        <v>48</v>
      </c>
      <c r="P263" s="161">
        <v>1</v>
      </c>
      <c r="Q263" s="161">
        <v>4</v>
      </c>
      <c r="R263" s="161" t="s">
        <v>49</v>
      </c>
      <c r="S263" s="161" t="s">
        <v>50</v>
      </c>
      <c r="T263" s="162" t="s">
        <v>50</v>
      </c>
      <c r="U263" s="162" t="s">
        <v>50</v>
      </c>
      <c r="V263" s="161" t="s">
        <v>50</v>
      </c>
      <c r="W263" s="161" t="s">
        <v>50</v>
      </c>
      <c r="X263" s="161" t="s">
        <v>50</v>
      </c>
      <c r="Y263" s="152" t="s">
        <v>7903</v>
      </c>
    </row>
    <row r="264" spans="1:25" s="27" customFormat="1" x14ac:dyDescent="0.25">
      <c r="A264" s="26">
        <v>42990</v>
      </c>
      <c r="B264" s="92" t="str">
        <f t="shared" si="4"/>
        <v>Tue</v>
      </c>
      <c r="C264" s="27" t="s">
        <v>118</v>
      </c>
      <c r="D264" s="27">
        <v>38.060760000000002</v>
      </c>
      <c r="E264" s="27">
        <v>-122.1902</v>
      </c>
      <c r="F264" s="27" t="s">
        <v>7904</v>
      </c>
      <c r="G264" s="27" t="s">
        <v>80</v>
      </c>
      <c r="H264" s="27" t="s">
        <v>120</v>
      </c>
      <c r="I264" s="30">
        <v>0.45208333333333334</v>
      </c>
      <c r="J264" s="13">
        <f>AVERAGE(29606,28910,30701,30069)</f>
        <v>29821.5</v>
      </c>
      <c r="K264" s="13">
        <f>AVERAGE(24.6,24.8,24.8,24.9)</f>
        <v>24.774999999999999</v>
      </c>
      <c r="L264" s="13">
        <f>AVERAGE(19.7,14.9,16.7,20.1)</f>
        <v>17.850000000000001</v>
      </c>
      <c r="M264" s="13">
        <f>AVERAGE(0.58,0.65,0.61,0.57)</f>
        <v>0.60249999999999992</v>
      </c>
      <c r="N264" s="90" t="s">
        <v>50</v>
      </c>
      <c r="O264" s="14" t="s">
        <v>48</v>
      </c>
      <c r="P264" s="32">
        <v>4</v>
      </c>
      <c r="Q264" s="32">
        <v>10</v>
      </c>
      <c r="R264" s="32" t="s">
        <v>49</v>
      </c>
      <c r="S264" s="32" t="s">
        <v>323</v>
      </c>
      <c r="T264" s="79">
        <v>3</v>
      </c>
      <c r="U264" s="79" t="s">
        <v>7817</v>
      </c>
      <c r="V264" s="32" t="s">
        <v>66</v>
      </c>
      <c r="W264" s="32" t="s">
        <v>50</v>
      </c>
      <c r="X264" s="32" t="s">
        <v>50</v>
      </c>
      <c r="Y264" s="35"/>
    </row>
    <row r="265" spans="1:25" s="27" customFormat="1" x14ac:dyDescent="0.25">
      <c r="A265" s="26">
        <v>42990</v>
      </c>
      <c r="B265" s="92" t="str">
        <f t="shared" si="4"/>
        <v>Tue</v>
      </c>
      <c r="C265" s="27" t="s">
        <v>118</v>
      </c>
      <c r="D265" s="27">
        <v>38.051000000000002</v>
      </c>
      <c r="E265" s="27">
        <v>-122.08778</v>
      </c>
      <c r="F265" s="27" t="s">
        <v>7905</v>
      </c>
      <c r="G265" s="27" t="s">
        <v>80</v>
      </c>
      <c r="H265" s="27" t="s">
        <v>81</v>
      </c>
      <c r="I265" s="30">
        <v>0.5395833333333333</v>
      </c>
      <c r="J265" s="13">
        <f>AVERAGE(24965,25001,22621,23802,20566,20411,19982,19862)</f>
        <v>22151.25</v>
      </c>
      <c r="K265" s="13">
        <f>AVERAGE(25.5,25.6,25.8,26.5,26.2,26.9,26.4,26.6)</f>
        <v>26.1875</v>
      </c>
      <c r="L265" s="13">
        <f>AVERAGE(15.5,13,13.2,11.9,16.2,13.1,13.1,11.5)</f>
        <v>13.437499999999998</v>
      </c>
      <c r="M265" s="13">
        <f>AVERAGE(0.68,0.71,0.78,0.82,0.83,0.82,0.78,0.71)</f>
        <v>0.76624999999999999</v>
      </c>
      <c r="N265" s="90" t="s">
        <v>50</v>
      </c>
      <c r="O265" s="14" t="s">
        <v>48</v>
      </c>
      <c r="P265" s="32">
        <v>8</v>
      </c>
      <c r="Q265" s="32">
        <v>10</v>
      </c>
      <c r="R265" s="32" t="s">
        <v>49</v>
      </c>
      <c r="S265" s="32" t="s">
        <v>50</v>
      </c>
      <c r="T265" s="79" t="s">
        <v>50</v>
      </c>
      <c r="U265" s="79" t="s">
        <v>50</v>
      </c>
      <c r="V265" s="32" t="s">
        <v>50</v>
      </c>
      <c r="W265" s="32" t="s">
        <v>50</v>
      </c>
      <c r="X265" s="32" t="s">
        <v>50</v>
      </c>
      <c r="Y265" s="35"/>
    </row>
    <row r="266" spans="1:25" s="27" customFormat="1" x14ac:dyDescent="0.25">
      <c r="A266" s="26">
        <v>42990</v>
      </c>
      <c r="B266" s="92" t="str">
        <f t="shared" si="4"/>
        <v>Tue</v>
      </c>
      <c r="C266" s="27" t="s">
        <v>106</v>
      </c>
      <c r="D266" s="27">
        <v>38.55621</v>
      </c>
      <c r="E266" s="27">
        <v>-121.57453</v>
      </c>
      <c r="F266" s="27" t="s">
        <v>7906</v>
      </c>
      <c r="G266" s="27" t="s">
        <v>90</v>
      </c>
      <c r="H266" s="27" t="s">
        <v>7577</v>
      </c>
      <c r="I266" s="30">
        <v>0.34930555555555554</v>
      </c>
      <c r="J266" s="13">
        <f>AVERAGE(786,814,814,815,815)</f>
        <v>808.8</v>
      </c>
      <c r="K266" s="13">
        <f>AVERAGE(25.4,25.3,25.3,25.3,25.3)</f>
        <v>25.32</v>
      </c>
      <c r="L266" s="13">
        <f>AVERAGE(3.6,5.34,5.04,5.32,6)</f>
        <v>5.0600000000000005</v>
      </c>
      <c r="M266" s="13">
        <f>AVERAGE(1.8,1.6,1.4,1.4,1.28)</f>
        <v>1.4960000000000002</v>
      </c>
      <c r="N266" s="90" t="s">
        <v>50</v>
      </c>
      <c r="O266" s="14" t="s">
        <v>48</v>
      </c>
      <c r="P266" s="32">
        <v>5</v>
      </c>
      <c r="Q266" s="32">
        <v>5</v>
      </c>
      <c r="R266" s="32" t="s">
        <v>64</v>
      </c>
      <c r="S266" s="32" t="s">
        <v>50</v>
      </c>
      <c r="T266" s="79" t="s">
        <v>50</v>
      </c>
      <c r="U266" s="79" t="s">
        <v>50</v>
      </c>
      <c r="V266" s="32" t="s">
        <v>50</v>
      </c>
      <c r="W266" s="32" t="s">
        <v>50</v>
      </c>
      <c r="X266" s="32" t="s">
        <v>50</v>
      </c>
      <c r="Y266" s="35"/>
    </row>
    <row r="267" spans="1:25" s="27" customFormat="1" x14ac:dyDescent="0.25">
      <c r="A267" s="26">
        <v>42990</v>
      </c>
      <c r="B267" s="92" t="str">
        <f t="shared" si="4"/>
        <v>Tue</v>
      </c>
      <c r="C267" s="27" t="s">
        <v>106</v>
      </c>
      <c r="D267" s="27">
        <v>38.391330000000004</v>
      </c>
      <c r="E267" s="27">
        <v>-121.62121999999999</v>
      </c>
      <c r="F267" s="27" t="s">
        <v>7907</v>
      </c>
      <c r="G267" s="27" t="s">
        <v>90</v>
      </c>
      <c r="H267" s="27" t="s">
        <v>7577</v>
      </c>
      <c r="I267" s="30">
        <v>0.40972222222222227</v>
      </c>
      <c r="J267" s="13">
        <f>AVERAGE(479,454.6,447.4,439.8,425)</f>
        <v>449.16</v>
      </c>
      <c r="K267" s="13">
        <f>AVERAGE(24.3,24.3,24.5,24.4,24.4)</f>
        <v>24.380000000000003</v>
      </c>
      <c r="L267" s="13">
        <f>AVERAGE(33.6,39.6,40.8,38.4,37.9)</f>
        <v>38.06</v>
      </c>
      <c r="M267" s="13">
        <f>AVERAGE(0.37,0.29,0.29,0.28,0.34)</f>
        <v>0.314</v>
      </c>
      <c r="N267" s="90" t="s">
        <v>50</v>
      </c>
      <c r="O267" s="14" t="s">
        <v>48</v>
      </c>
      <c r="P267" s="32">
        <v>5</v>
      </c>
      <c r="Q267" s="32">
        <v>5</v>
      </c>
      <c r="R267" s="32" t="s">
        <v>64</v>
      </c>
      <c r="S267" s="32" t="s">
        <v>50</v>
      </c>
      <c r="T267" s="79" t="s">
        <v>50</v>
      </c>
      <c r="U267" s="79" t="s">
        <v>50</v>
      </c>
      <c r="V267" s="32" t="s">
        <v>50</v>
      </c>
      <c r="W267" s="32" t="s">
        <v>50</v>
      </c>
      <c r="X267" s="32" t="s">
        <v>50</v>
      </c>
      <c r="Y267" s="35"/>
    </row>
    <row r="268" spans="1:25" s="27" customFormat="1" x14ac:dyDescent="0.25">
      <c r="A268" s="26">
        <v>42990</v>
      </c>
      <c r="B268" s="92" t="str">
        <f t="shared" si="4"/>
        <v>Tue</v>
      </c>
      <c r="C268" s="27" t="s">
        <v>7570</v>
      </c>
      <c r="D268" s="27">
        <v>38.071820000000002</v>
      </c>
      <c r="E268" s="27">
        <v>-122.01657</v>
      </c>
      <c r="F268" s="27" t="s">
        <v>7908</v>
      </c>
      <c r="G268" s="27" t="s">
        <v>27</v>
      </c>
      <c r="H268" s="27" t="s">
        <v>86</v>
      </c>
      <c r="I268" s="30">
        <v>0.37916666666666665</v>
      </c>
      <c r="J268" s="13">
        <f>AVERAGE(9199,10010)</f>
        <v>9604.5</v>
      </c>
      <c r="K268" s="13">
        <f>AVERAGE(22.3)</f>
        <v>22.3</v>
      </c>
      <c r="L268" s="13">
        <f>AVERAGE(36.3,44.1)</f>
        <v>40.200000000000003</v>
      </c>
      <c r="M268" s="13">
        <f>AVERAGE(0.46,0.51)</f>
        <v>0.48499999999999999</v>
      </c>
      <c r="N268" s="90" t="s">
        <v>50</v>
      </c>
      <c r="O268" s="14" t="s">
        <v>48</v>
      </c>
      <c r="P268" s="32">
        <v>2</v>
      </c>
      <c r="Q268" s="32">
        <v>5</v>
      </c>
      <c r="R268" s="32" t="s">
        <v>64</v>
      </c>
      <c r="S268" s="32" t="s">
        <v>323</v>
      </c>
      <c r="T268" s="79">
        <v>1</v>
      </c>
      <c r="U268" s="79">
        <v>51</v>
      </c>
      <c r="V268" s="32" t="s">
        <v>66</v>
      </c>
      <c r="W268" s="32" t="s">
        <v>50</v>
      </c>
      <c r="X268" s="32" t="s">
        <v>50</v>
      </c>
      <c r="Y268" s="35" t="s">
        <v>7799</v>
      </c>
    </row>
    <row r="269" spans="1:25" s="27" customFormat="1" x14ac:dyDescent="0.25">
      <c r="A269" s="26">
        <v>42990</v>
      </c>
      <c r="B269" s="92" t="str">
        <f t="shared" si="4"/>
        <v>Tue</v>
      </c>
      <c r="C269" s="27" t="s">
        <v>7570</v>
      </c>
      <c r="D269" s="27">
        <v>38.055909999999997</v>
      </c>
      <c r="E269" s="27">
        <v>-121.95972999999999</v>
      </c>
      <c r="F269" s="27" t="s">
        <v>7909</v>
      </c>
      <c r="G269" s="27" t="s">
        <v>27</v>
      </c>
      <c r="H269" s="27" t="s">
        <v>170</v>
      </c>
      <c r="I269" s="30">
        <v>0.34027777777777773</v>
      </c>
      <c r="J269" s="13">
        <f>AVERAGE(4051,4820,4489)</f>
        <v>4453.333333333333</v>
      </c>
      <c r="K269" s="13">
        <f>AVERAGE(22.8,22.8,22.8)</f>
        <v>22.8</v>
      </c>
      <c r="L269" s="13">
        <f>AVERAGE(28.2,27.1,28.8)</f>
        <v>28.033333333333331</v>
      </c>
      <c r="M269" s="13">
        <f>AVERAGE(0.58,0.6,0.64)</f>
        <v>0.60666666666666658</v>
      </c>
      <c r="N269" s="90" t="s">
        <v>50</v>
      </c>
      <c r="O269" s="14" t="s">
        <v>48</v>
      </c>
      <c r="P269" s="32">
        <v>3</v>
      </c>
      <c r="Q269" s="32">
        <v>5</v>
      </c>
      <c r="R269" s="32" t="s">
        <v>64</v>
      </c>
      <c r="S269" s="32" t="s">
        <v>323</v>
      </c>
      <c r="T269" s="79">
        <v>1</v>
      </c>
      <c r="U269" s="79">
        <v>47</v>
      </c>
      <c r="V269" s="32" t="s">
        <v>66</v>
      </c>
      <c r="W269" s="32" t="s">
        <v>50</v>
      </c>
      <c r="X269" s="32" t="s">
        <v>50</v>
      </c>
      <c r="Y269" s="35" t="s">
        <v>7799</v>
      </c>
    </row>
    <row r="270" spans="1:25" s="27" customFormat="1" x14ac:dyDescent="0.25">
      <c r="A270" s="26">
        <v>42991</v>
      </c>
      <c r="B270" s="92" t="str">
        <f t="shared" si="4"/>
        <v>Wed</v>
      </c>
      <c r="C270" s="27" t="s">
        <v>88</v>
      </c>
      <c r="D270" s="27">
        <v>38.156829999999999</v>
      </c>
      <c r="E270" s="27">
        <v>-121.68380999999999</v>
      </c>
      <c r="F270" s="27" t="s">
        <v>7910</v>
      </c>
      <c r="G270" s="27" t="s">
        <v>90</v>
      </c>
      <c r="H270" s="27" t="s">
        <v>91</v>
      </c>
      <c r="I270" s="30">
        <v>0.32291666666666669</v>
      </c>
      <c r="J270" s="31">
        <v>120.42</v>
      </c>
      <c r="K270" s="31">
        <v>21.34</v>
      </c>
      <c r="L270" s="31">
        <v>8.718</v>
      </c>
      <c r="M270" s="31">
        <v>1.1919999999999999</v>
      </c>
      <c r="N270" s="90" t="s">
        <v>50</v>
      </c>
      <c r="O270" s="32" t="s">
        <v>48</v>
      </c>
      <c r="P270" s="32">
        <v>5</v>
      </c>
      <c r="Q270" s="32">
        <v>5</v>
      </c>
      <c r="R270" s="32" t="s">
        <v>64</v>
      </c>
      <c r="S270" s="32" t="s">
        <v>50</v>
      </c>
      <c r="T270" s="79" t="s">
        <v>50</v>
      </c>
      <c r="U270" s="79" t="s">
        <v>50</v>
      </c>
      <c r="V270" s="32" t="s">
        <v>50</v>
      </c>
      <c r="W270" s="32" t="s">
        <v>50</v>
      </c>
      <c r="X270" s="32" t="s">
        <v>50</v>
      </c>
      <c r="Y270" s="35"/>
    </row>
    <row r="271" spans="1:25" s="27" customFormat="1" x14ac:dyDescent="0.25">
      <c r="A271" s="26">
        <v>42991</v>
      </c>
      <c r="B271" s="92" t="str">
        <f t="shared" si="4"/>
        <v>Wed</v>
      </c>
      <c r="C271" s="27" t="s">
        <v>88</v>
      </c>
      <c r="D271" s="27">
        <v>38.063020000000002</v>
      </c>
      <c r="E271" s="27">
        <v>-121.86713</v>
      </c>
      <c r="F271" s="27" t="s">
        <v>7911</v>
      </c>
      <c r="G271" s="27" t="s">
        <v>27</v>
      </c>
      <c r="H271" s="27" t="s">
        <v>25</v>
      </c>
      <c r="I271" s="30">
        <v>0.3972222222222222</v>
      </c>
      <c r="J271" s="31">
        <v>1250</v>
      </c>
      <c r="K271" s="31">
        <v>22.64</v>
      </c>
      <c r="L271" s="31">
        <v>31.58</v>
      </c>
      <c r="M271" s="31">
        <v>0.80200000000000005</v>
      </c>
      <c r="N271" s="90" t="s">
        <v>50</v>
      </c>
      <c r="O271" s="32" t="s">
        <v>48</v>
      </c>
      <c r="P271" s="32">
        <v>5</v>
      </c>
      <c r="Q271" s="32">
        <v>5</v>
      </c>
      <c r="R271" s="32" t="s">
        <v>64</v>
      </c>
      <c r="S271" s="32" t="s">
        <v>50</v>
      </c>
      <c r="T271" s="79" t="s">
        <v>50</v>
      </c>
      <c r="U271" s="79" t="s">
        <v>50</v>
      </c>
      <c r="V271" s="32" t="s">
        <v>50</v>
      </c>
      <c r="W271" s="32" t="s">
        <v>50</v>
      </c>
      <c r="X271" s="32" t="s">
        <v>50</v>
      </c>
      <c r="Y271" s="35"/>
    </row>
    <row r="272" spans="1:25" s="27" customFormat="1" x14ac:dyDescent="0.25">
      <c r="A272" s="26">
        <v>42991</v>
      </c>
      <c r="B272" s="92" t="str">
        <f t="shared" si="4"/>
        <v>Wed</v>
      </c>
      <c r="C272" s="27" t="s">
        <v>95</v>
      </c>
      <c r="D272" s="27">
        <v>38.10266</v>
      </c>
      <c r="E272" s="27">
        <v>-121.62690000000001</v>
      </c>
      <c r="F272" s="27" t="s">
        <v>7912</v>
      </c>
      <c r="G272" s="27" t="s">
        <v>46</v>
      </c>
      <c r="H272" s="27" t="s">
        <v>97</v>
      </c>
      <c r="I272" s="30">
        <v>0.4465277777777778</v>
      </c>
      <c r="J272" s="31">
        <v>145.41999999999999</v>
      </c>
      <c r="K272" s="31">
        <v>22.9</v>
      </c>
      <c r="L272" s="31">
        <v>7.5739999999999998</v>
      </c>
      <c r="M272" s="31">
        <v>1.19</v>
      </c>
      <c r="N272" s="90" t="s">
        <v>50</v>
      </c>
      <c r="O272" s="32" t="s">
        <v>48</v>
      </c>
      <c r="P272" s="32">
        <v>5</v>
      </c>
      <c r="Q272" s="32">
        <v>5</v>
      </c>
      <c r="R272" s="32" t="s">
        <v>64</v>
      </c>
      <c r="S272" s="32" t="s">
        <v>50</v>
      </c>
      <c r="T272" s="79" t="s">
        <v>50</v>
      </c>
      <c r="U272" s="79" t="s">
        <v>50</v>
      </c>
      <c r="V272" s="32" t="s">
        <v>50</v>
      </c>
      <c r="W272" s="32" t="s">
        <v>50</v>
      </c>
      <c r="X272" s="32" t="s">
        <v>50</v>
      </c>
      <c r="Y272" s="35"/>
    </row>
    <row r="273" spans="1:25" s="27" customFormat="1" x14ac:dyDescent="0.25">
      <c r="A273" s="26">
        <v>42991</v>
      </c>
      <c r="B273" s="92" t="str">
        <f t="shared" si="4"/>
        <v>Wed</v>
      </c>
      <c r="C273" s="27" t="s">
        <v>95</v>
      </c>
      <c r="D273" s="27">
        <v>38.049700000000001</v>
      </c>
      <c r="E273" s="27">
        <v>-121.69168999999999</v>
      </c>
      <c r="F273" s="27" t="s">
        <v>7913</v>
      </c>
      <c r="G273" s="27" t="s">
        <v>46</v>
      </c>
      <c r="H273" s="27" t="s">
        <v>97</v>
      </c>
      <c r="I273" s="30">
        <v>0.49652777777777773</v>
      </c>
      <c r="J273" s="31">
        <v>247.24</v>
      </c>
      <c r="K273" s="31">
        <v>23.22</v>
      </c>
      <c r="L273" s="31">
        <v>9.07</v>
      </c>
      <c r="M273" s="31">
        <v>1.0620000000000001</v>
      </c>
      <c r="N273" s="90" t="s">
        <v>50</v>
      </c>
      <c r="O273" s="32" t="s">
        <v>48</v>
      </c>
      <c r="P273" s="32">
        <v>5</v>
      </c>
      <c r="Q273" s="32">
        <v>5</v>
      </c>
      <c r="R273" s="32" t="s">
        <v>64</v>
      </c>
      <c r="S273" s="32" t="s">
        <v>50</v>
      </c>
      <c r="T273" s="79" t="s">
        <v>50</v>
      </c>
      <c r="U273" s="79" t="s">
        <v>50</v>
      </c>
      <c r="V273" s="32" t="s">
        <v>50</v>
      </c>
      <c r="W273" s="32" t="s">
        <v>50</v>
      </c>
      <c r="X273" s="32" t="s">
        <v>50</v>
      </c>
      <c r="Y273" s="35" t="s">
        <v>7914</v>
      </c>
    </row>
    <row r="274" spans="1:25" s="27" customFormat="1" x14ac:dyDescent="0.25">
      <c r="A274" s="26">
        <v>42991</v>
      </c>
      <c r="B274" s="92" t="str">
        <f t="shared" si="4"/>
        <v>Wed</v>
      </c>
      <c r="C274" s="27" t="s">
        <v>118</v>
      </c>
      <c r="D274" s="27">
        <v>38.088450000000002</v>
      </c>
      <c r="E274" s="27">
        <v>-122.06762000000001</v>
      </c>
      <c r="F274" s="27" t="s">
        <v>7915</v>
      </c>
      <c r="G274" s="27" t="s">
        <v>80</v>
      </c>
      <c r="H274" s="27" t="s">
        <v>81</v>
      </c>
      <c r="I274" s="30">
        <v>0.4055555555555555</v>
      </c>
      <c r="J274" s="31">
        <v>21641.25</v>
      </c>
      <c r="K274" s="31">
        <v>25.95</v>
      </c>
      <c r="L274" s="31">
        <v>26.0625</v>
      </c>
      <c r="M274" s="31">
        <v>0.47125</v>
      </c>
      <c r="N274" s="90" t="s">
        <v>50</v>
      </c>
      <c r="O274" s="32" t="s">
        <v>48</v>
      </c>
      <c r="P274" s="32">
        <v>8</v>
      </c>
      <c r="Q274" s="32">
        <v>10</v>
      </c>
      <c r="R274" s="32" t="s">
        <v>49</v>
      </c>
      <c r="S274" s="32" t="s">
        <v>50</v>
      </c>
      <c r="T274" s="79" t="s">
        <v>50</v>
      </c>
      <c r="U274" s="79" t="s">
        <v>50</v>
      </c>
      <c r="V274" s="32" t="s">
        <v>50</v>
      </c>
      <c r="W274" s="32" t="s">
        <v>50</v>
      </c>
      <c r="X274" s="32" t="s">
        <v>50</v>
      </c>
      <c r="Y274" s="35"/>
    </row>
    <row r="275" spans="1:25" s="27" customFormat="1" x14ac:dyDescent="0.25">
      <c r="A275" s="26">
        <v>42992</v>
      </c>
      <c r="B275" s="92" t="str">
        <f t="shared" si="4"/>
        <v>Thu</v>
      </c>
      <c r="C275" s="27" t="s">
        <v>118</v>
      </c>
      <c r="D275" s="27">
        <v>38.047809999999998</v>
      </c>
      <c r="E275" s="27">
        <v>-122.30086</v>
      </c>
      <c r="F275" s="27" t="s">
        <v>7916</v>
      </c>
      <c r="G275" s="27" t="s">
        <v>80</v>
      </c>
      <c r="H275" s="27" t="s">
        <v>123</v>
      </c>
      <c r="I275" s="30">
        <v>0.31388888888888888</v>
      </c>
      <c r="J275" s="13">
        <f>AVERAGE(33790,34487,35030,34832,36082,36245,36224,37495)</f>
        <v>35523.125</v>
      </c>
      <c r="K275" s="13">
        <f>AVERAGE(26,25.7,25.6,25.6,25.4,25.3,25.3,25.6)</f>
        <v>25.562500000000004</v>
      </c>
      <c r="L275" s="13">
        <f>AVERAGE(16.9,16.3,15.4,12.6,11.9,11.7,10.6,10.5)</f>
        <v>13.237500000000001</v>
      </c>
      <c r="M275" s="13">
        <f>AVERAGE(0.81,0.79,0.84,0.84,0.82,0.87,0.92,0.85)</f>
        <v>0.84249999999999992</v>
      </c>
      <c r="N275" s="90" t="s">
        <v>50</v>
      </c>
      <c r="O275" s="14" t="s">
        <v>48</v>
      </c>
      <c r="P275" s="32">
        <v>8</v>
      </c>
      <c r="Q275" s="32">
        <v>10</v>
      </c>
      <c r="R275" s="32" t="s">
        <v>64</v>
      </c>
      <c r="S275" s="32" t="s">
        <v>50</v>
      </c>
      <c r="T275" s="79" t="s">
        <v>50</v>
      </c>
      <c r="U275" s="79" t="s">
        <v>50</v>
      </c>
      <c r="V275" s="32" t="s">
        <v>50</v>
      </c>
      <c r="W275" s="32" t="s">
        <v>50</v>
      </c>
      <c r="X275" s="32" t="s">
        <v>50</v>
      </c>
      <c r="Y275" s="35"/>
    </row>
    <row r="276" spans="1:25" s="27" customFormat="1" x14ac:dyDescent="0.25">
      <c r="A276" s="26">
        <v>42992</v>
      </c>
      <c r="B276" s="92" t="str">
        <f t="shared" si="4"/>
        <v>Thu</v>
      </c>
      <c r="C276" s="27" t="s">
        <v>95</v>
      </c>
      <c r="D276" s="27">
        <v>38.023159999999997</v>
      </c>
      <c r="E276" s="27">
        <v>-121.77271</v>
      </c>
      <c r="F276" s="27" t="s">
        <v>7917</v>
      </c>
      <c r="G276" s="27" t="s">
        <v>27</v>
      </c>
      <c r="H276" s="27" t="s">
        <v>95</v>
      </c>
      <c r="I276" s="30">
        <v>0.3347222222222222</v>
      </c>
      <c r="J276" s="31">
        <v>202.44</v>
      </c>
      <c r="K276" s="31">
        <v>22.72</v>
      </c>
      <c r="L276" s="31">
        <v>7.8360000000000003</v>
      </c>
      <c r="M276" s="31">
        <v>1.18</v>
      </c>
      <c r="N276" s="90" t="s">
        <v>50</v>
      </c>
      <c r="O276" s="32" t="s">
        <v>48</v>
      </c>
      <c r="P276" s="32">
        <v>5</v>
      </c>
      <c r="Q276" s="32">
        <v>5</v>
      </c>
      <c r="R276" s="32" t="s">
        <v>64</v>
      </c>
      <c r="S276" s="32" t="s">
        <v>50</v>
      </c>
      <c r="T276" s="79" t="s">
        <v>50</v>
      </c>
      <c r="U276" s="79" t="s">
        <v>50</v>
      </c>
      <c r="V276" s="32" t="s">
        <v>50</v>
      </c>
      <c r="W276" s="32" t="s">
        <v>50</v>
      </c>
      <c r="X276" s="32" t="s">
        <v>50</v>
      </c>
      <c r="Y276" s="35"/>
    </row>
    <row r="277" spans="1:25" s="27" customFormat="1" x14ac:dyDescent="0.25">
      <c r="A277" s="26">
        <v>42992</v>
      </c>
      <c r="B277" s="92" t="str">
        <f t="shared" si="4"/>
        <v>Thu</v>
      </c>
      <c r="C277" s="27" t="s">
        <v>95</v>
      </c>
      <c r="D277" s="27">
        <v>38.03445</v>
      </c>
      <c r="E277" s="27">
        <v>-121.84977000000001</v>
      </c>
      <c r="F277" s="27" t="s">
        <v>7918</v>
      </c>
      <c r="G277" s="27" t="s">
        <v>27</v>
      </c>
      <c r="H277" s="27" t="s">
        <v>95</v>
      </c>
      <c r="I277" s="30">
        <v>0.37916666666666665</v>
      </c>
      <c r="J277" s="31">
        <v>682.24</v>
      </c>
      <c r="K277" s="31">
        <v>22.38</v>
      </c>
      <c r="L277" s="31">
        <v>22.22</v>
      </c>
      <c r="M277" s="31">
        <v>0.57199999999999995</v>
      </c>
      <c r="N277" s="90" t="s">
        <v>50</v>
      </c>
      <c r="O277" s="32" t="s">
        <v>48</v>
      </c>
      <c r="P277" s="32">
        <v>5</v>
      </c>
      <c r="Q277" s="32">
        <v>5</v>
      </c>
      <c r="R277" s="32" t="s">
        <v>49</v>
      </c>
      <c r="S277" s="32" t="s">
        <v>50</v>
      </c>
      <c r="T277" s="79" t="s">
        <v>50</v>
      </c>
      <c r="U277" s="79" t="s">
        <v>50</v>
      </c>
      <c r="V277" s="32" t="s">
        <v>50</v>
      </c>
      <c r="W277" s="32" t="s">
        <v>50</v>
      </c>
      <c r="X277" s="32" t="s">
        <v>50</v>
      </c>
      <c r="Y277" s="35"/>
    </row>
    <row r="278" spans="1:25" s="27" customFormat="1" x14ac:dyDescent="0.25">
      <c r="A278" s="26">
        <v>42992</v>
      </c>
      <c r="B278" s="92" t="str">
        <f t="shared" si="4"/>
        <v>Thu</v>
      </c>
      <c r="C278" s="27" t="s">
        <v>6849</v>
      </c>
      <c r="D278" s="27">
        <v>38.197920000000003</v>
      </c>
      <c r="E278" s="27">
        <v>-121.61336</v>
      </c>
      <c r="F278" s="27" t="s">
        <v>7919</v>
      </c>
      <c r="G278" s="27" t="s">
        <v>90</v>
      </c>
      <c r="H278" s="27" t="s">
        <v>6851</v>
      </c>
      <c r="I278" s="30">
        <v>0.32361111111111113</v>
      </c>
      <c r="J278" s="31">
        <v>124.35</v>
      </c>
      <c r="K278" s="31">
        <v>20.487500000000001</v>
      </c>
      <c r="L278" s="31">
        <v>15.737500000000001</v>
      </c>
      <c r="M278" s="31">
        <v>0.92625000000000002</v>
      </c>
      <c r="N278" s="90" t="s">
        <v>50</v>
      </c>
      <c r="O278" s="32" t="s">
        <v>48</v>
      </c>
      <c r="P278" s="32">
        <v>8</v>
      </c>
      <c r="Q278" s="32">
        <v>10</v>
      </c>
      <c r="R278" s="32" t="s">
        <v>49</v>
      </c>
      <c r="S278" s="32" t="s">
        <v>50</v>
      </c>
      <c r="T278" s="79" t="s">
        <v>50</v>
      </c>
      <c r="U278" s="79" t="s">
        <v>50</v>
      </c>
      <c r="V278" s="32" t="s">
        <v>50</v>
      </c>
      <c r="W278" s="32" t="s">
        <v>50</v>
      </c>
      <c r="X278" s="32" t="s">
        <v>50</v>
      </c>
      <c r="Y278" s="35"/>
    </row>
    <row r="279" spans="1:25" s="108" customFormat="1" ht="15.75" thickBot="1" x14ac:dyDescent="0.3">
      <c r="A279" s="126">
        <v>42992</v>
      </c>
      <c r="B279" s="107" t="str">
        <f t="shared" si="4"/>
        <v>Thu</v>
      </c>
      <c r="C279" s="108" t="s">
        <v>6849</v>
      </c>
      <c r="D279" s="108">
        <v>38.314300000000003</v>
      </c>
      <c r="E279" s="108">
        <v>-121.57743000000001</v>
      </c>
      <c r="F279" s="108" t="s">
        <v>7920</v>
      </c>
      <c r="G279" s="108" t="s">
        <v>90</v>
      </c>
      <c r="H279" s="108" t="s">
        <v>6851</v>
      </c>
      <c r="I279" s="122">
        <v>0.44861111111111113</v>
      </c>
      <c r="J279" s="123">
        <v>134.57499999999999</v>
      </c>
      <c r="K279" s="123">
        <v>20.65</v>
      </c>
      <c r="L279" s="123">
        <v>16.05</v>
      </c>
      <c r="M279" s="123">
        <v>1.0049999999999999</v>
      </c>
      <c r="N279" s="125" t="s">
        <v>50</v>
      </c>
      <c r="O279" s="118" t="s">
        <v>48</v>
      </c>
      <c r="P279" s="118">
        <v>8</v>
      </c>
      <c r="Q279" s="118">
        <v>10</v>
      </c>
      <c r="R279" s="118" t="s">
        <v>49</v>
      </c>
      <c r="S279" s="118" t="s">
        <v>50</v>
      </c>
      <c r="T279" s="119" t="s">
        <v>50</v>
      </c>
      <c r="U279" s="119" t="s">
        <v>50</v>
      </c>
      <c r="V279" s="118" t="s">
        <v>50</v>
      </c>
      <c r="W279" s="118" t="s">
        <v>50</v>
      </c>
      <c r="X279" s="118" t="s">
        <v>50</v>
      </c>
      <c r="Y279" s="113"/>
    </row>
    <row r="280" spans="1:25" s="27" customFormat="1" ht="15.75" thickTop="1" x14ac:dyDescent="0.25">
      <c r="A280" s="26">
        <v>42996</v>
      </c>
      <c r="B280" s="92" t="str">
        <f t="shared" si="4"/>
        <v>Mon</v>
      </c>
      <c r="C280" s="27" t="s">
        <v>95</v>
      </c>
      <c r="D280" s="27">
        <v>38.036070000000002</v>
      </c>
      <c r="E280" s="27">
        <v>-121.8503</v>
      </c>
      <c r="F280" s="27" t="s">
        <v>7921</v>
      </c>
      <c r="G280" s="27" t="s">
        <v>27</v>
      </c>
      <c r="H280" s="27" t="s">
        <v>95</v>
      </c>
      <c r="I280" s="120">
        <v>0.36874999999999997</v>
      </c>
      <c r="J280" s="121">
        <v>470.04</v>
      </c>
      <c r="K280" s="121">
        <v>21.56</v>
      </c>
      <c r="L280" s="121">
        <v>18.68</v>
      </c>
      <c r="M280" s="121">
        <v>0.71399999999999997</v>
      </c>
      <c r="N280" s="90" t="s">
        <v>50</v>
      </c>
      <c r="O280" s="33" t="s">
        <v>48</v>
      </c>
      <c r="P280" s="33">
        <v>5</v>
      </c>
      <c r="Q280" s="33">
        <v>5</v>
      </c>
      <c r="R280" s="33" t="s">
        <v>49</v>
      </c>
      <c r="S280" s="33" t="s">
        <v>50</v>
      </c>
      <c r="T280" s="116" t="s">
        <v>50</v>
      </c>
      <c r="U280" s="116" t="s">
        <v>50</v>
      </c>
      <c r="V280" s="33" t="s">
        <v>50</v>
      </c>
      <c r="W280" s="33" t="s">
        <v>50</v>
      </c>
      <c r="X280" s="33" t="s">
        <v>50</v>
      </c>
      <c r="Y280" s="35"/>
    </row>
    <row r="281" spans="1:25" s="27" customFormat="1" x14ac:dyDescent="0.25">
      <c r="A281" s="26">
        <v>42996</v>
      </c>
      <c r="B281" s="92" t="str">
        <f t="shared" si="4"/>
        <v>Mon</v>
      </c>
      <c r="C281" s="27" t="s">
        <v>95</v>
      </c>
      <c r="D281" s="27">
        <v>38.024070000000002</v>
      </c>
      <c r="E281" s="27">
        <v>-121.78677</v>
      </c>
      <c r="F281" s="27" t="s">
        <v>7922</v>
      </c>
      <c r="G281" s="27" t="s">
        <v>27</v>
      </c>
      <c r="H281" s="27" t="s">
        <v>95</v>
      </c>
      <c r="I281" s="30">
        <v>0.41597222222222219</v>
      </c>
      <c r="J281" s="31">
        <v>220.9</v>
      </c>
      <c r="K281" s="31">
        <v>21.82</v>
      </c>
      <c r="L281" s="31">
        <v>11.22</v>
      </c>
      <c r="M281" s="31">
        <v>1.052</v>
      </c>
      <c r="N281" s="90" t="s">
        <v>50</v>
      </c>
      <c r="O281" s="32" t="s">
        <v>48</v>
      </c>
      <c r="P281" s="32">
        <v>5</v>
      </c>
      <c r="Q281" s="32">
        <v>5</v>
      </c>
      <c r="R281" s="32" t="s">
        <v>49</v>
      </c>
      <c r="S281" s="32" t="s">
        <v>50</v>
      </c>
      <c r="T281" s="79" t="s">
        <v>50</v>
      </c>
      <c r="U281" s="79" t="s">
        <v>50</v>
      </c>
      <c r="V281" s="32" t="s">
        <v>50</v>
      </c>
      <c r="W281" s="32" t="s">
        <v>50</v>
      </c>
      <c r="X281" s="32" t="s">
        <v>50</v>
      </c>
      <c r="Y281" s="35"/>
    </row>
    <row r="282" spans="1:25" s="27" customFormat="1" x14ac:dyDescent="0.25">
      <c r="A282" s="26">
        <v>42996</v>
      </c>
      <c r="B282" s="92" t="str">
        <f t="shared" si="4"/>
        <v>Mon</v>
      </c>
      <c r="C282" s="27" t="s">
        <v>88</v>
      </c>
      <c r="D282" s="27">
        <v>38.067950000000003</v>
      </c>
      <c r="E282" s="27">
        <v>-121.85263</v>
      </c>
      <c r="F282" s="27" t="s">
        <v>7923</v>
      </c>
      <c r="G282" s="27" t="s">
        <v>27</v>
      </c>
      <c r="H282" s="27" t="s">
        <v>25</v>
      </c>
      <c r="I282" s="30">
        <v>0.40625</v>
      </c>
      <c r="J282" s="31">
        <v>170.65</v>
      </c>
      <c r="K282" s="31">
        <v>20.9</v>
      </c>
      <c r="L282" s="31">
        <v>18</v>
      </c>
      <c r="M282" s="31">
        <v>0.56999999999999995</v>
      </c>
      <c r="N282" s="90" t="s">
        <v>50</v>
      </c>
      <c r="O282" s="32" t="s">
        <v>48</v>
      </c>
      <c r="P282" s="32">
        <v>2</v>
      </c>
      <c r="Q282" s="32">
        <v>5</v>
      </c>
      <c r="R282" s="32" t="s">
        <v>64</v>
      </c>
      <c r="S282" s="32" t="s">
        <v>323</v>
      </c>
      <c r="T282" s="79">
        <v>15</v>
      </c>
      <c r="U282" s="79" t="s">
        <v>5971</v>
      </c>
      <c r="V282" s="32" t="s">
        <v>66</v>
      </c>
      <c r="W282" s="32" t="s">
        <v>50</v>
      </c>
      <c r="X282" s="32" t="s">
        <v>50</v>
      </c>
      <c r="Y282" s="35" t="s">
        <v>7924</v>
      </c>
    </row>
    <row r="283" spans="1:25" s="27" customFormat="1" x14ac:dyDescent="0.25">
      <c r="A283" s="26">
        <v>42996</v>
      </c>
      <c r="B283" s="92" t="str">
        <f t="shared" si="4"/>
        <v>Mon</v>
      </c>
      <c r="C283" s="27" t="s">
        <v>88</v>
      </c>
      <c r="D283" s="27">
        <v>38.054510000000001</v>
      </c>
      <c r="E283" s="27">
        <v>-121.86866999999999</v>
      </c>
      <c r="F283" s="27" t="s">
        <v>7925</v>
      </c>
      <c r="G283" s="27" t="s">
        <v>27</v>
      </c>
      <c r="H283" s="27" t="s">
        <v>25</v>
      </c>
      <c r="I283" s="30">
        <v>0.46388888888888885</v>
      </c>
      <c r="J283" s="31">
        <v>440.5</v>
      </c>
      <c r="K283" s="31">
        <v>21.4</v>
      </c>
      <c r="L283" s="31">
        <v>19.649999999999999</v>
      </c>
      <c r="M283" s="31">
        <v>0.53</v>
      </c>
      <c r="N283" s="90" t="s">
        <v>50</v>
      </c>
      <c r="O283" s="32" t="s">
        <v>48</v>
      </c>
      <c r="P283" s="32">
        <v>2</v>
      </c>
      <c r="Q283" s="32">
        <v>5</v>
      </c>
      <c r="R283" s="32" t="s">
        <v>64</v>
      </c>
      <c r="S283" s="32" t="s">
        <v>323</v>
      </c>
      <c r="T283" s="79">
        <v>2</v>
      </c>
      <c r="U283" s="79" t="s">
        <v>7708</v>
      </c>
      <c r="V283" s="32" t="s">
        <v>66</v>
      </c>
      <c r="W283" s="32" t="s">
        <v>50</v>
      </c>
      <c r="X283" s="32" t="s">
        <v>50</v>
      </c>
      <c r="Y283" s="35" t="s">
        <v>7926</v>
      </c>
    </row>
    <row r="284" spans="1:25" s="27" customFormat="1" x14ac:dyDescent="0.25">
      <c r="A284" s="26">
        <v>42996</v>
      </c>
      <c r="B284" s="92" t="str">
        <f t="shared" si="4"/>
        <v>Mon</v>
      </c>
      <c r="C284" s="27" t="s">
        <v>118</v>
      </c>
      <c r="D284" s="27">
        <v>38.187060000000002</v>
      </c>
      <c r="E284" s="27">
        <v>-122.31279000000001</v>
      </c>
      <c r="F284" s="27" t="s">
        <v>7927</v>
      </c>
      <c r="G284" s="27" t="s">
        <v>80</v>
      </c>
      <c r="H284" s="27" t="s">
        <v>191</v>
      </c>
      <c r="I284" s="30">
        <v>0.40486111111111112</v>
      </c>
      <c r="J284" s="31">
        <v>23504.5</v>
      </c>
      <c r="K284" s="31">
        <v>20.05</v>
      </c>
      <c r="L284" s="31">
        <v>47.7</v>
      </c>
      <c r="M284" s="31">
        <v>0.28999999999999998</v>
      </c>
      <c r="N284" s="90" t="s">
        <v>50</v>
      </c>
      <c r="O284" s="32" t="s">
        <v>48</v>
      </c>
      <c r="P284" s="32">
        <v>2</v>
      </c>
      <c r="Q284" s="32">
        <v>10</v>
      </c>
      <c r="R284" s="32" t="s">
        <v>64</v>
      </c>
      <c r="S284" s="32" t="s">
        <v>323</v>
      </c>
      <c r="T284" s="79">
        <v>1</v>
      </c>
      <c r="U284" s="79">
        <v>53</v>
      </c>
      <c r="V284" s="32" t="s">
        <v>66</v>
      </c>
      <c r="W284" s="32" t="s">
        <v>50</v>
      </c>
      <c r="X284" s="32" t="s">
        <v>50</v>
      </c>
      <c r="Y284" s="35"/>
    </row>
    <row r="285" spans="1:25" s="27" customFormat="1" x14ac:dyDescent="0.25">
      <c r="A285" s="26">
        <v>42996</v>
      </c>
      <c r="B285" s="92" t="str">
        <f t="shared" si="4"/>
        <v>Mon</v>
      </c>
      <c r="C285" s="27" t="s">
        <v>118</v>
      </c>
      <c r="D285" s="27">
        <v>38.132269999999998</v>
      </c>
      <c r="E285" s="27">
        <v>-122.28279000000001</v>
      </c>
      <c r="F285" s="27" t="s">
        <v>7928</v>
      </c>
      <c r="G285" s="27" t="s">
        <v>80</v>
      </c>
      <c r="H285" s="27" t="s">
        <v>191</v>
      </c>
      <c r="I285" s="30">
        <v>0.45208333333333334</v>
      </c>
      <c r="J285" s="31">
        <v>20332.38</v>
      </c>
      <c r="K285" s="31">
        <v>20.824999999999999</v>
      </c>
      <c r="L285" s="31">
        <v>55.212499999999999</v>
      </c>
      <c r="M285" s="31">
        <v>0.3</v>
      </c>
      <c r="N285" s="90" t="s">
        <v>50</v>
      </c>
      <c r="O285" s="32" t="s">
        <v>48</v>
      </c>
      <c r="P285" s="32">
        <v>8</v>
      </c>
      <c r="Q285" s="32">
        <v>10</v>
      </c>
      <c r="R285" s="32" t="s">
        <v>64</v>
      </c>
      <c r="S285" s="32" t="s">
        <v>50</v>
      </c>
      <c r="T285" s="79" t="s">
        <v>50</v>
      </c>
      <c r="U285" s="79" t="s">
        <v>50</v>
      </c>
      <c r="V285" s="32" t="s">
        <v>50</v>
      </c>
      <c r="W285" s="32" t="s">
        <v>50</v>
      </c>
      <c r="X285" s="32" t="s">
        <v>50</v>
      </c>
      <c r="Y285" s="35" t="s">
        <v>7929</v>
      </c>
    </row>
    <row r="286" spans="1:25" s="27" customFormat="1" x14ac:dyDescent="0.25">
      <c r="A286" s="26">
        <v>42997</v>
      </c>
      <c r="B286" s="92" t="str">
        <f t="shared" si="4"/>
        <v>Tue</v>
      </c>
      <c r="C286" s="27" t="s">
        <v>118</v>
      </c>
      <c r="D286" s="27">
        <v>38.043810000000001</v>
      </c>
      <c r="E286" s="27">
        <v>-122.10451999999999</v>
      </c>
      <c r="F286" s="27" t="s">
        <v>7930</v>
      </c>
      <c r="G286" s="27" t="s">
        <v>80</v>
      </c>
      <c r="H286" s="27" t="s">
        <v>81</v>
      </c>
      <c r="I286" s="30">
        <v>0.32361111111111113</v>
      </c>
      <c r="J286" s="31">
        <v>11256.33</v>
      </c>
      <c r="K286" s="31">
        <v>20.316669999999998</v>
      </c>
      <c r="L286" s="31">
        <v>107.91670000000001</v>
      </c>
      <c r="M286" s="31">
        <v>0.28000000000000003</v>
      </c>
      <c r="N286" s="90" t="s">
        <v>50</v>
      </c>
      <c r="O286" s="32" t="s">
        <v>48</v>
      </c>
      <c r="P286" s="32">
        <v>6</v>
      </c>
      <c r="Q286" s="32">
        <v>10</v>
      </c>
      <c r="R286" s="32" t="s">
        <v>49</v>
      </c>
      <c r="S286" s="32" t="s">
        <v>323</v>
      </c>
      <c r="T286" s="79">
        <v>1</v>
      </c>
      <c r="U286" s="79">
        <v>46</v>
      </c>
      <c r="V286" s="32" t="s">
        <v>66</v>
      </c>
      <c r="W286" s="32" t="s">
        <v>50</v>
      </c>
      <c r="X286" s="32" t="s">
        <v>50</v>
      </c>
      <c r="Y286" s="35" t="s">
        <v>7931</v>
      </c>
    </row>
    <row r="287" spans="1:25" s="27" customFormat="1" x14ac:dyDescent="0.25">
      <c r="A287" s="26">
        <v>42997</v>
      </c>
      <c r="B287" s="92" t="str">
        <f t="shared" si="4"/>
        <v>Tue</v>
      </c>
      <c r="C287" s="27" t="s">
        <v>118</v>
      </c>
      <c r="D287" s="27">
        <v>38.054119999999998</v>
      </c>
      <c r="E287" s="27">
        <v>-122.09403</v>
      </c>
      <c r="F287" s="27" t="s">
        <v>7932</v>
      </c>
      <c r="G287" s="27" t="s">
        <v>80</v>
      </c>
      <c r="H287" s="27" t="s">
        <v>81</v>
      </c>
      <c r="I287" s="30">
        <v>0.40625</v>
      </c>
      <c r="J287" s="31">
        <v>6894.25</v>
      </c>
      <c r="K287" s="31">
        <v>20.5625</v>
      </c>
      <c r="L287" s="31">
        <v>56.762500000000003</v>
      </c>
      <c r="M287" s="31">
        <v>0.32874999999999999</v>
      </c>
      <c r="N287" s="90" t="s">
        <v>50</v>
      </c>
      <c r="O287" s="32" t="s">
        <v>48</v>
      </c>
      <c r="P287" s="32">
        <v>8</v>
      </c>
      <c r="Q287" s="32">
        <v>10</v>
      </c>
      <c r="R287" s="32" t="s">
        <v>64</v>
      </c>
      <c r="S287" s="32" t="s">
        <v>50</v>
      </c>
      <c r="T287" s="79" t="s">
        <v>50</v>
      </c>
      <c r="U287" s="79" t="s">
        <v>50</v>
      </c>
      <c r="V287" s="32" t="s">
        <v>50</v>
      </c>
      <c r="W287" s="32" t="s">
        <v>50</v>
      </c>
      <c r="X287" s="32" t="s">
        <v>50</v>
      </c>
      <c r="Y287" s="35"/>
    </row>
    <row r="288" spans="1:25" s="27" customFormat="1" x14ac:dyDescent="0.25">
      <c r="A288" s="26">
        <v>42997</v>
      </c>
      <c r="B288" s="92" t="str">
        <f t="shared" si="4"/>
        <v>Tue</v>
      </c>
      <c r="C288" s="27" t="s">
        <v>106</v>
      </c>
      <c r="D288" s="27">
        <v>38.533720000000002</v>
      </c>
      <c r="E288" s="27">
        <v>-121.58414</v>
      </c>
      <c r="F288" s="27" t="s">
        <v>7933</v>
      </c>
      <c r="G288" s="27" t="s">
        <v>90</v>
      </c>
      <c r="H288" s="27" t="s">
        <v>7577</v>
      </c>
      <c r="I288" s="30">
        <v>0.36458333333333331</v>
      </c>
      <c r="J288" s="31">
        <v>781.8</v>
      </c>
      <c r="K288" s="31">
        <v>23.24</v>
      </c>
      <c r="L288" s="31">
        <v>12.9</v>
      </c>
      <c r="M288" s="31">
        <v>0.66400000000000003</v>
      </c>
      <c r="N288" s="90" t="s">
        <v>50</v>
      </c>
      <c r="O288" s="32" t="s">
        <v>48</v>
      </c>
      <c r="P288" s="32">
        <v>5</v>
      </c>
      <c r="Q288" s="32">
        <v>5</v>
      </c>
      <c r="R288" s="32" t="s">
        <v>49</v>
      </c>
      <c r="S288" s="32" t="s">
        <v>50</v>
      </c>
      <c r="T288" s="79" t="s">
        <v>50</v>
      </c>
      <c r="U288" s="79" t="s">
        <v>50</v>
      </c>
      <c r="V288" s="32" t="s">
        <v>50</v>
      </c>
      <c r="W288" s="32" t="s">
        <v>50</v>
      </c>
      <c r="X288" s="32" t="s">
        <v>50</v>
      </c>
      <c r="Y288" s="35" t="s">
        <v>7934</v>
      </c>
    </row>
    <row r="289" spans="1:25" s="27" customFormat="1" x14ac:dyDescent="0.25">
      <c r="A289" s="26">
        <v>42997</v>
      </c>
      <c r="B289" s="92" t="str">
        <f t="shared" si="4"/>
        <v>Tue</v>
      </c>
      <c r="C289" s="27" t="s">
        <v>106</v>
      </c>
      <c r="D289" s="27">
        <v>38.490369999999999</v>
      </c>
      <c r="E289" s="27">
        <v>-121.58459999999999</v>
      </c>
      <c r="F289" s="27" t="s">
        <v>7935</v>
      </c>
      <c r="G289" s="27" t="s">
        <v>90</v>
      </c>
      <c r="H289" s="27" t="s">
        <v>7577</v>
      </c>
      <c r="I289" s="30">
        <v>0.41180555555555554</v>
      </c>
      <c r="J289" s="31">
        <v>753.8</v>
      </c>
      <c r="K289" s="31">
        <v>22.8</v>
      </c>
      <c r="L289" s="31">
        <v>52.5</v>
      </c>
      <c r="M289" s="31">
        <v>0.46600000000000003</v>
      </c>
      <c r="N289" s="90" t="s">
        <v>50</v>
      </c>
      <c r="O289" s="32" t="s">
        <v>48</v>
      </c>
      <c r="P289" s="32">
        <v>5</v>
      </c>
      <c r="Q289" s="32">
        <v>5</v>
      </c>
      <c r="R289" s="32" t="s">
        <v>49</v>
      </c>
      <c r="S289" s="32" t="s">
        <v>50</v>
      </c>
      <c r="T289" s="79" t="s">
        <v>50</v>
      </c>
      <c r="U289" s="79" t="s">
        <v>50</v>
      </c>
      <c r="V289" s="32" t="s">
        <v>50</v>
      </c>
      <c r="W289" s="32" t="s">
        <v>50</v>
      </c>
      <c r="X289" s="32" t="s">
        <v>50</v>
      </c>
      <c r="Y289" s="35" t="s">
        <v>7934</v>
      </c>
    </row>
    <row r="290" spans="1:25" s="27" customFormat="1" x14ac:dyDescent="0.25">
      <c r="A290" s="26">
        <v>42997</v>
      </c>
      <c r="B290" s="92" t="str">
        <f t="shared" si="4"/>
        <v>Tue</v>
      </c>
      <c r="C290" s="27" t="s">
        <v>44</v>
      </c>
      <c r="D290" s="27">
        <v>38.088549999999998</v>
      </c>
      <c r="E290" s="27">
        <v>-121.57436</v>
      </c>
      <c r="F290" s="27" t="s">
        <v>7936</v>
      </c>
      <c r="G290" s="27" t="s">
        <v>46</v>
      </c>
      <c r="H290" s="27" t="s">
        <v>115</v>
      </c>
      <c r="I290" s="30">
        <v>0.32013888888888892</v>
      </c>
      <c r="J290" s="31">
        <v>122.925</v>
      </c>
      <c r="K290" s="31">
        <v>21.175000000000001</v>
      </c>
      <c r="L290" s="31">
        <v>5.84375</v>
      </c>
      <c r="M290" s="31">
        <v>1.4837499999999999</v>
      </c>
      <c r="N290" s="90" t="s">
        <v>50</v>
      </c>
      <c r="O290" s="32" t="s">
        <v>48</v>
      </c>
      <c r="P290" s="32">
        <v>8</v>
      </c>
      <c r="Q290" s="32">
        <v>10</v>
      </c>
      <c r="R290" s="32" t="s">
        <v>49</v>
      </c>
      <c r="S290" s="32" t="s">
        <v>50</v>
      </c>
      <c r="T290" s="79" t="s">
        <v>50</v>
      </c>
      <c r="U290" s="79" t="s">
        <v>50</v>
      </c>
      <c r="V290" s="32" t="s">
        <v>50</v>
      </c>
      <c r="W290" s="32" t="s">
        <v>50</v>
      </c>
      <c r="X290" s="32" t="s">
        <v>50</v>
      </c>
      <c r="Y290" s="35"/>
    </row>
    <row r="291" spans="1:25" s="27" customFormat="1" x14ac:dyDescent="0.25">
      <c r="A291" s="26">
        <v>42997</v>
      </c>
      <c r="B291" s="92" t="str">
        <f t="shared" si="4"/>
        <v>Tue</v>
      </c>
      <c r="C291" s="27" t="s">
        <v>44</v>
      </c>
      <c r="D291" s="27">
        <v>38.087200000000003</v>
      </c>
      <c r="E291" s="27">
        <v>-121.57558</v>
      </c>
      <c r="F291" s="27" t="s">
        <v>7937</v>
      </c>
      <c r="G291" s="27" t="s">
        <v>46</v>
      </c>
      <c r="H291" s="27" t="s">
        <v>115</v>
      </c>
      <c r="I291" s="30">
        <v>0.42569444444444443</v>
      </c>
      <c r="J291" s="31">
        <v>118.25</v>
      </c>
      <c r="K291" s="31">
        <v>21.3</v>
      </c>
      <c r="L291" s="31">
        <v>8.6624999999999996</v>
      </c>
      <c r="M291" s="31">
        <v>1.4237500000000001</v>
      </c>
      <c r="N291" s="90" t="s">
        <v>50</v>
      </c>
      <c r="O291" s="32" t="s">
        <v>48</v>
      </c>
      <c r="P291" s="32">
        <v>8</v>
      </c>
      <c r="Q291" s="32">
        <v>10</v>
      </c>
      <c r="R291" s="32" t="s">
        <v>49</v>
      </c>
      <c r="S291" s="32" t="s">
        <v>50</v>
      </c>
      <c r="T291" s="79" t="s">
        <v>50</v>
      </c>
      <c r="U291" s="79" t="s">
        <v>50</v>
      </c>
      <c r="V291" s="32" t="s">
        <v>50</v>
      </c>
      <c r="W291" s="32" t="s">
        <v>50</v>
      </c>
      <c r="X291" s="32" t="s">
        <v>50</v>
      </c>
      <c r="Y291" s="35"/>
    </row>
    <row r="292" spans="1:25" s="27" customFormat="1" x14ac:dyDescent="0.25">
      <c r="A292" s="26">
        <v>42998</v>
      </c>
      <c r="B292" s="92" t="str">
        <f t="shared" si="4"/>
        <v>Wed</v>
      </c>
      <c r="C292" s="27" t="s">
        <v>95</v>
      </c>
      <c r="D292" s="27">
        <v>38.04316</v>
      </c>
      <c r="E292" s="27">
        <v>-121.71422</v>
      </c>
      <c r="F292" s="27" t="s">
        <v>7938</v>
      </c>
      <c r="G292" s="27" t="s">
        <v>27</v>
      </c>
      <c r="H292" s="27" t="s">
        <v>95</v>
      </c>
      <c r="I292" s="30">
        <v>0.34652777777777777</v>
      </c>
      <c r="J292" s="31">
        <v>194.2</v>
      </c>
      <c r="K292" s="31">
        <v>21.08</v>
      </c>
      <c r="L292" s="31">
        <v>10.978</v>
      </c>
      <c r="M292" s="31">
        <v>0.95599999999999996</v>
      </c>
      <c r="N292" s="90" t="s">
        <v>50</v>
      </c>
      <c r="O292" s="32" t="s">
        <v>48</v>
      </c>
      <c r="P292" s="32">
        <v>5</v>
      </c>
      <c r="Q292" s="32">
        <v>5</v>
      </c>
      <c r="R292" s="32" t="s">
        <v>49</v>
      </c>
      <c r="S292" s="32" t="s">
        <v>50</v>
      </c>
      <c r="T292" s="79" t="s">
        <v>50</v>
      </c>
      <c r="U292" s="79" t="s">
        <v>50</v>
      </c>
      <c r="V292" s="32" t="s">
        <v>50</v>
      </c>
      <c r="W292" s="32" t="s">
        <v>50</v>
      </c>
      <c r="X292" s="32" t="s">
        <v>50</v>
      </c>
      <c r="Y292" s="35" t="s">
        <v>7939</v>
      </c>
    </row>
    <row r="293" spans="1:25" s="27" customFormat="1" x14ac:dyDescent="0.25">
      <c r="A293" s="26">
        <v>42998</v>
      </c>
      <c r="B293" s="92" t="str">
        <f t="shared" si="4"/>
        <v>Wed</v>
      </c>
      <c r="C293" s="27" t="s">
        <v>95</v>
      </c>
      <c r="D293" s="27">
        <v>38.094160000000002</v>
      </c>
      <c r="E293" s="27">
        <v>-121.62362</v>
      </c>
      <c r="F293" s="27" t="s">
        <v>7940</v>
      </c>
      <c r="G293" s="27" t="s">
        <v>46</v>
      </c>
      <c r="H293" s="27" t="s">
        <v>97</v>
      </c>
      <c r="I293" s="30">
        <v>0.40902777777777777</v>
      </c>
      <c r="J293" s="31">
        <v>124.34</v>
      </c>
      <c r="K293" s="31">
        <v>20.94</v>
      </c>
      <c r="L293" s="31">
        <v>9.8040000000000003</v>
      </c>
      <c r="M293" s="31">
        <v>1.1180000000000001</v>
      </c>
      <c r="N293" s="90" t="s">
        <v>50</v>
      </c>
      <c r="O293" s="32" t="s">
        <v>48</v>
      </c>
      <c r="P293" s="32">
        <v>5</v>
      </c>
      <c r="Q293" s="32">
        <v>5</v>
      </c>
      <c r="R293" s="32" t="s">
        <v>49</v>
      </c>
      <c r="S293" s="32" t="s">
        <v>50</v>
      </c>
      <c r="T293" s="79" t="s">
        <v>50</v>
      </c>
      <c r="U293" s="79" t="s">
        <v>50</v>
      </c>
      <c r="V293" s="32" t="s">
        <v>50</v>
      </c>
      <c r="W293" s="32" t="s">
        <v>50</v>
      </c>
      <c r="X293" s="32" t="s">
        <v>50</v>
      </c>
      <c r="Y293" s="35"/>
    </row>
    <row r="294" spans="1:25" s="27" customFormat="1" x14ac:dyDescent="0.25">
      <c r="A294" s="26">
        <v>42998</v>
      </c>
      <c r="B294" s="92" t="str">
        <f t="shared" si="4"/>
        <v>Wed</v>
      </c>
      <c r="C294" s="27" t="s">
        <v>7570</v>
      </c>
      <c r="D294" s="27">
        <v>38.164920000000002</v>
      </c>
      <c r="E294" s="27">
        <v>-122.04355</v>
      </c>
      <c r="F294" s="27" t="s">
        <v>7941</v>
      </c>
      <c r="G294" s="27" t="s">
        <v>27</v>
      </c>
      <c r="H294" s="27" t="s">
        <v>62</v>
      </c>
      <c r="I294" s="30">
        <v>0.47222222222222227</v>
      </c>
      <c r="J294" s="31">
        <v>7261.3329999999996</v>
      </c>
      <c r="K294" s="31">
        <v>20.6</v>
      </c>
      <c r="L294" s="31">
        <v>60.166670000000003</v>
      </c>
      <c r="M294" s="31">
        <v>0.31333299999999997</v>
      </c>
      <c r="N294" s="90" t="s">
        <v>50</v>
      </c>
      <c r="O294" s="32" t="s">
        <v>48</v>
      </c>
      <c r="P294" s="32">
        <v>3</v>
      </c>
      <c r="Q294" s="32">
        <v>5</v>
      </c>
      <c r="R294" s="32" t="s">
        <v>64</v>
      </c>
      <c r="S294" s="32" t="s">
        <v>323</v>
      </c>
      <c r="T294" s="79">
        <v>1</v>
      </c>
      <c r="U294" s="79">
        <v>58</v>
      </c>
      <c r="V294" s="32" t="s">
        <v>66</v>
      </c>
      <c r="W294" s="32" t="s">
        <v>50</v>
      </c>
      <c r="X294" s="32" t="s">
        <v>50</v>
      </c>
      <c r="Y294" s="35" t="s">
        <v>7942</v>
      </c>
    </row>
    <row r="295" spans="1:25" s="27" customFormat="1" x14ac:dyDescent="0.25">
      <c r="A295" s="26">
        <v>42998</v>
      </c>
      <c r="B295" s="92" t="str">
        <f t="shared" si="4"/>
        <v>Wed</v>
      </c>
      <c r="C295" s="27" t="s">
        <v>7570</v>
      </c>
      <c r="D295" s="27">
        <v>38.097990000000003</v>
      </c>
      <c r="E295" s="27">
        <v>-122.05107</v>
      </c>
      <c r="F295" s="27" t="s">
        <v>7943</v>
      </c>
      <c r="G295" s="27" t="s">
        <v>27</v>
      </c>
      <c r="H295" s="27" t="s">
        <v>86</v>
      </c>
      <c r="I295" s="84">
        <v>0.5395833333333333</v>
      </c>
      <c r="J295" s="82">
        <v>7163</v>
      </c>
      <c r="K295" s="82">
        <v>20.066669999999998</v>
      </c>
      <c r="L295" s="82">
        <v>81.266670000000005</v>
      </c>
      <c r="M295" s="82">
        <v>0.30333300000000002</v>
      </c>
      <c r="N295" s="90" t="s">
        <v>50</v>
      </c>
      <c r="O295" s="27" t="s">
        <v>48</v>
      </c>
      <c r="P295" s="27">
        <v>3</v>
      </c>
      <c r="Q295" s="27">
        <v>5</v>
      </c>
      <c r="R295" s="32" t="s">
        <v>64</v>
      </c>
      <c r="S295" s="32" t="s">
        <v>323</v>
      </c>
      <c r="T295" s="81">
        <v>1</v>
      </c>
      <c r="U295" s="81">
        <v>48</v>
      </c>
      <c r="V295" s="32" t="s">
        <v>66</v>
      </c>
      <c r="W295" s="32" t="s">
        <v>50</v>
      </c>
      <c r="X295" s="32" t="s">
        <v>50</v>
      </c>
      <c r="Y295" s="35" t="s">
        <v>7942</v>
      </c>
    </row>
    <row r="296" spans="1:25" s="27" customFormat="1" x14ac:dyDescent="0.25">
      <c r="A296" s="26">
        <v>42998</v>
      </c>
      <c r="B296" s="92" t="str">
        <f t="shared" si="4"/>
        <v>Wed</v>
      </c>
      <c r="C296" s="27" t="s">
        <v>6849</v>
      </c>
      <c r="D296" s="27">
        <v>38.172530000000002</v>
      </c>
      <c r="E296" s="27">
        <v>-121.63683</v>
      </c>
      <c r="F296" s="27" t="s">
        <v>7944</v>
      </c>
      <c r="G296" s="27" t="s">
        <v>90</v>
      </c>
      <c r="H296" s="27" t="s">
        <v>6892</v>
      </c>
      <c r="I296" s="30">
        <v>0.34722222222222227</v>
      </c>
      <c r="J296" s="31">
        <v>116.77500000000001</v>
      </c>
      <c r="K296" s="31">
        <v>19</v>
      </c>
      <c r="L296" s="31">
        <v>19.0625</v>
      </c>
      <c r="M296" s="31">
        <v>0.95125000000000004</v>
      </c>
      <c r="N296" s="90" t="s">
        <v>50</v>
      </c>
      <c r="O296" s="32" t="s">
        <v>48</v>
      </c>
      <c r="P296" s="32">
        <v>8</v>
      </c>
      <c r="Q296" s="32">
        <v>10</v>
      </c>
      <c r="R296" s="32" t="s">
        <v>49</v>
      </c>
      <c r="S296" s="32" t="s">
        <v>50</v>
      </c>
      <c r="T296" s="79" t="s">
        <v>50</v>
      </c>
      <c r="U296" s="79" t="s">
        <v>50</v>
      </c>
      <c r="V296" s="32" t="s">
        <v>50</v>
      </c>
      <c r="W296" s="32" t="s">
        <v>50</v>
      </c>
      <c r="X296" s="32" t="s">
        <v>50</v>
      </c>
      <c r="Y296" s="35" t="s">
        <v>7934</v>
      </c>
    </row>
    <row r="297" spans="1:25" s="27" customFormat="1" x14ac:dyDescent="0.25">
      <c r="A297" s="26">
        <v>42998</v>
      </c>
      <c r="B297" s="92" t="str">
        <f t="shared" si="4"/>
        <v>Wed</v>
      </c>
      <c r="C297" s="27" t="s">
        <v>6849</v>
      </c>
      <c r="D297" s="27">
        <v>38.535150000000002</v>
      </c>
      <c r="E297" s="27">
        <v>-121.51902</v>
      </c>
      <c r="F297" s="27" t="s">
        <v>7945</v>
      </c>
      <c r="G297" s="27" t="s">
        <v>90</v>
      </c>
      <c r="H297" s="27" t="s">
        <v>6851</v>
      </c>
      <c r="I297" s="30">
        <v>0.55972222222222223</v>
      </c>
      <c r="J297" s="31">
        <v>96.35</v>
      </c>
      <c r="K297" s="31">
        <v>18.1875</v>
      </c>
      <c r="L297" s="31">
        <v>13.2</v>
      </c>
      <c r="M297" s="31">
        <v>0.93874999999999997</v>
      </c>
      <c r="N297" s="90" t="s">
        <v>50</v>
      </c>
      <c r="O297" s="32" t="s">
        <v>48</v>
      </c>
      <c r="P297" s="32">
        <v>8</v>
      </c>
      <c r="Q297" s="32">
        <v>10</v>
      </c>
      <c r="R297" s="32" t="s">
        <v>49</v>
      </c>
      <c r="S297" s="32" t="s">
        <v>50</v>
      </c>
      <c r="T297" s="79" t="s">
        <v>50</v>
      </c>
      <c r="U297" s="79" t="s">
        <v>50</v>
      </c>
      <c r="V297" s="32" t="s">
        <v>50</v>
      </c>
      <c r="W297" s="32" t="s">
        <v>50</v>
      </c>
      <c r="X297" s="32" t="s">
        <v>50</v>
      </c>
      <c r="Y297" s="35" t="s">
        <v>7946</v>
      </c>
    </row>
    <row r="298" spans="1:25" s="27" customFormat="1" x14ac:dyDescent="0.25">
      <c r="A298" s="26">
        <v>43000</v>
      </c>
      <c r="B298" s="92" t="str">
        <f t="shared" si="4"/>
        <v>Fri</v>
      </c>
      <c r="C298" s="27" t="s">
        <v>845</v>
      </c>
      <c r="D298" s="27">
        <v>38.196109999999997</v>
      </c>
      <c r="E298" s="27">
        <v>-121.65613</v>
      </c>
      <c r="F298" s="27" t="s">
        <v>7947</v>
      </c>
      <c r="G298" s="27" t="s">
        <v>90</v>
      </c>
      <c r="H298" s="27" t="s">
        <v>6935</v>
      </c>
      <c r="I298" s="30">
        <v>0.33958333333333335</v>
      </c>
      <c r="J298" s="31">
        <v>116.92</v>
      </c>
      <c r="K298" s="31">
        <v>18.68</v>
      </c>
      <c r="L298" s="31">
        <v>7.3380000000000001</v>
      </c>
      <c r="M298" s="31">
        <v>1.1779999999999999</v>
      </c>
      <c r="N298" s="90" t="s">
        <v>50</v>
      </c>
      <c r="O298" s="32" t="s">
        <v>48</v>
      </c>
      <c r="P298" s="32">
        <v>5</v>
      </c>
      <c r="Q298" s="32">
        <v>5</v>
      </c>
      <c r="R298" s="32" t="s">
        <v>49</v>
      </c>
      <c r="S298" s="32" t="s">
        <v>50</v>
      </c>
      <c r="T298" s="79" t="s">
        <v>50</v>
      </c>
      <c r="U298" s="79" t="s">
        <v>50</v>
      </c>
      <c r="V298" s="32" t="s">
        <v>50</v>
      </c>
      <c r="W298" s="32" t="s">
        <v>50</v>
      </c>
      <c r="X298" s="32" t="s">
        <v>50</v>
      </c>
      <c r="Y298" s="35" t="s">
        <v>7934</v>
      </c>
    </row>
    <row r="299" spans="1:25" s="27" customFormat="1" x14ac:dyDescent="0.25">
      <c r="A299" s="26">
        <v>43000</v>
      </c>
      <c r="B299" s="92" t="str">
        <f t="shared" si="4"/>
        <v>Fri</v>
      </c>
      <c r="C299" s="27" t="s">
        <v>845</v>
      </c>
      <c r="D299" s="27">
        <v>38.314059999999998</v>
      </c>
      <c r="E299" s="27">
        <v>-121.69285000000001</v>
      </c>
      <c r="F299" s="27" t="s">
        <v>7948</v>
      </c>
      <c r="G299" s="27" t="s">
        <v>90</v>
      </c>
      <c r="H299" s="27" t="s">
        <v>6935</v>
      </c>
      <c r="I299" s="30">
        <v>0.40625</v>
      </c>
      <c r="J299" s="31">
        <v>220.24</v>
      </c>
      <c r="K299" s="31">
        <v>19.66</v>
      </c>
      <c r="L299" s="31">
        <v>12.26</v>
      </c>
      <c r="M299" s="31">
        <v>0.70799999999999996</v>
      </c>
      <c r="N299" s="90" t="s">
        <v>50</v>
      </c>
      <c r="O299" s="32" t="s">
        <v>48</v>
      </c>
      <c r="P299" s="32">
        <v>5</v>
      </c>
      <c r="Q299" s="32">
        <v>5</v>
      </c>
      <c r="R299" s="32" t="s">
        <v>49</v>
      </c>
      <c r="S299" s="32" t="s">
        <v>50</v>
      </c>
      <c r="T299" s="79" t="s">
        <v>50</v>
      </c>
      <c r="U299" s="79" t="s">
        <v>50</v>
      </c>
      <c r="V299" s="32" t="s">
        <v>50</v>
      </c>
      <c r="W299" s="32" t="s">
        <v>50</v>
      </c>
      <c r="X299" s="32" t="s">
        <v>50</v>
      </c>
      <c r="Y299" s="35" t="s">
        <v>7934</v>
      </c>
    </row>
    <row r="300" spans="1:25" s="27" customFormat="1" x14ac:dyDescent="0.25">
      <c r="A300" s="26">
        <v>43000</v>
      </c>
      <c r="B300" s="92" t="str">
        <f t="shared" si="4"/>
        <v>Fri</v>
      </c>
      <c r="C300" s="27" t="s">
        <v>7570</v>
      </c>
      <c r="D300" s="27">
        <v>38.057299999999998</v>
      </c>
      <c r="E300" s="27">
        <v>-121.97342999999999</v>
      </c>
      <c r="F300" s="27" t="s">
        <v>7949</v>
      </c>
      <c r="G300" s="27" t="s">
        <v>27</v>
      </c>
      <c r="H300" s="27" t="s">
        <v>86</v>
      </c>
      <c r="I300" s="30">
        <v>0.35000000000000003</v>
      </c>
      <c r="J300" s="31">
        <v>3177.6</v>
      </c>
      <c r="K300" s="31">
        <v>19.62</v>
      </c>
      <c r="L300" s="31">
        <v>38.44</v>
      </c>
      <c r="M300" s="31">
        <v>0.42</v>
      </c>
      <c r="N300" s="90" t="s">
        <v>50</v>
      </c>
      <c r="O300" s="32" t="s">
        <v>48</v>
      </c>
      <c r="P300" s="32">
        <v>5</v>
      </c>
      <c r="Q300" s="32">
        <v>5</v>
      </c>
      <c r="R300" s="32" t="s">
        <v>49</v>
      </c>
      <c r="S300" s="32" t="s">
        <v>50</v>
      </c>
      <c r="T300" s="79" t="s">
        <v>50</v>
      </c>
      <c r="U300" s="79" t="s">
        <v>50</v>
      </c>
      <c r="V300" s="32" t="s">
        <v>50</v>
      </c>
      <c r="W300" s="32" t="s">
        <v>50</v>
      </c>
      <c r="X300" s="32" t="s">
        <v>50</v>
      </c>
      <c r="Y300" s="35" t="s">
        <v>7934</v>
      </c>
    </row>
    <row r="301" spans="1:25" s="27" customFormat="1" x14ac:dyDescent="0.25">
      <c r="A301" s="26">
        <v>43000</v>
      </c>
      <c r="B301" s="92" t="str">
        <f t="shared" si="4"/>
        <v>Fri</v>
      </c>
      <c r="C301" s="27" t="s">
        <v>7570</v>
      </c>
      <c r="D301" s="27">
        <v>38.073430000000002</v>
      </c>
      <c r="E301" s="27">
        <v>-121.87935</v>
      </c>
      <c r="F301" s="27" t="s">
        <v>7950</v>
      </c>
      <c r="G301" s="27" t="s">
        <v>27</v>
      </c>
      <c r="H301" s="27" t="s">
        <v>62</v>
      </c>
      <c r="I301" s="30">
        <v>0.40763888888888888</v>
      </c>
      <c r="J301" s="31">
        <v>386.14</v>
      </c>
      <c r="K301" s="31">
        <v>19.36</v>
      </c>
      <c r="L301" s="31">
        <v>41.76</v>
      </c>
      <c r="M301" s="31">
        <v>0.46200000000000002</v>
      </c>
      <c r="N301" s="90" t="s">
        <v>50</v>
      </c>
      <c r="O301" s="32" t="s">
        <v>48</v>
      </c>
      <c r="P301" s="32">
        <v>5</v>
      </c>
      <c r="Q301" s="32">
        <v>5</v>
      </c>
      <c r="R301" s="32" t="s">
        <v>49</v>
      </c>
      <c r="S301" s="32" t="s">
        <v>50</v>
      </c>
      <c r="T301" s="79" t="s">
        <v>50</v>
      </c>
      <c r="U301" s="79" t="s">
        <v>50</v>
      </c>
      <c r="V301" s="32" t="s">
        <v>50</v>
      </c>
      <c r="W301" s="32" t="s">
        <v>50</v>
      </c>
      <c r="X301" s="32" t="s">
        <v>50</v>
      </c>
      <c r="Y301" s="35" t="s">
        <v>7934</v>
      </c>
    </row>
    <row r="302" spans="1:25" s="27" customFormat="1" x14ac:dyDescent="0.25">
      <c r="A302" s="26">
        <v>43000</v>
      </c>
      <c r="B302" s="92" t="str">
        <f t="shared" si="4"/>
        <v>Fri</v>
      </c>
      <c r="C302" s="27" t="s">
        <v>44</v>
      </c>
      <c r="D302" s="27">
        <v>38.144329999999997</v>
      </c>
      <c r="E302" s="16">
        <v>-121.51148000000001</v>
      </c>
      <c r="F302" s="27" t="s">
        <v>7951</v>
      </c>
      <c r="G302" s="27" t="s">
        <v>46</v>
      </c>
      <c r="H302" s="27" t="s">
        <v>6881</v>
      </c>
      <c r="I302" s="30">
        <v>0.33402777777777781</v>
      </c>
      <c r="J302" s="31">
        <v>130.5111</v>
      </c>
      <c r="K302" s="31">
        <v>19.711110000000001</v>
      </c>
      <c r="L302" s="31">
        <v>3.6355559999999998</v>
      </c>
      <c r="M302" s="31">
        <v>1.8</v>
      </c>
      <c r="N302" s="90" t="s">
        <v>50</v>
      </c>
      <c r="O302" s="32" t="s">
        <v>48</v>
      </c>
      <c r="P302" s="32">
        <v>9</v>
      </c>
      <c r="Q302" s="32">
        <v>10</v>
      </c>
      <c r="R302" s="32" t="s">
        <v>49</v>
      </c>
      <c r="S302" s="32" t="s">
        <v>50</v>
      </c>
      <c r="T302" s="79" t="s">
        <v>50</v>
      </c>
      <c r="U302" s="79" t="s">
        <v>50</v>
      </c>
      <c r="V302" s="32" t="s">
        <v>50</v>
      </c>
      <c r="W302" s="32" t="s">
        <v>50</v>
      </c>
      <c r="X302" s="32" t="s">
        <v>50</v>
      </c>
      <c r="Y302" s="35" t="s">
        <v>7952</v>
      </c>
    </row>
    <row r="303" spans="1:25" s="108" customFormat="1" ht="15.75" thickBot="1" x14ac:dyDescent="0.3">
      <c r="A303" s="126">
        <v>43000</v>
      </c>
      <c r="B303" s="107" t="str">
        <f t="shared" si="4"/>
        <v>Fri</v>
      </c>
      <c r="C303" s="108" t="s">
        <v>44</v>
      </c>
      <c r="D303" s="108">
        <v>38.120280000000001</v>
      </c>
      <c r="E303" s="108">
        <v>-121.53053</v>
      </c>
      <c r="F303" s="108" t="s">
        <v>7953</v>
      </c>
      <c r="G303" s="108" t="s">
        <v>46</v>
      </c>
      <c r="H303" s="108" t="s">
        <v>6881</v>
      </c>
      <c r="I303" s="122">
        <v>0.47638888888888892</v>
      </c>
      <c r="J303" s="123">
        <v>102.9222</v>
      </c>
      <c r="K303" s="123">
        <v>19.366669999999999</v>
      </c>
      <c r="L303" s="123">
        <v>4.5855560000000004</v>
      </c>
      <c r="M303" s="123">
        <v>1.8</v>
      </c>
      <c r="N303" s="125" t="s">
        <v>50</v>
      </c>
      <c r="O303" s="118" t="s">
        <v>48</v>
      </c>
      <c r="P303" s="118">
        <v>9</v>
      </c>
      <c r="Q303" s="118">
        <v>10</v>
      </c>
      <c r="R303" s="118" t="s">
        <v>49</v>
      </c>
      <c r="S303" s="118" t="s">
        <v>50</v>
      </c>
      <c r="T303" s="119" t="s">
        <v>50</v>
      </c>
      <c r="U303" s="119" t="s">
        <v>50</v>
      </c>
      <c r="V303" s="118" t="s">
        <v>50</v>
      </c>
      <c r="W303" s="118" t="s">
        <v>50</v>
      </c>
      <c r="X303" s="118" t="s">
        <v>50</v>
      </c>
      <c r="Y303" s="113" t="s">
        <v>7954</v>
      </c>
    </row>
    <row r="304" spans="1:25" s="27" customFormat="1" ht="15.75" thickTop="1" x14ac:dyDescent="0.25">
      <c r="A304" s="26">
        <v>43003</v>
      </c>
      <c r="B304" s="92" t="str">
        <f t="shared" si="4"/>
        <v>Mon</v>
      </c>
      <c r="C304" s="27" t="s">
        <v>95</v>
      </c>
      <c r="D304" s="27">
        <v>38.099820000000001</v>
      </c>
      <c r="E304" s="27">
        <v>-121.61658</v>
      </c>
      <c r="F304" s="27" t="s">
        <v>7955</v>
      </c>
      <c r="G304" s="27" t="s">
        <v>46</v>
      </c>
      <c r="H304" s="27" t="s">
        <v>97</v>
      </c>
      <c r="I304" s="120">
        <v>0.31041666666666667</v>
      </c>
      <c r="J304" s="121">
        <v>129.1833</v>
      </c>
      <c r="K304" s="121">
        <v>19.399999999999999</v>
      </c>
      <c r="L304" s="121">
        <v>7.59</v>
      </c>
      <c r="M304" s="121">
        <v>1.4383330000000001</v>
      </c>
      <c r="N304" s="90" t="s">
        <v>50</v>
      </c>
      <c r="O304" s="33" t="s">
        <v>48</v>
      </c>
      <c r="P304" s="33">
        <v>6</v>
      </c>
      <c r="Q304" s="33">
        <v>5</v>
      </c>
      <c r="R304" s="33" t="s">
        <v>64</v>
      </c>
      <c r="S304" s="33" t="s">
        <v>50</v>
      </c>
      <c r="T304" s="116" t="s">
        <v>50</v>
      </c>
      <c r="U304" s="116" t="s">
        <v>50</v>
      </c>
      <c r="V304" s="33" t="s">
        <v>50</v>
      </c>
      <c r="W304" s="33" t="s">
        <v>50</v>
      </c>
      <c r="X304" s="33" t="s">
        <v>50</v>
      </c>
      <c r="Y304" s="35" t="s">
        <v>7956</v>
      </c>
    </row>
    <row r="305" spans="1:25" s="27" customFormat="1" x14ac:dyDescent="0.25">
      <c r="A305" s="26">
        <v>43003</v>
      </c>
      <c r="B305" s="92" t="str">
        <f t="shared" si="4"/>
        <v>Mon</v>
      </c>
      <c r="C305" s="27" t="s">
        <v>95</v>
      </c>
      <c r="D305" s="27">
        <v>38.065959999999997</v>
      </c>
      <c r="E305" s="27">
        <v>-121.67715</v>
      </c>
      <c r="F305" s="27" t="s">
        <v>7957</v>
      </c>
      <c r="G305" s="27" t="s">
        <v>46</v>
      </c>
      <c r="H305" s="27" t="s">
        <v>97</v>
      </c>
      <c r="I305" s="30">
        <v>0.37222222222222223</v>
      </c>
      <c r="J305" s="31">
        <v>165.74</v>
      </c>
      <c r="K305" s="31">
        <v>19.78</v>
      </c>
      <c r="L305" s="31">
        <v>11.183999999999999</v>
      </c>
      <c r="M305" s="31">
        <v>1.3</v>
      </c>
      <c r="N305" s="90" t="s">
        <v>50</v>
      </c>
      <c r="O305" s="32" t="s">
        <v>48</v>
      </c>
      <c r="P305" s="32">
        <v>5</v>
      </c>
      <c r="Q305" s="32">
        <v>5</v>
      </c>
      <c r="R305" s="32" t="s">
        <v>64</v>
      </c>
      <c r="S305" s="32" t="s">
        <v>50</v>
      </c>
      <c r="T305" s="79" t="s">
        <v>50</v>
      </c>
      <c r="U305" s="79" t="s">
        <v>50</v>
      </c>
      <c r="V305" s="32" t="s">
        <v>50</v>
      </c>
      <c r="W305" s="32" t="s">
        <v>50</v>
      </c>
      <c r="X305" s="32" t="s">
        <v>50</v>
      </c>
      <c r="Y305" s="35"/>
    </row>
    <row r="306" spans="1:25" s="27" customFormat="1" x14ac:dyDescent="0.25">
      <c r="A306" s="26">
        <v>43003</v>
      </c>
      <c r="B306" s="92" t="str">
        <f t="shared" si="4"/>
        <v>Mon</v>
      </c>
      <c r="C306" s="27" t="s">
        <v>106</v>
      </c>
      <c r="D306" s="27">
        <v>38.561199999999999</v>
      </c>
      <c r="E306" s="27">
        <v>-121.54194</v>
      </c>
      <c r="F306" s="27" t="s">
        <v>7958</v>
      </c>
      <c r="G306" s="27" t="s">
        <v>90</v>
      </c>
      <c r="H306" s="27" t="s">
        <v>7577</v>
      </c>
      <c r="I306" s="30">
        <v>0.37222222222222223</v>
      </c>
      <c r="J306" s="31">
        <v>654.20000000000005</v>
      </c>
      <c r="K306" s="31">
        <v>21.88</v>
      </c>
      <c r="L306" s="31">
        <v>4.476</v>
      </c>
      <c r="M306" s="31">
        <v>1.492</v>
      </c>
      <c r="N306" s="90" t="s">
        <v>50</v>
      </c>
      <c r="O306" s="32" t="s">
        <v>48</v>
      </c>
      <c r="P306" s="32">
        <v>5</v>
      </c>
      <c r="Q306" s="32">
        <v>5</v>
      </c>
      <c r="R306" s="32" t="s">
        <v>49</v>
      </c>
      <c r="S306" s="32" t="s">
        <v>50</v>
      </c>
      <c r="T306" s="79" t="s">
        <v>50</v>
      </c>
      <c r="U306" s="79" t="s">
        <v>50</v>
      </c>
      <c r="V306" s="32" t="s">
        <v>50</v>
      </c>
      <c r="W306" s="32" t="s">
        <v>50</v>
      </c>
      <c r="X306" s="32" t="s">
        <v>50</v>
      </c>
      <c r="Y306" s="35" t="s">
        <v>7959</v>
      </c>
    </row>
    <row r="307" spans="1:25" s="27" customFormat="1" x14ac:dyDescent="0.25">
      <c r="A307" s="26">
        <v>43003</v>
      </c>
      <c r="B307" s="92" t="str">
        <f t="shared" si="4"/>
        <v>Mon</v>
      </c>
      <c r="C307" s="27" t="s">
        <v>106</v>
      </c>
      <c r="D307" s="27">
        <v>38.384869999999999</v>
      </c>
      <c r="E307" s="27">
        <v>-121.62469</v>
      </c>
      <c r="F307" s="27" t="s">
        <v>7960</v>
      </c>
      <c r="G307" s="27" t="s">
        <v>90</v>
      </c>
      <c r="H307" s="27" t="s">
        <v>7577</v>
      </c>
      <c r="I307" s="30">
        <v>0.43888888888888888</v>
      </c>
      <c r="J307" s="31">
        <v>431.96</v>
      </c>
      <c r="K307" s="31">
        <v>20.6</v>
      </c>
      <c r="L307" s="31">
        <v>24.98</v>
      </c>
      <c r="M307" s="31">
        <v>0.38400000000000001</v>
      </c>
      <c r="N307" s="90" t="s">
        <v>50</v>
      </c>
      <c r="O307" s="32" t="s">
        <v>48</v>
      </c>
      <c r="P307" s="32">
        <v>5</v>
      </c>
      <c r="Q307" s="32">
        <v>5</v>
      </c>
      <c r="R307" s="32" t="s">
        <v>49</v>
      </c>
      <c r="S307" s="32" t="s">
        <v>50</v>
      </c>
      <c r="T307" s="79" t="s">
        <v>50</v>
      </c>
      <c r="U307" s="79" t="s">
        <v>50</v>
      </c>
      <c r="V307" s="32" t="s">
        <v>50</v>
      </c>
      <c r="W307" s="32" t="s">
        <v>50</v>
      </c>
      <c r="X307" s="32" t="s">
        <v>50</v>
      </c>
      <c r="Y307" s="35" t="s">
        <v>7934</v>
      </c>
    </row>
    <row r="308" spans="1:25" s="149" customFormat="1" x14ac:dyDescent="0.25">
      <c r="A308" s="178">
        <v>43003</v>
      </c>
      <c r="B308" s="148" t="str">
        <f t="shared" si="4"/>
        <v>Mon</v>
      </c>
      <c r="C308" s="149" t="s">
        <v>118</v>
      </c>
      <c r="D308" s="149">
        <v>38.07405</v>
      </c>
      <c r="E308" s="149">
        <v>-122.10397</v>
      </c>
      <c r="F308" s="149" t="s">
        <v>7961</v>
      </c>
      <c r="G308" s="149" t="s">
        <v>80</v>
      </c>
      <c r="H308" s="149" t="s">
        <v>81</v>
      </c>
      <c r="I308" s="165">
        <v>0.39999999999999997</v>
      </c>
      <c r="J308" s="163" t="s">
        <v>50</v>
      </c>
      <c r="K308" s="163" t="s">
        <v>50</v>
      </c>
      <c r="L308" s="163" t="s">
        <v>50</v>
      </c>
      <c r="M308" s="163" t="s">
        <v>50</v>
      </c>
      <c r="N308" s="177" t="s">
        <v>50</v>
      </c>
      <c r="O308" s="161" t="s">
        <v>48</v>
      </c>
      <c r="P308" s="161">
        <v>0</v>
      </c>
      <c r="Q308" s="161" t="s">
        <v>50</v>
      </c>
      <c r="R308" s="161" t="s">
        <v>50</v>
      </c>
      <c r="S308" s="161" t="s">
        <v>50</v>
      </c>
      <c r="T308" s="162" t="s">
        <v>50</v>
      </c>
      <c r="U308" s="162" t="s">
        <v>50</v>
      </c>
      <c r="V308" s="161" t="s">
        <v>50</v>
      </c>
      <c r="W308" s="161" t="s">
        <v>50</v>
      </c>
      <c r="X308" s="161" t="s">
        <v>50</v>
      </c>
      <c r="Y308" s="152" t="s">
        <v>7962</v>
      </c>
    </row>
    <row r="309" spans="1:25" s="27" customFormat="1" x14ac:dyDescent="0.25">
      <c r="A309" s="26">
        <v>43003</v>
      </c>
      <c r="B309" s="92" t="str">
        <f t="shared" si="4"/>
        <v>Mon</v>
      </c>
      <c r="C309" s="27" t="s">
        <v>118</v>
      </c>
      <c r="D309" s="27">
        <v>38.076309999999999</v>
      </c>
      <c r="E309" s="27">
        <v>-122.08208</v>
      </c>
      <c r="F309" s="27" t="s">
        <v>7963</v>
      </c>
      <c r="G309" s="27" t="s">
        <v>80</v>
      </c>
      <c r="H309" s="27" t="s">
        <v>81</v>
      </c>
      <c r="I309" s="30">
        <v>0.40972222222222227</v>
      </c>
      <c r="J309" s="31">
        <v>7477.375</v>
      </c>
      <c r="K309" s="31">
        <v>19.475000000000001</v>
      </c>
      <c r="L309" s="31">
        <v>113.46250000000001</v>
      </c>
      <c r="M309" s="31">
        <v>0.49249999999999999</v>
      </c>
      <c r="N309" s="90" t="s">
        <v>50</v>
      </c>
      <c r="O309" s="32" t="s">
        <v>48</v>
      </c>
      <c r="P309" s="32">
        <v>8</v>
      </c>
      <c r="Q309" s="32">
        <v>10</v>
      </c>
      <c r="R309" s="32" t="s">
        <v>49</v>
      </c>
      <c r="S309" s="32" t="s">
        <v>31</v>
      </c>
      <c r="T309" s="81">
        <v>1</v>
      </c>
      <c r="U309" s="81">
        <v>55</v>
      </c>
      <c r="V309" s="32" t="s">
        <v>66</v>
      </c>
      <c r="W309" s="32" t="s">
        <v>50</v>
      </c>
      <c r="X309" s="32" t="s">
        <v>50</v>
      </c>
      <c r="Y309" s="35" t="s">
        <v>7964</v>
      </c>
    </row>
    <row r="310" spans="1:25" s="27" customFormat="1" x14ac:dyDescent="0.25">
      <c r="A310" s="26">
        <v>43003</v>
      </c>
      <c r="B310" s="92" t="str">
        <f t="shared" si="4"/>
        <v>Mon</v>
      </c>
      <c r="C310" s="27" t="s">
        <v>118</v>
      </c>
      <c r="D310" s="27">
        <v>38.065980000000003</v>
      </c>
      <c r="E310" s="27">
        <v>-122.32473</v>
      </c>
      <c r="F310" s="27" t="s">
        <v>7965</v>
      </c>
      <c r="G310" s="27" t="s">
        <v>80</v>
      </c>
      <c r="H310" s="27" t="s">
        <v>123</v>
      </c>
      <c r="I310" s="30">
        <v>0.5625</v>
      </c>
      <c r="J310" s="31">
        <v>18187.13</v>
      </c>
      <c r="K310" s="31">
        <v>19.925000000000001</v>
      </c>
      <c r="L310" s="31">
        <v>14.1425</v>
      </c>
      <c r="M310" s="31">
        <v>0.80125000000000002</v>
      </c>
      <c r="N310" s="90" t="s">
        <v>50</v>
      </c>
      <c r="O310" s="32" t="s">
        <v>48</v>
      </c>
      <c r="P310" s="32">
        <v>8</v>
      </c>
      <c r="Q310" s="32">
        <v>10</v>
      </c>
      <c r="R310" s="32" t="s">
        <v>64</v>
      </c>
      <c r="S310" s="32" t="s">
        <v>50</v>
      </c>
      <c r="T310" s="79" t="s">
        <v>50</v>
      </c>
      <c r="U310" s="79" t="s">
        <v>50</v>
      </c>
      <c r="V310" s="32" t="s">
        <v>50</v>
      </c>
      <c r="W310" s="32" t="s">
        <v>50</v>
      </c>
      <c r="X310" s="32" t="s">
        <v>50</v>
      </c>
      <c r="Y310" s="35"/>
    </row>
    <row r="311" spans="1:25" s="27" customFormat="1" x14ac:dyDescent="0.25">
      <c r="A311" s="26">
        <v>43004</v>
      </c>
      <c r="B311" s="92" t="str">
        <f t="shared" si="4"/>
        <v>Tue</v>
      </c>
      <c r="C311" s="27" t="s">
        <v>845</v>
      </c>
      <c r="D311" s="27">
        <v>38.295439999999999</v>
      </c>
      <c r="E311" s="27">
        <v>-121.72732999999999</v>
      </c>
      <c r="F311" s="27" t="s">
        <v>7966</v>
      </c>
      <c r="G311" s="27" t="s">
        <v>90</v>
      </c>
      <c r="H311" s="27" t="s">
        <v>126</v>
      </c>
      <c r="I311" s="30">
        <v>0.37083333333333335</v>
      </c>
      <c r="J311" s="31">
        <v>157.69999999999999</v>
      </c>
      <c r="K311" s="31">
        <v>19.04</v>
      </c>
      <c r="L311" s="31">
        <v>6.4980000000000002</v>
      </c>
      <c r="M311" s="31">
        <v>1.244</v>
      </c>
      <c r="N311" s="90" t="s">
        <v>50</v>
      </c>
      <c r="O311" s="32" t="s">
        <v>48</v>
      </c>
      <c r="P311" s="32">
        <v>5</v>
      </c>
      <c r="Q311" s="32">
        <v>5</v>
      </c>
      <c r="R311" s="32" t="s">
        <v>64</v>
      </c>
      <c r="S311" s="32" t="s">
        <v>50</v>
      </c>
      <c r="T311" s="79" t="s">
        <v>50</v>
      </c>
      <c r="U311" s="79" t="s">
        <v>50</v>
      </c>
      <c r="V311" s="32" t="s">
        <v>50</v>
      </c>
      <c r="W311" s="32" t="s">
        <v>50</v>
      </c>
      <c r="X311" s="32" t="s">
        <v>50</v>
      </c>
      <c r="Y311" s="35" t="s">
        <v>7934</v>
      </c>
    </row>
    <row r="312" spans="1:25" s="27" customFormat="1" x14ac:dyDescent="0.25">
      <c r="A312" s="26">
        <v>43004</v>
      </c>
      <c r="B312" s="92" t="str">
        <f t="shared" si="4"/>
        <v>Tue</v>
      </c>
      <c r="C312" s="27" t="s">
        <v>845</v>
      </c>
      <c r="D312" s="27">
        <v>38.248719999999999</v>
      </c>
      <c r="E312" s="27">
        <v>-121.71125000000001</v>
      </c>
      <c r="F312" s="27" t="s">
        <v>7967</v>
      </c>
      <c r="G312" s="27" t="s">
        <v>90</v>
      </c>
      <c r="H312" s="27" t="s">
        <v>126</v>
      </c>
      <c r="I312" s="30">
        <v>0.42708333333333331</v>
      </c>
      <c r="J312" s="31">
        <v>135.58000000000001</v>
      </c>
      <c r="K312" s="31">
        <v>18.96</v>
      </c>
      <c r="L312" s="31">
        <v>5.0179999999999998</v>
      </c>
      <c r="M312" s="31">
        <v>1.468</v>
      </c>
      <c r="N312" s="90" t="s">
        <v>50</v>
      </c>
      <c r="O312" s="32" t="s">
        <v>48</v>
      </c>
      <c r="P312" s="32">
        <v>5</v>
      </c>
      <c r="Q312" s="32">
        <v>5</v>
      </c>
      <c r="R312" s="32" t="s">
        <v>64</v>
      </c>
      <c r="S312" s="32" t="s">
        <v>50</v>
      </c>
      <c r="T312" s="79" t="s">
        <v>50</v>
      </c>
      <c r="U312" s="79" t="s">
        <v>50</v>
      </c>
      <c r="V312" s="32" t="s">
        <v>50</v>
      </c>
      <c r="W312" s="32" t="s">
        <v>50</v>
      </c>
      <c r="X312" s="32" t="s">
        <v>50</v>
      </c>
      <c r="Y312" s="35" t="s">
        <v>7968</v>
      </c>
    </row>
    <row r="313" spans="1:25" s="27" customFormat="1" x14ac:dyDescent="0.25">
      <c r="A313" s="26">
        <v>43004</v>
      </c>
      <c r="B313" s="92" t="str">
        <f t="shared" si="4"/>
        <v>Tue</v>
      </c>
      <c r="C313" s="27" t="s">
        <v>95</v>
      </c>
      <c r="D313" s="27">
        <v>38.029510000000002</v>
      </c>
      <c r="E313" s="27">
        <v>-121.84809</v>
      </c>
      <c r="F313" s="27" t="s">
        <v>7969</v>
      </c>
      <c r="G313" s="27" t="s">
        <v>27</v>
      </c>
      <c r="H313" s="27" t="s">
        <v>95</v>
      </c>
      <c r="I313" s="30">
        <v>0.33333333333333331</v>
      </c>
      <c r="J313" s="31">
        <v>416.56670000000003</v>
      </c>
      <c r="K313" s="31">
        <v>19.7</v>
      </c>
      <c r="L313" s="31">
        <v>20.399999999999999</v>
      </c>
      <c r="M313" s="31">
        <v>0.65333300000000005</v>
      </c>
      <c r="N313" s="90" t="s">
        <v>50</v>
      </c>
      <c r="O313" s="32" t="s">
        <v>48</v>
      </c>
      <c r="P313" s="32">
        <v>3</v>
      </c>
      <c r="Q313" s="32">
        <v>5</v>
      </c>
      <c r="R313" s="32" t="s">
        <v>64</v>
      </c>
      <c r="S313" s="32" t="s">
        <v>323</v>
      </c>
      <c r="T313" s="81">
        <v>1</v>
      </c>
      <c r="U313" s="81">
        <v>46</v>
      </c>
      <c r="V313" s="32" t="s">
        <v>66</v>
      </c>
      <c r="W313" s="32" t="s">
        <v>50</v>
      </c>
      <c r="X313" s="32" t="s">
        <v>50</v>
      </c>
      <c r="Y313" s="35"/>
    </row>
    <row r="314" spans="1:25" s="27" customFormat="1" x14ac:dyDescent="0.25">
      <c r="A314" s="26">
        <v>43004</v>
      </c>
      <c r="B314" s="92" t="str">
        <f t="shared" si="4"/>
        <v>Tue</v>
      </c>
      <c r="C314" s="27" t="s">
        <v>95</v>
      </c>
      <c r="D314" s="27">
        <v>38.020629999999997</v>
      </c>
      <c r="E314" s="27">
        <v>-121.74538</v>
      </c>
      <c r="F314" s="27" t="s">
        <v>7970</v>
      </c>
      <c r="G314" s="27" t="s">
        <v>27</v>
      </c>
      <c r="H314" s="27" t="s">
        <v>95</v>
      </c>
      <c r="I314" s="30">
        <v>0.37638888888888888</v>
      </c>
      <c r="J314" s="31">
        <v>235.14</v>
      </c>
      <c r="K314" s="31">
        <v>20.100000000000001</v>
      </c>
      <c r="L314" s="31">
        <v>12.24</v>
      </c>
      <c r="M314" s="31">
        <v>1.1000000000000001</v>
      </c>
      <c r="N314" s="90" t="s">
        <v>50</v>
      </c>
      <c r="O314" s="32" t="s">
        <v>48</v>
      </c>
      <c r="P314" s="32">
        <v>5</v>
      </c>
      <c r="Q314" s="32">
        <v>5</v>
      </c>
      <c r="R314" s="32" t="s">
        <v>64</v>
      </c>
      <c r="S314" s="32" t="s">
        <v>50</v>
      </c>
      <c r="T314" s="79" t="s">
        <v>50</v>
      </c>
      <c r="U314" s="79" t="s">
        <v>50</v>
      </c>
      <c r="V314" s="32" t="s">
        <v>50</v>
      </c>
      <c r="W314" s="32" t="s">
        <v>50</v>
      </c>
      <c r="X314" s="32" t="s">
        <v>50</v>
      </c>
      <c r="Y314" s="35"/>
    </row>
    <row r="315" spans="1:25" s="27" customFormat="1" x14ac:dyDescent="0.25">
      <c r="A315" s="26">
        <v>43004</v>
      </c>
      <c r="B315" s="92" t="str">
        <f t="shared" si="4"/>
        <v>Tue</v>
      </c>
      <c r="C315" s="27" t="s">
        <v>118</v>
      </c>
      <c r="D315" s="27">
        <v>38.054160000000003</v>
      </c>
      <c r="E315" s="27">
        <v>-122.27589999999999</v>
      </c>
      <c r="F315" s="27" t="s">
        <v>7971</v>
      </c>
      <c r="G315" s="27" t="s">
        <v>80</v>
      </c>
      <c r="H315" s="27" t="s">
        <v>123</v>
      </c>
      <c r="I315" s="30">
        <v>0.31041666666666667</v>
      </c>
      <c r="J315" s="31">
        <v>22747.75</v>
      </c>
      <c r="K315" s="31">
        <v>19.225000000000001</v>
      </c>
      <c r="L315" s="31">
        <v>7.1</v>
      </c>
      <c r="M315" s="31">
        <v>1.125</v>
      </c>
      <c r="N315" s="90" t="s">
        <v>50</v>
      </c>
      <c r="O315" s="32" t="s">
        <v>48</v>
      </c>
      <c r="P315" s="32">
        <v>8</v>
      </c>
      <c r="Q315" s="32">
        <v>10</v>
      </c>
      <c r="R315" s="32" t="s">
        <v>64</v>
      </c>
      <c r="S315" s="32" t="s">
        <v>50</v>
      </c>
      <c r="T315" s="79" t="s">
        <v>50</v>
      </c>
      <c r="U315" s="79" t="s">
        <v>50</v>
      </c>
      <c r="V315" s="32" t="s">
        <v>50</v>
      </c>
      <c r="W315" s="32" t="s">
        <v>50</v>
      </c>
      <c r="X315" s="32" t="s">
        <v>50</v>
      </c>
      <c r="Y315" s="35"/>
    </row>
    <row r="316" spans="1:25" s="27" customFormat="1" x14ac:dyDescent="0.25">
      <c r="A316" s="26">
        <v>43004</v>
      </c>
      <c r="B316" s="92" t="str">
        <f t="shared" si="4"/>
        <v>Tue</v>
      </c>
      <c r="C316" s="27" t="s">
        <v>118</v>
      </c>
      <c r="D316" s="27">
        <v>38.054099999999998</v>
      </c>
      <c r="E316" s="27">
        <v>-122.2976</v>
      </c>
      <c r="F316" s="27" t="s">
        <v>7972</v>
      </c>
      <c r="G316" s="27" t="s">
        <v>80</v>
      </c>
      <c r="H316" s="27" t="s">
        <v>123</v>
      </c>
      <c r="I316" s="30">
        <v>0.41944444444444445</v>
      </c>
      <c r="J316" s="31">
        <v>20682.13</v>
      </c>
      <c r="K316" s="31">
        <v>19.387499999999999</v>
      </c>
      <c r="L316" s="31">
        <v>7.4725000000000001</v>
      </c>
      <c r="M316" s="31">
        <v>1.0337499999999999</v>
      </c>
      <c r="N316" s="90" t="s">
        <v>50</v>
      </c>
      <c r="O316" s="32" t="s">
        <v>48</v>
      </c>
      <c r="P316" s="32">
        <v>8</v>
      </c>
      <c r="Q316" s="32">
        <v>10</v>
      </c>
      <c r="R316" s="32" t="s">
        <v>49</v>
      </c>
      <c r="S316" s="32" t="s">
        <v>50</v>
      </c>
      <c r="T316" s="79" t="s">
        <v>50</v>
      </c>
      <c r="U316" s="79" t="s">
        <v>50</v>
      </c>
      <c r="V316" s="32" t="s">
        <v>50</v>
      </c>
      <c r="W316" s="32" t="s">
        <v>50</v>
      </c>
      <c r="X316" s="32" t="s">
        <v>50</v>
      </c>
      <c r="Y316" s="35"/>
    </row>
    <row r="317" spans="1:25" s="27" customFormat="1" x14ac:dyDescent="0.25">
      <c r="A317" s="26">
        <v>43005</v>
      </c>
      <c r="B317" s="92" t="str">
        <f t="shared" si="4"/>
        <v>Wed</v>
      </c>
      <c r="C317" s="27" t="s">
        <v>7570</v>
      </c>
      <c r="D317" s="27">
        <v>38.071620000000003</v>
      </c>
      <c r="E317" s="27">
        <v>-121.985</v>
      </c>
      <c r="F317" s="27" t="s">
        <v>7973</v>
      </c>
      <c r="G317" s="27" t="s">
        <v>27</v>
      </c>
      <c r="H317" s="27" t="s">
        <v>86</v>
      </c>
      <c r="I317" s="30">
        <v>0.36736111111111108</v>
      </c>
      <c r="J317" s="13">
        <f>AVERAGE(4314,4469,4995,5271)</f>
        <v>4762.25</v>
      </c>
      <c r="K317" s="13">
        <f>AVERAGE(19.7,19.7,19.7,19.7)</f>
        <v>19.7</v>
      </c>
      <c r="L317" s="13">
        <f>AVERAGE(21.4,23.9,27.5,31.8)</f>
        <v>26.15</v>
      </c>
      <c r="M317" s="13">
        <f>AVERAGE(0.53,0.52,0.5,0.5)</f>
        <v>0.51249999999999996</v>
      </c>
      <c r="N317" s="90" t="s">
        <v>50</v>
      </c>
      <c r="O317" s="32" t="s">
        <v>48</v>
      </c>
      <c r="P317" s="32">
        <v>4</v>
      </c>
      <c r="Q317" s="32">
        <v>5</v>
      </c>
      <c r="R317" s="32" t="s">
        <v>64</v>
      </c>
      <c r="S317" s="32" t="s">
        <v>323</v>
      </c>
      <c r="T317" s="79">
        <v>1</v>
      </c>
      <c r="U317" s="79">
        <v>60</v>
      </c>
      <c r="V317" s="32" t="s">
        <v>66</v>
      </c>
      <c r="W317" s="32" t="s">
        <v>50</v>
      </c>
      <c r="X317" s="32" t="s">
        <v>50</v>
      </c>
      <c r="Y317" s="35" t="s">
        <v>7942</v>
      </c>
    </row>
    <row r="318" spans="1:25" s="27" customFormat="1" x14ac:dyDescent="0.25">
      <c r="A318" s="26">
        <v>43005</v>
      </c>
      <c r="B318" s="92" t="str">
        <f t="shared" si="4"/>
        <v>Wed</v>
      </c>
      <c r="C318" s="27" t="s">
        <v>7570</v>
      </c>
      <c r="D318" s="27">
        <v>38.060319999999997</v>
      </c>
      <c r="E318" s="27">
        <v>-121.96142</v>
      </c>
      <c r="F318" s="27" t="s">
        <v>7974</v>
      </c>
      <c r="G318" s="27" t="s">
        <v>27</v>
      </c>
      <c r="H318" s="27" t="s">
        <v>170</v>
      </c>
      <c r="I318" s="30">
        <v>0.41111111111111115</v>
      </c>
      <c r="J318" s="13">
        <f>AVERAGE(3344,4191,4332,4426,4643)</f>
        <v>4187.2</v>
      </c>
      <c r="K318" s="13">
        <f>AVERAGE(19.8,19.8,19.8,19.7,19.9)</f>
        <v>19.8</v>
      </c>
      <c r="L318" s="13">
        <f>AVERAGE(26,25.7,27.3,25.6,24.5)</f>
        <v>25.82</v>
      </c>
      <c r="M318" s="13">
        <f>AVERAGE(0.59,0.54,0.5,0.49,0.5)</f>
        <v>0.52400000000000002</v>
      </c>
      <c r="N318" s="90" t="s">
        <v>50</v>
      </c>
      <c r="O318" s="32" t="s">
        <v>48</v>
      </c>
      <c r="P318" s="32">
        <v>5</v>
      </c>
      <c r="Q318" s="32">
        <v>5</v>
      </c>
      <c r="R318" s="32" t="s">
        <v>64</v>
      </c>
      <c r="S318" s="32" t="s">
        <v>50</v>
      </c>
      <c r="T318" s="81" t="s">
        <v>50</v>
      </c>
      <c r="U318" s="81" t="s">
        <v>50</v>
      </c>
      <c r="V318" s="32" t="s">
        <v>50</v>
      </c>
      <c r="W318" s="32" t="s">
        <v>50</v>
      </c>
      <c r="X318" s="32" t="s">
        <v>50</v>
      </c>
      <c r="Y318" s="35" t="s">
        <v>7934</v>
      </c>
    </row>
    <row r="319" spans="1:25" s="27" customFormat="1" x14ac:dyDescent="0.25">
      <c r="A319" s="26">
        <v>43005</v>
      </c>
      <c r="B319" s="92" t="str">
        <f t="shared" si="4"/>
        <v>Wed</v>
      </c>
      <c r="C319" s="27" t="s">
        <v>6849</v>
      </c>
      <c r="D319" s="27">
        <v>38.181980000000003</v>
      </c>
      <c r="E319" s="27">
        <v>-121.58705</v>
      </c>
      <c r="F319" s="27" t="s">
        <v>7975</v>
      </c>
      <c r="G319" s="27" t="s">
        <v>90</v>
      </c>
      <c r="H319" s="27" t="s">
        <v>6892</v>
      </c>
      <c r="I319" s="30">
        <v>0.33124999999999999</v>
      </c>
      <c r="J319" s="13">
        <f>AVERAGE(83.8,84.2,84.1,84.1,84.1,84.3,84.1,83.9)</f>
        <v>84.074999999999989</v>
      </c>
      <c r="K319" s="13">
        <f>AVERAGE(16.85)</f>
        <v>16.850000000000001</v>
      </c>
      <c r="L319" s="13">
        <f>AVERAGE(8.09,9.65,12.2,10.4,9.33,9.13,8.72,8.68)</f>
        <v>9.5250000000000021</v>
      </c>
      <c r="M319" s="13">
        <f>AVERAGE(1.3,1.02,1.04,1.04,1.29,1.24,1.16,1.32)</f>
        <v>1.17625</v>
      </c>
      <c r="N319" s="90" t="s">
        <v>50</v>
      </c>
      <c r="O319" s="32" t="s">
        <v>48</v>
      </c>
      <c r="P319" s="32">
        <v>8</v>
      </c>
      <c r="Q319" s="32">
        <v>10</v>
      </c>
      <c r="R319" s="32" t="s">
        <v>49</v>
      </c>
      <c r="S319" s="32" t="s">
        <v>50</v>
      </c>
      <c r="T319" s="79" t="s">
        <v>50</v>
      </c>
      <c r="U319" s="79" t="s">
        <v>50</v>
      </c>
      <c r="V319" s="32" t="s">
        <v>50</v>
      </c>
      <c r="W319" s="32" t="s">
        <v>50</v>
      </c>
      <c r="X319" s="32" t="s">
        <v>50</v>
      </c>
      <c r="Y319" s="35" t="s">
        <v>7934</v>
      </c>
    </row>
    <row r="320" spans="1:25" s="27" customFormat="1" x14ac:dyDescent="0.25">
      <c r="A320" s="26">
        <v>43005</v>
      </c>
      <c r="B320" s="92" t="str">
        <f t="shared" si="4"/>
        <v>Wed</v>
      </c>
      <c r="C320" s="27" t="s">
        <v>6849</v>
      </c>
      <c r="D320" s="27">
        <v>38.299779999999998</v>
      </c>
      <c r="E320" s="27">
        <v>-121.56824</v>
      </c>
      <c r="F320" s="27" t="s">
        <v>7976</v>
      </c>
      <c r="G320" s="27" t="s">
        <v>90</v>
      </c>
      <c r="H320" s="27" t="s">
        <v>6851</v>
      </c>
      <c r="I320" s="30">
        <v>0.4458333333333333</v>
      </c>
      <c r="J320" s="13">
        <f>AVERAGE(84.6,85,85.2,85.6,85.8,86,86.1,86.2)</f>
        <v>85.562500000000014</v>
      </c>
      <c r="K320" s="13">
        <f>AVERAGE(17.15)</f>
        <v>17.149999999999999</v>
      </c>
      <c r="L320" s="13">
        <f>AVERAGE(11.8,9.98,11.3,11.2,9.55,8.22,10.3,7.53)</f>
        <v>9.9849999999999994</v>
      </c>
      <c r="M320" s="13">
        <f>AVERAGE(1.36,1.26,1.29,1.35,1.4,1.35,1.49,1.22)</f>
        <v>1.34</v>
      </c>
      <c r="N320" s="90" t="s">
        <v>50</v>
      </c>
      <c r="O320" s="32" t="s">
        <v>48</v>
      </c>
      <c r="P320" s="32">
        <v>8</v>
      </c>
      <c r="Q320" s="32">
        <v>10</v>
      </c>
      <c r="R320" s="32" t="s">
        <v>49</v>
      </c>
      <c r="S320" s="32" t="s">
        <v>50</v>
      </c>
      <c r="T320" s="79" t="s">
        <v>50</v>
      </c>
      <c r="U320" s="79" t="s">
        <v>50</v>
      </c>
      <c r="V320" s="32" t="s">
        <v>50</v>
      </c>
      <c r="W320" s="32" t="s">
        <v>50</v>
      </c>
      <c r="X320" s="32" t="s">
        <v>50</v>
      </c>
      <c r="Y320" s="35" t="s">
        <v>7934</v>
      </c>
    </row>
    <row r="321" spans="1:25" s="27" customFormat="1" x14ac:dyDescent="0.25">
      <c r="A321" s="26">
        <v>43005</v>
      </c>
      <c r="B321" s="92" t="str">
        <f t="shared" si="4"/>
        <v>Wed</v>
      </c>
      <c r="C321" s="27" t="s">
        <v>44</v>
      </c>
      <c r="D321" s="27">
        <v>38.145629999999997</v>
      </c>
      <c r="E321" s="27">
        <v>-121.55423</v>
      </c>
      <c r="F321" s="27" t="s">
        <v>7977</v>
      </c>
      <c r="G321" s="27" t="s">
        <v>46</v>
      </c>
      <c r="H321" s="27" t="s">
        <v>6881</v>
      </c>
      <c r="I321" s="30">
        <v>0.3263888888888889</v>
      </c>
      <c r="J321" s="13">
        <f>AVERAGE(102.7,103.7,103.6,103.9,104,104.2,104.1,101.4)</f>
        <v>103.45</v>
      </c>
      <c r="K321" s="13">
        <f>AVERAGE(17.6,17.7,17.7,17.7,17.7,17.8,17.9,17.8)</f>
        <v>17.737500000000001</v>
      </c>
      <c r="L321" s="13">
        <f>AVERAGE(5.69,4.56,5.52,4.79,4.04,4.15,5.25,4.81)</f>
        <v>4.8512500000000003</v>
      </c>
      <c r="M321" s="13">
        <v>1.8</v>
      </c>
      <c r="N321" s="90" t="s">
        <v>50</v>
      </c>
      <c r="O321" s="32" t="s">
        <v>48</v>
      </c>
      <c r="P321" s="32">
        <v>8</v>
      </c>
      <c r="Q321" s="32">
        <v>10</v>
      </c>
      <c r="R321" s="32" t="s">
        <v>64</v>
      </c>
      <c r="S321" s="32" t="s">
        <v>50</v>
      </c>
      <c r="T321" s="79" t="s">
        <v>50</v>
      </c>
      <c r="U321" s="79" t="s">
        <v>50</v>
      </c>
      <c r="V321" s="32" t="s">
        <v>50</v>
      </c>
      <c r="W321" s="32" t="s">
        <v>50</v>
      </c>
      <c r="X321" s="32" t="s">
        <v>50</v>
      </c>
      <c r="Y321" s="35"/>
    </row>
    <row r="322" spans="1:25" s="27" customFormat="1" x14ac:dyDescent="0.25">
      <c r="A322" s="26">
        <v>43005</v>
      </c>
      <c r="B322" s="92" t="str">
        <f t="shared" si="4"/>
        <v>Wed</v>
      </c>
      <c r="C322" s="27" t="s">
        <v>44</v>
      </c>
      <c r="D322" s="27">
        <v>38.12921</v>
      </c>
      <c r="E322" s="27">
        <v>-121.50176999999999</v>
      </c>
      <c r="F322" s="27" t="s">
        <v>7978</v>
      </c>
      <c r="G322" s="27" t="s">
        <v>46</v>
      </c>
      <c r="H322" s="27" t="s">
        <v>6881</v>
      </c>
      <c r="I322" s="30">
        <v>0.45694444444444443</v>
      </c>
      <c r="J322" s="13">
        <f>AVERAGE(108.7,106.9,107.4,107.6,108.2,107.8,109,108.6)</f>
        <v>108.02500000000001</v>
      </c>
      <c r="K322" s="13">
        <f>AVERAGE(18.9,18.5,18.5,18.6,18.7,18.8,19.1,18.8)</f>
        <v>18.737500000000001</v>
      </c>
      <c r="L322" s="13">
        <f>AVERAGE(4.12,4.04,3.39,3.48,3.39,3.62,3.47,3.26)</f>
        <v>3.5962500000000004</v>
      </c>
      <c r="M322" s="13">
        <f>AVERAGE(1.8,1.8,1.8)</f>
        <v>1.8</v>
      </c>
      <c r="N322" s="90" t="s">
        <v>50</v>
      </c>
      <c r="O322" s="32" t="s">
        <v>48</v>
      </c>
      <c r="P322" s="32">
        <v>8</v>
      </c>
      <c r="Q322" s="32">
        <v>10</v>
      </c>
      <c r="R322" s="32" t="s">
        <v>64</v>
      </c>
      <c r="S322" s="32" t="s">
        <v>50</v>
      </c>
      <c r="T322" s="79" t="s">
        <v>50</v>
      </c>
      <c r="U322" s="79" t="s">
        <v>50</v>
      </c>
      <c r="V322" s="32" t="s">
        <v>50</v>
      </c>
      <c r="W322" s="32" t="s">
        <v>50</v>
      </c>
      <c r="X322" s="32" t="s">
        <v>50</v>
      </c>
      <c r="Y322" s="35"/>
    </row>
    <row r="323" spans="1:25" s="27" customFormat="1" x14ac:dyDescent="0.25">
      <c r="A323" s="26">
        <v>43007</v>
      </c>
      <c r="B323" s="92" t="str">
        <f t="shared" si="4"/>
        <v>Fri</v>
      </c>
      <c r="C323" s="27" t="s">
        <v>7570</v>
      </c>
      <c r="D323" s="27">
        <v>38.059660000000001</v>
      </c>
      <c r="E323" s="27">
        <v>-121.99928</v>
      </c>
      <c r="F323" s="27" t="s">
        <v>7979</v>
      </c>
      <c r="G323" s="27" t="s">
        <v>27</v>
      </c>
      <c r="H323" s="27" t="s">
        <v>86</v>
      </c>
      <c r="I323" s="30">
        <v>0.34722222222222227</v>
      </c>
      <c r="J323" s="13">
        <f>AVERAGE(2977,3605,4831,4890)</f>
        <v>4075.75</v>
      </c>
      <c r="K323" s="13">
        <f>AVERAGE(19.6,19.6,19.6,19.7)</f>
        <v>19.625</v>
      </c>
      <c r="L323" s="13">
        <f>AVERAGE(12.3,12.8,13.7,13.1)</f>
        <v>12.975</v>
      </c>
      <c r="M323" s="13">
        <f>AVERAGE(0.81,0.79,0.84,0.82)</f>
        <v>0.81499999999999995</v>
      </c>
      <c r="N323" s="90" t="s">
        <v>50</v>
      </c>
      <c r="O323" s="32" t="s">
        <v>48</v>
      </c>
      <c r="P323" s="32">
        <v>4</v>
      </c>
      <c r="Q323" s="32">
        <v>5</v>
      </c>
      <c r="R323" s="32" t="s">
        <v>64</v>
      </c>
      <c r="S323" s="32" t="s">
        <v>323</v>
      </c>
      <c r="T323" s="79">
        <v>1</v>
      </c>
      <c r="U323" s="79">
        <v>58</v>
      </c>
      <c r="V323" s="32" t="s">
        <v>66</v>
      </c>
      <c r="W323" s="32" t="s">
        <v>50</v>
      </c>
      <c r="X323" s="32" t="s">
        <v>50</v>
      </c>
      <c r="Y323" s="88" t="s">
        <v>7942</v>
      </c>
    </row>
    <row r="324" spans="1:25" s="149" customFormat="1" x14ac:dyDescent="0.25">
      <c r="A324" s="178">
        <v>43007</v>
      </c>
      <c r="B324" s="148" t="str">
        <f t="shared" ref="B324:B387" si="5">TEXT(A324,"ddd")</f>
        <v>Fri</v>
      </c>
      <c r="C324" s="149" t="s">
        <v>7570</v>
      </c>
      <c r="D324" s="149">
        <v>38.10286</v>
      </c>
      <c r="E324" s="149">
        <v>-122.03961</v>
      </c>
      <c r="F324" s="149" t="s">
        <v>7980</v>
      </c>
      <c r="G324" s="149" t="s">
        <v>27</v>
      </c>
      <c r="H324" s="149" t="s">
        <v>86</v>
      </c>
      <c r="I324" s="165" t="s">
        <v>50</v>
      </c>
      <c r="J324" s="163" t="s">
        <v>50</v>
      </c>
      <c r="K324" s="163" t="s">
        <v>50</v>
      </c>
      <c r="L324" s="163" t="s">
        <v>50</v>
      </c>
      <c r="M324" s="163" t="s">
        <v>50</v>
      </c>
      <c r="N324" s="177" t="s">
        <v>50</v>
      </c>
      <c r="O324" s="161" t="s">
        <v>48</v>
      </c>
      <c r="P324" s="161">
        <v>0</v>
      </c>
      <c r="Q324" s="161" t="s">
        <v>50</v>
      </c>
      <c r="R324" s="161" t="s">
        <v>50</v>
      </c>
      <c r="S324" s="161" t="s">
        <v>50</v>
      </c>
      <c r="T324" s="164" t="s">
        <v>50</v>
      </c>
      <c r="U324" s="164" t="s">
        <v>50</v>
      </c>
      <c r="V324" s="161" t="s">
        <v>50</v>
      </c>
      <c r="W324" s="161" t="s">
        <v>50</v>
      </c>
      <c r="X324" s="161" t="s">
        <v>50</v>
      </c>
      <c r="Y324" s="152" t="s">
        <v>7444</v>
      </c>
    </row>
    <row r="325" spans="1:25" s="27" customFormat="1" x14ac:dyDescent="0.25">
      <c r="A325" s="26">
        <v>43007</v>
      </c>
      <c r="B325" s="92" t="str">
        <f t="shared" si="5"/>
        <v>Fri</v>
      </c>
      <c r="C325" s="27" t="s">
        <v>88</v>
      </c>
      <c r="D325" s="27">
        <v>38.056739999999998</v>
      </c>
      <c r="E325" s="27">
        <v>-121.87676</v>
      </c>
      <c r="F325" s="27" t="s">
        <v>7981</v>
      </c>
      <c r="G325" s="27" t="s">
        <v>27</v>
      </c>
      <c r="H325" s="27" t="s">
        <v>25</v>
      </c>
      <c r="I325" s="30">
        <v>0.33958333333333335</v>
      </c>
      <c r="J325" s="13">
        <f>AVERAGE(157.4,196.3)</f>
        <v>176.85000000000002</v>
      </c>
      <c r="K325" s="13">
        <f>AVERAGE(18.9,19)</f>
        <v>18.95</v>
      </c>
      <c r="L325" s="13">
        <f>AVERAGE(9.68,13.6)</f>
        <v>11.64</v>
      </c>
      <c r="M325" s="13">
        <f>AVERAGE(1.07,1)</f>
        <v>1.0350000000000001</v>
      </c>
      <c r="N325" s="90" t="s">
        <v>50</v>
      </c>
      <c r="O325" s="32" t="s">
        <v>48</v>
      </c>
      <c r="P325" s="32">
        <v>2</v>
      </c>
      <c r="Q325" s="32">
        <v>5</v>
      </c>
      <c r="R325" s="32" t="s">
        <v>64</v>
      </c>
      <c r="S325" s="32" t="s">
        <v>323</v>
      </c>
      <c r="T325" s="79">
        <v>1</v>
      </c>
      <c r="U325" s="79">
        <v>56</v>
      </c>
      <c r="V325" s="32" t="s">
        <v>66</v>
      </c>
      <c r="W325" s="32" t="s">
        <v>50</v>
      </c>
      <c r="X325" s="32" t="s">
        <v>50</v>
      </c>
      <c r="Y325" s="88" t="s">
        <v>7942</v>
      </c>
    </row>
    <row r="326" spans="1:25" s="27" customFormat="1" x14ac:dyDescent="0.25">
      <c r="A326" s="26">
        <v>43007</v>
      </c>
      <c r="B326" s="92" t="str">
        <f t="shared" si="5"/>
        <v>Fri</v>
      </c>
      <c r="C326" s="27" t="s">
        <v>88</v>
      </c>
      <c r="D326" s="27">
        <v>38.140210000000003</v>
      </c>
      <c r="E326" s="27">
        <v>-121.69189</v>
      </c>
      <c r="F326" s="27" t="s">
        <v>7982</v>
      </c>
      <c r="G326" s="27" t="s">
        <v>90</v>
      </c>
      <c r="H326" s="27" t="s">
        <v>91</v>
      </c>
      <c r="I326" s="30">
        <v>0.41319444444444442</v>
      </c>
      <c r="J326" s="13">
        <f>AVERAGE(102.5,103.7,103.1,103.1,103.3)</f>
        <v>103.13999999999999</v>
      </c>
      <c r="K326" s="13">
        <f>AVERAGE(18,18,18,18,18.1)</f>
        <v>18.02</v>
      </c>
      <c r="L326" s="13">
        <f>AVERAGE(10.3,8.44,7.2,7.71,6.96)</f>
        <v>8.1219999999999999</v>
      </c>
      <c r="M326" s="13">
        <f>AVERAGE(1.7)</f>
        <v>1.7</v>
      </c>
      <c r="N326" s="90" t="s">
        <v>50</v>
      </c>
      <c r="O326" s="32" t="s">
        <v>48</v>
      </c>
      <c r="P326" s="32">
        <v>5</v>
      </c>
      <c r="Q326" s="32">
        <v>5</v>
      </c>
      <c r="R326" s="32" t="s">
        <v>64</v>
      </c>
      <c r="S326" s="32" t="s">
        <v>50</v>
      </c>
      <c r="T326" s="79" t="s">
        <v>50</v>
      </c>
      <c r="U326" s="79" t="s">
        <v>50</v>
      </c>
      <c r="V326" s="32" t="s">
        <v>50</v>
      </c>
      <c r="W326" s="32" t="s">
        <v>50</v>
      </c>
      <c r="X326" s="32" t="s">
        <v>50</v>
      </c>
      <c r="Y326" s="35" t="s">
        <v>7934</v>
      </c>
    </row>
    <row r="327" spans="1:25" s="27" customFormat="1" x14ac:dyDescent="0.25">
      <c r="A327" s="26">
        <v>43007</v>
      </c>
      <c r="B327" s="92" t="str">
        <f t="shared" si="5"/>
        <v>Fri</v>
      </c>
      <c r="C327" s="27" t="s">
        <v>44</v>
      </c>
      <c r="D327" s="27">
        <v>38.018949999999997</v>
      </c>
      <c r="E327" s="27">
        <v>-121.57689000000001</v>
      </c>
      <c r="F327" s="27" t="s">
        <v>7983</v>
      </c>
      <c r="G327" s="27" t="s">
        <v>46</v>
      </c>
      <c r="H327" s="27" t="s">
        <v>74</v>
      </c>
      <c r="I327" s="30">
        <v>0.32569444444444445</v>
      </c>
      <c r="J327" s="13">
        <f>AVERAGE(140,142.1,143,143.8,142.3,142.3,142.3,142.3)</f>
        <v>142.26249999999999</v>
      </c>
      <c r="K327" s="13">
        <f>AVERAGE(20.5,20.5,20.5,20.6,20.6,20.5,20.6,20.6)</f>
        <v>20.549999999999997</v>
      </c>
      <c r="L327" s="13">
        <f>AVERAGE(2.32,2.11,2.34,1.94,1.86,2,2.65,1.88)</f>
        <v>2.1374999999999997</v>
      </c>
      <c r="M327" s="13">
        <f>AVERAGE(1.8)</f>
        <v>1.8</v>
      </c>
      <c r="N327" s="90" t="s">
        <v>50</v>
      </c>
      <c r="O327" s="32" t="s">
        <v>48</v>
      </c>
      <c r="P327" s="32">
        <v>8</v>
      </c>
      <c r="Q327" s="32">
        <v>10</v>
      </c>
      <c r="R327" s="32" t="s">
        <v>49</v>
      </c>
      <c r="S327" s="32" t="s">
        <v>50</v>
      </c>
      <c r="T327" s="81" t="s">
        <v>50</v>
      </c>
      <c r="U327" s="81" t="s">
        <v>50</v>
      </c>
      <c r="V327" s="32" t="s">
        <v>50</v>
      </c>
      <c r="W327" s="32" t="s">
        <v>50</v>
      </c>
      <c r="X327" s="32" t="s">
        <v>50</v>
      </c>
      <c r="Y327" s="35"/>
    </row>
    <row r="328" spans="1:25" s="108" customFormat="1" ht="15.75" thickBot="1" x14ac:dyDescent="0.3">
      <c r="A328" s="126">
        <v>43007</v>
      </c>
      <c r="B328" s="107" t="str">
        <f t="shared" si="5"/>
        <v>Fri</v>
      </c>
      <c r="C328" s="108" t="s">
        <v>44</v>
      </c>
      <c r="D328" s="108">
        <v>38.039119999999997</v>
      </c>
      <c r="E328" s="108">
        <v>-121.58564</v>
      </c>
      <c r="F328" s="108" t="s">
        <v>7984</v>
      </c>
      <c r="G328" s="108" t="s">
        <v>46</v>
      </c>
      <c r="H328" s="108" t="s">
        <v>47</v>
      </c>
      <c r="I328" s="122">
        <v>0.41944444444444445</v>
      </c>
      <c r="J328" s="127">
        <f>AVERAGE(143,143,140.2,140.2,138.5,139.1,139.2,138.5)</f>
        <v>140.21250000000001</v>
      </c>
      <c r="K328" s="127">
        <f>AVERAGE(20.7,20.7,20.5,20.5,20.4,20.5,20.6)</f>
        <v>20.557142857142857</v>
      </c>
      <c r="L328" s="127">
        <f>AVERAGE(1.55,1.76,2.07,2.43,1.58,3.99,3.88,4.19)</f>
        <v>2.6812500000000004</v>
      </c>
      <c r="M328" s="127">
        <f>AVERAGE(1.8)</f>
        <v>1.8</v>
      </c>
      <c r="N328" s="125" t="s">
        <v>50</v>
      </c>
      <c r="O328" s="118" t="s">
        <v>48</v>
      </c>
      <c r="P328" s="118">
        <v>8</v>
      </c>
      <c r="Q328" s="118">
        <v>10</v>
      </c>
      <c r="R328" s="118" t="s">
        <v>64</v>
      </c>
      <c r="S328" s="118" t="s">
        <v>50</v>
      </c>
      <c r="T328" s="119" t="s">
        <v>50</v>
      </c>
      <c r="U328" s="119" t="s">
        <v>50</v>
      </c>
      <c r="V328" s="118" t="s">
        <v>50</v>
      </c>
      <c r="W328" s="118" t="s">
        <v>50</v>
      </c>
      <c r="X328" s="118" t="s">
        <v>50</v>
      </c>
      <c r="Y328" s="113"/>
    </row>
    <row r="329" spans="1:25" s="27" customFormat="1" ht="15.75" thickTop="1" x14ac:dyDescent="0.25">
      <c r="A329" s="29">
        <v>43010</v>
      </c>
      <c r="B329" s="92" t="str">
        <f t="shared" si="5"/>
        <v>Mon</v>
      </c>
      <c r="C329" s="27" t="s">
        <v>845</v>
      </c>
      <c r="D329" s="27">
        <v>38.373060000000002</v>
      </c>
      <c r="E329" s="27">
        <v>-121.62949</v>
      </c>
      <c r="F329" s="27" t="s">
        <v>7985</v>
      </c>
      <c r="G329" s="27" t="s">
        <v>90</v>
      </c>
      <c r="H329" s="27" t="s">
        <v>126</v>
      </c>
      <c r="I329" s="120">
        <v>0.35069444444444442</v>
      </c>
      <c r="J329" s="121">
        <v>431.06</v>
      </c>
      <c r="K329" s="121">
        <v>19.28</v>
      </c>
      <c r="L329" s="121">
        <v>23.08</v>
      </c>
      <c r="M329" s="121">
        <v>0.44400000000000001</v>
      </c>
      <c r="N329" s="90" t="s">
        <v>50</v>
      </c>
      <c r="O329" s="33" t="s">
        <v>48</v>
      </c>
      <c r="P329" s="33">
        <v>5</v>
      </c>
      <c r="Q329" s="33">
        <v>5</v>
      </c>
      <c r="R329" s="33" t="s">
        <v>49</v>
      </c>
      <c r="S329" s="33" t="s">
        <v>50</v>
      </c>
      <c r="T329" s="116" t="s">
        <v>50</v>
      </c>
      <c r="U329" s="116" t="s">
        <v>50</v>
      </c>
      <c r="V329" s="33" t="s">
        <v>50</v>
      </c>
      <c r="W329" s="33" t="s">
        <v>50</v>
      </c>
      <c r="X329" s="33" t="s">
        <v>50</v>
      </c>
      <c r="Y329" s="35" t="s">
        <v>7934</v>
      </c>
    </row>
    <row r="330" spans="1:25" s="27" customFormat="1" x14ac:dyDescent="0.25">
      <c r="A330" s="36">
        <v>43010</v>
      </c>
      <c r="B330" s="92" t="str">
        <f t="shared" si="5"/>
        <v>Mon</v>
      </c>
      <c r="C330" s="27" t="s">
        <v>845</v>
      </c>
      <c r="D330" s="27">
        <v>38.192239999999998</v>
      </c>
      <c r="E330" s="27">
        <v>-121.65715</v>
      </c>
      <c r="F330" s="27" t="s">
        <v>7986</v>
      </c>
      <c r="G330" s="27" t="s">
        <v>90</v>
      </c>
      <c r="H330" s="27" t="s">
        <v>126</v>
      </c>
      <c r="I330" s="30">
        <v>0.44305555555555554</v>
      </c>
      <c r="J330" s="31">
        <v>100.88</v>
      </c>
      <c r="K330" s="31">
        <v>17.7</v>
      </c>
      <c r="L330" s="31">
        <v>18.36</v>
      </c>
      <c r="M330" s="31">
        <v>0.52</v>
      </c>
      <c r="N330" s="90" t="s">
        <v>50</v>
      </c>
      <c r="O330" s="32" t="s">
        <v>48</v>
      </c>
      <c r="P330" s="32">
        <v>5</v>
      </c>
      <c r="Q330" s="32">
        <v>5</v>
      </c>
      <c r="R330" s="32" t="s">
        <v>49</v>
      </c>
      <c r="S330" s="32" t="s">
        <v>50</v>
      </c>
      <c r="T330" s="79" t="s">
        <v>50</v>
      </c>
      <c r="U330" s="79" t="s">
        <v>50</v>
      </c>
      <c r="V330" s="32" t="s">
        <v>50</v>
      </c>
      <c r="W330" s="32" t="s">
        <v>50</v>
      </c>
      <c r="X330" s="32" t="s">
        <v>50</v>
      </c>
      <c r="Y330" s="35" t="s">
        <v>7934</v>
      </c>
    </row>
    <row r="331" spans="1:25" s="27" customFormat="1" x14ac:dyDescent="0.25">
      <c r="A331" s="36">
        <v>43010</v>
      </c>
      <c r="B331" s="92" t="str">
        <f t="shared" si="5"/>
        <v>Mon</v>
      </c>
      <c r="C331" s="27" t="s">
        <v>7570</v>
      </c>
      <c r="D331" s="27">
        <v>38.162399999999998</v>
      </c>
      <c r="E331" s="27">
        <v>-122.04694000000001</v>
      </c>
      <c r="F331" s="27" t="s">
        <v>7987</v>
      </c>
      <c r="G331" s="27" t="s">
        <v>27</v>
      </c>
      <c r="H331" s="27" t="s">
        <v>62</v>
      </c>
      <c r="I331" s="30">
        <v>0.3972222222222222</v>
      </c>
      <c r="J331" s="31">
        <v>6822.4</v>
      </c>
      <c r="K331" s="31">
        <v>19.62</v>
      </c>
      <c r="L331" s="31">
        <v>44.82</v>
      </c>
      <c r="M331" s="31">
        <v>0.42</v>
      </c>
      <c r="N331" s="90" t="s">
        <v>50</v>
      </c>
      <c r="O331" s="32" t="s">
        <v>48</v>
      </c>
      <c r="P331" s="32">
        <v>5</v>
      </c>
      <c r="Q331" s="32">
        <v>5</v>
      </c>
      <c r="R331" s="32" t="s">
        <v>64</v>
      </c>
      <c r="S331" s="32" t="s">
        <v>50</v>
      </c>
      <c r="T331" s="79" t="s">
        <v>50</v>
      </c>
      <c r="U331" s="79" t="s">
        <v>50</v>
      </c>
      <c r="V331" s="32" t="s">
        <v>50</v>
      </c>
      <c r="W331" s="32" t="s">
        <v>50</v>
      </c>
      <c r="X331" s="32" t="s">
        <v>50</v>
      </c>
      <c r="Y331" s="35" t="s">
        <v>7934</v>
      </c>
    </row>
    <row r="332" spans="1:25" s="27" customFormat="1" x14ac:dyDescent="0.25">
      <c r="A332" s="36">
        <v>43010</v>
      </c>
      <c r="B332" s="92" t="str">
        <f t="shared" si="5"/>
        <v>Mon</v>
      </c>
      <c r="C332" s="27" t="s">
        <v>7570</v>
      </c>
      <c r="D332" s="27">
        <v>38.063290000000002</v>
      </c>
      <c r="E332" s="27">
        <v>-122.02007</v>
      </c>
      <c r="F332" s="27" t="s">
        <v>7988</v>
      </c>
      <c r="G332" s="27" t="s">
        <v>27</v>
      </c>
      <c r="H332" s="27" t="s">
        <v>86</v>
      </c>
      <c r="I332" s="30">
        <v>0.46666666666666662</v>
      </c>
      <c r="J332" s="31">
        <v>8364.6</v>
      </c>
      <c r="K332" s="31">
        <v>19.68</v>
      </c>
      <c r="L332" s="31">
        <v>22.4</v>
      </c>
      <c r="M332" s="31">
        <v>0.77</v>
      </c>
      <c r="N332" s="90" t="s">
        <v>50</v>
      </c>
      <c r="O332" s="32" t="s">
        <v>48</v>
      </c>
      <c r="P332" s="32">
        <v>5</v>
      </c>
      <c r="Q332" s="32">
        <v>5</v>
      </c>
      <c r="R332" s="32" t="s">
        <v>49</v>
      </c>
      <c r="S332" s="32" t="s">
        <v>50</v>
      </c>
      <c r="T332" s="79" t="s">
        <v>50</v>
      </c>
      <c r="U332" s="79" t="s">
        <v>50</v>
      </c>
      <c r="V332" s="32" t="s">
        <v>50</v>
      </c>
      <c r="W332" s="32" t="s">
        <v>50</v>
      </c>
      <c r="X332" s="32" t="s">
        <v>50</v>
      </c>
      <c r="Y332" s="35" t="s">
        <v>7934</v>
      </c>
    </row>
    <row r="333" spans="1:25" s="27" customFormat="1" x14ac:dyDescent="0.25">
      <c r="A333" s="36">
        <v>43010</v>
      </c>
      <c r="B333" s="92" t="str">
        <f t="shared" si="5"/>
        <v>Mon</v>
      </c>
      <c r="C333" s="27" t="s">
        <v>44</v>
      </c>
      <c r="D333" s="27">
        <v>38.143329999999999</v>
      </c>
      <c r="E333" s="27">
        <v>-121.47306</v>
      </c>
      <c r="F333" s="27" t="s">
        <v>7989</v>
      </c>
      <c r="G333" s="27" t="s">
        <v>46</v>
      </c>
      <c r="H333" s="27" t="s">
        <v>6881</v>
      </c>
      <c r="I333" s="30">
        <v>0.33611111111111108</v>
      </c>
      <c r="J333" s="31">
        <v>117.6</v>
      </c>
      <c r="K333" s="31">
        <v>19.212499999999999</v>
      </c>
      <c r="L333" s="31">
        <v>3.73875</v>
      </c>
      <c r="M333" s="31">
        <v>1.79375</v>
      </c>
      <c r="N333" s="90" t="s">
        <v>50</v>
      </c>
      <c r="O333" s="32" t="s">
        <v>48</v>
      </c>
      <c r="P333" s="32">
        <v>8</v>
      </c>
      <c r="Q333" s="32">
        <v>10</v>
      </c>
      <c r="R333" s="32" t="s">
        <v>49</v>
      </c>
      <c r="S333" s="32" t="s">
        <v>50</v>
      </c>
      <c r="T333" s="79" t="s">
        <v>50</v>
      </c>
      <c r="U333" s="79" t="s">
        <v>50</v>
      </c>
      <c r="V333" s="32" t="s">
        <v>50</v>
      </c>
      <c r="W333" s="32" t="s">
        <v>50</v>
      </c>
      <c r="X333" s="32" t="s">
        <v>50</v>
      </c>
      <c r="Y333" s="35"/>
    </row>
    <row r="334" spans="1:25" s="27" customFormat="1" x14ac:dyDescent="0.25">
      <c r="A334" s="36">
        <v>43010</v>
      </c>
      <c r="B334" s="92" t="str">
        <f t="shared" si="5"/>
        <v>Mon</v>
      </c>
      <c r="C334" s="27" t="s">
        <v>44</v>
      </c>
      <c r="D334" s="27">
        <v>38.164569999999998</v>
      </c>
      <c r="E334" s="27">
        <v>-121.53121</v>
      </c>
      <c r="F334" s="27" t="s">
        <v>7990</v>
      </c>
      <c r="G334" s="27" t="s">
        <v>46</v>
      </c>
      <c r="H334" s="27" t="s">
        <v>6881</v>
      </c>
      <c r="I334" s="30">
        <v>0.45555555555555555</v>
      </c>
      <c r="J334" s="31">
        <v>88.674999999999997</v>
      </c>
      <c r="K334" s="31">
        <v>17.112500000000001</v>
      </c>
      <c r="L334" s="31">
        <v>11.79125</v>
      </c>
      <c r="M334" s="31">
        <v>1.19875</v>
      </c>
      <c r="N334" s="90" t="s">
        <v>50</v>
      </c>
      <c r="O334" s="32" t="s">
        <v>48</v>
      </c>
      <c r="P334" s="32">
        <v>8</v>
      </c>
      <c r="Q334" s="32">
        <v>10</v>
      </c>
      <c r="R334" s="32" t="s">
        <v>49</v>
      </c>
      <c r="S334" s="32" t="s">
        <v>50</v>
      </c>
      <c r="T334" s="79" t="s">
        <v>50</v>
      </c>
      <c r="U334" s="79" t="s">
        <v>50</v>
      </c>
      <c r="V334" s="32" t="s">
        <v>50</v>
      </c>
      <c r="W334" s="32" t="s">
        <v>50</v>
      </c>
      <c r="X334" s="32" t="s">
        <v>50</v>
      </c>
      <c r="Y334" s="35"/>
    </row>
    <row r="335" spans="1:25" s="149" customFormat="1" x14ac:dyDescent="0.25">
      <c r="A335" s="160">
        <v>43011</v>
      </c>
      <c r="B335" s="148" t="str">
        <f t="shared" si="5"/>
        <v>Tue</v>
      </c>
      <c r="C335" s="149" t="s">
        <v>44</v>
      </c>
      <c r="D335" s="149">
        <v>38.072629999999997</v>
      </c>
      <c r="E335" s="149">
        <v>-121.56573</v>
      </c>
      <c r="F335" s="149" t="s">
        <v>7991</v>
      </c>
      <c r="G335" s="149" t="s">
        <v>46</v>
      </c>
      <c r="H335" s="149" t="s">
        <v>115</v>
      </c>
      <c r="I335" s="165" t="s">
        <v>50</v>
      </c>
      <c r="J335" s="163" t="s">
        <v>50</v>
      </c>
      <c r="K335" s="163" t="s">
        <v>50</v>
      </c>
      <c r="L335" s="163" t="s">
        <v>50</v>
      </c>
      <c r="M335" s="163" t="s">
        <v>50</v>
      </c>
      <c r="N335" s="177" t="s">
        <v>50</v>
      </c>
      <c r="O335" s="161" t="s">
        <v>48</v>
      </c>
      <c r="P335" s="161">
        <v>0</v>
      </c>
      <c r="Q335" s="161" t="s">
        <v>50</v>
      </c>
      <c r="R335" s="161" t="s">
        <v>50</v>
      </c>
      <c r="S335" s="161" t="s">
        <v>50</v>
      </c>
      <c r="T335" s="162" t="s">
        <v>50</v>
      </c>
      <c r="U335" s="162" t="s">
        <v>50</v>
      </c>
      <c r="V335" s="161" t="s">
        <v>50</v>
      </c>
      <c r="W335" s="161" t="s">
        <v>50</v>
      </c>
      <c r="X335" s="161" t="s">
        <v>50</v>
      </c>
      <c r="Y335" s="152" t="s">
        <v>7992</v>
      </c>
    </row>
    <row r="336" spans="1:25" s="27" customFormat="1" x14ac:dyDescent="0.25">
      <c r="A336" s="36">
        <v>43011</v>
      </c>
      <c r="B336" s="92" t="str">
        <f t="shared" si="5"/>
        <v>Tue</v>
      </c>
      <c r="C336" s="27" t="s">
        <v>44</v>
      </c>
      <c r="D336" s="27">
        <v>38.071390000000001</v>
      </c>
      <c r="E336" s="27">
        <v>-121.56592000000001</v>
      </c>
      <c r="F336" s="27" t="s">
        <v>7993</v>
      </c>
      <c r="G336" s="27" t="s">
        <v>46</v>
      </c>
      <c r="H336" s="27" t="s">
        <v>115</v>
      </c>
      <c r="I336" s="30">
        <v>0.48125000000000001</v>
      </c>
      <c r="J336" s="13">
        <f>AVERAGE(111.5,105.9,107.1,107.2,101.8,105.4,107.1,106.5)</f>
        <v>106.5625</v>
      </c>
      <c r="K336" s="13">
        <f>AVERAGE(18.4,18.6,18.7,18.7,18.5,18.6,18.7,18.8)</f>
        <v>18.625</v>
      </c>
      <c r="L336" s="13">
        <f>AVERAGE(4.76,5.47,6.06,5.19,4.7,4.77,5.6,6.01)</f>
        <v>5.3199999999999994</v>
      </c>
      <c r="M336" s="13">
        <f>AVERAGE(1.75,1.65,1.66,1.8,1.8,1.72,1.71,1.64)</f>
        <v>1.7162500000000001</v>
      </c>
      <c r="N336" s="90" t="s">
        <v>50</v>
      </c>
      <c r="O336" s="32" t="s">
        <v>48</v>
      </c>
      <c r="P336" s="32">
        <v>8</v>
      </c>
      <c r="Q336" s="32">
        <v>10</v>
      </c>
      <c r="R336" s="32" t="s">
        <v>64</v>
      </c>
      <c r="S336" s="32" t="s">
        <v>50</v>
      </c>
      <c r="T336" s="79" t="s">
        <v>50</v>
      </c>
      <c r="U336" s="79" t="s">
        <v>50</v>
      </c>
      <c r="V336" s="32" t="s">
        <v>50</v>
      </c>
      <c r="W336" s="32" t="s">
        <v>50</v>
      </c>
      <c r="X336" s="32" t="s">
        <v>50</v>
      </c>
      <c r="Y336" s="35"/>
    </row>
    <row r="337" spans="1:25" s="27" customFormat="1" x14ac:dyDescent="0.25">
      <c r="A337" s="36">
        <v>43011</v>
      </c>
      <c r="B337" s="92" t="str">
        <f t="shared" si="5"/>
        <v>Tue</v>
      </c>
      <c r="C337" s="27" t="s">
        <v>44</v>
      </c>
      <c r="D337" s="27">
        <v>38.047620000000002</v>
      </c>
      <c r="E337" s="27">
        <v>-121.47311000000001</v>
      </c>
      <c r="F337" s="27" t="s">
        <v>7994</v>
      </c>
      <c r="G337" s="27" t="s">
        <v>46</v>
      </c>
      <c r="H337" s="27" t="s">
        <v>6883</v>
      </c>
      <c r="I337" s="30">
        <v>0.37847222222222227</v>
      </c>
      <c r="J337" s="13">
        <f>AVERAGE(117.5,115.3,113.1,109.1,105.8,112.3,106.7,105.7)</f>
        <v>110.6875</v>
      </c>
      <c r="K337" s="13">
        <f>AVERAGE(18.8,18.7,18.6,18.5,18.4,18.7,18.5,18.5)</f>
        <v>18.587499999999999</v>
      </c>
      <c r="L337" s="13">
        <f>AVERAGE(4,2.94,3.4,3.83,3.31,3.25,4.01,3.49)</f>
        <v>3.5287500000000005</v>
      </c>
      <c r="M337" s="13">
        <f>AVERAGE(1.8)</f>
        <v>1.8</v>
      </c>
      <c r="N337" s="90" t="s">
        <v>50</v>
      </c>
      <c r="O337" s="32" t="s">
        <v>48</v>
      </c>
      <c r="P337" s="32">
        <v>8</v>
      </c>
      <c r="Q337" s="32">
        <v>10</v>
      </c>
      <c r="R337" s="32" t="s">
        <v>49</v>
      </c>
      <c r="S337" s="32" t="s">
        <v>50</v>
      </c>
      <c r="T337" s="79" t="s">
        <v>50</v>
      </c>
      <c r="U337" s="79" t="s">
        <v>50</v>
      </c>
      <c r="V337" s="32" t="s">
        <v>50</v>
      </c>
      <c r="W337" s="32" t="s">
        <v>50</v>
      </c>
      <c r="X337" s="32" t="s">
        <v>50</v>
      </c>
      <c r="Y337" s="35"/>
    </row>
    <row r="338" spans="1:25" s="27" customFormat="1" x14ac:dyDescent="0.25">
      <c r="A338" s="36">
        <v>43011</v>
      </c>
      <c r="B338" s="92" t="str">
        <f t="shared" si="5"/>
        <v>Tue</v>
      </c>
      <c r="C338" s="27" t="s">
        <v>106</v>
      </c>
      <c r="D338" s="27">
        <v>38.392850000000003</v>
      </c>
      <c r="E338" s="27">
        <v>-121.62484000000001</v>
      </c>
      <c r="F338" s="27" t="s">
        <v>7995</v>
      </c>
      <c r="G338" s="27" t="s">
        <v>90</v>
      </c>
      <c r="H338" s="27" t="s">
        <v>7577</v>
      </c>
      <c r="I338" s="30">
        <v>0.3430555555555555</v>
      </c>
      <c r="J338" s="13">
        <f>AVERAGE(157.9,158,158.2,158.4,158.5)</f>
        <v>158.19999999999999</v>
      </c>
      <c r="K338" s="13">
        <f>AVERAGE(17.9,18.1,18.1,18.2,18.2)</f>
        <v>18.100000000000001</v>
      </c>
      <c r="L338" s="13">
        <f>AVERAGE(21.9,26.7,27,29,28.5)</f>
        <v>26.619999999999997</v>
      </c>
      <c r="M338" s="13">
        <f>AVERAGE(0.43,0.43,0.42,0.4,0.34)</f>
        <v>0.40400000000000003</v>
      </c>
      <c r="N338" s="90" t="s">
        <v>50</v>
      </c>
      <c r="O338" s="32" t="s">
        <v>48</v>
      </c>
      <c r="P338" s="32">
        <v>5</v>
      </c>
      <c r="Q338" s="32">
        <v>5</v>
      </c>
      <c r="R338" s="32" t="s">
        <v>49</v>
      </c>
      <c r="S338" s="32" t="s">
        <v>50</v>
      </c>
      <c r="T338" s="79" t="s">
        <v>50</v>
      </c>
      <c r="U338" s="79" t="s">
        <v>50</v>
      </c>
      <c r="V338" s="32" t="s">
        <v>50</v>
      </c>
      <c r="W338" s="32" t="s">
        <v>50</v>
      </c>
      <c r="X338" s="32" t="s">
        <v>50</v>
      </c>
      <c r="Y338" s="35" t="s">
        <v>7934</v>
      </c>
    </row>
    <row r="339" spans="1:25" s="27" customFormat="1" x14ac:dyDescent="0.25">
      <c r="A339" s="36">
        <v>43011</v>
      </c>
      <c r="B339" s="92" t="str">
        <f t="shared" si="5"/>
        <v>Tue</v>
      </c>
      <c r="C339" s="27" t="s">
        <v>106</v>
      </c>
      <c r="D339" s="27">
        <v>38.423119999999997</v>
      </c>
      <c r="E339" s="27">
        <v>-121.60663</v>
      </c>
      <c r="F339" s="27" t="s">
        <v>7996</v>
      </c>
      <c r="G339" s="27" t="s">
        <v>90</v>
      </c>
      <c r="H339" s="27" t="s">
        <v>7577</v>
      </c>
      <c r="I339" s="30">
        <v>0.49583333333333335</v>
      </c>
      <c r="J339" s="13">
        <f>AVERAGE(590,588,570,564,570)</f>
        <v>576.4</v>
      </c>
      <c r="K339" s="13">
        <f>AVERAGE(19.5,19.5,19.5,19.4,19.4)</f>
        <v>19.46</v>
      </c>
      <c r="L339" s="13">
        <f>AVERAGE(25.1,24.3,24.9,23.2,23.7)</f>
        <v>24.240000000000002</v>
      </c>
      <c r="M339" s="13">
        <f>AVERAGE(0.44,0.51,0.47,0.42,0.41)</f>
        <v>0.45</v>
      </c>
      <c r="N339" s="90" t="s">
        <v>50</v>
      </c>
      <c r="O339" s="32" t="s">
        <v>48</v>
      </c>
      <c r="P339" s="32">
        <v>5</v>
      </c>
      <c r="Q339" s="32">
        <v>5</v>
      </c>
      <c r="R339" s="32" t="s">
        <v>64</v>
      </c>
      <c r="S339" s="32" t="s">
        <v>50</v>
      </c>
      <c r="T339" s="79" t="s">
        <v>50</v>
      </c>
      <c r="U339" s="79" t="s">
        <v>50</v>
      </c>
      <c r="V339" s="32" t="s">
        <v>50</v>
      </c>
      <c r="W339" s="32" t="s">
        <v>50</v>
      </c>
      <c r="X339" s="32" t="s">
        <v>50</v>
      </c>
      <c r="Y339" s="35" t="s">
        <v>7934</v>
      </c>
    </row>
    <row r="340" spans="1:25" s="27" customFormat="1" x14ac:dyDescent="0.25">
      <c r="A340" s="36">
        <v>43011</v>
      </c>
      <c r="B340" s="92" t="str">
        <f t="shared" si="5"/>
        <v>Tue</v>
      </c>
      <c r="C340" s="27" t="s">
        <v>7570</v>
      </c>
      <c r="D340" s="27">
        <v>38.060690000000001</v>
      </c>
      <c r="E340" s="27">
        <v>-121.99988999999999</v>
      </c>
      <c r="F340" s="27" t="s">
        <v>7997</v>
      </c>
      <c r="G340" s="27" t="s">
        <v>27</v>
      </c>
      <c r="H340" s="27" t="s">
        <v>86</v>
      </c>
      <c r="I340" s="30">
        <v>0.35416666666666669</v>
      </c>
      <c r="J340" s="13">
        <f>AVERAGE(4819,4910,4664,4505,4391)</f>
        <v>4657.8</v>
      </c>
      <c r="K340" s="13">
        <f>AVERAGE(19)</f>
        <v>19</v>
      </c>
      <c r="L340" s="13">
        <f>AVERAGE(19.6,20,20.7,23.8,22.3)</f>
        <v>21.279999999999998</v>
      </c>
      <c r="M340" s="13">
        <f>AVERAGE(0.58,0.6,0.63,0.61,0.63)</f>
        <v>0.61</v>
      </c>
      <c r="N340" s="90" t="s">
        <v>50</v>
      </c>
      <c r="O340" s="32" t="s">
        <v>48</v>
      </c>
      <c r="P340" s="32">
        <v>5</v>
      </c>
      <c r="Q340" s="32">
        <v>5</v>
      </c>
      <c r="R340" s="32" t="s">
        <v>49</v>
      </c>
      <c r="S340" s="32" t="s">
        <v>50</v>
      </c>
      <c r="T340" s="79" t="s">
        <v>50</v>
      </c>
      <c r="U340" s="79" t="s">
        <v>50</v>
      </c>
      <c r="V340" s="32" t="s">
        <v>50</v>
      </c>
      <c r="W340" s="32" t="s">
        <v>50</v>
      </c>
      <c r="X340" s="32" t="s">
        <v>50</v>
      </c>
      <c r="Y340" s="35" t="s">
        <v>7934</v>
      </c>
    </row>
    <row r="341" spans="1:25" s="27" customFormat="1" x14ac:dyDescent="0.25">
      <c r="A341" s="36">
        <v>43011</v>
      </c>
      <c r="B341" s="92" t="str">
        <f t="shared" si="5"/>
        <v>Tue</v>
      </c>
      <c r="C341" s="27" t="s">
        <v>7570</v>
      </c>
      <c r="D341" s="27">
        <v>38.096649999999997</v>
      </c>
      <c r="E341" s="16">
        <v>-122.04271</v>
      </c>
      <c r="F341" s="27" t="s">
        <v>7998</v>
      </c>
      <c r="G341" s="27" t="s">
        <v>27</v>
      </c>
      <c r="H341" s="27" t="s">
        <v>86</v>
      </c>
      <c r="I341" s="30">
        <v>0.40347222222222223</v>
      </c>
      <c r="J341" s="13">
        <f>AVERAGE(8679,8539,9507,9573,9943)</f>
        <v>9248.2000000000007</v>
      </c>
      <c r="K341" s="13">
        <f>AVERAGE(19,19,18.7,18.8,18.9)</f>
        <v>18.880000000000003</v>
      </c>
      <c r="L341" s="13">
        <f>AVERAGE(81.4,68.8,50.4,48,30.5)</f>
        <v>55.820000000000007</v>
      </c>
      <c r="M341" s="13">
        <f>AVERAGE(0.28,0.32,0.37,0.36,0.43)</f>
        <v>0.35199999999999998</v>
      </c>
      <c r="N341" s="90" t="s">
        <v>50</v>
      </c>
      <c r="O341" s="32" t="s">
        <v>48</v>
      </c>
      <c r="P341" s="32">
        <v>5</v>
      </c>
      <c r="Q341" s="32">
        <v>5</v>
      </c>
      <c r="R341" s="32" t="s">
        <v>64</v>
      </c>
      <c r="S341" s="32" t="s">
        <v>50</v>
      </c>
      <c r="T341" s="81" t="s">
        <v>50</v>
      </c>
      <c r="U341" s="81" t="s">
        <v>50</v>
      </c>
      <c r="V341" s="32" t="s">
        <v>50</v>
      </c>
      <c r="W341" s="32" t="s">
        <v>50</v>
      </c>
      <c r="X341" s="32" t="s">
        <v>50</v>
      </c>
      <c r="Y341" s="35" t="s">
        <v>7934</v>
      </c>
    </row>
    <row r="342" spans="1:25" s="27" customFormat="1" x14ac:dyDescent="0.25">
      <c r="A342" s="36">
        <v>43012</v>
      </c>
      <c r="B342" s="92" t="str">
        <f t="shared" si="5"/>
        <v>Wed</v>
      </c>
      <c r="C342" s="27" t="s">
        <v>118</v>
      </c>
      <c r="D342" s="27">
        <v>38.073770000000003</v>
      </c>
      <c r="E342" s="27">
        <v>-122.3323</v>
      </c>
      <c r="F342" s="27" t="s">
        <v>7999</v>
      </c>
      <c r="G342" s="27" t="s">
        <v>80</v>
      </c>
      <c r="H342" s="27" t="s">
        <v>123</v>
      </c>
      <c r="I342" s="30">
        <v>0.3979166666666667</v>
      </c>
      <c r="J342" s="31">
        <v>24816</v>
      </c>
      <c r="K342" s="31">
        <v>18.7</v>
      </c>
      <c r="L342" s="31">
        <v>25.05</v>
      </c>
      <c r="M342" s="31">
        <v>0.60499999999999998</v>
      </c>
      <c r="N342" s="90" t="s">
        <v>50</v>
      </c>
      <c r="O342" s="32" t="s">
        <v>48</v>
      </c>
      <c r="P342" s="32">
        <v>2</v>
      </c>
      <c r="Q342" s="32">
        <v>10</v>
      </c>
      <c r="R342" s="32" t="s">
        <v>64</v>
      </c>
      <c r="S342" s="32" t="s">
        <v>31</v>
      </c>
      <c r="T342" s="79">
        <v>1</v>
      </c>
      <c r="U342" s="79">
        <v>51</v>
      </c>
      <c r="V342" s="32" t="s">
        <v>66</v>
      </c>
      <c r="W342" s="32" t="s">
        <v>50</v>
      </c>
      <c r="X342" s="32" t="s">
        <v>50</v>
      </c>
      <c r="Y342" s="35" t="s">
        <v>8000</v>
      </c>
    </row>
    <row r="343" spans="1:25" s="27" customFormat="1" x14ac:dyDescent="0.25">
      <c r="A343" s="36">
        <v>43012</v>
      </c>
      <c r="B343" s="92" t="str">
        <f t="shared" si="5"/>
        <v>Wed</v>
      </c>
      <c r="C343" s="27" t="s">
        <v>95</v>
      </c>
      <c r="D343" s="89">
        <v>38.032910000000001</v>
      </c>
      <c r="E343" s="89">
        <v>-121.72</v>
      </c>
      <c r="F343" s="27" t="s">
        <v>8001</v>
      </c>
      <c r="G343" s="27" t="s">
        <v>27</v>
      </c>
      <c r="H343" s="27" t="s">
        <v>95</v>
      </c>
      <c r="I343" s="30">
        <v>0.31805555555555554</v>
      </c>
      <c r="J343" s="31">
        <v>236.5</v>
      </c>
      <c r="K343" s="31">
        <v>18.98</v>
      </c>
      <c r="L343" s="31">
        <v>10.846</v>
      </c>
      <c r="M343" s="31">
        <v>1.1779999999999999</v>
      </c>
      <c r="N343" s="90" t="s">
        <v>50</v>
      </c>
      <c r="O343" s="32" t="s">
        <v>48</v>
      </c>
      <c r="P343" s="32">
        <v>5</v>
      </c>
      <c r="Q343" s="32">
        <v>5</v>
      </c>
      <c r="R343" s="32" t="s">
        <v>49</v>
      </c>
      <c r="S343" s="32" t="s">
        <v>50</v>
      </c>
      <c r="T343" s="81" t="s">
        <v>50</v>
      </c>
      <c r="U343" s="81" t="s">
        <v>50</v>
      </c>
      <c r="V343" s="32" t="s">
        <v>50</v>
      </c>
      <c r="W343" s="32" t="s">
        <v>50</v>
      </c>
      <c r="X343" s="32" t="s">
        <v>50</v>
      </c>
      <c r="Y343" s="35" t="s">
        <v>8002</v>
      </c>
    </row>
    <row r="344" spans="1:25" s="27" customFormat="1" x14ac:dyDescent="0.25">
      <c r="A344" s="36">
        <v>43012</v>
      </c>
      <c r="B344" s="92" t="str">
        <f t="shared" si="5"/>
        <v>Wed</v>
      </c>
      <c r="C344" s="27" t="s">
        <v>95</v>
      </c>
      <c r="D344" s="89">
        <v>38.029899999999998</v>
      </c>
      <c r="E344" s="89">
        <v>-121.74476</v>
      </c>
      <c r="F344" s="27" t="s">
        <v>8003</v>
      </c>
      <c r="G344" s="27" t="s">
        <v>27</v>
      </c>
      <c r="H344" s="27" t="s">
        <v>95</v>
      </c>
      <c r="I344" s="84">
        <v>0.36388888888888887</v>
      </c>
      <c r="J344" s="82">
        <v>240.52</v>
      </c>
      <c r="K344" s="82">
        <v>18.899999999999999</v>
      </c>
      <c r="L344" s="82">
        <v>15.7</v>
      </c>
      <c r="M344" s="82">
        <v>0.91</v>
      </c>
      <c r="N344" s="90" t="s">
        <v>50</v>
      </c>
      <c r="O344" s="27" t="s">
        <v>48</v>
      </c>
      <c r="P344" s="27">
        <v>5</v>
      </c>
      <c r="Q344" s="27">
        <v>5</v>
      </c>
      <c r="R344" s="27" t="s">
        <v>49</v>
      </c>
      <c r="S344" s="32" t="s">
        <v>50</v>
      </c>
      <c r="T344" s="81" t="s">
        <v>50</v>
      </c>
      <c r="U344" s="81" t="s">
        <v>50</v>
      </c>
      <c r="V344" s="32" t="s">
        <v>50</v>
      </c>
      <c r="W344" s="32" t="s">
        <v>50</v>
      </c>
      <c r="X344" s="32" t="s">
        <v>50</v>
      </c>
      <c r="Y344" s="35"/>
    </row>
    <row r="345" spans="1:25" s="149" customFormat="1" x14ac:dyDescent="0.25">
      <c r="A345" s="160">
        <v>43012</v>
      </c>
      <c r="B345" s="148" t="str">
        <f t="shared" si="5"/>
        <v>Wed</v>
      </c>
      <c r="C345" s="149" t="s">
        <v>88</v>
      </c>
      <c r="D345" s="150">
        <v>38.045169999999999</v>
      </c>
      <c r="E345" s="150">
        <v>-121.87054999999999</v>
      </c>
      <c r="F345" s="149" t="s">
        <v>8004</v>
      </c>
      <c r="G345" s="149" t="s">
        <v>27</v>
      </c>
      <c r="H345" s="149" t="s">
        <v>25</v>
      </c>
      <c r="I345" s="165">
        <v>0.33333333333333331</v>
      </c>
      <c r="J345" s="163" t="s">
        <v>50</v>
      </c>
      <c r="K345" s="163" t="s">
        <v>50</v>
      </c>
      <c r="L345" s="163" t="s">
        <v>50</v>
      </c>
      <c r="M345" s="163" t="s">
        <v>50</v>
      </c>
      <c r="N345" s="177" t="s">
        <v>50</v>
      </c>
      <c r="O345" s="161" t="s">
        <v>48</v>
      </c>
      <c r="P345" s="161">
        <v>0</v>
      </c>
      <c r="Q345" s="161" t="s">
        <v>50</v>
      </c>
      <c r="R345" s="161" t="s">
        <v>50</v>
      </c>
      <c r="S345" s="161" t="s">
        <v>50</v>
      </c>
      <c r="T345" s="162" t="s">
        <v>50</v>
      </c>
      <c r="U345" s="162" t="s">
        <v>50</v>
      </c>
      <c r="V345" s="161" t="s">
        <v>50</v>
      </c>
      <c r="W345" s="161" t="s">
        <v>50</v>
      </c>
      <c r="X345" s="161" t="s">
        <v>50</v>
      </c>
      <c r="Y345" s="152" t="s">
        <v>72</v>
      </c>
    </row>
    <row r="346" spans="1:25" s="27" customFormat="1" x14ac:dyDescent="0.25">
      <c r="A346" s="36">
        <v>43012</v>
      </c>
      <c r="B346" s="92" t="str">
        <f t="shared" si="5"/>
        <v>Wed</v>
      </c>
      <c r="C346" s="27" t="s">
        <v>88</v>
      </c>
      <c r="D346" s="89">
        <v>38.064340000000001</v>
      </c>
      <c r="E346" s="89">
        <v>-121.86478</v>
      </c>
      <c r="F346" s="27" t="s">
        <v>8005</v>
      </c>
      <c r="G346" s="27" t="s">
        <v>27</v>
      </c>
      <c r="H346" s="27" t="s">
        <v>25</v>
      </c>
      <c r="I346" s="30">
        <v>0.33958333333333335</v>
      </c>
      <c r="J346" s="31">
        <v>1011</v>
      </c>
      <c r="K346" s="31">
        <v>18.5</v>
      </c>
      <c r="L346" s="31">
        <v>22.16667</v>
      </c>
      <c r="M346" s="31">
        <v>0.52333300000000005</v>
      </c>
      <c r="N346" s="90" t="s">
        <v>50</v>
      </c>
      <c r="O346" s="32" t="s">
        <v>48</v>
      </c>
      <c r="P346" s="32">
        <v>3</v>
      </c>
      <c r="Q346" s="32">
        <v>5</v>
      </c>
      <c r="R346" s="32" t="s">
        <v>49</v>
      </c>
      <c r="S346" s="32" t="s">
        <v>323</v>
      </c>
      <c r="T346" s="79">
        <v>1</v>
      </c>
      <c r="U346" s="79">
        <v>62</v>
      </c>
      <c r="V346" s="32" t="s">
        <v>66</v>
      </c>
      <c r="W346" s="32" t="s">
        <v>50</v>
      </c>
      <c r="X346" s="32" t="s">
        <v>50</v>
      </c>
      <c r="Y346" s="35" t="s">
        <v>8006</v>
      </c>
    </row>
    <row r="347" spans="1:25" s="27" customFormat="1" x14ac:dyDescent="0.25">
      <c r="A347" s="36">
        <v>43012</v>
      </c>
      <c r="B347" s="92" t="str">
        <f t="shared" si="5"/>
        <v>Wed</v>
      </c>
      <c r="C347" s="27" t="s">
        <v>88</v>
      </c>
      <c r="D347" s="89">
        <v>38.094479999999997</v>
      </c>
      <c r="E347" s="89">
        <v>-121.6863</v>
      </c>
      <c r="F347" s="27" t="s">
        <v>8007</v>
      </c>
      <c r="G347" s="27" t="s">
        <v>90</v>
      </c>
      <c r="H347" s="27" t="s">
        <v>91</v>
      </c>
      <c r="I347" s="30">
        <v>0.41944444444444445</v>
      </c>
      <c r="J347" s="31">
        <v>136.38</v>
      </c>
      <c r="K347" s="31">
        <v>18.62</v>
      </c>
      <c r="L347" s="31">
        <v>9.9700000000000006</v>
      </c>
      <c r="M347" s="31">
        <v>1.196</v>
      </c>
      <c r="N347" s="90" t="s">
        <v>50</v>
      </c>
      <c r="O347" s="32" t="s">
        <v>48</v>
      </c>
      <c r="P347" s="32">
        <v>5</v>
      </c>
      <c r="Q347" s="32">
        <v>5</v>
      </c>
      <c r="R347" s="32" t="s">
        <v>64</v>
      </c>
      <c r="S347" s="32" t="s">
        <v>50</v>
      </c>
      <c r="T347" s="79" t="s">
        <v>50</v>
      </c>
      <c r="U347" s="79" t="s">
        <v>50</v>
      </c>
      <c r="V347" s="32" t="s">
        <v>50</v>
      </c>
      <c r="W347" s="32" t="s">
        <v>50</v>
      </c>
      <c r="X347" s="32" t="s">
        <v>50</v>
      </c>
      <c r="Y347" s="35" t="s">
        <v>7934</v>
      </c>
    </row>
    <row r="348" spans="1:25" s="27" customFormat="1" x14ac:dyDescent="0.25">
      <c r="A348" s="36">
        <v>43013</v>
      </c>
      <c r="B348" s="92" t="str">
        <f t="shared" si="5"/>
        <v>Thu</v>
      </c>
      <c r="C348" s="27" t="s">
        <v>95</v>
      </c>
      <c r="D348" s="89">
        <v>38.032609999999998</v>
      </c>
      <c r="E348" s="89">
        <v>-121.85059</v>
      </c>
      <c r="F348" s="27" t="s">
        <v>8008</v>
      </c>
      <c r="G348" s="27" t="s">
        <v>27</v>
      </c>
      <c r="H348" s="27" t="s">
        <v>95</v>
      </c>
      <c r="I348" s="30">
        <v>0.35138888888888892</v>
      </c>
      <c r="J348" s="31">
        <v>887.6</v>
      </c>
      <c r="K348" s="31">
        <v>18.7</v>
      </c>
      <c r="L348" s="31">
        <v>19.16</v>
      </c>
      <c r="M348" s="31">
        <v>0.76</v>
      </c>
      <c r="N348" s="90" t="s">
        <v>50</v>
      </c>
      <c r="O348" s="32" t="s">
        <v>48</v>
      </c>
      <c r="P348" s="32">
        <v>5</v>
      </c>
      <c r="Q348" s="32">
        <v>5</v>
      </c>
      <c r="R348" s="32" t="s">
        <v>49</v>
      </c>
      <c r="S348" s="32" t="s">
        <v>50</v>
      </c>
      <c r="T348" s="79" t="s">
        <v>50</v>
      </c>
      <c r="U348" s="79" t="s">
        <v>50</v>
      </c>
      <c r="V348" s="32" t="s">
        <v>50</v>
      </c>
      <c r="W348" s="32" t="s">
        <v>50</v>
      </c>
      <c r="X348" s="32" t="s">
        <v>50</v>
      </c>
      <c r="Y348" s="35" t="s">
        <v>8009</v>
      </c>
    </row>
    <row r="349" spans="1:25" s="27" customFormat="1" x14ac:dyDescent="0.25">
      <c r="A349" s="36">
        <v>43013</v>
      </c>
      <c r="B349" s="92" t="str">
        <f t="shared" si="5"/>
        <v>Thu</v>
      </c>
      <c r="C349" s="27" t="s">
        <v>95</v>
      </c>
      <c r="D349" s="89">
        <v>38.049399999999999</v>
      </c>
      <c r="E349" s="89">
        <v>-121.69327</v>
      </c>
      <c r="F349" s="27" t="s">
        <v>8010</v>
      </c>
      <c r="G349" s="27" t="s">
        <v>46</v>
      </c>
      <c r="H349" s="27" t="s">
        <v>97</v>
      </c>
      <c r="I349" s="30">
        <v>0.4055555555555555</v>
      </c>
      <c r="J349" s="31">
        <v>157.16</v>
      </c>
      <c r="K349" s="31">
        <v>18.7</v>
      </c>
      <c r="L349" s="31">
        <v>9.8439999999999994</v>
      </c>
      <c r="M349" s="31">
        <v>1.3480000000000001</v>
      </c>
      <c r="N349" s="90" t="s">
        <v>50</v>
      </c>
      <c r="O349" s="32" t="s">
        <v>48</v>
      </c>
      <c r="P349" s="32">
        <v>5</v>
      </c>
      <c r="Q349" s="32">
        <v>5</v>
      </c>
      <c r="R349" s="32" t="s">
        <v>49</v>
      </c>
      <c r="S349" s="32" t="s">
        <v>50</v>
      </c>
      <c r="T349" s="79" t="s">
        <v>50</v>
      </c>
      <c r="U349" s="79" t="s">
        <v>50</v>
      </c>
      <c r="V349" s="32" t="s">
        <v>50</v>
      </c>
      <c r="W349" s="32" t="s">
        <v>50</v>
      </c>
      <c r="X349" s="32" t="s">
        <v>50</v>
      </c>
      <c r="Y349" s="35"/>
    </row>
    <row r="350" spans="1:25" s="27" customFormat="1" x14ac:dyDescent="0.25">
      <c r="A350" s="36">
        <v>43013</v>
      </c>
      <c r="B350" s="92" t="str">
        <f t="shared" si="5"/>
        <v>Thu</v>
      </c>
      <c r="C350" s="27" t="s">
        <v>118</v>
      </c>
      <c r="D350" s="89">
        <v>38.050379999999997</v>
      </c>
      <c r="E350" s="89">
        <v>-122.10187999999999</v>
      </c>
      <c r="F350" s="27" t="s">
        <v>8011</v>
      </c>
      <c r="G350" s="27" t="s">
        <v>80</v>
      </c>
      <c r="H350" s="27" t="s">
        <v>81</v>
      </c>
      <c r="I350" s="30">
        <v>0.40138888888888885</v>
      </c>
      <c r="J350" s="31">
        <v>9074</v>
      </c>
      <c r="K350" s="31">
        <v>18.95</v>
      </c>
      <c r="L350" s="31">
        <v>32.6</v>
      </c>
      <c r="M350" s="31">
        <v>0.58250000000000002</v>
      </c>
      <c r="N350" s="90" t="s">
        <v>50</v>
      </c>
      <c r="O350" s="32" t="s">
        <v>48</v>
      </c>
      <c r="P350" s="32">
        <v>4</v>
      </c>
      <c r="Q350" s="32">
        <v>10</v>
      </c>
      <c r="R350" s="32" t="s">
        <v>49</v>
      </c>
      <c r="S350" s="32" t="s">
        <v>50</v>
      </c>
      <c r="T350" s="79" t="s">
        <v>50</v>
      </c>
      <c r="U350" s="79" t="s">
        <v>50</v>
      </c>
      <c r="V350" s="32" t="s">
        <v>50</v>
      </c>
      <c r="W350" s="32" t="s">
        <v>50</v>
      </c>
      <c r="X350" s="32" t="s">
        <v>50</v>
      </c>
      <c r="Y350" s="35" t="s">
        <v>8012</v>
      </c>
    </row>
    <row r="351" spans="1:25" s="27" customFormat="1" x14ac:dyDescent="0.25">
      <c r="A351" s="36">
        <v>43013</v>
      </c>
      <c r="B351" s="92" t="str">
        <f t="shared" si="5"/>
        <v>Thu</v>
      </c>
      <c r="C351" s="27" t="s">
        <v>118</v>
      </c>
      <c r="D351" s="89">
        <v>38.052039999999998</v>
      </c>
      <c r="E351" s="89">
        <v>-122.10590999999999</v>
      </c>
      <c r="F351" s="27" t="s">
        <v>8013</v>
      </c>
      <c r="G351" s="27" t="s">
        <v>80</v>
      </c>
      <c r="H351" s="27" t="s">
        <v>81</v>
      </c>
      <c r="I351" s="30">
        <v>0.53472222222222221</v>
      </c>
      <c r="J351" s="31">
        <v>15351</v>
      </c>
      <c r="K351" s="31">
        <v>19.12</v>
      </c>
      <c r="L351" s="31">
        <v>35.78</v>
      </c>
      <c r="M351" s="31">
        <v>0.42199999999999999</v>
      </c>
      <c r="N351" s="90" t="s">
        <v>50</v>
      </c>
      <c r="O351" s="32" t="s">
        <v>48</v>
      </c>
      <c r="P351" s="32">
        <v>5</v>
      </c>
      <c r="Q351" s="32">
        <v>10</v>
      </c>
      <c r="R351" s="32" t="s">
        <v>64</v>
      </c>
      <c r="S351" s="32" t="s">
        <v>31</v>
      </c>
      <c r="T351" s="81">
        <v>1</v>
      </c>
      <c r="U351" s="81">
        <v>68</v>
      </c>
      <c r="V351" s="32" t="s">
        <v>66</v>
      </c>
      <c r="W351" s="32" t="s">
        <v>50</v>
      </c>
      <c r="X351" s="32" t="s">
        <v>50</v>
      </c>
      <c r="Y351" s="35" t="s">
        <v>8014</v>
      </c>
    </row>
    <row r="352" spans="1:25" s="27" customFormat="1" x14ac:dyDescent="0.25">
      <c r="A352" s="36">
        <v>43013</v>
      </c>
      <c r="B352" s="92" t="str">
        <f t="shared" si="5"/>
        <v>Thu</v>
      </c>
      <c r="C352" s="27" t="s">
        <v>118</v>
      </c>
      <c r="D352" s="89">
        <v>38.052039999999998</v>
      </c>
      <c r="E352" s="89">
        <v>-122.10590999999999</v>
      </c>
      <c r="F352" s="27" t="s">
        <v>8013</v>
      </c>
      <c r="G352" s="27" t="s">
        <v>80</v>
      </c>
      <c r="H352" s="27" t="s">
        <v>81</v>
      </c>
      <c r="I352" s="30">
        <v>0.53472222222222221</v>
      </c>
      <c r="J352" s="31"/>
      <c r="K352" s="31"/>
      <c r="L352" s="31"/>
      <c r="M352" s="31"/>
      <c r="N352" s="90" t="s">
        <v>50</v>
      </c>
      <c r="O352" s="32"/>
      <c r="P352" s="32"/>
      <c r="Q352" s="32"/>
      <c r="R352" s="32"/>
      <c r="S352" s="32" t="s">
        <v>323</v>
      </c>
      <c r="T352" s="81">
        <v>1</v>
      </c>
      <c r="U352" s="81">
        <v>47</v>
      </c>
      <c r="V352" s="32" t="s">
        <v>66</v>
      </c>
      <c r="W352" s="32" t="s">
        <v>50</v>
      </c>
      <c r="X352" s="32" t="s">
        <v>50</v>
      </c>
      <c r="Y352" s="35" t="s">
        <v>7743</v>
      </c>
    </row>
    <row r="353" spans="1:25" s="27" customFormat="1" x14ac:dyDescent="0.25">
      <c r="A353" s="36">
        <v>43013</v>
      </c>
      <c r="B353" s="92" t="str">
        <f t="shared" si="5"/>
        <v>Thu</v>
      </c>
      <c r="C353" s="27" t="s">
        <v>6849</v>
      </c>
      <c r="D353" s="89">
        <v>38.514870000000002</v>
      </c>
      <c r="E353" s="89">
        <v>-121.54792999999999</v>
      </c>
      <c r="F353" s="27" t="s">
        <v>8015</v>
      </c>
      <c r="G353" s="27" t="s">
        <v>90</v>
      </c>
      <c r="H353" s="27" t="s">
        <v>6851</v>
      </c>
      <c r="I353" s="30">
        <v>0.4381944444444445</v>
      </c>
      <c r="J353" s="31">
        <v>75.3</v>
      </c>
      <c r="K353" s="31">
        <v>15.737500000000001</v>
      </c>
      <c r="L353" s="31">
        <v>8.2137499999999992</v>
      </c>
      <c r="M353" s="31">
        <v>1.1737500000000001</v>
      </c>
      <c r="N353" s="90" t="s">
        <v>50</v>
      </c>
      <c r="O353" s="32" t="s">
        <v>48</v>
      </c>
      <c r="P353" s="32">
        <v>8</v>
      </c>
      <c r="Q353" s="32">
        <v>10</v>
      </c>
      <c r="R353" s="32" t="s">
        <v>49</v>
      </c>
      <c r="S353" s="32" t="s">
        <v>50</v>
      </c>
      <c r="T353" s="79" t="s">
        <v>50</v>
      </c>
      <c r="U353" s="79" t="s">
        <v>50</v>
      </c>
      <c r="V353" s="32" t="s">
        <v>50</v>
      </c>
      <c r="W353" s="32" t="s">
        <v>50</v>
      </c>
      <c r="X353" s="32" t="s">
        <v>50</v>
      </c>
      <c r="Y353" s="35" t="s">
        <v>7934</v>
      </c>
    </row>
    <row r="354" spans="1:25" s="27" customFormat="1" x14ac:dyDescent="0.25">
      <c r="A354" s="36">
        <v>43013</v>
      </c>
      <c r="B354" s="92" t="str">
        <f t="shared" si="5"/>
        <v>Thu</v>
      </c>
      <c r="C354" s="27" t="s">
        <v>6849</v>
      </c>
      <c r="D354" s="89">
        <v>38.167470000000002</v>
      </c>
      <c r="E354" s="89">
        <v>-121.62897</v>
      </c>
      <c r="F354" s="27" t="s">
        <v>8016</v>
      </c>
      <c r="G354" s="27" t="s">
        <v>90</v>
      </c>
      <c r="H354" s="27" t="s">
        <v>6892</v>
      </c>
      <c r="I354" s="30">
        <v>0.59722222222222221</v>
      </c>
      <c r="J354" s="31">
        <v>82.512500000000003</v>
      </c>
      <c r="K354" s="31">
        <v>16.9375</v>
      </c>
      <c r="L354" s="31">
        <v>6.1224999999999996</v>
      </c>
      <c r="M354" s="31">
        <v>1.3812500000000001</v>
      </c>
      <c r="N354" s="90" t="s">
        <v>50</v>
      </c>
      <c r="O354" s="32" t="s">
        <v>48</v>
      </c>
      <c r="P354" s="32">
        <v>8</v>
      </c>
      <c r="Q354" s="32">
        <v>10</v>
      </c>
      <c r="R354" s="32" t="s">
        <v>64</v>
      </c>
      <c r="S354" s="32" t="s">
        <v>50</v>
      </c>
      <c r="T354" s="79" t="s">
        <v>50</v>
      </c>
      <c r="U354" s="79" t="s">
        <v>50</v>
      </c>
      <c r="V354" s="32" t="s">
        <v>50</v>
      </c>
      <c r="W354" s="32" t="s">
        <v>50</v>
      </c>
      <c r="X354" s="32" t="s">
        <v>50</v>
      </c>
      <c r="Y354" s="35" t="s">
        <v>7934</v>
      </c>
    </row>
    <row r="355" spans="1:25" s="27" customFormat="1" x14ac:dyDescent="0.25">
      <c r="A355" s="36">
        <v>43018</v>
      </c>
      <c r="B355" s="92" t="str">
        <f t="shared" si="5"/>
        <v>Tue</v>
      </c>
      <c r="C355" s="27" t="s">
        <v>7570</v>
      </c>
      <c r="D355" s="89">
        <v>38.123480000000001</v>
      </c>
      <c r="E355" s="89">
        <v>-122.05884</v>
      </c>
      <c r="F355" s="27" t="s">
        <v>8017</v>
      </c>
      <c r="G355" s="27" t="s">
        <v>27</v>
      </c>
      <c r="H355" s="27" t="s">
        <v>86</v>
      </c>
      <c r="I355" s="30">
        <v>0.46666666666666662</v>
      </c>
      <c r="J355" s="31">
        <v>8019</v>
      </c>
      <c r="K355" s="31">
        <v>17.579999999999998</v>
      </c>
      <c r="L355" s="31">
        <v>46.48</v>
      </c>
      <c r="M355" s="31">
        <v>0.30399999999999999</v>
      </c>
      <c r="N355" s="90" t="s">
        <v>50</v>
      </c>
      <c r="O355" s="32" t="s">
        <v>48</v>
      </c>
      <c r="P355" s="32">
        <v>5</v>
      </c>
      <c r="Q355" s="32">
        <v>5</v>
      </c>
      <c r="R355" s="32" t="s">
        <v>49</v>
      </c>
      <c r="S355" s="32" t="s">
        <v>50</v>
      </c>
      <c r="T355" s="79" t="s">
        <v>50</v>
      </c>
      <c r="U355" s="79" t="s">
        <v>50</v>
      </c>
      <c r="V355" s="32" t="s">
        <v>50</v>
      </c>
      <c r="W355" s="32" t="s">
        <v>50</v>
      </c>
      <c r="X355" s="32" t="s">
        <v>50</v>
      </c>
      <c r="Y355" s="35"/>
    </row>
    <row r="356" spans="1:25" s="27" customFormat="1" x14ac:dyDescent="0.25">
      <c r="A356" s="36">
        <v>43018</v>
      </c>
      <c r="B356" s="92" t="str">
        <f t="shared" si="5"/>
        <v>Tue</v>
      </c>
      <c r="C356" s="27" t="s">
        <v>7570</v>
      </c>
      <c r="D356" s="89">
        <v>38.17465</v>
      </c>
      <c r="E356" s="89">
        <v>-121.96366999999999</v>
      </c>
      <c r="F356" s="27" t="s">
        <v>8018</v>
      </c>
      <c r="G356" s="27" t="s">
        <v>27</v>
      </c>
      <c r="H356" s="27" t="s">
        <v>62</v>
      </c>
      <c r="I356" s="30">
        <v>0.39097222222222222</v>
      </c>
      <c r="J356" s="31">
        <v>7027</v>
      </c>
      <c r="K356" s="31">
        <v>17.87</v>
      </c>
      <c r="L356" s="31">
        <v>40.03</v>
      </c>
      <c r="M356" s="31">
        <v>0.3</v>
      </c>
      <c r="N356" s="90" t="s">
        <v>50</v>
      </c>
      <c r="O356" s="32" t="s">
        <v>48</v>
      </c>
      <c r="P356" s="32">
        <v>3</v>
      </c>
      <c r="Q356" s="32">
        <v>5</v>
      </c>
      <c r="R356" s="32" t="s">
        <v>49</v>
      </c>
      <c r="S356" s="32" t="s">
        <v>323</v>
      </c>
      <c r="T356" s="81">
        <v>1</v>
      </c>
      <c r="U356" s="81">
        <v>54</v>
      </c>
      <c r="V356" s="32" t="s">
        <v>66</v>
      </c>
      <c r="W356" s="32" t="s">
        <v>50</v>
      </c>
      <c r="X356" s="32" t="s">
        <v>50</v>
      </c>
      <c r="Y356" s="35" t="s">
        <v>8019</v>
      </c>
    </row>
    <row r="357" spans="1:25" s="27" customFormat="1" x14ac:dyDescent="0.25">
      <c r="A357" s="36">
        <v>43018</v>
      </c>
      <c r="B357" s="92" t="str">
        <f t="shared" si="5"/>
        <v>Tue</v>
      </c>
      <c r="C357" s="27" t="s">
        <v>88</v>
      </c>
      <c r="D357" s="89">
        <v>38.06747</v>
      </c>
      <c r="E357" s="89">
        <v>-121.83326</v>
      </c>
      <c r="F357" s="27" t="s">
        <v>8020</v>
      </c>
      <c r="G357" s="27" t="s">
        <v>27</v>
      </c>
      <c r="H357" s="27" t="s">
        <v>25</v>
      </c>
      <c r="I357" s="30">
        <v>0.38958333333333334</v>
      </c>
      <c r="J357" s="31">
        <v>881.33</v>
      </c>
      <c r="K357" s="31">
        <v>17.5</v>
      </c>
      <c r="L357" s="31">
        <v>24.43</v>
      </c>
      <c r="M357" s="31">
        <v>0.47670000000000001</v>
      </c>
      <c r="N357" s="90" t="s">
        <v>50</v>
      </c>
      <c r="O357" s="32" t="s">
        <v>48</v>
      </c>
      <c r="P357" s="32">
        <v>3</v>
      </c>
      <c r="Q357" s="32">
        <v>5</v>
      </c>
      <c r="R357" s="32" t="s">
        <v>49</v>
      </c>
      <c r="S357" s="32" t="s">
        <v>323</v>
      </c>
      <c r="T357" s="81">
        <v>2</v>
      </c>
      <c r="U357" s="81" t="s">
        <v>6258</v>
      </c>
      <c r="V357" s="32" t="s">
        <v>66</v>
      </c>
      <c r="W357" s="32" t="s">
        <v>50</v>
      </c>
      <c r="X357" s="32" t="s">
        <v>50</v>
      </c>
      <c r="Y357" s="35" t="s">
        <v>8021</v>
      </c>
    </row>
    <row r="358" spans="1:25" s="27" customFormat="1" x14ac:dyDescent="0.25">
      <c r="A358" s="36">
        <v>43018</v>
      </c>
      <c r="B358" s="92" t="str">
        <f t="shared" si="5"/>
        <v>Tue</v>
      </c>
      <c r="C358" s="27" t="s">
        <v>88</v>
      </c>
      <c r="D358" s="89">
        <v>38.076259999999998</v>
      </c>
      <c r="E358" s="89">
        <v>-121.77185</v>
      </c>
      <c r="F358" s="27" t="s">
        <v>8022</v>
      </c>
      <c r="G358" s="27" t="s">
        <v>27</v>
      </c>
      <c r="H358" s="27" t="s">
        <v>25</v>
      </c>
      <c r="I358" s="30">
        <v>0.33958333333333335</v>
      </c>
      <c r="J358" s="31">
        <v>127.65</v>
      </c>
      <c r="K358" s="31">
        <v>16.75</v>
      </c>
      <c r="L358" s="31">
        <v>41.1</v>
      </c>
      <c r="M358" s="31">
        <v>0.52500000000000002</v>
      </c>
      <c r="N358" s="90" t="s">
        <v>50</v>
      </c>
      <c r="O358" s="32" t="s">
        <v>48</v>
      </c>
      <c r="P358" s="32">
        <v>2</v>
      </c>
      <c r="Q358" s="32">
        <v>5</v>
      </c>
      <c r="R358" s="32" t="s">
        <v>64</v>
      </c>
      <c r="S358" s="32" t="s">
        <v>323</v>
      </c>
      <c r="T358" s="45">
        <v>37</v>
      </c>
      <c r="U358" s="79" t="s">
        <v>8023</v>
      </c>
      <c r="V358" s="32" t="s">
        <v>66</v>
      </c>
      <c r="W358" s="32" t="s">
        <v>50</v>
      </c>
      <c r="X358" s="32" t="s">
        <v>50</v>
      </c>
      <c r="Y358" s="35" t="s">
        <v>8024</v>
      </c>
    </row>
    <row r="359" spans="1:25" s="27" customFormat="1" x14ac:dyDescent="0.25">
      <c r="A359" s="36">
        <v>43018</v>
      </c>
      <c r="B359" s="92" t="str">
        <f t="shared" si="5"/>
        <v>Tue</v>
      </c>
      <c r="C359" s="27" t="s">
        <v>95</v>
      </c>
      <c r="D359" s="89">
        <v>38.089640000000003</v>
      </c>
      <c r="E359" s="89">
        <v>-121.65329</v>
      </c>
      <c r="F359" s="27" t="s">
        <v>8025</v>
      </c>
      <c r="G359" s="27" t="s">
        <v>46</v>
      </c>
      <c r="H359" s="27" t="s">
        <v>97</v>
      </c>
      <c r="I359" s="30">
        <v>0.38263888888888892</v>
      </c>
      <c r="J359" s="31">
        <v>125.5</v>
      </c>
      <c r="K359" s="31">
        <v>17.88</v>
      </c>
      <c r="L359" s="31">
        <v>11.03</v>
      </c>
      <c r="M359" s="31">
        <v>1.2</v>
      </c>
      <c r="N359" s="90" t="s">
        <v>50</v>
      </c>
      <c r="O359" s="32" t="s">
        <v>48</v>
      </c>
      <c r="P359" s="32">
        <v>5</v>
      </c>
      <c r="Q359" s="32">
        <v>5</v>
      </c>
      <c r="R359" s="32" t="s">
        <v>64</v>
      </c>
      <c r="S359" s="32" t="s">
        <v>50</v>
      </c>
      <c r="T359" s="79" t="s">
        <v>50</v>
      </c>
      <c r="U359" s="79" t="s">
        <v>50</v>
      </c>
      <c r="V359" s="32" t="s">
        <v>50</v>
      </c>
      <c r="W359" s="32" t="s">
        <v>50</v>
      </c>
      <c r="X359" s="32" t="s">
        <v>50</v>
      </c>
      <c r="Y359" s="35"/>
    </row>
    <row r="360" spans="1:25" s="27" customFormat="1" x14ac:dyDescent="0.25">
      <c r="A360" s="36">
        <v>43018</v>
      </c>
      <c r="B360" s="92" t="str">
        <f t="shared" si="5"/>
        <v>Tue</v>
      </c>
      <c r="C360" s="27" t="s">
        <v>95</v>
      </c>
      <c r="D360" s="89">
        <v>38.012369999999997</v>
      </c>
      <c r="E360" s="89">
        <v>-121.68138</v>
      </c>
      <c r="F360" s="27" t="s">
        <v>8026</v>
      </c>
      <c r="G360" s="27" t="s">
        <v>27</v>
      </c>
      <c r="H360" s="27" t="s">
        <v>95</v>
      </c>
      <c r="I360" s="30">
        <v>0.32847222222222222</v>
      </c>
      <c r="J360" s="31">
        <v>145.72</v>
      </c>
      <c r="K360" s="31">
        <v>17.72</v>
      </c>
      <c r="L360" s="31">
        <v>7.242</v>
      </c>
      <c r="M360" s="31">
        <v>1.5680000000000001</v>
      </c>
      <c r="N360" s="90" t="s">
        <v>50</v>
      </c>
      <c r="O360" s="32" t="s">
        <v>48</v>
      </c>
      <c r="P360" s="32">
        <v>5</v>
      </c>
      <c r="Q360" s="32">
        <v>5</v>
      </c>
      <c r="R360" s="32" t="s">
        <v>64</v>
      </c>
      <c r="S360" s="32" t="s">
        <v>50</v>
      </c>
      <c r="T360" s="79" t="s">
        <v>50</v>
      </c>
      <c r="U360" s="79" t="s">
        <v>50</v>
      </c>
      <c r="V360" s="32" t="s">
        <v>50</v>
      </c>
      <c r="W360" s="32" t="s">
        <v>50</v>
      </c>
      <c r="X360" s="32" t="s">
        <v>50</v>
      </c>
      <c r="Y360" s="35"/>
    </row>
    <row r="361" spans="1:25" s="27" customFormat="1" x14ac:dyDescent="0.25">
      <c r="A361" s="36">
        <v>43019</v>
      </c>
      <c r="B361" s="92" t="str">
        <f t="shared" si="5"/>
        <v>Wed</v>
      </c>
      <c r="C361" s="27" t="s">
        <v>7570</v>
      </c>
      <c r="D361" s="89">
        <v>38.063000000000002</v>
      </c>
      <c r="E361" s="89">
        <v>-121.96092</v>
      </c>
      <c r="F361" s="27" t="s">
        <v>8027</v>
      </c>
      <c r="G361" s="27" t="s">
        <v>27</v>
      </c>
      <c r="H361" s="27" t="s">
        <v>170</v>
      </c>
      <c r="I361" s="30">
        <v>0.38819444444444445</v>
      </c>
      <c r="J361" s="31">
        <v>7138.2</v>
      </c>
      <c r="K361" s="31">
        <v>17.739999999999998</v>
      </c>
      <c r="L361" s="31">
        <v>49.38</v>
      </c>
      <c r="M361" s="31">
        <v>0.30599999999999999</v>
      </c>
      <c r="N361" s="90" t="s">
        <v>50</v>
      </c>
      <c r="O361" s="32" t="s">
        <v>48</v>
      </c>
      <c r="P361" s="32">
        <v>5</v>
      </c>
      <c r="Q361" s="32">
        <v>5</v>
      </c>
      <c r="R361" s="32" t="s">
        <v>64</v>
      </c>
      <c r="S361" s="32" t="s">
        <v>50</v>
      </c>
      <c r="T361" s="79" t="s">
        <v>50</v>
      </c>
      <c r="U361" s="79" t="s">
        <v>50</v>
      </c>
      <c r="V361" s="32" t="s">
        <v>50</v>
      </c>
      <c r="W361" s="32" t="s">
        <v>50</v>
      </c>
      <c r="X361" s="32" t="s">
        <v>50</v>
      </c>
      <c r="Y361" s="35"/>
    </row>
    <row r="362" spans="1:25" s="27" customFormat="1" x14ac:dyDescent="0.25">
      <c r="A362" s="36">
        <v>43019</v>
      </c>
      <c r="B362" s="92" t="str">
        <f t="shared" si="5"/>
        <v>Wed</v>
      </c>
      <c r="C362" s="27" t="s">
        <v>7570</v>
      </c>
      <c r="D362" s="89">
        <v>38.047339999999998</v>
      </c>
      <c r="E362" s="89">
        <v>-121.93693</v>
      </c>
      <c r="F362" s="27" t="s">
        <v>8028</v>
      </c>
      <c r="G362" s="27" t="s">
        <v>27</v>
      </c>
      <c r="H362" s="27" t="s">
        <v>170</v>
      </c>
      <c r="I362" s="30">
        <v>0.33958333333333335</v>
      </c>
      <c r="J362" s="31">
        <v>5161.8</v>
      </c>
      <c r="K362" s="31">
        <v>17.8</v>
      </c>
      <c r="L362" s="31">
        <v>32.700000000000003</v>
      </c>
      <c r="M362" s="31">
        <v>0.41799999999999998</v>
      </c>
      <c r="N362" s="90" t="s">
        <v>50</v>
      </c>
      <c r="O362" s="32" t="s">
        <v>48</v>
      </c>
      <c r="P362" s="32">
        <v>5</v>
      </c>
      <c r="Q362" s="32">
        <v>5</v>
      </c>
      <c r="R362" s="32" t="s">
        <v>64</v>
      </c>
      <c r="S362" s="32" t="s">
        <v>50</v>
      </c>
      <c r="T362" s="81" t="s">
        <v>50</v>
      </c>
      <c r="U362" s="81" t="s">
        <v>50</v>
      </c>
      <c r="V362" s="32" t="s">
        <v>50</v>
      </c>
      <c r="W362" s="32" t="s">
        <v>50</v>
      </c>
      <c r="X362" s="32" t="s">
        <v>50</v>
      </c>
      <c r="Y362" s="35"/>
    </row>
    <row r="363" spans="1:25" s="27" customFormat="1" x14ac:dyDescent="0.25">
      <c r="A363" s="36">
        <v>43019</v>
      </c>
      <c r="B363" s="92" t="str">
        <f t="shared" si="5"/>
        <v>Wed</v>
      </c>
      <c r="C363" s="27" t="s">
        <v>106</v>
      </c>
      <c r="D363" s="89">
        <v>38.422049999999999</v>
      </c>
      <c r="E363" s="89">
        <v>-121.60731</v>
      </c>
      <c r="F363" s="27" t="s">
        <v>8029</v>
      </c>
      <c r="G363" s="27" t="s">
        <v>90</v>
      </c>
      <c r="H363" s="27" t="s">
        <v>7577</v>
      </c>
      <c r="I363" s="30">
        <v>0.41805555555555557</v>
      </c>
      <c r="J363" s="31">
        <v>432.74</v>
      </c>
      <c r="K363" s="31">
        <v>17.920000000000002</v>
      </c>
      <c r="L363" s="31">
        <v>46.3</v>
      </c>
      <c r="M363" s="31">
        <v>0.32800000000000001</v>
      </c>
      <c r="N363" s="90" t="s">
        <v>50</v>
      </c>
      <c r="O363" s="32" t="s">
        <v>48</v>
      </c>
      <c r="P363" s="32">
        <v>5</v>
      </c>
      <c r="Q363" s="32">
        <v>5</v>
      </c>
      <c r="R363" s="32" t="s">
        <v>49</v>
      </c>
      <c r="S363" s="32" t="s">
        <v>50</v>
      </c>
      <c r="T363" s="79" t="s">
        <v>50</v>
      </c>
      <c r="U363" s="79" t="s">
        <v>50</v>
      </c>
      <c r="V363" s="32" t="s">
        <v>50</v>
      </c>
      <c r="W363" s="32" t="s">
        <v>50</v>
      </c>
      <c r="X363" s="32" t="s">
        <v>50</v>
      </c>
      <c r="Y363" s="35"/>
    </row>
    <row r="364" spans="1:25" s="27" customFormat="1" x14ac:dyDescent="0.25">
      <c r="A364" s="36">
        <v>43019</v>
      </c>
      <c r="B364" s="92" t="str">
        <f t="shared" si="5"/>
        <v>Wed</v>
      </c>
      <c r="C364" s="27" t="s">
        <v>106</v>
      </c>
      <c r="D364" s="89">
        <v>38.39528</v>
      </c>
      <c r="E364" s="89">
        <v>-121.62036000000001</v>
      </c>
      <c r="F364" s="27" t="s">
        <v>8030</v>
      </c>
      <c r="G364" s="27" t="s">
        <v>90</v>
      </c>
      <c r="H364" s="27" t="s">
        <v>7577</v>
      </c>
      <c r="I364" s="30">
        <v>0.34583333333333338</v>
      </c>
      <c r="J364" s="31">
        <v>385.98</v>
      </c>
      <c r="K364" s="31">
        <v>17.98</v>
      </c>
      <c r="L364" s="31">
        <v>45.26</v>
      </c>
      <c r="M364" s="31">
        <v>0.33800000000000002</v>
      </c>
      <c r="N364" s="90" t="s">
        <v>50</v>
      </c>
      <c r="O364" s="32" t="s">
        <v>48</v>
      </c>
      <c r="P364" s="32">
        <v>5</v>
      </c>
      <c r="Q364" s="32">
        <v>5</v>
      </c>
      <c r="R364" s="32" t="s">
        <v>64</v>
      </c>
      <c r="S364" s="32" t="s">
        <v>50</v>
      </c>
      <c r="T364" s="79" t="s">
        <v>50</v>
      </c>
      <c r="U364" s="79" t="s">
        <v>50</v>
      </c>
      <c r="V364" s="32" t="s">
        <v>50</v>
      </c>
      <c r="W364" s="32" t="s">
        <v>50</v>
      </c>
      <c r="X364" s="32" t="s">
        <v>50</v>
      </c>
      <c r="Y364" s="35"/>
    </row>
    <row r="365" spans="1:25" s="27" customFormat="1" x14ac:dyDescent="0.25">
      <c r="A365" s="36">
        <v>43019</v>
      </c>
      <c r="B365" s="92" t="str">
        <f t="shared" si="5"/>
        <v>Wed</v>
      </c>
      <c r="C365" s="27" t="s">
        <v>44</v>
      </c>
      <c r="D365" s="89">
        <v>38.115409999999997</v>
      </c>
      <c r="E365" s="89">
        <v>-121.58454</v>
      </c>
      <c r="F365" s="27" t="s">
        <v>8031</v>
      </c>
      <c r="G365" s="27" t="s">
        <v>46</v>
      </c>
      <c r="H365" s="27" t="s">
        <v>6881</v>
      </c>
      <c r="I365" s="30">
        <v>0.39513888888888887</v>
      </c>
      <c r="J365" s="31">
        <v>99.724999999999994</v>
      </c>
      <c r="K365" s="31">
        <v>16.75</v>
      </c>
      <c r="L365" s="31">
        <v>4.2537500000000001</v>
      </c>
      <c r="M365" s="31">
        <v>1.8</v>
      </c>
      <c r="N365" s="90" t="s">
        <v>50</v>
      </c>
      <c r="O365" s="32" t="s">
        <v>48</v>
      </c>
      <c r="P365" s="32">
        <v>8</v>
      </c>
      <c r="Q365" s="32">
        <v>10</v>
      </c>
      <c r="R365" s="32" t="s">
        <v>64</v>
      </c>
      <c r="S365" s="32" t="s">
        <v>50</v>
      </c>
      <c r="T365" s="81" t="s">
        <v>50</v>
      </c>
      <c r="U365" s="81" t="s">
        <v>50</v>
      </c>
      <c r="V365" s="32" t="s">
        <v>50</v>
      </c>
      <c r="W365" s="32" t="s">
        <v>50</v>
      </c>
      <c r="X365" s="32" t="s">
        <v>50</v>
      </c>
      <c r="Y365" s="35"/>
    </row>
    <row r="366" spans="1:25" s="27" customFormat="1" x14ac:dyDescent="0.25">
      <c r="A366" s="36">
        <v>43019</v>
      </c>
      <c r="B366" s="92" t="str">
        <f t="shared" si="5"/>
        <v>Wed</v>
      </c>
      <c r="C366" s="27" t="s">
        <v>44</v>
      </c>
      <c r="D366" s="89">
        <v>38.1265</v>
      </c>
      <c r="E366" s="89">
        <v>-121.56089</v>
      </c>
      <c r="F366" s="27" t="s">
        <v>8032</v>
      </c>
      <c r="G366" s="27" t="s">
        <v>46</v>
      </c>
      <c r="H366" s="27" t="s">
        <v>6881</v>
      </c>
      <c r="I366" s="30">
        <v>0.30624999999999997</v>
      </c>
      <c r="J366" s="31">
        <v>96.637500000000003</v>
      </c>
      <c r="K366" s="31">
        <v>16.5</v>
      </c>
      <c r="L366" s="31">
        <v>5.6924999999999999</v>
      </c>
      <c r="M366" s="31">
        <v>1.8</v>
      </c>
      <c r="N366" s="90" t="s">
        <v>50</v>
      </c>
      <c r="O366" s="32" t="s">
        <v>48</v>
      </c>
      <c r="P366" s="32">
        <v>8</v>
      </c>
      <c r="Q366" s="32">
        <v>10</v>
      </c>
      <c r="R366" s="32" t="s">
        <v>64</v>
      </c>
      <c r="S366" s="32" t="s">
        <v>50</v>
      </c>
      <c r="T366" s="81" t="s">
        <v>50</v>
      </c>
      <c r="U366" s="81" t="s">
        <v>50</v>
      </c>
      <c r="V366" s="32" t="s">
        <v>50</v>
      </c>
      <c r="W366" s="32" t="s">
        <v>50</v>
      </c>
      <c r="X366" s="32" t="s">
        <v>50</v>
      </c>
      <c r="Y366" s="35"/>
    </row>
    <row r="367" spans="1:25" s="27" customFormat="1" x14ac:dyDescent="0.25">
      <c r="A367" s="36">
        <v>43020</v>
      </c>
      <c r="B367" s="92" t="str">
        <f t="shared" si="5"/>
        <v>Thu</v>
      </c>
      <c r="C367" s="27" t="s">
        <v>44</v>
      </c>
      <c r="D367" s="89">
        <v>38.086410000000001</v>
      </c>
      <c r="E367" s="89">
        <v>-121.55352000000001</v>
      </c>
      <c r="F367" s="27" t="s">
        <v>8033</v>
      </c>
      <c r="G367" s="27" t="s">
        <v>46</v>
      </c>
      <c r="H367" s="27" t="s">
        <v>6881</v>
      </c>
      <c r="I367" s="84">
        <v>0.30694444444444441</v>
      </c>
      <c r="J367" s="82">
        <v>88.8</v>
      </c>
      <c r="K367" s="82">
        <v>16.850000000000001</v>
      </c>
      <c r="L367" s="82">
        <v>4.2212500000000004</v>
      </c>
      <c r="M367" s="82">
        <v>1.8</v>
      </c>
      <c r="N367" s="90" t="s">
        <v>50</v>
      </c>
      <c r="O367" s="27" t="s">
        <v>48</v>
      </c>
      <c r="P367" s="27">
        <v>8</v>
      </c>
      <c r="Q367" s="27">
        <v>10</v>
      </c>
      <c r="R367" s="27" t="s">
        <v>64</v>
      </c>
      <c r="S367" s="32" t="s">
        <v>50</v>
      </c>
      <c r="T367" s="79" t="s">
        <v>50</v>
      </c>
      <c r="U367" s="79" t="s">
        <v>50</v>
      </c>
      <c r="V367" s="32" t="s">
        <v>50</v>
      </c>
      <c r="W367" s="32" t="s">
        <v>50</v>
      </c>
      <c r="X367" s="32" t="s">
        <v>50</v>
      </c>
      <c r="Y367" s="35" t="s">
        <v>4299</v>
      </c>
    </row>
    <row r="368" spans="1:25" s="27" customFormat="1" x14ac:dyDescent="0.25">
      <c r="A368" s="36">
        <v>43020</v>
      </c>
      <c r="B368" s="92" t="str">
        <f t="shared" si="5"/>
        <v>Thu</v>
      </c>
      <c r="C368" s="27" t="s">
        <v>44</v>
      </c>
      <c r="D368" s="89">
        <v>38.064979999999998</v>
      </c>
      <c r="E368" s="89">
        <v>-121.58219</v>
      </c>
      <c r="F368" s="27" t="s">
        <v>8034</v>
      </c>
      <c r="G368" s="27" t="s">
        <v>46</v>
      </c>
      <c r="H368" s="27" t="s">
        <v>74</v>
      </c>
      <c r="I368" s="30">
        <v>0.40208333333333335</v>
      </c>
      <c r="J368" s="31">
        <v>111.075</v>
      </c>
      <c r="K368" s="31">
        <v>17.137499999999999</v>
      </c>
      <c r="L368" s="31">
        <v>5.22</v>
      </c>
      <c r="M368" s="31">
        <v>1.74125</v>
      </c>
      <c r="N368" s="90" t="s">
        <v>50</v>
      </c>
      <c r="O368" s="32" t="s">
        <v>48</v>
      </c>
      <c r="P368" s="32">
        <v>8</v>
      </c>
      <c r="Q368" s="32">
        <v>10</v>
      </c>
      <c r="R368" s="32" t="s">
        <v>49</v>
      </c>
      <c r="S368" s="32" t="s">
        <v>50</v>
      </c>
      <c r="T368" s="79" t="s">
        <v>50</v>
      </c>
      <c r="U368" s="79" t="s">
        <v>50</v>
      </c>
      <c r="V368" s="32" t="s">
        <v>50</v>
      </c>
      <c r="W368" s="32" t="s">
        <v>50</v>
      </c>
      <c r="X368" s="32" t="s">
        <v>50</v>
      </c>
      <c r="Y368" s="35"/>
    </row>
    <row r="369" spans="1:25" s="27" customFormat="1" x14ac:dyDescent="0.25">
      <c r="A369" s="36">
        <v>43020</v>
      </c>
      <c r="B369" s="92" t="str">
        <f t="shared" si="5"/>
        <v>Thu</v>
      </c>
      <c r="C369" s="27" t="s">
        <v>6849</v>
      </c>
      <c r="D369" s="89">
        <v>38.186109999999999</v>
      </c>
      <c r="E369" s="89">
        <v>-121.56193</v>
      </c>
      <c r="F369" s="27" t="s">
        <v>8035</v>
      </c>
      <c r="G369" s="27" t="s">
        <v>90</v>
      </c>
      <c r="H369" s="27" t="s">
        <v>6892</v>
      </c>
      <c r="I369" s="30">
        <v>0.36249999999999999</v>
      </c>
      <c r="J369" s="31">
        <v>100.5125</v>
      </c>
      <c r="K369" s="31">
        <v>15.987500000000001</v>
      </c>
      <c r="L369" s="31">
        <v>6.8912500000000003</v>
      </c>
      <c r="M369" s="31">
        <v>1.7350000000000001</v>
      </c>
      <c r="N369" s="90" t="s">
        <v>50</v>
      </c>
      <c r="O369" s="32" t="s">
        <v>48</v>
      </c>
      <c r="P369" s="32">
        <v>8</v>
      </c>
      <c r="Q369" s="32">
        <v>10</v>
      </c>
      <c r="R369" s="32" t="s">
        <v>49</v>
      </c>
      <c r="S369" s="32" t="s">
        <v>50</v>
      </c>
      <c r="T369" s="79" t="s">
        <v>50</v>
      </c>
      <c r="U369" s="79" t="s">
        <v>50</v>
      </c>
      <c r="V369" s="32" t="s">
        <v>50</v>
      </c>
      <c r="W369" s="32" t="s">
        <v>50</v>
      </c>
      <c r="X369" s="32" t="s">
        <v>50</v>
      </c>
      <c r="Y369" s="35"/>
    </row>
    <row r="370" spans="1:25" s="27" customFormat="1" x14ac:dyDescent="0.25">
      <c r="A370" s="36">
        <v>43020</v>
      </c>
      <c r="B370" s="92" t="str">
        <f t="shared" si="5"/>
        <v>Thu</v>
      </c>
      <c r="C370" s="27" t="s">
        <v>6849</v>
      </c>
      <c r="D370" s="89">
        <v>38.224260000000001</v>
      </c>
      <c r="E370" s="89">
        <v>-121.53547</v>
      </c>
      <c r="F370" s="27" t="s">
        <v>8036</v>
      </c>
      <c r="G370" s="27" t="s">
        <v>90</v>
      </c>
      <c r="H370" s="27" t="s">
        <v>6892</v>
      </c>
      <c r="I370" s="30">
        <v>0.45624999999999999</v>
      </c>
      <c r="J370" s="31">
        <v>96.1875</v>
      </c>
      <c r="K370" s="31">
        <v>16.05</v>
      </c>
      <c r="L370" s="31">
        <v>5.9337499999999999</v>
      </c>
      <c r="M370" s="31">
        <v>1.5649999999999999</v>
      </c>
      <c r="N370" s="90" t="s">
        <v>50</v>
      </c>
      <c r="O370" s="32" t="s">
        <v>48</v>
      </c>
      <c r="P370" s="32">
        <v>8</v>
      </c>
      <c r="Q370" s="32">
        <v>10</v>
      </c>
      <c r="R370" s="32" t="s">
        <v>49</v>
      </c>
      <c r="S370" s="32" t="s">
        <v>50</v>
      </c>
      <c r="T370" s="79" t="s">
        <v>50</v>
      </c>
      <c r="U370" s="79" t="s">
        <v>50</v>
      </c>
      <c r="V370" s="32" t="s">
        <v>50</v>
      </c>
      <c r="W370" s="32" t="s">
        <v>50</v>
      </c>
      <c r="X370" s="32" t="s">
        <v>50</v>
      </c>
      <c r="Y370" s="35"/>
    </row>
    <row r="371" spans="1:25" s="149" customFormat="1" x14ac:dyDescent="0.25">
      <c r="A371" s="160">
        <v>43020</v>
      </c>
      <c r="B371" s="148" t="str">
        <f t="shared" si="5"/>
        <v>Thu</v>
      </c>
      <c r="C371" s="149" t="s">
        <v>118</v>
      </c>
      <c r="D371" s="150">
        <v>38.076560000000001</v>
      </c>
      <c r="E371" s="150">
        <v>-122.09592000000001</v>
      </c>
      <c r="F371" s="149" t="s">
        <v>8037</v>
      </c>
      <c r="G371" s="149" t="s">
        <v>80</v>
      </c>
      <c r="H371" s="149" t="s">
        <v>81</v>
      </c>
      <c r="I371" s="165">
        <v>0.36458333333333331</v>
      </c>
      <c r="J371" s="163" t="s">
        <v>50</v>
      </c>
      <c r="K371" s="163" t="s">
        <v>50</v>
      </c>
      <c r="L371" s="163" t="s">
        <v>50</v>
      </c>
      <c r="M371" s="163" t="s">
        <v>50</v>
      </c>
      <c r="N371" s="177" t="s">
        <v>50</v>
      </c>
      <c r="O371" s="161" t="s">
        <v>48</v>
      </c>
      <c r="P371" s="161">
        <v>0</v>
      </c>
      <c r="Q371" s="161" t="s">
        <v>50</v>
      </c>
      <c r="R371" s="161" t="s">
        <v>50</v>
      </c>
      <c r="S371" s="161" t="s">
        <v>50</v>
      </c>
      <c r="T371" s="162" t="s">
        <v>50</v>
      </c>
      <c r="U371" s="162" t="s">
        <v>50</v>
      </c>
      <c r="V371" s="161" t="s">
        <v>50</v>
      </c>
      <c r="W371" s="161" t="s">
        <v>50</v>
      </c>
      <c r="X371" s="161" t="s">
        <v>50</v>
      </c>
      <c r="Y371" s="152" t="s">
        <v>8038</v>
      </c>
    </row>
    <row r="372" spans="1:25" s="149" customFormat="1" x14ac:dyDescent="0.25">
      <c r="A372" s="160">
        <v>43020</v>
      </c>
      <c r="B372" s="148" t="str">
        <f t="shared" si="5"/>
        <v>Thu</v>
      </c>
      <c r="C372" s="149" t="s">
        <v>118</v>
      </c>
      <c r="D372" s="150">
        <v>38.093609999999998</v>
      </c>
      <c r="E372" s="150">
        <v>-122.07829</v>
      </c>
      <c r="F372" s="149" t="s">
        <v>8039</v>
      </c>
      <c r="G372" s="149" t="s">
        <v>80</v>
      </c>
      <c r="H372" s="149" t="s">
        <v>81</v>
      </c>
      <c r="I372" s="165">
        <v>0.36805555555555558</v>
      </c>
      <c r="J372" s="163" t="s">
        <v>50</v>
      </c>
      <c r="K372" s="163" t="s">
        <v>50</v>
      </c>
      <c r="L372" s="163" t="s">
        <v>50</v>
      </c>
      <c r="M372" s="163" t="s">
        <v>50</v>
      </c>
      <c r="N372" s="177" t="s">
        <v>50</v>
      </c>
      <c r="O372" s="161" t="s">
        <v>48</v>
      </c>
      <c r="P372" s="161">
        <v>0</v>
      </c>
      <c r="Q372" s="161" t="s">
        <v>50</v>
      </c>
      <c r="R372" s="161" t="s">
        <v>50</v>
      </c>
      <c r="S372" s="161" t="s">
        <v>50</v>
      </c>
      <c r="T372" s="162" t="s">
        <v>50</v>
      </c>
      <c r="U372" s="162" t="s">
        <v>50</v>
      </c>
      <c r="V372" s="161" t="s">
        <v>50</v>
      </c>
      <c r="W372" s="161" t="s">
        <v>50</v>
      </c>
      <c r="X372" s="161" t="s">
        <v>50</v>
      </c>
      <c r="Y372" s="152" t="s">
        <v>72</v>
      </c>
    </row>
    <row r="373" spans="1:25" s="27" customFormat="1" x14ac:dyDescent="0.25">
      <c r="A373" s="36">
        <v>43020</v>
      </c>
      <c r="B373" s="92" t="str">
        <f t="shared" si="5"/>
        <v>Thu</v>
      </c>
      <c r="C373" s="27" t="s">
        <v>118</v>
      </c>
      <c r="D373" s="89">
        <v>38.051340000000003</v>
      </c>
      <c r="E373" s="89">
        <v>-122.08566</v>
      </c>
      <c r="F373" s="27" t="s">
        <v>8040</v>
      </c>
      <c r="G373" s="27" t="s">
        <v>80</v>
      </c>
      <c r="H373" s="27" t="s">
        <v>81</v>
      </c>
      <c r="I373" s="30">
        <v>0.47569444444444442</v>
      </c>
      <c r="J373" s="31">
        <v>12897</v>
      </c>
      <c r="K373" s="31">
        <v>18.22222</v>
      </c>
      <c r="L373" s="31">
        <v>13.311109999999999</v>
      </c>
      <c r="M373" s="31">
        <v>0.56333299999999997</v>
      </c>
      <c r="N373" s="90" t="s">
        <v>50</v>
      </c>
      <c r="O373" s="32" t="s">
        <v>48</v>
      </c>
      <c r="P373" s="32">
        <v>9</v>
      </c>
      <c r="Q373" s="32">
        <v>10</v>
      </c>
      <c r="R373" s="32" t="s">
        <v>49</v>
      </c>
      <c r="S373" s="32" t="s">
        <v>50</v>
      </c>
      <c r="T373" s="79" t="s">
        <v>50</v>
      </c>
      <c r="U373" s="79" t="s">
        <v>50</v>
      </c>
      <c r="V373" s="32" t="s">
        <v>50</v>
      </c>
      <c r="W373" s="32" t="s">
        <v>50</v>
      </c>
      <c r="X373" s="32" t="s">
        <v>50</v>
      </c>
      <c r="Y373" s="35" t="s">
        <v>8041</v>
      </c>
    </row>
    <row r="374" spans="1:25" s="27" customFormat="1" x14ac:dyDescent="0.25">
      <c r="A374" s="36">
        <v>43021</v>
      </c>
      <c r="B374" s="92" t="str">
        <f t="shared" si="5"/>
        <v>Fri</v>
      </c>
      <c r="C374" s="27" t="s">
        <v>95</v>
      </c>
      <c r="D374" s="89">
        <v>38.025829999999999</v>
      </c>
      <c r="E374" s="89">
        <v>-121.78151</v>
      </c>
      <c r="F374" s="27" t="s">
        <v>8042</v>
      </c>
      <c r="G374" s="27" t="s">
        <v>27</v>
      </c>
      <c r="H374" s="27" t="s">
        <v>95</v>
      </c>
      <c r="I374" s="30">
        <v>0.33055555555555555</v>
      </c>
      <c r="J374" s="31">
        <f>AVERAGE(155.4,163.8,168.5,170.6,177.7)</f>
        <v>167.2</v>
      </c>
      <c r="K374" s="31">
        <f>AVERAGE(17,17.1,17.1,17.1,17.2)</f>
        <v>17.100000000000001</v>
      </c>
      <c r="L374" s="31">
        <f>AVERAGE(7.6,8.33,9.58,9.47,10.6)</f>
        <v>9.1159999999999997</v>
      </c>
      <c r="M374" s="31">
        <f>AVERAGE(1.5,1.45,1.32,1.35,1.28)</f>
        <v>1.3800000000000003</v>
      </c>
      <c r="N374" s="90" t="s">
        <v>50</v>
      </c>
      <c r="O374" s="32" t="s">
        <v>48</v>
      </c>
      <c r="P374" s="32">
        <v>5</v>
      </c>
      <c r="Q374" s="32">
        <v>5</v>
      </c>
      <c r="R374" s="32" t="s">
        <v>64</v>
      </c>
      <c r="S374" s="32" t="s">
        <v>50</v>
      </c>
      <c r="T374" s="81" t="s">
        <v>50</v>
      </c>
      <c r="U374" s="81" t="s">
        <v>50</v>
      </c>
      <c r="V374" s="32" t="s">
        <v>50</v>
      </c>
      <c r="W374" s="32" t="s">
        <v>50</v>
      </c>
      <c r="X374" s="32" t="s">
        <v>50</v>
      </c>
      <c r="Y374" s="35"/>
    </row>
    <row r="375" spans="1:25" s="27" customFormat="1" x14ac:dyDescent="0.25">
      <c r="A375" s="36">
        <v>43021</v>
      </c>
      <c r="B375" s="92" t="str">
        <f t="shared" si="5"/>
        <v>Fri</v>
      </c>
      <c r="C375" s="27" t="s">
        <v>95</v>
      </c>
      <c r="D375" s="89">
        <v>38.03425</v>
      </c>
      <c r="E375" s="89">
        <v>-121.83972</v>
      </c>
      <c r="F375" s="27" t="s">
        <v>8043</v>
      </c>
      <c r="G375" s="27" t="s">
        <v>27</v>
      </c>
      <c r="H375" s="27" t="s">
        <v>95</v>
      </c>
      <c r="I375" s="30">
        <v>0.37361111111111112</v>
      </c>
      <c r="J375" s="31">
        <f>AVERAGE(322.7,337.6,358.7,384.4,472)</f>
        <v>375.08000000000004</v>
      </c>
      <c r="K375" s="31">
        <f>AVERAGE(17.3)</f>
        <v>17.3</v>
      </c>
      <c r="L375" s="31">
        <f>AVERAGE(14.7,14.7,17.2,19.4,20.8)</f>
        <v>17.36</v>
      </c>
      <c r="M375" s="31">
        <f>AVERAGE(0.9,0.98,0.95,0.9,0.85)</f>
        <v>0.91600000000000004</v>
      </c>
      <c r="N375" s="90" t="s">
        <v>50</v>
      </c>
      <c r="O375" s="32" t="s">
        <v>48</v>
      </c>
      <c r="P375" s="32">
        <v>5</v>
      </c>
      <c r="Q375" s="32">
        <v>5</v>
      </c>
      <c r="R375" s="32" t="s">
        <v>64</v>
      </c>
      <c r="S375" s="32" t="s">
        <v>50</v>
      </c>
      <c r="T375" s="81" t="s">
        <v>50</v>
      </c>
      <c r="U375" s="81" t="s">
        <v>50</v>
      </c>
      <c r="V375" s="32" t="s">
        <v>50</v>
      </c>
      <c r="W375" s="32" t="s">
        <v>50</v>
      </c>
      <c r="X375" s="32" t="s">
        <v>50</v>
      </c>
      <c r="Y375" s="35"/>
    </row>
    <row r="376" spans="1:25" s="27" customFormat="1" x14ac:dyDescent="0.25">
      <c r="A376" s="36">
        <v>43021</v>
      </c>
      <c r="B376" s="92" t="str">
        <f t="shared" si="5"/>
        <v>Fri</v>
      </c>
      <c r="C376" s="27" t="s">
        <v>845</v>
      </c>
      <c r="D376" s="89">
        <v>38.204859999999996</v>
      </c>
      <c r="E376" s="89">
        <v>-121.65943</v>
      </c>
      <c r="F376" s="27" t="s">
        <v>8044</v>
      </c>
      <c r="G376" s="27" t="s">
        <v>90</v>
      </c>
      <c r="H376" s="27" t="s">
        <v>6935</v>
      </c>
      <c r="I376" s="30">
        <v>0.32083333333333336</v>
      </c>
      <c r="J376" s="31">
        <f>AVERAGE(112.4,111.6,110.8,110.6,110.1)</f>
        <v>111.1</v>
      </c>
      <c r="K376" s="31">
        <f>AVERAGE(15.9)</f>
        <v>15.9</v>
      </c>
      <c r="L376" s="31">
        <f>AVERAGE(5.95,6.74,6.44,6.05,5.9)</f>
        <v>6.2160000000000011</v>
      </c>
      <c r="M376" s="31">
        <f>AVERAGE(1.34,1.38,1.3,1.35,1.32)</f>
        <v>1.3379999999999999</v>
      </c>
      <c r="N376" s="90" t="s">
        <v>50</v>
      </c>
      <c r="O376" s="32" t="s">
        <v>48</v>
      </c>
      <c r="P376" s="32">
        <v>5</v>
      </c>
      <c r="Q376" s="32">
        <v>5</v>
      </c>
      <c r="R376" s="32" t="s">
        <v>64</v>
      </c>
      <c r="S376" s="32" t="s">
        <v>50</v>
      </c>
      <c r="T376" s="81" t="s">
        <v>50</v>
      </c>
      <c r="U376" s="81" t="s">
        <v>50</v>
      </c>
      <c r="V376" s="32" t="s">
        <v>50</v>
      </c>
      <c r="W376" s="32" t="s">
        <v>50</v>
      </c>
      <c r="X376" s="32" t="s">
        <v>50</v>
      </c>
      <c r="Y376" s="35"/>
    </row>
    <row r="377" spans="1:25" s="27" customFormat="1" x14ac:dyDescent="0.25">
      <c r="A377" s="36">
        <v>43021</v>
      </c>
      <c r="B377" s="92" t="str">
        <f t="shared" si="5"/>
        <v>Fri</v>
      </c>
      <c r="C377" s="27" t="s">
        <v>845</v>
      </c>
      <c r="D377" s="89">
        <v>38.180860000000003</v>
      </c>
      <c r="E377" s="89">
        <v>-121.66307999999999</v>
      </c>
      <c r="F377" s="27" t="s">
        <v>8045</v>
      </c>
      <c r="G377" s="27" t="s">
        <v>90</v>
      </c>
      <c r="H377" s="27" t="s">
        <v>6935</v>
      </c>
      <c r="I377" s="30">
        <v>0.36041666666666666</v>
      </c>
      <c r="J377" s="31">
        <f>AVERAGE(92,100.7,99.8,102.2,101.6)</f>
        <v>99.259999999999991</v>
      </c>
      <c r="K377" s="31">
        <f>AVERAGE(15.9,15.9,15.9,15.8,15.9)</f>
        <v>15.88</v>
      </c>
      <c r="L377" s="31">
        <f>AVERAGE(5.71,5.72,6.4,7.61,5.42)</f>
        <v>6.1719999999999997</v>
      </c>
      <c r="M377" s="31">
        <f>AVERAGE(1.3,1.39,1.39,1.45,1.57)</f>
        <v>1.4200000000000002</v>
      </c>
      <c r="N377" s="90" t="s">
        <v>50</v>
      </c>
      <c r="O377" s="32" t="s">
        <v>48</v>
      </c>
      <c r="P377" s="32">
        <v>5</v>
      </c>
      <c r="Q377" s="32">
        <v>5</v>
      </c>
      <c r="R377" s="32" t="s">
        <v>64</v>
      </c>
      <c r="S377" s="32" t="s">
        <v>50</v>
      </c>
      <c r="T377" s="81" t="s">
        <v>50</v>
      </c>
      <c r="U377" s="81" t="s">
        <v>50</v>
      </c>
      <c r="V377" s="32" t="s">
        <v>50</v>
      </c>
      <c r="W377" s="32" t="s">
        <v>50</v>
      </c>
      <c r="X377" s="32" t="s">
        <v>50</v>
      </c>
      <c r="Y377" s="35"/>
    </row>
    <row r="378" spans="1:25" s="168" customFormat="1" ht="15.75" thickBot="1" x14ac:dyDescent="0.3">
      <c r="A378" s="166">
        <v>43021</v>
      </c>
      <c r="B378" s="167" t="str">
        <f t="shared" si="5"/>
        <v>Fri</v>
      </c>
      <c r="C378" s="168" t="s">
        <v>118</v>
      </c>
      <c r="D378" s="169">
        <v>38.055799999999998</v>
      </c>
      <c r="E378" s="169">
        <v>-122.1126</v>
      </c>
      <c r="F378" s="168" t="s">
        <v>8046</v>
      </c>
      <c r="G378" s="168" t="s">
        <v>80</v>
      </c>
      <c r="H378" s="168" t="s">
        <v>81</v>
      </c>
      <c r="I378" s="170">
        <v>0.38541666666666669</v>
      </c>
      <c r="J378" s="171" t="s">
        <v>50</v>
      </c>
      <c r="K378" s="171" t="s">
        <v>50</v>
      </c>
      <c r="L378" s="171" t="s">
        <v>50</v>
      </c>
      <c r="M378" s="171" t="s">
        <v>50</v>
      </c>
      <c r="N378" s="175" t="s">
        <v>50</v>
      </c>
      <c r="O378" s="172" t="s">
        <v>48</v>
      </c>
      <c r="P378" s="172">
        <v>0</v>
      </c>
      <c r="Q378" s="172" t="s">
        <v>50</v>
      </c>
      <c r="R378" s="172" t="s">
        <v>50</v>
      </c>
      <c r="S378" s="172" t="s">
        <v>50</v>
      </c>
      <c r="T378" s="176" t="s">
        <v>50</v>
      </c>
      <c r="U378" s="176" t="s">
        <v>50</v>
      </c>
      <c r="V378" s="172" t="s">
        <v>50</v>
      </c>
      <c r="W378" s="172" t="s">
        <v>50</v>
      </c>
      <c r="X378" s="172" t="s">
        <v>50</v>
      </c>
      <c r="Y378" s="174" t="s">
        <v>8047</v>
      </c>
    </row>
    <row r="379" spans="1:25" s="27" customFormat="1" ht="15.75" thickTop="1" x14ac:dyDescent="0.25">
      <c r="A379" s="29">
        <v>43024</v>
      </c>
      <c r="B379" s="92" t="str">
        <f t="shared" si="5"/>
        <v>Mon</v>
      </c>
      <c r="C379" s="27" t="s">
        <v>106</v>
      </c>
      <c r="D379" s="89">
        <v>38.405720000000002</v>
      </c>
      <c r="E379" s="89">
        <v>-121.61895</v>
      </c>
      <c r="F379" s="27" t="s">
        <v>8048</v>
      </c>
      <c r="G379" s="27" t="s">
        <v>90</v>
      </c>
      <c r="H379" s="27" t="s">
        <v>7577</v>
      </c>
      <c r="I379" s="120">
        <v>0.35625000000000001</v>
      </c>
      <c r="J379" s="121">
        <f>AVERAGE(128.1,129.1,131.1,122.4,128)</f>
        <v>127.73999999999998</v>
      </c>
      <c r="K379" s="121">
        <f>AVERAGE(15.3,15.3,15.4,15.3,15.3)</f>
        <v>15.319999999999999</v>
      </c>
      <c r="L379" s="121">
        <f>AVERAGE(24.7,28.2,24.8,23.1,28.1)</f>
        <v>25.78</v>
      </c>
      <c r="M379" s="121">
        <f>AVERAGE(0.5,0.5,0.46,0.45,0.45)</f>
        <v>0.47199999999999998</v>
      </c>
      <c r="N379" s="90">
        <v>3.1394400000000005</v>
      </c>
      <c r="O379" s="33" t="s">
        <v>48</v>
      </c>
      <c r="P379" s="33">
        <v>5</v>
      </c>
      <c r="Q379" s="33">
        <v>5</v>
      </c>
      <c r="R379" s="33" t="s">
        <v>49</v>
      </c>
      <c r="S379" s="33" t="s">
        <v>50</v>
      </c>
      <c r="T379" s="81" t="s">
        <v>50</v>
      </c>
      <c r="U379" s="81" t="s">
        <v>50</v>
      </c>
      <c r="V379" s="33" t="s">
        <v>50</v>
      </c>
      <c r="W379" s="33" t="s">
        <v>50</v>
      </c>
      <c r="X379" s="33" t="s">
        <v>50</v>
      </c>
      <c r="Y379" s="35" t="s">
        <v>8049</v>
      </c>
    </row>
    <row r="380" spans="1:25" s="27" customFormat="1" x14ac:dyDescent="0.25">
      <c r="A380" s="36">
        <v>43024</v>
      </c>
      <c r="B380" s="92" t="str">
        <f t="shared" si="5"/>
        <v>Mon</v>
      </c>
      <c r="C380" s="27" t="s">
        <v>106</v>
      </c>
      <c r="D380" s="89">
        <v>38.397120000000001</v>
      </c>
      <c r="E380" s="89">
        <v>-121.61895</v>
      </c>
      <c r="F380" s="27" t="s">
        <v>8050</v>
      </c>
      <c r="G380" s="27" t="s">
        <v>90</v>
      </c>
      <c r="H380" s="27" t="s">
        <v>7577</v>
      </c>
      <c r="I380" s="30">
        <v>0.44444444444444442</v>
      </c>
      <c r="J380" s="31">
        <f>AVERAGE(452,454.5,453.3,444.7,452.2)</f>
        <v>451.34</v>
      </c>
      <c r="K380" s="31">
        <f>AVERAGE(17,17,17.1,17.1,17.1)</f>
        <v>17.060000000000002</v>
      </c>
      <c r="L380" s="31">
        <f>AVERAGE(22.1,20.2,19.8,18.7,18.6)</f>
        <v>19.880000000000003</v>
      </c>
      <c r="M380" s="31">
        <f>AVERAGE(0.5,0.52,0.5,0.48,0.5)</f>
        <v>0.5</v>
      </c>
      <c r="N380" s="28">
        <v>9.1805760000000003</v>
      </c>
      <c r="O380" s="32" t="s">
        <v>48</v>
      </c>
      <c r="P380" s="32">
        <v>5</v>
      </c>
      <c r="Q380" s="32">
        <v>5</v>
      </c>
      <c r="R380" s="32" t="s">
        <v>49</v>
      </c>
      <c r="S380" s="32" t="s">
        <v>50</v>
      </c>
      <c r="T380" s="81" t="s">
        <v>50</v>
      </c>
      <c r="U380" s="81" t="s">
        <v>50</v>
      </c>
      <c r="V380" s="32" t="s">
        <v>50</v>
      </c>
      <c r="W380" s="32" t="s">
        <v>50</v>
      </c>
      <c r="X380" s="32" t="s">
        <v>50</v>
      </c>
      <c r="Y380" s="35" t="s">
        <v>7934</v>
      </c>
    </row>
    <row r="381" spans="1:25" s="27" customFormat="1" x14ac:dyDescent="0.25">
      <c r="A381" s="36">
        <v>43024</v>
      </c>
      <c r="B381" s="92" t="str">
        <f t="shared" si="5"/>
        <v>Mon</v>
      </c>
      <c r="C381" s="27" t="s">
        <v>44</v>
      </c>
      <c r="D381" s="89">
        <v>37.806959999999997</v>
      </c>
      <c r="E381" s="89">
        <v>-121.32575</v>
      </c>
      <c r="F381" s="27" t="s">
        <v>8051</v>
      </c>
      <c r="G381" s="27" t="s">
        <v>46</v>
      </c>
      <c r="H381" s="27" t="s">
        <v>8052</v>
      </c>
      <c r="I381" s="30">
        <v>0.35069444444444442</v>
      </c>
      <c r="J381" s="31">
        <f>AVERAGE(195.1,194.2,193.9,193.7,193.1,192.9,192.1,191.7)</f>
        <v>193.33749999999998</v>
      </c>
      <c r="K381" s="31">
        <f>AVERAGE(15.2,15.1,15.2,15.2,15.2,15.1,15.1,15.1)</f>
        <v>15.149999999999999</v>
      </c>
      <c r="L381" s="31">
        <f>AVERAGE(13.2,17.2,18.3,18.6,20.5,19.5,21.8,21.8)</f>
        <v>18.862500000000004</v>
      </c>
      <c r="M381" s="31">
        <f>AVERAGE(0.75,0.67,0.64,0.65,0.65,0.6,0.54,0.63)</f>
        <v>0.64124999999999999</v>
      </c>
      <c r="N381" s="28">
        <v>4.5834299999999999</v>
      </c>
      <c r="O381" s="32" t="s">
        <v>48</v>
      </c>
      <c r="P381" s="32">
        <v>8</v>
      </c>
      <c r="Q381" s="32">
        <v>10</v>
      </c>
      <c r="R381" s="32" t="s">
        <v>49</v>
      </c>
      <c r="S381" s="32" t="s">
        <v>50</v>
      </c>
      <c r="T381" s="81" t="s">
        <v>50</v>
      </c>
      <c r="U381" s="81" t="s">
        <v>50</v>
      </c>
      <c r="V381" s="32" t="s">
        <v>50</v>
      </c>
      <c r="W381" s="32" t="s">
        <v>50</v>
      </c>
      <c r="X381" s="32" t="s">
        <v>50</v>
      </c>
      <c r="Y381" s="35"/>
    </row>
    <row r="382" spans="1:25" s="27" customFormat="1" x14ac:dyDescent="0.25">
      <c r="A382" s="36">
        <v>43024</v>
      </c>
      <c r="B382" s="92" t="str">
        <f t="shared" si="5"/>
        <v>Mon</v>
      </c>
      <c r="C382" s="27" t="s">
        <v>44</v>
      </c>
      <c r="D382" s="89">
        <v>37.997419999999998</v>
      </c>
      <c r="E382" s="89">
        <v>-121.44338</v>
      </c>
      <c r="F382" s="27" t="s">
        <v>8053</v>
      </c>
      <c r="G382" s="27" t="s">
        <v>46</v>
      </c>
      <c r="H382" s="27" t="s">
        <v>6840</v>
      </c>
      <c r="I382" s="30">
        <v>0.48819444444444443</v>
      </c>
      <c r="J382" s="31">
        <v>289.22500000000002</v>
      </c>
      <c r="K382" s="31">
        <v>17.037500000000001</v>
      </c>
      <c r="L382" s="31">
        <v>8.0887499999999992</v>
      </c>
      <c r="M382" s="31">
        <v>1.30375</v>
      </c>
      <c r="N382" s="28">
        <v>10.283189999999999</v>
      </c>
      <c r="O382" s="32" t="s">
        <v>48</v>
      </c>
      <c r="P382" s="32">
        <v>8</v>
      </c>
      <c r="Q382" s="32">
        <v>10</v>
      </c>
      <c r="R382" s="32" t="s">
        <v>64</v>
      </c>
      <c r="S382" s="32" t="s">
        <v>50</v>
      </c>
      <c r="T382" s="81" t="s">
        <v>50</v>
      </c>
      <c r="U382" s="81" t="s">
        <v>50</v>
      </c>
      <c r="V382" s="32" t="s">
        <v>50</v>
      </c>
      <c r="W382" s="32" t="s">
        <v>50</v>
      </c>
      <c r="X382" s="32" t="s">
        <v>50</v>
      </c>
      <c r="Y382" s="35"/>
    </row>
    <row r="383" spans="1:25" s="27" customFormat="1" x14ac:dyDescent="0.25">
      <c r="A383" s="36">
        <v>43025</v>
      </c>
      <c r="B383" s="92" t="str">
        <f t="shared" si="5"/>
        <v>Tue</v>
      </c>
      <c r="C383" s="27" t="s">
        <v>88</v>
      </c>
      <c r="D383" s="89">
        <v>38.097200000000001</v>
      </c>
      <c r="E383" s="89">
        <v>-121.68633</v>
      </c>
      <c r="F383" s="27" t="s">
        <v>8054</v>
      </c>
      <c r="G383" s="27" t="s">
        <v>90</v>
      </c>
      <c r="H383" s="27" t="s">
        <v>91</v>
      </c>
      <c r="I383" s="30">
        <v>0.29930555555555555</v>
      </c>
      <c r="J383" s="31">
        <v>127.26</v>
      </c>
      <c r="K383" s="31">
        <v>16.899999999999999</v>
      </c>
      <c r="L383" s="31">
        <v>8.94</v>
      </c>
      <c r="M383" s="31">
        <v>1.4159999999999999</v>
      </c>
      <c r="N383" s="28">
        <v>8.4185760000000016</v>
      </c>
      <c r="O383" s="32" t="s">
        <v>48</v>
      </c>
      <c r="P383" s="32">
        <v>5</v>
      </c>
      <c r="Q383" s="32">
        <v>5</v>
      </c>
      <c r="R383" s="32" t="s">
        <v>64</v>
      </c>
      <c r="S383" s="32" t="s">
        <v>50</v>
      </c>
      <c r="T383" s="81" t="s">
        <v>50</v>
      </c>
      <c r="U383" s="81" t="s">
        <v>50</v>
      </c>
      <c r="V383" s="32" t="s">
        <v>50</v>
      </c>
      <c r="W383" s="32" t="s">
        <v>50</v>
      </c>
      <c r="X383" s="32" t="s">
        <v>50</v>
      </c>
      <c r="Y383" s="35" t="s">
        <v>7934</v>
      </c>
    </row>
    <row r="384" spans="1:25" s="27" customFormat="1" x14ac:dyDescent="0.25">
      <c r="A384" s="36">
        <v>43025</v>
      </c>
      <c r="B384" s="92" t="str">
        <f t="shared" si="5"/>
        <v>Tue</v>
      </c>
      <c r="C384" s="27" t="s">
        <v>88</v>
      </c>
      <c r="D384" s="89">
        <v>38.101660000000003</v>
      </c>
      <c r="E384" s="89">
        <v>-121.71428</v>
      </c>
      <c r="F384" s="27" t="s">
        <v>8055</v>
      </c>
      <c r="G384" s="27" t="s">
        <v>90</v>
      </c>
      <c r="H384" s="27" t="s">
        <v>91</v>
      </c>
      <c r="I384" s="30">
        <v>0.36805555555555558</v>
      </c>
      <c r="J384" s="31">
        <v>104.36</v>
      </c>
      <c r="K384" s="31">
        <v>16.3</v>
      </c>
      <c r="L384" s="31">
        <v>9.4139999999999997</v>
      </c>
      <c r="M384" s="31">
        <v>1.6359999999999999</v>
      </c>
      <c r="N384" s="28">
        <v>7.1932800000000006</v>
      </c>
      <c r="O384" s="32" t="s">
        <v>48</v>
      </c>
      <c r="P384" s="32">
        <v>5</v>
      </c>
      <c r="Q384" s="32">
        <v>5</v>
      </c>
      <c r="R384" s="32" t="s">
        <v>49</v>
      </c>
      <c r="S384" s="32" t="s">
        <v>50</v>
      </c>
      <c r="T384" s="81" t="s">
        <v>50</v>
      </c>
      <c r="U384" s="81" t="s">
        <v>50</v>
      </c>
      <c r="V384" s="32" t="s">
        <v>50</v>
      </c>
      <c r="W384" s="32" t="s">
        <v>50</v>
      </c>
      <c r="X384" s="32" t="s">
        <v>50</v>
      </c>
      <c r="Y384" s="35" t="s">
        <v>7934</v>
      </c>
    </row>
    <row r="385" spans="1:25" s="27" customFormat="1" x14ac:dyDescent="0.25">
      <c r="A385" s="36">
        <v>43025</v>
      </c>
      <c r="B385" s="92" t="str">
        <f t="shared" si="5"/>
        <v>Tue</v>
      </c>
      <c r="C385" s="27" t="s">
        <v>7570</v>
      </c>
      <c r="D385" s="89">
        <v>38.177419999999998</v>
      </c>
      <c r="E385" s="89">
        <v>-122.009</v>
      </c>
      <c r="F385" s="27" t="s">
        <v>8056</v>
      </c>
      <c r="G385" s="27" t="s">
        <v>27</v>
      </c>
      <c r="H385" s="27" t="s">
        <v>62</v>
      </c>
      <c r="I385" s="30">
        <v>0.39166666666666666</v>
      </c>
      <c r="J385" s="31">
        <v>8167</v>
      </c>
      <c r="K385" s="31">
        <v>17</v>
      </c>
      <c r="L385" s="31">
        <v>41.524999999999999</v>
      </c>
      <c r="M385" s="31">
        <v>0.34499999999999997</v>
      </c>
      <c r="N385" s="28">
        <v>5.4254400000000009</v>
      </c>
      <c r="O385" s="32" t="s">
        <v>48</v>
      </c>
      <c r="P385" s="32">
        <v>4</v>
      </c>
      <c r="Q385" s="32">
        <v>5</v>
      </c>
      <c r="R385" s="32" t="s">
        <v>64</v>
      </c>
      <c r="S385" s="32" t="s">
        <v>323</v>
      </c>
      <c r="T385" s="79">
        <v>1</v>
      </c>
      <c r="U385" s="79">
        <v>45</v>
      </c>
      <c r="V385" s="32" t="s">
        <v>66</v>
      </c>
      <c r="W385" s="32" t="s">
        <v>50</v>
      </c>
      <c r="X385" s="32" t="s">
        <v>50</v>
      </c>
      <c r="Y385" s="35" t="s">
        <v>8006</v>
      </c>
    </row>
    <row r="386" spans="1:25" s="27" customFormat="1" x14ac:dyDescent="0.25">
      <c r="A386" s="36">
        <v>43025</v>
      </c>
      <c r="B386" s="92" t="str">
        <f t="shared" si="5"/>
        <v>Tue</v>
      </c>
      <c r="C386" s="27" t="s">
        <v>7570</v>
      </c>
      <c r="D386" s="89">
        <v>38.054920000000003</v>
      </c>
      <c r="E386" s="89">
        <v>-121.95808</v>
      </c>
      <c r="F386" s="27" t="s">
        <v>8057</v>
      </c>
      <c r="G386" s="27" t="s">
        <v>27</v>
      </c>
      <c r="H386" s="27" t="s">
        <v>170</v>
      </c>
      <c r="I386" s="30">
        <v>0.48055555555555557</v>
      </c>
      <c r="J386" s="31">
        <v>4771</v>
      </c>
      <c r="K386" s="31">
        <v>17.48</v>
      </c>
      <c r="L386" s="31">
        <v>18.239999999999998</v>
      </c>
      <c r="M386" s="31">
        <v>0.54600000000000004</v>
      </c>
      <c r="N386" s="28">
        <v>12.832080000000001</v>
      </c>
      <c r="O386" s="32" t="s">
        <v>48</v>
      </c>
      <c r="P386" s="32">
        <v>5</v>
      </c>
      <c r="Q386" s="32">
        <v>5</v>
      </c>
      <c r="R386" s="32" t="s">
        <v>64</v>
      </c>
      <c r="S386" s="32" t="s">
        <v>50</v>
      </c>
      <c r="T386" s="81" t="s">
        <v>50</v>
      </c>
      <c r="U386" s="81" t="s">
        <v>50</v>
      </c>
      <c r="V386" s="32" t="s">
        <v>50</v>
      </c>
      <c r="W386" s="32" t="s">
        <v>50</v>
      </c>
      <c r="X386" s="32" t="s">
        <v>50</v>
      </c>
      <c r="Y386" s="35" t="s">
        <v>7934</v>
      </c>
    </row>
    <row r="387" spans="1:25" s="27" customFormat="1" x14ac:dyDescent="0.25">
      <c r="A387" s="36">
        <v>43025</v>
      </c>
      <c r="B387" s="92" t="str">
        <f t="shared" si="5"/>
        <v>Tue</v>
      </c>
      <c r="C387" s="27" t="s">
        <v>44</v>
      </c>
      <c r="D387" s="89">
        <v>37.978830000000002</v>
      </c>
      <c r="E387" s="89">
        <v>-121.52912000000001</v>
      </c>
      <c r="F387" s="27" t="s">
        <v>8058</v>
      </c>
      <c r="G387" s="27" t="s">
        <v>46</v>
      </c>
      <c r="H387" s="27" t="s">
        <v>6939</v>
      </c>
      <c r="I387" s="30">
        <v>0.33680555555555558</v>
      </c>
      <c r="J387" s="31">
        <v>200.24</v>
      </c>
      <c r="K387" s="31">
        <v>17.34</v>
      </c>
      <c r="L387" s="31">
        <v>2.7480000000000002</v>
      </c>
      <c r="M387" s="31">
        <v>1.9</v>
      </c>
      <c r="N387" s="28">
        <v>3.7490400000000004</v>
      </c>
      <c r="O387" s="32" t="s">
        <v>48</v>
      </c>
      <c r="P387" s="32">
        <v>5</v>
      </c>
      <c r="Q387" s="32">
        <v>10</v>
      </c>
      <c r="R387" s="32" t="s">
        <v>49</v>
      </c>
      <c r="S387" s="32" t="s">
        <v>50</v>
      </c>
      <c r="T387" s="81" t="s">
        <v>50</v>
      </c>
      <c r="U387" s="81" t="s">
        <v>50</v>
      </c>
      <c r="V387" s="32" t="s">
        <v>50</v>
      </c>
      <c r="W387" s="32" t="s">
        <v>50</v>
      </c>
      <c r="X387" s="32" t="s">
        <v>50</v>
      </c>
      <c r="Y387" s="35" t="s">
        <v>8059</v>
      </c>
    </row>
    <row r="388" spans="1:25" s="27" customFormat="1" x14ac:dyDescent="0.25">
      <c r="A388" s="36">
        <v>43025</v>
      </c>
      <c r="B388" s="92" t="str">
        <f t="shared" ref="B388:B451" si="6">TEXT(A388,"ddd")</f>
        <v>Tue</v>
      </c>
      <c r="C388" s="27" t="s">
        <v>44</v>
      </c>
      <c r="D388" s="89">
        <v>37.921300000000002</v>
      </c>
      <c r="E388" s="89">
        <v>-121.51786</v>
      </c>
      <c r="F388" s="27" t="s">
        <v>8060</v>
      </c>
      <c r="G388" s="27" t="s">
        <v>46</v>
      </c>
      <c r="H388" s="27" t="s">
        <v>6926</v>
      </c>
      <c r="I388" s="30">
        <v>0.56874999999999998</v>
      </c>
      <c r="J388" s="31">
        <v>181.7</v>
      </c>
      <c r="K388" s="31">
        <v>17.45</v>
      </c>
      <c r="L388" s="31">
        <v>4.28</v>
      </c>
      <c r="M388" s="31">
        <v>1.9</v>
      </c>
      <c r="N388" s="28">
        <v>5.3492400000000009</v>
      </c>
      <c r="O388" s="32" t="s">
        <v>48</v>
      </c>
      <c r="P388" s="32">
        <v>8</v>
      </c>
      <c r="Q388" s="32">
        <v>10</v>
      </c>
      <c r="R388" s="32" t="s">
        <v>64</v>
      </c>
      <c r="S388" s="32" t="s">
        <v>50</v>
      </c>
      <c r="T388" s="81" t="s">
        <v>50</v>
      </c>
      <c r="U388" s="81" t="s">
        <v>50</v>
      </c>
      <c r="V388" s="32" t="s">
        <v>50</v>
      </c>
      <c r="W388" s="32" t="s">
        <v>50</v>
      </c>
      <c r="X388" s="32" t="s">
        <v>50</v>
      </c>
      <c r="Y388" s="35"/>
    </row>
    <row r="389" spans="1:25" s="27" customFormat="1" x14ac:dyDescent="0.25">
      <c r="A389" s="36">
        <v>43026</v>
      </c>
      <c r="B389" s="92" t="str">
        <f t="shared" si="6"/>
        <v>Wed</v>
      </c>
      <c r="C389" s="27" t="s">
        <v>95</v>
      </c>
      <c r="D389" s="89">
        <v>38.091230000000003</v>
      </c>
      <c r="E389" s="89">
        <v>-121.65535</v>
      </c>
      <c r="F389" s="27" t="s">
        <v>8061</v>
      </c>
      <c r="G389" s="27" t="s">
        <v>46</v>
      </c>
      <c r="H389" s="27" t="s">
        <v>97</v>
      </c>
      <c r="I389" s="30">
        <v>0.32083333333333336</v>
      </c>
      <c r="J389" s="31">
        <f>AVERAGE(129.8,130.8,128.8,128.7,127.2)</f>
        <v>129.06</v>
      </c>
      <c r="K389" s="31">
        <f>AVERAGE(16.9)</f>
        <v>16.899999999999999</v>
      </c>
      <c r="L389" s="31">
        <f>AVERAGE(6.72,8.17,7.77,6.94,6.96)</f>
        <v>7.3120000000000003</v>
      </c>
      <c r="M389" s="31">
        <f>AVERAGE(1.48,1.43,1.39,1.38,1.38)</f>
        <v>1.4119999999999999</v>
      </c>
      <c r="N389" s="28">
        <v>14.581632000000003</v>
      </c>
      <c r="O389" s="32" t="s">
        <v>48</v>
      </c>
      <c r="P389" s="32">
        <v>5</v>
      </c>
      <c r="Q389" s="32">
        <v>5</v>
      </c>
      <c r="R389" s="32" t="s">
        <v>49</v>
      </c>
      <c r="S389" s="32" t="s">
        <v>50</v>
      </c>
      <c r="T389" s="81" t="s">
        <v>50</v>
      </c>
      <c r="U389" s="81" t="s">
        <v>50</v>
      </c>
      <c r="V389" s="32" t="s">
        <v>50</v>
      </c>
      <c r="W389" s="32" t="s">
        <v>50</v>
      </c>
      <c r="X389" s="32" t="s">
        <v>50</v>
      </c>
      <c r="Y389" s="35"/>
    </row>
    <row r="390" spans="1:25" s="27" customFormat="1" x14ac:dyDescent="0.25">
      <c r="A390" s="36">
        <v>43026</v>
      </c>
      <c r="B390" s="92" t="str">
        <f t="shared" si="6"/>
        <v>Wed</v>
      </c>
      <c r="C390" s="27" t="s">
        <v>95</v>
      </c>
      <c r="D390" s="89">
        <v>38.06174</v>
      </c>
      <c r="E390" s="89">
        <v>-121.68147999999999</v>
      </c>
      <c r="F390" s="27" t="s">
        <v>8062</v>
      </c>
      <c r="G390" s="27" t="s">
        <v>46</v>
      </c>
      <c r="H390" s="27" t="s">
        <v>97</v>
      </c>
      <c r="I390" s="30">
        <v>0.36805555555555558</v>
      </c>
      <c r="J390" s="31">
        <f>AVERAGE(148.5,147.4,146.4,146.2,144.3)</f>
        <v>146.56</v>
      </c>
      <c r="K390" s="31">
        <f>AVERAGE(16.9)</f>
        <v>16.899999999999999</v>
      </c>
      <c r="L390" s="31">
        <f>AVERAGE(8.58,8.58,11.7,11.6,9.76)</f>
        <v>10.044</v>
      </c>
      <c r="M390" s="31">
        <f>AVERAGE(1.29,1.27,1.27,1.24,1.29)</f>
        <v>1.272</v>
      </c>
      <c r="N390" s="28">
        <v>3.2369759999999999</v>
      </c>
      <c r="O390" s="32" t="s">
        <v>48</v>
      </c>
      <c r="P390" s="32">
        <v>5</v>
      </c>
      <c r="Q390" s="32">
        <v>5</v>
      </c>
      <c r="R390" s="32" t="s">
        <v>49</v>
      </c>
      <c r="S390" s="32" t="s">
        <v>50</v>
      </c>
      <c r="T390" s="81" t="s">
        <v>50</v>
      </c>
      <c r="U390" s="81" t="s">
        <v>50</v>
      </c>
      <c r="V390" s="32" t="s">
        <v>50</v>
      </c>
      <c r="W390" s="32" t="s">
        <v>50</v>
      </c>
      <c r="X390" s="32" t="s">
        <v>50</v>
      </c>
      <c r="Y390" s="35"/>
    </row>
    <row r="391" spans="1:25" s="27" customFormat="1" x14ac:dyDescent="0.25">
      <c r="A391" s="36">
        <v>43026</v>
      </c>
      <c r="B391" s="92" t="str">
        <f t="shared" si="6"/>
        <v>Wed</v>
      </c>
      <c r="C391" s="27" t="s">
        <v>845</v>
      </c>
      <c r="D391" s="89">
        <v>38.33258</v>
      </c>
      <c r="E391" s="89">
        <v>-121.65097</v>
      </c>
      <c r="F391" s="27" t="s">
        <v>8063</v>
      </c>
      <c r="G391" s="27" t="s">
        <v>90</v>
      </c>
      <c r="H391" s="27" t="s">
        <v>6935</v>
      </c>
      <c r="I391" s="30">
        <v>0.3347222222222222</v>
      </c>
      <c r="J391" s="31">
        <f>AVERAGE(113.6,114.2,114.5,114.6,115.3)</f>
        <v>114.43999999999998</v>
      </c>
      <c r="K391" s="31">
        <f>AVERAGE(16.2,16.2,16.2,16.2,16.3)</f>
        <v>16.22</v>
      </c>
      <c r="L391" s="31" t="s">
        <v>50</v>
      </c>
      <c r="M391" s="31">
        <f>AVERAGE(1.15,1.1,1.01,1.1,1.05)</f>
        <v>1.0819999999999999</v>
      </c>
      <c r="N391" s="28">
        <v>4.5354240000000008</v>
      </c>
      <c r="O391" s="32" t="s">
        <v>48</v>
      </c>
      <c r="P391" s="32">
        <v>5</v>
      </c>
      <c r="Q391" s="32">
        <v>5</v>
      </c>
      <c r="R391" s="32" t="s">
        <v>49</v>
      </c>
      <c r="S391" s="32" t="s">
        <v>50</v>
      </c>
      <c r="T391" s="81" t="s">
        <v>50</v>
      </c>
      <c r="U391" s="81" t="s">
        <v>50</v>
      </c>
      <c r="V391" s="32" t="s">
        <v>50</v>
      </c>
      <c r="W391" s="32" t="s">
        <v>50</v>
      </c>
      <c r="X391" s="32" t="s">
        <v>50</v>
      </c>
      <c r="Y391" s="35" t="s">
        <v>8064</v>
      </c>
    </row>
    <row r="392" spans="1:25" s="27" customFormat="1" x14ac:dyDescent="0.25">
      <c r="A392" s="36">
        <v>43026</v>
      </c>
      <c r="B392" s="92" t="str">
        <f t="shared" si="6"/>
        <v>Wed</v>
      </c>
      <c r="C392" s="27" t="s">
        <v>845</v>
      </c>
      <c r="D392" s="89">
        <v>38.260759999999998</v>
      </c>
      <c r="E392" s="89">
        <v>-121.69099</v>
      </c>
      <c r="F392" s="27" t="s">
        <v>8065</v>
      </c>
      <c r="G392" s="27" t="s">
        <v>90</v>
      </c>
      <c r="H392" s="27" t="s">
        <v>6935</v>
      </c>
      <c r="I392" s="30">
        <v>0.38750000000000001</v>
      </c>
      <c r="J392" s="31">
        <f>AVERAGE(104.3,104.7,104.9,105.3,105.3)</f>
        <v>104.9</v>
      </c>
      <c r="K392" s="31">
        <f>AVERAGE(15.8,15.8,15.8,15.7,15.9)</f>
        <v>15.800000000000002</v>
      </c>
      <c r="L392" s="31" t="s">
        <v>50</v>
      </c>
      <c r="M392" s="31">
        <f>AVERAGE(1.8,1.8,1.7,1.63,1.8)</f>
        <v>1.746</v>
      </c>
      <c r="N392" s="28">
        <v>6.3093599999999999</v>
      </c>
      <c r="O392" s="32" t="s">
        <v>48</v>
      </c>
      <c r="P392" s="32">
        <v>5</v>
      </c>
      <c r="Q392" s="32">
        <v>5</v>
      </c>
      <c r="R392" s="32" t="s">
        <v>49</v>
      </c>
      <c r="S392" s="32" t="s">
        <v>50</v>
      </c>
      <c r="T392" s="81" t="s">
        <v>50</v>
      </c>
      <c r="U392" s="81" t="s">
        <v>50</v>
      </c>
      <c r="V392" s="32" t="s">
        <v>50</v>
      </c>
      <c r="W392" s="32" t="s">
        <v>50</v>
      </c>
      <c r="X392" s="32" t="s">
        <v>50</v>
      </c>
      <c r="Y392" s="35" t="s">
        <v>8064</v>
      </c>
    </row>
    <row r="393" spans="1:25" s="27" customFormat="1" x14ac:dyDescent="0.25">
      <c r="A393" s="36">
        <v>43026</v>
      </c>
      <c r="B393" s="92" t="str">
        <f t="shared" si="6"/>
        <v>Wed</v>
      </c>
      <c r="C393" s="27" t="s">
        <v>7570</v>
      </c>
      <c r="D393" s="89">
        <v>38.076000000000001</v>
      </c>
      <c r="E393" s="89">
        <v>-121.98829000000001</v>
      </c>
      <c r="F393" s="27" t="s">
        <v>8066</v>
      </c>
      <c r="G393" s="27" t="s">
        <v>27</v>
      </c>
      <c r="H393" s="27" t="s">
        <v>86</v>
      </c>
      <c r="I393" s="30">
        <v>0.3979166666666667</v>
      </c>
      <c r="J393" s="31">
        <f>AVERAGE(5113,5998,5557,5766,5191)</f>
        <v>5525</v>
      </c>
      <c r="K393" s="31">
        <f>AVERAGE(17.1)</f>
        <v>17.100000000000001</v>
      </c>
      <c r="L393" s="31">
        <f>AVERAGE(34.7,37.1,29.3,30.5,21)</f>
        <v>30.520000000000003</v>
      </c>
      <c r="M393" s="31">
        <f>AVERAGE(0.4,0.38,0.4,0.38,0.45)</f>
        <v>0.40200000000000002</v>
      </c>
      <c r="N393" s="28">
        <v>4.1940480000000004</v>
      </c>
      <c r="O393" s="32" t="s">
        <v>48</v>
      </c>
      <c r="P393" s="32">
        <v>5</v>
      </c>
      <c r="Q393" s="32">
        <v>5</v>
      </c>
      <c r="R393" s="32" t="s">
        <v>64</v>
      </c>
      <c r="S393" s="32" t="s">
        <v>50</v>
      </c>
      <c r="T393" s="81" t="s">
        <v>50</v>
      </c>
      <c r="U393" s="81" t="s">
        <v>50</v>
      </c>
      <c r="V393" s="32" t="s">
        <v>50</v>
      </c>
      <c r="W393" s="32" t="s">
        <v>50</v>
      </c>
      <c r="X393" s="32" t="s">
        <v>50</v>
      </c>
      <c r="Y393" s="35" t="s">
        <v>7934</v>
      </c>
    </row>
    <row r="394" spans="1:25" s="27" customFormat="1" x14ac:dyDescent="0.25">
      <c r="A394" s="36">
        <v>43026</v>
      </c>
      <c r="B394" s="92" t="str">
        <f t="shared" si="6"/>
        <v>Wed</v>
      </c>
      <c r="C394" s="27" t="s">
        <v>7570</v>
      </c>
      <c r="D394" s="89">
        <v>38.083880000000001</v>
      </c>
      <c r="E394" s="89">
        <v>-122.05337</v>
      </c>
      <c r="F394" s="27" t="s">
        <v>8067</v>
      </c>
      <c r="G394" s="27" t="s">
        <v>27</v>
      </c>
      <c r="H394" s="27" t="s">
        <v>86</v>
      </c>
      <c r="I394" s="30">
        <v>0.47569444444444442</v>
      </c>
      <c r="J394" s="31">
        <f>AVERAGE(11653,10213,11710,11948,11141)</f>
        <v>11333</v>
      </c>
      <c r="K394" s="31">
        <f>AVERAGE(17.04)</f>
        <v>17.04</v>
      </c>
      <c r="L394" s="31">
        <f>AVERAGE(27.3,40.7,36.5,35.5,27.7)</f>
        <v>33.54</v>
      </c>
      <c r="M394" s="31">
        <f>AVERAGE(0.37,0.39,0.52,0.35,0.43)</f>
        <v>0.41200000000000003</v>
      </c>
      <c r="N394" s="28">
        <v>7.8272640000000004</v>
      </c>
      <c r="O394" s="32" t="s">
        <v>48</v>
      </c>
      <c r="P394" s="32">
        <v>5</v>
      </c>
      <c r="Q394" s="32">
        <v>5</v>
      </c>
      <c r="R394" s="32" t="s">
        <v>64</v>
      </c>
      <c r="S394" s="32" t="s">
        <v>50</v>
      </c>
      <c r="T394" s="81" t="s">
        <v>50</v>
      </c>
      <c r="U394" s="81" t="s">
        <v>50</v>
      </c>
      <c r="V394" s="32" t="s">
        <v>50</v>
      </c>
      <c r="W394" s="32" t="s">
        <v>50</v>
      </c>
      <c r="X394" s="32" t="s">
        <v>50</v>
      </c>
      <c r="Y394" s="35" t="s">
        <v>7934</v>
      </c>
    </row>
    <row r="395" spans="1:25" s="27" customFormat="1" x14ac:dyDescent="0.25">
      <c r="A395" s="36">
        <v>43027</v>
      </c>
      <c r="B395" s="92" t="str">
        <f t="shared" si="6"/>
        <v>Thu</v>
      </c>
      <c r="C395" s="27" t="s">
        <v>95</v>
      </c>
      <c r="D395" s="89">
        <v>38.031329999999997</v>
      </c>
      <c r="E395" s="89">
        <v>-121.85777</v>
      </c>
      <c r="F395" s="27" t="s">
        <v>8068</v>
      </c>
      <c r="G395" s="27" t="s">
        <v>27</v>
      </c>
      <c r="H395" s="27" t="s">
        <v>95</v>
      </c>
      <c r="I395" s="30">
        <v>0.34791666666666665</v>
      </c>
      <c r="J395" s="31">
        <v>1269.4000000000001</v>
      </c>
      <c r="K395" s="31">
        <v>16.8</v>
      </c>
      <c r="L395" s="31">
        <v>25.86</v>
      </c>
      <c r="M395" s="31">
        <v>0.42799999999999999</v>
      </c>
      <c r="N395" s="28">
        <v>12.240769999999999</v>
      </c>
      <c r="O395" s="32" t="s">
        <v>48</v>
      </c>
      <c r="P395" s="32">
        <v>5</v>
      </c>
      <c r="Q395" s="32">
        <v>5</v>
      </c>
      <c r="R395" s="32" t="s">
        <v>49</v>
      </c>
      <c r="S395" s="32" t="s">
        <v>50</v>
      </c>
      <c r="T395" s="81" t="s">
        <v>50</v>
      </c>
      <c r="U395" s="81" t="s">
        <v>50</v>
      </c>
      <c r="V395" s="32" t="s">
        <v>50</v>
      </c>
      <c r="W395" s="32" t="s">
        <v>50</v>
      </c>
      <c r="X395" s="32" t="s">
        <v>50</v>
      </c>
      <c r="Y395" s="35" t="s">
        <v>8069</v>
      </c>
    </row>
    <row r="396" spans="1:25" s="27" customFormat="1" x14ac:dyDescent="0.25">
      <c r="A396" s="36">
        <v>43027</v>
      </c>
      <c r="B396" s="92" t="str">
        <f t="shared" si="6"/>
        <v>Thu</v>
      </c>
      <c r="C396" s="27" t="s">
        <v>95</v>
      </c>
      <c r="D396" s="89">
        <v>38.025959999999998</v>
      </c>
      <c r="E396" s="89">
        <v>-121.77776</v>
      </c>
      <c r="F396" s="27" t="s">
        <v>8070</v>
      </c>
      <c r="G396" s="27" t="s">
        <v>27</v>
      </c>
      <c r="H396" s="27" t="s">
        <v>95</v>
      </c>
      <c r="I396" s="30">
        <v>0.4284722222222222</v>
      </c>
      <c r="J396" s="31">
        <v>268.26</v>
      </c>
      <c r="K396" s="31">
        <v>17</v>
      </c>
      <c r="L396" s="31">
        <v>17.64</v>
      </c>
      <c r="M396" s="31">
        <v>0.81399999999999995</v>
      </c>
      <c r="N396" s="28">
        <v>14.593819999999999</v>
      </c>
      <c r="O396" s="32" t="s">
        <v>48</v>
      </c>
      <c r="P396" s="32">
        <v>5</v>
      </c>
      <c r="Q396" s="32">
        <v>5</v>
      </c>
      <c r="R396" s="32" t="s">
        <v>49</v>
      </c>
      <c r="S396" s="32" t="s">
        <v>50</v>
      </c>
      <c r="T396" s="81" t="s">
        <v>50</v>
      </c>
      <c r="U396" s="81" t="s">
        <v>50</v>
      </c>
      <c r="V396" s="32" t="s">
        <v>50</v>
      </c>
      <c r="W396" s="32" t="s">
        <v>50</v>
      </c>
      <c r="X396" s="32" t="s">
        <v>50</v>
      </c>
      <c r="Y396" s="35" t="s">
        <v>7934</v>
      </c>
    </row>
    <row r="397" spans="1:25" s="27" customFormat="1" x14ac:dyDescent="0.25">
      <c r="A397" s="36">
        <v>43027</v>
      </c>
      <c r="B397" s="92" t="str">
        <f t="shared" si="6"/>
        <v>Thu</v>
      </c>
      <c r="C397" s="27" t="s">
        <v>6849</v>
      </c>
      <c r="D397" s="89">
        <v>38.434649999999998</v>
      </c>
      <c r="E397" s="89">
        <v>-121.52705</v>
      </c>
      <c r="F397" s="27" t="s">
        <v>8071</v>
      </c>
      <c r="G397" s="27" t="s">
        <v>90</v>
      </c>
      <c r="H397" s="27" t="s">
        <v>6851</v>
      </c>
      <c r="I397" s="30">
        <v>0.36041666666666666</v>
      </c>
      <c r="J397" s="31">
        <v>92.974999999999994</v>
      </c>
      <c r="K397" s="31">
        <v>15.4125</v>
      </c>
      <c r="L397" s="31">
        <v>5.3512500000000003</v>
      </c>
      <c r="M397" s="31">
        <v>1.8</v>
      </c>
      <c r="N397" s="28">
        <v>6.1531500000000001</v>
      </c>
      <c r="O397" s="32" t="s">
        <v>48</v>
      </c>
      <c r="P397" s="32">
        <v>8</v>
      </c>
      <c r="Q397" s="32">
        <v>10</v>
      </c>
      <c r="R397" s="32" t="s">
        <v>49</v>
      </c>
      <c r="S397" s="32" t="s">
        <v>50</v>
      </c>
      <c r="T397" s="81" t="s">
        <v>50</v>
      </c>
      <c r="U397" s="81" t="s">
        <v>50</v>
      </c>
      <c r="V397" s="32" t="s">
        <v>50</v>
      </c>
      <c r="W397" s="32" t="s">
        <v>50</v>
      </c>
      <c r="X397" s="32" t="s">
        <v>50</v>
      </c>
      <c r="Y397" s="35" t="s">
        <v>7934</v>
      </c>
    </row>
    <row r="398" spans="1:25" s="27" customFormat="1" x14ac:dyDescent="0.25">
      <c r="A398" s="36">
        <v>43027</v>
      </c>
      <c r="B398" s="92" t="str">
        <f t="shared" si="6"/>
        <v>Thu</v>
      </c>
      <c r="C398" s="27" t="s">
        <v>6849</v>
      </c>
      <c r="D398" s="89">
        <v>38.27129</v>
      </c>
      <c r="E398" s="89">
        <v>-121.58911000000001</v>
      </c>
      <c r="F398" s="27" t="s">
        <v>8072</v>
      </c>
      <c r="G398" s="27" t="s">
        <v>90</v>
      </c>
      <c r="H398" s="27" t="s">
        <v>6851</v>
      </c>
      <c r="I398" s="30">
        <v>0.46875</v>
      </c>
      <c r="J398" s="31">
        <v>89.412499999999994</v>
      </c>
      <c r="K398" s="31">
        <v>15.5625</v>
      </c>
      <c r="L398" s="31">
        <v>5.5337500000000004</v>
      </c>
      <c r="M398" s="31">
        <v>1.8</v>
      </c>
      <c r="N398" s="28">
        <v>3.6156899999999998</v>
      </c>
      <c r="O398" s="32" t="s">
        <v>48</v>
      </c>
      <c r="P398" s="32">
        <v>8</v>
      </c>
      <c r="Q398" s="32">
        <v>10</v>
      </c>
      <c r="R398" s="32" t="s">
        <v>49</v>
      </c>
      <c r="S398" s="32" t="s">
        <v>50</v>
      </c>
      <c r="T398" s="81" t="s">
        <v>50</v>
      </c>
      <c r="U398" s="81" t="s">
        <v>50</v>
      </c>
      <c r="V398" s="32" t="s">
        <v>50</v>
      </c>
      <c r="W398" s="32" t="s">
        <v>50</v>
      </c>
      <c r="X398" s="32" t="s">
        <v>50</v>
      </c>
      <c r="Y398" s="35" t="s">
        <v>7934</v>
      </c>
    </row>
    <row r="399" spans="1:25" s="27" customFormat="1" x14ac:dyDescent="0.25">
      <c r="A399" s="36">
        <v>43027</v>
      </c>
      <c r="B399" s="92" t="str">
        <f t="shared" si="6"/>
        <v>Thu</v>
      </c>
      <c r="C399" s="27" t="s">
        <v>118</v>
      </c>
      <c r="D399" s="89">
        <v>38.038539999999998</v>
      </c>
      <c r="E399" s="89">
        <v>-122.28412</v>
      </c>
      <c r="F399" s="27" t="s">
        <v>8073</v>
      </c>
      <c r="G399" s="27" t="s">
        <v>80</v>
      </c>
      <c r="H399" s="27" t="s">
        <v>123</v>
      </c>
      <c r="I399" s="30">
        <v>0.40138888888888885</v>
      </c>
      <c r="J399" s="31">
        <v>28291.25</v>
      </c>
      <c r="K399" s="31">
        <v>16.399999999999999</v>
      </c>
      <c r="L399" s="31">
        <v>15.8325</v>
      </c>
      <c r="M399" s="31">
        <v>0.67625000000000002</v>
      </c>
      <c r="N399" s="28">
        <v>2.9298899999999999</v>
      </c>
      <c r="O399" s="32" t="s">
        <v>48</v>
      </c>
      <c r="P399" s="32">
        <v>8</v>
      </c>
      <c r="Q399" s="32">
        <v>10</v>
      </c>
      <c r="R399" s="32" t="s">
        <v>64</v>
      </c>
      <c r="S399" s="32" t="s">
        <v>31</v>
      </c>
      <c r="T399" s="79">
        <v>1</v>
      </c>
      <c r="U399" s="79">
        <v>76</v>
      </c>
      <c r="V399" s="32" t="s">
        <v>66</v>
      </c>
      <c r="W399" s="32" t="s">
        <v>50</v>
      </c>
      <c r="X399" s="32" t="s">
        <v>50</v>
      </c>
      <c r="Y399" s="35" t="s">
        <v>8074</v>
      </c>
    </row>
    <row r="400" spans="1:25" s="27" customFormat="1" x14ac:dyDescent="0.25">
      <c r="A400" s="36">
        <v>43027</v>
      </c>
      <c r="B400" s="92" t="str">
        <f t="shared" si="6"/>
        <v>Thu</v>
      </c>
      <c r="C400" s="27" t="s">
        <v>118</v>
      </c>
      <c r="D400" s="89">
        <v>38.046050000000001</v>
      </c>
      <c r="E400" s="89">
        <v>-122.28637000000001</v>
      </c>
      <c r="F400" s="27" t="s">
        <v>8075</v>
      </c>
      <c r="G400" s="27" t="s">
        <v>80</v>
      </c>
      <c r="H400" s="27" t="s">
        <v>123</v>
      </c>
      <c r="I400" s="30">
        <v>0.50277777777777777</v>
      </c>
      <c r="J400" s="31">
        <v>30665.11</v>
      </c>
      <c r="K400" s="31">
        <v>16.433330000000002</v>
      </c>
      <c r="L400" s="31">
        <v>20.177779999999998</v>
      </c>
      <c r="M400" s="31">
        <v>0.75222199999999995</v>
      </c>
      <c r="N400" s="28">
        <v>6.4448270000000001</v>
      </c>
      <c r="O400" s="32" t="s">
        <v>48</v>
      </c>
      <c r="P400" s="32">
        <v>9</v>
      </c>
      <c r="Q400" s="32">
        <v>10</v>
      </c>
      <c r="R400" s="32" t="s">
        <v>64</v>
      </c>
      <c r="S400" s="32" t="s">
        <v>50</v>
      </c>
      <c r="T400" s="81" t="s">
        <v>50</v>
      </c>
      <c r="U400" s="81" t="s">
        <v>50</v>
      </c>
      <c r="V400" s="32" t="s">
        <v>50</v>
      </c>
      <c r="W400" s="32" t="s">
        <v>50</v>
      </c>
      <c r="X400" s="32" t="s">
        <v>50</v>
      </c>
      <c r="Y400" s="35" t="s">
        <v>8076</v>
      </c>
    </row>
    <row r="401" spans="1:25" s="27" customFormat="1" x14ac:dyDescent="0.25">
      <c r="A401" s="36">
        <v>43028</v>
      </c>
      <c r="B401" s="92" t="str">
        <f t="shared" si="6"/>
        <v>Fri</v>
      </c>
      <c r="C401" s="27" t="s">
        <v>118</v>
      </c>
      <c r="D401" s="89">
        <v>38.169049999999999</v>
      </c>
      <c r="E401" s="89">
        <v>-122.29118</v>
      </c>
      <c r="F401" s="27" t="s">
        <v>8077</v>
      </c>
      <c r="G401" s="27" t="s">
        <v>80</v>
      </c>
      <c r="H401" s="27" t="s">
        <v>191</v>
      </c>
      <c r="I401" s="30">
        <v>0.34375</v>
      </c>
      <c r="J401" s="31">
        <f>AVERAGE(20729,21142,21063,21117,21148,20958,21100,21185)</f>
        <v>21055.25</v>
      </c>
      <c r="K401" s="31">
        <f>AVERAGE(16,15.9,15.7,15.3,15.8,15.6,15.8,15.9)</f>
        <v>15.749999999999998</v>
      </c>
      <c r="L401" s="31">
        <f>AVERAGE(40.3,44.9,42.7,48.8,49.7,38.4,34.1,38.8)</f>
        <v>42.212499999999999</v>
      </c>
      <c r="M401" s="31">
        <f>AVERAGE(0.28,0.48,0.37,0.31,0.36,0.44,0.38,0.33)</f>
        <v>0.36874999999999997</v>
      </c>
      <c r="N401" s="28">
        <v>3.12039</v>
      </c>
      <c r="O401" s="32" t="s">
        <v>48</v>
      </c>
      <c r="P401" s="32">
        <v>8</v>
      </c>
      <c r="Q401" s="32">
        <v>10</v>
      </c>
      <c r="R401" s="32" t="s">
        <v>49</v>
      </c>
      <c r="S401" s="32" t="s">
        <v>50</v>
      </c>
      <c r="T401" s="79" t="s">
        <v>50</v>
      </c>
      <c r="U401" s="79" t="s">
        <v>50</v>
      </c>
      <c r="V401" s="32" t="s">
        <v>50</v>
      </c>
      <c r="W401" s="32" t="s">
        <v>50</v>
      </c>
      <c r="X401" s="32" t="s">
        <v>50</v>
      </c>
      <c r="Y401" s="35" t="s">
        <v>7934</v>
      </c>
    </row>
    <row r="402" spans="1:25" s="149" customFormat="1" x14ac:dyDescent="0.25">
      <c r="A402" s="160">
        <v>43028</v>
      </c>
      <c r="B402" s="148" t="str">
        <f t="shared" si="6"/>
        <v>Fri</v>
      </c>
      <c r="C402" s="149" t="s">
        <v>118</v>
      </c>
      <c r="D402" s="150">
        <v>38.117040000000003</v>
      </c>
      <c r="E402" s="150">
        <v>-122.27929</v>
      </c>
      <c r="F402" s="149" t="s">
        <v>8078</v>
      </c>
      <c r="G402" s="149" t="s">
        <v>80</v>
      </c>
      <c r="H402" s="149" t="s">
        <v>191</v>
      </c>
      <c r="I402" s="165">
        <v>0.45624999999999999</v>
      </c>
      <c r="J402" s="163" t="s">
        <v>50</v>
      </c>
      <c r="K402" s="163" t="s">
        <v>50</v>
      </c>
      <c r="L402" s="163" t="s">
        <v>50</v>
      </c>
      <c r="M402" s="163" t="s">
        <v>50</v>
      </c>
      <c r="N402" s="163" t="s">
        <v>50</v>
      </c>
      <c r="O402" s="161" t="s">
        <v>48</v>
      </c>
      <c r="P402" s="161">
        <v>0</v>
      </c>
      <c r="Q402" s="161" t="s">
        <v>50</v>
      </c>
      <c r="R402" s="161" t="s">
        <v>50</v>
      </c>
      <c r="S402" s="161" t="s">
        <v>50</v>
      </c>
      <c r="T402" s="162" t="s">
        <v>50</v>
      </c>
      <c r="U402" s="162" t="s">
        <v>50</v>
      </c>
      <c r="V402" s="161" t="s">
        <v>50</v>
      </c>
      <c r="W402" s="161" t="s">
        <v>50</v>
      </c>
      <c r="X402" s="161" t="s">
        <v>50</v>
      </c>
      <c r="Y402" s="152" t="s">
        <v>8079</v>
      </c>
    </row>
    <row r="403" spans="1:25" s="27" customFormat="1" x14ac:dyDescent="0.25">
      <c r="A403" s="36">
        <v>43028</v>
      </c>
      <c r="B403" s="92" t="str">
        <f t="shared" si="6"/>
        <v>Fri</v>
      </c>
      <c r="C403" s="27" t="s">
        <v>118</v>
      </c>
      <c r="D403" s="89">
        <v>38.031489999999998</v>
      </c>
      <c r="E403" s="89">
        <v>-122.16408</v>
      </c>
      <c r="F403" s="27" t="s">
        <v>8080</v>
      </c>
      <c r="G403" s="27" t="s">
        <v>80</v>
      </c>
      <c r="H403" s="27" t="s">
        <v>120</v>
      </c>
      <c r="I403" s="30">
        <v>0.50694444444444442</v>
      </c>
      <c r="J403" s="31">
        <f>AVERAGE(15849,17534,18866,19164,18370,19958,22175,22817)</f>
        <v>19341.625</v>
      </c>
      <c r="K403" s="31">
        <f>AVERAGE(16.8,16.9,16.9,16.8,16.9,16.9,16.9,16.9)</f>
        <v>16.875000000000004</v>
      </c>
      <c r="L403" s="31">
        <f>AVERAGE(23.8,18.1,15.1,12.9,10.9,11,12.7,16.2)</f>
        <v>15.087500000000002</v>
      </c>
      <c r="M403" s="31">
        <f>AVERAGE(0.63,0.8,0.83,0.74,0.78,0.88,0.74,0.78)</f>
        <v>0.77250000000000008</v>
      </c>
      <c r="N403" s="28">
        <v>19.503390000000003</v>
      </c>
      <c r="O403" s="32" t="s">
        <v>48</v>
      </c>
      <c r="P403" s="32">
        <v>8</v>
      </c>
      <c r="Q403" s="32">
        <v>10</v>
      </c>
      <c r="R403" s="32" t="s">
        <v>64</v>
      </c>
      <c r="S403" s="32" t="s">
        <v>50</v>
      </c>
      <c r="T403" s="81" t="s">
        <v>50</v>
      </c>
      <c r="U403" s="81" t="s">
        <v>50</v>
      </c>
      <c r="V403" s="32" t="s">
        <v>50</v>
      </c>
      <c r="W403" s="32" t="s">
        <v>50</v>
      </c>
      <c r="X403" s="32" t="s">
        <v>50</v>
      </c>
      <c r="Y403" s="35" t="s">
        <v>7934</v>
      </c>
    </row>
    <row r="404" spans="1:25" s="168" customFormat="1" ht="15.75" thickBot="1" x14ac:dyDescent="0.3">
      <c r="A404" s="166">
        <v>43028</v>
      </c>
      <c r="B404" s="167" t="str">
        <f t="shared" si="6"/>
        <v>Fri</v>
      </c>
      <c r="C404" s="168" t="s">
        <v>118</v>
      </c>
      <c r="D404" s="169">
        <v>38.06514</v>
      </c>
      <c r="E404" s="169">
        <v>-122.23004</v>
      </c>
      <c r="F404" s="168" t="s">
        <v>8081</v>
      </c>
      <c r="G404" s="168" t="s">
        <v>80</v>
      </c>
      <c r="H404" s="168" t="s">
        <v>120</v>
      </c>
      <c r="I404" s="170">
        <v>0.48888888888888887</v>
      </c>
      <c r="J404" s="171" t="s">
        <v>50</v>
      </c>
      <c r="K404" s="171" t="s">
        <v>50</v>
      </c>
      <c r="L404" s="171" t="s">
        <v>50</v>
      </c>
      <c r="M404" s="171" t="s">
        <v>50</v>
      </c>
      <c r="N404" s="171" t="s">
        <v>50</v>
      </c>
      <c r="O404" s="172" t="s">
        <v>48</v>
      </c>
      <c r="P404" s="172">
        <v>0</v>
      </c>
      <c r="Q404" s="172" t="s">
        <v>50</v>
      </c>
      <c r="R404" s="172" t="s">
        <v>50</v>
      </c>
      <c r="S404" s="172" t="s">
        <v>50</v>
      </c>
      <c r="T404" s="173" t="s">
        <v>50</v>
      </c>
      <c r="U404" s="173" t="s">
        <v>50</v>
      </c>
      <c r="V404" s="172" t="s">
        <v>50</v>
      </c>
      <c r="W404" s="172" t="s">
        <v>50</v>
      </c>
      <c r="X404" s="172" t="s">
        <v>50</v>
      </c>
      <c r="Y404" s="174" t="s">
        <v>8082</v>
      </c>
    </row>
    <row r="405" spans="1:25" s="27" customFormat="1" ht="15.75" thickTop="1" x14ac:dyDescent="0.25">
      <c r="A405" s="29">
        <v>43031</v>
      </c>
      <c r="B405" s="92" t="str">
        <f t="shared" si="6"/>
        <v>Mon</v>
      </c>
      <c r="C405" s="27" t="s">
        <v>95</v>
      </c>
      <c r="D405" s="89">
        <v>38.058810000000001</v>
      </c>
      <c r="E405" s="89">
        <v>-121.68536</v>
      </c>
      <c r="F405" s="27" t="s">
        <v>8083</v>
      </c>
      <c r="G405" s="27" t="s">
        <v>46</v>
      </c>
      <c r="H405" s="27" t="s">
        <v>8084</v>
      </c>
      <c r="I405" s="120">
        <v>0.32222222222222224</v>
      </c>
      <c r="J405" s="121">
        <v>147.1</v>
      </c>
      <c r="K405" s="121">
        <v>16.5</v>
      </c>
      <c r="L405" s="121">
        <v>10.058</v>
      </c>
      <c r="M405" s="121">
        <v>1.1519999999999999</v>
      </c>
      <c r="N405" s="90">
        <v>6</v>
      </c>
      <c r="O405" s="33" t="s">
        <v>48</v>
      </c>
      <c r="P405" s="33">
        <v>5</v>
      </c>
      <c r="Q405" s="33">
        <v>5</v>
      </c>
      <c r="R405" s="33" t="s">
        <v>64</v>
      </c>
      <c r="S405" s="33" t="s">
        <v>50</v>
      </c>
      <c r="T405" s="116" t="s">
        <v>50</v>
      </c>
      <c r="U405" s="116" t="s">
        <v>50</v>
      </c>
      <c r="V405" s="33" t="s">
        <v>50</v>
      </c>
      <c r="W405" s="33" t="s">
        <v>50</v>
      </c>
      <c r="X405" s="33" t="s">
        <v>50</v>
      </c>
      <c r="Y405" s="35"/>
    </row>
    <row r="406" spans="1:25" s="27" customFormat="1" x14ac:dyDescent="0.25">
      <c r="A406" s="36">
        <v>43031</v>
      </c>
      <c r="B406" s="92" t="str">
        <f t="shared" si="6"/>
        <v>Mon</v>
      </c>
      <c r="C406" s="27" t="s">
        <v>95</v>
      </c>
      <c r="D406" s="89">
        <v>38.09019</v>
      </c>
      <c r="E406" s="89">
        <v>-121.63200999999999</v>
      </c>
      <c r="F406" s="27" t="s">
        <v>8085</v>
      </c>
      <c r="G406" s="27" t="s">
        <v>46</v>
      </c>
      <c r="H406" s="27" t="s">
        <v>8084</v>
      </c>
      <c r="I406" s="30">
        <v>0.3666666666666667</v>
      </c>
      <c r="J406" s="31">
        <v>122.4</v>
      </c>
      <c r="K406" s="31">
        <v>16.52</v>
      </c>
      <c r="L406" s="31">
        <v>7.9859999999999998</v>
      </c>
      <c r="M406" s="31">
        <v>1.498</v>
      </c>
      <c r="N406" s="28">
        <v>8.14</v>
      </c>
      <c r="O406" s="32" t="s">
        <v>48</v>
      </c>
      <c r="P406" s="32">
        <v>5</v>
      </c>
      <c r="Q406" s="32">
        <v>5</v>
      </c>
      <c r="R406" s="32" t="s">
        <v>49</v>
      </c>
      <c r="S406" s="32" t="s">
        <v>50</v>
      </c>
      <c r="T406" s="79" t="s">
        <v>50</v>
      </c>
      <c r="U406" s="79" t="s">
        <v>50</v>
      </c>
      <c r="V406" s="32" t="s">
        <v>50</v>
      </c>
      <c r="W406" s="32" t="s">
        <v>50</v>
      </c>
      <c r="X406" s="32" t="s">
        <v>50</v>
      </c>
      <c r="Y406" s="35"/>
    </row>
    <row r="407" spans="1:25" s="27" customFormat="1" x14ac:dyDescent="0.25">
      <c r="A407" s="36">
        <v>43031</v>
      </c>
      <c r="B407" s="92" t="str">
        <f t="shared" si="6"/>
        <v>Mon</v>
      </c>
      <c r="C407" s="27" t="s">
        <v>88</v>
      </c>
      <c r="D407" s="89">
        <v>38.070770000000003</v>
      </c>
      <c r="E407" s="89">
        <v>-121.84658</v>
      </c>
      <c r="F407" s="27" t="s">
        <v>8086</v>
      </c>
      <c r="G407" s="27" t="s">
        <v>27</v>
      </c>
      <c r="H407" s="27" t="s">
        <v>25</v>
      </c>
      <c r="I407" s="30">
        <v>0.34097222222222223</v>
      </c>
      <c r="J407" s="31">
        <v>880</v>
      </c>
      <c r="K407" s="31">
        <v>16.2</v>
      </c>
      <c r="L407" s="31">
        <v>21.4</v>
      </c>
      <c r="M407" s="31">
        <v>0.41</v>
      </c>
      <c r="N407" s="28">
        <v>5.3</v>
      </c>
      <c r="O407" s="32" t="s">
        <v>48</v>
      </c>
      <c r="P407" s="32">
        <v>2</v>
      </c>
      <c r="Q407" s="32">
        <v>5</v>
      </c>
      <c r="R407" s="32" t="s">
        <v>49</v>
      </c>
      <c r="S407" s="32" t="s">
        <v>323</v>
      </c>
      <c r="T407" s="81">
        <v>1</v>
      </c>
      <c r="U407" s="81">
        <v>55</v>
      </c>
      <c r="V407" s="32" t="s">
        <v>66</v>
      </c>
      <c r="W407" s="32" t="s">
        <v>50</v>
      </c>
      <c r="X407" s="32" t="s">
        <v>50</v>
      </c>
      <c r="Y407" s="35" t="s">
        <v>5604</v>
      </c>
    </row>
    <row r="408" spans="1:25" s="27" customFormat="1" x14ac:dyDescent="0.25">
      <c r="A408" s="36">
        <v>43031</v>
      </c>
      <c r="B408" s="92" t="str">
        <f t="shared" si="6"/>
        <v>Mon</v>
      </c>
      <c r="C408" s="27" t="s">
        <v>88</v>
      </c>
      <c r="D408" s="89">
        <v>38.065469999999998</v>
      </c>
      <c r="E408" s="89">
        <v>-121.82141</v>
      </c>
      <c r="F408" s="27" t="s">
        <v>8087</v>
      </c>
      <c r="G408" s="27" t="s">
        <v>27</v>
      </c>
      <c r="H408" s="27" t="s">
        <v>25</v>
      </c>
      <c r="I408" s="30">
        <v>0.36805555555555558</v>
      </c>
      <c r="J408" s="31">
        <v>718.6</v>
      </c>
      <c r="K408" s="31">
        <v>16.28</v>
      </c>
      <c r="L408" s="31">
        <v>21.8</v>
      </c>
      <c r="M408" s="31">
        <v>0.51400000000000001</v>
      </c>
      <c r="N408" s="28">
        <v>8.64</v>
      </c>
      <c r="O408" s="32" t="s">
        <v>48</v>
      </c>
      <c r="P408" s="32">
        <v>5</v>
      </c>
      <c r="Q408" s="32">
        <v>5</v>
      </c>
      <c r="R408" s="32" t="s">
        <v>49</v>
      </c>
      <c r="S408" s="32" t="s">
        <v>50</v>
      </c>
      <c r="T408" s="79" t="s">
        <v>50</v>
      </c>
      <c r="U408" s="79" t="s">
        <v>50</v>
      </c>
      <c r="V408" s="32" t="s">
        <v>50</v>
      </c>
      <c r="W408" s="32" t="s">
        <v>50</v>
      </c>
      <c r="X408" s="32" t="s">
        <v>50</v>
      </c>
      <c r="Y408" s="35"/>
    </row>
    <row r="409" spans="1:25" s="27" customFormat="1" x14ac:dyDescent="0.25">
      <c r="A409" s="36">
        <v>43031</v>
      </c>
      <c r="B409" s="92" t="str">
        <f t="shared" si="6"/>
        <v>Mon</v>
      </c>
      <c r="C409" s="27" t="s">
        <v>118</v>
      </c>
      <c r="D409" s="89">
        <v>38.085450000000002</v>
      </c>
      <c r="E409" s="89">
        <v>-122.25189</v>
      </c>
      <c r="F409" s="27" t="s">
        <v>8088</v>
      </c>
      <c r="G409" s="27" t="s">
        <v>80</v>
      </c>
      <c r="H409" s="27" t="s">
        <v>191</v>
      </c>
      <c r="I409" s="30">
        <v>0.36805555555555558</v>
      </c>
      <c r="J409" s="31">
        <v>17692.2</v>
      </c>
      <c r="K409" s="31">
        <v>16.5</v>
      </c>
      <c r="L409" s="31">
        <v>43.62</v>
      </c>
      <c r="M409" s="31">
        <v>0.45200000000000001</v>
      </c>
      <c r="N409" s="28">
        <v>10.173999999999999</v>
      </c>
      <c r="O409" s="32" t="s">
        <v>48</v>
      </c>
      <c r="P409" s="32">
        <v>5</v>
      </c>
      <c r="Q409" s="32">
        <v>10</v>
      </c>
      <c r="R409" s="32" t="s">
        <v>49</v>
      </c>
      <c r="S409" s="32" t="s">
        <v>50</v>
      </c>
      <c r="T409" s="79" t="s">
        <v>50</v>
      </c>
      <c r="U409" s="79" t="s">
        <v>50</v>
      </c>
      <c r="V409" s="32" t="s">
        <v>50</v>
      </c>
      <c r="W409" s="32" t="s">
        <v>50</v>
      </c>
      <c r="X409" s="32" t="s">
        <v>50</v>
      </c>
      <c r="Y409" s="35" t="s">
        <v>8089</v>
      </c>
    </row>
    <row r="410" spans="1:25" s="27" customFormat="1" x14ac:dyDescent="0.25">
      <c r="A410" s="36">
        <v>43031</v>
      </c>
      <c r="B410" s="92" t="str">
        <f t="shared" si="6"/>
        <v>Mon</v>
      </c>
      <c r="C410" s="27" t="s">
        <v>118</v>
      </c>
      <c r="D410" s="89">
        <v>38.12189</v>
      </c>
      <c r="E410" s="89">
        <v>-122.28059</v>
      </c>
      <c r="F410" s="27" t="s">
        <v>8090</v>
      </c>
      <c r="G410" s="27" t="s">
        <v>80</v>
      </c>
      <c r="H410" s="27" t="s">
        <v>191</v>
      </c>
      <c r="I410" s="30">
        <v>0.57013888888888886</v>
      </c>
      <c r="J410" s="31">
        <v>20259.5</v>
      </c>
      <c r="K410" s="31">
        <v>16.6875</v>
      </c>
      <c r="L410" s="31">
        <v>33.725000000000001</v>
      </c>
      <c r="M410" s="31">
        <v>0.42125000000000001</v>
      </c>
      <c r="N410" s="28">
        <v>8.6962499999999991</v>
      </c>
      <c r="O410" s="32" t="s">
        <v>48</v>
      </c>
      <c r="P410" s="32">
        <v>8</v>
      </c>
      <c r="Q410" s="32">
        <v>10</v>
      </c>
      <c r="R410" s="32" t="s">
        <v>64</v>
      </c>
      <c r="S410" s="32" t="s">
        <v>50</v>
      </c>
      <c r="T410" s="79" t="s">
        <v>50</v>
      </c>
      <c r="U410" s="79" t="s">
        <v>50</v>
      </c>
      <c r="V410" s="32" t="s">
        <v>50</v>
      </c>
      <c r="W410" s="32" t="s">
        <v>50</v>
      </c>
      <c r="X410" s="32" t="s">
        <v>50</v>
      </c>
      <c r="Y410" s="35"/>
    </row>
    <row r="411" spans="1:25" s="27" customFormat="1" x14ac:dyDescent="0.25">
      <c r="A411" s="36">
        <v>43032</v>
      </c>
      <c r="B411" s="92" t="str">
        <f t="shared" si="6"/>
        <v>Tue</v>
      </c>
      <c r="C411" s="27" t="s">
        <v>95</v>
      </c>
      <c r="D411" s="89">
        <v>38.028359999999999</v>
      </c>
      <c r="E411" s="89">
        <v>-121.77149</v>
      </c>
      <c r="F411" s="27" t="s">
        <v>8091</v>
      </c>
      <c r="G411" s="27" t="s">
        <v>27</v>
      </c>
      <c r="H411" s="27" t="s">
        <v>95</v>
      </c>
      <c r="I411" s="30">
        <v>0.33194444444444443</v>
      </c>
      <c r="J411" s="31">
        <v>292.10000000000002</v>
      </c>
      <c r="K411" s="31">
        <v>16.760000000000002</v>
      </c>
      <c r="L411" s="31">
        <v>11.51</v>
      </c>
      <c r="M411" s="31">
        <v>0.93200000000000005</v>
      </c>
      <c r="N411" s="28">
        <v>9.3000000000000007</v>
      </c>
      <c r="O411" s="32" t="s">
        <v>48</v>
      </c>
      <c r="P411" s="32">
        <v>5</v>
      </c>
      <c r="Q411" s="32">
        <v>5</v>
      </c>
      <c r="R411" s="32" t="s">
        <v>64</v>
      </c>
      <c r="S411" s="32" t="s">
        <v>50</v>
      </c>
      <c r="T411" s="79" t="s">
        <v>50</v>
      </c>
      <c r="U411" s="79" t="s">
        <v>50</v>
      </c>
      <c r="V411" s="32" t="s">
        <v>50</v>
      </c>
      <c r="W411" s="32" t="s">
        <v>50</v>
      </c>
      <c r="X411" s="32" t="s">
        <v>50</v>
      </c>
      <c r="Y411" s="35"/>
    </row>
    <row r="412" spans="1:25" s="27" customFormat="1" x14ac:dyDescent="0.25">
      <c r="A412" s="36">
        <v>43032</v>
      </c>
      <c r="B412" s="92" t="str">
        <f t="shared" si="6"/>
        <v>Tue</v>
      </c>
      <c r="C412" s="27" t="s">
        <v>95</v>
      </c>
      <c r="D412" s="89">
        <v>38.020519999999998</v>
      </c>
      <c r="E412" s="89">
        <v>-121.80825</v>
      </c>
      <c r="F412" s="27" t="s">
        <v>8092</v>
      </c>
      <c r="G412" s="27" t="s">
        <v>27</v>
      </c>
      <c r="H412" s="27" t="s">
        <v>95</v>
      </c>
      <c r="I412" s="30">
        <v>0.40138888888888885</v>
      </c>
      <c r="J412" s="31">
        <v>739.6</v>
      </c>
      <c r="K412" s="31">
        <v>16.739999999999998</v>
      </c>
      <c r="L412" s="31">
        <v>16.98</v>
      </c>
      <c r="M412" s="31">
        <v>0.65400000000000003</v>
      </c>
      <c r="N412" s="28">
        <v>15.54</v>
      </c>
      <c r="O412" s="32" t="s">
        <v>48</v>
      </c>
      <c r="P412" s="32">
        <v>5</v>
      </c>
      <c r="Q412" s="32">
        <v>5</v>
      </c>
      <c r="R412" s="32" t="s">
        <v>64</v>
      </c>
      <c r="S412" s="32" t="s">
        <v>50</v>
      </c>
      <c r="T412" s="79" t="s">
        <v>50</v>
      </c>
      <c r="U412" s="79" t="s">
        <v>50</v>
      </c>
      <c r="V412" s="32" t="s">
        <v>50</v>
      </c>
      <c r="W412" s="32" t="s">
        <v>50</v>
      </c>
      <c r="X412" s="32" t="s">
        <v>50</v>
      </c>
      <c r="Y412" s="35"/>
    </row>
    <row r="413" spans="1:25" s="27" customFormat="1" x14ac:dyDescent="0.25">
      <c r="A413" s="36">
        <v>43032</v>
      </c>
      <c r="B413" s="92" t="str">
        <f t="shared" si="6"/>
        <v>Tue</v>
      </c>
      <c r="C413" s="27" t="s">
        <v>106</v>
      </c>
      <c r="D413" s="89">
        <v>38.561160000000001</v>
      </c>
      <c r="E413" s="89">
        <v>-121.55723999999999</v>
      </c>
      <c r="F413" s="27" t="s">
        <v>8093</v>
      </c>
      <c r="G413" s="27" t="s">
        <v>90</v>
      </c>
      <c r="H413" s="27" t="s">
        <v>7577</v>
      </c>
      <c r="I413" s="30">
        <v>0.3611111111111111</v>
      </c>
      <c r="J413" s="31">
        <v>615.6</v>
      </c>
      <c r="K413" s="31">
        <v>17.8</v>
      </c>
      <c r="L413" s="31">
        <v>2.8340000000000001</v>
      </c>
      <c r="M413" s="31">
        <v>1.8</v>
      </c>
      <c r="N413" s="28">
        <v>11.66</v>
      </c>
      <c r="O413" s="32" t="s">
        <v>48</v>
      </c>
      <c r="P413" s="32">
        <v>5</v>
      </c>
      <c r="Q413" s="32">
        <v>5</v>
      </c>
      <c r="R413" s="32" t="s">
        <v>64</v>
      </c>
      <c r="S413" s="32" t="s">
        <v>50</v>
      </c>
      <c r="T413" s="79" t="s">
        <v>50</v>
      </c>
      <c r="U413" s="79" t="s">
        <v>50</v>
      </c>
      <c r="V413" s="32" t="s">
        <v>50</v>
      </c>
      <c r="W413" s="32" t="s">
        <v>50</v>
      </c>
      <c r="X413" s="32" t="s">
        <v>50</v>
      </c>
      <c r="Y413" s="35"/>
    </row>
    <row r="414" spans="1:25" s="27" customFormat="1" x14ac:dyDescent="0.25">
      <c r="A414" s="36">
        <v>43032</v>
      </c>
      <c r="B414" s="92" t="str">
        <f t="shared" si="6"/>
        <v>Tue</v>
      </c>
      <c r="C414" s="27" t="s">
        <v>106</v>
      </c>
      <c r="D414" s="89">
        <v>38.5152</v>
      </c>
      <c r="E414" s="89">
        <v>-121.5805</v>
      </c>
      <c r="F414" s="27" t="s">
        <v>8094</v>
      </c>
      <c r="G414" s="27" t="s">
        <v>90</v>
      </c>
      <c r="H414" s="27" t="s">
        <v>7577</v>
      </c>
      <c r="I414" s="30">
        <v>0.40902777777777777</v>
      </c>
      <c r="J414" s="31">
        <v>609.6</v>
      </c>
      <c r="K414" s="31">
        <v>17.82</v>
      </c>
      <c r="L414" s="31">
        <v>5.8339999999999996</v>
      </c>
      <c r="M414" s="31">
        <v>1.032</v>
      </c>
      <c r="N414" s="28">
        <v>7.18</v>
      </c>
      <c r="O414" s="32" t="s">
        <v>48</v>
      </c>
      <c r="P414" s="32">
        <v>5</v>
      </c>
      <c r="Q414" s="32">
        <v>5</v>
      </c>
      <c r="R414" s="32" t="s">
        <v>49</v>
      </c>
      <c r="S414" s="32" t="s">
        <v>50</v>
      </c>
      <c r="T414" s="79" t="s">
        <v>50</v>
      </c>
      <c r="U414" s="79" t="s">
        <v>50</v>
      </c>
      <c r="V414" s="32" t="s">
        <v>50</v>
      </c>
      <c r="W414" s="32" t="s">
        <v>50</v>
      </c>
      <c r="X414" s="32" t="s">
        <v>50</v>
      </c>
      <c r="Y414" s="35" t="s">
        <v>8095</v>
      </c>
    </row>
    <row r="415" spans="1:25" s="27" customFormat="1" x14ac:dyDescent="0.25">
      <c r="A415" s="36">
        <v>43032</v>
      </c>
      <c r="B415" s="92" t="str">
        <f t="shared" si="6"/>
        <v>Tue</v>
      </c>
      <c r="C415" s="27" t="s">
        <v>118</v>
      </c>
      <c r="D415" s="89">
        <v>38.05209</v>
      </c>
      <c r="E415" s="89">
        <v>-122.30880000000001</v>
      </c>
      <c r="F415" s="27" t="s">
        <v>8096</v>
      </c>
      <c r="G415" s="27" t="s">
        <v>80</v>
      </c>
      <c r="H415" s="27" t="s">
        <v>123</v>
      </c>
      <c r="I415" s="30">
        <v>0.32291666666666669</v>
      </c>
      <c r="J415" s="31">
        <v>23990.5</v>
      </c>
      <c r="K415" s="31">
        <v>16.287500000000001</v>
      </c>
      <c r="L415" s="31">
        <v>9.4437499999999996</v>
      </c>
      <c r="M415" s="31">
        <v>0.8</v>
      </c>
      <c r="N415" s="28">
        <v>9.7562499999999996</v>
      </c>
      <c r="O415" s="32" t="s">
        <v>48</v>
      </c>
      <c r="P415" s="32">
        <v>8</v>
      </c>
      <c r="Q415" s="32">
        <v>10</v>
      </c>
      <c r="R415" s="32" t="s">
        <v>49</v>
      </c>
      <c r="S415" s="32" t="s">
        <v>50</v>
      </c>
      <c r="T415" s="79" t="s">
        <v>50</v>
      </c>
      <c r="U415" s="79" t="s">
        <v>50</v>
      </c>
      <c r="V415" s="32" t="s">
        <v>50</v>
      </c>
      <c r="W415" s="32" t="s">
        <v>50</v>
      </c>
      <c r="X415" s="32" t="s">
        <v>50</v>
      </c>
      <c r="Y415" s="35"/>
    </row>
    <row r="416" spans="1:25" s="27" customFormat="1" x14ac:dyDescent="0.25">
      <c r="A416" s="36">
        <v>43032</v>
      </c>
      <c r="B416" s="92" t="str">
        <f t="shared" si="6"/>
        <v>Tue</v>
      </c>
      <c r="C416" s="27" t="s">
        <v>118</v>
      </c>
      <c r="D416" s="89">
        <v>38.041249999999998</v>
      </c>
      <c r="E416" s="89">
        <v>-122.31780999999999</v>
      </c>
      <c r="F416" s="27" t="s">
        <v>8097</v>
      </c>
      <c r="G416" s="27" t="s">
        <v>80</v>
      </c>
      <c r="H416" s="27" t="s">
        <v>123</v>
      </c>
      <c r="I416" s="30">
        <v>0.41736111111111113</v>
      </c>
      <c r="J416" s="31">
        <v>24874.880000000001</v>
      </c>
      <c r="K416" s="31">
        <v>16.4375</v>
      </c>
      <c r="L416" s="31">
        <v>7.7750000000000004</v>
      </c>
      <c r="M416" s="31">
        <v>0.85250000000000004</v>
      </c>
      <c r="N416" s="28">
        <v>8.4587500000000002</v>
      </c>
      <c r="O416" s="32" t="s">
        <v>48</v>
      </c>
      <c r="P416" s="32">
        <v>8</v>
      </c>
      <c r="Q416" s="32">
        <v>10</v>
      </c>
      <c r="R416" s="32" t="s">
        <v>49</v>
      </c>
      <c r="S416" s="32" t="s">
        <v>50</v>
      </c>
      <c r="T416" s="79" t="s">
        <v>50</v>
      </c>
      <c r="U416" s="79" t="s">
        <v>50</v>
      </c>
      <c r="V416" s="32" t="s">
        <v>50</v>
      </c>
      <c r="W416" s="32" t="s">
        <v>50</v>
      </c>
      <c r="X416" s="32" t="s">
        <v>50</v>
      </c>
      <c r="Y416" s="35"/>
    </row>
    <row r="417" spans="1:25" s="27" customFormat="1" x14ac:dyDescent="0.25">
      <c r="A417" s="36">
        <v>43033</v>
      </c>
      <c r="B417" s="92" t="str">
        <f t="shared" si="6"/>
        <v>Wed</v>
      </c>
      <c r="C417" s="27" t="s">
        <v>7570</v>
      </c>
      <c r="D417" s="89">
        <v>38.048639999999999</v>
      </c>
      <c r="E417" s="89">
        <v>-121.89892</v>
      </c>
      <c r="F417" s="27" t="s">
        <v>8098</v>
      </c>
      <c r="G417" s="27" t="s">
        <v>27</v>
      </c>
      <c r="H417" s="27" t="s">
        <v>170</v>
      </c>
      <c r="I417" s="30">
        <v>0.33194444444444443</v>
      </c>
      <c r="J417" s="91">
        <v>3746.3333333333335</v>
      </c>
      <c r="K417" s="91">
        <v>16.899999999999999</v>
      </c>
      <c r="L417" s="91">
        <v>21.733333333333331</v>
      </c>
      <c r="M417" s="91">
        <v>0.59333333333333327</v>
      </c>
      <c r="N417" s="91">
        <v>10.756666666666666</v>
      </c>
      <c r="O417" s="32" t="s">
        <v>48</v>
      </c>
      <c r="P417" s="32">
        <v>3</v>
      </c>
      <c r="Q417" s="32">
        <v>5</v>
      </c>
      <c r="R417" s="32" t="s">
        <v>64</v>
      </c>
      <c r="S417" s="32" t="s">
        <v>323</v>
      </c>
      <c r="T417" s="79">
        <v>1</v>
      </c>
      <c r="U417" s="79">
        <v>51</v>
      </c>
      <c r="V417" s="32" t="s">
        <v>66</v>
      </c>
      <c r="W417" s="32" t="s">
        <v>50</v>
      </c>
      <c r="X417" s="32" t="s">
        <v>50</v>
      </c>
      <c r="Y417" s="35" t="s">
        <v>5604</v>
      </c>
    </row>
    <row r="418" spans="1:25" s="27" customFormat="1" x14ac:dyDescent="0.25">
      <c r="A418" s="36">
        <v>43033</v>
      </c>
      <c r="B418" s="92" t="str">
        <f t="shared" si="6"/>
        <v>Wed</v>
      </c>
      <c r="C418" s="27" t="s">
        <v>7570</v>
      </c>
      <c r="D418" s="89">
        <v>38.05979</v>
      </c>
      <c r="E418" s="89">
        <v>-122.0034</v>
      </c>
      <c r="F418" s="27" t="s">
        <v>8099</v>
      </c>
      <c r="G418" s="27" t="s">
        <v>27</v>
      </c>
      <c r="H418" s="27" t="s">
        <v>86</v>
      </c>
      <c r="I418" s="30">
        <v>0.38611111111111113</v>
      </c>
      <c r="J418" s="37">
        <v>8829</v>
      </c>
      <c r="K418" s="37">
        <v>16.96</v>
      </c>
      <c r="L418" s="37">
        <v>14.14</v>
      </c>
      <c r="M418" s="91">
        <v>0.68600000000000005</v>
      </c>
      <c r="N418" s="91">
        <v>12.5975</v>
      </c>
      <c r="O418" s="32" t="s">
        <v>48</v>
      </c>
      <c r="P418" s="32">
        <v>5</v>
      </c>
      <c r="Q418" s="32">
        <v>5</v>
      </c>
      <c r="R418" s="32" t="s">
        <v>64</v>
      </c>
      <c r="S418" s="32" t="s">
        <v>50</v>
      </c>
      <c r="T418" s="79" t="s">
        <v>50</v>
      </c>
      <c r="U418" s="79" t="s">
        <v>50</v>
      </c>
      <c r="V418" s="32" t="s">
        <v>50</v>
      </c>
      <c r="W418" s="32" t="s">
        <v>50</v>
      </c>
      <c r="X418" s="32" t="s">
        <v>50</v>
      </c>
      <c r="Y418" s="35" t="s">
        <v>8100</v>
      </c>
    </row>
    <row r="419" spans="1:25" s="149" customFormat="1" x14ac:dyDescent="0.25">
      <c r="A419" s="160">
        <v>43033</v>
      </c>
      <c r="B419" s="148" t="str">
        <f t="shared" si="6"/>
        <v>Wed</v>
      </c>
      <c r="C419" s="149" t="s">
        <v>7570</v>
      </c>
      <c r="D419" s="150">
        <v>38.059980000000003</v>
      </c>
      <c r="E419" s="150">
        <v>-122.02084000000001</v>
      </c>
      <c r="F419" s="149" t="s">
        <v>8101</v>
      </c>
      <c r="G419" s="149" t="s">
        <v>27</v>
      </c>
      <c r="H419" s="149" t="s">
        <v>86</v>
      </c>
      <c r="I419" s="165">
        <v>0.43402777777777773</v>
      </c>
      <c r="J419" s="163" t="s">
        <v>50</v>
      </c>
      <c r="K419" s="163" t="s">
        <v>50</v>
      </c>
      <c r="L419" s="163" t="s">
        <v>50</v>
      </c>
      <c r="M419" s="163" t="s">
        <v>50</v>
      </c>
      <c r="N419" s="163" t="s">
        <v>50</v>
      </c>
      <c r="O419" s="161" t="s">
        <v>48</v>
      </c>
      <c r="P419" s="161">
        <v>0</v>
      </c>
      <c r="Q419" s="161" t="s">
        <v>50</v>
      </c>
      <c r="R419" s="161" t="s">
        <v>50</v>
      </c>
      <c r="S419" s="161" t="s">
        <v>50</v>
      </c>
      <c r="T419" s="162" t="s">
        <v>50</v>
      </c>
      <c r="U419" s="162" t="s">
        <v>50</v>
      </c>
      <c r="V419" s="161" t="s">
        <v>50</v>
      </c>
      <c r="W419" s="161" t="s">
        <v>50</v>
      </c>
      <c r="X419" s="161" t="s">
        <v>50</v>
      </c>
      <c r="Y419" s="152" t="s">
        <v>8102</v>
      </c>
    </row>
    <row r="420" spans="1:25" s="27" customFormat="1" x14ac:dyDescent="0.25">
      <c r="A420" s="36">
        <v>43033</v>
      </c>
      <c r="B420" s="92" t="str">
        <f t="shared" si="6"/>
        <v>Wed</v>
      </c>
      <c r="C420" s="27" t="s">
        <v>845</v>
      </c>
      <c r="D420" s="89">
        <v>38.279240000000001</v>
      </c>
      <c r="E420" s="89">
        <v>-121.6401</v>
      </c>
      <c r="F420" s="27" t="s">
        <v>8103</v>
      </c>
      <c r="G420" s="27" t="s">
        <v>90</v>
      </c>
      <c r="H420" s="27" t="s">
        <v>6935</v>
      </c>
      <c r="I420" s="30">
        <v>0.32569444444444445</v>
      </c>
      <c r="J420" s="31">
        <v>92.78</v>
      </c>
      <c r="K420" s="31">
        <v>15.7</v>
      </c>
      <c r="L420" s="31">
        <v>7.75</v>
      </c>
      <c r="M420" s="31">
        <f>AVERAGE(1.69,1.64,1.69,1.6,1.64)</f>
        <v>1.6519999999999999</v>
      </c>
      <c r="N420" s="28">
        <v>5.22</v>
      </c>
      <c r="O420" s="32" t="s">
        <v>48</v>
      </c>
      <c r="P420" s="32">
        <v>8</v>
      </c>
      <c r="Q420" s="32">
        <v>10</v>
      </c>
      <c r="R420" s="32" t="s">
        <v>64</v>
      </c>
      <c r="S420" s="32" t="s">
        <v>50</v>
      </c>
      <c r="T420" s="79" t="s">
        <v>50</v>
      </c>
      <c r="U420" s="79" t="s">
        <v>50</v>
      </c>
      <c r="V420" s="32" t="s">
        <v>50</v>
      </c>
      <c r="W420" s="32" t="s">
        <v>50</v>
      </c>
      <c r="X420" s="32" t="s">
        <v>50</v>
      </c>
      <c r="Y420" s="35"/>
    </row>
    <row r="421" spans="1:25" s="27" customFormat="1" x14ac:dyDescent="0.25">
      <c r="A421" s="36">
        <v>43033</v>
      </c>
      <c r="B421" s="92" t="str">
        <f t="shared" si="6"/>
        <v>Wed</v>
      </c>
      <c r="C421" s="27" t="s">
        <v>845</v>
      </c>
      <c r="D421" s="89">
        <v>38.262169999999998</v>
      </c>
      <c r="E421" s="89">
        <v>-121.69595</v>
      </c>
      <c r="F421" s="27" t="s">
        <v>8104</v>
      </c>
      <c r="G421" s="27" t="s">
        <v>90</v>
      </c>
      <c r="H421" s="27" t="s">
        <v>6935</v>
      </c>
      <c r="I421" s="30">
        <v>0.40902777777777777</v>
      </c>
      <c r="J421" s="31">
        <v>106.63999999999999</v>
      </c>
      <c r="K421" s="31">
        <v>16.560000000000002</v>
      </c>
      <c r="L421" s="31">
        <v>5.798</v>
      </c>
      <c r="M421" s="31">
        <v>1.768</v>
      </c>
      <c r="N421" s="28">
        <v>4.96</v>
      </c>
      <c r="O421" s="32" t="s">
        <v>48</v>
      </c>
      <c r="P421" s="32">
        <v>5</v>
      </c>
      <c r="Q421" s="32">
        <v>5</v>
      </c>
      <c r="R421" s="32" t="s">
        <v>64</v>
      </c>
      <c r="S421" s="32" t="s">
        <v>50</v>
      </c>
      <c r="T421" s="79" t="s">
        <v>50</v>
      </c>
      <c r="U421" s="79" t="s">
        <v>50</v>
      </c>
      <c r="V421" s="32" t="s">
        <v>50</v>
      </c>
      <c r="W421" s="32" t="s">
        <v>50</v>
      </c>
      <c r="X421" s="32" t="s">
        <v>50</v>
      </c>
      <c r="Y421" s="35"/>
    </row>
    <row r="422" spans="1:25" s="27" customFormat="1" x14ac:dyDescent="0.25">
      <c r="A422" s="36">
        <v>43033</v>
      </c>
      <c r="B422" s="92" t="str">
        <f t="shared" si="6"/>
        <v>Wed</v>
      </c>
      <c r="C422" s="27" t="s">
        <v>44</v>
      </c>
      <c r="D422" s="89">
        <v>37.952060000000003</v>
      </c>
      <c r="E422" s="89">
        <v>-121.33515</v>
      </c>
      <c r="F422" s="27" t="s">
        <v>8105</v>
      </c>
      <c r="G422" s="27" t="s">
        <v>46</v>
      </c>
      <c r="H422" s="27" t="s">
        <v>6840</v>
      </c>
      <c r="I422" s="30">
        <v>0.32777777777777778</v>
      </c>
      <c r="J422" s="31">
        <v>171.01250000000002</v>
      </c>
      <c r="K422" s="31">
        <v>16.225000000000001</v>
      </c>
      <c r="L422" s="31">
        <v>14.404999999999999</v>
      </c>
      <c r="M422" s="31">
        <v>0.80624999999999991</v>
      </c>
      <c r="N422" s="28">
        <v>11.15</v>
      </c>
      <c r="O422" s="32" t="s">
        <v>48</v>
      </c>
      <c r="P422" s="32">
        <v>8</v>
      </c>
      <c r="Q422" s="32">
        <v>10</v>
      </c>
      <c r="R422" s="32" t="s">
        <v>64</v>
      </c>
      <c r="S422" s="32" t="s">
        <v>50</v>
      </c>
      <c r="T422" s="79" t="s">
        <v>50</v>
      </c>
      <c r="U422" s="79" t="s">
        <v>50</v>
      </c>
      <c r="V422" s="32" t="s">
        <v>50</v>
      </c>
      <c r="W422" s="32" t="s">
        <v>50</v>
      </c>
      <c r="X422" s="32" t="s">
        <v>50</v>
      </c>
      <c r="Y422" s="35" t="s">
        <v>8106</v>
      </c>
    </row>
    <row r="423" spans="1:25" s="149" customFormat="1" x14ac:dyDescent="0.25">
      <c r="A423" s="160">
        <v>43033</v>
      </c>
      <c r="B423" s="148" t="str">
        <f t="shared" si="6"/>
        <v>Wed</v>
      </c>
      <c r="C423" s="149" t="s">
        <v>44</v>
      </c>
      <c r="D423" s="150">
        <v>37.956870000000002</v>
      </c>
      <c r="E423" s="150">
        <v>-121.34975</v>
      </c>
      <c r="F423" s="149" t="s">
        <v>8107</v>
      </c>
      <c r="G423" s="149" t="s">
        <v>46</v>
      </c>
      <c r="H423" s="149" t="s">
        <v>6840</v>
      </c>
      <c r="I423" s="165">
        <v>0.48541666666666666</v>
      </c>
      <c r="J423" s="163" t="s">
        <v>50</v>
      </c>
      <c r="K423" s="163" t="s">
        <v>50</v>
      </c>
      <c r="L423" s="163" t="s">
        <v>50</v>
      </c>
      <c r="M423" s="163" t="s">
        <v>50</v>
      </c>
      <c r="N423" s="163" t="s">
        <v>50</v>
      </c>
      <c r="O423" s="161" t="s">
        <v>48</v>
      </c>
      <c r="P423" s="161">
        <v>0</v>
      </c>
      <c r="Q423" s="161" t="s">
        <v>50</v>
      </c>
      <c r="R423" s="161" t="s">
        <v>50</v>
      </c>
      <c r="S423" s="161" t="s">
        <v>50</v>
      </c>
      <c r="T423" s="164" t="s">
        <v>50</v>
      </c>
      <c r="U423" s="164" t="s">
        <v>50</v>
      </c>
      <c r="V423" s="161" t="s">
        <v>50</v>
      </c>
      <c r="W423" s="161" t="s">
        <v>50</v>
      </c>
      <c r="X423" s="161" t="s">
        <v>50</v>
      </c>
      <c r="Y423" s="152" t="s">
        <v>7444</v>
      </c>
    </row>
    <row r="424" spans="1:25" s="149" customFormat="1" x14ac:dyDescent="0.25">
      <c r="A424" s="160">
        <v>43033</v>
      </c>
      <c r="B424" s="148" t="str">
        <f t="shared" si="6"/>
        <v>Wed</v>
      </c>
      <c r="C424" s="149" t="s">
        <v>44</v>
      </c>
      <c r="D424" s="150">
        <v>38.02561</v>
      </c>
      <c r="E424" s="150">
        <v>-121.57726</v>
      </c>
      <c r="F424" s="149" t="s">
        <v>8108</v>
      </c>
      <c r="G424" s="149" t="s">
        <v>46</v>
      </c>
      <c r="H424" s="149" t="s">
        <v>74</v>
      </c>
      <c r="I424" s="165">
        <v>0.51458333333333328</v>
      </c>
      <c r="J424" s="163" t="s">
        <v>50</v>
      </c>
      <c r="K424" s="163" t="s">
        <v>50</v>
      </c>
      <c r="L424" s="163" t="s">
        <v>50</v>
      </c>
      <c r="M424" s="163" t="s">
        <v>50</v>
      </c>
      <c r="N424" s="163" t="s">
        <v>50</v>
      </c>
      <c r="O424" s="161" t="s">
        <v>48</v>
      </c>
      <c r="P424" s="161">
        <v>0</v>
      </c>
      <c r="Q424" s="161" t="s">
        <v>50</v>
      </c>
      <c r="R424" s="161" t="s">
        <v>50</v>
      </c>
      <c r="S424" s="161" t="s">
        <v>50</v>
      </c>
      <c r="T424" s="164" t="s">
        <v>50</v>
      </c>
      <c r="U424" s="164" t="s">
        <v>50</v>
      </c>
      <c r="V424" s="161" t="s">
        <v>50</v>
      </c>
      <c r="W424" s="161" t="s">
        <v>50</v>
      </c>
      <c r="X424" s="161" t="s">
        <v>50</v>
      </c>
      <c r="Y424" s="152" t="s">
        <v>8109</v>
      </c>
    </row>
    <row r="425" spans="1:25" s="27" customFormat="1" x14ac:dyDescent="0.25">
      <c r="A425" s="36">
        <v>43033</v>
      </c>
      <c r="B425" s="92" t="str">
        <f t="shared" si="6"/>
        <v>Wed</v>
      </c>
      <c r="C425" s="27" t="s">
        <v>44</v>
      </c>
      <c r="D425" s="89">
        <v>38.028179999999999</v>
      </c>
      <c r="E425" s="89">
        <v>-121.58942999999999</v>
      </c>
      <c r="F425" s="27" t="s">
        <v>8110</v>
      </c>
      <c r="G425" s="27" t="s">
        <v>46</v>
      </c>
      <c r="H425" s="27" t="s">
        <v>47</v>
      </c>
      <c r="I425" s="30">
        <v>0.52152777777777781</v>
      </c>
      <c r="J425" s="31">
        <v>127.96250000000001</v>
      </c>
      <c r="K425" s="31">
        <v>17.850000000000001</v>
      </c>
      <c r="L425" s="31">
        <v>3.7374999999999998</v>
      </c>
      <c r="M425" s="31">
        <v>1.8000000000000003</v>
      </c>
      <c r="N425" s="28">
        <v>7.2500000000000009</v>
      </c>
      <c r="O425" s="32" t="s">
        <v>48</v>
      </c>
      <c r="P425" s="32">
        <v>8</v>
      </c>
      <c r="Q425" s="32">
        <v>10</v>
      </c>
      <c r="R425" s="32" t="s">
        <v>64</v>
      </c>
      <c r="S425" s="32" t="s">
        <v>50</v>
      </c>
      <c r="T425" s="81" t="s">
        <v>50</v>
      </c>
      <c r="U425" s="81" t="s">
        <v>50</v>
      </c>
      <c r="V425" s="32" t="s">
        <v>50</v>
      </c>
      <c r="W425" s="32" t="s">
        <v>50</v>
      </c>
      <c r="X425" s="32" t="s">
        <v>50</v>
      </c>
      <c r="Y425" s="35" t="s">
        <v>8111</v>
      </c>
    </row>
    <row r="426" spans="1:25" s="27" customFormat="1" x14ac:dyDescent="0.25">
      <c r="A426" s="36">
        <v>43034</v>
      </c>
      <c r="B426" s="92" t="str">
        <f t="shared" si="6"/>
        <v>Thu</v>
      </c>
      <c r="C426" s="27" t="s">
        <v>7570</v>
      </c>
      <c r="D426" s="89">
        <v>38.07358</v>
      </c>
      <c r="E426" s="89">
        <v>-122.0154</v>
      </c>
      <c r="F426" s="27" t="s">
        <v>8112</v>
      </c>
      <c r="G426" s="27" t="s">
        <v>27</v>
      </c>
      <c r="H426" s="27" t="s">
        <v>86</v>
      </c>
      <c r="I426" s="30">
        <v>0.34861111111111115</v>
      </c>
      <c r="J426" s="31">
        <v>9826.4</v>
      </c>
      <c r="K426" s="31">
        <v>17.059999999999999</v>
      </c>
      <c r="L426" s="31">
        <v>17.62</v>
      </c>
      <c r="M426" s="31">
        <v>0.67800000000000005</v>
      </c>
      <c r="N426" s="28">
        <v>7.9648000000000003</v>
      </c>
      <c r="O426" s="32" t="s">
        <v>48</v>
      </c>
      <c r="P426" s="32">
        <v>5</v>
      </c>
      <c r="Q426" s="32">
        <v>5</v>
      </c>
      <c r="R426" s="32" t="s">
        <v>64</v>
      </c>
      <c r="S426" s="32" t="s">
        <v>50</v>
      </c>
      <c r="T426" s="81" t="s">
        <v>50</v>
      </c>
      <c r="U426" s="81" t="s">
        <v>50</v>
      </c>
      <c r="V426" s="32" t="s">
        <v>50</v>
      </c>
      <c r="W426" s="32" t="s">
        <v>50</v>
      </c>
      <c r="X426" s="32" t="s">
        <v>50</v>
      </c>
      <c r="Y426" s="35"/>
    </row>
    <row r="427" spans="1:25" s="27" customFormat="1" x14ac:dyDescent="0.25">
      <c r="A427" s="36">
        <v>43034</v>
      </c>
      <c r="B427" s="92" t="str">
        <f t="shared" si="6"/>
        <v>Thu</v>
      </c>
      <c r="C427" s="27" t="s">
        <v>7570</v>
      </c>
      <c r="D427" s="89">
        <v>38.097969999999997</v>
      </c>
      <c r="E427" s="89">
        <v>-122.04109</v>
      </c>
      <c r="F427" s="27" t="s">
        <v>8113</v>
      </c>
      <c r="G427" s="27" t="s">
        <v>27</v>
      </c>
      <c r="H427" s="27" t="s">
        <v>86</v>
      </c>
      <c r="I427" s="30">
        <v>0.39652777777777781</v>
      </c>
      <c r="J427" s="31">
        <v>12019.4</v>
      </c>
      <c r="K427" s="31">
        <v>17.22</v>
      </c>
      <c r="L427" s="31">
        <v>11.202</v>
      </c>
      <c r="M427" s="31">
        <v>0.77400000000000002</v>
      </c>
      <c r="N427" s="28">
        <v>5.8140000000000001</v>
      </c>
      <c r="O427" s="32" t="s">
        <v>48</v>
      </c>
      <c r="P427" s="32">
        <v>5</v>
      </c>
      <c r="Q427" s="32">
        <v>5</v>
      </c>
      <c r="R427" s="32" t="s">
        <v>49</v>
      </c>
      <c r="S427" s="32" t="s">
        <v>50</v>
      </c>
      <c r="T427" s="81" t="s">
        <v>50</v>
      </c>
      <c r="U427" s="81" t="s">
        <v>50</v>
      </c>
      <c r="V427" s="32" t="s">
        <v>50</v>
      </c>
      <c r="W427" s="32" t="s">
        <v>50</v>
      </c>
      <c r="X427" s="32" t="s">
        <v>50</v>
      </c>
      <c r="Y427" s="35"/>
    </row>
    <row r="428" spans="1:25" s="27" customFormat="1" x14ac:dyDescent="0.25">
      <c r="A428" s="36">
        <v>43034</v>
      </c>
      <c r="B428" s="92" t="str">
        <f t="shared" si="6"/>
        <v>Thu</v>
      </c>
      <c r="C428" s="27" t="s">
        <v>6849</v>
      </c>
      <c r="D428" s="89">
        <v>38.470570000000002</v>
      </c>
      <c r="E428" s="89">
        <v>-121.50535000000001</v>
      </c>
      <c r="F428" s="27" t="s">
        <v>8114</v>
      </c>
      <c r="G428" s="27" t="s">
        <v>90</v>
      </c>
      <c r="H428" s="27" t="s">
        <v>6851</v>
      </c>
      <c r="I428" s="30">
        <v>0.38472222222222219</v>
      </c>
      <c r="J428" s="31">
        <v>89.325000000000003</v>
      </c>
      <c r="K428" s="31">
        <v>16.412500000000001</v>
      </c>
      <c r="L428" s="31">
        <v>6.6762499999999996</v>
      </c>
      <c r="M428" s="31">
        <v>1.55</v>
      </c>
      <c r="N428" s="28">
        <v>5.5125000000000002</v>
      </c>
      <c r="O428" s="32" t="s">
        <v>48</v>
      </c>
      <c r="P428" s="32">
        <v>8</v>
      </c>
      <c r="Q428" s="32">
        <v>10</v>
      </c>
      <c r="R428" s="32" t="s">
        <v>49</v>
      </c>
      <c r="S428" s="32" t="s">
        <v>50</v>
      </c>
      <c r="T428" s="81" t="s">
        <v>50</v>
      </c>
      <c r="U428" s="81" t="s">
        <v>50</v>
      </c>
      <c r="V428" s="32" t="s">
        <v>50</v>
      </c>
      <c r="W428" s="32" t="s">
        <v>50</v>
      </c>
      <c r="X428" s="32" t="s">
        <v>50</v>
      </c>
      <c r="Y428" s="35"/>
    </row>
    <row r="429" spans="1:25" s="27" customFormat="1" x14ac:dyDescent="0.25">
      <c r="A429" s="36">
        <v>43034</v>
      </c>
      <c r="B429" s="92" t="str">
        <f t="shared" si="6"/>
        <v>Thu</v>
      </c>
      <c r="C429" s="27" t="s">
        <v>6849</v>
      </c>
      <c r="D429" s="89">
        <v>38.224220000000003</v>
      </c>
      <c r="E429" s="89">
        <v>-121.55647999999999</v>
      </c>
      <c r="F429" s="27" t="s">
        <v>8115</v>
      </c>
      <c r="G429" s="27" t="s">
        <v>90</v>
      </c>
      <c r="H429" s="27" t="s">
        <v>6892</v>
      </c>
      <c r="I429" s="30">
        <v>0.5541666666666667</v>
      </c>
      <c r="J429" s="31">
        <v>98</v>
      </c>
      <c r="K429" s="31">
        <v>16.574999999999999</v>
      </c>
      <c r="L429" s="31">
        <v>5.1112500000000001</v>
      </c>
      <c r="M429" s="31">
        <v>1.8</v>
      </c>
      <c r="N429" s="28">
        <v>5.4</v>
      </c>
      <c r="O429" s="32" t="s">
        <v>48</v>
      </c>
      <c r="P429" s="32">
        <v>8</v>
      </c>
      <c r="Q429" s="32">
        <v>10</v>
      </c>
      <c r="R429" s="32" t="s">
        <v>49</v>
      </c>
      <c r="S429" s="32" t="s">
        <v>50</v>
      </c>
      <c r="T429" s="81" t="s">
        <v>50</v>
      </c>
      <c r="U429" s="81" t="s">
        <v>50</v>
      </c>
      <c r="V429" s="32" t="s">
        <v>50</v>
      </c>
      <c r="W429" s="32" t="s">
        <v>50</v>
      </c>
      <c r="X429" s="32" t="s">
        <v>50</v>
      </c>
      <c r="Y429" s="35"/>
    </row>
    <row r="430" spans="1:25" s="27" customFormat="1" x14ac:dyDescent="0.25">
      <c r="A430" s="36">
        <v>43034</v>
      </c>
      <c r="B430" s="92" t="str">
        <f t="shared" si="6"/>
        <v>Thu</v>
      </c>
      <c r="C430" s="27" t="s">
        <v>44</v>
      </c>
      <c r="D430" s="89">
        <v>38.141800000000003</v>
      </c>
      <c r="E430" s="89">
        <v>-121.46738000000001</v>
      </c>
      <c r="F430" s="27" t="s">
        <v>8116</v>
      </c>
      <c r="G430" s="27" t="s">
        <v>46</v>
      </c>
      <c r="H430" s="27" t="s">
        <v>6881</v>
      </c>
      <c r="I430" s="30">
        <v>0.35555555555555557</v>
      </c>
      <c r="J430" s="31">
        <v>63.637500000000003</v>
      </c>
      <c r="K430" s="31">
        <v>17.3125</v>
      </c>
      <c r="L430" s="31">
        <v>2.0699999999999998</v>
      </c>
      <c r="M430" s="31">
        <v>1.8</v>
      </c>
      <c r="N430" s="28">
        <v>3.9125000000000001</v>
      </c>
      <c r="O430" s="32" t="s">
        <v>48</v>
      </c>
      <c r="P430" s="32">
        <v>8</v>
      </c>
      <c r="Q430" s="32">
        <v>10</v>
      </c>
      <c r="R430" s="32" t="s">
        <v>64</v>
      </c>
      <c r="S430" s="32" t="s">
        <v>50</v>
      </c>
      <c r="T430" s="81" t="s">
        <v>50</v>
      </c>
      <c r="U430" s="81" t="s">
        <v>50</v>
      </c>
      <c r="V430" s="32" t="s">
        <v>50</v>
      </c>
      <c r="W430" s="32" t="s">
        <v>50</v>
      </c>
      <c r="X430" s="32" t="s">
        <v>50</v>
      </c>
      <c r="Y430" s="35" t="s">
        <v>8117</v>
      </c>
    </row>
    <row r="431" spans="1:25" s="108" customFormat="1" ht="15.75" thickBot="1" x14ac:dyDescent="0.3">
      <c r="A431" s="117">
        <v>43034</v>
      </c>
      <c r="B431" s="107" t="str">
        <f t="shared" si="6"/>
        <v>Thu</v>
      </c>
      <c r="C431" s="108" t="s">
        <v>44</v>
      </c>
      <c r="D431" s="109">
        <v>38.118769999999998</v>
      </c>
      <c r="E431" s="109">
        <v>-121.52749</v>
      </c>
      <c r="F431" s="108" t="s">
        <v>8118</v>
      </c>
      <c r="G431" s="108" t="s">
        <v>46</v>
      </c>
      <c r="H431" s="108" t="s">
        <v>6881</v>
      </c>
      <c r="I431" s="122">
        <v>0.48333333333333334</v>
      </c>
      <c r="J431" s="123">
        <v>96.337500000000006</v>
      </c>
      <c r="K431" s="123">
        <v>16.95</v>
      </c>
      <c r="L431" s="123">
        <v>2.2574999999999998</v>
      </c>
      <c r="M431" s="123">
        <v>1.8</v>
      </c>
      <c r="N431" s="124">
        <v>3.5625</v>
      </c>
      <c r="O431" s="118" t="s">
        <v>48</v>
      </c>
      <c r="P431" s="118">
        <v>8</v>
      </c>
      <c r="Q431" s="118">
        <v>10</v>
      </c>
      <c r="R431" s="118" t="s">
        <v>64</v>
      </c>
      <c r="S431" s="118" t="s">
        <v>50</v>
      </c>
      <c r="T431" s="115" t="s">
        <v>50</v>
      </c>
      <c r="U431" s="115" t="s">
        <v>50</v>
      </c>
      <c r="V431" s="118" t="s">
        <v>50</v>
      </c>
      <c r="W431" s="118" t="s">
        <v>50</v>
      </c>
      <c r="X431" s="118" t="s">
        <v>50</v>
      </c>
      <c r="Y431" s="113"/>
    </row>
    <row r="432" spans="1:25" s="27" customFormat="1" ht="15.75" thickTop="1" x14ac:dyDescent="0.25">
      <c r="A432" s="29">
        <v>43038</v>
      </c>
      <c r="B432" s="92" t="str">
        <f t="shared" si="6"/>
        <v>Mon</v>
      </c>
      <c r="C432" s="27" t="s">
        <v>44</v>
      </c>
      <c r="D432" s="89">
        <v>37.86589</v>
      </c>
      <c r="E432" s="89">
        <v>-121.54228999999999</v>
      </c>
      <c r="F432" s="27" t="s">
        <v>8119</v>
      </c>
      <c r="G432" s="27" t="s">
        <v>46</v>
      </c>
      <c r="H432" s="27" t="s">
        <v>202</v>
      </c>
      <c r="I432" s="120">
        <v>0.39097222222222222</v>
      </c>
      <c r="J432" s="121">
        <v>220.125</v>
      </c>
      <c r="K432" s="121">
        <v>17.512499999999999</v>
      </c>
      <c r="L432" s="121">
        <v>3.55125</v>
      </c>
      <c r="M432" s="121">
        <v>1.8000000000000003</v>
      </c>
      <c r="N432" s="90">
        <v>5.4374999999999991</v>
      </c>
      <c r="O432" s="33" t="s">
        <v>48</v>
      </c>
      <c r="P432" s="33">
        <v>8</v>
      </c>
      <c r="Q432" s="33">
        <v>10</v>
      </c>
      <c r="R432" s="33" t="s">
        <v>64</v>
      </c>
      <c r="S432" s="33" t="s">
        <v>50</v>
      </c>
      <c r="T432" s="81" t="s">
        <v>50</v>
      </c>
      <c r="U432" s="81" t="s">
        <v>50</v>
      </c>
      <c r="V432" s="33" t="s">
        <v>50</v>
      </c>
      <c r="W432" s="33" t="s">
        <v>50</v>
      </c>
      <c r="X432" s="33" t="s">
        <v>50</v>
      </c>
      <c r="Y432" s="35"/>
    </row>
    <row r="433" spans="1:25" s="27" customFormat="1" x14ac:dyDescent="0.25">
      <c r="A433" s="36">
        <v>43038</v>
      </c>
      <c r="B433" s="92" t="str">
        <f t="shared" si="6"/>
        <v>Mon</v>
      </c>
      <c r="C433" s="27" t="s">
        <v>88</v>
      </c>
      <c r="D433" s="89">
        <v>38.154510000000002</v>
      </c>
      <c r="E433" s="89">
        <v>-121.6846</v>
      </c>
      <c r="F433" s="27" t="s">
        <v>8120</v>
      </c>
      <c r="G433" s="27" t="s">
        <v>90</v>
      </c>
      <c r="H433" s="27" t="s">
        <v>91</v>
      </c>
      <c r="I433" s="30">
        <v>0.35416666666666669</v>
      </c>
      <c r="J433" s="31">
        <v>101.75999999999999</v>
      </c>
      <c r="K433" s="31">
        <v>17.100000000000001</v>
      </c>
      <c r="L433" s="31">
        <v>4.5639999999999992</v>
      </c>
      <c r="M433" s="31">
        <v>1.8</v>
      </c>
      <c r="N433" s="28">
        <v>4.1800000000000006</v>
      </c>
      <c r="O433" s="32" t="s">
        <v>48</v>
      </c>
      <c r="P433" s="32">
        <v>5</v>
      </c>
      <c r="Q433" s="32">
        <v>5</v>
      </c>
      <c r="R433" s="32" t="s">
        <v>64</v>
      </c>
      <c r="S433" s="32" t="s">
        <v>50</v>
      </c>
      <c r="T433" s="81" t="s">
        <v>50</v>
      </c>
      <c r="U433" s="81" t="s">
        <v>50</v>
      </c>
      <c r="V433" s="32" t="s">
        <v>50</v>
      </c>
      <c r="W433" s="32" t="s">
        <v>50</v>
      </c>
      <c r="X433" s="32" t="s">
        <v>50</v>
      </c>
      <c r="Y433" s="35" t="s">
        <v>7934</v>
      </c>
    </row>
    <row r="434" spans="1:25" s="27" customFormat="1" x14ac:dyDescent="0.25">
      <c r="A434" s="36">
        <v>43038</v>
      </c>
      <c r="B434" s="92" t="str">
        <f t="shared" si="6"/>
        <v>Mon</v>
      </c>
      <c r="C434" s="27" t="s">
        <v>88</v>
      </c>
      <c r="D434" s="89">
        <v>38.114649999999997</v>
      </c>
      <c r="E434" s="89">
        <v>-121.70201</v>
      </c>
      <c r="F434" s="27" t="s">
        <v>8121</v>
      </c>
      <c r="G434" s="27" t="s">
        <v>90</v>
      </c>
      <c r="H434" s="27" t="s">
        <v>91</v>
      </c>
      <c r="I434" s="30">
        <v>0.4458333333333333</v>
      </c>
      <c r="J434" s="31">
        <v>109.04</v>
      </c>
      <c r="K434" s="31">
        <v>17</v>
      </c>
      <c r="L434" s="31">
        <v>5.5259999999999998</v>
      </c>
      <c r="M434" s="31">
        <v>1.8</v>
      </c>
      <c r="N434" s="28">
        <v>6.36</v>
      </c>
      <c r="O434" s="32" t="s">
        <v>48</v>
      </c>
      <c r="P434" s="32">
        <v>5</v>
      </c>
      <c r="Q434" s="32">
        <v>5</v>
      </c>
      <c r="R434" s="32" t="s">
        <v>64</v>
      </c>
      <c r="S434" s="32" t="s">
        <v>50</v>
      </c>
      <c r="T434" s="81" t="s">
        <v>50</v>
      </c>
      <c r="U434" s="81" t="s">
        <v>50</v>
      </c>
      <c r="V434" s="32" t="s">
        <v>50</v>
      </c>
      <c r="W434" s="32" t="s">
        <v>50</v>
      </c>
      <c r="X434" s="32" t="s">
        <v>50</v>
      </c>
      <c r="Y434" s="35" t="s">
        <v>7934</v>
      </c>
    </row>
    <row r="435" spans="1:25" s="149" customFormat="1" x14ac:dyDescent="0.25">
      <c r="A435" s="160">
        <v>43038</v>
      </c>
      <c r="B435" s="148" t="str">
        <f t="shared" si="6"/>
        <v>Mon</v>
      </c>
      <c r="C435" s="149" t="s">
        <v>88</v>
      </c>
      <c r="D435" s="150">
        <v>38.049390000000002</v>
      </c>
      <c r="E435" s="150">
        <v>-121.78748</v>
      </c>
      <c r="F435" s="149" t="s">
        <v>8122</v>
      </c>
      <c r="G435" s="149" t="s">
        <v>27</v>
      </c>
      <c r="H435" s="149" t="s">
        <v>25</v>
      </c>
      <c r="I435" s="165">
        <v>0.4236111111111111</v>
      </c>
      <c r="J435" s="163" t="s">
        <v>50</v>
      </c>
      <c r="K435" s="163" t="s">
        <v>50</v>
      </c>
      <c r="L435" s="163" t="s">
        <v>50</v>
      </c>
      <c r="M435" s="163" t="s">
        <v>50</v>
      </c>
      <c r="N435" s="163" t="s">
        <v>50</v>
      </c>
      <c r="O435" s="161" t="s">
        <v>48</v>
      </c>
      <c r="P435" s="161">
        <v>0</v>
      </c>
      <c r="Q435" s="161" t="s">
        <v>50</v>
      </c>
      <c r="R435" s="161" t="s">
        <v>50</v>
      </c>
      <c r="S435" s="161" t="s">
        <v>50</v>
      </c>
      <c r="T435" s="164" t="s">
        <v>50</v>
      </c>
      <c r="U435" s="164" t="s">
        <v>50</v>
      </c>
      <c r="V435" s="161" t="s">
        <v>50</v>
      </c>
      <c r="W435" s="161" t="s">
        <v>50</v>
      </c>
      <c r="X435" s="161" t="s">
        <v>50</v>
      </c>
      <c r="Y435" s="152" t="s">
        <v>7049</v>
      </c>
    </row>
    <row r="436" spans="1:25" s="149" customFormat="1" x14ac:dyDescent="0.25">
      <c r="A436" s="160">
        <v>43038</v>
      </c>
      <c r="B436" s="148" t="str">
        <f t="shared" si="6"/>
        <v>Mon</v>
      </c>
      <c r="C436" s="149" t="s">
        <v>88</v>
      </c>
      <c r="D436" s="150">
        <v>38.067039999999999</v>
      </c>
      <c r="E436" s="150">
        <v>-121.76961</v>
      </c>
      <c r="F436" s="149" t="s">
        <v>8123</v>
      </c>
      <c r="G436" s="149" t="s">
        <v>27</v>
      </c>
      <c r="H436" s="149" t="s">
        <v>25</v>
      </c>
      <c r="I436" s="165">
        <v>0.42986111111111108</v>
      </c>
      <c r="J436" s="163" t="s">
        <v>50</v>
      </c>
      <c r="K436" s="163" t="s">
        <v>50</v>
      </c>
      <c r="L436" s="163" t="s">
        <v>50</v>
      </c>
      <c r="M436" s="163" t="s">
        <v>50</v>
      </c>
      <c r="N436" s="163" t="s">
        <v>50</v>
      </c>
      <c r="O436" s="161" t="s">
        <v>48</v>
      </c>
      <c r="P436" s="161">
        <v>0</v>
      </c>
      <c r="Q436" s="161" t="s">
        <v>50</v>
      </c>
      <c r="R436" s="161" t="s">
        <v>50</v>
      </c>
      <c r="S436" s="161" t="s">
        <v>50</v>
      </c>
      <c r="T436" s="164" t="s">
        <v>50</v>
      </c>
      <c r="U436" s="164" t="s">
        <v>50</v>
      </c>
      <c r="V436" s="161" t="s">
        <v>50</v>
      </c>
      <c r="W436" s="161" t="s">
        <v>50</v>
      </c>
      <c r="X436" s="161" t="s">
        <v>50</v>
      </c>
      <c r="Y436" s="152" t="s">
        <v>8124</v>
      </c>
    </row>
    <row r="437" spans="1:25" s="27" customFormat="1" x14ac:dyDescent="0.25">
      <c r="A437" s="36">
        <v>43038</v>
      </c>
      <c r="B437" s="92" t="str">
        <f t="shared" si="6"/>
        <v>Mon</v>
      </c>
      <c r="C437" s="27" t="s">
        <v>7570</v>
      </c>
      <c r="D437" s="89">
        <v>38.172989999999999</v>
      </c>
      <c r="E437" s="89">
        <v>-121.94687</v>
      </c>
      <c r="F437" s="27" t="s">
        <v>8125</v>
      </c>
      <c r="G437" s="27" t="s">
        <v>27</v>
      </c>
      <c r="H437" s="27" t="s">
        <v>62</v>
      </c>
      <c r="I437" s="30">
        <v>0.39027777777777778</v>
      </c>
      <c r="J437" s="31">
        <v>7447.5</v>
      </c>
      <c r="K437" s="31">
        <v>17.75</v>
      </c>
      <c r="L437" s="31">
        <v>27.9</v>
      </c>
      <c r="M437" s="31">
        <v>0.42499999999999999</v>
      </c>
      <c r="N437" s="28">
        <v>6.2450000000000001</v>
      </c>
      <c r="O437" s="32" t="s">
        <v>48</v>
      </c>
      <c r="P437" s="32">
        <v>4</v>
      </c>
      <c r="Q437" s="32">
        <v>5</v>
      </c>
      <c r="R437" s="32" t="s">
        <v>64</v>
      </c>
      <c r="S437" s="32" t="s">
        <v>323</v>
      </c>
      <c r="T437" s="81">
        <v>1</v>
      </c>
      <c r="U437" s="81">
        <v>52</v>
      </c>
      <c r="V437" s="32" t="s">
        <v>66</v>
      </c>
      <c r="W437" s="32" t="s">
        <v>50</v>
      </c>
      <c r="X437" s="32" t="s">
        <v>50</v>
      </c>
      <c r="Y437" s="35" t="s">
        <v>8126</v>
      </c>
    </row>
    <row r="438" spans="1:25" s="27" customFormat="1" x14ac:dyDescent="0.25">
      <c r="A438" s="36">
        <v>43038</v>
      </c>
      <c r="B438" s="92" t="str">
        <f t="shared" si="6"/>
        <v>Mon</v>
      </c>
      <c r="C438" s="27" t="s">
        <v>7570</v>
      </c>
      <c r="D438" s="89">
        <v>38.08372</v>
      </c>
      <c r="E438" s="89">
        <v>-122.05306</v>
      </c>
      <c r="F438" s="27" t="s">
        <v>8127</v>
      </c>
      <c r="G438" s="27" t="s">
        <v>27</v>
      </c>
      <c r="H438" s="27" t="s">
        <v>86</v>
      </c>
      <c r="I438" s="30">
        <v>0.50555555555555554</v>
      </c>
      <c r="J438" s="31">
        <v>15958.6</v>
      </c>
      <c r="K438" s="31">
        <v>17.02</v>
      </c>
      <c r="L438" s="31">
        <v>16.899999999999999</v>
      </c>
      <c r="M438" s="31">
        <v>0.69399999999999995</v>
      </c>
      <c r="N438" s="28">
        <v>7.6760000000000002</v>
      </c>
      <c r="O438" s="32" t="s">
        <v>48</v>
      </c>
      <c r="P438" s="32">
        <v>5</v>
      </c>
      <c r="Q438" s="32">
        <v>5</v>
      </c>
      <c r="R438" s="32" t="s">
        <v>64</v>
      </c>
      <c r="S438" s="32" t="s">
        <v>50</v>
      </c>
      <c r="T438" s="79" t="s">
        <v>50</v>
      </c>
      <c r="U438" s="79" t="s">
        <v>50</v>
      </c>
      <c r="V438" s="32" t="s">
        <v>50</v>
      </c>
      <c r="W438" s="32" t="s">
        <v>50</v>
      </c>
      <c r="X438" s="32" t="s">
        <v>50</v>
      </c>
      <c r="Y438" s="35" t="s">
        <v>8128</v>
      </c>
    </row>
    <row r="439" spans="1:25" s="27" customFormat="1" x14ac:dyDescent="0.25">
      <c r="A439" s="36">
        <v>43039</v>
      </c>
      <c r="B439" s="92" t="str">
        <f t="shared" si="6"/>
        <v>Tue</v>
      </c>
      <c r="C439" s="27" t="s">
        <v>7570</v>
      </c>
      <c r="D439" s="89">
        <v>38.061959999999999</v>
      </c>
      <c r="E439" s="89">
        <v>-121.96185</v>
      </c>
      <c r="F439" s="27" t="s">
        <v>8129</v>
      </c>
      <c r="G439" s="27" t="s">
        <v>27</v>
      </c>
      <c r="H439" s="27" t="s">
        <v>170</v>
      </c>
      <c r="I439" s="84">
        <v>0.33888888888888885</v>
      </c>
      <c r="J439" s="82">
        <v>5257</v>
      </c>
      <c r="K439" s="82">
        <v>16.579999999999998</v>
      </c>
      <c r="L439" s="82">
        <v>16.2</v>
      </c>
      <c r="M439" s="82">
        <v>0.61599999999999999</v>
      </c>
      <c r="N439" s="4">
        <v>6.76</v>
      </c>
      <c r="O439" s="27" t="s">
        <v>48</v>
      </c>
      <c r="P439" s="27">
        <v>5</v>
      </c>
      <c r="Q439" s="27">
        <v>5</v>
      </c>
      <c r="R439" s="27" t="s">
        <v>64</v>
      </c>
      <c r="S439" s="32" t="s">
        <v>50</v>
      </c>
      <c r="T439" s="79" t="s">
        <v>50</v>
      </c>
      <c r="U439" s="79" t="s">
        <v>50</v>
      </c>
      <c r="V439" s="32" t="s">
        <v>50</v>
      </c>
      <c r="W439" s="32" t="s">
        <v>50</v>
      </c>
      <c r="X439" s="32" t="s">
        <v>50</v>
      </c>
      <c r="Y439" s="35" t="s">
        <v>7934</v>
      </c>
    </row>
    <row r="440" spans="1:25" s="27" customFormat="1" x14ac:dyDescent="0.25">
      <c r="A440" s="36">
        <v>43039</v>
      </c>
      <c r="B440" s="92" t="str">
        <f t="shared" si="6"/>
        <v>Tue</v>
      </c>
      <c r="C440" s="27" t="s">
        <v>7570</v>
      </c>
      <c r="D440" s="89">
        <v>38.074309999999997</v>
      </c>
      <c r="E440" s="89">
        <v>-121.99397999999999</v>
      </c>
      <c r="F440" s="27" t="s">
        <v>8130</v>
      </c>
      <c r="G440" s="27" t="s">
        <v>27</v>
      </c>
      <c r="H440" s="27" t="s">
        <v>86</v>
      </c>
      <c r="I440" s="84">
        <v>0.38819444444444445</v>
      </c>
      <c r="J440" s="82">
        <v>9040</v>
      </c>
      <c r="K440" s="82">
        <v>16.38</v>
      </c>
      <c r="L440" s="82">
        <v>17.46</v>
      </c>
      <c r="M440" s="82">
        <v>0.65</v>
      </c>
      <c r="N440" s="4">
        <v>6.55</v>
      </c>
      <c r="O440" s="27" t="s">
        <v>48</v>
      </c>
      <c r="P440" s="27">
        <v>5</v>
      </c>
      <c r="Q440" s="27">
        <v>5</v>
      </c>
      <c r="R440" s="27" t="s">
        <v>64</v>
      </c>
      <c r="S440" s="32" t="s">
        <v>50</v>
      </c>
      <c r="T440" s="79" t="s">
        <v>50</v>
      </c>
      <c r="U440" s="79" t="s">
        <v>50</v>
      </c>
      <c r="V440" s="32" t="s">
        <v>50</v>
      </c>
      <c r="W440" s="32" t="s">
        <v>50</v>
      </c>
      <c r="X440" s="32" t="s">
        <v>50</v>
      </c>
      <c r="Y440" s="35" t="s">
        <v>7934</v>
      </c>
    </row>
    <row r="441" spans="1:25" s="27" customFormat="1" x14ac:dyDescent="0.25">
      <c r="A441" s="36">
        <v>43039</v>
      </c>
      <c r="B441" s="92" t="str">
        <f t="shared" si="6"/>
        <v>Tue</v>
      </c>
      <c r="C441" s="27" t="s">
        <v>845</v>
      </c>
      <c r="D441" s="89">
        <v>38.317749999999997</v>
      </c>
      <c r="E441" s="89">
        <v>-121.65136</v>
      </c>
      <c r="F441" s="27" t="s">
        <v>8131</v>
      </c>
      <c r="G441" s="27" t="s">
        <v>90</v>
      </c>
      <c r="H441" s="27" t="s">
        <v>6935</v>
      </c>
      <c r="I441" s="84">
        <v>0.34097222222222223</v>
      </c>
      <c r="J441" s="82">
        <v>257.82</v>
      </c>
      <c r="K441" s="82">
        <v>17</v>
      </c>
      <c r="L441" s="82">
        <v>21.34</v>
      </c>
      <c r="M441" s="82">
        <v>0.53200000000000003</v>
      </c>
      <c r="N441" s="4">
        <v>10.14</v>
      </c>
      <c r="O441" s="27" t="s">
        <v>48</v>
      </c>
      <c r="P441" s="27">
        <v>5</v>
      </c>
      <c r="Q441" s="27">
        <v>5</v>
      </c>
      <c r="R441" s="27" t="s">
        <v>49</v>
      </c>
      <c r="S441" s="32" t="s">
        <v>50</v>
      </c>
      <c r="T441" s="79" t="s">
        <v>50</v>
      </c>
      <c r="U441" s="79" t="s">
        <v>50</v>
      </c>
      <c r="V441" s="32" t="s">
        <v>50</v>
      </c>
      <c r="W441" s="32" t="s">
        <v>50</v>
      </c>
      <c r="X441" s="32" t="s">
        <v>50</v>
      </c>
      <c r="Y441" s="35" t="s">
        <v>8132</v>
      </c>
    </row>
    <row r="442" spans="1:25" s="27" customFormat="1" x14ac:dyDescent="0.25">
      <c r="A442" s="36">
        <v>43039</v>
      </c>
      <c r="B442" s="92" t="str">
        <f t="shared" si="6"/>
        <v>Tue</v>
      </c>
      <c r="C442" s="27" t="s">
        <v>845</v>
      </c>
      <c r="D442" s="89">
        <v>38.240650000000002</v>
      </c>
      <c r="E442" s="89">
        <v>-121.68583</v>
      </c>
      <c r="F442" s="27" t="s">
        <v>8133</v>
      </c>
      <c r="G442" s="27" t="s">
        <v>90</v>
      </c>
      <c r="H442" s="27" t="s">
        <v>6935</v>
      </c>
      <c r="I442" s="84">
        <v>0.39444444444444443</v>
      </c>
      <c r="J442" s="82">
        <v>108.68</v>
      </c>
      <c r="K442" s="82">
        <v>16.54</v>
      </c>
      <c r="L442" s="82">
        <v>7.54</v>
      </c>
      <c r="M442" s="82">
        <v>1.74</v>
      </c>
      <c r="N442" s="4">
        <v>11.14</v>
      </c>
      <c r="O442" s="27" t="s">
        <v>48</v>
      </c>
      <c r="P442" s="27">
        <v>5</v>
      </c>
      <c r="Q442" s="27">
        <v>5</v>
      </c>
      <c r="R442" s="27" t="s">
        <v>64</v>
      </c>
      <c r="S442" s="32" t="s">
        <v>50</v>
      </c>
      <c r="T442" s="79" t="s">
        <v>50</v>
      </c>
      <c r="U442" s="79" t="s">
        <v>50</v>
      </c>
      <c r="V442" s="32" t="s">
        <v>50</v>
      </c>
      <c r="W442" s="32" t="s">
        <v>50</v>
      </c>
      <c r="X442" s="32" t="s">
        <v>50</v>
      </c>
      <c r="Y442" s="35" t="s">
        <v>7934</v>
      </c>
    </row>
    <row r="443" spans="1:25" s="27" customFormat="1" x14ac:dyDescent="0.25">
      <c r="A443" s="36">
        <v>43039</v>
      </c>
      <c r="B443" s="92" t="str">
        <f t="shared" si="6"/>
        <v>Tue</v>
      </c>
      <c r="C443" s="27" t="s">
        <v>95</v>
      </c>
      <c r="D443" s="89">
        <v>38.034550000000003</v>
      </c>
      <c r="E443" s="89">
        <v>-121.87656</v>
      </c>
      <c r="F443" s="27" t="s">
        <v>8134</v>
      </c>
      <c r="G443" s="27" t="s">
        <v>27</v>
      </c>
      <c r="H443" s="27" t="s">
        <v>95</v>
      </c>
      <c r="I443" s="84">
        <v>0.34097222222222223</v>
      </c>
      <c r="J443" s="82">
        <v>1930</v>
      </c>
      <c r="K443" s="82">
        <v>17.2</v>
      </c>
      <c r="L443" s="82">
        <v>12.14</v>
      </c>
      <c r="M443" s="82">
        <v>0.84399999999999997</v>
      </c>
      <c r="N443" s="4">
        <v>13</v>
      </c>
      <c r="O443" s="27" t="s">
        <v>48</v>
      </c>
      <c r="P443" s="27">
        <v>5</v>
      </c>
      <c r="Q443" s="27">
        <v>5</v>
      </c>
      <c r="R443" s="27" t="s">
        <v>49</v>
      </c>
      <c r="S443" s="32" t="s">
        <v>50</v>
      </c>
      <c r="T443" s="79" t="s">
        <v>50</v>
      </c>
      <c r="U443" s="79" t="s">
        <v>50</v>
      </c>
      <c r="V443" s="32" t="s">
        <v>50</v>
      </c>
      <c r="W443" s="32" t="s">
        <v>50</v>
      </c>
      <c r="X443" s="32" t="s">
        <v>50</v>
      </c>
      <c r="Y443" s="35"/>
    </row>
    <row r="444" spans="1:25" s="27" customFormat="1" x14ac:dyDescent="0.25">
      <c r="A444" s="36">
        <v>43039</v>
      </c>
      <c r="B444" s="92" t="str">
        <f t="shared" si="6"/>
        <v>Tue</v>
      </c>
      <c r="C444" s="27" t="s">
        <v>95</v>
      </c>
      <c r="D444" s="89">
        <v>38.021830000000001</v>
      </c>
      <c r="E444" s="89">
        <v>-121.75108</v>
      </c>
      <c r="F444" s="27" t="s">
        <v>8135</v>
      </c>
      <c r="G444" s="27" t="s">
        <v>27</v>
      </c>
      <c r="H444" s="27" t="s">
        <v>95</v>
      </c>
      <c r="I444" s="84">
        <v>0.39374999999999999</v>
      </c>
      <c r="J444" s="82">
        <v>216.52</v>
      </c>
      <c r="K444" s="82">
        <v>17.239999999999998</v>
      </c>
      <c r="L444" s="82">
        <v>6.01</v>
      </c>
      <c r="M444" s="82">
        <v>1.752</v>
      </c>
      <c r="N444" s="4">
        <v>4.0199999999999996</v>
      </c>
      <c r="O444" s="27" t="s">
        <v>48</v>
      </c>
      <c r="P444" s="27">
        <v>5</v>
      </c>
      <c r="Q444" s="27">
        <v>5</v>
      </c>
      <c r="R444" s="27" t="s">
        <v>64</v>
      </c>
      <c r="S444" s="32" t="s">
        <v>50</v>
      </c>
      <c r="T444" s="79" t="s">
        <v>50</v>
      </c>
      <c r="U444" s="79" t="s">
        <v>50</v>
      </c>
      <c r="V444" s="32" t="s">
        <v>50</v>
      </c>
      <c r="W444" s="32" t="s">
        <v>50</v>
      </c>
      <c r="X444" s="32" t="s">
        <v>50</v>
      </c>
      <c r="Y444" s="35"/>
    </row>
    <row r="445" spans="1:25" s="27" customFormat="1" x14ac:dyDescent="0.25">
      <c r="A445" s="36">
        <v>43039</v>
      </c>
      <c r="B445" s="92" t="str">
        <f t="shared" si="6"/>
        <v>Tue</v>
      </c>
      <c r="C445" s="27" t="s">
        <v>44</v>
      </c>
      <c r="D445" s="89">
        <v>37.976300000000002</v>
      </c>
      <c r="E445" s="89">
        <v>-121.58081</v>
      </c>
      <c r="F445" s="27" t="s">
        <v>8136</v>
      </c>
      <c r="G445" s="27" t="s">
        <v>46</v>
      </c>
      <c r="H445" s="27" t="s">
        <v>199</v>
      </c>
      <c r="I445" s="84">
        <v>0.45902777777777781</v>
      </c>
      <c r="J445" s="82">
        <v>148.52500000000001</v>
      </c>
      <c r="K445" s="82">
        <v>17.887499999999999</v>
      </c>
      <c r="L445" s="82">
        <v>2.55375</v>
      </c>
      <c r="M445" s="82">
        <v>1.8</v>
      </c>
      <c r="N445" s="4">
        <v>6.1624999999999996</v>
      </c>
      <c r="O445" s="27" t="s">
        <v>48</v>
      </c>
      <c r="P445" s="27">
        <v>8</v>
      </c>
      <c r="Q445" s="27">
        <v>10</v>
      </c>
      <c r="R445" s="27" t="s">
        <v>64</v>
      </c>
      <c r="S445" s="32" t="s">
        <v>50</v>
      </c>
      <c r="T445" s="79" t="s">
        <v>50</v>
      </c>
      <c r="U445" s="79" t="s">
        <v>50</v>
      </c>
      <c r="V445" s="32" t="s">
        <v>50</v>
      </c>
      <c r="W445" s="32" t="s">
        <v>50</v>
      </c>
      <c r="X445" s="32" t="s">
        <v>50</v>
      </c>
      <c r="Y445" s="35"/>
    </row>
    <row r="446" spans="1:25" s="27" customFormat="1" x14ac:dyDescent="0.25">
      <c r="A446" s="36">
        <v>43040</v>
      </c>
      <c r="B446" s="92" t="str">
        <f t="shared" si="6"/>
        <v>Wed</v>
      </c>
      <c r="C446" s="27" t="s">
        <v>95</v>
      </c>
      <c r="D446" s="89">
        <v>38.027889999999999</v>
      </c>
      <c r="E446" s="89">
        <v>-121.84636</v>
      </c>
      <c r="F446" s="27" t="s">
        <v>8137</v>
      </c>
      <c r="G446" s="27" t="s">
        <v>27</v>
      </c>
      <c r="H446" s="27" t="s">
        <v>95</v>
      </c>
      <c r="I446" s="84">
        <v>0.3263888888888889</v>
      </c>
      <c r="J446" s="82">
        <v>1596.6</v>
      </c>
      <c r="K446" s="82">
        <v>17.04</v>
      </c>
      <c r="L446" s="82">
        <v>14.960000000000003</v>
      </c>
      <c r="M446" s="82">
        <v>0.90399999999999991</v>
      </c>
      <c r="N446" s="4">
        <v>15.36</v>
      </c>
      <c r="O446" s="27" t="s">
        <v>48</v>
      </c>
      <c r="P446" s="27">
        <v>5</v>
      </c>
      <c r="Q446" s="27">
        <v>5</v>
      </c>
      <c r="R446" s="27" t="s">
        <v>49</v>
      </c>
      <c r="S446" s="27" t="s">
        <v>50</v>
      </c>
      <c r="T446" s="27" t="s">
        <v>50</v>
      </c>
      <c r="U446" s="27" t="s">
        <v>50</v>
      </c>
      <c r="V446" s="27" t="s">
        <v>50</v>
      </c>
      <c r="W446" s="27" t="s">
        <v>50</v>
      </c>
      <c r="X446" s="27" t="s">
        <v>50</v>
      </c>
      <c r="Y446" s="35" t="s">
        <v>8138</v>
      </c>
    </row>
    <row r="447" spans="1:25" s="27" customFormat="1" x14ac:dyDescent="0.25">
      <c r="A447" s="36">
        <v>43040</v>
      </c>
      <c r="B447" s="92" t="str">
        <f t="shared" si="6"/>
        <v>Wed</v>
      </c>
      <c r="C447" s="27" t="s">
        <v>95</v>
      </c>
      <c r="D447" s="89">
        <v>38.08522</v>
      </c>
      <c r="E447" s="89">
        <v>-121.64121</v>
      </c>
      <c r="F447" s="27" t="s">
        <v>8139</v>
      </c>
      <c r="G447" s="27" t="s">
        <v>46</v>
      </c>
      <c r="H447" s="27" t="s">
        <v>97</v>
      </c>
      <c r="I447" s="84">
        <v>0.3888888888888889</v>
      </c>
      <c r="J447" s="82">
        <v>127.76000000000002</v>
      </c>
      <c r="K447" s="82">
        <v>17.22</v>
      </c>
      <c r="L447" s="82">
        <v>6.5040000000000004</v>
      </c>
      <c r="M447" s="82">
        <v>1.8</v>
      </c>
      <c r="N447" s="4">
        <v>6.4799999999999995</v>
      </c>
      <c r="O447" s="27" t="s">
        <v>48</v>
      </c>
      <c r="P447" s="27">
        <v>5</v>
      </c>
      <c r="Q447" s="27">
        <v>5</v>
      </c>
      <c r="R447" s="27" t="s">
        <v>49</v>
      </c>
      <c r="S447" s="27" t="s">
        <v>50</v>
      </c>
      <c r="T447" s="27" t="s">
        <v>50</v>
      </c>
      <c r="U447" s="27" t="s">
        <v>50</v>
      </c>
      <c r="V447" s="27" t="s">
        <v>50</v>
      </c>
      <c r="W447" s="27" t="s">
        <v>50</v>
      </c>
      <c r="X447" s="27" t="s">
        <v>50</v>
      </c>
      <c r="Y447" s="35" t="s">
        <v>7934</v>
      </c>
    </row>
    <row r="448" spans="1:25" s="27" customFormat="1" x14ac:dyDescent="0.25">
      <c r="A448" s="36">
        <v>43040</v>
      </c>
      <c r="B448" s="92" t="str">
        <f t="shared" si="6"/>
        <v>Wed</v>
      </c>
      <c r="C448" s="27" t="s">
        <v>6849</v>
      </c>
      <c r="D448" s="89">
        <v>38.130229999999997</v>
      </c>
      <c r="E448" s="89">
        <v>-121.57776</v>
      </c>
      <c r="F448" s="27" t="s">
        <v>8140</v>
      </c>
      <c r="G448" s="27" t="s">
        <v>90</v>
      </c>
      <c r="H448" s="27" t="s">
        <v>6892</v>
      </c>
      <c r="I448" s="84">
        <v>0.3527777777777778</v>
      </c>
      <c r="J448" s="82">
        <v>104.35000000000001</v>
      </c>
      <c r="K448" s="82">
        <v>16.5</v>
      </c>
      <c r="L448" s="82">
        <v>3.4662500000000001</v>
      </c>
      <c r="M448" s="82">
        <v>1.8000000000000003</v>
      </c>
      <c r="N448" s="4">
        <v>5.3875000000000002</v>
      </c>
      <c r="O448" s="27" t="s">
        <v>48</v>
      </c>
      <c r="P448" s="27">
        <v>8</v>
      </c>
      <c r="Q448" s="27">
        <v>10</v>
      </c>
      <c r="R448" s="27" t="s">
        <v>49</v>
      </c>
      <c r="S448" s="27" t="s">
        <v>50</v>
      </c>
      <c r="T448" s="27" t="s">
        <v>50</v>
      </c>
      <c r="U448" s="27" t="s">
        <v>50</v>
      </c>
      <c r="V448" s="27" t="s">
        <v>50</v>
      </c>
      <c r="W448" s="27" t="s">
        <v>50</v>
      </c>
      <c r="X448" s="27" t="s">
        <v>50</v>
      </c>
      <c r="Y448" s="35" t="s">
        <v>7934</v>
      </c>
    </row>
    <row r="449" spans="1:25" s="27" customFormat="1" x14ac:dyDescent="0.25">
      <c r="A449" s="36">
        <v>43040</v>
      </c>
      <c r="B449" s="92" t="str">
        <f t="shared" si="6"/>
        <v>Wed</v>
      </c>
      <c r="C449" s="27" t="s">
        <v>6849</v>
      </c>
      <c r="D449" s="89">
        <v>38.399459999999998</v>
      </c>
      <c r="E449" s="89">
        <v>-121.51364</v>
      </c>
      <c r="F449" s="27" t="s">
        <v>8141</v>
      </c>
      <c r="G449" s="27" t="s">
        <v>90</v>
      </c>
      <c r="H449" s="27" t="s">
        <v>6851</v>
      </c>
      <c r="I449" s="84">
        <v>0.5395833333333333</v>
      </c>
      <c r="J449" s="82">
        <v>94.45</v>
      </c>
      <c r="K449" s="82">
        <v>15.999999999999998</v>
      </c>
      <c r="L449" s="82">
        <v>4.2712500000000002</v>
      </c>
      <c r="M449" s="82">
        <v>1.8000000000000003</v>
      </c>
      <c r="N449" s="4">
        <v>4.9375</v>
      </c>
      <c r="O449" s="27" t="s">
        <v>48</v>
      </c>
      <c r="P449" s="27">
        <v>8</v>
      </c>
      <c r="Q449" s="27">
        <v>10</v>
      </c>
      <c r="R449" s="27" t="s">
        <v>49</v>
      </c>
      <c r="S449" s="27" t="s">
        <v>50</v>
      </c>
      <c r="T449" s="27" t="s">
        <v>50</v>
      </c>
      <c r="U449" s="27" t="s">
        <v>50</v>
      </c>
      <c r="V449" s="27" t="s">
        <v>50</v>
      </c>
      <c r="W449" s="27" t="s">
        <v>50</v>
      </c>
      <c r="X449" s="27" t="s">
        <v>50</v>
      </c>
      <c r="Y449" s="35" t="s">
        <v>7934</v>
      </c>
    </row>
    <row r="450" spans="1:25" s="27" customFormat="1" x14ac:dyDescent="0.25">
      <c r="A450" s="36">
        <v>43040</v>
      </c>
      <c r="B450" s="92" t="str">
        <f t="shared" si="6"/>
        <v>Wed</v>
      </c>
      <c r="C450" s="27" t="s">
        <v>118</v>
      </c>
      <c r="D450" s="89">
        <v>38.059869999999997</v>
      </c>
      <c r="E450" s="89">
        <v>-122.32408</v>
      </c>
      <c r="F450" s="27" t="s">
        <v>8142</v>
      </c>
      <c r="G450" s="27" t="s">
        <v>80</v>
      </c>
      <c r="H450" s="27" t="s">
        <v>123</v>
      </c>
      <c r="I450" s="84">
        <v>0.36805555555555558</v>
      </c>
      <c r="J450" s="82">
        <v>27534.25</v>
      </c>
      <c r="K450" s="82">
        <v>16.024999999999999</v>
      </c>
      <c r="L450" s="82">
        <v>10.1875</v>
      </c>
      <c r="M450" s="82">
        <v>1.0287500000000001</v>
      </c>
      <c r="N450" s="4">
        <v>4.8950000000000005</v>
      </c>
      <c r="O450" s="27" t="s">
        <v>48</v>
      </c>
      <c r="P450" s="27">
        <v>8</v>
      </c>
      <c r="Q450" s="27">
        <v>10</v>
      </c>
      <c r="R450" s="27" t="s">
        <v>64</v>
      </c>
      <c r="S450" s="27" t="s">
        <v>50</v>
      </c>
      <c r="T450" s="27" t="s">
        <v>50</v>
      </c>
      <c r="U450" s="27" t="s">
        <v>50</v>
      </c>
      <c r="V450" s="27" t="s">
        <v>50</v>
      </c>
      <c r="W450" s="27" t="s">
        <v>50</v>
      </c>
      <c r="X450" s="27" t="s">
        <v>50</v>
      </c>
      <c r="Y450" s="35"/>
    </row>
    <row r="451" spans="1:25" s="27" customFormat="1" x14ac:dyDescent="0.25">
      <c r="A451" s="36">
        <v>43040</v>
      </c>
      <c r="B451" s="92" t="str">
        <f t="shared" si="6"/>
        <v>Wed</v>
      </c>
      <c r="C451" s="27" t="s">
        <v>118</v>
      </c>
      <c r="D451" s="89">
        <v>38.03989</v>
      </c>
      <c r="E451" s="89">
        <v>-122.28936</v>
      </c>
      <c r="F451" s="27" t="s">
        <v>8143</v>
      </c>
      <c r="G451" s="27" t="s">
        <v>80</v>
      </c>
      <c r="H451" s="27" t="s">
        <v>123</v>
      </c>
      <c r="I451" s="84">
        <v>0.47291666666666665</v>
      </c>
      <c r="J451" s="82">
        <v>30953.125</v>
      </c>
      <c r="K451" s="82">
        <v>15.8375</v>
      </c>
      <c r="L451" s="82">
        <v>19.587500000000002</v>
      </c>
      <c r="M451" s="82">
        <v>0.75750000000000006</v>
      </c>
      <c r="N451" s="4">
        <v>3.6662499999999993</v>
      </c>
      <c r="O451" s="27" t="s">
        <v>48</v>
      </c>
      <c r="P451" s="27">
        <v>8</v>
      </c>
      <c r="Q451" s="27">
        <v>10</v>
      </c>
      <c r="R451" s="27" t="s">
        <v>64</v>
      </c>
      <c r="S451" s="27" t="s">
        <v>50</v>
      </c>
      <c r="T451" s="27" t="s">
        <v>50</v>
      </c>
      <c r="U451" s="27" t="s">
        <v>50</v>
      </c>
      <c r="V451" s="27" t="s">
        <v>50</v>
      </c>
      <c r="W451" s="27" t="s">
        <v>50</v>
      </c>
      <c r="X451" s="27" t="s">
        <v>50</v>
      </c>
      <c r="Y451" s="35"/>
    </row>
    <row r="452" spans="1:25" s="27" customFormat="1" x14ac:dyDescent="0.25">
      <c r="A452" s="36">
        <v>43041</v>
      </c>
      <c r="B452" s="92" t="str">
        <f t="shared" ref="B452:B515" si="7">TEXT(A452,"ddd")</f>
        <v>Thu</v>
      </c>
      <c r="C452" s="27" t="s">
        <v>44</v>
      </c>
      <c r="D452" s="89">
        <v>37.999380000000002</v>
      </c>
      <c r="E452" s="89">
        <v>-121.5222</v>
      </c>
      <c r="F452" s="27" t="s">
        <v>8144</v>
      </c>
      <c r="G452" s="27" t="s">
        <v>46</v>
      </c>
      <c r="H452" s="27" t="s">
        <v>6939</v>
      </c>
      <c r="I452" s="84">
        <v>0.31736111111111115</v>
      </c>
      <c r="J452" s="82">
        <v>170.82499999999999</v>
      </c>
      <c r="K452" s="82">
        <v>17.237500000000001</v>
      </c>
      <c r="L452" s="82">
        <v>2.7512500000000002</v>
      </c>
      <c r="M452" s="82">
        <v>1.8</v>
      </c>
      <c r="N452" s="4">
        <v>5.2</v>
      </c>
      <c r="O452" s="27" t="s">
        <v>48</v>
      </c>
      <c r="P452" s="27">
        <v>8</v>
      </c>
      <c r="Q452" s="27">
        <v>10</v>
      </c>
      <c r="R452" s="27" t="s">
        <v>64</v>
      </c>
      <c r="S452" s="27" t="s">
        <v>50</v>
      </c>
      <c r="T452" s="27" t="s">
        <v>50</v>
      </c>
      <c r="U452" s="27" t="s">
        <v>50</v>
      </c>
      <c r="V452" s="27" t="s">
        <v>50</v>
      </c>
      <c r="W452" s="27" t="s">
        <v>50</v>
      </c>
      <c r="X452" s="27" t="s">
        <v>50</v>
      </c>
      <c r="Y452" s="35"/>
    </row>
    <row r="453" spans="1:25" s="27" customFormat="1" x14ac:dyDescent="0.25">
      <c r="A453" s="36">
        <v>43041</v>
      </c>
      <c r="B453" s="92" t="str">
        <f t="shared" si="7"/>
        <v>Thu</v>
      </c>
      <c r="C453" s="27" t="s">
        <v>44</v>
      </c>
      <c r="D453" s="89">
        <v>37.979570000000002</v>
      </c>
      <c r="E453" s="89">
        <v>-121.52461</v>
      </c>
      <c r="F453" s="27" t="s">
        <v>8145</v>
      </c>
      <c r="G453" s="27" t="s">
        <v>46</v>
      </c>
      <c r="H453" s="27" t="s">
        <v>6939</v>
      </c>
      <c r="I453" s="84">
        <v>0.41250000000000003</v>
      </c>
      <c r="J453" s="82">
        <v>195.91249999999999</v>
      </c>
      <c r="K453" s="82">
        <v>17.137499999999999</v>
      </c>
      <c r="L453" s="82">
        <v>2.8362500000000002</v>
      </c>
      <c r="M453" s="82">
        <v>1.8</v>
      </c>
      <c r="N453" s="4">
        <v>4.0125000000000002</v>
      </c>
      <c r="O453" s="27" t="s">
        <v>48</v>
      </c>
      <c r="P453" s="27">
        <v>8</v>
      </c>
      <c r="Q453" s="27">
        <v>10</v>
      </c>
      <c r="R453" s="27" t="s">
        <v>64</v>
      </c>
      <c r="S453" s="27" t="s">
        <v>50</v>
      </c>
      <c r="T453" s="27" t="s">
        <v>50</v>
      </c>
      <c r="U453" s="27" t="s">
        <v>50</v>
      </c>
      <c r="V453" s="27" t="s">
        <v>50</v>
      </c>
      <c r="W453" s="27" t="s">
        <v>50</v>
      </c>
      <c r="X453" s="27" t="s">
        <v>50</v>
      </c>
      <c r="Y453" s="35" t="s">
        <v>8146</v>
      </c>
    </row>
    <row r="454" spans="1:25" s="27" customFormat="1" x14ac:dyDescent="0.25">
      <c r="A454" s="36">
        <v>43041</v>
      </c>
      <c r="B454" s="92" t="str">
        <f t="shared" si="7"/>
        <v>Thu</v>
      </c>
      <c r="C454" s="27" t="s">
        <v>118</v>
      </c>
      <c r="D454" s="89">
        <v>38.046030000000002</v>
      </c>
      <c r="E454" s="89">
        <v>-122.10626000000001</v>
      </c>
      <c r="F454" s="27" t="s">
        <v>8147</v>
      </c>
      <c r="G454" s="27" t="s">
        <v>80</v>
      </c>
      <c r="H454" s="27" t="s">
        <v>81</v>
      </c>
      <c r="I454" s="84">
        <v>0.3215277777777778</v>
      </c>
      <c r="J454" s="82">
        <v>15110.88</v>
      </c>
      <c r="K454" s="82">
        <v>16.324999999999999</v>
      </c>
      <c r="L454" s="82">
        <v>15.362500000000001</v>
      </c>
      <c r="M454" s="82">
        <v>0.77749999999999997</v>
      </c>
      <c r="N454" s="4">
        <v>12.07375</v>
      </c>
      <c r="O454" s="27" t="s">
        <v>48</v>
      </c>
      <c r="P454" s="27">
        <v>8</v>
      </c>
      <c r="Q454" s="27">
        <v>10</v>
      </c>
      <c r="R454" s="27" t="s">
        <v>49</v>
      </c>
      <c r="S454" s="27" t="s">
        <v>50</v>
      </c>
      <c r="T454" s="27" t="s">
        <v>50</v>
      </c>
      <c r="U454" s="27" t="s">
        <v>50</v>
      </c>
      <c r="V454" s="27" t="s">
        <v>50</v>
      </c>
      <c r="W454" s="27" t="s">
        <v>50</v>
      </c>
      <c r="X454" s="27" t="s">
        <v>50</v>
      </c>
      <c r="Y454" s="35"/>
    </row>
    <row r="455" spans="1:25" s="27" customFormat="1" x14ac:dyDescent="0.25">
      <c r="A455" s="36">
        <v>43041</v>
      </c>
      <c r="B455" s="92" t="str">
        <f t="shared" si="7"/>
        <v>Thu</v>
      </c>
      <c r="C455" s="27" t="s">
        <v>118</v>
      </c>
      <c r="D455" s="89">
        <v>38.06711</v>
      </c>
      <c r="E455" s="89">
        <v>-122.09482</v>
      </c>
      <c r="F455" s="27" t="s">
        <v>8148</v>
      </c>
      <c r="G455" s="27" t="s">
        <v>80</v>
      </c>
      <c r="H455" s="27" t="s">
        <v>81</v>
      </c>
      <c r="I455" s="84">
        <v>0.44444444444444442</v>
      </c>
      <c r="J455" s="82">
        <v>18053.75</v>
      </c>
      <c r="K455" s="82">
        <v>16.537500000000001</v>
      </c>
      <c r="L455" s="82">
        <v>27.274999999999999</v>
      </c>
      <c r="M455" s="82">
        <v>0.57625000000000004</v>
      </c>
      <c r="N455" s="4">
        <v>8.7962500000000006</v>
      </c>
      <c r="O455" s="27" t="s">
        <v>48</v>
      </c>
      <c r="P455" s="27">
        <v>8</v>
      </c>
      <c r="Q455" s="27">
        <v>10</v>
      </c>
      <c r="R455" s="27" t="s">
        <v>64</v>
      </c>
      <c r="S455" s="27" t="s">
        <v>50</v>
      </c>
      <c r="T455" s="27" t="s">
        <v>50</v>
      </c>
      <c r="U455" s="27" t="s">
        <v>50</v>
      </c>
      <c r="V455" s="27" t="s">
        <v>50</v>
      </c>
      <c r="W455" s="27" t="s">
        <v>50</v>
      </c>
      <c r="X455" s="27" t="s">
        <v>50</v>
      </c>
      <c r="Y455" s="35"/>
    </row>
    <row r="456" spans="1:25" s="27" customFormat="1" x14ac:dyDescent="0.25">
      <c r="A456" s="36">
        <v>43041</v>
      </c>
      <c r="B456" s="92" t="str">
        <f t="shared" si="7"/>
        <v>Thu</v>
      </c>
      <c r="C456" s="27" t="s">
        <v>106</v>
      </c>
      <c r="D456" s="89">
        <v>38.390990000000002</v>
      </c>
      <c r="E456" s="89">
        <v>-121.62166999999999</v>
      </c>
      <c r="F456" s="27" t="s">
        <v>8149</v>
      </c>
      <c r="G456" s="27" t="s">
        <v>90</v>
      </c>
      <c r="H456" s="27" t="s">
        <v>7577</v>
      </c>
      <c r="I456" s="84">
        <v>0.33819444444444446</v>
      </c>
      <c r="J456" s="82">
        <v>382.8</v>
      </c>
      <c r="K456" s="82">
        <v>16.739999999999998</v>
      </c>
      <c r="L456" s="82">
        <v>33.340000000000003</v>
      </c>
      <c r="M456" s="82">
        <v>0.42399999999999999</v>
      </c>
      <c r="N456" s="4">
        <v>9.8000000000000007</v>
      </c>
      <c r="O456" s="27" t="s">
        <v>48</v>
      </c>
      <c r="P456" s="27">
        <v>5</v>
      </c>
      <c r="Q456" s="27">
        <v>5</v>
      </c>
      <c r="R456" s="27" t="s">
        <v>49</v>
      </c>
      <c r="S456" s="27" t="s">
        <v>50</v>
      </c>
      <c r="T456" s="27" t="s">
        <v>50</v>
      </c>
      <c r="U456" s="27" t="s">
        <v>50</v>
      </c>
      <c r="V456" s="27" t="s">
        <v>50</v>
      </c>
      <c r="W456" s="27" t="s">
        <v>50</v>
      </c>
      <c r="X456" s="27" t="s">
        <v>50</v>
      </c>
      <c r="Y456" s="35" t="s">
        <v>7934</v>
      </c>
    </row>
    <row r="457" spans="1:25" s="108" customFormat="1" ht="15.75" thickBot="1" x14ac:dyDescent="0.3">
      <c r="A457" s="117">
        <v>43041</v>
      </c>
      <c r="B457" s="107" t="str">
        <f t="shared" si="7"/>
        <v>Thu</v>
      </c>
      <c r="C457" s="108" t="s">
        <v>106</v>
      </c>
      <c r="D457" s="109">
        <v>38.448900000000002</v>
      </c>
      <c r="E457" s="109">
        <v>-121.59509</v>
      </c>
      <c r="F457" s="108" t="s">
        <v>8150</v>
      </c>
      <c r="G457" s="108" t="s">
        <v>90</v>
      </c>
      <c r="H457" s="108" t="s">
        <v>7577</v>
      </c>
      <c r="I457" s="110">
        <v>0.40763888888888888</v>
      </c>
      <c r="J457" s="111">
        <v>510.8</v>
      </c>
      <c r="K457" s="111">
        <v>17</v>
      </c>
      <c r="L457" s="111">
        <v>31.52</v>
      </c>
      <c r="M457" s="111">
        <v>0.51400000000000001</v>
      </c>
      <c r="N457" s="112">
        <v>9.4</v>
      </c>
      <c r="O457" s="108" t="s">
        <v>48</v>
      </c>
      <c r="P457" s="108">
        <v>5</v>
      </c>
      <c r="Q457" s="108">
        <v>5</v>
      </c>
      <c r="R457" s="108" t="s">
        <v>49</v>
      </c>
      <c r="S457" s="108" t="s">
        <v>50</v>
      </c>
      <c r="T457" s="108" t="s">
        <v>50</v>
      </c>
      <c r="U457" s="108" t="s">
        <v>50</v>
      </c>
      <c r="V457" s="108" t="s">
        <v>50</v>
      </c>
      <c r="W457" s="108" t="s">
        <v>50</v>
      </c>
      <c r="X457" s="108" t="s">
        <v>50</v>
      </c>
      <c r="Y457" s="113" t="s">
        <v>7934</v>
      </c>
    </row>
    <row r="458" spans="1:25" s="27" customFormat="1" ht="15.75" thickTop="1" x14ac:dyDescent="0.25">
      <c r="A458" s="29">
        <v>43045</v>
      </c>
      <c r="B458" s="92" t="str">
        <f t="shared" si="7"/>
        <v>Mon</v>
      </c>
      <c r="C458" s="27" t="s">
        <v>95</v>
      </c>
      <c r="D458" s="89">
        <v>38.02854</v>
      </c>
      <c r="E458" s="89">
        <v>-121.82813</v>
      </c>
      <c r="F458" s="27" t="s">
        <v>8151</v>
      </c>
      <c r="G458" s="27" t="s">
        <v>27</v>
      </c>
      <c r="H458" s="27" t="s">
        <v>95</v>
      </c>
      <c r="I458" s="84">
        <v>0.34027777777777773</v>
      </c>
      <c r="J458" s="82">
        <v>2166.4</v>
      </c>
      <c r="K458" s="82">
        <v>15.7</v>
      </c>
      <c r="L458" s="82">
        <v>15.38</v>
      </c>
      <c r="M458" s="82">
        <v>0.74199999999999999</v>
      </c>
      <c r="N458" s="4">
        <v>16.240000000000002</v>
      </c>
      <c r="O458" s="27" t="s">
        <v>48</v>
      </c>
      <c r="P458" s="27">
        <v>5</v>
      </c>
      <c r="Q458" s="27">
        <v>5</v>
      </c>
      <c r="R458" s="27" t="s">
        <v>49</v>
      </c>
      <c r="S458" s="27" t="s">
        <v>50</v>
      </c>
      <c r="T458" s="27" t="s">
        <v>50</v>
      </c>
      <c r="U458" s="27" t="s">
        <v>50</v>
      </c>
      <c r="V458" s="27" t="s">
        <v>50</v>
      </c>
      <c r="W458" s="27" t="s">
        <v>50</v>
      </c>
      <c r="X458" s="27" t="s">
        <v>50</v>
      </c>
      <c r="Y458" s="35"/>
    </row>
    <row r="459" spans="1:25" s="27" customFormat="1" x14ac:dyDescent="0.25">
      <c r="A459" s="36">
        <v>43045</v>
      </c>
      <c r="B459" s="92" t="str">
        <f t="shared" si="7"/>
        <v>Mon</v>
      </c>
      <c r="C459" s="27" t="s">
        <v>95</v>
      </c>
      <c r="D459" s="89">
        <v>38.024979999999999</v>
      </c>
      <c r="E459" s="89">
        <v>-121.77983</v>
      </c>
      <c r="F459" s="27" t="s">
        <v>8152</v>
      </c>
      <c r="G459" s="27" t="s">
        <v>27</v>
      </c>
      <c r="H459" s="27" t="s">
        <v>95</v>
      </c>
      <c r="I459" s="84">
        <v>0.38611111111111113</v>
      </c>
      <c r="J459" s="82">
        <v>828</v>
      </c>
      <c r="K459" s="82">
        <v>15.9</v>
      </c>
      <c r="L459" s="82">
        <v>16.02</v>
      </c>
      <c r="M459" s="82">
        <v>0.76600000000000001</v>
      </c>
      <c r="N459" s="4">
        <v>11.8</v>
      </c>
      <c r="O459" s="27" t="s">
        <v>48</v>
      </c>
      <c r="P459" s="27">
        <v>5</v>
      </c>
      <c r="Q459" s="27">
        <v>5</v>
      </c>
      <c r="R459" s="27" t="s">
        <v>49</v>
      </c>
      <c r="S459" s="27" t="s">
        <v>50</v>
      </c>
      <c r="T459" s="27" t="s">
        <v>50</v>
      </c>
      <c r="U459" s="27" t="s">
        <v>50</v>
      </c>
      <c r="V459" s="27" t="s">
        <v>50</v>
      </c>
      <c r="W459" s="27" t="s">
        <v>50</v>
      </c>
      <c r="X459" s="27" t="s">
        <v>50</v>
      </c>
      <c r="Y459" s="35" t="s">
        <v>8009</v>
      </c>
    </row>
    <row r="460" spans="1:25" s="27" customFormat="1" x14ac:dyDescent="0.25">
      <c r="A460" s="36">
        <v>43045</v>
      </c>
      <c r="B460" s="92" t="str">
        <f t="shared" si="7"/>
        <v>Mon</v>
      </c>
      <c r="C460" s="27" t="s">
        <v>7570</v>
      </c>
      <c r="D460" s="89">
        <v>38.09836</v>
      </c>
      <c r="E460" s="89">
        <v>-122.06704999999999</v>
      </c>
      <c r="F460" s="27" t="s">
        <v>8153</v>
      </c>
      <c r="G460" s="27" t="s">
        <v>27</v>
      </c>
      <c r="H460" s="27" t="s">
        <v>86</v>
      </c>
      <c r="I460" s="84">
        <v>0.37013888888888885</v>
      </c>
      <c r="J460" s="82">
        <v>11352</v>
      </c>
      <c r="K460" s="82">
        <v>15</v>
      </c>
      <c r="L460" s="82">
        <v>56.54</v>
      </c>
      <c r="M460" s="82">
        <v>0.29400000000000004</v>
      </c>
      <c r="N460" s="4">
        <v>3.1599999999999993</v>
      </c>
      <c r="O460" s="27" t="s">
        <v>48</v>
      </c>
      <c r="P460" s="27">
        <v>5</v>
      </c>
      <c r="Q460" s="27">
        <v>5</v>
      </c>
      <c r="R460" s="27" t="s">
        <v>49</v>
      </c>
      <c r="S460" s="27" t="s">
        <v>31</v>
      </c>
      <c r="T460" s="27">
        <v>1</v>
      </c>
      <c r="U460" s="27">
        <v>70</v>
      </c>
      <c r="V460" s="27" t="s">
        <v>66</v>
      </c>
      <c r="W460" s="27" t="s">
        <v>50</v>
      </c>
      <c r="X460" s="27" t="s">
        <v>50</v>
      </c>
      <c r="Y460" s="35"/>
    </row>
    <row r="461" spans="1:25" s="27" customFormat="1" x14ac:dyDescent="0.25">
      <c r="A461" s="36">
        <v>43045</v>
      </c>
      <c r="B461" s="92" t="str">
        <f t="shared" si="7"/>
        <v>Mon</v>
      </c>
      <c r="C461" s="27" t="s">
        <v>7570</v>
      </c>
      <c r="D461" s="89">
        <v>38.060549999999999</v>
      </c>
      <c r="E461" s="89">
        <v>-122.04533000000001</v>
      </c>
      <c r="F461" s="27" t="s">
        <v>8154</v>
      </c>
      <c r="G461" s="27" t="s">
        <v>27</v>
      </c>
      <c r="H461" s="27" t="s">
        <v>86</v>
      </c>
      <c r="I461" s="84">
        <v>0.43472222222222223</v>
      </c>
      <c r="J461" s="82">
        <v>10390</v>
      </c>
      <c r="K461" s="82">
        <v>15.64</v>
      </c>
      <c r="L461" s="82">
        <v>13.545999999999998</v>
      </c>
      <c r="M461" s="82">
        <v>0.63200000000000001</v>
      </c>
      <c r="N461" s="4">
        <v>8.9199999999999982</v>
      </c>
      <c r="O461" s="27" t="s">
        <v>48</v>
      </c>
      <c r="P461" s="27">
        <v>5</v>
      </c>
      <c r="Q461" s="27">
        <v>5</v>
      </c>
      <c r="R461" s="27" t="s">
        <v>49</v>
      </c>
      <c r="S461" s="27" t="s">
        <v>50</v>
      </c>
      <c r="T461" s="27" t="s">
        <v>50</v>
      </c>
      <c r="U461" s="27" t="s">
        <v>50</v>
      </c>
      <c r="V461" s="27" t="s">
        <v>50</v>
      </c>
      <c r="W461" s="27" t="s">
        <v>50</v>
      </c>
      <c r="X461" s="27" t="s">
        <v>50</v>
      </c>
      <c r="Y461" s="35"/>
    </row>
    <row r="462" spans="1:25" s="27" customFormat="1" x14ac:dyDescent="0.25">
      <c r="A462" s="36">
        <v>43045</v>
      </c>
      <c r="B462" s="92" t="str">
        <f t="shared" si="7"/>
        <v>Mon</v>
      </c>
      <c r="C462" s="27" t="s">
        <v>6849</v>
      </c>
      <c r="D462" s="89">
        <v>38.164479999999998</v>
      </c>
      <c r="E462" s="89">
        <v>-121.62038</v>
      </c>
      <c r="F462" s="27" t="s">
        <v>8155</v>
      </c>
      <c r="G462" s="27" t="s">
        <v>90</v>
      </c>
      <c r="H462" s="27" t="s">
        <v>6892</v>
      </c>
      <c r="I462" s="84">
        <v>0.32916666666666666</v>
      </c>
      <c r="J462" s="82">
        <v>111.28749999999999</v>
      </c>
      <c r="K462" s="82">
        <v>14.524999999999999</v>
      </c>
      <c r="L462" s="82">
        <v>6.7749999999999995</v>
      </c>
      <c r="M462" s="82">
        <v>1.8000000000000003</v>
      </c>
      <c r="N462" s="4">
        <v>4.4000000000000004</v>
      </c>
      <c r="O462" s="27" t="s">
        <v>48</v>
      </c>
      <c r="P462" s="27">
        <v>8</v>
      </c>
      <c r="Q462" s="27">
        <v>10</v>
      </c>
      <c r="R462" s="27" t="s">
        <v>49</v>
      </c>
      <c r="S462" s="27" t="s">
        <v>50</v>
      </c>
      <c r="T462" s="27" t="s">
        <v>50</v>
      </c>
      <c r="U462" s="27" t="s">
        <v>50</v>
      </c>
      <c r="V462" s="27" t="s">
        <v>50</v>
      </c>
      <c r="W462" s="27" t="s">
        <v>50</v>
      </c>
      <c r="X462" s="27" t="s">
        <v>50</v>
      </c>
      <c r="Y462" s="35"/>
    </row>
    <row r="463" spans="1:25" s="27" customFormat="1" x14ac:dyDescent="0.25">
      <c r="A463" s="36">
        <v>43045</v>
      </c>
      <c r="B463" s="92" t="str">
        <f t="shared" si="7"/>
        <v>Mon</v>
      </c>
      <c r="C463" s="27" t="s">
        <v>6849</v>
      </c>
      <c r="D463" s="89">
        <v>38.466670000000001</v>
      </c>
      <c r="E463" s="89">
        <v>-121.5044</v>
      </c>
      <c r="F463" s="27" t="s">
        <v>8156</v>
      </c>
      <c r="G463" s="27" t="s">
        <v>90</v>
      </c>
      <c r="H463" s="27" t="s">
        <v>6851</v>
      </c>
      <c r="I463" s="84">
        <v>0.4861111111111111</v>
      </c>
      <c r="J463" s="82">
        <v>101.75</v>
      </c>
      <c r="K463" s="82">
        <v>13.887500000000003</v>
      </c>
      <c r="L463" s="82">
        <v>12.637499999999999</v>
      </c>
      <c r="M463" s="82">
        <v>1.8000000000000003</v>
      </c>
      <c r="N463" s="4">
        <v>8.4125000000000014</v>
      </c>
      <c r="O463" s="27" t="s">
        <v>48</v>
      </c>
      <c r="P463" s="27">
        <v>8</v>
      </c>
      <c r="Q463" s="27">
        <v>10</v>
      </c>
      <c r="R463" s="27" t="s">
        <v>49</v>
      </c>
      <c r="S463" s="27" t="s">
        <v>50</v>
      </c>
      <c r="T463" s="27" t="s">
        <v>50</v>
      </c>
      <c r="U463" s="27" t="s">
        <v>50</v>
      </c>
      <c r="V463" s="27" t="s">
        <v>50</v>
      </c>
      <c r="W463" s="27" t="s">
        <v>50</v>
      </c>
      <c r="X463" s="27" t="s">
        <v>50</v>
      </c>
      <c r="Y463" s="35"/>
    </row>
    <row r="464" spans="1:25" s="27" customFormat="1" x14ac:dyDescent="0.25">
      <c r="A464" s="36">
        <v>43046</v>
      </c>
      <c r="B464" s="92" t="str">
        <f t="shared" si="7"/>
        <v>Tue</v>
      </c>
      <c r="C464" s="27" t="s">
        <v>845</v>
      </c>
      <c r="D464" s="89">
        <v>38.340589999999999</v>
      </c>
      <c r="E464" s="89">
        <v>-121.64454000000001</v>
      </c>
      <c r="F464" s="27" t="s">
        <v>8157</v>
      </c>
      <c r="G464" s="27" t="s">
        <v>90</v>
      </c>
      <c r="H464" s="27" t="s">
        <v>6935</v>
      </c>
      <c r="I464" s="84">
        <v>0.32083333333333336</v>
      </c>
      <c r="J464" s="82">
        <v>203.28</v>
      </c>
      <c r="K464" s="82">
        <v>15.66</v>
      </c>
      <c r="L464" s="82">
        <v>19.62</v>
      </c>
      <c r="M464" s="82">
        <v>0.81799999999999995</v>
      </c>
      <c r="N464" s="4">
        <v>4.84</v>
      </c>
      <c r="O464" s="27" t="s">
        <v>48</v>
      </c>
      <c r="P464" s="27">
        <v>5</v>
      </c>
      <c r="Q464" s="27">
        <v>5</v>
      </c>
      <c r="R464" s="27" t="s">
        <v>49</v>
      </c>
      <c r="S464" s="27" t="s">
        <v>50</v>
      </c>
      <c r="T464" s="27" t="s">
        <v>50</v>
      </c>
      <c r="U464" s="27" t="s">
        <v>50</v>
      </c>
      <c r="V464" s="27" t="s">
        <v>50</v>
      </c>
      <c r="W464" s="27" t="s">
        <v>50</v>
      </c>
      <c r="X464" s="27" t="s">
        <v>50</v>
      </c>
      <c r="Y464" s="35"/>
    </row>
    <row r="465" spans="1:25" s="149" customFormat="1" x14ac:dyDescent="0.25">
      <c r="A465" s="160">
        <v>43046</v>
      </c>
      <c r="B465" s="148" t="str">
        <f t="shared" si="7"/>
        <v>Tue</v>
      </c>
      <c r="C465" s="149" t="s">
        <v>845</v>
      </c>
      <c r="D465" s="150">
        <v>38.289529999999999</v>
      </c>
      <c r="E465" s="150">
        <v>-121.66453</v>
      </c>
      <c r="F465" s="149" t="s">
        <v>8158</v>
      </c>
      <c r="G465" s="149" t="s">
        <v>90</v>
      </c>
      <c r="H465" s="149" t="s">
        <v>6935</v>
      </c>
      <c r="I465" s="151">
        <v>0.38194444444444442</v>
      </c>
      <c r="J465" s="163" t="s">
        <v>50</v>
      </c>
      <c r="K465" s="163" t="s">
        <v>50</v>
      </c>
      <c r="L465" s="163" t="s">
        <v>50</v>
      </c>
      <c r="M465" s="163" t="s">
        <v>50</v>
      </c>
      <c r="N465" s="163" t="s">
        <v>50</v>
      </c>
      <c r="O465" s="161" t="s">
        <v>48</v>
      </c>
      <c r="P465" s="161">
        <v>0</v>
      </c>
      <c r="Q465" s="161" t="s">
        <v>50</v>
      </c>
      <c r="R465" s="161" t="s">
        <v>50</v>
      </c>
      <c r="S465" s="161" t="s">
        <v>50</v>
      </c>
      <c r="T465" s="164" t="s">
        <v>50</v>
      </c>
      <c r="U465" s="164" t="s">
        <v>50</v>
      </c>
      <c r="V465" s="161" t="s">
        <v>50</v>
      </c>
      <c r="W465" s="161" t="s">
        <v>50</v>
      </c>
      <c r="X465" s="161" t="s">
        <v>50</v>
      </c>
      <c r="Y465" s="152" t="s">
        <v>734</v>
      </c>
    </row>
    <row r="466" spans="1:25" s="27" customFormat="1" x14ac:dyDescent="0.25">
      <c r="A466" s="36">
        <v>43046</v>
      </c>
      <c r="B466" s="92" t="str">
        <f t="shared" si="7"/>
        <v>Tue</v>
      </c>
      <c r="C466" s="27" t="s">
        <v>845</v>
      </c>
      <c r="D466" s="89">
        <v>38.244129999999998</v>
      </c>
      <c r="E466" s="89">
        <v>-121.68835</v>
      </c>
      <c r="F466" s="27" t="s">
        <v>8159</v>
      </c>
      <c r="G466" s="27" t="s">
        <v>90</v>
      </c>
      <c r="H466" s="27" t="s">
        <v>6935</v>
      </c>
      <c r="I466" s="84">
        <v>0.39513888888888887</v>
      </c>
      <c r="J466" s="82">
        <v>108.06</v>
      </c>
      <c r="K466" s="82">
        <v>14.7</v>
      </c>
      <c r="L466" s="82">
        <v>12.102</v>
      </c>
      <c r="M466" s="82">
        <v>1.8</v>
      </c>
      <c r="N466" s="4">
        <v>7.12</v>
      </c>
      <c r="O466" s="27" t="s">
        <v>48</v>
      </c>
      <c r="P466" s="27">
        <v>5</v>
      </c>
      <c r="Q466" s="27">
        <v>5</v>
      </c>
      <c r="R466" s="27" t="s">
        <v>49</v>
      </c>
      <c r="S466" s="32" t="s">
        <v>50</v>
      </c>
      <c r="T466" s="81" t="s">
        <v>50</v>
      </c>
      <c r="U466" s="81" t="s">
        <v>50</v>
      </c>
      <c r="V466" s="32" t="s">
        <v>50</v>
      </c>
      <c r="W466" s="32" t="s">
        <v>50</v>
      </c>
      <c r="X466" s="32" t="s">
        <v>50</v>
      </c>
      <c r="Y466" s="35"/>
    </row>
    <row r="467" spans="1:25" s="27" customFormat="1" x14ac:dyDescent="0.25">
      <c r="A467" s="36">
        <v>43046</v>
      </c>
      <c r="B467" s="92" t="str">
        <f t="shared" si="7"/>
        <v>Tue</v>
      </c>
      <c r="C467" s="27" t="s">
        <v>44</v>
      </c>
      <c r="D467" s="89">
        <v>38.200769999999999</v>
      </c>
      <c r="E467" s="89">
        <v>-121.52327</v>
      </c>
      <c r="F467" s="27" t="s">
        <v>8160</v>
      </c>
      <c r="G467" s="27" t="s">
        <v>46</v>
      </c>
      <c r="H467" s="27" t="s">
        <v>6881</v>
      </c>
      <c r="I467" s="84">
        <v>0.33263888888888887</v>
      </c>
      <c r="J467" s="82">
        <v>101.4875</v>
      </c>
      <c r="K467" s="82">
        <v>14.3375</v>
      </c>
      <c r="L467" s="82">
        <v>4.4162499999999998</v>
      </c>
      <c r="M467" s="82">
        <v>1.9</v>
      </c>
      <c r="N467" s="4">
        <v>4.8875000000000002</v>
      </c>
      <c r="O467" s="27" t="s">
        <v>48</v>
      </c>
      <c r="P467" s="27">
        <v>8</v>
      </c>
      <c r="Q467" s="27">
        <v>10</v>
      </c>
      <c r="R467" s="27" t="s">
        <v>64</v>
      </c>
      <c r="S467" s="32" t="s">
        <v>50</v>
      </c>
      <c r="T467" s="81" t="s">
        <v>50</v>
      </c>
      <c r="U467" s="81" t="s">
        <v>50</v>
      </c>
      <c r="V467" s="32" t="s">
        <v>50</v>
      </c>
      <c r="W467" s="32" t="s">
        <v>50</v>
      </c>
      <c r="X467" s="32" t="s">
        <v>50</v>
      </c>
      <c r="Y467" s="35"/>
    </row>
    <row r="468" spans="1:25" s="27" customFormat="1" x14ac:dyDescent="0.25">
      <c r="A468" s="36">
        <v>43046</v>
      </c>
      <c r="B468" s="92" t="str">
        <f t="shared" si="7"/>
        <v>Tue</v>
      </c>
      <c r="C468" s="27" t="s">
        <v>44</v>
      </c>
      <c r="D468" s="89">
        <v>38.117170000000002</v>
      </c>
      <c r="E468" s="89">
        <v>-121.54121000000001</v>
      </c>
      <c r="F468" s="27" t="s">
        <v>8161</v>
      </c>
      <c r="G468" s="27" t="s">
        <v>46</v>
      </c>
      <c r="H468" s="27" t="s">
        <v>6881</v>
      </c>
      <c r="I468" s="84">
        <v>0.45694444444444443</v>
      </c>
      <c r="J468" s="82">
        <v>101.65</v>
      </c>
      <c r="K468" s="82">
        <v>14.775</v>
      </c>
      <c r="L468" s="82">
        <v>1.8825000000000001</v>
      </c>
      <c r="M468" s="82">
        <v>1.9</v>
      </c>
      <c r="N468" s="4">
        <v>5.9375</v>
      </c>
      <c r="O468" s="27" t="s">
        <v>48</v>
      </c>
      <c r="P468" s="27">
        <v>8</v>
      </c>
      <c r="Q468" s="27">
        <v>10</v>
      </c>
      <c r="R468" s="27" t="s">
        <v>49</v>
      </c>
      <c r="S468" s="32" t="s">
        <v>50</v>
      </c>
      <c r="T468" s="81" t="s">
        <v>50</v>
      </c>
      <c r="U468" s="81" t="s">
        <v>50</v>
      </c>
      <c r="V468" s="32" t="s">
        <v>50</v>
      </c>
      <c r="W468" s="32" t="s">
        <v>50</v>
      </c>
      <c r="X468" s="32" t="s">
        <v>50</v>
      </c>
      <c r="Y468" s="35" t="s">
        <v>8162</v>
      </c>
    </row>
    <row r="469" spans="1:25" s="27" customFormat="1" x14ac:dyDescent="0.25">
      <c r="A469" s="36">
        <v>43046</v>
      </c>
      <c r="B469" s="92" t="str">
        <f t="shared" si="7"/>
        <v>Tue</v>
      </c>
      <c r="C469" s="27" t="s">
        <v>118</v>
      </c>
      <c r="D469" s="89">
        <v>38.107500000000002</v>
      </c>
      <c r="E469" s="89">
        <v>-122.27213999999999</v>
      </c>
      <c r="F469" s="27" t="s">
        <v>8163</v>
      </c>
      <c r="G469" s="27" t="s">
        <v>80</v>
      </c>
      <c r="H469" s="27" t="s">
        <v>191</v>
      </c>
      <c r="I469" s="84">
        <v>0.40277777777777773</v>
      </c>
      <c r="J469" s="82">
        <v>21072.17</v>
      </c>
      <c r="K469" s="82">
        <v>14.866669999999999</v>
      </c>
      <c r="L469" s="82">
        <v>34.866669999999999</v>
      </c>
      <c r="M469" s="82">
        <v>0.38333299999999998</v>
      </c>
      <c r="N469" s="4">
        <v>9.9333329999999993</v>
      </c>
      <c r="O469" s="27" t="s">
        <v>48</v>
      </c>
      <c r="P469" s="27">
        <v>6</v>
      </c>
      <c r="Q469" s="27">
        <v>10</v>
      </c>
      <c r="R469" s="27" t="s">
        <v>64</v>
      </c>
      <c r="S469" s="32" t="s">
        <v>50</v>
      </c>
      <c r="T469" s="81" t="s">
        <v>50</v>
      </c>
      <c r="U469" s="81" t="s">
        <v>50</v>
      </c>
      <c r="V469" s="32" t="s">
        <v>50</v>
      </c>
      <c r="W469" s="32" t="s">
        <v>50</v>
      </c>
      <c r="X469" s="32" t="s">
        <v>50</v>
      </c>
      <c r="Y469" s="35" t="s">
        <v>8164</v>
      </c>
    </row>
    <row r="470" spans="1:25" s="27" customFormat="1" x14ac:dyDescent="0.25">
      <c r="A470" s="36">
        <v>43046</v>
      </c>
      <c r="B470" s="92" t="str">
        <f t="shared" si="7"/>
        <v>Tue</v>
      </c>
      <c r="C470" s="27" t="s">
        <v>118</v>
      </c>
      <c r="D470" s="89">
        <v>38.139699999999998</v>
      </c>
      <c r="E470" s="89">
        <v>-122.28137</v>
      </c>
      <c r="F470" s="27" t="s">
        <v>8165</v>
      </c>
      <c r="G470" s="27" t="s">
        <v>80</v>
      </c>
      <c r="H470" s="27" t="s">
        <v>191</v>
      </c>
      <c r="I470" s="84">
        <v>0.52500000000000002</v>
      </c>
      <c r="J470" s="82">
        <v>21639.25</v>
      </c>
      <c r="K470" s="82">
        <v>15.362500000000001</v>
      </c>
      <c r="L470" s="82">
        <v>54.3125</v>
      </c>
      <c r="M470" s="82">
        <v>0.28625</v>
      </c>
      <c r="N470" s="4">
        <v>10.262499999999999</v>
      </c>
      <c r="O470" s="27" t="s">
        <v>48</v>
      </c>
      <c r="P470" s="27">
        <v>8</v>
      </c>
      <c r="Q470" s="27">
        <v>10</v>
      </c>
      <c r="R470" s="27" t="s">
        <v>64</v>
      </c>
      <c r="S470" s="27" t="s">
        <v>31</v>
      </c>
      <c r="T470" s="27">
        <v>1</v>
      </c>
      <c r="U470" s="27">
        <v>71</v>
      </c>
      <c r="V470" s="27" t="s">
        <v>66</v>
      </c>
      <c r="W470" s="27" t="s">
        <v>50</v>
      </c>
      <c r="X470" s="27" t="s">
        <v>50</v>
      </c>
      <c r="Y470" s="35"/>
    </row>
    <row r="471" spans="1:25" s="27" customFormat="1" x14ac:dyDescent="0.25">
      <c r="A471" s="36">
        <v>43047</v>
      </c>
      <c r="B471" s="92" t="str">
        <f t="shared" si="7"/>
        <v>Wed</v>
      </c>
      <c r="C471" s="27" t="s">
        <v>118</v>
      </c>
      <c r="D471" s="89">
        <v>38.058129999999998</v>
      </c>
      <c r="E471" s="89">
        <v>-122.30095</v>
      </c>
      <c r="F471" s="27" t="s">
        <v>8166</v>
      </c>
      <c r="G471" s="27" t="s">
        <v>80</v>
      </c>
      <c r="H471" s="27" t="s">
        <v>123</v>
      </c>
      <c r="I471" s="84">
        <v>0.32847222222222222</v>
      </c>
      <c r="J471" s="82">
        <v>26865.625</v>
      </c>
      <c r="K471" s="82">
        <v>14.812500000000002</v>
      </c>
      <c r="L471" s="82">
        <v>16.100000000000001</v>
      </c>
      <c r="M471" s="82">
        <v>0.57000000000000006</v>
      </c>
      <c r="N471" s="4">
        <v>7.3749999999999991</v>
      </c>
      <c r="O471" s="27" t="s">
        <v>48</v>
      </c>
      <c r="P471" s="27">
        <v>8</v>
      </c>
      <c r="Q471" s="27">
        <v>10</v>
      </c>
      <c r="R471" s="27" t="s">
        <v>49</v>
      </c>
      <c r="S471" s="27" t="s">
        <v>50</v>
      </c>
      <c r="T471" s="27" t="s">
        <v>50</v>
      </c>
      <c r="U471" s="27" t="s">
        <v>50</v>
      </c>
      <c r="V471" s="27" t="s">
        <v>50</v>
      </c>
      <c r="W471" s="27" t="s">
        <v>50</v>
      </c>
      <c r="X471" s="27" t="s">
        <v>50</v>
      </c>
      <c r="Y471" s="35"/>
    </row>
    <row r="472" spans="1:25" s="27" customFormat="1" x14ac:dyDescent="0.25">
      <c r="A472" s="36">
        <v>43047</v>
      </c>
      <c r="B472" s="92" t="str">
        <f t="shared" si="7"/>
        <v>Wed</v>
      </c>
      <c r="C472" s="27" t="s">
        <v>118</v>
      </c>
      <c r="D472" s="89">
        <v>38.062190000000001</v>
      </c>
      <c r="E472" s="89">
        <v>-122.31061</v>
      </c>
      <c r="F472" s="27" t="s">
        <v>8167</v>
      </c>
      <c r="G472" s="27" t="s">
        <v>80</v>
      </c>
      <c r="H472" s="27" t="s">
        <v>123</v>
      </c>
      <c r="I472" s="84">
        <v>0.44305555555555554</v>
      </c>
      <c r="J472" s="82">
        <v>25231.25</v>
      </c>
      <c r="K472" s="82">
        <v>15.05</v>
      </c>
      <c r="L472" s="82">
        <v>24.933333333333334</v>
      </c>
      <c r="M472" s="82">
        <v>0.53749999999999998</v>
      </c>
      <c r="N472" s="4">
        <v>4.9875000000000007</v>
      </c>
      <c r="O472" s="27" t="s">
        <v>48</v>
      </c>
      <c r="P472" s="27">
        <v>8</v>
      </c>
      <c r="Q472" s="27">
        <v>10</v>
      </c>
      <c r="R472" s="27" t="s">
        <v>49</v>
      </c>
      <c r="S472" s="27" t="s">
        <v>50</v>
      </c>
      <c r="T472" s="27" t="s">
        <v>50</v>
      </c>
      <c r="U472" s="27" t="s">
        <v>50</v>
      </c>
      <c r="V472" s="27" t="s">
        <v>50</v>
      </c>
      <c r="W472" s="27" t="s">
        <v>50</v>
      </c>
      <c r="X472" s="27" t="s">
        <v>50</v>
      </c>
      <c r="Y472" s="35"/>
    </row>
    <row r="473" spans="1:25" s="27" customFormat="1" x14ac:dyDescent="0.25">
      <c r="A473" s="36">
        <v>43047</v>
      </c>
      <c r="B473" s="92" t="str">
        <f t="shared" si="7"/>
        <v>Wed</v>
      </c>
      <c r="C473" s="27" t="s">
        <v>44</v>
      </c>
      <c r="D473" s="89">
        <v>38.032710000000002</v>
      </c>
      <c r="E473" s="89">
        <v>-121.48126999999999</v>
      </c>
      <c r="F473" s="27" t="s">
        <v>8168</v>
      </c>
      <c r="G473" s="27" t="s">
        <v>46</v>
      </c>
      <c r="H473" s="27" t="s">
        <v>6840</v>
      </c>
      <c r="I473" s="84">
        <v>0.3215277777777778</v>
      </c>
      <c r="J473" s="82">
        <v>193.85</v>
      </c>
      <c r="K473" s="82">
        <v>15.487499999999997</v>
      </c>
      <c r="L473" s="82">
        <v>4.7787500000000005</v>
      </c>
      <c r="M473" s="82">
        <v>1.7900000000000003</v>
      </c>
      <c r="N473" s="4">
        <v>10.7875</v>
      </c>
      <c r="O473" s="27" t="s">
        <v>48</v>
      </c>
      <c r="P473" s="27">
        <v>8</v>
      </c>
      <c r="Q473" s="27">
        <v>10</v>
      </c>
      <c r="R473" s="27" t="s">
        <v>64</v>
      </c>
      <c r="S473" s="27" t="s">
        <v>50</v>
      </c>
      <c r="T473" s="27" t="s">
        <v>50</v>
      </c>
      <c r="U473" s="27" t="s">
        <v>50</v>
      </c>
      <c r="V473" s="27" t="s">
        <v>50</v>
      </c>
      <c r="W473" s="27" t="s">
        <v>50</v>
      </c>
      <c r="X473" s="27" t="s">
        <v>50</v>
      </c>
      <c r="Y473" s="35"/>
    </row>
    <row r="474" spans="1:25" s="27" customFormat="1" x14ac:dyDescent="0.25">
      <c r="A474" s="36">
        <v>43047</v>
      </c>
      <c r="B474" s="92" t="str">
        <f t="shared" si="7"/>
        <v>Wed</v>
      </c>
      <c r="C474" s="27" t="s">
        <v>44</v>
      </c>
      <c r="D474" s="89">
        <v>38.075569999999999</v>
      </c>
      <c r="E474" s="89">
        <v>-121.4665</v>
      </c>
      <c r="F474" s="27" t="s">
        <v>8169</v>
      </c>
      <c r="G474" s="27" t="s">
        <v>46</v>
      </c>
      <c r="H474" s="27" t="s">
        <v>6883</v>
      </c>
      <c r="I474" s="84">
        <v>0.43402777777777773</v>
      </c>
      <c r="J474" s="82">
        <v>120.71249999999999</v>
      </c>
      <c r="K474" s="82">
        <v>15.137500000000001</v>
      </c>
      <c r="L474" s="82">
        <v>2.9012500000000001</v>
      </c>
      <c r="M474" s="82">
        <v>1.8000000000000003</v>
      </c>
      <c r="N474" s="4">
        <v>5.3624999999999989</v>
      </c>
      <c r="O474" s="27" t="s">
        <v>48</v>
      </c>
      <c r="P474" s="27">
        <v>8</v>
      </c>
      <c r="Q474" s="27">
        <v>10</v>
      </c>
      <c r="R474" s="27" t="s">
        <v>49</v>
      </c>
      <c r="S474" s="27" t="s">
        <v>50</v>
      </c>
      <c r="T474" s="27" t="s">
        <v>50</v>
      </c>
      <c r="U474" s="27" t="s">
        <v>50</v>
      </c>
      <c r="V474" s="27" t="s">
        <v>50</v>
      </c>
      <c r="W474" s="27" t="s">
        <v>50</v>
      </c>
      <c r="X474" s="27" t="s">
        <v>50</v>
      </c>
      <c r="Y474" s="35" t="s">
        <v>8170</v>
      </c>
    </row>
    <row r="475" spans="1:25" s="27" customFormat="1" x14ac:dyDescent="0.25">
      <c r="A475" s="36">
        <v>43047</v>
      </c>
      <c r="B475" s="92" t="str">
        <f t="shared" si="7"/>
        <v>Wed</v>
      </c>
      <c r="C475" s="27" t="s">
        <v>88</v>
      </c>
      <c r="D475" s="89">
        <v>38.041820000000001</v>
      </c>
      <c r="E475" s="89">
        <v>-121.88529</v>
      </c>
      <c r="F475" s="27" t="s">
        <v>8171</v>
      </c>
      <c r="G475" s="27" t="s">
        <v>27</v>
      </c>
      <c r="H475" s="27" t="s">
        <v>25</v>
      </c>
      <c r="I475" s="84">
        <v>0.3263888888888889</v>
      </c>
      <c r="J475" s="82">
        <v>4349.8</v>
      </c>
      <c r="K475" s="82">
        <v>15.48</v>
      </c>
      <c r="L475" s="82">
        <v>15.539999999999997</v>
      </c>
      <c r="M475" s="82">
        <v>0.79599999999999993</v>
      </c>
      <c r="N475" s="4">
        <v>12.5</v>
      </c>
      <c r="O475" s="27" t="s">
        <v>48</v>
      </c>
      <c r="P475" s="27">
        <v>5</v>
      </c>
      <c r="Q475" s="27">
        <v>5</v>
      </c>
      <c r="R475" s="27" t="s">
        <v>49</v>
      </c>
      <c r="S475" s="27" t="s">
        <v>50</v>
      </c>
      <c r="T475" s="27" t="s">
        <v>50</v>
      </c>
      <c r="U475" s="27" t="s">
        <v>50</v>
      </c>
      <c r="V475" s="27" t="s">
        <v>50</v>
      </c>
      <c r="W475" s="27" t="s">
        <v>50</v>
      </c>
      <c r="X475" s="27" t="s">
        <v>50</v>
      </c>
      <c r="Y475" s="35"/>
    </row>
    <row r="476" spans="1:25" s="27" customFormat="1" x14ac:dyDescent="0.25">
      <c r="A476" s="36">
        <v>43047</v>
      </c>
      <c r="B476" s="92" t="str">
        <f t="shared" si="7"/>
        <v>Wed</v>
      </c>
      <c r="C476" s="27" t="s">
        <v>88</v>
      </c>
      <c r="D476" s="89">
        <v>38.061999999999998</v>
      </c>
      <c r="E476" s="89">
        <v>-121.79011</v>
      </c>
      <c r="F476" s="27" t="s">
        <v>8172</v>
      </c>
      <c r="G476" s="27" t="s">
        <v>27</v>
      </c>
      <c r="H476" s="27" t="s">
        <v>25</v>
      </c>
      <c r="I476" s="84">
        <v>0.37986111111111115</v>
      </c>
      <c r="J476" s="82">
        <v>1757</v>
      </c>
      <c r="K476" s="82">
        <v>15.559999999999999</v>
      </c>
      <c r="L476" s="82">
        <v>17.839999999999996</v>
      </c>
      <c r="M476" s="82">
        <v>0.7</v>
      </c>
      <c r="N476" s="4">
        <v>9.02</v>
      </c>
      <c r="O476" s="27" t="s">
        <v>48</v>
      </c>
      <c r="P476" s="27">
        <v>5</v>
      </c>
      <c r="Q476" s="27">
        <v>5</v>
      </c>
      <c r="R476" s="27" t="s">
        <v>49</v>
      </c>
      <c r="S476" s="27" t="s">
        <v>323</v>
      </c>
      <c r="T476" s="27">
        <v>1</v>
      </c>
      <c r="U476" s="27">
        <v>45</v>
      </c>
      <c r="V476" s="27" t="s">
        <v>66</v>
      </c>
      <c r="W476" s="27" t="s">
        <v>50</v>
      </c>
      <c r="X476" s="27" t="s">
        <v>50</v>
      </c>
      <c r="Y476" s="35" t="s">
        <v>8173</v>
      </c>
    </row>
    <row r="477" spans="1:25" s="27" customFormat="1" x14ac:dyDescent="0.25">
      <c r="A477" s="36">
        <v>43048</v>
      </c>
      <c r="B477" s="92" t="str">
        <f t="shared" si="7"/>
        <v>Thu</v>
      </c>
      <c r="C477" s="27" t="s">
        <v>95</v>
      </c>
      <c r="D477" s="89">
        <v>38.031820000000003</v>
      </c>
      <c r="E477" s="89">
        <v>-121.85809999999999</v>
      </c>
      <c r="F477" s="27" t="s">
        <v>8174</v>
      </c>
      <c r="G477" s="27" t="s">
        <v>27</v>
      </c>
      <c r="H477" s="27" t="s">
        <v>95</v>
      </c>
      <c r="I477" s="84">
        <v>0.33124999999999999</v>
      </c>
      <c r="J477" s="82">
        <v>4149.8</v>
      </c>
      <c r="K477" s="82">
        <v>15.5</v>
      </c>
      <c r="L477" s="82">
        <v>24.8</v>
      </c>
      <c r="M477" s="82">
        <v>0.67600000000000005</v>
      </c>
      <c r="N477" s="4">
        <v>14.32</v>
      </c>
      <c r="O477" s="27" t="s">
        <v>48</v>
      </c>
      <c r="P477" s="27">
        <v>5</v>
      </c>
      <c r="Q477" s="27">
        <v>5</v>
      </c>
      <c r="R477" s="27" t="s">
        <v>64</v>
      </c>
      <c r="S477" s="27" t="s">
        <v>50</v>
      </c>
      <c r="T477" s="27" t="s">
        <v>50</v>
      </c>
      <c r="U477" s="27" t="s">
        <v>50</v>
      </c>
      <c r="V477" s="27" t="s">
        <v>50</v>
      </c>
      <c r="W477" s="27" t="s">
        <v>50</v>
      </c>
      <c r="X477" s="27" t="s">
        <v>50</v>
      </c>
      <c r="Y477" s="35" t="s">
        <v>8175</v>
      </c>
    </row>
    <row r="478" spans="1:25" s="27" customFormat="1" x14ac:dyDescent="0.25">
      <c r="A478" s="36">
        <v>43048</v>
      </c>
      <c r="B478" s="92" t="str">
        <f t="shared" si="7"/>
        <v>Thu</v>
      </c>
      <c r="C478" s="27" t="s">
        <v>95</v>
      </c>
      <c r="D478" s="89">
        <v>38.073410000000003</v>
      </c>
      <c r="E478" s="89">
        <v>-121.67829999999999</v>
      </c>
      <c r="F478" s="27" t="s">
        <v>8176</v>
      </c>
      <c r="G478" s="27" t="s">
        <v>46</v>
      </c>
      <c r="H478" s="27" t="s">
        <v>97</v>
      </c>
      <c r="I478" s="84">
        <v>0.38611111111111113</v>
      </c>
      <c r="J478" s="82">
        <v>248.8</v>
      </c>
      <c r="K478" s="82">
        <v>15.675000000000001</v>
      </c>
      <c r="L478" s="82">
        <v>13.574999999999999</v>
      </c>
      <c r="M478" s="82">
        <v>1.2224999999999999</v>
      </c>
      <c r="N478" s="4">
        <v>12.65</v>
      </c>
      <c r="O478" s="27" t="s">
        <v>48</v>
      </c>
      <c r="P478" s="27">
        <v>4</v>
      </c>
      <c r="Q478" s="27">
        <v>5</v>
      </c>
      <c r="R478" s="27" t="s">
        <v>64</v>
      </c>
      <c r="S478" s="27" t="s">
        <v>50</v>
      </c>
      <c r="T478" s="27" t="s">
        <v>50</v>
      </c>
      <c r="U478" s="27" t="s">
        <v>50</v>
      </c>
      <c r="V478" s="27" t="s">
        <v>50</v>
      </c>
      <c r="W478" s="27" t="s">
        <v>50</v>
      </c>
      <c r="X478" s="27" t="s">
        <v>50</v>
      </c>
      <c r="Y478" s="35" t="s">
        <v>8177</v>
      </c>
    </row>
    <row r="479" spans="1:25" s="27" customFormat="1" x14ac:dyDescent="0.25">
      <c r="A479" s="36">
        <v>43048</v>
      </c>
      <c r="B479" s="92" t="str">
        <f t="shared" si="7"/>
        <v>Thu</v>
      </c>
      <c r="C479" s="27" t="s">
        <v>7570</v>
      </c>
      <c r="D479" s="89">
        <v>38.050719999999998</v>
      </c>
      <c r="E479" s="89">
        <v>-121.93913000000001</v>
      </c>
      <c r="F479" s="27" t="s">
        <v>8178</v>
      </c>
      <c r="G479" s="27" t="s">
        <v>27</v>
      </c>
      <c r="H479" s="27" t="s">
        <v>170</v>
      </c>
      <c r="I479" s="84">
        <v>0.33055555555555555</v>
      </c>
      <c r="J479" s="82">
        <v>8461</v>
      </c>
      <c r="K479" s="82">
        <v>15.4</v>
      </c>
      <c r="L479" s="82">
        <v>17.16</v>
      </c>
      <c r="M479" s="82">
        <v>0.57599999999999996</v>
      </c>
      <c r="N479" s="4">
        <v>17.899999999999999</v>
      </c>
      <c r="O479" s="27" t="s">
        <v>48</v>
      </c>
      <c r="P479" s="27">
        <v>5</v>
      </c>
      <c r="Q479" s="27">
        <v>5</v>
      </c>
      <c r="R479" s="27" t="s">
        <v>64</v>
      </c>
      <c r="S479" s="27" t="s">
        <v>50</v>
      </c>
      <c r="T479" s="27" t="s">
        <v>50</v>
      </c>
      <c r="U479" s="27" t="s">
        <v>50</v>
      </c>
      <c r="V479" s="27" t="s">
        <v>50</v>
      </c>
      <c r="W479" s="27" t="s">
        <v>50</v>
      </c>
      <c r="X479" s="27" t="s">
        <v>50</v>
      </c>
      <c r="Y479" s="35"/>
    </row>
    <row r="480" spans="1:25" s="27" customFormat="1" x14ac:dyDescent="0.25">
      <c r="A480" s="36">
        <v>43048</v>
      </c>
      <c r="B480" s="92" t="str">
        <f t="shared" si="7"/>
        <v>Thu</v>
      </c>
      <c r="C480" s="27" t="s">
        <v>7570</v>
      </c>
      <c r="D480" s="89">
        <v>38.073129999999999</v>
      </c>
      <c r="E480" s="89">
        <v>-121.9487</v>
      </c>
      <c r="F480" s="27" t="s">
        <v>8179</v>
      </c>
      <c r="G480" s="27" t="s">
        <v>27</v>
      </c>
      <c r="H480" s="27" t="s">
        <v>170</v>
      </c>
      <c r="I480" s="84">
        <v>0.37847222222222227</v>
      </c>
      <c r="J480" s="31">
        <v>9291.2000000000007</v>
      </c>
      <c r="K480" s="31">
        <v>15.36</v>
      </c>
      <c r="L480" s="31">
        <v>23.68</v>
      </c>
      <c r="M480" s="31">
        <v>0.432</v>
      </c>
      <c r="N480" s="28">
        <v>2.88</v>
      </c>
      <c r="O480" s="32" t="s">
        <v>48</v>
      </c>
      <c r="P480" s="32">
        <v>5</v>
      </c>
      <c r="Q480" s="32">
        <v>5</v>
      </c>
      <c r="R480" s="32" t="s">
        <v>64</v>
      </c>
      <c r="S480" s="27" t="s">
        <v>50</v>
      </c>
      <c r="T480" s="27" t="s">
        <v>50</v>
      </c>
      <c r="U480" s="27" t="s">
        <v>50</v>
      </c>
      <c r="V480" s="27" t="s">
        <v>50</v>
      </c>
      <c r="W480" s="27" t="s">
        <v>50</v>
      </c>
      <c r="X480" s="27" t="s">
        <v>50</v>
      </c>
      <c r="Y480" s="35"/>
    </row>
    <row r="481" spans="1:25" s="27" customFormat="1" x14ac:dyDescent="0.25">
      <c r="A481" s="36">
        <v>43048</v>
      </c>
      <c r="B481" s="92" t="str">
        <f t="shared" si="7"/>
        <v>Thu</v>
      </c>
      <c r="C481" s="27" t="s">
        <v>106</v>
      </c>
      <c r="D481" s="89">
        <v>38.537849999999999</v>
      </c>
      <c r="E481" s="89">
        <v>-121.58461</v>
      </c>
      <c r="F481" s="27" t="s">
        <v>8180</v>
      </c>
      <c r="G481" s="27" t="s">
        <v>90</v>
      </c>
      <c r="H481" s="27" t="s">
        <v>7577</v>
      </c>
      <c r="I481" s="84">
        <v>0.34236111111111112</v>
      </c>
      <c r="J481" s="82">
        <v>613.79999999999995</v>
      </c>
      <c r="K481" s="82">
        <v>15.92</v>
      </c>
      <c r="L481" s="82">
        <v>7.1239999999999997</v>
      </c>
      <c r="M481" s="82">
        <v>1.292</v>
      </c>
      <c r="N481" s="4">
        <v>10.98</v>
      </c>
      <c r="O481" s="27" t="s">
        <v>48</v>
      </c>
      <c r="P481" s="27">
        <v>5</v>
      </c>
      <c r="Q481" s="27">
        <v>5</v>
      </c>
      <c r="R481" s="27" t="s">
        <v>49</v>
      </c>
      <c r="S481" s="27" t="s">
        <v>50</v>
      </c>
      <c r="T481" s="27" t="s">
        <v>50</v>
      </c>
      <c r="U481" s="27" t="s">
        <v>50</v>
      </c>
      <c r="V481" s="27" t="s">
        <v>50</v>
      </c>
      <c r="W481" s="27" t="s">
        <v>50</v>
      </c>
      <c r="X481" s="27" t="s">
        <v>50</v>
      </c>
      <c r="Y481" s="35"/>
    </row>
    <row r="482" spans="1:25" s="108" customFormat="1" ht="15.75" thickBot="1" x14ac:dyDescent="0.3">
      <c r="A482" s="117">
        <v>43048</v>
      </c>
      <c r="B482" s="107" t="str">
        <f t="shared" si="7"/>
        <v>Thu</v>
      </c>
      <c r="C482" s="108" t="s">
        <v>106</v>
      </c>
      <c r="D482" s="109">
        <v>38.46255</v>
      </c>
      <c r="E482" s="109">
        <v>-121.58872</v>
      </c>
      <c r="F482" s="108" t="s">
        <v>8181</v>
      </c>
      <c r="G482" s="108" t="s">
        <v>90</v>
      </c>
      <c r="H482" s="108" t="s">
        <v>7577</v>
      </c>
      <c r="I482" s="110">
        <v>0.39583333333333331</v>
      </c>
      <c r="J482" s="111">
        <v>462</v>
      </c>
      <c r="K482" s="111">
        <v>15.66</v>
      </c>
      <c r="L482" s="111">
        <v>36.86</v>
      </c>
      <c r="M482" s="111">
        <v>0.40200000000000002</v>
      </c>
      <c r="N482" s="112">
        <v>10.4</v>
      </c>
      <c r="O482" s="108" t="s">
        <v>48</v>
      </c>
      <c r="P482" s="108">
        <v>5</v>
      </c>
      <c r="Q482" s="108">
        <v>5</v>
      </c>
      <c r="R482" s="108" t="s">
        <v>64</v>
      </c>
      <c r="S482" s="108" t="s">
        <v>50</v>
      </c>
      <c r="T482" s="108" t="s">
        <v>50</v>
      </c>
      <c r="U482" s="108" t="s">
        <v>50</v>
      </c>
      <c r="V482" s="108" t="s">
        <v>50</v>
      </c>
      <c r="W482" s="108" t="s">
        <v>50</v>
      </c>
      <c r="X482" s="108" t="s">
        <v>50</v>
      </c>
      <c r="Y482" s="113"/>
    </row>
    <row r="483" spans="1:25" s="27" customFormat="1" ht="15.75" thickTop="1" x14ac:dyDescent="0.25">
      <c r="A483" s="29">
        <v>43052</v>
      </c>
      <c r="B483" s="92" t="str">
        <f t="shared" si="7"/>
        <v>Mon</v>
      </c>
      <c r="C483" s="27" t="s">
        <v>44</v>
      </c>
      <c r="D483" s="89">
        <v>37.955829999999999</v>
      </c>
      <c r="E483" s="89">
        <v>-121.60386</v>
      </c>
      <c r="F483" s="27" t="s">
        <v>8182</v>
      </c>
      <c r="G483" s="27" t="s">
        <v>46</v>
      </c>
      <c r="H483" s="27" t="s">
        <v>423</v>
      </c>
      <c r="I483" s="84">
        <v>0.32847222222222222</v>
      </c>
      <c r="J483" s="82">
        <v>154.75630000000001</v>
      </c>
      <c r="K483" s="82">
        <v>15.0625</v>
      </c>
      <c r="L483" s="82">
        <v>3.57375</v>
      </c>
      <c r="M483" s="82">
        <v>2</v>
      </c>
      <c r="N483" s="4">
        <v>2.9249999999999998</v>
      </c>
      <c r="O483" s="27" t="s">
        <v>48</v>
      </c>
      <c r="P483" s="27">
        <v>8</v>
      </c>
      <c r="Q483" s="27">
        <v>10</v>
      </c>
      <c r="R483" s="27" t="s">
        <v>49</v>
      </c>
      <c r="S483" s="27" t="s">
        <v>50</v>
      </c>
      <c r="T483" s="27" t="s">
        <v>50</v>
      </c>
      <c r="U483" s="27" t="s">
        <v>50</v>
      </c>
      <c r="V483" s="27" t="s">
        <v>50</v>
      </c>
      <c r="W483" s="27" t="s">
        <v>50</v>
      </c>
      <c r="X483" s="27" t="s">
        <v>50</v>
      </c>
      <c r="Y483" s="35"/>
    </row>
    <row r="484" spans="1:25" s="27" customFormat="1" x14ac:dyDescent="0.25">
      <c r="A484" s="36">
        <v>43052</v>
      </c>
      <c r="B484" s="92" t="str">
        <f t="shared" si="7"/>
        <v>Mon</v>
      </c>
      <c r="C484" s="27" t="s">
        <v>44</v>
      </c>
      <c r="D484" s="89">
        <v>37.957540000000002</v>
      </c>
      <c r="E484" s="89">
        <v>-121.56534000000001</v>
      </c>
      <c r="F484" s="27" t="s">
        <v>8183</v>
      </c>
      <c r="G484" s="27" t="s">
        <v>46</v>
      </c>
      <c r="H484" s="27" t="s">
        <v>199</v>
      </c>
      <c r="I484" s="84">
        <v>0.44444444444444442</v>
      </c>
      <c r="J484" s="82">
        <v>144.16249999999999</v>
      </c>
      <c r="K484" s="82">
        <v>15.175000000000001</v>
      </c>
      <c r="L484" s="82">
        <v>3.3174999999999999</v>
      </c>
      <c r="M484" s="82">
        <v>2</v>
      </c>
      <c r="N484" s="4">
        <v>7.8125</v>
      </c>
      <c r="O484" s="27" t="s">
        <v>48</v>
      </c>
      <c r="P484" s="27">
        <v>8</v>
      </c>
      <c r="Q484" s="27">
        <v>10</v>
      </c>
      <c r="R484" s="27" t="s">
        <v>64</v>
      </c>
      <c r="S484" s="27" t="s">
        <v>50</v>
      </c>
      <c r="T484" s="27" t="s">
        <v>50</v>
      </c>
      <c r="U484" s="27" t="s">
        <v>50</v>
      </c>
      <c r="V484" s="27" t="s">
        <v>50</v>
      </c>
      <c r="W484" s="27" t="s">
        <v>50</v>
      </c>
      <c r="X484" s="27" t="s">
        <v>50</v>
      </c>
      <c r="Y484" s="35"/>
    </row>
    <row r="485" spans="1:25" s="27" customFormat="1" x14ac:dyDescent="0.25">
      <c r="A485" s="36">
        <v>43052</v>
      </c>
      <c r="B485" s="92" t="str">
        <f t="shared" si="7"/>
        <v>Mon</v>
      </c>
      <c r="C485" s="27" t="s">
        <v>118</v>
      </c>
      <c r="D485" s="89">
        <v>38.047310000000003</v>
      </c>
      <c r="E485" s="89">
        <v>-122.10653000000001</v>
      </c>
      <c r="F485" s="27" t="s">
        <v>8184</v>
      </c>
      <c r="G485" s="27" t="s">
        <v>80</v>
      </c>
      <c r="H485" s="27" t="s">
        <v>81</v>
      </c>
      <c r="I485" s="84">
        <v>0.3972222222222222</v>
      </c>
      <c r="J485" s="82">
        <v>19591.63</v>
      </c>
      <c r="K485" s="82">
        <v>15.3125</v>
      </c>
      <c r="L485" s="82">
        <v>36.024999999999999</v>
      </c>
      <c r="M485" s="82">
        <v>0.46375</v>
      </c>
      <c r="N485" s="4">
        <v>9.8375000000000004</v>
      </c>
      <c r="O485" s="27" t="s">
        <v>48</v>
      </c>
      <c r="P485" s="27">
        <v>8</v>
      </c>
      <c r="Q485" s="27">
        <v>10</v>
      </c>
      <c r="R485" s="27" t="s">
        <v>64</v>
      </c>
      <c r="S485" s="27" t="s">
        <v>50</v>
      </c>
      <c r="T485" s="27" t="s">
        <v>50</v>
      </c>
      <c r="U485" s="27" t="s">
        <v>50</v>
      </c>
      <c r="V485" s="27" t="s">
        <v>50</v>
      </c>
      <c r="W485" s="27" t="s">
        <v>50</v>
      </c>
      <c r="X485" s="27" t="s">
        <v>50</v>
      </c>
      <c r="Y485" s="35"/>
    </row>
    <row r="486" spans="1:25" s="27" customFormat="1" x14ac:dyDescent="0.25">
      <c r="A486" s="36">
        <v>43052</v>
      </c>
      <c r="B486" s="92" t="str">
        <f t="shared" si="7"/>
        <v>Mon</v>
      </c>
      <c r="C486" s="27" t="s">
        <v>118</v>
      </c>
      <c r="D486" s="89">
        <v>38.060040000000001</v>
      </c>
      <c r="E486" s="89">
        <v>-122.10894999999999</v>
      </c>
      <c r="F486" s="27" t="s">
        <v>8185</v>
      </c>
      <c r="G486" s="27" t="s">
        <v>80</v>
      </c>
      <c r="H486" s="27" t="s">
        <v>81</v>
      </c>
      <c r="I486" s="84">
        <v>0.49374999999999997</v>
      </c>
      <c r="J486" s="82">
        <v>19208.25</v>
      </c>
      <c r="K486" s="82">
        <v>15.85</v>
      </c>
      <c r="L486" s="82">
        <v>17.737500000000001</v>
      </c>
      <c r="M486" s="82">
        <v>0.56000000000000005</v>
      </c>
      <c r="N486" s="4">
        <v>10.512499999999999</v>
      </c>
      <c r="O486" s="27" t="s">
        <v>48</v>
      </c>
      <c r="P486" s="27">
        <v>8</v>
      </c>
      <c r="Q486" s="27">
        <v>10</v>
      </c>
      <c r="R486" s="27" t="s">
        <v>49</v>
      </c>
      <c r="S486" s="27" t="s">
        <v>50</v>
      </c>
      <c r="T486" s="27" t="s">
        <v>50</v>
      </c>
      <c r="U486" s="27" t="s">
        <v>50</v>
      </c>
      <c r="V486" s="27" t="s">
        <v>50</v>
      </c>
      <c r="W486" s="27" t="s">
        <v>50</v>
      </c>
      <c r="X486" s="27" t="s">
        <v>50</v>
      </c>
      <c r="Y486" s="35"/>
    </row>
    <row r="487" spans="1:25" s="27" customFormat="1" x14ac:dyDescent="0.25">
      <c r="A487" s="36">
        <v>43052</v>
      </c>
      <c r="B487" s="92" t="str">
        <f t="shared" si="7"/>
        <v>Mon</v>
      </c>
      <c r="C487" s="27" t="s">
        <v>6849</v>
      </c>
      <c r="D487" s="89">
        <v>38.381779999999999</v>
      </c>
      <c r="E487" s="89">
        <v>-121.5209</v>
      </c>
      <c r="F487" s="27" t="s">
        <v>8186</v>
      </c>
      <c r="G487" s="27" t="s">
        <v>90</v>
      </c>
      <c r="H487" s="27" t="s">
        <v>6851</v>
      </c>
      <c r="I487" s="84">
        <v>0.36874999999999997</v>
      </c>
      <c r="J487" s="82">
        <v>124.3125</v>
      </c>
      <c r="K487" s="82">
        <v>14.012499999999999</v>
      </c>
      <c r="L487" s="82">
        <v>14.713749999999999</v>
      </c>
      <c r="M487" s="82">
        <v>1.35625</v>
      </c>
      <c r="N487" s="4">
        <v>8.7249999999999996</v>
      </c>
      <c r="O487" s="27" t="s">
        <v>48</v>
      </c>
      <c r="P487" s="27">
        <v>8</v>
      </c>
      <c r="Q487" s="27">
        <v>10</v>
      </c>
      <c r="R487" s="27" t="s">
        <v>49</v>
      </c>
      <c r="S487" s="27" t="s">
        <v>50</v>
      </c>
      <c r="T487" s="27" t="s">
        <v>50</v>
      </c>
      <c r="U487" s="27" t="s">
        <v>50</v>
      </c>
      <c r="V487" s="27" t="s">
        <v>50</v>
      </c>
      <c r="W487" s="27" t="s">
        <v>50</v>
      </c>
      <c r="X487" s="27" t="s">
        <v>50</v>
      </c>
      <c r="Y487" s="35" t="s">
        <v>7934</v>
      </c>
    </row>
    <row r="488" spans="1:25" s="27" customFormat="1" x14ac:dyDescent="0.25">
      <c r="A488" s="36">
        <v>43052</v>
      </c>
      <c r="B488" s="92" t="str">
        <f t="shared" si="7"/>
        <v>Mon</v>
      </c>
      <c r="C488" s="27" t="s">
        <v>6849</v>
      </c>
      <c r="D488" s="89">
        <v>38.243209999999998</v>
      </c>
      <c r="E488" s="89">
        <v>-121.51424</v>
      </c>
      <c r="F488" s="27" t="s">
        <v>8187</v>
      </c>
      <c r="G488" s="27" t="s">
        <v>90</v>
      </c>
      <c r="H488" s="27" t="s">
        <v>6892</v>
      </c>
      <c r="I488" s="84">
        <v>0.49722222222222223</v>
      </c>
      <c r="J488" s="82">
        <v>118.6</v>
      </c>
      <c r="K488" s="82">
        <v>14.2875</v>
      </c>
      <c r="L488" s="82">
        <v>8.2562499999999996</v>
      </c>
      <c r="M488" s="82">
        <v>1.8</v>
      </c>
      <c r="N488" s="4">
        <v>11.5875</v>
      </c>
      <c r="O488" s="27" t="s">
        <v>48</v>
      </c>
      <c r="P488" s="27">
        <v>8</v>
      </c>
      <c r="Q488" s="27">
        <v>10</v>
      </c>
      <c r="R488" s="27" t="s">
        <v>49</v>
      </c>
      <c r="S488" s="27" t="s">
        <v>50</v>
      </c>
      <c r="T488" s="27" t="s">
        <v>50</v>
      </c>
      <c r="U488" s="27" t="s">
        <v>50</v>
      </c>
      <c r="V488" s="27" t="s">
        <v>50</v>
      </c>
      <c r="W488" s="27" t="s">
        <v>50</v>
      </c>
      <c r="X488" s="27" t="s">
        <v>50</v>
      </c>
      <c r="Y488" s="35" t="s">
        <v>7934</v>
      </c>
    </row>
    <row r="489" spans="1:25" s="27" customFormat="1" x14ac:dyDescent="0.25">
      <c r="A489" s="36">
        <v>43053</v>
      </c>
      <c r="B489" s="92" t="str">
        <f t="shared" si="7"/>
        <v>Tue</v>
      </c>
      <c r="C489" s="27" t="s">
        <v>118</v>
      </c>
      <c r="D489" s="89">
        <v>38.058210000000003</v>
      </c>
      <c r="E489" s="89">
        <v>-122.06473</v>
      </c>
      <c r="F489" s="27" t="s">
        <v>8188</v>
      </c>
      <c r="G489" s="27" t="s">
        <v>80</v>
      </c>
      <c r="H489" s="27" t="s">
        <v>81</v>
      </c>
      <c r="I489" s="84">
        <v>0.32222222222222224</v>
      </c>
      <c r="J489" s="82">
        <v>12550.333333333334</v>
      </c>
      <c r="K489" s="82">
        <v>15.288888888888888</v>
      </c>
      <c r="L489" s="82">
        <v>18.899999999999999</v>
      </c>
      <c r="M489" s="82">
        <v>0.68777777777777782</v>
      </c>
      <c r="N489" s="4">
        <v>7.4666666666666668</v>
      </c>
      <c r="O489" s="27" t="s">
        <v>48</v>
      </c>
      <c r="P489" s="27">
        <v>9</v>
      </c>
      <c r="Q489" s="27">
        <v>10</v>
      </c>
      <c r="R489" s="27" t="s">
        <v>64</v>
      </c>
      <c r="S489" s="27" t="s">
        <v>50</v>
      </c>
      <c r="T489" s="27" t="s">
        <v>50</v>
      </c>
      <c r="U489" s="27" t="s">
        <v>50</v>
      </c>
      <c r="V489" s="27" t="s">
        <v>50</v>
      </c>
      <c r="W489" s="27" t="s">
        <v>50</v>
      </c>
      <c r="X489" s="27" t="s">
        <v>50</v>
      </c>
      <c r="Y489" s="35" t="s">
        <v>8189</v>
      </c>
    </row>
    <row r="490" spans="1:25" s="27" customFormat="1" x14ac:dyDescent="0.25">
      <c r="A490" s="36">
        <v>43053</v>
      </c>
      <c r="B490" s="92" t="str">
        <f t="shared" si="7"/>
        <v>Tue</v>
      </c>
      <c r="C490" s="27" t="s">
        <v>118</v>
      </c>
      <c r="D490" s="89">
        <v>38.066879999999998</v>
      </c>
      <c r="E490" s="89">
        <v>-122.09823</v>
      </c>
      <c r="F490" s="27" t="s">
        <v>8190</v>
      </c>
      <c r="G490" s="27" t="s">
        <v>80</v>
      </c>
      <c r="H490" s="27" t="s">
        <v>81</v>
      </c>
      <c r="I490" s="84">
        <v>0.45069444444444445</v>
      </c>
      <c r="J490" s="82">
        <v>19359.75</v>
      </c>
      <c r="K490" s="82">
        <v>15.537499999999998</v>
      </c>
      <c r="L490" s="82">
        <v>21.35</v>
      </c>
      <c r="M490" s="82">
        <v>0.62374999999999992</v>
      </c>
      <c r="N490" s="4">
        <v>9.6999999999999993</v>
      </c>
      <c r="O490" s="27" t="s">
        <v>48</v>
      </c>
      <c r="P490" s="27">
        <v>8</v>
      </c>
      <c r="Q490" s="27">
        <v>10</v>
      </c>
      <c r="R490" s="27" t="s">
        <v>64</v>
      </c>
      <c r="S490" s="32" t="s">
        <v>50</v>
      </c>
      <c r="T490" s="79" t="s">
        <v>50</v>
      </c>
      <c r="U490" s="79" t="s">
        <v>50</v>
      </c>
      <c r="V490" s="32" t="s">
        <v>50</v>
      </c>
      <c r="W490" s="32" t="s">
        <v>50</v>
      </c>
      <c r="X490" s="32" t="s">
        <v>50</v>
      </c>
      <c r="Y490" s="35"/>
    </row>
    <row r="491" spans="1:25" s="27" customFormat="1" x14ac:dyDescent="0.25">
      <c r="A491" s="36">
        <v>43053</v>
      </c>
      <c r="B491" s="92" t="str">
        <f t="shared" si="7"/>
        <v>Tue</v>
      </c>
      <c r="C491" s="27" t="s">
        <v>95</v>
      </c>
      <c r="D491" s="89">
        <v>38.020060000000001</v>
      </c>
      <c r="E491" s="89">
        <v>-121.74147000000001</v>
      </c>
      <c r="F491" s="27" t="s">
        <v>8191</v>
      </c>
      <c r="G491" s="27" t="s">
        <v>27</v>
      </c>
      <c r="H491" s="27" t="s">
        <v>95</v>
      </c>
      <c r="I491" s="84">
        <v>0.3263888888888889</v>
      </c>
      <c r="J491" s="82">
        <v>208.6</v>
      </c>
      <c r="K491" s="82">
        <v>15.459999999999999</v>
      </c>
      <c r="L491" s="82">
        <v>4.1399999999999997</v>
      </c>
      <c r="M491" s="82">
        <v>1.8</v>
      </c>
      <c r="N491" s="4">
        <v>2.94</v>
      </c>
      <c r="O491" s="27" t="s">
        <v>48</v>
      </c>
      <c r="P491" s="27">
        <v>5</v>
      </c>
      <c r="Q491" s="27">
        <v>5</v>
      </c>
      <c r="R491" s="27" t="s">
        <v>64</v>
      </c>
      <c r="S491" s="32" t="s">
        <v>50</v>
      </c>
      <c r="T491" s="79" t="s">
        <v>50</v>
      </c>
      <c r="U491" s="79" t="s">
        <v>50</v>
      </c>
      <c r="V491" s="32" t="s">
        <v>50</v>
      </c>
      <c r="W491" s="32" t="s">
        <v>50</v>
      </c>
      <c r="X491" s="32" t="s">
        <v>50</v>
      </c>
      <c r="Y491" s="35"/>
    </row>
    <row r="492" spans="1:25" s="27" customFormat="1" x14ac:dyDescent="0.25">
      <c r="A492" s="36">
        <v>43053</v>
      </c>
      <c r="B492" s="92" t="str">
        <f t="shared" si="7"/>
        <v>Tue</v>
      </c>
      <c r="C492" s="27" t="s">
        <v>95</v>
      </c>
      <c r="D492" s="89">
        <v>38.020139999999998</v>
      </c>
      <c r="E492" s="89">
        <v>-121.75154000000001</v>
      </c>
      <c r="F492" s="27" t="s">
        <v>8192</v>
      </c>
      <c r="G492" s="27" t="s">
        <v>27</v>
      </c>
      <c r="H492" s="27" t="s">
        <v>95</v>
      </c>
      <c r="I492" s="84">
        <v>0.36736111111111108</v>
      </c>
      <c r="J492" s="82">
        <v>228.47999999999996</v>
      </c>
      <c r="K492" s="82">
        <v>15.5</v>
      </c>
      <c r="L492" s="82">
        <v>5.5979999999999999</v>
      </c>
      <c r="M492" s="82">
        <v>1.67</v>
      </c>
      <c r="N492" s="4">
        <v>4.7799999999999994</v>
      </c>
      <c r="O492" s="27" t="s">
        <v>48</v>
      </c>
      <c r="P492" s="27">
        <v>5</v>
      </c>
      <c r="Q492" s="27">
        <v>5</v>
      </c>
      <c r="R492" s="27" t="s">
        <v>64</v>
      </c>
      <c r="S492" s="32" t="s">
        <v>50</v>
      </c>
      <c r="T492" s="79" t="s">
        <v>50</v>
      </c>
      <c r="U492" s="79" t="s">
        <v>50</v>
      </c>
      <c r="V492" s="32" t="s">
        <v>50</v>
      </c>
      <c r="W492" s="32" t="s">
        <v>50</v>
      </c>
      <c r="X492" s="32" t="s">
        <v>50</v>
      </c>
      <c r="Y492" s="35"/>
    </row>
    <row r="493" spans="1:25" s="149" customFormat="1" x14ac:dyDescent="0.25">
      <c r="A493" s="160">
        <v>43053</v>
      </c>
      <c r="B493" s="148" t="str">
        <f t="shared" si="7"/>
        <v>Tue</v>
      </c>
      <c r="C493" s="149" t="s">
        <v>88</v>
      </c>
      <c r="D493" s="150">
        <v>38.041490000000003</v>
      </c>
      <c r="E493" s="150">
        <v>-121.76075</v>
      </c>
      <c r="F493" s="149" t="s">
        <v>8193</v>
      </c>
      <c r="G493" s="149" t="s">
        <v>27</v>
      </c>
      <c r="H493" s="149" t="s">
        <v>25</v>
      </c>
      <c r="I493" s="151">
        <v>0.32777777777777778</v>
      </c>
      <c r="J493" s="197" t="s">
        <v>50</v>
      </c>
      <c r="K493" s="197" t="s">
        <v>50</v>
      </c>
      <c r="L493" s="197" t="s">
        <v>50</v>
      </c>
      <c r="M493" s="197" t="s">
        <v>50</v>
      </c>
      <c r="N493" s="197" t="s">
        <v>50</v>
      </c>
      <c r="O493" s="149" t="s">
        <v>48</v>
      </c>
      <c r="P493" s="149">
        <v>0</v>
      </c>
      <c r="Q493" s="149" t="s">
        <v>50</v>
      </c>
      <c r="R493" s="149" t="s">
        <v>50</v>
      </c>
      <c r="S493" s="161" t="s">
        <v>50</v>
      </c>
      <c r="T493" s="162" t="s">
        <v>50</v>
      </c>
      <c r="U493" s="162" t="s">
        <v>50</v>
      </c>
      <c r="V493" s="161" t="s">
        <v>50</v>
      </c>
      <c r="W493" s="161" t="s">
        <v>50</v>
      </c>
      <c r="X493" s="161" t="s">
        <v>50</v>
      </c>
      <c r="Y493" s="152" t="s">
        <v>8194</v>
      </c>
    </row>
    <row r="494" spans="1:25" s="27" customFormat="1" x14ac:dyDescent="0.25">
      <c r="A494" s="36">
        <v>43053</v>
      </c>
      <c r="B494" s="92" t="str">
        <f t="shared" si="7"/>
        <v>Tue</v>
      </c>
      <c r="C494" s="27" t="s">
        <v>88</v>
      </c>
      <c r="D494" s="89">
        <v>38.063339999999997</v>
      </c>
      <c r="E494" s="89">
        <v>-121.79245</v>
      </c>
      <c r="F494" s="27" t="s">
        <v>8195</v>
      </c>
      <c r="G494" s="27" t="s">
        <v>27</v>
      </c>
      <c r="H494" s="27" t="s">
        <v>25</v>
      </c>
      <c r="I494" s="84">
        <v>0.33402777777777781</v>
      </c>
      <c r="J494" s="82">
        <v>127.25999999999999</v>
      </c>
      <c r="K494" s="82">
        <v>14.66</v>
      </c>
      <c r="L494" s="82">
        <v>12.075999999999999</v>
      </c>
      <c r="M494" s="82">
        <v>1.3740000000000001</v>
      </c>
      <c r="N494" s="4">
        <v>10.274999999999999</v>
      </c>
      <c r="O494" s="27" t="s">
        <v>48</v>
      </c>
      <c r="P494" s="27">
        <v>5</v>
      </c>
      <c r="Q494" s="27">
        <v>5</v>
      </c>
      <c r="R494" s="27" t="s">
        <v>64</v>
      </c>
      <c r="S494" s="32" t="s">
        <v>50</v>
      </c>
      <c r="T494" s="79" t="s">
        <v>50</v>
      </c>
      <c r="U494" s="79" t="s">
        <v>50</v>
      </c>
      <c r="V494" s="32" t="s">
        <v>50</v>
      </c>
      <c r="W494" s="32" t="s">
        <v>50</v>
      </c>
      <c r="X494" s="32" t="s">
        <v>50</v>
      </c>
      <c r="Y494" s="35" t="s">
        <v>7934</v>
      </c>
    </row>
    <row r="495" spans="1:25" s="27" customFormat="1" x14ac:dyDescent="0.25">
      <c r="A495" s="36">
        <v>43053</v>
      </c>
      <c r="B495" s="92" t="str">
        <f t="shared" si="7"/>
        <v>Tue</v>
      </c>
      <c r="C495" s="27" t="s">
        <v>88</v>
      </c>
      <c r="D495" s="89">
        <v>38.103020000000001</v>
      </c>
      <c r="E495" s="89">
        <v>-121.70675</v>
      </c>
      <c r="F495" s="27" t="s">
        <v>8196</v>
      </c>
      <c r="G495" s="27" t="s">
        <v>90</v>
      </c>
      <c r="H495" s="27" t="s">
        <v>91</v>
      </c>
      <c r="I495" s="84">
        <v>0.38125000000000003</v>
      </c>
      <c r="J495" s="82">
        <v>159.63999999999999</v>
      </c>
      <c r="K495" s="82">
        <v>15.220000000000002</v>
      </c>
      <c r="L495" s="82">
        <v>12.139999999999999</v>
      </c>
      <c r="M495" s="82">
        <v>1.6879999999999999</v>
      </c>
      <c r="N495" s="4">
        <v>3.22</v>
      </c>
      <c r="O495" s="27" t="s">
        <v>48</v>
      </c>
      <c r="P495" s="27">
        <v>5</v>
      </c>
      <c r="Q495" s="27">
        <v>5</v>
      </c>
      <c r="R495" s="27" t="s">
        <v>64</v>
      </c>
      <c r="S495" s="32" t="s">
        <v>50</v>
      </c>
      <c r="T495" s="79" t="s">
        <v>50</v>
      </c>
      <c r="U495" s="79" t="s">
        <v>50</v>
      </c>
      <c r="V495" s="32" t="s">
        <v>50</v>
      </c>
      <c r="W495" s="32" t="s">
        <v>50</v>
      </c>
      <c r="X495" s="32" t="s">
        <v>50</v>
      </c>
      <c r="Y495" s="35" t="s">
        <v>7934</v>
      </c>
    </row>
    <row r="496" spans="1:25" s="27" customFormat="1" x14ac:dyDescent="0.25">
      <c r="A496" s="36">
        <v>43054</v>
      </c>
      <c r="B496" s="92" t="str">
        <f t="shared" si="7"/>
        <v>Wed</v>
      </c>
      <c r="C496" s="27" t="s">
        <v>7570</v>
      </c>
      <c r="D496" s="89">
        <v>38.05968</v>
      </c>
      <c r="E496" s="89">
        <v>-122.04232</v>
      </c>
      <c r="F496" s="27" t="s">
        <v>8197</v>
      </c>
      <c r="G496" s="27" t="s">
        <v>27</v>
      </c>
      <c r="H496" s="27" t="s">
        <v>86</v>
      </c>
      <c r="I496" s="84">
        <v>0.34791666666666665</v>
      </c>
      <c r="J496" s="82">
        <v>8000.2</v>
      </c>
      <c r="K496" s="82">
        <v>15.2</v>
      </c>
      <c r="L496" s="82">
        <v>12.98</v>
      </c>
      <c r="M496" s="82">
        <v>0.79800000000000004</v>
      </c>
      <c r="N496" s="4">
        <v>8.8800000000000008</v>
      </c>
      <c r="O496" s="27" t="s">
        <v>48</v>
      </c>
      <c r="P496" s="27">
        <v>5</v>
      </c>
      <c r="Q496" s="27">
        <v>5</v>
      </c>
      <c r="R496" s="27" t="s">
        <v>64</v>
      </c>
      <c r="S496" s="27" t="s">
        <v>50</v>
      </c>
      <c r="T496" s="27" t="s">
        <v>50</v>
      </c>
      <c r="U496" s="27" t="s">
        <v>50</v>
      </c>
      <c r="V496" s="27" t="s">
        <v>50</v>
      </c>
      <c r="W496" s="27" t="s">
        <v>50</v>
      </c>
      <c r="X496" s="27" t="s">
        <v>50</v>
      </c>
      <c r="Y496" s="35" t="s">
        <v>7934</v>
      </c>
    </row>
    <row r="497" spans="1:25" s="27" customFormat="1" x14ac:dyDescent="0.25">
      <c r="A497" s="36">
        <v>43054</v>
      </c>
      <c r="B497" s="92" t="str">
        <f t="shared" si="7"/>
        <v>Wed</v>
      </c>
      <c r="C497" s="27" t="s">
        <v>7570</v>
      </c>
      <c r="D497" s="89">
        <v>38.098999999999997</v>
      </c>
      <c r="E497" s="89">
        <v>-122.04033</v>
      </c>
      <c r="F497" s="27" t="s">
        <v>8198</v>
      </c>
      <c r="G497" s="27" t="s">
        <v>27</v>
      </c>
      <c r="H497" s="27" t="s">
        <v>86</v>
      </c>
      <c r="I497" s="84">
        <v>0.4145833333333333</v>
      </c>
      <c r="J497" s="82">
        <v>10449</v>
      </c>
      <c r="K497" s="82">
        <v>15.04</v>
      </c>
      <c r="L497" s="82">
        <v>19.34</v>
      </c>
      <c r="M497" s="82">
        <v>0.63200000000000001</v>
      </c>
      <c r="N497" s="4">
        <v>6.7</v>
      </c>
      <c r="O497" s="27" t="s">
        <v>48</v>
      </c>
      <c r="P497" s="27">
        <v>5</v>
      </c>
      <c r="Q497" s="27">
        <v>5</v>
      </c>
      <c r="R497" s="27" t="s">
        <v>64</v>
      </c>
      <c r="S497" s="27" t="s">
        <v>50</v>
      </c>
      <c r="T497" s="27" t="s">
        <v>50</v>
      </c>
      <c r="U497" s="27" t="s">
        <v>50</v>
      </c>
      <c r="V497" s="27" t="s">
        <v>50</v>
      </c>
      <c r="W497" s="27" t="s">
        <v>50</v>
      </c>
      <c r="X497" s="27" t="s">
        <v>50</v>
      </c>
      <c r="Y497" s="35" t="s">
        <v>7934</v>
      </c>
    </row>
    <row r="498" spans="1:25" s="27" customFormat="1" x14ac:dyDescent="0.25">
      <c r="A498" s="36">
        <v>43054</v>
      </c>
      <c r="B498" s="92" t="str">
        <f t="shared" si="7"/>
        <v>Wed</v>
      </c>
      <c r="C498" s="27" t="s">
        <v>106</v>
      </c>
      <c r="D498" s="89">
        <v>38.561010000000003</v>
      </c>
      <c r="E498" s="89">
        <v>-121.54013999999999</v>
      </c>
      <c r="F498" s="27" t="s">
        <v>8199</v>
      </c>
      <c r="G498" s="27" t="s">
        <v>90</v>
      </c>
      <c r="H498" s="27" t="s">
        <v>7577</v>
      </c>
      <c r="I498" s="84">
        <v>0.36319444444444443</v>
      </c>
      <c r="J498" s="82">
        <v>681.6</v>
      </c>
      <c r="K498" s="82">
        <v>16.2</v>
      </c>
      <c r="L498" s="82">
        <v>7.6239999999999997</v>
      </c>
      <c r="M498" s="82">
        <v>1.8</v>
      </c>
      <c r="N498" s="4">
        <v>4.78</v>
      </c>
      <c r="O498" s="27" t="s">
        <v>48</v>
      </c>
      <c r="P498" s="27">
        <v>5</v>
      </c>
      <c r="Q498" s="27">
        <v>5</v>
      </c>
      <c r="R498" s="27" t="s">
        <v>49</v>
      </c>
      <c r="S498" s="27" t="s">
        <v>50</v>
      </c>
      <c r="T498" s="27" t="s">
        <v>50</v>
      </c>
      <c r="U498" s="27" t="s">
        <v>50</v>
      </c>
      <c r="V498" s="27" t="s">
        <v>50</v>
      </c>
      <c r="W498" s="27" t="s">
        <v>50</v>
      </c>
      <c r="X498" s="27" t="s">
        <v>50</v>
      </c>
      <c r="Y498" s="35" t="s">
        <v>7934</v>
      </c>
    </row>
    <row r="499" spans="1:25" s="27" customFormat="1" x14ac:dyDescent="0.25">
      <c r="A499" s="36">
        <v>43054</v>
      </c>
      <c r="B499" s="92" t="str">
        <f t="shared" si="7"/>
        <v>Wed</v>
      </c>
      <c r="C499" s="27" t="s">
        <v>106</v>
      </c>
      <c r="D499" s="89">
        <v>38.390590000000003</v>
      </c>
      <c r="E499" s="89">
        <v>-121.62255</v>
      </c>
      <c r="F499" s="27" t="s">
        <v>8200</v>
      </c>
      <c r="G499" s="27" t="s">
        <v>90</v>
      </c>
      <c r="H499" s="27" t="s">
        <v>7577</v>
      </c>
      <c r="I499" s="84">
        <v>0.4368055555555555</v>
      </c>
      <c r="J499" s="82">
        <v>353.1</v>
      </c>
      <c r="K499" s="82">
        <v>15.28</v>
      </c>
      <c r="L499" s="82">
        <v>194.6</v>
      </c>
      <c r="M499" s="82">
        <v>0.36199999999999999</v>
      </c>
      <c r="N499" s="4">
        <v>8.1</v>
      </c>
      <c r="O499" s="27" t="s">
        <v>48</v>
      </c>
      <c r="P499" s="27">
        <v>5</v>
      </c>
      <c r="Q499" s="27">
        <v>5</v>
      </c>
      <c r="R499" s="27" t="s">
        <v>64</v>
      </c>
      <c r="S499" s="27" t="s">
        <v>50</v>
      </c>
      <c r="T499" s="27" t="s">
        <v>50</v>
      </c>
      <c r="U499" s="27" t="s">
        <v>50</v>
      </c>
      <c r="V499" s="27" t="s">
        <v>50</v>
      </c>
      <c r="W499" s="27" t="s">
        <v>50</v>
      </c>
      <c r="X499" s="27" t="s">
        <v>50</v>
      </c>
      <c r="Y499" s="35" t="s">
        <v>7934</v>
      </c>
    </row>
    <row r="500" spans="1:25" s="27" customFormat="1" x14ac:dyDescent="0.25">
      <c r="A500" s="36">
        <v>43054</v>
      </c>
      <c r="B500" s="92" t="str">
        <f t="shared" si="7"/>
        <v>Wed</v>
      </c>
      <c r="C500" s="27" t="s">
        <v>44</v>
      </c>
      <c r="D500" s="89">
        <v>38.015059999999998</v>
      </c>
      <c r="E500" s="89">
        <v>-121.51682</v>
      </c>
      <c r="F500" s="27" t="s">
        <v>8201</v>
      </c>
      <c r="G500" s="27" t="s">
        <v>46</v>
      </c>
      <c r="H500" s="27" t="s">
        <v>6939</v>
      </c>
      <c r="I500" s="84">
        <v>0.31597222222222221</v>
      </c>
      <c r="J500" s="82">
        <v>168.83750000000001</v>
      </c>
      <c r="K500" s="82">
        <v>15.4</v>
      </c>
      <c r="L500" s="82">
        <v>4.26</v>
      </c>
      <c r="M500" s="82">
        <v>2.2437499999999999</v>
      </c>
      <c r="N500" s="4">
        <v>7.2625000000000002</v>
      </c>
      <c r="O500" s="27" t="s">
        <v>48</v>
      </c>
      <c r="P500" s="27">
        <v>8</v>
      </c>
      <c r="Q500" s="27">
        <v>10</v>
      </c>
      <c r="R500" s="27" t="s">
        <v>49</v>
      </c>
      <c r="S500" s="27" t="s">
        <v>50</v>
      </c>
      <c r="T500" s="27" t="s">
        <v>50</v>
      </c>
      <c r="U500" s="27" t="s">
        <v>50</v>
      </c>
      <c r="V500" s="27" t="s">
        <v>50</v>
      </c>
      <c r="W500" s="27" t="s">
        <v>50</v>
      </c>
      <c r="X500" s="27" t="s">
        <v>50</v>
      </c>
      <c r="Y500" s="35"/>
    </row>
    <row r="501" spans="1:25" s="27" customFormat="1" x14ac:dyDescent="0.25">
      <c r="A501" s="36">
        <v>43054</v>
      </c>
      <c r="B501" s="92" t="str">
        <f t="shared" si="7"/>
        <v>Wed</v>
      </c>
      <c r="C501" s="27" t="s">
        <v>44</v>
      </c>
      <c r="D501" s="89">
        <v>38.052439999999997</v>
      </c>
      <c r="E501" s="89">
        <v>-121.46599000000001</v>
      </c>
      <c r="F501" s="27" t="s">
        <v>8202</v>
      </c>
      <c r="G501" s="27" t="s">
        <v>46</v>
      </c>
      <c r="H501" s="27" t="s">
        <v>6883</v>
      </c>
      <c r="I501" s="84">
        <v>0.42083333333333334</v>
      </c>
      <c r="J501" s="82">
        <v>177.1</v>
      </c>
      <c r="K501" s="82">
        <v>15.137499999999999</v>
      </c>
      <c r="L501" s="82">
        <v>6.7312500000000002</v>
      </c>
      <c r="M501" s="82">
        <v>1.98</v>
      </c>
      <c r="N501" s="4">
        <v>6.2874999999999996</v>
      </c>
      <c r="O501" s="27" t="s">
        <v>48</v>
      </c>
      <c r="P501" s="27">
        <v>8</v>
      </c>
      <c r="Q501" s="27">
        <v>10</v>
      </c>
      <c r="R501" s="27" t="s">
        <v>64</v>
      </c>
      <c r="S501" s="27" t="s">
        <v>50</v>
      </c>
      <c r="T501" s="27" t="s">
        <v>50</v>
      </c>
      <c r="U501" s="27" t="s">
        <v>50</v>
      </c>
      <c r="V501" s="27" t="s">
        <v>50</v>
      </c>
      <c r="W501" s="27" t="s">
        <v>50</v>
      </c>
      <c r="X501" s="27" t="s">
        <v>50</v>
      </c>
      <c r="Y501" s="35"/>
    </row>
    <row r="502" spans="1:25" s="27" customFormat="1" x14ac:dyDescent="0.25">
      <c r="A502" s="36">
        <v>43055</v>
      </c>
      <c r="B502" s="92" t="str">
        <f t="shared" si="7"/>
        <v>Thu</v>
      </c>
      <c r="C502" s="27" t="s">
        <v>95</v>
      </c>
      <c r="D502" s="89">
        <v>38.04571</v>
      </c>
      <c r="E502" s="89">
        <v>-121.84448999999999</v>
      </c>
      <c r="F502" s="27" t="s">
        <v>8203</v>
      </c>
      <c r="G502" s="27" t="s">
        <v>27</v>
      </c>
      <c r="H502" s="27" t="s">
        <v>95</v>
      </c>
      <c r="I502" s="84">
        <v>0.33263888888888887</v>
      </c>
      <c r="J502" s="82">
        <v>1664.6</v>
      </c>
      <c r="K502" s="82">
        <v>15.3</v>
      </c>
      <c r="L502" s="82">
        <v>20.059999999999999</v>
      </c>
      <c r="M502" s="82">
        <v>0.628</v>
      </c>
      <c r="N502" s="4">
        <v>6.54</v>
      </c>
      <c r="O502" s="27" t="s">
        <v>48</v>
      </c>
      <c r="P502" s="27">
        <v>5</v>
      </c>
      <c r="Q502" s="27">
        <v>5</v>
      </c>
      <c r="R502" s="27" t="s">
        <v>49</v>
      </c>
      <c r="S502" s="27" t="s">
        <v>50</v>
      </c>
      <c r="T502" s="27" t="s">
        <v>50</v>
      </c>
      <c r="U502" s="27" t="s">
        <v>50</v>
      </c>
      <c r="V502" s="27" t="s">
        <v>50</v>
      </c>
      <c r="W502" s="27" t="s">
        <v>50</v>
      </c>
      <c r="X502" s="27" t="s">
        <v>50</v>
      </c>
      <c r="Y502" s="35"/>
    </row>
    <row r="503" spans="1:25" s="27" customFormat="1" x14ac:dyDescent="0.25">
      <c r="A503" s="36">
        <v>43055</v>
      </c>
      <c r="B503" s="92" t="str">
        <f t="shared" si="7"/>
        <v>Thu</v>
      </c>
      <c r="C503" s="27" t="s">
        <v>95</v>
      </c>
      <c r="D503" s="89">
        <v>38.050420000000003</v>
      </c>
      <c r="E503" s="89">
        <v>-121.69152</v>
      </c>
      <c r="F503" s="27" t="s">
        <v>8204</v>
      </c>
      <c r="G503" s="27" t="s">
        <v>27</v>
      </c>
      <c r="H503" s="27" t="s">
        <v>97</v>
      </c>
      <c r="I503" s="84">
        <v>0.40625</v>
      </c>
      <c r="J503" s="82">
        <v>183.66</v>
      </c>
      <c r="K503" s="82">
        <v>15.34</v>
      </c>
      <c r="L503" s="82">
        <v>6.1219999999999999</v>
      </c>
      <c r="M503" s="82">
        <v>1.8140000000000001</v>
      </c>
      <c r="N503" s="4">
        <v>11.84</v>
      </c>
      <c r="O503" s="27" t="s">
        <v>48</v>
      </c>
      <c r="P503" s="27">
        <v>5</v>
      </c>
      <c r="Q503" s="27">
        <v>5</v>
      </c>
      <c r="R503" s="27" t="s">
        <v>49</v>
      </c>
      <c r="S503" s="27" t="s">
        <v>50</v>
      </c>
      <c r="T503" s="27" t="s">
        <v>50</v>
      </c>
      <c r="U503" s="27" t="s">
        <v>50</v>
      </c>
      <c r="V503" s="27" t="s">
        <v>50</v>
      </c>
      <c r="W503" s="27" t="s">
        <v>50</v>
      </c>
      <c r="X503" s="27" t="s">
        <v>50</v>
      </c>
      <c r="Y503" s="35"/>
    </row>
    <row r="504" spans="1:25" s="149" customFormat="1" x14ac:dyDescent="0.25">
      <c r="A504" s="160">
        <v>43055</v>
      </c>
      <c r="B504" s="148" t="str">
        <f t="shared" si="7"/>
        <v>Thu</v>
      </c>
      <c r="C504" s="149" t="s">
        <v>845</v>
      </c>
      <c r="D504" s="150">
        <v>38.292479999999998</v>
      </c>
      <c r="E504" s="150">
        <v>-121.72507</v>
      </c>
      <c r="F504" s="149" t="s">
        <v>8205</v>
      </c>
      <c r="G504" s="149" t="s">
        <v>90</v>
      </c>
      <c r="H504" s="149" t="s">
        <v>126</v>
      </c>
      <c r="I504" s="151">
        <v>0.34027777777777773</v>
      </c>
      <c r="J504" s="197" t="s">
        <v>50</v>
      </c>
      <c r="K504" s="197" t="s">
        <v>50</v>
      </c>
      <c r="L504" s="197" t="s">
        <v>50</v>
      </c>
      <c r="M504" s="197" t="s">
        <v>50</v>
      </c>
      <c r="N504" s="197" t="s">
        <v>50</v>
      </c>
      <c r="O504" s="149" t="s">
        <v>48</v>
      </c>
      <c r="P504" s="149">
        <v>0</v>
      </c>
      <c r="Q504" s="149" t="s">
        <v>50</v>
      </c>
      <c r="R504" s="149" t="s">
        <v>50</v>
      </c>
      <c r="S504" s="161" t="s">
        <v>50</v>
      </c>
      <c r="T504" s="162" t="s">
        <v>50</v>
      </c>
      <c r="U504" s="162" t="s">
        <v>50</v>
      </c>
      <c r="V504" s="161" t="s">
        <v>50</v>
      </c>
      <c r="W504" s="161" t="s">
        <v>50</v>
      </c>
      <c r="X504" s="161" t="s">
        <v>50</v>
      </c>
      <c r="Y504" s="152" t="s">
        <v>7049</v>
      </c>
    </row>
    <row r="505" spans="1:25" s="27" customFormat="1" x14ac:dyDescent="0.25">
      <c r="A505" s="36">
        <v>43055</v>
      </c>
      <c r="B505" s="92" t="str">
        <f t="shared" si="7"/>
        <v>Thu</v>
      </c>
      <c r="C505" s="27" t="s">
        <v>845</v>
      </c>
      <c r="D505" s="89">
        <v>38.247950000000003</v>
      </c>
      <c r="E505" s="89">
        <v>-121.67543000000001</v>
      </c>
      <c r="F505" s="27" t="s">
        <v>8206</v>
      </c>
      <c r="G505" s="27" t="s">
        <v>90</v>
      </c>
      <c r="H505" s="27" t="s">
        <v>126</v>
      </c>
      <c r="I505" s="84">
        <v>0.34652777777777777</v>
      </c>
      <c r="J505" s="82">
        <v>122.44</v>
      </c>
      <c r="K505" s="82">
        <v>14.7</v>
      </c>
      <c r="L505" s="82">
        <v>17.62</v>
      </c>
      <c r="M505" s="82">
        <v>1.764</v>
      </c>
      <c r="N505" s="4">
        <v>8.74</v>
      </c>
      <c r="O505" s="27" t="s">
        <v>48</v>
      </c>
      <c r="P505" s="27">
        <v>5</v>
      </c>
      <c r="Q505" s="27">
        <v>5</v>
      </c>
      <c r="R505" s="27" t="s">
        <v>49</v>
      </c>
      <c r="S505" s="32" t="s">
        <v>50</v>
      </c>
      <c r="T505" s="79" t="s">
        <v>50</v>
      </c>
      <c r="U505" s="79" t="s">
        <v>50</v>
      </c>
      <c r="V505" s="32" t="s">
        <v>50</v>
      </c>
      <c r="W505" s="32" t="s">
        <v>50</v>
      </c>
      <c r="X505" s="32" t="s">
        <v>50</v>
      </c>
      <c r="Y505" s="35" t="s">
        <v>7934</v>
      </c>
    </row>
    <row r="506" spans="1:25" s="27" customFormat="1" x14ac:dyDescent="0.25">
      <c r="A506" s="36">
        <v>43055</v>
      </c>
      <c r="B506" s="92" t="str">
        <f t="shared" si="7"/>
        <v>Thu</v>
      </c>
      <c r="C506" s="27" t="s">
        <v>845</v>
      </c>
      <c r="D506" s="89">
        <v>38.260019999999997</v>
      </c>
      <c r="E506" s="89">
        <v>-121.74075000000001</v>
      </c>
      <c r="F506" s="27" t="s">
        <v>8207</v>
      </c>
      <c r="G506" s="27" t="s">
        <v>90</v>
      </c>
      <c r="H506" s="27" t="s">
        <v>126</v>
      </c>
      <c r="I506" s="84">
        <v>0.41180555555555554</v>
      </c>
      <c r="J506" s="82">
        <v>115.36</v>
      </c>
      <c r="K506" s="82">
        <v>14.8</v>
      </c>
      <c r="L506" s="82">
        <v>9.9459999999999997</v>
      </c>
      <c r="M506" s="82">
        <v>1.8</v>
      </c>
      <c r="N506" s="4">
        <v>5.3</v>
      </c>
      <c r="O506" s="27" t="s">
        <v>48</v>
      </c>
      <c r="P506" s="27">
        <v>5</v>
      </c>
      <c r="Q506" s="27">
        <v>5</v>
      </c>
      <c r="R506" s="27" t="s">
        <v>49</v>
      </c>
      <c r="S506" s="32" t="s">
        <v>50</v>
      </c>
      <c r="T506" s="79" t="s">
        <v>50</v>
      </c>
      <c r="U506" s="79" t="s">
        <v>50</v>
      </c>
      <c r="V506" s="32" t="s">
        <v>50</v>
      </c>
      <c r="W506" s="32" t="s">
        <v>50</v>
      </c>
      <c r="X506" s="32" t="s">
        <v>50</v>
      </c>
      <c r="Y506" s="35" t="s">
        <v>8208</v>
      </c>
    </row>
    <row r="507" spans="1:25" s="27" customFormat="1" x14ac:dyDescent="0.25">
      <c r="A507" s="36">
        <v>43055</v>
      </c>
      <c r="B507" s="92" t="str">
        <f t="shared" si="7"/>
        <v>Thu</v>
      </c>
      <c r="C507" s="27" t="s">
        <v>7570</v>
      </c>
      <c r="D507" s="89">
        <v>38.072670000000002</v>
      </c>
      <c r="E507" s="89">
        <v>-122.00779</v>
      </c>
      <c r="F507" s="27" t="s">
        <v>8209</v>
      </c>
      <c r="G507" s="27" t="s">
        <v>27</v>
      </c>
      <c r="H507" s="27" t="s">
        <v>86</v>
      </c>
      <c r="I507" s="84">
        <v>0.3444444444444445</v>
      </c>
      <c r="J507" s="82">
        <v>9153.4</v>
      </c>
      <c r="K507" s="82">
        <v>15.1</v>
      </c>
      <c r="L507" s="82">
        <v>18.68</v>
      </c>
      <c r="M507" s="82">
        <v>0.502</v>
      </c>
      <c r="N507" s="4">
        <v>8.58</v>
      </c>
      <c r="O507" s="27" t="s">
        <v>48</v>
      </c>
      <c r="P507" s="27">
        <v>5</v>
      </c>
      <c r="Q507" s="27">
        <v>5</v>
      </c>
      <c r="R507" s="27" t="s">
        <v>64</v>
      </c>
      <c r="S507" s="32" t="s">
        <v>50</v>
      </c>
      <c r="T507" s="79" t="s">
        <v>50</v>
      </c>
      <c r="U507" s="79" t="s">
        <v>50</v>
      </c>
      <c r="V507" s="32" t="s">
        <v>50</v>
      </c>
      <c r="W507" s="32" t="s">
        <v>50</v>
      </c>
      <c r="X507" s="32" t="s">
        <v>50</v>
      </c>
      <c r="Y507" s="35" t="s">
        <v>7934</v>
      </c>
    </row>
    <row r="508" spans="1:25" s="108" customFormat="1" ht="15.75" thickBot="1" x14ac:dyDescent="0.3">
      <c r="A508" s="117">
        <v>43055</v>
      </c>
      <c r="B508" s="107" t="str">
        <f t="shared" si="7"/>
        <v>Thu</v>
      </c>
      <c r="C508" s="108" t="s">
        <v>7570</v>
      </c>
      <c r="D508" s="109">
        <v>38.048259999999999</v>
      </c>
      <c r="E508" s="109">
        <v>-121.93566</v>
      </c>
      <c r="F508" s="108" t="s">
        <v>8210</v>
      </c>
      <c r="G508" s="108" t="s">
        <v>27</v>
      </c>
      <c r="H508" s="108" t="s">
        <v>170</v>
      </c>
      <c r="I508" s="110">
        <v>0.40416666666666662</v>
      </c>
      <c r="J508" s="111">
        <v>4842.6000000000004</v>
      </c>
      <c r="K508" s="111">
        <v>15.2</v>
      </c>
      <c r="L508" s="111">
        <v>14.62</v>
      </c>
      <c r="M508" s="111">
        <v>0.67200000000000004</v>
      </c>
      <c r="N508" s="112">
        <v>18.3</v>
      </c>
      <c r="O508" s="108" t="s">
        <v>48</v>
      </c>
      <c r="P508" s="108">
        <v>5</v>
      </c>
      <c r="Q508" s="108">
        <v>5</v>
      </c>
      <c r="R508" s="108" t="s">
        <v>64</v>
      </c>
      <c r="S508" s="118" t="s">
        <v>50</v>
      </c>
      <c r="T508" s="119" t="s">
        <v>50</v>
      </c>
      <c r="U508" s="119" t="s">
        <v>50</v>
      </c>
      <c r="V508" s="118" t="s">
        <v>50</v>
      </c>
      <c r="W508" s="118" t="s">
        <v>50</v>
      </c>
      <c r="X508" s="118" t="s">
        <v>50</v>
      </c>
      <c r="Y508" s="113" t="s">
        <v>7934</v>
      </c>
    </row>
    <row r="509" spans="1:25" s="27" customFormat="1" ht="15.75" thickTop="1" x14ac:dyDescent="0.25">
      <c r="A509" s="29">
        <v>43059</v>
      </c>
      <c r="B509" s="92" t="str">
        <f t="shared" si="7"/>
        <v>Mon</v>
      </c>
      <c r="C509" s="27" t="s">
        <v>88</v>
      </c>
      <c r="D509" s="89">
        <v>38.141249999999999</v>
      </c>
      <c r="E509" s="89">
        <v>-121.69351</v>
      </c>
      <c r="F509" s="27" t="s">
        <v>8211</v>
      </c>
      <c r="G509" s="27" t="s">
        <v>90</v>
      </c>
      <c r="H509" s="27" t="s">
        <v>91</v>
      </c>
      <c r="I509" s="84">
        <v>0.30138888888888887</v>
      </c>
      <c r="J509" s="82">
        <v>123.92</v>
      </c>
      <c r="K509" s="82">
        <v>13.74</v>
      </c>
      <c r="L509" s="82">
        <v>11.38</v>
      </c>
      <c r="M509" s="82">
        <v>1.8</v>
      </c>
      <c r="N509" s="4" t="s">
        <v>50</v>
      </c>
      <c r="O509" s="27" t="s">
        <v>48</v>
      </c>
      <c r="P509" s="27">
        <v>5</v>
      </c>
      <c r="Q509" s="27">
        <v>5</v>
      </c>
      <c r="R509" s="27" t="s">
        <v>49</v>
      </c>
      <c r="S509" s="27" t="s">
        <v>50</v>
      </c>
      <c r="T509" s="116" t="s">
        <v>50</v>
      </c>
      <c r="U509" s="116" t="s">
        <v>50</v>
      </c>
      <c r="V509" s="33" t="s">
        <v>50</v>
      </c>
      <c r="W509" s="33" t="s">
        <v>50</v>
      </c>
      <c r="X509" s="33" t="s">
        <v>50</v>
      </c>
      <c r="Y509" s="35" t="s">
        <v>8212</v>
      </c>
    </row>
    <row r="510" spans="1:25" s="27" customFormat="1" x14ac:dyDescent="0.25">
      <c r="A510" s="36">
        <v>43059</v>
      </c>
      <c r="B510" s="92" t="str">
        <f t="shared" si="7"/>
        <v>Mon</v>
      </c>
      <c r="C510" s="27" t="s">
        <v>88</v>
      </c>
      <c r="D510" s="89">
        <v>38.070279999999997</v>
      </c>
      <c r="E510" s="89">
        <v>-121.8318</v>
      </c>
      <c r="F510" s="27" t="s">
        <v>8213</v>
      </c>
      <c r="G510" s="27" t="s">
        <v>90</v>
      </c>
      <c r="H510" s="27" t="s">
        <v>25</v>
      </c>
      <c r="I510" s="84">
        <v>0.35416666666666669</v>
      </c>
      <c r="J510" s="82">
        <v>1591.5</v>
      </c>
      <c r="K510" s="82">
        <v>14.55</v>
      </c>
      <c r="L510" s="82">
        <v>37.225000000000001</v>
      </c>
      <c r="M510" s="82">
        <v>0.63500000000000001</v>
      </c>
      <c r="N510" s="4" t="s">
        <v>50</v>
      </c>
      <c r="O510" s="27" t="s">
        <v>48</v>
      </c>
      <c r="P510" s="27">
        <v>4</v>
      </c>
      <c r="Q510" s="27">
        <v>5</v>
      </c>
      <c r="R510" s="27" t="s">
        <v>49</v>
      </c>
      <c r="S510" s="32" t="s">
        <v>323</v>
      </c>
      <c r="T510" s="79">
        <v>1</v>
      </c>
      <c r="U510" s="79">
        <v>51</v>
      </c>
      <c r="V510" s="32" t="s">
        <v>66</v>
      </c>
      <c r="W510" s="32" t="s">
        <v>50</v>
      </c>
      <c r="X510" s="32" t="s">
        <v>50</v>
      </c>
      <c r="Y510" s="35" t="s">
        <v>8214</v>
      </c>
    </row>
    <row r="511" spans="1:25" s="27" customFormat="1" x14ac:dyDescent="0.25">
      <c r="A511" s="36">
        <v>43059</v>
      </c>
      <c r="B511" s="92" t="str">
        <f t="shared" si="7"/>
        <v>Mon</v>
      </c>
      <c r="C511" s="27" t="s">
        <v>44</v>
      </c>
      <c r="D511" s="89">
        <v>37.861069999999998</v>
      </c>
      <c r="E511" s="89">
        <v>-121.58065999999999</v>
      </c>
      <c r="F511" s="27" t="s">
        <v>8215</v>
      </c>
      <c r="G511" s="27" t="s">
        <v>46</v>
      </c>
      <c r="H511" s="27" t="s">
        <v>202</v>
      </c>
      <c r="I511" s="84">
        <v>0.34236111111111112</v>
      </c>
      <c r="J511" s="31">
        <v>161.83750000000001</v>
      </c>
      <c r="K511" s="31">
        <v>14.5875</v>
      </c>
      <c r="L511" s="31">
        <v>4.7387499999999996</v>
      </c>
      <c r="M511" s="31">
        <v>1.8</v>
      </c>
      <c r="N511" s="28">
        <v>2.4</v>
      </c>
      <c r="O511" s="32" t="s">
        <v>48</v>
      </c>
      <c r="P511" s="32">
        <v>8</v>
      </c>
      <c r="Q511" s="32">
        <v>10</v>
      </c>
      <c r="R511" s="32" t="s">
        <v>49</v>
      </c>
      <c r="S511" s="27" t="s">
        <v>50</v>
      </c>
      <c r="T511" s="79" t="s">
        <v>50</v>
      </c>
      <c r="U511" s="79" t="s">
        <v>50</v>
      </c>
      <c r="V511" s="32" t="s">
        <v>50</v>
      </c>
      <c r="W511" s="32" t="s">
        <v>50</v>
      </c>
      <c r="X511" s="32" t="s">
        <v>50</v>
      </c>
      <c r="Y511" s="35" t="s">
        <v>8216</v>
      </c>
    </row>
    <row r="512" spans="1:25" s="27" customFormat="1" x14ac:dyDescent="0.25">
      <c r="A512" s="36">
        <v>43059</v>
      </c>
      <c r="B512" s="92" t="str">
        <f t="shared" si="7"/>
        <v>Mon</v>
      </c>
      <c r="C512" s="27" t="s">
        <v>44</v>
      </c>
      <c r="D512" s="89">
        <v>37.951880000000003</v>
      </c>
      <c r="E512" s="89">
        <v>-121.56464</v>
      </c>
      <c r="F512" s="27" t="s">
        <v>8217</v>
      </c>
      <c r="G512" s="27" t="s">
        <v>46</v>
      </c>
      <c r="H512" s="27" t="s">
        <v>199</v>
      </c>
      <c r="I512" s="84">
        <v>0.45416666666666666</v>
      </c>
      <c r="J512" s="82">
        <v>147.33750000000001</v>
      </c>
      <c r="K512" s="82">
        <v>14.5</v>
      </c>
      <c r="L512" s="82">
        <v>2.6287500000000001</v>
      </c>
      <c r="M512" s="82">
        <v>1.8</v>
      </c>
      <c r="N512" s="4">
        <v>5.2750000000000004</v>
      </c>
      <c r="O512" s="27" t="s">
        <v>48</v>
      </c>
      <c r="P512" s="27">
        <v>8</v>
      </c>
      <c r="Q512" s="27">
        <v>10</v>
      </c>
      <c r="R512" s="27" t="s">
        <v>49</v>
      </c>
      <c r="S512" s="27" t="s">
        <v>50</v>
      </c>
      <c r="T512" s="79" t="s">
        <v>50</v>
      </c>
      <c r="U512" s="79" t="s">
        <v>50</v>
      </c>
      <c r="V512" s="32" t="s">
        <v>50</v>
      </c>
      <c r="W512" s="32" t="s">
        <v>50</v>
      </c>
      <c r="X512" s="32" t="s">
        <v>50</v>
      </c>
      <c r="Y512" s="35"/>
    </row>
    <row r="513" spans="1:25" s="27" customFormat="1" x14ac:dyDescent="0.25">
      <c r="A513" s="36">
        <v>43059</v>
      </c>
      <c r="B513" s="92" t="str">
        <f t="shared" si="7"/>
        <v>Mon</v>
      </c>
      <c r="C513" s="27" t="s">
        <v>118</v>
      </c>
      <c r="D513" s="89">
        <v>38.038400000000003</v>
      </c>
      <c r="E513" s="89">
        <v>-122.1442</v>
      </c>
      <c r="F513" s="27" t="s">
        <v>8218</v>
      </c>
      <c r="G513" s="27" t="s">
        <v>80</v>
      </c>
      <c r="H513" s="27" t="s">
        <v>120</v>
      </c>
      <c r="I513" s="84">
        <v>0.38958333333333334</v>
      </c>
      <c r="J513" s="82">
        <v>13484.5</v>
      </c>
      <c r="K513" s="82">
        <v>14.637499999999999</v>
      </c>
      <c r="L513" s="82">
        <v>19.737500000000001</v>
      </c>
      <c r="M513" s="82">
        <v>0.50624999999999998</v>
      </c>
      <c r="N513" s="4">
        <v>8.2624999999999993</v>
      </c>
      <c r="O513" s="27" t="s">
        <v>48</v>
      </c>
      <c r="P513" s="27">
        <v>8</v>
      </c>
      <c r="Q513" s="27">
        <v>10</v>
      </c>
      <c r="R513" s="27" t="s">
        <v>49</v>
      </c>
      <c r="S513" s="27" t="s">
        <v>50</v>
      </c>
      <c r="T513" s="79" t="s">
        <v>50</v>
      </c>
      <c r="U513" s="79" t="s">
        <v>50</v>
      </c>
      <c r="V513" s="32" t="s">
        <v>50</v>
      </c>
      <c r="W513" s="32" t="s">
        <v>50</v>
      </c>
      <c r="X513" s="32" t="s">
        <v>50</v>
      </c>
      <c r="Y513" s="35"/>
    </row>
    <row r="514" spans="1:25" s="27" customFormat="1" x14ac:dyDescent="0.25">
      <c r="A514" s="36">
        <v>43059</v>
      </c>
      <c r="B514" s="92" t="str">
        <f t="shared" si="7"/>
        <v>Mon</v>
      </c>
      <c r="C514" s="27" t="s">
        <v>118</v>
      </c>
      <c r="D514" s="89">
        <v>38.035559999999997</v>
      </c>
      <c r="E514" s="89">
        <v>-122.13897</v>
      </c>
      <c r="F514" s="27" t="s">
        <v>8219</v>
      </c>
      <c r="G514" s="27" t="s">
        <v>80</v>
      </c>
      <c r="H514" s="27" t="s">
        <v>81</v>
      </c>
      <c r="I514" s="84">
        <v>0.4993055555555555</v>
      </c>
      <c r="J514" s="82">
        <v>15297.38</v>
      </c>
      <c r="K514" s="82">
        <v>14.737500000000001</v>
      </c>
      <c r="L514" s="82">
        <v>12.692500000000001</v>
      </c>
      <c r="M514" s="82">
        <v>0.64624999999999999</v>
      </c>
      <c r="N514" s="4">
        <v>15.975</v>
      </c>
      <c r="O514" s="27" t="s">
        <v>48</v>
      </c>
      <c r="P514" s="27">
        <v>8</v>
      </c>
      <c r="Q514" s="27">
        <v>10</v>
      </c>
      <c r="R514" s="27" t="s">
        <v>64</v>
      </c>
      <c r="S514" s="27" t="s">
        <v>50</v>
      </c>
      <c r="T514" s="79" t="s">
        <v>50</v>
      </c>
      <c r="U514" s="79" t="s">
        <v>50</v>
      </c>
      <c r="V514" s="32" t="s">
        <v>50</v>
      </c>
      <c r="W514" s="32" t="s">
        <v>50</v>
      </c>
      <c r="X514" s="32" t="s">
        <v>50</v>
      </c>
      <c r="Y514" s="35"/>
    </row>
    <row r="515" spans="1:25" s="27" customFormat="1" x14ac:dyDescent="0.25">
      <c r="A515" s="36">
        <v>43060</v>
      </c>
      <c r="B515" s="92" t="str">
        <f t="shared" si="7"/>
        <v>Tue</v>
      </c>
      <c r="C515" s="27" t="s">
        <v>44</v>
      </c>
      <c r="D515" s="89">
        <v>37.973649999999999</v>
      </c>
      <c r="E515" s="89">
        <v>-121.53821000000001</v>
      </c>
      <c r="F515" s="27" t="s">
        <v>8220</v>
      </c>
      <c r="G515" s="27" t="s">
        <v>46</v>
      </c>
      <c r="H515" s="27" t="s">
        <v>6939</v>
      </c>
      <c r="I515" s="84">
        <v>0.31736111111111115</v>
      </c>
      <c r="J515" s="82">
        <v>167.61250000000001</v>
      </c>
      <c r="K515" s="82">
        <v>14.5</v>
      </c>
      <c r="L515" s="82">
        <v>3.71875</v>
      </c>
      <c r="M515" s="82">
        <v>1.8000000000000003</v>
      </c>
      <c r="N515" s="4">
        <v>6.125</v>
      </c>
      <c r="O515" s="27" t="s">
        <v>48</v>
      </c>
      <c r="P515" s="27">
        <v>8</v>
      </c>
      <c r="Q515" s="27">
        <v>10</v>
      </c>
      <c r="R515" s="27" t="s">
        <v>49</v>
      </c>
      <c r="S515" s="27" t="s">
        <v>50</v>
      </c>
      <c r="T515" s="27" t="s">
        <v>50</v>
      </c>
      <c r="U515" s="27" t="s">
        <v>50</v>
      </c>
      <c r="V515" s="27" t="s">
        <v>50</v>
      </c>
      <c r="W515" s="27" t="s">
        <v>50</v>
      </c>
      <c r="X515" s="27" t="s">
        <v>50</v>
      </c>
      <c r="Y515" s="35"/>
    </row>
    <row r="516" spans="1:25" s="27" customFormat="1" x14ac:dyDescent="0.25">
      <c r="A516" s="36">
        <v>43060</v>
      </c>
      <c r="B516" s="92" t="str">
        <f t="shared" ref="B516:B558" si="8">TEXT(A516,"ddd")</f>
        <v>Tue</v>
      </c>
      <c r="C516" s="27" t="s">
        <v>44</v>
      </c>
      <c r="D516" s="89">
        <v>37.987630000000003</v>
      </c>
      <c r="E516" s="89">
        <v>-121.46348999999999</v>
      </c>
      <c r="F516" s="27" t="s">
        <v>8221</v>
      </c>
      <c r="G516" s="27" t="s">
        <v>46</v>
      </c>
      <c r="H516" s="27" t="s">
        <v>6939</v>
      </c>
      <c r="I516" s="84">
        <v>0.41875000000000001</v>
      </c>
      <c r="J516" s="82">
        <v>296.32499999999999</v>
      </c>
      <c r="K516" s="82">
        <v>14.024999999999999</v>
      </c>
      <c r="L516" s="82">
        <v>6.125</v>
      </c>
      <c r="M516" s="82">
        <v>1.6412500000000001</v>
      </c>
      <c r="N516" s="4">
        <v>5.65</v>
      </c>
      <c r="O516" s="27" t="s">
        <v>48</v>
      </c>
      <c r="P516" s="27">
        <v>8</v>
      </c>
      <c r="Q516" s="27">
        <v>10</v>
      </c>
      <c r="R516" s="27" t="s">
        <v>49</v>
      </c>
      <c r="S516" s="27" t="s">
        <v>50</v>
      </c>
      <c r="T516" s="27" t="s">
        <v>50</v>
      </c>
      <c r="U516" s="27" t="s">
        <v>50</v>
      </c>
      <c r="V516" s="27" t="s">
        <v>50</v>
      </c>
      <c r="W516" s="27" t="s">
        <v>50</v>
      </c>
      <c r="X516" s="27" t="s">
        <v>50</v>
      </c>
      <c r="Y516" s="35"/>
    </row>
    <row r="517" spans="1:25" s="27" customFormat="1" x14ac:dyDescent="0.25">
      <c r="A517" s="36">
        <v>43060</v>
      </c>
      <c r="B517" s="92" t="str">
        <f t="shared" si="8"/>
        <v>Tue</v>
      </c>
      <c r="C517" s="27" t="s">
        <v>118</v>
      </c>
      <c r="D517" s="89">
        <v>38.056950000000001</v>
      </c>
      <c r="E517" s="89">
        <v>-122.10933</v>
      </c>
      <c r="F517" s="27" t="s">
        <v>8222</v>
      </c>
      <c r="G517" s="27" t="s">
        <v>80</v>
      </c>
      <c r="H517" s="27" t="s">
        <v>81</v>
      </c>
      <c r="I517" s="84">
        <v>0.31805555555555554</v>
      </c>
      <c r="J517" s="82">
        <v>12656.75</v>
      </c>
      <c r="K517" s="82">
        <v>14.4625</v>
      </c>
      <c r="L517" s="82">
        <v>23.512499999999999</v>
      </c>
      <c r="M517" s="82">
        <v>0.54874999999999996</v>
      </c>
      <c r="N517" s="4">
        <v>10.549999999999999</v>
      </c>
      <c r="O517" s="27" t="s">
        <v>48</v>
      </c>
      <c r="P517" s="27">
        <v>8</v>
      </c>
      <c r="Q517" s="27">
        <v>10</v>
      </c>
      <c r="R517" s="27" t="s">
        <v>49</v>
      </c>
      <c r="S517" s="27" t="s">
        <v>50</v>
      </c>
      <c r="T517" s="27" t="s">
        <v>50</v>
      </c>
      <c r="U517" s="27" t="s">
        <v>50</v>
      </c>
      <c r="V517" s="27" t="s">
        <v>50</v>
      </c>
      <c r="W517" s="27" t="s">
        <v>50</v>
      </c>
      <c r="X517" s="27" t="s">
        <v>50</v>
      </c>
      <c r="Y517" s="35"/>
    </row>
    <row r="518" spans="1:25" s="27" customFormat="1" x14ac:dyDescent="0.25">
      <c r="A518" s="36">
        <v>43060</v>
      </c>
      <c r="B518" s="92" t="str">
        <f t="shared" si="8"/>
        <v>Tue</v>
      </c>
      <c r="C518" s="27" t="s">
        <v>118</v>
      </c>
      <c r="D518" s="89">
        <v>38.0383</v>
      </c>
      <c r="E518" s="89">
        <v>-122.11747</v>
      </c>
      <c r="F518" s="27" t="s">
        <v>8223</v>
      </c>
      <c r="G518" s="27" t="s">
        <v>80</v>
      </c>
      <c r="H518" s="27" t="s">
        <v>81</v>
      </c>
      <c r="I518" s="84">
        <v>0.43541666666666662</v>
      </c>
      <c r="J518" s="82">
        <v>13590.5</v>
      </c>
      <c r="K518" s="82">
        <v>14.625</v>
      </c>
      <c r="L518" s="82">
        <v>13.712499999999999</v>
      </c>
      <c r="M518" s="82">
        <v>0.6</v>
      </c>
      <c r="N518" s="4">
        <v>13.4375</v>
      </c>
      <c r="O518" s="27" t="s">
        <v>48</v>
      </c>
      <c r="P518" s="27">
        <v>8</v>
      </c>
      <c r="Q518" s="27">
        <v>10</v>
      </c>
      <c r="R518" s="27" t="s">
        <v>49</v>
      </c>
      <c r="S518" s="27" t="s">
        <v>50</v>
      </c>
      <c r="T518" s="27" t="s">
        <v>50</v>
      </c>
      <c r="U518" s="27" t="s">
        <v>50</v>
      </c>
      <c r="V518" s="27" t="s">
        <v>50</v>
      </c>
      <c r="W518" s="27" t="s">
        <v>50</v>
      </c>
      <c r="X518" s="27" t="s">
        <v>50</v>
      </c>
      <c r="Y518" s="35"/>
    </row>
    <row r="519" spans="1:25" s="27" customFormat="1" x14ac:dyDescent="0.25">
      <c r="A519" s="96">
        <v>43060</v>
      </c>
      <c r="B519" s="92" t="str">
        <f t="shared" si="8"/>
        <v>Tue</v>
      </c>
      <c r="C519" s="27" t="s">
        <v>6849</v>
      </c>
      <c r="D519" s="89">
        <v>38.19285</v>
      </c>
      <c r="E519" s="89">
        <v>-121.63615</v>
      </c>
      <c r="F519" s="27" t="s">
        <v>8224</v>
      </c>
      <c r="G519" s="27" t="s">
        <v>90</v>
      </c>
      <c r="H519" s="27" t="s">
        <v>6851</v>
      </c>
      <c r="I519" s="84">
        <v>0.31875000000000003</v>
      </c>
      <c r="J519" s="82">
        <v>115.08749999999999</v>
      </c>
      <c r="K519" s="82">
        <v>12.599999999999998</v>
      </c>
      <c r="L519" s="82">
        <v>18.962499999999999</v>
      </c>
      <c r="M519" s="82">
        <v>1.3812500000000003</v>
      </c>
      <c r="N519" s="4" t="s">
        <v>50</v>
      </c>
      <c r="O519" s="27" t="s">
        <v>48</v>
      </c>
      <c r="P519" s="27">
        <v>8</v>
      </c>
      <c r="Q519" s="27">
        <v>10</v>
      </c>
      <c r="R519" s="27" t="s">
        <v>49</v>
      </c>
      <c r="S519" s="27" t="s">
        <v>50</v>
      </c>
      <c r="T519" s="27" t="s">
        <v>50</v>
      </c>
      <c r="U519" s="27" t="s">
        <v>50</v>
      </c>
      <c r="V519" s="27" t="s">
        <v>50</v>
      </c>
      <c r="W519" s="27" t="s">
        <v>50</v>
      </c>
      <c r="X519" s="27" t="s">
        <v>50</v>
      </c>
      <c r="Y519" s="35" t="s">
        <v>8225</v>
      </c>
    </row>
    <row r="520" spans="1:25" s="97" customFormat="1" x14ac:dyDescent="0.25">
      <c r="A520" s="93">
        <v>43060</v>
      </c>
      <c r="B520" s="92" t="str">
        <f t="shared" si="8"/>
        <v>Tue</v>
      </c>
      <c r="C520" s="97" t="s">
        <v>6849</v>
      </c>
      <c r="D520" s="98">
        <v>38.515439999999998</v>
      </c>
      <c r="E520" s="98">
        <v>-121.54725999999999</v>
      </c>
      <c r="F520" s="97" t="s">
        <v>8226</v>
      </c>
      <c r="G520" s="97" t="s">
        <v>90</v>
      </c>
      <c r="H520" s="97" t="s">
        <v>6851</v>
      </c>
      <c r="I520" s="99">
        <v>0.48749999999999999</v>
      </c>
      <c r="J520" s="100">
        <v>112.27500000000001</v>
      </c>
      <c r="K520" s="100">
        <v>12.362500000000001</v>
      </c>
      <c r="L520" s="100">
        <v>41.5625</v>
      </c>
      <c r="M520" s="100">
        <v>0.58750000000000002</v>
      </c>
      <c r="N520" s="101" t="s">
        <v>50</v>
      </c>
      <c r="O520" s="97" t="s">
        <v>48</v>
      </c>
      <c r="P520" s="97">
        <v>8</v>
      </c>
      <c r="Q520" s="97">
        <v>10</v>
      </c>
      <c r="R520" s="97" t="s">
        <v>49</v>
      </c>
      <c r="S520" s="97" t="s">
        <v>50</v>
      </c>
      <c r="T520" s="97" t="s">
        <v>50</v>
      </c>
      <c r="U520" s="97" t="s">
        <v>50</v>
      </c>
      <c r="V520" s="97" t="s">
        <v>50</v>
      </c>
      <c r="W520" s="97" t="s">
        <v>50</v>
      </c>
      <c r="X520" s="97" t="s">
        <v>50</v>
      </c>
      <c r="Y520" s="102" t="s">
        <v>8225</v>
      </c>
    </row>
    <row r="521" spans="1:25" s="97" customFormat="1" x14ac:dyDescent="0.25">
      <c r="A521" s="93">
        <v>43061</v>
      </c>
      <c r="B521" s="92" t="str">
        <f t="shared" si="8"/>
        <v>Wed</v>
      </c>
      <c r="C521" s="97" t="s">
        <v>95</v>
      </c>
      <c r="D521" s="98">
        <v>38.023069999999997</v>
      </c>
      <c r="E521" s="98">
        <v>-121.70863</v>
      </c>
      <c r="F521" s="97" t="s">
        <v>8227</v>
      </c>
      <c r="G521" s="97" t="s">
        <v>27</v>
      </c>
      <c r="H521" s="97" t="s">
        <v>95</v>
      </c>
      <c r="I521" s="99">
        <v>0.32222222222222224</v>
      </c>
      <c r="J521" s="100">
        <v>301.52</v>
      </c>
      <c r="K521" s="100">
        <v>14.58</v>
      </c>
      <c r="L521" s="100">
        <v>6.5179999999999998</v>
      </c>
      <c r="M521" s="100">
        <v>1.8</v>
      </c>
      <c r="N521" s="101">
        <v>5.82</v>
      </c>
      <c r="O521" s="97" t="s">
        <v>48</v>
      </c>
      <c r="P521" s="97">
        <v>5</v>
      </c>
      <c r="Q521" s="97">
        <v>5</v>
      </c>
      <c r="R521" s="97" t="s">
        <v>64</v>
      </c>
      <c r="S521" s="97" t="s">
        <v>50</v>
      </c>
      <c r="T521" s="97" t="s">
        <v>50</v>
      </c>
      <c r="U521" s="97" t="s">
        <v>50</v>
      </c>
      <c r="V521" s="97" t="s">
        <v>50</v>
      </c>
      <c r="W521" s="97" t="s">
        <v>50</v>
      </c>
      <c r="X521" s="97" t="s">
        <v>50</v>
      </c>
      <c r="Y521" s="102"/>
    </row>
    <row r="522" spans="1:25" s="97" customFormat="1" x14ac:dyDescent="0.25">
      <c r="A522" s="93">
        <v>43061</v>
      </c>
      <c r="B522" s="92" t="str">
        <f t="shared" si="8"/>
        <v>Wed</v>
      </c>
      <c r="C522" s="97" t="s">
        <v>95</v>
      </c>
      <c r="D522" s="98">
        <v>38.0336</v>
      </c>
      <c r="E522" s="98">
        <v>-121.87268</v>
      </c>
      <c r="F522" s="97" t="s">
        <v>8228</v>
      </c>
      <c r="G522" s="97" t="s">
        <v>27</v>
      </c>
      <c r="H522" s="97" t="s">
        <v>95</v>
      </c>
      <c r="I522" s="99">
        <v>0.37361111111111112</v>
      </c>
      <c r="J522" s="103">
        <v>2755.8</v>
      </c>
      <c r="K522" s="103">
        <v>14.62</v>
      </c>
      <c r="L522" s="103">
        <v>13.32</v>
      </c>
      <c r="M522" s="103">
        <v>0.79800000000000004</v>
      </c>
      <c r="N522" s="104">
        <v>13.82</v>
      </c>
      <c r="O522" s="34" t="s">
        <v>48</v>
      </c>
      <c r="P522" s="34">
        <v>5</v>
      </c>
      <c r="Q522" s="34">
        <v>5</v>
      </c>
      <c r="R522" s="34" t="s">
        <v>49</v>
      </c>
      <c r="S522" s="97" t="s">
        <v>50</v>
      </c>
      <c r="T522" s="97" t="s">
        <v>50</v>
      </c>
      <c r="U522" s="97" t="s">
        <v>50</v>
      </c>
      <c r="V522" s="97" t="s">
        <v>50</v>
      </c>
      <c r="W522" s="97" t="s">
        <v>50</v>
      </c>
      <c r="X522" s="97" t="s">
        <v>50</v>
      </c>
      <c r="Y522" s="102"/>
    </row>
    <row r="523" spans="1:25" s="97" customFormat="1" x14ac:dyDescent="0.25">
      <c r="A523" s="93">
        <v>43061</v>
      </c>
      <c r="B523" s="92" t="str">
        <f t="shared" si="8"/>
        <v>Wed</v>
      </c>
      <c r="C523" s="97" t="s">
        <v>7570</v>
      </c>
      <c r="D523" s="98">
        <v>38.064860000000003</v>
      </c>
      <c r="E523" s="98">
        <v>-121.97147</v>
      </c>
      <c r="F523" s="97" t="s">
        <v>8229</v>
      </c>
      <c r="G523" s="97" t="s">
        <v>27</v>
      </c>
      <c r="H523" s="97" t="s">
        <v>86</v>
      </c>
      <c r="I523" s="99">
        <v>0.32847222222222222</v>
      </c>
      <c r="J523" s="100">
        <v>8242</v>
      </c>
      <c r="K523" s="100">
        <v>14.5</v>
      </c>
      <c r="L523" s="100">
        <v>20.34</v>
      </c>
      <c r="M523" s="100">
        <v>0.51600000000000001</v>
      </c>
      <c r="N523" s="101">
        <v>7.1</v>
      </c>
      <c r="O523" s="97" t="s">
        <v>48</v>
      </c>
      <c r="P523" s="97">
        <v>5</v>
      </c>
      <c r="Q523" s="97">
        <v>5</v>
      </c>
      <c r="R523" s="97" t="s">
        <v>49</v>
      </c>
      <c r="S523" s="97" t="s">
        <v>50</v>
      </c>
      <c r="T523" s="97" t="s">
        <v>50</v>
      </c>
      <c r="U523" s="97" t="s">
        <v>50</v>
      </c>
      <c r="V523" s="97" t="s">
        <v>50</v>
      </c>
      <c r="W523" s="97" t="s">
        <v>50</v>
      </c>
      <c r="X523" s="97" t="s">
        <v>50</v>
      </c>
      <c r="Y523" s="102"/>
    </row>
    <row r="524" spans="1:25" s="97" customFormat="1" x14ac:dyDescent="0.25">
      <c r="A524" s="93">
        <v>43061</v>
      </c>
      <c r="B524" s="92" t="str">
        <f t="shared" si="8"/>
        <v>Wed</v>
      </c>
      <c r="C524" s="97" t="s">
        <v>7570</v>
      </c>
      <c r="D524" s="98">
        <v>38.097299999999997</v>
      </c>
      <c r="E524" s="98">
        <v>-122.03747</v>
      </c>
      <c r="F524" s="97" t="s">
        <v>8230</v>
      </c>
      <c r="G524" s="97" t="s">
        <v>27</v>
      </c>
      <c r="H524" s="97" t="s">
        <v>86</v>
      </c>
      <c r="I524" s="99">
        <v>0.3756944444444445</v>
      </c>
      <c r="J524" s="100">
        <v>9528.2000000000007</v>
      </c>
      <c r="K524" s="100">
        <v>14.4</v>
      </c>
      <c r="L524" s="100">
        <v>18.54</v>
      </c>
      <c r="M524" s="100">
        <v>0.53400000000000003</v>
      </c>
      <c r="N524" s="101">
        <v>5.66</v>
      </c>
      <c r="O524" s="97" t="s">
        <v>48</v>
      </c>
      <c r="P524" s="97">
        <v>5</v>
      </c>
      <c r="Q524" s="97">
        <v>5</v>
      </c>
      <c r="R524" s="97" t="s">
        <v>49</v>
      </c>
      <c r="S524" s="97" t="s">
        <v>50</v>
      </c>
      <c r="T524" s="97" t="s">
        <v>50</v>
      </c>
      <c r="U524" s="97" t="s">
        <v>50</v>
      </c>
      <c r="V524" s="97" t="s">
        <v>50</v>
      </c>
      <c r="W524" s="97" t="s">
        <v>50</v>
      </c>
      <c r="X524" s="97" t="s">
        <v>50</v>
      </c>
      <c r="Y524" s="102"/>
    </row>
    <row r="525" spans="1:25" s="97" customFormat="1" x14ac:dyDescent="0.25">
      <c r="A525" s="93">
        <v>43061</v>
      </c>
      <c r="B525" s="92" t="str">
        <f t="shared" si="8"/>
        <v>Wed</v>
      </c>
      <c r="C525" s="97" t="s">
        <v>845</v>
      </c>
      <c r="D525" s="98">
        <v>38.369039999999998</v>
      </c>
      <c r="E525" s="98">
        <v>-121.63162</v>
      </c>
      <c r="F525" s="97" t="s">
        <v>8231</v>
      </c>
      <c r="G525" s="97" t="s">
        <v>90</v>
      </c>
      <c r="H525" s="97" t="s">
        <v>6935</v>
      </c>
      <c r="I525" s="99">
        <v>0.34097222222222223</v>
      </c>
      <c r="J525" s="100">
        <v>753.68</v>
      </c>
      <c r="K525" s="100">
        <v>14.4</v>
      </c>
      <c r="L525" s="100">
        <v>61.22</v>
      </c>
      <c r="M525" s="100">
        <v>0.218</v>
      </c>
      <c r="N525" s="101" t="s">
        <v>50</v>
      </c>
      <c r="O525" s="97" t="s">
        <v>48</v>
      </c>
      <c r="P525" s="97">
        <v>5</v>
      </c>
      <c r="Q525" s="97">
        <v>5</v>
      </c>
      <c r="R525" s="97" t="s">
        <v>49</v>
      </c>
      <c r="S525" s="97" t="s">
        <v>50</v>
      </c>
      <c r="T525" s="97" t="s">
        <v>50</v>
      </c>
      <c r="U525" s="97" t="s">
        <v>50</v>
      </c>
      <c r="V525" s="97" t="s">
        <v>50</v>
      </c>
      <c r="W525" s="97" t="s">
        <v>50</v>
      </c>
      <c r="X525" s="97" t="s">
        <v>50</v>
      </c>
      <c r="Y525" s="102" t="s">
        <v>8225</v>
      </c>
    </row>
    <row r="526" spans="1:25" s="153" customFormat="1" x14ac:dyDescent="0.25">
      <c r="A526" s="148">
        <v>43061</v>
      </c>
      <c r="B526" s="148" t="str">
        <f t="shared" si="8"/>
        <v>Wed</v>
      </c>
      <c r="C526" s="153" t="s">
        <v>845</v>
      </c>
      <c r="D526" s="154">
        <v>38.279220000000002</v>
      </c>
      <c r="E526" s="154">
        <v>-121.71214999999999</v>
      </c>
      <c r="F526" s="153" t="s">
        <v>8232</v>
      </c>
      <c r="G526" s="153" t="s">
        <v>90</v>
      </c>
      <c r="H526" s="153" t="s">
        <v>6935</v>
      </c>
      <c r="I526" s="155">
        <v>0.41875000000000001</v>
      </c>
      <c r="J526" s="156">
        <v>233.6</v>
      </c>
      <c r="K526" s="156">
        <v>13.8</v>
      </c>
      <c r="L526" s="156">
        <v>10.824999999999999</v>
      </c>
      <c r="M526" s="156">
        <v>1.8</v>
      </c>
      <c r="N526" s="156" t="s">
        <v>50</v>
      </c>
      <c r="O526" s="153" t="s">
        <v>48</v>
      </c>
      <c r="P526" s="153">
        <v>2</v>
      </c>
      <c r="Q526" s="153">
        <v>5</v>
      </c>
      <c r="R526" s="153" t="s">
        <v>49</v>
      </c>
      <c r="S526" s="153" t="s">
        <v>50</v>
      </c>
      <c r="T526" s="153" t="s">
        <v>50</v>
      </c>
      <c r="U526" s="153" t="s">
        <v>50</v>
      </c>
      <c r="V526" s="153" t="s">
        <v>50</v>
      </c>
      <c r="W526" s="153" t="s">
        <v>50</v>
      </c>
      <c r="X526" s="153" t="s">
        <v>50</v>
      </c>
      <c r="Y526" s="159" t="s">
        <v>8233</v>
      </c>
    </row>
    <row r="527" spans="1:25" s="97" customFormat="1" x14ac:dyDescent="0.25">
      <c r="A527" s="93">
        <v>43061</v>
      </c>
      <c r="B527" s="92" t="str">
        <f t="shared" si="8"/>
        <v>Wed</v>
      </c>
      <c r="C527" s="97" t="s">
        <v>845</v>
      </c>
      <c r="D527" s="98">
        <v>38.245939999999997</v>
      </c>
      <c r="E527" s="98">
        <v>-121.68856</v>
      </c>
      <c r="F527" s="97" t="s">
        <v>8234</v>
      </c>
      <c r="G527" s="97" t="s">
        <v>90</v>
      </c>
      <c r="H527" s="97" t="s">
        <v>6935</v>
      </c>
      <c r="I527" s="99">
        <v>0.4548611111111111</v>
      </c>
      <c r="J527" s="100">
        <v>129.41999999999999</v>
      </c>
      <c r="K527" s="100">
        <v>13.54</v>
      </c>
      <c r="L527" s="100">
        <v>5.484</v>
      </c>
      <c r="M527" s="100">
        <v>1.752</v>
      </c>
      <c r="N527" s="101" t="s">
        <v>50</v>
      </c>
      <c r="O527" s="97" t="s">
        <v>48</v>
      </c>
      <c r="P527" s="97">
        <v>5</v>
      </c>
      <c r="Q527" s="97">
        <v>5</v>
      </c>
      <c r="R527" s="97" t="s">
        <v>49</v>
      </c>
      <c r="S527" s="97" t="s">
        <v>50</v>
      </c>
      <c r="T527" s="97" t="s">
        <v>50</v>
      </c>
      <c r="U527" s="97" t="s">
        <v>50</v>
      </c>
      <c r="V527" s="97" t="s">
        <v>50</v>
      </c>
      <c r="W527" s="97" t="s">
        <v>50</v>
      </c>
      <c r="X527" s="97" t="s">
        <v>50</v>
      </c>
      <c r="Y527" s="102" t="s">
        <v>8235</v>
      </c>
    </row>
    <row r="528" spans="1:25" s="97" customFormat="1" x14ac:dyDescent="0.25">
      <c r="A528" s="93">
        <v>43063</v>
      </c>
      <c r="B528" s="92" t="str">
        <f t="shared" si="8"/>
        <v>Fri</v>
      </c>
      <c r="C528" s="97" t="s">
        <v>95</v>
      </c>
      <c r="D528" s="98">
        <v>38.023359999999997</v>
      </c>
      <c r="E528" s="98">
        <v>-121.74678</v>
      </c>
      <c r="F528" s="97" t="s">
        <v>8236</v>
      </c>
      <c r="G528" s="97" t="s">
        <v>27</v>
      </c>
      <c r="H528" s="97" t="s">
        <v>95</v>
      </c>
      <c r="I528" s="99">
        <v>0.31666666666666665</v>
      </c>
      <c r="J528" s="100" t="s">
        <v>50</v>
      </c>
      <c r="K528" s="100" t="s">
        <v>50</v>
      </c>
      <c r="L528" s="100">
        <v>9.298</v>
      </c>
      <c r="M528" s="100">
        <v>1.302</v>
      </c>
      <c r="N528" s="101">
        <v>6.32</v>
      </c>
      <c r="O528" s="97" t="s">
        <v>48</v>
      </c>
      <c r="P528" s="97">
        <v>5</v>
      </c>
      <c r="Q528" s="97">
        <v>5</v>
      </c>
      <c r="R528" s="97" t="s">
        <v>64</v>
      </c>
      <c r="S528" s="97" t="s">
        <v>50</v>
      </c>
      <c r="T528" s="97" t="s">
        <v>50</v>
      </c>
      <c r="U528" s="97" t="s">
        <v>50</v>
      </c>
      <c r="V528" s="97" t="s">
        <v>50</v>
      </c>
      <c r="W528" s="97" t="s">
        <v>50</v>
      </c>
      <c r="X528" s="97" t="s">
        <v>50</v>
      </c>
      <c r="Y528" s="102" t="s">
        <v>8237</v>
      </c>
    </row>
    <row r="529" spans="1:25" s="97" customFormat="1" x14ac:dyDescent="0.25">
      <c r="A529" s="93">
        <v>43063</v>
      </c>
      <c r="B529" s="92" t="str">
        <f t="shared" si="8"/>
        <v>Fri</v>
      </c>
      <c r="C529" s="97" t="s">
        <v>95</v>
      </c>
      <c r="D529" s="98">
        <v>38.020820000000001</v>
      </c>
      <c r="E529" s="98">
        <v>-121.80038999999999</v>
      </c>
      <c r="F529" s="97" t="s">
        <v>8238</v>
      </c>
      <c r="G529" s="97" t="s">
        <v>27</v>
      </c>
      <c r="H529" s="97" t="s">
        <v>95</v>
      </c>
      <c r="I529" s="99">
        <v>0.35833333333333334</v>
      </c>
      <c r="J529" s="100" t="s">
        <v>50</v>
      </c>
      <c r="K529" s="100" t="s">
        <v>50</v>
      </c>
      <c r="L529" s="100">
        <v>17.46</v>
      </c>
      <c r="M529" s="100">
        <v>0.81599999999999995</v>
      </c>
      <c r="N529" s="101">
        <v>5.0199999999999996</v>
      </c>
      <c r="O529" s="97" t="s">
        <v>48</v>
      </c>
      <c r="P529" s="97">
        <v>5</v>
      </c>
      <c r="Q529" s="97">
        <v>5</v>
      </c>
      <c r="R529" s="97" t="s">
        <v>64</v>
      </c>
      <c r="S529" s="97" t="s">
        <v>50</v>
      </c>
      <c r="T529" s="97" t="s">
        <v>50</v>
      </c>
      <c r="U529" s="97" t="s">
        <v>50</v>
      </c>
      <c r="V529" s="97" t="s">
        <v>50</v>
      </c>
      <c r="W529" s="97" t="s">
        <v>50</v>
      </c>
      <c r="X529" s="97" t="s">
        <v>50</v>
      </c>
      <c r="Y529" s="102" t="s">
        <v>8237</v>
      </c>
    </row>
    <row r="530" spans="1:25" s="97" customFormat="1" x14ac:dyDescent="0.25">
      <c r="A530" s="93">
        <v>43063</v>
      </c>
      <c r="B530" s="92" t="str">
        <f t="shared" si="8"/>
        <v>Fri</v>
      </c>
      <c r="C530" s="97" t="s">
        <v>7570</v>
      </c>
      <c r="D530" s="98">
        <v>38.062739999999998</v>
      </c>
      <c r="E530" s="98">
        <v>-121.95996</v>
      </c>
      <c r="F530" s="97" t="s">
        <v>8239</v>
      </c>
      <c r="G530" s="97" t="s">
        <v>27</v>
      </c>
      <c r="H530" s="97" t="s">
        <v>170</v>
      </c>
      <c r="I530" s="99">
        <v>0.32916666666666666</v>
      </c>
      <c r="J530" s="100">
        <v>8149</v>
      </c>
      <c r="K530" s="100">
        <v>14.72</v>
      </c>
      <c r="L530" s="100">
        <v>30.32</v>
      </c>
      <c r="M530" s="100">
        <v>0.44400000000000001</v>
      </c>
      <c r="N530" s="101">
        <v>6.58</v>
      </c>
      <c r="O530" s="97" t="s">
        <v>48</v>
      </c>
      <c r="P530" s="97">
        <v>5</v>
      </c>
      <c r="Q530" s="97">
        <v>5</v>
      </c>
      <c r="R530" s="97" t="s">
        <v>64</v>
      </c>
      <c r="S530" s="97" t="s">
        <v>50</v>
      </c>
      <c r="T530" s="97" t="s">
        <v>50</v>
      </c>
      <c r="U530" s="97" t="s">
        <v>50</v>
      </c>
      <c r="V530" s="97" t="s">
        <v>50</v>
      </c>
      <c r="W530" s="97" t="s">
        <v>50</v>
      </c>
      <c r="X530" s="97" t="s">
        <v>50</v>
      </c>
      <c r="Y530" s="102"/>
    </row>
    <row r="531" spans="1:25" s="97" customFormat="1" x14ac:dyDescent="0.25">
      <c r="A531" s="93">
        <v>43063</v>
      </c>
      <c r="B531" s="92" t="str">
        <f t="shared" si="8"/>
        <v>Fri</v>
      </c>
      <c r="C531" s="97" t="s">
        <v>7570</v>
      </c>
      <c r="D531" s="98">
        <v>38.094810000000003</v>
      </c>
      <c r="E531" s="223">
        <v>-122.05097000000001</v>
      </c>
      <c r="F531" s="97" t="s">
        <v>8240</v>
      </c>
      <c r="G531" s="97" t="s">
        <v>27</v>
      </c>
      <c r="H531" s="97" t="s">
        <v>86</v>
      </c>
      <c r="I531" s="99">
        <v>0.37986111111111115</v>
      </c>
      <c r="J531" s="100">
        <v>12756</v>
      </c>
      <c r="K531" s="100">
        <v>14.8</v>
      </c>
      <c r="L531" s="100">
        <v>88.92</v>
      </c>
      <c r="M531" s="100">
        <v>0.56799999999999995</v>
      </c>
      <c r="N531" s="101">
        <v>4.4000000000000004</v>
      </c>
      <c r="O531" s="97" t="s">
        <v>48</v>
      </c>
      <c r="P531" s="97">
        <v>5</v>
      </c>
      <c r="Q531" s="97">
        <v>5</v>
      </c>
      <c r="R531" s="97" t="s">
        <v>64</v>
      </c>
      <c r="S531" s="97" t="s">
        <v>50</v>
      </c>
      <c r="T531" s="97" t="s">
        <v>50</v>
      </c>
      <c r="U531" s="97" t="s">
        <v>50</v>
      </c>
      <c r="V531" s="97" t="s">
        <v>50</v>
      </c>
      <c r="W531" s="97" t="s">
        <v>50</v>
      </c>
      <c r="X531" s="97" t="s">
        <v>50</v>
      </c>
      <c r="Y531" s="102"/>
    </row>
    <row r="532" spans="1:25" s="97" customFormat="1" x14ac:dyDescent="0.25">
      <c r="A532" s="93">
        <v>43063</v>
      </c>
      <c r="B532" s="92" t="str">
        <f t="shared" si="8"/>
        <v>Fri</v>
      </c>
      <c r="C532" s="97" t="s">
        <v>106</v>
      </c>
      <c r="D532" s="98">
        <v>38.531350000000003</v>
      </c>
      <c r="E532" s="98">
        <v>-121.58524</v>
      </c>
      <c r="F532" s="97" t="s">
        <v>8241</v>
      </c>
      <c r="G532" s="97" t="s">
        <v>90</v>
      </c>
      <c r="H532" s="97" t="s">
        <v>7577</v>
      </c>
      <c r="I532" s="99">
        <v>0.3430555555555555</v>
      </c>
      <c r="J532" s="100">
        <v>614.6</v>
      </c>
      <c r="K532" s="100">
        <v>14.82</v>
      </c>
      <c r="L532" s="100">
        <v>12.48</v>
      </c>
      <c r="M532" s="100">
        <v>0.746</v>
      </c>
      <c r="N532" s="100">
        <v>6.8701920000000003</v>
      </c>
      <c r="O532" s="97" t="s">
        <v>48</v>
      </c>
      <c r="P532" s="97">
        <v>5</v>
      </c>
      <c r="Q532" s="97">
        <v>5</v>
      </c>
      <c r="R532" s="97" t="s">
        <v>64</v>
      </c>
      <c r="S532" s="97" t="s">
        <v>50</v>
      </c>
      <c r="T532" s="97" t="s">
        <v>50</v>
      </c>
      <c r="U532" s="97" t="s">
        <v>50</v>
      </c>
      <c r="V532" s="97" t="s">
        <v>50</v>
      </c>
      <c r="W532" s="97" t="s">
        <v>50</v>
      </c>
      <c r="X532" s="97" t="s">
        <v>50</v>
      </c>
      <c r="Y532" s="102" t="s">
        <v>6893</v>
      </c>
    </row>
    <row r="533" spans="1:25" s="108" customFormat="1" ht="15.75" thickBot="1" x14ac:dyDescent="0.3">
      <c r="A533" s="106">
        <v>43063</v>
      </c>
      <c r="B533" s="107" t="str">
        <f t="shared" si="8"/>
        <v>Fri</v>
      </c>
      <c r="C533" s="108" t="s">
        <v>106</v>
      </c>
      <c r="D533" s="109">
        <v>38.471170000000001</v>
      </c>
      <c r="E533" s="109">
        <v>-121.58533</v>
      </c>
      <c r="F533" s="108" t="s">
        <v>8242</v>
      </c>
      <c r="G533" s="108" t="s">
        <v>90</v>
      </c>
      <c r="H533" s="108" t="s">
        <v>7577</v>
      </c>
      <c r="I533" s="110">
        <v>0.38958333333333334</v>
      </c>
      <c r="J533" s="111">
        <v>464.4</v>
      </c>
      <c r="K533" s="111">
        <v>14.66</v>
      </c>
      <c r="L533" s="111">
        <v>45.84</v>
      </c>
      <c r="M533" s="111">
        <v>0.23599999999999999</v>
      </c>
      <c r="N533" s="111">
        <v>10.966699999999999</v>
      </c>
      <c r="O533" s="108" t="s">
        <v>48</v>
      </c>
      <c r="P533" s="108">
        <v>5</v>
      </c>
      <c r="Q533" s="108">
        <v>5</v>
      </c>
      <c r="R533" s="108" t="s">
        <v>64</v>
      </c>
      <c r="S533" s="108" t="s">
        <v>50</v>
      </c>
      <c r="T533" s="108" t="s">
        <v>50</v>
      </c>
      <c r="U533" s="108" t="s">
        <v>50</v>
      </c>
      <c r="V533" s="108" t="s">
        <v>50</v>
      </c>
      <c r="W533" s="108" t="s">
        <v>50</v>
      </c>
      <c r="X533" s="108" t="s">
        <v>50</v>
      </c>
      <c r="Y533" s="113" t="s">
        <v>8243</v>
      </c>
    </row>
    <row r="534" spans="1:25" s="97" customFormat="1" ht="15.75" thickTop="1" x14ac:dyDescent="0.25">
      <c r="A534" s="93">
        <v>43066</v>
      </c>
      <c r="B534" s="92" t="str">
        <f t="shared" si="8"/>
        <v>Mon</v>
      </c>
      <c r="C534" s="97" t="s">
        <v>95</v>
      </c>
      <c r="D534" s="98">
        <v>38.02816</v>
      </c>
      <c r="E534" s="98">
        <v>-121.83916000000001</v>
      </c>
      <c r="F534" s="97" t="s">
        <v>8244</v>
      </c>
      <c r="G534" s="97" t="s">
        <v>27</v>
      </c>
      <c r="H534" s="97" t="s">
        <v>95</v>
      </c>
      <c r="I534" s="99">
        <v>0.34861111111111115</v>
      </c>
      <c r="J534" s="100">
        <v>3674</v>
      </c>
      <c r="K534" s="100">
        <v>14.42</v>
      </c>
      <c r="L534" s="100">
        <v>16.48</v>
      </c>
      <c r="M534" s="100">
        <v>0.79</v>
      </c>
      <c r="N534" s="101">
        <v>8.26</v>
      </c>
      <c r="O534" s="97" t="s">
        <v>48</v>
      </c>
      <c r="P534" s="97">
        <v>5</v>
      </c>
      <c r="Q534" s="97">
        <v>5</v>
      </c>
      <c r="R534" s="97" t="s">
        <v>64</v>
      </c>
      <c r="S534" s="97" t="s">
        <v>50</v>
      </c>
      <c r="T534" s="97" t="s">
        <v>50</v>
      </c>
      <c r="U534" s="97" t="s">
        <v>50</v>
      </c>
      <c r="V534" s="97" t="s">
        <v>50</v>
      </c>
      <c r="W534" s="97" t="s">
        <v>50</v>
      </c>
      <c r="X534" s="97" t="s">
        <v>50</v>
      </c>
      <c r="Y534" s="102" t="s">
        <v>8245</v>
      </c>
    </row>
    <row r="535" spans="1:25" s="97" customFormat="1" x14ac:dyDescent="0.25">
      <c r="A535" s="93">
        <v>43066</v>
      </c>
      <c r="B535" s="92" t="str">
        <f t="shared" si="8"/>
        <v>Mon</v>
      </c>
      <c r="C535" s="97" t="s">
        <v>95</v>
      </c>
      <c r="D535" s="98">
        <v>38.058160000000001</v>
      </c>
      <c r="E535" s="98">
        <v>-121.84444000000001</v>
      </c>
      <c r="F535" s="97" t="s">
        <v>8246</v>
      </c>
      <c r="G535" s="97" t="s">
        <v>27</v>
      </c>
      <c r="H535" s="97" t="s">
        <v>95</v>
      </c>
      <c r="I535" s="99">
        <v>0.41180555555555554</v>
      </c>
      <c r="J535" s="100">
        <v>6632.8</v>
      </c>
      <c r="K535" s="100">
        <v>13.98</v>
      </c>
      <c r="L535" s="100">
        <v>19.28</v>
      </c>
      <c r="M535" s="100">
        <v>0.70799999999999996</v>
      </c>
      <c r="N535" s="101">
        <v>2.54</v>
      </c>
      <c r="O535" s="97" t="s">
        <v>48</v>
      </c>
      <c r="P535" s="97">
        <v>5</v>
      </c>
      <c r="Q535" s="97">
        <v>5</v>
      </c>
      <c r="R535" s="97" t="s">
        <v>64</v>
      </c>
      <c r="S535" s="97" t="s">
        <v>31</v>
      </c>
      <c r="T535" s="97">
        <v>8</v>
      </c>
      <c r="U535" s="97" t="s">
        <v>8247</v>
      </c>
      <c r="V535" s="97" t="s">
        <v>66</v>
      </c>
      <c r="W535" s="97" t="s">
        <v>50</v>
      </c>
      <c r="X535" s="97" t="s">
        <v>50</v>
      </c>
      <c r="Y535" s="102"/>
    </row>
    <row r="536" spans="1:25" s="97" customFormat="1" x14ac:dyDescent="0.25">
      <c r="A536" s="93">
        <v>43066</v>
      </c>
      <c r="B536" s="92" t="str">
        <f t="shared" si="8"/>
        <v>Mon</v>
      </c>
      <c r="C536" s="97" t="s">
        <v>7570</v>
      </c>
      <c r="D536" s="98">
        <v>38.1858</v>
      </c>
      <c r="E536" s="98">
        <v>-121.96935000000001</v>
      </c>
      <c r="F536" s="97" t="s">
        <v>8248</v>
      </c>
      <c r="G536" s="97" t="s">
        <v>27</v>
      </c>
      <c r="H536" s="97" t="s">
        <v>62</v>
      </c>
      <c r="I536" s="99">
        <v>0.38472222222222219</v>
      </c>
      <c r="J536" s="100">
        <v>8445.6669999999995</v>
      </c>
      <c r="K536" s="100">
        <v>14.4</v>
      </c>
      <c r="L536" s="100">
        <v>35.733330000000002</v>
      </c>
      <c r="M536" s="100">
        <v>0.31333299999999997</v>
      </c>
      <c r="N536" s="101">
        <v>8.266667</v>
      </c>
      <c r="O536" s="97" t="s">
        <v>48</v>
      </c>
      <c r="P536" s="97">
        <v>3</v>
      </c>
      <c r="Q536" s="97">
        <v>5</v>
      </c>
      <c r="R536" s="97" t="s">
        <v>64</v>
      </c>
      <c r="S536" s="97" t="s">
        <v>323</v>
      </c>
      <c r="T536" s="97">
        <v>2</v>
      </c>
      <c r="U536" s="97" t="s">
        <v>8249</v>
      </c>
      <c r="V536" s="97" t="s">
        <v>66</v>
      </c>
      <c r="W536" s="97" t="s">
        <v>50</v>
      </c>
      <c r="X536" s="97" t="s">
        <v>50</v>
      </c>
      <c r="Y536" s="102" t="s">
        <v>8250</v>
      </c>
    </row>
    <row r="537" spans="1:25" s="97" customFormat="1" x14ac:dyDescent="0.25">
      <c r="A537" s="93">
        <v>43066</v>
      </c>
      <c r="B537" s="92" t="str">
        <f t="shared" si="8"/>
        <v>Mon</v>
      </c>
      <c r="C537" s="97" t="s">
        <v>7570</v>
      </c>
      <c r="D537" s="98">
        <v>38.098799999999997</v>
      </c>
      <c r="E537" s="98">
        <v>-122.04916</v>
      </c>
      <c r="F537" s="97" t="s">
        <v>8251</v>
      </c>
      <c r="G537" s="97" t="s">
        <v>27</v>
      </c>
      <c r="H537" s="97" t="s">
        <v>86</v>
      </c>
      <c r="I537" s="99">
        <v>0.44444444444444442</v>
      </c>
      <c r="J537" s="100">
        <v>13726.2</v>
      </c>
      <c r="K537" s="100">
        <v>14.7</v>
      </c>
      <c r="L537" s="100">
        <v>15.56</v>
      </c>
      <c r="M537" s="100">
        <v>0.64800000000000002</v>
      </c>
      <c r="N537" s="101">
        <v>6.54</v>
      </c>
      <c r="O537" s="97" t="s">
        <v>48</v>
      </c>
      <c r="P537" s="97">
        <v>5</v>
      </c>
      <c r="Q537" s="97">
        <v>5</v>
      </c>
      <c r="R537" s="97" t="s">
        <v>49</v>
      </c>
      <c r="S537" s="97" t="s">
        <v>50</v>
      </c>
      <c r="T537" s="97" t="s">
        <v>50</v>
      </c>
      <c r="U537" s="97" t="s">
        <v>50</v>
      </c>
      <c r="V537" s="97" t="s">
        <v>50</v>
      </c>
      <c r="W537" s="97" t="s">
        <v>50</v>
      </c>
      <c r="X537" s="97" t="s">
        <v>50</v>
      </c>
      <c r="Y537" s="102" t="s">
        <v>7934</v>
      </c>
    </row>
    <row r="538" spans="1:25" s="97" customFormat="1" x14ac:dyDescent="0.25">
      <c r="A538" s="93">
        <v>43066</v>
      </c>
      <c r="B538" s="92" t="str">
        <f t="shared" si="8"/>
        <v>Mon</v>
      </c>
      <c r="C538" s="97" t="s">
        <v>106</v>
      </c>
      <c r="D538" s="98">
        <v>38.560659999999999</v>
      </c>
      <c r="E538" s="98">
        <v>-121.54469</v>
      </c>
      <c r="F538" s="97" t="s">
        <v>8252</v>
      </c>
      <c r="G538" s="97" t="s">
        <v>90</v>
      </c>
      <c r="H538" s="97" t="s">
        <v>7577</v>
      </c>
      <c r="I538" s="99">
        <v>0.37222222222222223</v>
      </c>
      <c r="J538" s="100">
        <v>702.6</v>
      </c>
      <c r="K538" s="100">
        <v>15.12</v>
      </c>
      <c r="L538" s="100">
        <v>3.4279999999999999</v>
      </c>
      <c r="M538" s="100">
        <v>1.776</v>
      </c>
      <c r="N538" s="101">
        <v>9.6621600000000001</v>
      </c>
      <c r="O538" s="97" t="s">
        <v>48</v>
      </c>
      <c r="P538" s="97">
        <v>5</v>
      </c>
      <c r="Q538" s="97">
        <v>5</v>
      </c>
      <c r="R538" s="97" t="s">
        <v>64</v>
      </c>
      <c r="S538" s="97" t="s">
        <v>50</v>
      </c>
      <c r="T538" s="97" t="s">
        <v>50</v>
      </c>
      <c r="U538" s="97" t="s">
        <v>50</v>
      </c>
      <c r="V538" s="97" t="s">
        <v>50</v>
      </c>
      <c r="W538" s="97" t="s">
        <v>50</v>
      </c>
      <c r="X538" s="97" t="s">
        <v>50</v>
      </c>
      <c r="Y538" s="102" t="s">
        <v>8253</v>
      </c>
    </row>
    <row r="539" spans="1:25" s="97" customFormat="1" x14ac:dyDescent="0.25">
      <c r="A539" s="93">
        <v>43066</v>
      </c>
      <c r="B539" s="92" t="str">
        <f t="shared" si="8"/>
        <v>Mon</v>
      </c>
      <c r="C539" s="97" t="s">
        <v>106</v>
      </c>
      <c r="D539" s="98">
        <v>38.553280000000001</v>
      </c>
      <c r="E539" s="98">
        <v>-121.57796</v>
      </c>
      <c r="F539" s="97" t="s">
        <v>8254</v>
      </c>
      <c r="G539" s="97" t="s">
        <v>90</v>
      </c>
      <c r="H539" s="97" t="s">
        <v>7577</v>
      </c>
      <c r="I539" s="99">
        <v>0.42777777777777781</v>
      </c>
      <c r="J539" s="100">
        <v>661.8</v>
      </c>
      <c r="K539" s="100">
        <v>14.92</v>
      </c>
      <c r="L539" s="100">
        <v>4.9779999999999998</v>
      </c>
      <c r="M539" s="100">
        <v>1.45</v>
      </c>
      <c r="N539" s="101">
        <v>11.87501</v>
      </c>
      <c r="O539" s="97" t="s">
        <v>48</v>
      </c>
      <c r="P539" s="97">
        <v>5</v>
      </c>
      <c r="Q539" s="97">
        <v>5</v>
      </c>
      <c r="R539" s="97" t="s">
        <v>64</v>
      </c>
      <c r="S539" s="97" t="s">
        <v>50</v>
      </c>
      <c r="T539" s="97" t="s">
        <v>50</v>
      </c>
      <c r="U539" s="97" t="s">
        <v>50</v>
      </c>
      <c r="V539" s="97" t="s">
        <v>50</v>
      </c>
      <c r="W539" s="97" t="s">
        <v>50</v>
      </c>
      <c r="X539" s="97" t="s">
        <v>50</v>
      </c>
      <c r="Y539" s="102" t="s">
        <v>8253</v>
      </c>
    </row>
    <row r="540" spans="1:25" s="97" customFormat="1" x14ac:dyDescent="0.25">
      <c r="A540" s="93">
        <v>43067</v>
      </c>
      <c r="B540" s="92" t="str">
        <f t="shared" si="8"/>
        <v>Tue</v>
      </c>
      <c r="C540" s="97" t="s">
        <v>7570</v>
      </c>
      <c r="D540" s="98">
        <v>38.083849999999998</v>
      </c>
      <c r="E540" s="98">
        <v>-121.99848</v>
      </c>
      <c r="F540" s="97" t="s">
        <v>8255</v>
      </c>
      <c r="G540" s="97" t="s">
        <v>27</v>
      </c>
      <c r="H540" s="97" t="s">
        <v>86</v>
      </c>
      <c r="I540" s="99">
        <v>0.34166666666666662</v>
      </c>
      <c r="J540" s="100">
        <v>9715.3333333333339</v>
      </c>
      <c r="K540" s="100">
        <v>14.033333333333333</v>
      </c>
      <c r="L540" s="100">
        <v>14.733333333333334</v>
      </c>
      <c r="M540" s="100">
        <v>0.68333333333333324</v>
      </c>
      <c r="N540" s="101">
        <v>17.3</v>
      </c>
      <c r="O540" s="97" t="s">
        <v>48</v>
      </c>
      <c r="P540" s="97">
        <v>3</v>
      </c>
      <c r="Q540" s="97">
        <v>5</v>
      </c>
      <c r="R540" s="97" t="s">
        <v>64</v>
      </c>
      <c r="S540" s="97" t="s">
        <v>323</v>
      </c>
      <c r="T540" s="97">
        <v>1</v>
      </c>
      <c r="U540" s="97">
        <v>55</v>
      </c>
      <c r="V540" s="97" t="s">
        <v>66</v>
      </c>
      <c r="W540" s="97" t="s">
        <v>50</v>
      </c>
      <c r="X540" s="97" t="s">
        <v>50</v>
      </c>
      <c r="Y540" s="102" t="s">
        <v>8256</v>
      </c>
    </row>
    <row r="541" spans="1:25" s="97" customFormat="1" x14ac:dyDescent="0.25">
      <c r="A541" s="93">
        <v>43067</v>
      </c>
      <c r="B541" s="92" t="str">
        <f t="shared" si="8"/>
        <v>Tue</v>
      </c>
      <c r="C541" s="97" t="s">
        <v>7570</v>
      </c>
      <c r="D541" s="98">
        <v>38.04495</v>
      </c>
      <c r="E541" s="98">
        <v>-121.92368999999999</v>
      </c>
      <c r="F541" s="97" t="s">
        <v>8257</v>
      </c>
      <c r="G541" s="97" t="s">
        <v>27</v>
      </c>
      <c r="H541" s="97" t="s">
        <v>170</v>
      </c>
      <c r="I541" s="99">
        <v>0.38194444444444442</v>
      </c>
      <c r="J541" s="100">
        <v>5381</v>
      </c>
      <c r="K541" s="100">
        <v>14.166666666666666</v>
      </c>
      <c r="L541" s="100">
        <v>18.233333333333334</v>
      </c>
      <c r="M541" s="100">
        <v>0.67333333333333334</v>
      </c>
      <c r="N541" s="101">
        <v>18.3</v>
      </c>
      <c r="O541" s="97" t="s">
        <v>48</v>
      </c>
      <c r="P541" s="97">
        <v>3</v>
      </c>
      <c r="Q541" s="97">
        <v>5</v>
      </c>
      <c r="R541" s="97" t="s">
        <v>64</v>
      </c>
      <c r="S541" s="97" t="s">
        <v>323</v>
      </c>
      <c r="T541" s="97">
        <v>1</v>
      </c>
      <c r="U541" s="97">
        <v>53</v>
      </c>
      <c r="V541" s="97" t="s">
        <v>66</v>
      </c>
      <c r="W541" s="97" t="s">
        <v>50</v>
      </c>
      <c r="X541" s="97" t="s">
        <v>50</v>
      </c>
      <c r="Y541" s="102" t="s">
        <v>8256</v>
      </c>
    </row>
    <row r="542" spans="1:25" s="97" customFormat="1" x14ac:dyDescent="0.25">
      <c r="A542" s="93">
        <v>43067</v>
      </c>
      <c r="B542" s="92" t="str">
        <f t="shared" si="8"/>
        <v>Tue</v>
      </c>
      <c r="C542" s="97" t="s">
        <v>88</v>
      </c>
      <c r="D542" s="98">
        <v>38.178829999999998</v>
      </c>
      <c r="E542" s="98">
        <v>-121.66752</v>
      </c>
      <c r="F542" s="97" t="s">
        <v>8258</v>
      </c>
      <c r="G542" s="97" t="s">
        <v>90</v>
      </c>
      <c r="H542" s="97" t="s">
        <v>91</v>
      </c>
      <c r="I542" s="99">
        <v>0.32430555555555557</v>
      </c>
      <c r="J542" s="100">
        <v>138.78</v>
      </c>
      <c r="K542" s="100">
        <v>13.4</v>
      </c>
      <c r="L542" s="100">
        <v>7.9879999999999995</v>
      </c>
      <c r="M542" s="100">
        <v>1.77</v>
      </c>
      <c r="N542" s="101">
        <v>14.179295999999999</v>
      </c>
      <c r="O542" s="97" t="s">
        <v>48</v>
      </c>
      <c r="P542" s="97">
        <v>5</v>
      </c>
      <c r="Q542" s="97">
        <v>5</v>
      </c>
      <c r="R542" s="97" t="s">
        <v>64</v>
      </c>
      <c r="S542" s="97" t="s">
        <v>50</v>
      </c>
      <c r="T542" s="97" t="s">
        <v>50</v>
      </c>
      <c r="U542" s="97" t="s">
        <v>50</v>
      </c>
      <c r="V542" s="97" t="s">
        <v>50</v>
      </c>
      <c r="W542" s="97" t="s">
        <v>50</v>
      </c>
      <c r="X542" s="97" t="s">
        <v>50</v>
      </c>
      <c r="Y542" s="102" t="s">
        <v>8253</v>
      </c>
    </row>
    <row r="543" spans="1:25" s="97" customFormat="1" x14ac:dyDescent="0.25">
      <c r="A543" s="93">
        <v>43067</v>
      </c>
      <c r="B543" s="92" t="str">
        <f t="shared" si="8"/>
        <v>Tue</v>
      </c>
      <c r="C543" s="97" t="s">
        <v>88</v>
      </c>
      <c r="D543" s="98">
        <v>38.062309999999997</v>
      </c>
      <c r="E543" s="98">
        <v>-121.85420000000001</v>
      </c>
      <c r="F543" s="97" t="s">
        <v>8259</v>
      </c>
      <c r="G543" s="97" t="s">
        <v>27</v>
      </c>
      <c r="H543" s="97" t="s">
        <v>25</v>
      </c>
      <c r="I543" s="99">
        <v>0.38819444444444445</v>
      </c>
      <c r="J543" s="100">
        <v>4243.6000000000004</v>
      </c>
      <c r="K543" s="100">
        <v>14.3</v>
      </c>
      <c r="L543" s="100">
        <v>24.7</v>
      </c>
      <c r="M543" s="100">
        <v>0.70600000000000007</v>
      </c>
      <c r="N543" s="101">
        <v>12.045696000000001</v>
      </c>
      <c r="O543" s="97" t="s">
        <v>48</v>
      </c>
      <c r="P543" s="97">
        <v>5</v>
      </c>
      <c r="Q543" s="97">
        <v>5</v>
      </c>
      <c r="R543" s="97" t="s">
        <v>64</v>
      </c>
      <c r="S543" s="97" t="s">
        <v>50</v>
      </c>
      <c r="T543" s="97" t="s">
        <v>50</v>
      </c>
      <c r="U543" s="97" t="s">
        <v>50</v>
      </c>
      <c r="V543" s="97" t="s">
        <v>50</v>
      </c>
      <c r="W543" s="97" t="s">
        <v>50</v>
      </c>
      <c r="X543" s="97" t="s">
        <v>50</v>
      </c>
      <c r="Y543" s="102" t="s">
        <v>8253</v>
      </c>
    </row>
    <row r="544" spans="1:25" s="97" customFormat="1" x14ac:dyDescent="0.25">
      <c r="A544" s="93">
        <v>43067</v>
      </c>
      <c r="B544" s="92" t="str">
        <f t="shared" si="8"/>
        <v>Tue</v>
      </c>
      <c r="C544" s="97" t="s">
        <v>44</v>
      </c>
      <c r="D544" s="98">
        <v>37.939019999999999</v>
      </c>
      <c r="E544" s="98">
        <v>-121.33986</v>
      </c>
      <c r="F544" s="97" t="s">
        <v>8260</v>
      </c>
      <c r="G544" s="97" t="s">
        <v>46</v>
      </c>
      <c r="H544" s="97" t="s">
        <v>6840</v>
      </c>
      <c r="I544" s="99">
        <v>0.35902777777777778</v>
      </c>
      <c r="J544" s="100">
        <v>386.52500000000003</v>
      </c>
      <c r="K544" s="100">
        <v>14.425000000000001</v>
      </c>
      <c r="L544" s="100">
        <v>6.4387499999999998</v>
      </c>
      <c r="M544" s="100">
        <v>1.5912499999999998</v>
      </c>
      <c r="N544" s="101">
        <v>3.9749999999999996</v>
      </c>
      <c r="O544" s="97" t="s">
        <v>48</v>
      </c>
      <c r="P544" s="97">
        <v>8</v>
      </c>
      <c r="Q544" s="97">
        <v>10</v>
      </c>
      <c r="R544" s="97" t="s">
        <v>49</v>
      </c>
      <c r="S544" s="97" t="s">
        <v>50</v>
      </c>
      <c r="T544" s="97" t="s">
        <v>50</v>
      </c>
      <c r="U544" s="97" t="s">
        <v>50</v>
      </c>
      <c r="V544" s="97" t="s">
        <v>50</v>
      </c>
      <c r="W544" s="97" t="s">
        <v>50</v>
      </c>
      <c r="X544" s="97" t="s">
        <v>50</v>
      </c>
      <c r="Y544" s="102"/>
    </row>
    <row r="545" spans="1:25" s="97" customFormat="1" x14ac:dyDescent="0.25">
      <c r="A545" s="93">
        <v>43067</v>
      </c>
      <c r="B545" s="92" t="str">
        <f t="shared" si="8"/>
        <v>Tue</v>
      </c>
      <c r="C545" s="97" t="s">
        <v>44</v>
      </c>
      <c r="D545" s="98">
        <v>37.972349999999999</v>
      </c>
      <c r="E545" s="98">
        <v>-121.47627</v>
      </c>
      <c r="F545" s="97" t="s">
        <v>8261</v>
      </c>
      <c r="G545" s="97" t="s">
        <v>46</v>
      </c>
      <c r="H545" s="97" t="s">
        <v>6939</v>
      </c>
      <c r="I545" s="99">
        <v>0.50277777777777777</v>
      </c>
      <c r="J545" s="100">
        <v>253.5625</v>
      </c>
      <c r="K545" s="100">
        <v>14.5875</v>
      </c>
      <c r="L545" s="100">
        <v>8.713750000000001</v>
      </c>
      <c r="M545" s="100">
        <v>1.2075</v>
      </c>
      <c r="N545" s="101">
        <v>6.85</v>
      </c>
      <c r="O545" s="97" t="s">
        <v>48</v>
      </c>
      <c r="P545" s="97">
        <v>8</v>
      </c>
      <c r="Q545" s="97">
        <v>10</v>
      </c>
      <c r="R545" s="97" t="s">
        <v>49</v>
      </c>
      <c r="S545" s="97" t="s">
        <v>50</v>
      </c>
      <c r="T545" s="97" t="s">
        <v>50</v>
      </c>
      <c r="U545" s="97" t="s">
        <v>50</v>
      </c>
      <c r="V545" s="97" t="s">
        <v>50</v>
      </c>
      <c r="W545" s="97" t="s">
        <v>50</v>
      </c>
      <c r="X545" s="97" t="s">
        <v>50</v>
      </c>
      <c r="Y545" s="102"/>
    </row>
    <row r="546" spans="1:25" s="97" customFormat="1" x14ac:dyDescent="0.25">
      <c r="A546" s="93">
        <v>43068</v>
      </c>
      <c r="B546" s="92" t="str">
        <f t="shared" si="8"/>
        <v>Wed</v>
      </c>
      <c r="C546" s="97" t="s">
        <v>95</v>
      </c>
      <c r="D546" s="98">
        <v>38.035730000000001</v>
      </c>
      <c r="E546" s="98">
        <v>-121.7193</v>
      </c>
      <c r="F546" s="97" t="s">
        <v>8262</v>
      </c>
      <c r="G546" s="97" t="s">
        <v>27</v>
      </c>
      <c r="H546" s="97" t="s">
        <v>95</v>
      </c>
      <c r="I546" s="99">
        <v>0.31111111111111112</v>
      </c>
      <c r="J546" s="100">
        <v>292.89999999999998</v>
      </c>
      <c r="K546" s="100">
        <v>13.95</v>
      </c>
      <c r="L546" s="100">
        <v>5.3760000000000003</v>
      </c>
      <c r="M546" s="100">
        <v>1.79</v>
      </c>
      <c r="N546" s="101">
        <v>6.12</v>
      </c>
      <c r="O546" s="97" t="s">
        <v>48</v>
      </c>
      <c r="P546" s="97">
        <v>5</v>
      </c>
      <c r="Q546" s="97">
        <v>5</v>
      </c>
      <c r="R546" s="97" t="s">
        <v>64</v>
      </c>
      <c r="S546" s="97" t="s">
        <v>50</v>
      </c>
      <c r="T546" s="97" t="s">
        <v>50</v>
      </c>
      <c r="U546" s="97" t="s">
        <v>50</v>
      </c>
      <c r="V546" s="97" t="s">
        <v>50</v>
      </c>
      <c r="W546" s="97" t="s">
        <v>50</v>
      </c>
      <c r="X546" s="97" t="s">
        <v>50</v>
      </c>
      <c r="Y546" s="102"/>
    </row>
    <row r="547" spans="1:25" s="153" customFormat="1" x14ac:dyDescent="0.25">
      <c r="A547" s="148">
        <v>43068</v>
      </c>
      <c r="B547" s="148" t="str">
        <f t="shared" si="8"/>
        <v>Wed</v>
      </c>
      <c r="C547" s="153" t="s">
        <v>95</v>
      </c>
      <c r="D547" s="154">
        <v>38.117220000000003</v>
      </c>
      <c r="E547" s="154">
        <v>-121.62669</v>
      </c>
      <c r="F547" s="153" t="s">
        <v>8263</v>
      </c>
      <c r="G547" s="153" t="s">
        <v>46</v>
      </c>
      <c r="H547" s="153" t="s">
        <v>97</v>
      </c>
      <c r="I547" s="155">
        <v>0.3756944444444445</v>
      </c>
      <c r="J547" s="156">
        <v>135.15</v>
      </c>
      <c r="K547" s="156">
        <v>13.4</v>
      </c>
      <c r="L547" s="156">
        <v>3.35</v>
      </c>
      <c r="M547" s="156">
        <v>2</v>
      </c>
      <c r="N547" s="156">
        <v>4.05</v>
      </c>
      <c r="O547" s="153" t="s">
        <v>48</v>
      </c>
      <c r="P547" s="153">
        <v>2</v>
      </c>
      <c r="Q547" s="153">
        <v>5</v>
      </c>
      <c r="R547" s="153" t="s">
        <v>49</v>
      </c>
      <c r="S547" s="153" t="s">
        <v>50</v>
      </c>
      <c r="T547" s="153" t="s">
        <v>50</v>
      </c>
      <c r="U547" s="153" t="s">
        <v>50</v>
      </c>
      <c r="V547" s="153" t="s">
        <v>50</v>
      </c>
      <c r="W547" s="153" t="s">
        <v>50</v>
      </c>
      <c r="X547" s="153" t="s">
        <v>50</v>
      </c>
      <c r="Y547" s="159" t="s">
        <v>8264</v>
      </c>
    </row>
    <row r="548" spans="1:25" s="97" customFormat="1" x14ac:dyDescent="0.25">
      <c r="A548" s="93">
        <v>43068</v>
      </c>
      <c r="B548" s="92" t="str">
        <f t="shared" si="8"/>
        <v>Wed</v>
      </c>
      <c r="C548" s="97" t="s">
        <v>95</v>
      </c>
      <c r="D548" s="98">
        <v>38.094679999999997</v>
      </c>
      <c r="E548" s="98">
        <v>-121.65877</v>
      </c>
      <c r="F548" s="97" t="s">
        <v>8265</v>
      </c>
      <c r="G548" s="97" t="s">
        <v>46</v>
      </c>
      <c r="H548" s="97" t="s">
        <v>97</v>
      </c>
      <c r="I548" s="99">
        <v>0.4368055555555555</v>
      </c>
      <c r="J548" s="100">
        <v>238.56</v>
      </c>
      <c r="K548" s="100">
        <v>14.16</v>
      </c>
      <c r="L548" s="100">
        <v>7.5679999999999996</v>
      </c>
      <c r="M548" s="100">
        <v>1.6859999999999999</v>
      </c>
      <c r="N548" s="101">
        <v>13.9</v>
      </c>
      <c r="O548" s="97" t="s">
        <v>48</v>
      </c>
      <c r="P548" s="97">
        <v>5</v>
      </c>
      <c r="Q548" s="97">
        <v>5</v>
      </c>
      <c r="R548" s="97" t="s">
        <v>64</v>
      </c>
      <c r="S548" s="97" t="s">
        <v>50</v>
      </c>
      <c r="T548" s="97" t="s">
        <v>50</v>
      </c>
      <c r="U548" s="97" t="s">
        <v>50</v>
      </c>
      <c r="V548" s="97" t="s">
        <v>50</v>
      </c>
      <c r="W548" s="97" t="s">
        <v>50</v>
      </c>
      <c r="X548" s="97" t="s">
        <v>50</v>
      </c>
      <c r="Y548" s="102"/>
    </row>
    <row r="549" spans="1:25" s="97" customFormat="1" x14ac:dyDescent="0.25">
      <c r="A549" s="93">
        <v>43068</v>
      </c>
      <c r="B549" s="92" t="str">
        <f t="shared" si="8"/>
        <v>Wed</v>
      </c>
      <c r="C549" s="97" t="s">
        <v>845</v>
      </c>
      <c r="D549" s="98">
        <v>38.379660000000001</v>
      </c>
      <c r="E549" s="98">
        <v>-121.63104</v>
      </c>
      <c r="F549" s="97" t="s">
        <v>8266</v>
      </c>
      <c r="G549" s="97" t="s">
        <v>90</v>
      </c>
      <c r="H549" s="97" t="s">
        <v>6935</v>
      </c>
      <c r="I549" s="99">
        <v>0.34722222222222227</v>
      </c>
      <c r="J549" s="100">
        <v>241.14</v>
      </c>
      <c r="K549" s="100">
        <v>13.2</v>
      </c>
      <c r="L549" s="100">
        <v>36.04</v>
      </c>
      <c r="M549" s="100">
        <v>0.39600000000000002</v>
      </c>
      <c r="N549" s="101">
        <v>3.4137599999999999</v>
      </c>
      <c r="O549" s="97" t="s">
        <v>48</v>
      </c>
      <c r="P549" s="97">
        <v>5</v>
      </c>
      <c r="Q549" s="97">
        <v>5</v>
      </c>
      <c r="R549" s="97" t="s">
        <v>49</v>
      </c>
      <c r="S549" s="97" t="s">
        <v>50</v>
      </c>
      <c r="T549" s="97" t="s">
        <v>50</v>
      </c>
      <c r="U549" s="97" t="s">
        <v>50</v>
      </c>
      <c r="V549" s="97" t="s">
        <v>50</v>
      </c>
      <c r="W549" s="97" t="s">
        <v>50</v>
      </c>
      <c r="X549" s="97" t="s">
        <v>50</v>
      </c>
      <c r="Y549" s="102" t="s">
        <v>8267</v>
      </c>
    </row>
    <row r="550" spans="1:25" s="97" customFormat="1" x14ac:dyDescent="0.25">
      <c r="A550" s="93">
        <v>43068</v>
      </c>
      <c r="B550" s="92" t="str">
        <f t="shared" si="8"/>
        <v>Wed</v>
      </c>
      <c r="C550" s="97" t="s">
        <v>845</v>
      </c>
      <c r="D550" s="98">
        <v>38.313839999999999</v>
      </c>
      <c r="E550" s="98">
        <v>-121.65231</v>
      </c>
      <c r="F550" s="97" t="s">
        <v>8268</v>
      </c>
      <c r="G550" s="97" t="s">
        <v>90</v>
      </c>
      <c r="H550" s="97" t="s">
        <v>6935</v>
      </c>
      <c r="I550" s="99">
        <v>0.44861111111111113</v>
      </c>
      <c r="J550" s="100">
        <v>177.08</v>
      </c>
      <c r="K550" s="100">
        <v>13.8</v>
      </c>
      <c r="L550" s="100">
        <v>35.94</v>
      </c>
      <c r="M550" s="100">
        <v>0.45</v>
      </c>
      <c r="N550" s="101">
        <v>10.424160000000001</v>
      </c>
      <c r="O550" s="97" t="s">
        <v>48</v>
      </c>
      <c r="P550" s="97">
        <v>5</v>
      </c>
      <c r="Q550" s="97">
        <v>5</v>
      </c>
      <c r="R550" s="97" t="s">
        <v>64</v>
      </c>
      <c r="S550" s="97" t="s">
        <v>50</v>
      </c>
      <c r="T550" s="97" t="s">
        <v>50</v>
      </c>
      <c r="U550" s="97" t="s">
        <v>50</v>
      </c>
      <c r="V550" s="97" t="s">
        <v>50</v>
      </c>
      <c r="W550" s="97" t="s">
        <v>50</v>
      </c>
      <c r="X550" s="97" t="s">
        <v>50</v>
      </c>
      <c r="Y550" s="102" t="s">
        <v>8267</v>
      </c>
    </row>
    <row r="551" spans="1:25" s="97" customFormat="1" x14ac:dyDescent="0.25">
      <c r="A551" s="93">
        <v>43068</v>
      </c>
      <c r="B551" s="92" t="str">
        <f t="shared" si="8"/>
        <v>Wed</v>
      </c>
      <c r="C551" s="97" t="s">
        <v>118</v>
      </c>
      <c r="D551" s="98">
        <v>38.071379999999998</v>
      </c>
      <c r="E551" s="98">
        <v>-122.33094</v>
      </c>
      <c r="F551" s="97" t="s">
        <v>8269</v>
      </c>
      <c r="G551" s="97" t="s">
        <v>80</v>
      </c>
      <c r="H551" s="97" t="s">
        <v>123</v>
      </c>
      <c r="I551" s="99">
        <v>0.3979166666666667</v>
      </c>
      <c r="J551" s="100">
        <v>25034.400000000001</v>
      </c>
      <c r="K551" s="100">
        <v>14.262499999999999</v>
      </c>
      <c r="L551" s="100" t="s">
        <v>50</v>
      </c>
      <c r="M551" s="100">
        <v>0.69428599999999996</v>
      </c>
      <c r="N551" s="101">
        <v>2.8578809999999999</v>
      </c>
      <c r="O551" s="97" t="s">
        <v>48</v>
      </c>
      <c r="P551" s="97">
        <v>8</v>
      </c>
      <c r="Q551" s="97">
        <v>10</v>
      </c>
      <c r="R551" s="97" t="s">
        <v>49</v>
      </c>
      <c r="S551" s="97" t="s">
        <v>50</v>
      </c>
      <c r="T551" s="97" t="s">
        <v>50</v>
      </c>
      <c r="U551" s="97" t="s">
        <v>50</v>
      </c>
      <c r="V551" s="97" t="s">
        <v>50</v>
      </c>
      <c r="W551" s="97" t="s">
        <v>50</v>
      </c>
      <c r="X551" s="97" t="s">
        <v>50</v>
      </c>
      <c r="Y551" s="102" t="s">
        <v>8270</v>
      </c>
    </row>
    <row r="552" spans="1:25" s="97" customFormat="1" x14ac:dyDescent="0.25">
      <c r="A552" s="93">
        <v>43068</v>
      </c>
      <c r="B552" s="92" t="str">
        <f t="shared" si="8"/>
        <v>Wed</v>
      </c>
      <c r="C552" s="97" t="s">
        <v>118</v>
      </c>
      <c r="D552" s="98">
        <v>38.051340000000003</v>
      </c>
      <c r="E552" s="98">
        <v>-122.30332</v>
      </c>
      <c r="F552" s="97" t="s">
        <v>8271</v>
      </c>
      <c r="G552" s="97" t="s">
        <v>80</v>
      </c>
      <c r="H552" s="97" t="s">
        <v>123</v>
      </c>
      <c r="I552" s="99">
        <v>0.52013888888888882</v>
      </c>
      <c r="J552" s="100">
        <v>28006.63</v>
      </c>
      <c r="K552" s="100">
        <v>14.375</v>
      </c>
      <c r="L552" s="100" t="s">
        <v>50</v>
      </c>
      <c r="M552" s="100">
        <v>0.79857100000000003</v>
      </c>
      <c r="N552" s="101">
        <v>9.7688400000000009</v>
      </c>
      <c r="O552" s="97" t="s">
        <v>48</v>
      </c>
      <c r="P552" s="97">
        <v>8</v>
      </c>
      <c r="Q552" s="97">
        <v>10</v>
      </c>
      <c r="R552" s="97" t="s">
        <v>49</v>
      </c>
      <c r="S552" s="97" t="s">
        <v>50</v>
      </c>
      <c r="T552" s="97" t="s">
        <v>50</v>
      </c>
      <c r="U552" s="97" t="s">
        <v>50</v>
      </c>
      <c r="V552" s="97" t="s">
        <v>50</v>
      </c>
      <c r="W552" s="97" t="s">
        <v>50</v>
      </c>
      <c r="X552" s="97" t="s">
        <v>50</v>
      </c>
      <c r="Y552" s="102" t="s">
        <v>8270</v>
      </c>
    </row>
    <row r="553" spans="1:25" s="97" customFormat="1" x14ac:dyDescent="0.25">
      <c r="A553" s="93">
        <v>43069</v>
      </c>
      <c r="B553" s="92" t="str">
        <f t="shared" si="8"/>
        <v>Thu</v>
      </c>
      <c r="C553" s="97" t="s">
        <v>44</v>
      </c>
      <c r="D553" s="98">
        <v>38.002000000000002</v>
      </c>
      <c r="E553" s="98">
        <v>-121.52315</v>
      </c>
      <c r="F553" s="97" t="s">
        <v>8272</v>
      </c>
      <c r="G553" s="97" t="s">
        <v>46</v>
      </c>
      <c r="H553" s="97" t="s">
        <v>6939</v>
      </c>
      <c r="I553" s="99">
        <v>0.32430555555555557</v>
      </c>
      <c r="J553" s="100">
        <v>150.875</v>
      </c>
      <c r="K553" s="100">
        <v>13.675000000000001</v>
      </c>
      <c r="L553" s="100">
        <v>3.0200000000000005</v>
      </c>
      <c r="M553" s="100">
        <v>1.8</v>
      </c>
      <c r="N553" s="101">
        <v>7.3249999999999993</v>
      </c>
      <c r="O553" s="97" t="s">
        <v>48</v>
      </c>
      <c r="P553" s="97">
        <v>8</v>
      </c>
      <c r="Q553" s="97">
        <v>10</v>
      </c>
      <c r="R553" s="97" t="s">
        <v>64</v>
      </c>
      <c r="S553" s="97" t="s">
        <v>50</v>
      </c>
      <c r="T553" s="97" t="s">
        <v>50</v>
      </c>
      <c r="U553" s="97" t="s">
        <v>50</v>
      </c>
      <c r="V553" s="97" t="s">
        <v>50</v>
      </c>
      <c r="W553" s="97" t="s">
        <v>50</v>
      </c>
      <c r="X553" s="97" t="s">
        <v>50</v>
      </c>
      <c r="Y553" s="102"/>
    </row>
    <row r="554" spans="1:25" s="97" customFormat="1" x14ac:dyDescent="0.25">
      <c r="A554" s="93">
        <v>43069</v>
      </c>
      <c r="B554" s="92" t="str">
        <f t="shared" si="8"/>
        <v>Thu</v>
      </c>
      <c r="C554" s="97" t="s">
        <v>44</v>
      </c>
      <c r="D554" s="98">
        <v>38.023099999999999</v>
      </c>
      <c r="E554" s="98">
        <v>-121.5615</v>
      </c>
      <c r="F554" s="97" t="s">
        <v>8273</v>
      </c>
      <c r="G554" s="97" t="s">
        <v>46</v>
      </c>
      <c r="H554" s="97" t="s">
        <v>74</v>
      </c>
      <c r="I554" s="99">
        <v>0.4291666666666667</v>
      </c>
      <c r="J554" s="100">
        <v>160.63749999999999</v>
      </c>
      <c r="K554" s="100">
        <v>13.700000000000001</v>
      </c>
      <c r="L554" s="100">
        <v>5.0575000000000001</v>
      </c>
      <c r="M554" s="100">
        <v>1.8000000000000003</v>
      </c>
      <c r="N554" s="101">
        <v>6.0250000000000004</v>
      </c>
      <c r="O554" s="97" t="s">
        <v>48</v>
      </c>
      <c r="P554" s="97">
        <v>8</v>
      </c>
      <c r="Q554" s="97">
        <v>10</v>
      </c>
      <c r="R554" s="97" t="s">
        <v>64</v>
      </c>
      <c r="S554" s="97" t="s">
        <v>50</v>
      </c>
      <c r="T554" s="97" t="s">
        <v>50</v>
      </c>
      <c r="U554" s="97" t="s">
        <v>50</v>
      </c>
      <c r="V554" s="97" t="s">
        <v>50</v>
      </c>
      <c r="W554" s="97" t="s">
        <v>50</v>
      </c>
      <c r="X554" s="97" t="s">
        <v>50</v>
      </c>
      <c r="Y554" s="102"/>
    </row>
    <row r="555" spans="1:25" s="97" customFormat="1" x14ac:dyDescent="0.25">
      <c r="A555" s="93">
        <v>43069</v>
      </c>
      <c r="B555" s="92" t="str">
        <f t="shared" si="8"/>
        <v>Thu</v>
      </c>
      <c r="C555" s="97" t="s">
        <v>118</v>
      </c>
      <c r="D555" s="98">
        <v>38.057479999999998</v>
      </c>
      <c r="E555" s="98">
        <v>-122.19473000000001</v>
      </c>
      <c r="F555" s="97" t="s">
        <v>8274</v>
      </c>
      <c r="G555" s="97" t="s">
        <v>80</v>
      </c>
      <c r="H555" s="97" t="s">
        <v>120</v>
      </c>
      <c r="I555" s="99">
        <v>0.33680555555555558</v>
      </c>
      <c r="J555" s="100">
        <v>22155.375</v>
      </c>
      <c r="K555" s="100">
        <v>14.237500000000001</v>
      </c>
      <c r="L555" s="100">
        <v>15.33</v>
      </c>
      <c r="M555" s="100">
        <v>0.92874999999999996</v>
      </c>
      <c r="N555" s="101">
        <v>36.6875</v>
      </c>
      <c r="O555" s="97" t="s">
        <v>48</v>
      </c>
      <c r="P555" s="97">
        <v>8</v>
      </c>
      <c r="Q555" s="97">
        <v>10</v>
      </c>
      <c r="R555" s="97" t="s">
        <v>64</v>
      </c>
      <c r="S555" s="97" t="s">
        <v>50</v>
      </c>
      <c r="T555" s="97" t="s">
        <v>50</v>
      </c>
      <c r="U555" s="97" t="s">
        <v>50</v>
      </c>
      <c r="V555" s="97" t="s">
        <v>50</v>
      </c>
      <c r="W555" s="97" t="s">
        <v>50</v>
      </c>
      <c r="X555" s="97" t="s">
        <v>50</v>
      </c>
      <c r="Y555" s="102" t="s">
        <v>6893</v>
      </c>
    </row>
    <row r="556" spans="1:25" s="97" customFormat="1" x14ac:dyDescent="0.25">
      <c r="A556" s="93">
        <v>43069</v>
      </c>
      <c r="B556" s="92" t="str">
        <f t="shared" si="8"/>
        <v>Thu</v>
      </c>
      <c r="C556" s="97" t="s">
        <v>118</v>
      </c>
      <c r="D556" s="98">
        <v>38.051360000000003</v>
      </c>
      <c r="E556" s="98">
        <v>-122.11032</v>
      </c>
      <c r="F556" s="97" t="s">
        <v>8275</v>
      </c>
      <c r="G556" s="97" t="s">
        <v>80</v>
      </c>
      <c r="H556" s="97" t="s">
        <v>81</v>
      </c>
      <c r="I556" s="99">
        <v>0.46736111111111112</v>
      </c>
      <c r="J556" s="100">
        <v>22826.38</v>
      </c>
      <c r="K556" s="100">
        <v>14.4125</v>
      </c>
      <c r="L556" s="100">
        <v>14.72875</v>
      </c>
      <c r="M556" s="100">
        <v>0.78125</v>
      </c>
      <c r="N556" s="100">
        <v>8.3175000000000008</v>
      </c>
      <c r="O556" s="97" t="s">
        <v>48</v>
      </c>
      <c r="P556" s="97">
        <v>8</v>
      </c>
      <c r="Q556" s="97">
        <v>10</v>
      </c>
      <c r="R556" s="97" t="s">
        <v>64</v>
      </c>
      <c r="S556" s="97" t="s">
        <v>50</v>
      </c>
      <c r="T556" s="97" t="s">
        <v>50</v>
      </c>
      <c r="U556" s="97" t="s">
        <v>50</v>
      </c>
      <c r="V556" s="97" t="s">
        <v>50</v>
      </c>
      <c r="W556" s="97" t="s">
        <v>50</v>
      </c>
      <c r="X556" s="97" t="s">
        <v>50</v>
      </c>
      <c r="Y556" s="102" t="s">
        <v>6893</v>
      </c>
    </row>
    <row r="557" spans="1:25" s="97" customFormat="1" x14ac:dyDescent="0.25">
      <c r="A557" s="93">
        <v>43069</v>
      </c>
      <c r="B557" s="92" t="str">
        <f t="shared" si="8"/>
        <v>Thu</v>
      </c>
      <c r="C557" s="97" t="s">
        <v>6849</v>
      </c>
      <c r="D557" s="98">
        <v>38.467709999999997</v>
      </c>
      <c r="E557" s="98">
        <v>-121.50427000000001</v>
      </c>
      <c r="F557" s="97" t="s">
        <v>8276</v>
      </c>
      <c r="G557" s="97" t="s">
        <v>90</v>
      </c>
      <c r="H557" s="97" t="s">
        <v>6851</v>
      </c>
      <c r="I557" s="99">
        <v>0.3743055555555555</v>
      </c>
      <c r="J557" s="100">
        <v>111.94444444444443</v>
      </c>
      <c r="K557" s="100">
        <v>12.299999999999999</v>
      </c>
      <c r="L557" s="100">
        <v>23.87777777777778</v>
      </c>
      <c r="M557" s="100">
        <v>0.8322222222222222</v>
      </c>
      <c r="N557" s="101">
        <v>9.4811111111111099</v>
      </c>
      <c r="O557" s="97" t="s">
        <v>48</v>
      </c>
      <c r="P557" s="97">
        <v>9</v>
      </c>
      <c r="Q557" s="97">
        <v>10</v>
      </c>
      <c r="R557" s="97" t="s">
        <v>49</v>
      </c>
      <c r="S557" s="97" t="s">
        <v>50</v>
      </c>
      <c r="T557" s="97" t="s">
        <v>50</v>
      </c>
      <c r="U557" s="97" t="s">
        <v>50</v>
      </c>
      <c r="V557" s="97" t="s">
        <v>50</v>
      </c>
      <c r="W557" s="97" t="s">
        <v>50</v>
      </c>
      <c r="X557" s="97" t="s">
        <v>50</v>
      </c>
      <c r="Y557" s="102" t="s">
        <v>8277</v>
      </c>
    </row>
    <row r="558" spans="1:25" s="108" customFormat="1" ht="15.75" thickBot="1" x14ac:dyDescent="0.3">
      <c r="A558" s="106">
        <v>43069</v>
      </c>
      <c r="B558" s="107" t="str">
        <f t="shared" si="8"/>
        <v>Thu</v>
      </c>
      <c r="C558" s="108" t="s">
        <v>6849</v>
      </c>
      <c r="D558" s="109">
        <v>38.182760000000002</v>
      </c>
      <c r="E558" s="109">
        <v>-121.56927</v>
      </c>
      <c r="F558" s="108" t="s">
        <v>8278</v>
      </c>
      <c r="G558" s="108" t="s">
        <v>90</v>
      </c>
      <c r="H558" s="108" t="s">
        <v>6892</v>
      </c>
      <c r="I558" s="110">
        <v>0.52986111111111112</v>
      </c>
      <c r="J558" s="111">
        <v>114.05</v>
      </c>
      <c r="K558" s="111">
        <v>13</v>
      </c>
      <c r="L558" s="111">
        <v>17.175000000000001</v>
      </c>
      <c r="M558" s="111">
        <v>1.1225000000000001</v>
      </c>
      <c r="N558" s="112">
        <v>6.1</v>
      </c>
      <c r="O558" s="108" t="s">
        <v>48</v>
      </c>
      <c r="P558" s="108">
        <v>8</v>
      </c>
      <c r="Q558" s="108">
        <v>10</v>
      </c>
      <c r="R558" s="108" t="s">
        <v>64</v>
      </c>
      <c r="S558" s="108" t="s">
        <v>50</v>
      </c>
      <c r="T558" s="108" t="s">
        <v>50</v>
      </c>
      <c r="U558" s="108" t="s">
        <v>50</v>
      </c>
      <c r="V558" s="108" t="s">
        <v>50</v>
      </c>
      <c r="W558" s="108" t="s">
        <v>50</v>
      </c>
      <c r="X558" s="108" t="s">
        <v>50</v>
      </c>
      <c r="Y558" s="113" t="s">
        <v>8279</v>
      </c>
    </row>
    <row r="559" spans="1:25" ht="15.75" thickTop="1" x14ac:dyDescent="0.25"/>
  </sheetData>
  <conditionalFormatting sqref="S1:S2">
    <cfRule type="cellIs" dxfId="25" priority="1" operator="equal">
      <formula>"DSM"</formula>
    </cfRule>
  </conditionalFormatting>
  <conditionalFormatting sqref="A3:V558 Y3:XFD558">
    <cfRule type="expression" dxfId="24" priority="17">
      <formula>$S3="DSM"</formula>
    </cfRule>
    <cfRule type="expression" dxfId="23" priority="18">
      <formula>SEARCH("GST",$S3)</formula>
    </cfRule>
    <cfRule type="expression" dxfId="22" priority="19">
      <formula>SEARCH("RBT",$S3)</formula>
    </cfRule>
    <cfRule type="expression" dxfId="21" priority="20">
      <formula>SEARCH("LFS",$S3)</formula>
    </cfRule>
    <cfRule type="expression" dxfId="20" priority="21">
      <formula>SEARCH("CHN",$S3)</formula>
    </cfRule>
  </conditionalFormatting>
  <conditionalFormatting sqref="S3:S558">
    <cfRule type="cellIs" dxfId="19" priority="16" operator="equal">
      <formula>"DSM"</formula>
    </cfRule>
  </conditionalFormatting>
  <conditionalFormatting sqref="S3:S558">
    <cfRule type="expression" dxfId="18" priority="12">
      <formula>SEARCH("RBT",$S3)</formula>
    </cfRule>
    <cfRule type="expression" dxfId="17" priority="13">
      <formula>SEARCH("GST",$S3)</formula>
    </cfRule>
    <cfRule type="expression" dxfId="16" priority="14">
      <formula>SEARCH("CHN",$S3)</formula>
    </cfRule>
    <cfRule type="expression" dxfId="15" priority="15">
      <formula>SEARCH("LFS",$S3)</formula>
    </cfRule>
  </conditionalFormatting>
  <conditionalFormatting sqref="X3:X558">
    <cfRule type="expression" dxfId="14" priority="7">
      <formula>$S3="DSM"</formula>
    </cfRule>
    <cfRule type="expression" dxfId="13" priority="8">
      <formula>SEARCH("GST",$S3)</formula>
    </cfRule>
    <cfRule type="expression" dxfId="12" priority="9">
      <formula>SEARCH("RBT",$S3)</formula>
    </cfRule>
    <cfRule type="expression" dxfId="11" priority="10">
      <formula>SEARCH("LFS",$S3)</formula>
    </cfRule>
    <cfRule type="expression" dxfId="10" priority="11">
      <formula>SEARCH("CHN",$S3)</formula>
    </cfRule>
  </conditionalFormatting>
  <conditionalFormatting sqref="W3:W558">
    <cfRule type="expression" dxfId="9" priority="2">
      <formula>$S3="DSM"</formula>
    </cfRule>
    <cfRule type="expression" dxfId="8" priority="3">
      <formula>SEARCH("GST",$S3)</formula>
    </cfRule>
    <cfRule type="expression" dxfId="7" priority="4">
      <formula>SEARCH("RBT",$S3)</formula>
    </cfRule>
    <cfRule type="expression" dxfId="6" priority="5">
      <formula>SEARCH("LFS",$S3)</formula>
    </cfRule>
    <cfRule type="expression" dxfId="5" priority="6">
      <formula>SEARCH("CHN",$S3)</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7">
    <tabColor theme="9" tint="0.59999389629810485"/>
  </sheetPr>
  <dimension ref="A1:Y500"/>
  <sheetViews>
    <sheetView workbookViewId="0">
      <selection activeCell="B11" sqref="B11"/>
    </sheetView>
  </sheetViews>
  <sheetFormatPr defaultColWidth="9.140625" defaultRowHeight="15" x14ac:dyDescent="0.25"/>
  <cols>
    <col min="1" max="1" width="10.7109375" style="48" customWidth="1"/>
    <col min="2" max="2" width="25.85546875" style="48" customWidth="1"/>
    <col min="3" max="4" width="15.7109375" style="48" customWidth="1"/>
    <col min="5" max="5" width="12.28515625" style="48" bestFit="1" customWidth="1"/>
    <col min="6" max="6" width="10.42578125" style="48" customWidth="1"/>
    <col min="7" max="7" width="43.7109375" style="48" customWidth="1"/>
    <col min="8" max="8" width="10.42578125" style="48" customWidth="1"/>
    <col min="9" max="9" width="8.140625" style="48" customWidth="1"/>
    <col min="10" max="10" width="9.7109375" style="48" bestFit="1" customWidth="1"/>
    <col min="11" max="11" width="7" style="241" customWidth="1"/>
    <col min="12" max="12" width="15.5703125" style="48" customWidth="1"/>
    <col min="13" max="13" width="13" style="48" customWidth="1"/>
    <col min="14" max="14" width="16" style="48" customWidth="1"/>
    <col min="15" max="15" width="31.7109375" style="48" customWidth="1"/>
    <col min="16" max="16" width="20.5703125" style="48" customWidth="1"/>
    <col min="17" max="17" width="23.5703125" style="48" customWidth="1"/>
    <col min="18" max="18" width="18.28515625" style="48" bestFit="1" customWidth="1"/>
    <col min="19" max="19" width="27.140625" style="48" bestFit="1" customWidth="1"/>
    <col min="20" max="20" width="30.140625" style="48" bestFit="1" customWidth="1"/>
    <col min="21" max="21" width="11.28515625" style="48" customWidth="1"/>
    <col min="22" max="22" width="10.5703125" style="48" customWidth="1"/>
    <col min="23" max="23" width="14.7109375" style="48" bestFit="1" customWidth="1"/>
    <col min="24" max="24" width="147.85546875" style="5" bestFit="1" customWidth="1"/>
    <col min="25" max="25" width="14.7109375" style="48" customWidth="1"/>
    <col min="26" max="16384" width="9.140625" style="48"/>
  </cols>
  <sheetData>
    <row r="1" spans="1:25" s="47" customFormat="1" x14ac:dyDescent="0.25">
      <c r="A1" s="50" t="s">
        <v>4498</v>
      </c>
      <c r="X1" s="46"/>
    </row>
    <row r="2" spans="1:25" x14ac:dyDescent="0.25">
      <c r="A2" s="40" t="s">
        <v>1</v>
      </c>
      <c r="B2" s="631" t="s">
        <v>3</v>
      </c>
      <c r="C2" s="631" t="s">
        <v>4</v>
      </c>
      <c r="D2" s="631" t="s">
        <v>5</v>
      </c>
      <c r="E2" s="631" t="s">
        <v>6</v>
      </c>
      <c r="F2" s="631" t="s">
        <v>7</v>
      </c>
      <c r="G2" s="631" t="s">
        <v>8</v>
      </c>
      <c r="H2" s="40" t="s">
        <v>9</v>
      </c>
      <c r="I2" s="40" t="s">
        <v>10</v>
      </c>
      <c r="J2" s="40" t="s">
        <v>11</v>
      </c>
      <c r="K2" s="292" t="s">
        <v>8280</v>
      </c>
      <c r="L2" s="40" t="s">
        <v>13</v>
      </c>
      <c r="M2" s="40" t="s">
        <v>14</v>
      </c>
      <c r="N2" s="40" t="s">
        <v>39</v>
      </c>
      <c r="O2" s="40" t="s">
        <v>15</v>
      </c>
      <c r="P2" s="40" t="s">
        <v>16</v>
      </c>
      <c r="Q2" s="40" t="s">
        <v>1746</v>
      </c>
      <c r="R2" s="49" t="s">
        <v>17</v>
      </c>
      <c r="S2" s="49" t="s">
        <v>18</v>
      </c>
      <c r="T2" s="49" t="s">
        <v>1747</v>
      </c>
      <c r="U2" s="40" t="s">
        <v>19</v>
      </c>
      <c r="V2" s="40" t="s">
        <v>20</v>
      </c>
      <c r="W2" s="40" t="s">
        <v>21</v>
      </c>
      <c r="X2" s="5" t="s">
        <v>22</v>
      </c>
      <c r="Y2" s="40" t="s">
        <v>23</v>
      </c>
    </row>
    <row r="3" spans="1:25" x14ac:dyDescent="0.25">
      <c r="A3" s="41">
        <v>42849</v>
      </c>
      <c r="B3" s="230" t="s">
        <v>8281</v>
      </c>
      <c r="C3" s="230">
        <v>38.098950000000002</v>
      </c>
      <c r="D3" s="230">
        <v>-121.49413</v>
      </c>
      <c r="E3" s="230" t="s">
        <v>8282</v>
      </c>
      <c r="F3" s="230" t="s">
        <v>46</v>
      </c>
      <c r="G3" s="631" t="s">
        <v>6881</v>
      </c>
      <c r="H3" s="231">
        <v>0.33611111111111108</v>
      </c>
      <c r="I3" s="42" t="s">
        <v>4500</v>
      </c>
      <c r="J3" s="42" t="s">
        <v>4501</v>
      </c>
      <c r="K3" s="232" t="s">
        <v>8283</v>
      </c>
      <c r="L3" s="42">
        <v>1</v>
      </c>
      <c r="M3" s="42">
        <v>6</v>
      </c>
      <c r="N3" s="42" t="s">
        <v>49</v>
      </c>
      <c r="O3" s="42">
        <v>20</v>
      </c>
      <c r="P3" s="42">
        <v>69</v>
      </c>
      <c r="Q3" s="42">
        <v>70.7</v>
      </c>
      <c r="R3" s="234">
        <v>1.79</v>
      </c>
      <c r="S3" s="234">
        <v>10.3</v>
      </c>
      <c r="T3" s="234">
        <v>15.1</v>
      </c>
      <c r="U3" s="43" t="s">
        <v>50</v>
      </c>
      <c r="V3" s="235">
        <v>0</v>
      </c>
      <c r="W3" s="235" t="s">
        <v>50</v>
      </c>
      <c r="X3" s="5" t="s">
        <v>8284</v>
      </c>
      <c r="Y3" s="235" t="s">
        <v>6671</v>
      </c>
    </row>
    <row r="4" spans="1:25" x14ac:dyDescent="0.25">
      <c r="A4" s="41">
        <v>42849</v>
      </c>
      <c r="B4" s="631" t="s">
        <v>8285</v>
      </c>
      <c r="C4" s="631">
        <v>38.052019999999999</v>
      </c>
      <c r="D4" s="631">
        <v>-122.11282</v>
      </c>
      <c r="E4" s="631" t="s">
        <v>8286</v>
      </c>
      <c r="F4" s="631" t="s">
        <v>80</v>
      </c>
      <c r="G4" s="631" t="s">
        <v>81</v>
      </c>
      <c r="H4" s="239">
        <v>0.37083333333333335</v>
      </c>
      <c r="I4" s="43" t="s">
        <v>4500</v>
      </c>
      <c r="J4" s="43" t="s">
        <v>4501</v>
      </c>
      <c r="K4" s="238" t="s">
        <v>8283</v>
      </c>
      <c r="L4" s="43">
        <v>2</v>
      </c>
      <c r="M4" s="43">
        <v>10</v>
      </c>
      <c r="N4" s="43" t="s">
        <v>64</v>
      </c>
      <c r="O4" s="43">
        <v>33</v>
      </c>
      <c r="P4" s="42">
        <f>AVERAGE(92.2,93.3)</f>
        <v>92.75</v>
      </c>
      <c r="Q4" s="42">
        <f>AVERAGE(91.3,91.8)</f>
        <v>91.55</v>
      </c>
      <c r="R4" s="234">
        <v>0.47499999999999998</v>
      </c>
      <c r="S4" s="234">
        <v>34.299999999999997</v>
      </c>
      <c r="T4" s="234">
        <v>37.1</v>
      </c>
      <c r="U4" s="43" t="s">
        <v>50</v>
      </c>
      <c r="V4" s="235">
        <v>0</v>
      </c>
      <c r="W4" s="235" t="s">
        <v>50</v>
      </c>
      <c r="Y4" s="235" t="s">
        <v>6671</v>
      </c>
    </row>
    <row r="5" spans="1:25" x14ac:dyDescent="0.25">
      <c r="A5" s="41">
        <v>42849</v>
      </c>
      <c r="B5" s="631" t="s">
        <v>8285</v>
      </c>
      <c r="C5" s="631">
        <v>38.159619999999997</v>
      </c>
      <c r="D5" s="631">
        <v>-122.29629</v>
      </c>
      <c r="E5" s="631" t="s">
        <v>8287</v>
      </c>
      <c r="F5" s="631" t="s">
        <v>80</v>
      </c>
      <c r="G5" s="631" t="s">
        <v>191</v>
      </c>
      <c r="H5" s="239">
        <v>0.43611111111111112</v>
      </c>
      <c r="I5" s="43" t="s">
        <v>4500</v>
      </c>
      <c r="J5" s="43" t="s">
        <v>4501</v>
      </c>
      <c r="K5" s="238" t="s">
        <v>8283</v>
      </c>
      <c r="L5" s="43">
        <v>2</v>
      </c>
      <c r="M5" s="43">
        <v>10</v>
      </c>
      <c r="N5" s="43" t="s">
        <v>49</v>
      </c>
      <c r="O5" s="43">
        <v>14</v>
      </c>
      <c r="P5" s="42">
        <f>AVERAGE(3400,3419)</f>
        <v>3409.5</v>
      </c>
      <c r="Q5" s="42">
        <f>AVERAGE(3400,3415)</f>
        <v>3407.5</v>
      </c>
      <c r="R5" s="234">
        <v>0.25</v>
      </c>
      <c r="S5" s="234">
        <v>91.05</v>
      </c>
      <c r="T5" s="234">
        <v>275</v>
      </c>
      <c r="U5" s="43" t="s">
        <v>31</v>
      </c>
      <c r="V5" s="235">
        <v>101</v>
      </c>
      <c r="W5" s="235" t="s">
        <v>8288</v>
      </c>
      <c r="Y5" s="235" t="s">
        <v>6671</v>
      </c>
    </row>
    <row r="6" spans="1:25" x14ac:dyDescent="0.25">
      <c r="A6" s="41">
        <v>42849</v>
      </c>
      <c r="B6" s="631" t="s">
        <v>8285</v>
      </c>
      <c r="C6" s="631">
        <v>38.050289999999997</v>
      </c>
      <c r="D6" s="631">
        <v>-122.268</v>
      </c>
      <c r="E6" s="631" t="s">
        <v>8289</v>
      </c>
      <c r="F6" s="631" t="s">
        <v>80</v>
      </c>
      <c r="G6" s="631" t="s">
        <v>123</v>
      </c>
      <c r="H6" s="239">
        <v>0.50347222222222221</v>
      </c>
      <c r="I6" s="43" t="s">
        <v>4500</v>
      </c>
      <c r="J6" s="43" t="s">
        <v>4501</v>
      </c>
      <c r="K6" s="238" t="s">
        <v>8283</v>
      </c>
      <c r="L6" s="43">
        <v>2</v>
      </c>
      <c r="M6" s="43">
        <v>10</v>
      </c>
      <c r="N6" s="43" t="s">
        <v>64</v>
      </c>
      <c r="O6" s="43">
        <v>13</v>
      </c>
      <c r="P6" s="42">
        <f>AVERAGE(6115,3448)</f>
        <v>4781.5</v>
      </c>
      <c r="Q6" s="42">
        <f>AVERAGE(7252,7252)</f>
        <v>7252</v>
      </c>
      <c r="R6" s="234">
        <v>0.32499999999999996</v>
      </c>
      <c r="S6" s="234">
        <v>89.550000000000011</v>
      </c>
      <c r="T6" s="234">
        <v>198.5</v>
      </c>
      <c r="U6" s="43" t="s">
        <v>31</v>
      </c>
      <c r="V6" s="235">
        <v>3</v>
      </c>
      <c r="W6" s="235" t="s">
        <v>8290</v>
      </c>
      <c r="Y6" s="235" t="s">
        <v>6671</v>
      </c>
    </row>
    <row r="7" spans="1:25" x14ac:dyDescent="0.25">
      <c r="A7" s="41">
        <v>42850</v>
      </c>
      <c r="B7" s="631" t="s">
        <v>8291</v>
      </c>
      <c r="C7" s="631">
        <v>38.091259999999998</v>
      </c>
      <c r="D7" s="631">
        <v>-121.63023</v>
      </c>
      <c r="E7" s="631" t="s">
        <v>8292</v>
      </c>
      <c r="F7" s="631" t="s">
        <v>46</v>
      </c>
      <c r="G7" s="631" t="s">
        <v>97</v>
      </c>
      <c r="H7" s="239">
        <v>0.32083333333333336</v>
      </c>
      <c r="I7" s="43" t="s">
        <v>4500</v>
      </c>
      <c r="J7" s="43" t="s">
        <v>4501</v>
      </c>
      <c r="K7" s="238" t="s">
        <v>8283</v>
      </c>
      <c r="L7" s="43">
        <v>2</v>
      </c>
      <c r="M7" s="43">
        <v>10</v>
      </c>
      <c r="N7" s="43" t="s">
        <v>49</v>
      </c>
      <c r="O7" s="43">
        <v>20</v>
      </c>
      <c r="P7" s="42">
        <f>AVERAGE(87.9,87.5)</f>
        <v>87.7</v>
      </c>
      <c r="Q7" s="42">
        <f>AVERAGE(88.4,91.3)</f>
        <v>89.85</v>
      </c>
      <c r="R7" s="234">
        <v>0.81</v>
      </c>
      <c r="S7" s="234">
        <v>17.45</v>
      </c>
      <c r="T7" s="234">
        <v>386</v>
      </c>
      <c r="U7" s="43" t="s">
        <v>50</v>
      </c>
      <c r="V7" s="235">
        <v>0</v>
      </c>
      <c r="W7" s="235" t="s">
        <v>50</v>
      </c>
      <c r="Y7" s="235" t="s">
        <v>6671</v>
      </c>
    </row>
    <row r="8" spans="1:25" x14ac:dyDescent="0.25">
      <c r="A8" s="41">
        <v>42850</v>
      </c>
      <c r="B8" s="631" t="s">
        <v>8291</v>
      </c>
      <c r="C8" s="631">
        <v>38.042299999999997</v>
      </c>
      <c r="D8" s="631">
        <v>-121.49732</v>
      </c>
      <c r="E8" s="631" t="s">
        <v>8293</v>
      </c>
      <c r="F8" s="631" t="s">
        <v>46</v>
      </c>
      <c r="G8" s="631" t="s">
        <v>582</v>
      </c>
      <c r="H8" s="239">
        <v>0.38125000000000003</v>
      </c>
      <c r="I8" s="43" t="s">
        <v>4500</v>
      </c>
      <c r="J8" s="43" t="s">
        <v>4501</v>
      </c>
      <c r="K8" s="238" t="s">
        <v>8283</v>
      </c>
      <c r="L8" s="43">
        <v>2</v>
      </c>
      <c r="M8" s="43">
        <v>10</v>
      </c>
      <c r="N8" s="43" t="s">
        <v>49</v>
      </c>
      <c r="O8" s="43">
        <v>30</v>
      </c>
      <c r="P8" s="42">
        <f>AVERAGE(99.5,97.6)</f>
        <v>98.55</v>
      </c>
      <c r="Q8" s="42">
        <f>AVERAGE(97.2,99.4)</f>
        <v>98.300000000000011</v>
      </c>
      <c r="R8" s="234">
        <v>1.115</v>
      </c>
      <c r="S8" s="234">
        <v>28.545000000000002</v>
      </c>
      <c r="T8" s="234">
        <v>24.75</v>
      </c>
      <c r="U8" s="43" t="s">
        <v>50</v>
      </c>
      <c r="V8" s="235">
        <v>0</v>
      </c>
      <c r="W8" s="235" t="s">
        <v>50</v>
      </c>
      <c r="Y8" s="235" t="s">
        <v>6671</v>
      </c>
    </row>
    <row r="9" spans="1:25" x14ac:dyDescent="0.25">
      <c r="A9" s="41">
        <v>42850</v>
      </c>
      <c r="B9" s="631" t="s">
        <v>8291</v>
      </c>
      <c r="C9" s="631">
        <v>37.985999999999997</v>
      </c>
      <c r="D9" s="631">
        <v>-121.51742</v>
      </c>
      <c r="E9" s="631" t="s">
        <v>8294</v>
      </c>
      <c r="F9" s="631" t="s">
        <v>46</v>
      </c>
      <c r="G9" s="631" t="s">
        <v>6939</v>
      </c>
      <c r="H9" s="239">
        <v>0.43472222222222223</v>
      </c>
      <c r="I9" s="43" t="s">
        <v>4500</v>
      </c>
      <c r="J9" s="43" t="s">
        <v>4501</v>
      </c>
      <c r="K9" s="238" t="s">
        <v>8283</v>
      </c>
      <c r="L9" s="43">
        <v>2</v>
      </c>
      <c r="M9" s="43">
        <v>5</v>
      </c>
      <c r="N9" s="43" t="s">
        <v>64</v>
      </c>
      <c r="O9" s="43">
        <v>15</v>
      </c>
      <c r="P9" s="42">
        <f>AVERAGE(119.8,119.5)</f>
        <v>119.65</v>
      </c>
      <c r="Q9" s="42">
        <f>AVERAGE(119.6,113.7)</f>
        <v>116.65</v>
      </c>
      <c r="R9" s="234">
        <v>1.2450000000000001</v>
      </c>
      <c r="S9" s="234">
        <v>12.690000000000001</v>
      </c>
      <c r="T9" s="234">
        <v>405</v>
      </c>
      <c r="U9" s="43" t="s">
        <v>50</v>
      </c>
      <c r="V9" s="235">
        <v>0</v>
      </c>
      <c r="W9" s="235" t="s">
        <v>50</v>
      </c>
      <c r="X9" s="5" t="s">
        <v>8295</v>
      </c>
      <c r="Y9" s="235" t="s">
        <v>6671</v>
      </c>
    </row>
    <row r="10" spans="1:25" x14ac:dyDescent="0.25">
      <c r="A10" s="41">
        <v>42850</v>
      </c>
      <c r="B10" s="631" t="s">
        <v>8296</v>
      </c>
      <c r="C10" s="631">
        <v>38.06109</v>
      </c>
      <c r="D10" s="631">
        <v>-121.80517</v>
      </c>
      <c r="E10" s="631" t="s">
        <v>8297</v>
      </c>
      <c r="F10" s="631" t="s">
        <v>27</v>
      </c>
      <c r="G10" s="631" t="s">
        <v>25</v>
      </c>
      <c r="H10" s="239">
        <v>0.34513888888888888</v>
      </c>
      <c r="I10" s="43" t="s">
        <v>4500</v>
      </c>
      <c r="J10" s="43" t="s">
        <v>4501</v>
      </c>
      <c r="K10" s="238" t="s">
        <v>8283</v>
      </c>
      <c r="L10" s="43">
        <v>2</v>
      </c>
      <c r="M10" s="43">
        <v>10</v>
      </c>
      <c r="N10" s="43" t="s">
        <v>49</v>
      </c>
      <c r="O10" s="43">
        <v>38</v>
      </c>
      <c r="P10" s="42">
        <f>AVERAGE(102.6,99.7)</f>
        <v>101.15</v>
      </c>
      <c r="Q10" s="42">
        <f>AVERAGE(105.2,99.6)</f>
        <v>102.4</v>
      </c>
      <c r="R10" s="234">
        <v>0.53499999999999992</v>
      </c>
      <c r="S10" s="234">
        <v>26.35</v>
      </c>
      <c r="T10" s="234">
        <v>27.700000000000003</v>
      </c>
      <c r="U10" s="43" t="s">
        <v>50</v>
      </c>
      <c r="V10" s="235">
        <v>0</v>
      </c>
      <c r="W10" s="235" t="s">
        <v>50</v>
      </c>
      <c r="Y10" s="235" t="s">
        <v>6671</v>
      </c>
    </row>
    <row r="11" spans="1:25" x14ac:dyDescent="0.25">
      <c r="A11" s="41">
        <v>42850</v>
      </c>
      <c r="B11" s="631" t="s">
        <v>8296</v>
      </c>
      <c r="C11" s="631">
        <v>38.13006</v>
      </c>
      <c r="D11" s="631">
        <v>-121.69696999999999</v>
      </c>
      <c r="E11" s="631" t="s">
        <v>8298</v>
      </c>
      <c r="F11" s="631" t="s">
        <v>90</v>
      </c>
      <c r="G11" s="631" t="s">
        <v>91</v>
      </c>
      <c r="H11" s="239">
        <v>0.40347222222222223</v>
      </c>
      <c r="I11" s="43" t="s">
        <v>4500</v>
      </c>
      <c r="J11" s="43" t="s">
        <v>4501</v>
      </c>
      <c r="K11" s="238" t="s">
        <v>8283</v>
      </c>
      <c r="L11" s="43">
        <v>2</v>
      </c>
      <c r="M11" s="43">
        <v>10</v>
      </c>
      <c r="N11" s="43" t="s">
        <v>49</v>
      </c>
      <c r="O11" s="43">
        <v>32</v>
      </c>
      <c r="P11" s="42">
        <f>AVERAGE(108.3,109.8)</f>
        <v>109.05</v>
      </c>
      <c r="Q11" s="42">
        <f>AVERAGE(107.7,109.8)</f>
        <v>108.75</v>
      </c>
      <c r="R11" s="234">
        <v>0.55000000000000004</v>
      </c>
      <c r="S11" s="234">
        <v>24.85</v>
      </c>
      <c r="T11" s="234">
        <v>26.95</v>
      </c>
      <c r="U11" s="43" t="s">
        <v>50</v>
      </c>
      <c r="V11" s="235">
        <v>0</v>
      </c>
      <c r="W11" s="235" t="s">
        <v>50</v>
      </c>
      <c r="Y11" s="235" t="s">
        <v>6671</v>
      </c>
    </row>
    <row r="12" spans="1:25" x14ac:dyDescent="0.25">
      <c r="A12" s="41">
        <v>42850</v>
      </c>
      <c r="B12" s="631" t="s">
        <v>8296</v>
      </c>
      <c r="C12" s="631">
        <v>38.06353</v>
      </c>
      <c r="D12" s="631">
        <v>-122.03334</v>
      </c>
      <c r="E12" s="631" t="s">
        <v>8299</v>
      </c>
      <c r="F12" s="631" t="s">
        <v>27</v>
      </c>
      <c r="G12" s="631" t="s">
        <v>86</v>
      </c>
      <c r="H12" s="239">
        <v>0.4861111111111111</v>
      </c>
      <c r="I12" s="43" t="s">
        <v>4500</v>
      </c>
      <c r="J12" s="43" t="s">
        <v>4501</v>
      </c>
      <c r="K12" s="238" t="s">
        <v>8283</v>
      </c>
      <c r="L12" s="43">
        <v>2</v>
      </c>
      <c r="M12" s="43">
        <v>10</v>
      </c>
      <c r="N12" s="43" t="s">
        <v>64</v>
      </c>
      <c r="O12" s="43">
        <v>33</v>
      </c>
      <c r="P12" s="42">
        <f>AVERAGE(97.4,98)</f>
        <v>97.7</v>
      </c>
      <c r="Q12" s="42">
        <f>AVERAGE(92.1,96.3)</f>
        <v>94.199999999999989</v>
      </c>
      <c r="R12" s="234">
        <v>0.56000000000000005</v>
      </c>
      <c r="S12" s="234">
        <v>20.350000000000001</v>
      </c>
      <c r="T12" s="234">
        <v>29.5</v>
      </c>
      <c r="U12" s="43" t="s">
        <v>50</v>
      </c>
      <c r="V12" s="235">
        <v>0</v>
      </c>
      <c r="W12" s="235" t="s">
        <v>50</v>
      </c>
      <c r="Y12" s="235" t="s">
        <v>6671</v>
      </c>
    </row>
    <row r="13" spans="1:25" x14ac:dyDescent="0.25">
      <c r="A13" s="41">
        <v>42850</v>
      </c>
      <c r="B13" s="631" t="s">
        <v>8296</v>
      </c>
      <c r="C13" s="631">
        <v>37.980930000000001</v>
      </c>
      <c r="D13" s="631">
        <v>-121.47490999999999</v>
      </c>
      <c r="E13" s="631" t="s">
        <v>8300</v>
      </c>
      <c r="F13" s="631" t="s">
        <v>46</v>
      </c>
      <c r="G13" s="631" t="s">
        <v>6939</v>
      </c>
      <c r="H13" s="239">
        <v>0.48541666666666666</v>
      </c>
      <c r="I13" s="43" t="s">
        <v>4500</v>
      </c>
      <c r="J13" s="43" t="s">
        <v>4501</v>
      </c>
      <c r="K13" s="238" t="s">
        <v>8283</v>
      </c>
      <c r="L13" s="43">
        <v>2</v>
      </c>
      <c r="M13" s="43">
        <v>10</v>
      </c>
      <c r="N13" s="43" t="s">
        <v>49</v>
      </c>
      <c r="O13" s="43">
        <v>13.5</v>
      </c>
      <c r="P13" s="42">
        <f>AVERAGE(110.8,123.8)</f>
        <v>117.3</v>
      </c>
      <c r="Q13" s="42">
        <f>AVERAGE(107.6,117)</f>
        <v>112.3</v>
      </c>
      <c r="R13" s="234">
        <v>0.86</v>
      </c>
      <c r="S13" s="234">
        <v>96.45</v>
      </c>
      <c r="T13" s="234">
        <v>158.5</v>
      </c>
      <c r="U13" s="43" t="s">
        <v>50</v>
      </c>
      <c r="V13" s="235">
        <v>0</v>
      </c>
      <c r="W13" s="235" t="s">
        <v>50</v>
      </c>
      <c r="Y13" s="235" t="s">
        <v>6671</v>
      </c>
    </row>
    <row r="14" spans="1:25" x14ac:dyDescent="0.25">
      <c r="A14" s="41">
        <v>42851</v>
      </c>
      <c r="B14" s="631" t="s">
        <v>8291</v>
      </c>
      <c r="C14" s="631">
        <v>38.030630000000002</v>
      </c>
      <c r="D14" s="631">
        <v>-121.67059</v>
      </c>
      <c r="E14" s="631" t="s">
        <v>8301</v>
      </c>
      <c r="F14" s="631" t="s">
        <v>46</v>
      </c>
      <c r="G14" s="631" t="s">
        <v>47</v>
      </c>
      <c r="H14" s="239">
        <v>0.34722222222222227</v>
      </c>
      <c r="I14" s="43" t="s">
        <v>4500</v>
      </c>
      <c r="J14" s="43" t="s">
        <v>4501</v>
      </c>
      <c r="K14" s="238" t="s">
        <v>8283</v>
      </c>
      <c r="L14" s="43">
        <v>2</v>
      </c>
      <c r="M14" s="43">
        <v>5</v>
      </c>
      <c r="N14" s="43" t="s">
        <v>49</v>
      </c>
      <c r="O14" s="43">
        <v>15</v>
      </c>
      <c r="P14" s="42">
        <f>AVERAGE(395.8,413.2)</f>
        <v>404.5</v>
      </c>
      <c r="Q14" s="42">
        <f>AVERAGE(446.7,445.4)</f>
        <v>446.04999999999995</v>
      </c>
      <c r="R14" s="234">
        <v>1.95</v>
      </c>
      <c r="S14" s="234">
        <v>2.2450000000000001</v>
      </c>
      <c r="T14" s="234">
        <v>2.895</v>
      </c>
      <c r="U14" s="43" t="s">
        <v>50</v>
      </c>
      <c r="V14" s="235">
        <v>0</v>
      </c>
      <c r="W14" s="235" t="s">
        <v>50</v>
      </c>
      <c r="Y14" s="235" t="s">
        <v>6671</v>
      </c>
    </row>
    <row r="15" spans="1:25" x14ac:dyDescent="0.25">
      <c r="A15" s="41">
        <v>42851</v>
      </c>
      <c r="B15" s="631" t="s">
        <v>8291</v>
      </c>
      <c r="C15" s="631">
        <v>38.023490000000002</v>
      </c>
      <c r="D15" s="631">
        <v>-121.58103</v>
      </c>
      <c r="E15" s="631" t="s">
        <v>8302</v>
      </c>
      <c r="F15" s="631" t="s">
        <v>46</v>
      </c>
      <c r="G15" s="631" t="s">
        <v>74</v>
      </c>
      <c r="H15" s="239">
        <v>0.41666666666666669</v>
      </c>
      <c r="I15" s="43" t="s">
        <v>4500</v>
      </c>
      <c r="J15" s="43" t="s">
        <v>4501</v>
      </c>
      <c r="K15" s="238" t="s">
        <v>8283</v>
      </c>
      <c r="L15" s="43">
        <v>2</v>
      </c>
      <c r="M15" s="43">
        <v>10</v>
      </c>
      <c r="N15" s="43" t="s">
        <v>49</v>
      </c>
      <c r="O15" s="43">
        <v>17.5</v>
      </c>
      <c r="P15" s="42">
        <f>AVERAGE(120.1,120.1)</f>
        <v>120.1</v>
      </c>
      <c r="Q15" s="42">
        <f>AVERAGE(120.5,120.2)</f>
        <v>120.35</v>
      </c>
      <c r="R15" s="234">
        <v>0.91999999999999993</v>
      </c>
      <c r="S15" s="234">
        <v>10.105</v>
      </c>
      <c r="T15" s="234">
        <v>27.1</v>
      </c>
      <c r="U15" s="43" t="s">
        <v>50</v>
      </c>
      <c r="V15" s="235">
        <v>0</v>
      </c>
      <c r="W15" s="235" t="s">
        <v>50</v>
      </c>
      <c r="X15" s="5" t="s">
        <v>8303</v>
      </c>
      <c r="Y15" s="235" t="s">
        <v>6671</v>
      </c>
    </row>
    <row r="16" spans="1:25" x14ac:dyDescent="0.25">
      <c r="A16" s="41">
        <v>42851</v>
      </c>
      <c r="B16" s="631" t="s">
        <v>8281</v>
      </c>
      <c r="C16" s="631">
        <v>38.096890000000002</v>
      </c>
      <c r="D16" s="631">
        <v>-121.4958</v>
      </c>
      <c r="E16" s="631" t="s">
        <v>8282</v>
      </c>
      <c r="F16" s="631" t="s">
        <v>46</v>
      </c>
      <c r="G16" s="631" t="s">
        <v>6881</v>
      </c>
      <c r="H16" s="239">
        <v>0.49027777777777781</v>
      </c>
      <c r="I16" s="43" t="s">
        <v>4500</v>
      </c>
      <c r="J16" s="43" t="s">
        <v>4501</v>
      </c>
      <c r="K16" s="238" t="s">
        <v>8283</v>
      </c>
      <c r="L16" s="43">
        <v>2</v>
      </c>
      <c r="M16" s="43">
        <v>5</v>
      </c>
      <c r="N16" s="43" t="s">
        <v>64</v>
      </c>
      <c r="O16" s="43">
        <v>17.5</v>
      </c>
      <c r="P16" s="42">
        <f>AVERAGE(63.3,62.6)</f>
        <v>62.95</v>
      </c>
      <c r="Q16" s="42">
        <f>AVERAGE(63.1,63.2)</f>
        <v>63.150000000000006</v>
      </c>
      <c r="R16" s="234">
        <v>1.1000000000000001</v>
      </c>
      <c r="S16" s="234">
        <v>7.4749999999999996</v>
      </c>
      <c r="T16" s="234">
        <v>12.94</v>
      </c>
      <c r="U16" s="43" t="s">
        <v>50</v>
      </c>
      <c r="V16" s="235">
        <v>0</v>
      </c>
      <c r="W16" s="235" t="s">
        <v>50</v>
      </c>
      <c r="Y16" s="235" t="s">
        <v>6671</v>
      </c>
    </row>
    <row r="17" spans="1:25" x14ac:dyDescent="0.25">
      <c r="A17" s="41">
        <v>42851</v>
      </c>
      <c r="B17" s="631" t="s">
        <v>8296</v>
      </c>
      <c r="C17" s="631">
        <v>38.044899999999998</v>
      </c>
      <c r="D17" s="631">
        <v>-121.89078000000001</v>
      </c>
      <c r="E17" s="631" t="s">
        <v>8304</v>
      </c>
      <c r="F17" s="631" t="s">
        <v>27</v>
      </c>
      <c r="G17" s="631" t="s">
        <v>170</v>
      </c>
      <c r="H17" s="239">
        <v>0.35694444444444445</v>
      </c>
      <c r="I17" s="43" t="s">
        <v>4500</v>
      </c>
      <c r="J17" s="43" t="s">
        <v>4501</v>
      </c>
      <c r="K17" s="238" t="s">
        <v>8283</v>
      </c>
      <c r="L17" s="43">
        <v>2</v>
      </c>
      <c r="M17" s="43">
        <v>10</v>
      </c>
      <c r="N17" s="43" t="s">
        <v>49</v>
      </c>
      <c r="O17" s="43">
        <v>73</v>
      </c>
      <c r="P17" s="42">
        <f>AVERAGE(103.8,100.2)</f>
        <v>102</v>
      </c>
      <c r="Q17" s="42">
        <f>AVERAGE(101.8,101.1)</f>
        <v>101.44999999999999</v>
      </c>
      <c r="R17" s="234">
        <v>0.71</v>
      </c>
      <c r="S17" s="234">
        <v>18.399999999999999</v>
      </c>
      <c r="T17" s="234">
        <v>21.299999999999997</v>
      </c>
      <c r="U17" s="43" t="s">
        <v>50</v>
      </c>
      <c r="V17" s="235">
        <v>0</v>
      </c>
      <c r="W17" s="235" t="s">
        <v>50</v>
      </c>
      <c r="X17" s="5" t="s">
        <v>8305</v>
      </c>
      <c r="Y17" s="235" t="s">
        <v>6671</v>
      </c>
    </row>
    <row r="18" spans="1:25" x14ac:dyDescent="0.25">
      <c r="A18" s="41">
        <v>42851</v>
      </c>
      <c r="B18" s="631" t="s">
        <v>8296</v>
      </c>
      <c r="C18" s="631">
        <v>38.0503</v>
      </c>
      <c r="D18" s="631">
        <v>-121.89952</v>
      </c>
      <c r="E18" s="631" t="s">
        <v>8304</v>
      </c>
      <c r="F18" s="631" t="s">
        <v>27</v>
      </c>
      <c r="G18" s="631" t="s">
        <v>170</v>
      </c>
      <c r="H18" s="239">
        <v>0.36874999999999997</v>
      </c>
      <c r="I18" s="43" t="s">
        <v>4500</v>
      </c>
      <c r="J18" s="43" t="s">
        <v>29</v>
      </c>
      <c r="K18" s="238" t="s">
        <v>8306</v>
      </c>
      <c r="L18" s="43">
        <v>1</v>
      </c>
      <c r="M18" s="43">
        <v>4</v>
      </c>
      <c r="N18" s="43" t="s">
        <v>49</v>
      </c>
      <c r="O18" s="43" t="s">
        <v>50</v>
      </c>
      <c r="P18" s="43">
        <v>103.8</v>
      </c>
      <c r="Q18" s="43" t="s">
        <v>50</v>
      </c>
      <c r="R18" s="234">
        <v>0.38</v>
      </c>
      <c r="S18" s="234">
        <v>34.5</v>
      </c>
      <c r="T18" s="293" t="s">
        <v>50</v>
      </c>
      <c r="U18" s="43" t="s">
        <v>50</v>
      </c>
      <c r="V18" s="235">
        <v>0</v>
      </c>
      <c r="W18" s="235" t="s">
        <v>50</v>
      </c>
      <c r="X18" s="5" t="s">
        <v>8307</v>
      </c>
      <c r="Y18" s="235" t="s">
        <v>6671</v>
      </c>
    </row>
    <row r="19" spans="1:25" x14ac:dyDescent="0.25">
      <c r="A19" s="41">
        <v>42851</v>
      </c>
      <c r="B19" s="631" t="s">
        <v>8296</v>
      </c>
      <c r="C19" s="631">
        <v>38.074469999999998</v>
      </c>
      <c r="D19" s="631">
        <v>-121.77533</v>
      </c>
      <c r="E19" s="631" t="s">
        <v>8308</v>
      </c>
      <c r="F19" s="631" t="s">
        <v>27</v>
      </c>
      <c r="G19" s="631" t="s">
        <v>25</v>
      </c>
      <c r="H19" s="239">
        <v>0.41597222222222219</v>
      </c>
      <c r="I19" s="43" t="s">
        <v>4500</v>
      </c>
      <c r="J19" s="43" t="s">
        <v>4501</v>
      </c>
      <c r="K19" s="238" t="s">
        <v>8283</v>
      </c>
      <c r="L19" s="43">
        <v>2</v>
      </c>
      <c r="M19" s="43">
        <v>10</v>
      </c>
      <c r="N19" s="43" t="s">
        <v>49</v>
      </c>
      <c r="O19" s="43">
        <v>16.5</v>
      </c>
      <c r="P19" s="42">
        <f>AVERAGE(89.3,82.4)</f>
        <v>85.85</v>
      </c>
      <c r="Q19" s="42">
        <f>AVERAGE(91.9,83.4)</f>
        <v>87.65</v>
      </c>
      <c r="R19" s="234">
        <v>0.63</v>
      </c>
      <c r="S19" s="234">
        <v>26.1</v>
      </c>
      <c r="T19" s="234">
        <v>29</v>
      </c>
      <c r="U19" s="43" t="s">
        <v>50</v>
      </c>
      <c r="V19" s="235">
        <v>0</v>
      </c>
      <c r="W19" s="235" t="s">
        <v>50</v>
      </c>
      <c r="X19" s="5" t="s">
        <v>8309</v>
      </c>
      <c r="Y19" s="235" t="s">
        <v>6671</v>
      </c>
    </row>
    <row r="20" spans="1:25" x14ac:dyDescent="0.25">
      <c r="A20" s="41">
        <v>42851</v>
      </c>
      <c r="B20" s="631" t="s">
        <v>8296</v>
      </c>
      <c r="C20" s="631">
        <v>38.073819999999998</v>
      </c>
      <c r="D20" s="631">
        <v>-121.77705</v>
      </c>
      <c r="E20" s="631" t="s">
        <v>8308</v>
      </c>
      <c r="F20" s="631" t="s">
        <v>27</v>
      </c>
      <c r="G20" s="631" t="s">
        <v>25</v>
      </c>
      <c r="H20" s="239">
        <v>0.4368055555555555</v>
      </c>
      <c r="I20" s="43" t="s">
        <v>4500</v>
      </c>
      <c r="J20" s="43" t="s">
        <v>29</v>
      </c>
      <c r="K20" s="238" t="s">
        <v>8306</v>
      </c>
      <c r="L20" s="43">
        <v>2</v>
      </c>
      <c r="M20" s="43">
        <v>5</v>
      </c>
      <c r="N20" s="43" t="s">
        <v>49</v>
      </c>
      <c r="O20" s="43" t="s">
        <v>50</v>
      </c>
      <c r="P20" s="42">
        <f>AVERAGE(88.5,83.8)</f>
        <v>86.15</v>
      </c>
      <c r="Q20" s="43" t="s">
        <v>50</v>
      </c>
      <c r="R20" s="234">
        <v>0.42499999999999999</v>
      </c>
      <c r="S20" s="234">
        <v>28.55</v>
      </c>
      <c r="T20" s="293" t="s">
        <v>50</v>
      </c>
      <c r="U20" s="43" t="s">
        <v>50</v>
      </c>
      <c r="V20" s="235">
        <v>0</v>
      </c>
      <c r="W20" s="235" t="s">
        <v>50</v>
      </c>
      <c r="X20" s="5" t="s">
        <v>8310</v>
      </c>
      <c r="Y20" s="235" t="s">
        <v>6671</v>
      </c>
    </row>
    <row r="21" spans="1:25" x14ac:dyDescent="0.25">
      <c r="A21" s="41">
        <v>42851</v>
      </c>
      <c r="B21" s="631" t="s">
        <v>8296</v>
      </c>
      <c r="C21" s="631">
        <v>38.099240000000002</v>
      </c>
      <c r="D21" s="631">
        <v>-121.68639</v>
      </c>
      <c r="E21" s="631" t="s">
        <v>8311</v>
      </c>
      <c r="F21" s="631" t="s">
        <v>90</v>
      </c>
      <c r="G21" s="631" t="s">
        <v>91</v>
      </c>
      <c r="H21" s="239">
        <v>0.48333333333333334</v>
      </c>
      <c r="I21" s="43" t="s">
        <v>4500</v>
      </c>
      <c r="J21" s="43" t="s">
        <v>4501</v>
      </c>
      <c r="K21" s="238" t="s">
        <v>8283</v>
      </c>
      <c r="L21" s="43">
        <v>2</v>
      </c>
      <c r="M21" s="43">
        <v>10</v>
      </c>
      <c r="N21" s="43" t="s">
        <v>64</v>
      </c>
      <c r="O21" s="43">
        <v>26</v>
      </c>
      <c r="P21" s="42">
        <f>AVERAGE(88.9,88.7)</f>
        <v>88.800000000000011</v>
      </c>
      <c r="Q21" s="42">
        <f>AVERAGE(89.4,89.7)</f>
        <v>89.550000000000011</v>
      </c>
      <c r="R21" s="234">
        <v>0.79</v>
      </c>
      <c r="S21" s="234">
        <v>15.85</v>
      </c>
      <c r="T21" s="234">
        <v>15.05</v>
      </c>
      <c r="U21" s="43" t="s">
        <v>50</v>
      </c>
      <c r="V21" s="235">
        <v>0</v>
      </c>
      <c r="W21" s="235" t="s">
        <v>50</v>
      </c>
      <c r="X21" s="5" t="s">
        <v>8312</v>
      </c>
      <c r="Y21" s="235" t="s">
        <v>6671</v>
      </c>
    </row>
    <row r="22" spans="1:25" x14ac:dyDescent="0.25">
      <c r="A22" s="41">
        <v>42851</v>
      </c>
      <c r="B22" s="631" t="s">
        <v>8296</v>
      </c>
      <c r="C22" s="631">
        <v>38.10098</v>
      </c>
      <c r="D22" s="631">
        <v>-121.68665</v>
      </c>
      <c r="E22" s="631" t="s">
        <v>8311</v>
      </c>
      <c r="F22" s="631" t="s">
        <v>90</v>
      </c>
      <c r="G22" s="631" t="s">
        <v>91</v>
      </c>
      <c r="H22" s="239">
        <v>0.48333333333333334</v>
      </c>
      <c r="I22" s="43" t="s">
        <v>4500</v>
      </c>
      <c r="J22" s="43" t="s">
        <v>29</v>
      </c>
      <c r="K22" s="238" t="s">
        <v>8306</v>
      </c>
      <c r="L22" s="43">
        <v>2</v>
      </c>
      <c r="M22" s="43">
        <v>10</v>
      </c>
      <c r="N22" s="43" t="s">
        <v>49</v>
      </c>
      <c r="O22" s="43" t="s">
        <v>50</v>
      </c>
      <c r="P22" s="42">
        <f>AVERAGE(82,81.7)</f>
        <v>81.849999999999994</v>
      </c>
      <c r="Q22" s="43" t="s">
        <v>50</v>
      </c>
      <c r="R22" s="234">
        <v>0.745</v>
      </c>
      <c r="S22" s="234">
        <v>21</v>
      </c>
      <c r="T22" s="293" t="s">
        <v>50</v>
      </c>
      <c r="U22" s="43" t="s">
        <v>50</v>
      </c>
      <c r="V22" s="235">
        <v>0</v>
      </c>
      <c r="W22" s="235" t="s">
        <v>50</v>
      </c>
      <c r="X22" s="5" t="s">
        <v>8313</v>
      </c>
      <c r="Y22" s="235" t="s">
        <v>6671</v>
      </c>
    </row>
    <row r="23" spans="1:25" x14ac:dyDescent="0.25">
      <c r="A23" s="41">
        <v>42852</v>
      </c>
      <c r="B23" s="631" t="s">
        <v>8281</v>
      </c>
      <c r="C23" s="631">
        <v>38.064190000000004</v>
      </c>
      <c r="D23" s="631">
        <v>-121.5005</v>
      </c>
      <c r="E23" s="631" t="s">
        <v>8314</v>
      </c>
      <c r="F23" s="631" t="s">
        <v>46</v>
      </c>
      <c r="G23" s="631" t="s">
        <v>6881</v>
      </c>
      <c r="H23" s="239">
        <v>0.53263888888888888</v>
      </c>
      <c r="I23" s="43" t="s">
        <v>4500</v>
      </c>
      <c r="J23" s="43" t="s">
        <v>4501</v>
      </c>
      <c r="K23" s="238" t="s">
        <v>8283</v>
      </c>
      <c r="L23" s="43">
        <v>2</v>
      </c>
      <c r="M23" s="43">
        <v>10</v>
      </c>
      <c r="N23" s="43" t="s">
        <v>49</v>
      </c>
      <c r="O23" s="43">
        <v>20</v>
      </c>
      <c r="P23" s="42">
        <f>AVERAGE(87.5,82)</f>
        <v>84.75</v>
      </c>
      <c r="Q23" s="42">
        <f>AVERAGE(81.4,82)</f>
        <v>81.7</v>
      </c>
      <c r="R23" s="234">
        <v>0.95499999999999996</v>
      </c>
      <c r="S23" s="234">
        <v>18.350000000000001</v>
      </c>
      <c r="T23" s="234">
        <v>36.549999999999997</v>
      </c>
      <c r="U23" s="43" t="s">
        <v>50</v>
      </c>
      <c r="V23" s="235">
        <v>0</v>
      </c>
      <c r="W23" s="235" t="s">
        <v>50</v>
      </c>
      <c r="X23" s="5" t="s">
        <v>8315</v>
      </c>
      <c r="Y23" s="240" t="s">
        <v>6671</v>
      </c>
    </row>
    <row r="24" spans="1:25" x14ac:dyDescent="0.25">
      <c r="A24" s="41">
        <v>42852</v>
      </c>
      <c r="B24" s="631" t="s">
        <v>8281</v>
      </c>
      <c r="C24" s="631">
        <v>38.513289999999998</v>
      </c>
      <c r="D24" s="631">
        <v>-121.55362</v>
      </c>
      <c r="E24" s="631" t="s">
        <v>8316</v>
      </c>
      <c r="F24" s="631" t="s">
        <v>90</v>
      </c>
      <c r="G24" s="631" t="s">
        <v>6851</v>
      </c>
      <c r="H24" s="239">
        <v>0.46180555555555558</v>
      </c>
      <c r="I24" s="43" t="s">
        <v>4500</v>
      </c>
      <c r="J24" s="43" t="s">
        <v>4501</v>
      </c>
      <c r="K24" s="238" t="s">
        <v>8283</v>
      </c>
      <c r="L24" s="43">
        <v>2</v>
      </c>
      <c r="M24" s="43">
        <v>10</v>
      </c>
      <c r="N24" s="43" t="s">
        <v>49</v>
      </c>
      <c r="O24" s="43">
        <v>42.5</v>
      </c>
      <c r="P24" s="42">
        <f>AVERAGE(62.1,61.9)</f>
        <v>62</v>
      </c>
      <c r="Q24" s="42">
        <f>AVERAGE(62.6,62.5)</f>
        <v>62.55</v>
      </c>
      <c r="R24" s="234">
        <v>0.625</v>
      </c>
      <c r="S24" s="234">
        <v>16.350000000000001</v>
      </c>
      <c r="T24" s="234">
        <v>16.899999999999999</v>
      </c>
      <c r="U24" s="43" t="s">
        <v>50</v>
      </c>
      <c r="V24" s="235">
        <v>0</v>
      </c>
      <c r="W24" s="235" t="s">
        <v>50</v>
      </c>
      <c r="Y24" s="49" t="s">
        <v>6671</v>
      </c>
    </row>
    <row r="25" spans="1:25" x14ac:dyDescent="0.25">
      <c r="A25" s="41">
        <v>42856</v>
      </c>
      <c r="B25" s="631" t="s">
        <v>8296</v>
      </c>
      <c r="C25" s="631">
        <v>38.08419</v>
      </c>
      <c r="D25" s="631">
        <v>-122.05374</v>
      </c>
      <c r="E25" s="631" t="s">
        <v>8317</v>
      </c>
      <c r="F25" s="631" t="s">
        <v>27</v>
      </c>
      <c r="G25" s="631" t="s">
        <v>86</v>
      </c>
      <c r="H25" s="239">
        <v>0.36041666666666666</v>
      </c>
      <c r="I25" s="43" t="s">
        <v>4500</v>
      </c>
      <c r="J25" s="43" t="s">
        <v>4501</v>
      </c>
      <c r="K25" s="238" t="s">
        <v>8283</v>
      </c>
      <c r="L25" s="43">
        <v>2</v>
      </c>
      <c r="M25" s="43">
        <v>10</v>
      </c>
      <c r="N25" s="43" t="s">
        <v>49</v>
      </c>
      <c r="O25" s="43">
        <v>19</v>
      </c>
      <c r="P25" s="42">
        <f>AVERAGE(112.2,115.5)</f>
        <v>113.85</v>
      </c>
      <c r="Q25" s="42">
        <f>AVERAGE(115.8,115.9)</f>
        <v>115.85</v>
      </c>
      <c r="R25" s="234">
        <v>0.48</v>
      </c>
      <c r="S25" s="234">
        <v>21.2</v>
      </c>
      <c r="T25" s="234">
        <v>22.9</v>
      </c>
      <c r="U25" s="43" t="s">
        <v>50</v>
      </c>
      <c r="V25" s="235">
        <v>0</v>
      </c>
      <c r="W25" s="235" t="s">
        <v>50</v>
      </c>
      <c r="Y25" s="40" t="s">
        <v>6671</v>
      </c>
    </row>
    <row r="26" spans="1:25" x14ac:dyDescent="0.25">
      <c r="A26" s="41">
        <v>42856</v>
      </c>
      <c r="B26" s="631" t="s">
        <v>8296</v>
      </c>
      <c r="C26" s="631">
        <v>38.041952000000002</v>
      </c>
      <c r="D26" s="631">
        <v>-121.90394000000001</v>
      </c>
      <c r="E26" s="631" t="s">
        <v>8318</v>
      </c>
      <c r="F26" s="631" t="s">
        <v>27</v>
      </c>
      <c r="G26" s="631" t="s">
        <v>170</v>
      </c>
      <c r="H26" s="239">
        <v>0.40902777777777777</v>
      </c>
      <c r="I26" s="43" t="s">
        <v>4500</v>
      </c>
      <c r="J26" s="43" t="s">
        <v>4501</v>
      </c>
      <c r="K26" s="238" t="s">
        <v>8283</v>
      </c>
      <c r="L26" s="43">
        <v>2</v>
      </c>
      <c r="M26" s="43">
        <v>10</v>
      </c>
      <c r="N26" s="43" t="s">
        <v>49</v>
      </c>
      <c r="O26" s="43">
        <v>26.5</v>
      </c>
      <c r="P26" s="42">
        <f>AVERAGE(97.8,95.6)</f>
        <v>96.699999999999989</v>
      </c>
      <c r="Q26" s="42">
        <f>AVERAGE(97.9,95.3)</f>
        <v>96.6</v>
      </c>
      <c r="R26" s="234">
        <v>0.53500000000000003</v>
      </c>
      <c r="S26" s="234">
        <v>21.25</v>
      </c>
      <c r="T26" s="234">
        <v>21.85</v>
      </c>
      <c r="U26" s="43" t="s">
        <v>50</v>
      </c>
      <c r="V26" s="235">
        <v>0</v>
      </c>
      <c r="W26" s="235" t="s">
        <v>50</v>
      </c>
      <c r="Y26" s="40" t="s">
        <v>6671</v>
      </c>
    </row>
    <row r="27" spans="1:25" x14ac:dyDescent="0.25">
      <c r="A27" s="41">
        <v>42856</v>
      </c>
      <c r="B27" s="631" t="s">
        <v>8296</v>
      </c>
      <c r="C27" s="631">
        <v>38.043999999999997</v>
      </c>
      <c r="D27" s="631">
        <v>-121.69708</v>
      </c>
      <c r="E27" s="631" t="s">
        <v>8319</v>
      </c>
      <c r="F27" s="631" t="s">
        <v>27</v>
      </c>
      <c r="G27" s="631" t="s">
        <v>95</v>
      </c>
      <c r="H27" s="239">
        <v>0.46736111111111112</v>
      </c>
      <c r="I27" s="43" t="s">
        <v>4500</v>
      </c>
      <c r="J27" s="43" t="s">
        <v>4501</v>
      </c>
      <c r="K27" s="238" t="s">
        <v>8283</v>
      </c>
      <c r="L27" s="43">
        <v>2</v>
      </c>
      <c r="M27" s="43">
        <v>10</v>
      </c>
      <c r="N27" s="43" t="s">
        <v>49</v>
      </c>
      <c r="O27" s="43">
        <v>36</v>
      </c>
      <c r="P27" s="42">
        <f>AVERAGE(98.7,97.4)</f>
        <v>98.050000000000011</v>
      </c>
      <c r="Q27" s="42">
        <f>AVERAGE(100.9,99.9)</f>
        <v>100.4</v>
      </c>
      <c r="R27" s="234">
        <v>0.77499999999999991</v>
      </c>
      <c r="S27" s="234">
        <v>10.8</v>
      </c>
      <c r="T27" s="234">
        <v>11.85</v>
      </c>
      <c r="U27" s="43" t="s">
        <v>50</v>
      </c>
      <c r="V27" s="235">
        <v>0</v>
      </c>
      <c r="W27" s="235" t="s">
        <v>50</v>
      </c>
      <c r="Y27" s="40" t="s">
        <v>6671</v>
      </c>
    </row>
    <row r="28" spans="1:25" x14ac:dyDescent="0.25">
      <c r="A28" s="41">
        <v>42856</v>
      </c>
      <c r="B28" s="631" t="s">
        <v>8291</v>
      </c>
      <c r="C28" s="631">
        <v>38.01088</v>
      </c>
      <c r="D28" s="631">
        <v>-121.51864999999999</v>
      </c>
      <c r="E28" s="631" t="s">
        <v>8320</v>
      </c>
      <c r="F28" s="631" t="s">
        <v>46</v>
      </c>
      <c r="G28" s="631" t="s">
        <v>6939</v>
      </c>
      <c r="H28" s="239">
        <v>0.31527777777777777</v>
      </c>
      <c r="I28" s="43" t="s">
        <v>4500</v>
      </c>
      <c r="J28" s="43" t="s">
        <v>4501</v>
      </c>
      <c r="K28" s="238" t="s">
        <v>8283</v>
      </c>
      <c r="L28" s="43">
        <v>2</v>
      </c>
      <c r="M28" s="43">
        <v>10</v>
      </c>
      <c r="N28" s="43" t="s">
        <v>64</v>
      </c>
      <c r="O28" s="43">
        <v>42</v>
      </c>
      <c r="P28" s="42">
        <f>AVERAGE(119.4,119.6)</f>
        <v>119.5</v>
      </c>
      <c r="Q28" s="42">
        <f>AVERAGE(122.8,117.8)</f>
        <v>120.3</v>
      </c>
      <c r="R28" s="234">
        <v>1.33</v>
      </c>
      <c r="S28" s="234">
        <v>6.7549999999999999</v>
      </c>
      <c r="T28" s="234">
        <v>11.7</v>
      </c>
      <c r="U28" s="43" t="s">
        <v>50</v>
      </c>
      <c r="V28" s="235">
        <v>0</v>
      </c>
      <c r="W28" s="235" t="s">
        <v>50</v>
      </c>
      <c r="Y28" s="40" t="s">
        <v>6671</v>
      </c>
    </row>
    <row r="29" spans="1:25" x14ac:dyDescent="0.25">
      <c r="A29" s="41">
        <v>42856</v>
      </c>
      <c r="B29" s="631" t="s">
        <v>8291</v>
      </c>
      <c r="C29" s="631">
        <v>37.848370000000003</v>
      </c>
      <c r="D29" s="631">
        <v>-121.53685</v>
      </c>
      <c r="E29" s="631" t="s">
        <v>8321</v>
      </c>
      <c r="F29" s="631" t="s">
        <v>46</v>
      </c>
      <c r="G29" s="631" t="s">
        <v>202</v>
      </c>
      <c r="H29" s="239">
        <v>0.39999999999999997</v>
      </c>
      <c r="I29" s="43" t="s">
        <v>4500</v>
      </c>
      <c r="J29" s="43" t="s">
        <v>4501</v>
      </c>
      <c r="K29" s="238" t="s">
        <v>8283</v>
      </c>
      <c r="L29" s="43">
        <v>2</v>
      </c>
      <c r="M29" s="43">
        <v>10</v>
      </c>
      <c r="N29" s="43" t="s">
        <v>64</v>
      </c>
      <c r="O29" s="43">
        <v>13</v>
      </c>
      <c r="P29" s="42">
        <f>AVERAGE(89.6,89.5)</f>
        <v>89.55</v>
      </c>
      <c r="Q29" s="42">
        <f>AVERAGE(90.9,90.3)</f>
        <v>90.6</v>
      </c>
      <c r="R29" s="234">
        <v>0.79</v>
      </c>
      <c r="S29" s="234">
        <v>11.149999999999999</v>
      </c>
      <c r="T29" s="234">
        <v>85</v>
      </c>
      <c r="U29" s="43" t="s">
        <v>50</v>
      </c>
      <c r="V29" s="235">
        <v>0</v>
      </c>
      <c r="W29" s="235" t="s">
        <v>50</v>
      </c>
      <c r="X29" s="5" t="s">
        <v>8322</v>
      </c>
      <c r="Y29" s="40" t="s">
        <v>6671</v>
      </c>
    </row>
    <row r="30" spans="1:25" x14ac:dyDescent="0.25">
      <c r="A30" s="41">
        <v>42856</v>
      </c>
      <c r="B30" s="631" t="s">
        <v>8291</v>
      </c>
      <c r="C30" s="631">
        <v>37.97289</v>
      </c>
      <c r="D30" s="631">
        <v>-121.58902</v>
      </c>
      <c r="E30" s="631" t="s">
        <v>8323</v>
      </c>
      <c r="F30" s="631" t="s">
        <v>46</v>
      </c>
      <c r="G30" s="631" t="s">
        <v>8324</v>
      </c>
      <c r="H30" s="239">
        <v>0.49791666666666662</v>
      </c>
      <c r="I30" s="43" t="s">
        <v>4500</v>
      </c>
      <c r="J30" s="43" t="s">
        <v>4501</v>
      </c>
      <c r="K30" s="238" t="s">
        <v>8283</v>
      </c>
      <c r="L30" s="43">
        <v>2</v>
      </c>
      <c r="M30" s="43">
        <v>10</v>
      </c>
      <c r="N30" s="43" t="s">
        <v>49</v>
      </c>
      <c r="O30" s="43">
        <v>17</v>
      </c>
      <c r="P30" s="42">
        <f>AVERAGE(124.9,130.9)</f>
        <v>127.9</v>
      </c>
      <c r="Q30" s="42">
        <f>AVERAGE(128.5,135.7)</f>
        <v>132.1</v>
      </c>
      <c r="R30" s="234">
        <v>0.86499999999999999</v>
      </c>
      <c r="S30" s="234">
        <v>11.55</v>
      </c>
      <c r="T30" s="234">
        <v>39.299999999999997</v>
      </c>
      <c r="U30" s="43" t="s">
        <v>50</v>
      </c>
      <c r="V30" s="235">
        <v>0</v>
      </c>
      <c r="W30" s="235" t="s">
        <v>50</v>
      </c>
      <c r="X30" s="5" t="s">
        <v>8325</v>
      </c>
      <c r="Y30" s="40" t="s">
        <v>6671</v>
      </c>
    </row>
    <row r="31" spans="1:25" x14ac:dyDescent="0.25">
      <c r="A31" s="41">
        <v>42856</v>
      </c>
      <c r="B31" s="631" t="s">
        <v>8291</v>
      </c>
      <c r="C31" s="631">
        <v>38.077629999999999</v>
      </c>
      <c r="D31" s="631">
        <v>-121.56892000000001</v>
      </c>
      <c r="E31" s="631" t="s">
        <v>8326</v>
      </c>
      <c r="F31" s="631" t="s">
        <v>46</v>
      </c>
      <c r="G31" s="631" t="s">
        <v>582</v>
      </c>
      <c r="H31" s="239">
        <v>0.56041666666666667</v>
      </c>
      <c r="I31" s="43" t="s">
        <v>4500</v>
      </c>
      <c r="J31" s="43" t="s">
        <v>4501</v>
      </c>
      <c r="K31" s="238" t="s">
        <v>8283</v>
      </c>
      <c r="L31" s="43">
        <v>2</v>
      </c>
      <c r="M31" s="43">
        <v>10</v>
      </c>
      <c r="N31" s="43" t="s">
        <v>49</v>
      </c>
      <c r="O31" s="43">
        <v>43.5</v>
      </c>
      <c r="P31" s="42">
        <f>AVERAGE(104.5,105)</f>
        <v>104.75</v>
      </c>
      <c r="Q31" s="42">
        <f>AVERAGE(112.1,108.1)</f>
        <v>110.1</v>
      </c>
      <c r="R31" s="234">
        <v>1.1399999999999999</v>
      </c>
      <c r="S31" s="234">
        <v>14.100000000000001</v>
      </c>
      <c r="T31" s="234">
        <v>25.15</v>
      </c>
      <c r="U31" s="43" t="s">
        <v>50</v>
      </c>
      <c r="V31" s="235">
        <v>0</v>
      </c>
      <c r="W31" s="235" t="s">
        <v>50</v>
      </c>
      <c r="Y31" s="40" t="s">
        <v>6671</v>
      </c>
    </row>
    <row r="32" spans="1:25" x14ac:dyDescent="0.25">
      <c r="A32" s="41">
        <v>42857</v>
      </c>
      <c r="B32" s="631" t="s">
        <v>8291</v>
      </c>
      <c r="C32" s="631">
        <v>38.076599999999999</v>
      </c>
      <c r="D32" s="631">
        <v>-121.64699</v>
      </c>
      <c r="E32" s="631" t="s">
        <v>8327</v>
      </c>
      <c r="F32" s="631" t="s">
        <v>46</v>
      </c>
      <c r="G32" s="631" t="s">
        <v>47</v>
      </c>
      <c r="H32" s="239">
        <v>0.32777777777777778</v>
      </c>
      <c r="I32" s="43" t="s">
        <v>4500</v>
      </c>
      <c r="J32" s="43" t="s">
        <v>4501</v>
      </c>
      <c r="K32" s="238" t="s">
        <v>8283</v>
      </c>
      <c r="L32" s="43">
        <v>2</v>
      </c>
      <c r="M32" s="43">
        <v>10</v>
      </c>
      <c r="N32" s="43" t="s">
        <v>64</v>
      </c>
      <c r="O32" s="43">
        <v>15</v>
      </c>
      <c r="P32" s="42">
        <f>AVERAGE(87.5,87.6)</f>
        <v>87.55</v>
      </c>
      <c r="Q32" s="42">
        <f>AVERAGE(92,98.6)</f>
        <v>95.3</v>
      </c>
      <c r="R32" s="234">
        <v>0.83</v>
      </c>
      <c r="S32" s="234">
        <v>8.3449999999999989</v>
      </c>
      <c r="T32" s="234">
        <v>18</v>
      </c>
      <c r="U32" s="43" t="s">
        <v>50</v>
      </c>
      <c r="V32" s="235">
        <v>0</v>
      </c>
      <c r="W32" s="235" t="s">
        <v>50</v>
      </c>
      <c r="Y32" s="40" t="s">
        <v>6671</v>
      </c>
    </row>
    <row r="33" spans="1:25" x14ac:dyDescent="0.25">
      <c r="A33" s="41">
        <v>42857</v>
      </c>
      <c r="B33" s="631" t="s">
        <v>8291</v>
      </c>
      <c r="C33" s="631">
        <v>38.051839999999999</v>
      </c>
      <c r="D33" s="631">
        <v>-121.50802</v>
      </c>
      <c r="E33" s="631" t="s">
        <v>8328</v>
      </c>
      <c r="F33" s="631" t="s">
        <v>46</v>
      </c>
      <c r="G33" s="631" t="s">
        <v>582</v>
      </c>
      <c r="H33" s="239">
        <v>0.37638888888888888</v>
      </c>
      <c r="I33" s="43" t="s">
        <v>4500</v>
      </c>
      <c r="J33" s="43" t="s">
        <v>4501</v>
      </c>
      <c r="K33" s="238" t="s">
        <v>8283</v>
      </c>
      <c r="L33" s="43">
        <v>2</v>
      </c>
      <c r="M33" s="43">
        <v>10</v>
      </c>
      <c r="N33" s="43" t="s">
        <v>64</v>
      </c>
      <c r="O33" s="43">
        <f>AVERAGE(42,37)</f>
        <v>39.5</v>
      </c>
      <c r="P33" s="42">
        <f>AVERAGE(115.4,115.5)</f>
        <v>115.45</v>
      </c>
      <c r="Q33" s="42">
        <f>AVERAGE(115.8,117.5)</f>
        <v>116.65</v>
      </c>
      <c r="R33" s="234">
        <v>0.8</v>
      </c>
      <c r="S33" s="234">
        <v>11.35</v>
      </c>
      <c r="T33" s="234">
        <v>13.010000000000002</v>
      </c>
      <c r="U33" s="43" t="s">
        <v>50</v>
      </c>
      <c r="V33" s="235">
        <v>0</v>
      </c>
      <c r="W33" s="235" t="s">
        <v>50</v>
      </c>
      <c r="Y33" s="40" t="s">
        <v>6671</v>
      </c>
    </row>
    <row r="34" spans="1:25" x14ac:dyDescent="0.25">
      <c r="A34" s="41">
        <v>42857</v>
      </c>
      <c r="B34" s="631" t="s">
        <v>8281</v>
      </c>
      <c r="C34" s="631">
        <v>38.192680000000003</v>
      </c>
      <c r="D34" s="631">
        <v>-121.56774</v>
      </c>
      <c r="E34" s="631" t="s">
        <v>8329</v>
      </c>
      <c r="F34" s="631" t="s">
        <v>90</v>
      </c>
      <c r="G34" s="631" t="s">
        <v>6892</v>
      </c>
      <c r="H34" s="239">
        <v>0.47986111111111113</v>
      </c>
      <c r="I34" s="43" t="s">
        <v>4500</v>
      </c>
      <c r="J34" s="43" t="s">
        <v>4501</v>
      </c>
      <c r="K34" s="238" t="s">
        <v>8283</v>
      </c>
      <c r="L34" s="43">
        <v>2</v>
      </c>
      <c r="M34" s="43">
        <v>10</v>
      </c>
      <c r="N34" s="43" t="s">
        <v>49</v>
      </c>
      <c r="O34" s="43">
        <v>25.5</v>
      </c>
      <c r="P34" s="42">
        <f>AVERAGE(68.8,68.9)</f>
        <v>68.849999999999994</v>
      </c>
      <c r="Q34" s="42">
        <f>AVERAGE(68.9,69.8)</f>
        <v>69.349999999999994</v>
      </c>
      <c r="R34" s="294" t="s">
        <v>50</v>
      </c>
      <c r="S34" s="234">
        <v>20</v>
      </c>
      <c r="T34" s="234">
        <v>18.700000000000003</v>
      </c>
      <c r="U34" s="43" t="s">
        <v>50</v>
      </c>
      <c r="V34" s="235">
        <v>0</v>
      </c>
      <c r="W34" s="235" t="s">
        <v>50</v>
      </c>
      <c r="Y34" s="40" t="s">
        <v>6671</v>
      </c>
    </row>
    <row r="35" spans="1:25" x14ac:dyDescent="0.25">
      <c r="A35" s="41">
        <v>42857</v>
      </c>
      <c r="B35" s="631" t="s">
        <v>8296</v>
      </c>
      <c r="C35" s="631">
        <v>38.057209999999998</v>
      </c>
      <c r="D35" s="631">
        <v>-121.97653</v>
      </c>
      <c r="E35" s="631" t="s">
        <v>8330</v>
      </c>
      <c r="F35" s="631" t="s">
        <v>27</v>
      </c>
      <c r="G35" s="631" t="s">
        <v>86</v>
      </c>
      <c r="H35" s="239">
        <v>0.45833333333333331</v>
      </c>
      <c r="I35" s="43" t="s">
        <v>4500</v>
      </c>
      <c r="J35" s="43" t="s">
        <v>4501</v>
      </c>
      <c r="K35" s="238" t="s">
        <v>8283</v>
      </c>
      <c r="L35" s="43">
        <v>2</v>
      </c>
      <c r="M35" s="43">
        <v>10</v>
      </c>
      <c r="N35" s="43" t="s">
        <v>49</v>
      </c>
      <c r="O35" s="43">
        <v>35</v>
      </c>
      <c r="P35" s="42">
        <f>AVERAGE(97.8,96.8)</f>
        <v>97.3</v>
      </c>
      <c r="Q35" s="42">
        <f>AVERAGE(102.5,87.6)</f>
        <v>95.05</v>
      </c>
      <c r="R35" s="234">
        <v>0.625</v>
      </c>
      <c r="S35" s="234">
        <v>13.15</v>
      </c>
      <c r="T35" s="234">
        <v>19</v>
      </c>
      <c r="U35" s="43" t="s">
        <v>50</v>
      </c>
      <c r="V35" s="235">
        <v>0</v>
      </c>
      <c r="W35" s="235" t="s">
        <v>50</v>
      </c>
      <c r="Y35" s="40" t="s">
        <v>6671</v>
      </c>
    </row>
    <row r="36" spans="1:25" x14ac:dyDescent="0.25">
      <c r="A36" s="41">
        <v>42857</v>
      </c>
      <c r="B36" s="631" t="s">
        <v>8296</v>
      </c>
      <c r="C36" s="631">
        <v>38.374670000000002</v>
      </c>
      <c r="D36" s="631">
        <v>-121.62882999999999</v>
      </c>
      <c r="E36" s="631" t="s">
        <v>8331</v>
      </c>
      <c r="F36" s="631" t="s">
        <v>90</v>
      </c>
      <c r="G36" s="631" t="s">
        <v>126</v>
      </c>
      <c r="H36" s="239">
        <v>0.37777777777777777</v>
      </c>
      <c r="I36" s="43" t="s">
        <v>4500</v>
      </c>
      <c r="J36" s="43" t="s">
        <v>4501</v>
      </c>
      <c r="K36" s="238" t="s">
        <v>8283</v>
      </c>
      <c r="L36" s="43">
        <v>2</v>
      </c>
      <c r="M36" s="43">
        <v>10</v>
      </c>
      <c r="N36" s="43" t="s">
        <v>64</v>
      </c>
      <c r="O36" s="43">
        <v>19</v>
      </c>
      <c r="P36" s="42">
        <f>AVERAGE(702,683)</f>
        <v>692.5</v>
      </c>
      <c r="Q36" s="42">
        <f>AVERAGE(697,689)</f>
        <v>693</v>
      </c>
      <c r="R36" s="234">
        <v>0.57000000000000006</v>
      </c>
      <c r="S36" s="234">
        <v>17.399999999999999</v>
      </c>
      <c r="T36" s="234">
        <v>59.300000000000004</v>
      </c>
      <c r="U36" s="43" t="s">
        <v>323</v>
      </c>
      <c r="V36" s="240">
        <v>6</v>
      </c>
      <c r="W36" s="240" t="s">
        <v>8332</v>
      </c>
      <c r="Y36" s="40" t="s">
        <v>6671</v>
      </c>
    </row>
    <row r="37" spans="1:25" x14ac:dyDescent="0.25">
      <c r="A37" s="41">
        <v>42858</v>
      </c>
      <c r="B37" s="631" t="s">
        <v>8296</v>
      </c>
      <c r="C37" s="631">
        <v>38.164740000000002</v>
      </c>
      <c r="D37" s="631">
        <v>-122.04510999999999</v>
      </c>
      <c r="E37" s="631" t="s">
        <v>8333</v>
      </c>
      <c r="F37" s="631" t="s">
        <v>27</v>
      </c>
      <c r="G37" s="631" t="s">
        <v>62</v>
      </c>
      <c r="H37" s="239">
        <v>0.36180555555555555</v>
      </c>
      <c r="I37" s="43" t="s">
        <v>4500</v>
      </c>
      <c r="J37" s="43" t="s">
        <v>4501</v>
      </c>
      <c r="K37" s="238" t="s">
        <v>8283</v>
      </c>
      <c r="L37" s="43">
        <v>2</v>
      </c>
      <c r="M37" s="43">
        <v>10</v>
      </c>
      <c r="N37" s="43" t="s">
        <v>64</v>
      </c>
      <c r="O37" s="43">
        <v>22</v>
      </c>
      <c r="P37" s="42">
        <f>AVERAGE(170.8,187.7)</f>
        <v>179.25</v>
      </c>
      <c r="Q37" s="42">
        <f>AVERAGE(291.6,279.8)</f>
        <v>285.70000000000005</v>
      </c>
      <c r="R37" s="234">
        <v>0.3</v>
      </c>
      <c r="S37" s="234">
        <v>34.85</v>
      </c>
      <c r="T37" s="234">
        <v>77.650000000000006</v>
      </c>
      <c r="U37" s="43" t="s">
        <v>50</v>
      </c>
      <c r="V37" s="235">
        <v>0</v>
      </c>
      <c r="W37" s="235" t="s">
        <v>50</v>
      </c>
      <c r="Y37" s="40" t="s">
        <v>6671</v>
      </c>
    </row>
    <row r="38" spans="1:25" x14ac:dyDescent="0.25">
      <c r="A38" s="41">
        <v>42858</v>
      </c>
      <c r="B38" s="631" t="s">
        <v>8285</v>
      </c>
      <c r="C38" s="631">
        <v>38.06071</v>
      </c>
      <c r="D38" s="631">
        <v>-122.28601</v>
      </c>
      <c r="E38" s="631" t="s">
        <v>8334</v>
      </c>
      <c r="F38" s="631" t="s">
        <v>80</v>
      </c>
      <c r="G38" s="631" t="s">
        <v>123</v>
      </c>
      <c r="H38" s="239">
        <v>0.42083333333333334</v>
      </c>
      <c r="I38" s="43" t="s">
        <v>4500</v>
      </c>
      <c r="J38" s="43" t="s">
        <v>4501</v>
      </c>
      <c r="K38" s="238" t="s">
        <v>8283</v>
      </c>
      <c r="L38" s="43">
        <v>2</v>
      </c>
      <c r="M38" s="43">
        <v>10</v>
      </c>
      <c r="N38" s="43" t="s">
        <v>49</v>
      </c>
      <c r="O38" s="43">
        <v>33</v>
      </c>
      <c r="P38" s="42">
        <f>AVERAGE(5527,3260)</f>
        <v>4393.5</v>
      </c>
      <c r="Q38" s="42">
        <f>AVERAGE(15775,20035)</f>
        <v>17905</v>
      </c>
      <c r="R38" s="234">
        <v>0.57000000000000006</v>
      </c>
      <c r="S38" s="234">
        <v>33.799999999999997</v>
      </c>
      <c r="T38" s="234">
        <v>57.1</v>
      </c>
      <c r="U38" s="43" t="s">
        <v>31</v>
      </c>
      <c r="V38" s="43">
        <v>18</v>
      </c>
      <c r="W38" s="43" t="s">
        <v>8335</v>
      </c>
      <c r="Y38" s="40" t="s">
        <v>6671</v>
      </c>
    </row>
    <row r="39" spans="1:25" x14ac:dyDescent="0.25">
      <c r="A39" s="41">
        <v>42858</v>
      </c>
      <c r="B39" s="631" t="s">
        <v>8285</v>
      </c>
      <c r="C39" s="631">
        <v>38.132689999999997</v>
      </c>
      <c r="D39" s="631">
        <v>-122.28093</v>
      </c>
      <c r="E39" s="631" t="s">
        <v>8336</v>
      </c>
      <c r="F39" s="631" t="s">
        <v>80</v>
      </c>
      <c r="G39" s="631" t="s">
        <v>191</v>
      </c>
      <c r="H39" s="239">
        <v>0.47083333333333338</v>
      </c>
      <c r="I39" s="43" t="s">
        <v>4500</v>
      </c>
      <c r="J39" s="43" t="s">
        <v>4501</v>
      </c>
      <c r="K39" s="238" t="s">
        <v>8283</v>
      </c>
      <c r="L39" s="43">
        <v>2</v>
      </c>
      <c r="M39" s="43">
        <v>10</v>
      </c>
      <c r="N39" s="43" t="s">
        <v>49</v>
      </c>
      <c r="O39" s="43">
        <v>26</v>
      </c>
      <c r="P39" s="42">
        <f>AVERAGE(1964,1776)</f>
        <v>1870</v>
      </c>
      <c r="Q39" s="42">
        <f>AVERAGE(2295,1767)</f>
        <v>2031</v>
      </c>
      <c r="R39" s="234">
        <v>0.255</v>
      </c>
      <c r="S39" s="234">
        <v>67.400000000000006</v>
      </c>
      <c r="T39" s="234">
        <v>57.900000000000006</v>
      </c>
      <c r="U39" s="43" t="s">
        <v>31</v>
      </c>
      <c r="V39" s="235">
        <v>53</v>
      </c>
      <c r="W39" s="235" t="s">
        <v>8337</v>
      </c>
      <c r="Y39" s="40" t="s">
        <v>6671</v>
      </c>
    </row>
    <row r="40" spans="1:25" x14ac:dyDescent="0.25">
      <c r="A40" s="41">
        <v>42858</v>
      </c>
      <c r="B40" s="631" t="s">
        <v>8285</v>
      </c>
      <c r="C40" s="631">
        <v>38.06944</v>
      </c>
      <c r="D40" s="631">
        <v>-122.09090999999999</v>
      </c>
      <c r="E40" s="631" t="s">
        <v>8338</v>
      </c>
      <c r="F40" s="631" t="s">
        <v>80</v>
      </c>
      <c r="G40" s="631" t="s">
        <v>81</v>
      </c>
      <c r="H40" s="239">
        <v>0.52638888888888891</v>
      </c>
      <c r="I40" s="43" t="s">
        <v>4500</v>
      </c>
      <c r="J40" s="43" t="s">
        <v>4501</v>
      </c>
      <c r="K40" s="238" t="s">
        <v>8283</v>
      </c>
      <c r="L40" s="43">
        <v>2</v>
      </c>
      <c r="M40" s="43">
        <v>10</v>
      </c>
      <c r="N40" s="43" t="s">
        <v>49</v>
      </c>
      <c r="O40" s="43">
        <v>16</v>
      </c>
      <c r="P40" s="42">
        <f>AVERAGE(97.9,93.2)</f>
        <v>95.550000000000011</v>
      </c>
      <c r="Q40" s="42">
        <f>AVERAGE(100.2,97.2)</f>
        <v>98.7</v>
      </c>
      <c r="R40" s="234">
        <v>0.3</v>
      </c>
      <c r="S40" s="234">
        <v>34.85</v>
      </c>
      <c r="T40" s="234">
        <v>77.650000000000006</v>
      </c>
      <c r="U40" s="43" t="s">
        <v>50</v>
      </c>
      <c r="V40" s="235">
        <v>0</v>
      </c>
      <c r="W40" s="235" t="s">
        <v>50</v>
      </c>
      <c r="Y40" s="40" t="s">
        <v>6671</v>
      </c>
    </row>
    <row r="41" spans="1:25" x14ac:dyDescent="0.25">
      <c r="A41" s="41">
        <v>42858</v>
      </c>
      <c r="B41" s="631" t="s">
        <v>8281</v>
      </c>
      <c r="C41" s="631">
        <v>38.11795</v>
      </c>
      <c r="D41" s="631">
        <v>-121.54004</v>
      </c>
      <c r="E41" s="631" t="s">
        <v>8339</v>
      </c>
      <c r="F41" s="631" t="s">
        <v>46</v>
      </c>
      <c r="G41" s="631" t="s">
        <v>6881</v>
      </c>
      <c r="H41" s="239">
        <v>0.33611111111111108</v>
      </c>
      <c r="I41" s="43" t="s">
        <v>4500</v>
      </c>
      <c r="J41" s="43" t="s">
        <v>4501</v>
      </c>
      <c r="K41" s="238" t="s">
        <v>8283</v>
      </c>
      <c r="L41" s="43">
        <v>2</v>
      </c>
      <c r="M41" s="43">
        <v>10</v>
      </c>
      <c r="N41" s="43" t="s">
        <v>64</v>
      </c>
      <c r="O41" s="43">
        <v>11</v>
      </c>
      <c r="P41" s="42">
        <f>AVERAGE(66.4,66.2)</f>
        <v>66.300000000000011</v>
      </c>
      <c r="Q41" s="42">
        <f>AVERAGE(66,66.6)</f>
        <v>66.3</v>
      </c>
      <c r="R41" s="234">
        <v>1.1400000000000001</v>
      </c>
      <c r="S41" s="234">
        <v>15.725</v>
      </c>
      <c r="T41" s="234">
        <v>64.45</v>
      </c>
      <c r="U41" s="43" t="s">
        <v>50</v>
      </c>
      <c r="V41" s="235">
        <v>0</v>
      </c>
      <c r="W41" s="235" t="s">
        <v>50</v>
      </c>
      <c r="X41" s="5" t="s">
        <v>8340</v>
      </c>
      <c r="Y41" s="40" t="s">
        <v>6671</v>
      </c>
    </row>
    <row r="42" spans="1:25" x14ac:dyDescent="0.25">
      <c r="A42" s="41">
        <v>42858</v>
      </c>
      <c r="B42" s="631" t="s">
        <v>8281</v>
      </c>
      <c r="C42" s="631">
        <v>38.118769999999998</v>
      </c>
      <c r="D42" s="631">
        <v>-121.53813</v>
      </c>
      <c r="E42" s="631" t="s">
        <v>8339</v>
      </c>
      <c r="F42" s="631" t="s">
        <v>46</v>
      </c>
      <c r="G42" s="631" t="s">
        <v>6881</v>
      </c>
      <c r="H42" s="239">
        <v>0.33611111111111108</v>
      </c>
      <c r="I42" s="43" t="s">
        <v>4500</v>
      </c>
      <c r="J42" s="43" t="s">
        <v>29</v>
      </c>
      <c r="K42" s="238" t="s">
        <v>8306</v>
      </c>
      <c r="L42" s="43">
        <v>2</v>
      </c>
      <c r="M42" s="43">
        <v>10</v>
      </c>
      <c r="N42" s="43" t="s">
        <v>64</v>
      </c>
      <c r="O42" s="43">
        <v>5</v>
      </c>
      <c r="P42" s="42">
        <f>AVERAGE(67.4,68.8)</f>
        <v>68.099999999999994</v>
      </c>
      <c r="Q42" s="43" t="s">
        <v>50</v>
      </c>
      <c r="R42" s="234">
        <v>0.94</v>
      </c>
      <c r="S42" s="234">
        <v>7.9700000000000006</v>
      </c>
      <c r="T42" s="293" t="s">
        <v>50</v>
      </c>
      <c r="U42" s="43" t="s">
        <v>50</v>
      </c>
      <c r="V42" s="235">
        <v>0</v>
      </c>
      <c r="W42" s="235" t="s">
        <v>50</v>
      </c>
      <c r="X42" s="5" t="s">
        <v>8341</v>
      </c>
      <c r="Y42" s="40" t="s">
        <v>6671</v>
      </c>
    </row>
    <row r="43" spans="1:25" x14ac:dyDescent="0.25">
      <c r="A43" s="41">
        <v>42858</v>
      </c>
      <c r="B43" s="631" t="s">
        <v>8281</v>
      </c>
      <c r="C43" s="631">
        <v>38.474620000000002</v>
      </c>
      <c r="D43" s="631">
        <v>-121.53794000000001</v>
      </c>
      <c r="E43" s="631" t="s">
        <v>8342</v>
      </c>
      <c r="F43" s="631" t="s">
        <v>90</v>
      </c>
      <c r="G43" s="631" t="s">
        <v>6851</v>
      </c>
      <c r="H43" s="239">
        <v>0.51458333333333328</v>
      </c>
      <c r="I43" s="43" t="s">
        <v>4500</v>
      </c>
      <c r="J43" s="43" t="s">
        <v>4501</v>
      </c>
      <c r="K43" s="238" t="s">
        <v>8283</v>
      </c>
      <c r="L43" s="43">
        <v>2</v>
      </c>
      <c r="M43" s="43">
        <v>10</v>
      </c>
      <c r="N43" s="43" t="s">
        <v>49</v>
      </c>
      <c r="O43" s="43">
        <v>25.5</v>
      </c>
      <c r="P43" s="42">
        <f>AVERAGE(73.6,74)</f>
        <v>73.8</v>
      </c>
      <c r="Q43" s="42">
        <f>AVERAGE(75.4,78.5)</f>
        <v>76.95</v>
      </c>
      <c r="R43" s="234">
        <v>0.56999999999999995</v>
      </c>
      <c r="S43" s="234">
        <v>33.799999999999997</v>
      </c>
      <c r="T43" s="234">
        <v>57.1</v>
      </c>
      <c r="U43" s="43" t="s">
        <v>50</v>
      </c>
      <c r="V43" s="235">
        <v>0</v>
      </c>
      <c r="W43" s="235" t="s">
        <v>50</v>
      </c>
      <c r="X43" s="5" t="s">
        <v>8343</v>
      </c>
      <c r="Y43" s="40" t="s">
        <v>6671</v>
      </c>
    </row>
    <row r="44" spans="1:25" x14ac:dyDescent="0.25">
      <c r="A44" s="41">
        <v>42858</v>
      </c>
      <c r="B44" s="631" t="s">
        <v>8281</v>
      </c>
      <c r="C44" s="631">
        <v>38.474580000000003</v>
      </c>
      <c r="D44" s="631">
        <v>-121.53588000000001</v>
      </c>
      <c r="E44" s="631" t="s">
        <v>8342</v>
      </c>
      <c r="F44" s="631" t="s">
        <v>90</v>
      </c>
      <c r="G44" s="631" t="s">
        <v>6851</v>
      </c>
      <c r="H44" s="239">
        <v>0.51458333333333328</v>
      </c>
      <c r="I44" s="43" t="s">
        <v>4500</v>
      </c>
      <c r="J44" s="43" t="s">
        <v>29</v>
      </c>
      <c r="K44" s="238" t="s">
        <v>8306</v>
      </c>
      <c r="L44" s="43">
        <v>1</v>
      </c>
      <c r="M44" s="43">
        <v>5</v>
      </c>
      <c r="N44" s="43" t="s">
        <v>49</v>
      </c>
      <c r="O44" s="43" t="s">
        <v>8344</v>
      </c>
      <c r="P44" s="43">
        <v>76.2</v>
      </c>
      <c r="Q44" s="43" t="s">
        <v>50</v>
      </c>
      <c r="R44" s="234">
        <v>0.45999999999999996</v>
      </c>
      <c r="S44" s="234">
        <v>29.3</v>
      </c>
      <c r="T44" s="234">
        <v>27</v>
      </c>
      <c r="U44" s="43" t="s">
        <v>50</v>
      </c>
      <c r="V44" s="235">
        <v>0</v>
      </c>
      <c r="W44" s="235" t="s">
        <v>50</v>
      </c>
      <c r="X44" s="5" t="s">
        <v>8345</v>
      </c>
      <c r="Y44" s="40" t="s">
        <v>6671</v>
      </c>
    </row>
    <row r="45" spans="1:25" x14ac:dyDescent="0.25">
      <c r="A45" s="41">
        <v>42863</v>
      </c>
      <c r="B45" s="631" t="s">
        <v>8281</v>
      </c>
      <c r="C45" s="631">
        <v>38.091749999999998</v>
      </c>
      <c r="D45" s="631">
        <v>-121.50068</v>
      </c>
      <c r="E45" s="631" t="s">
        <v>8346</v>
      </c>
      <c r="F45" s="631" t="s">
        <v>46</v>
      </c>
      <c r="G45" s="631" t="s">
        <v>6881</v>
      </c>
      <c r="H45" s="239">
        <v>0.3611111111111111</v>
      </c>
      <c r="I45" s="43" t="s">
        <v>4500</v>
      </c>
      <c r="J45" s="43" t="s">
        <v>4501</v>
      </c>
      <c r="K45" s="238" t="s">
        <v>8283</v>
      </c>
      <c r="L45" s="43">
        <v>2</v>
      </c>
      <c r="M45" s="43">
        <v>10</v>
      </c>
      <c r="N45" s="43" t="s">
        <v>49</v>
      </c>
      <c r="O45" s="43">
        <v>20</v>
      </c>
      <c r="P45" s="42">
        <f>AVERAGE(72,64.1)</f>
        <v>68.05</v>
      </c>
      <c r="Q45" s="42">
        <f>AVERAGE(66.5,67.5)</f>
        <v>67</v>
      </c>
      <c r="R45" s="234">
        <v>1.5449999999999999</v>
      </c>
      <c r="S45" s="234">
        <v>11.295</v>
      </c>
      <c r="T45" s="234">
        <v>51</v>
      </c>
      <c r="U45" s="43" t="s">
        <v>50</v>
      </c>
      <c r="V45" s="235">
        <v>0</v>
      </c>
      <c r="W45" s="235" t="s">
        <v>50</v>
      </c>
      <c r="Y45" s="40" t="s">
        <v>6671</v>
      </c>
    </row>
    <row r="46" spans="1:25" x14ac:dyDescent="0.25">
      <c r="A46" s="41">
        <v>42863</v>
      </c>
      <c r="B46" s="631" t="s">
        <v>8281</v>
      </c>
      <c r="C46" s="631">
        <v>38.155029999999996</v>
      </c>
      <c r="D46" s="631">
        <v>-121.50324000000001</v>
      </c>
      <c r="E46" s="631" t="s">
        <v>8347</v>
      </c>
      <c r="F46" s="631" t="s">
        <v>46</v>
      </c>
      <c r="G46" s="631" t="s">
        <v>6881</v>
      </c>
      <c r="H46" s="239">
        <v>0.42499999999999999</v>
      </c>
      <c r="I46" s="43" t="s">
        <v>4500</v>
      </c>
      <c r="J46" s="43" t="s">
        <v>4501</v>
      </c>
      <c r="K46" s="238" t="s">
        <v>8283</v>
      </c>
      <c r="L46" s="43">
        <v>2</v>
      </c>
      <c r="M46" s="43">
        <v>10</v>
      </c>
      <c r="N46" s="43" t="s">
        <v>49</v>
      </c>
      <c r="O46" s="43">
        <v>20</v>
      </c>
      <c r="P46" s="42">
        <f>AVERAGE(47.2,46.1)</f>
        <v>46.650000000000006</v>
      </c>
      <c r="Q46" s="42">
        <f>AVERAGE(48,46.3)</f>
        <v>47.15</v>
      </c>
      <c r="R46" s="234">
        <v>1.43</v>
      </c>
      <c r="S46" s="234">
        <v>15.6</v>
      </c>
      <c r="T46" s="234">
        <v>135.85</v>
      </c>
      <c r="U46" s="43" t="s">
        <v>50</v>
      </c>
      <c r="V46" s="235">
        <v>0</v>
      </c>
      <c r="W46" s="235" t="s">
        <v>50</v>
      </c>
      <c r="Y46" s="40" t="s">
        <v>6671</v>
      </c>
    </row>
    <row r="47" spans="1:25" x14ac:dyDescent="0.25">
      <c r="A47" s="41">
        <v>42863</v>
      </c>
      <c r="B47" s="631" t="s">
        <v>8285</v>
      </c>
      <c r="C47" s="631">
        <v>38.040489999999998</v>
      </c>
      <c r="D47" s="631">
        <v>-122.31243000000001</v>
      </c>
      <c r="E47" s="631" t="s">
        <v>8348</v>
      </c>
      <c r="F47" s="631" t="s">
        <v>80</v>
      </c>
      <c r="G47" s="631" t="s">
        <v>123</v>
      </c>
      <c r="H47" s="239">
        <v>0.38263888888888892</v>
      </c>
      <c r="I47" s="43" t="s">
        <v>4500</v>
      </c>
      <c r="J47" s="43" t="s">
        <v>4501</v>
      </c>
      <c r="K47" s="238" t="s">
        <v>8283</v>
      </c>
      <c r="L47" s="43">
        <v>2</v>
      </c>
      <c r="M47" s="43">
        <v>10</v>
      </c>
      <c r="N47" s="43" t="s">
        <v>49</v>
      </c>
      <c r="O47" s="43">
        <v>18</v>
      </c>
      <c r="P47" s="42">
        <f>AVERAGE(7314,67169)</f>
        <v>37241.5</v>
      </c>
      <c r="Q47" s="42">
        <f>AVERAGE(11351,11462)</f>
        <v>11406.5</v>
      </c>
      <c r="R47" s="234">
        <v>0.45999999999999996</v>
      </c>
      <c r="S47" s="234">
        <v>24.450000000000003</v>
      </c>
      <c r="T47" s="234">
        <v>38.15</v>
      </c>
      <c r="U47" s="43" t="s">
        <v>50</v>
      </c>
      <c r="V47" s="235">
        <v>0</v>
      </c>
      <c r="W47" s="235" t="s">
        <v>50</v>
      </c>
      <c r="Y47" s="40" t="s">
        <v>6671</v>
      </c>
    </row>
    <row r="48" spans="1:25" x14ac:dyDescent="0.25">
      <c r="A48" s="41">
        <v>42863</v>
      </c>
      <c r="B48" s="631" t="s">
        <v>8285</v>
      </c>
      <c r="C48" s="631">
        <v>38.066200000000002</v>
      </c>
      <c r="D48" s="631">
        <v>-122.24247</v>
      </c>
      <c r="E48" s="631" t="s">
        <v>8349</v>
      </c>
      <c r="F48" s="631" t="s">
        <v>80</v>
      </c>
      <c r="G48" s="631" t="s">
        <v>120</v>
      </c>
      <c r="H48" s="239">
        <v>0.44444444444444442</v>
      </c>
      <c r="I48" s="43" t="s">
        <v>4500</v>
      </c>
      <c r="J48" s="43" t="s">
        <v>4501</v>
      </c>
      <c r="K48" s="238" t="s">
        <v>8283</v>
      </c>
      <c r="L48" s="43">
        <v>2</v>
      </c>
      <c r="M48" s="43">
        <v>10</v>
      </c>
      <c r="N48" s="43" t="s">
        <v>64</v>
      </c>
      <c r="O48" s="43">
        <v>53</v>
      </c>
      <c r="P48" s="42">
        <f>AVERAGE(2653,2545)</f>
        <v>2599</v>
      </c>
      <c r="Q48" s="42">
        <f>AVERAGE(14883,12750)</f>
        <v>13816.5</v>
      </c>
      <c r="R48" s="234">
        <v>0.43</v>
      </c>
      <c r="S48" s="234">
        <v>44.2</v>
      </c>
      <c r="T48" s="234">
        <v>141.5</v>
      </c>
      <c r="U48" s="43" t="s">
        <v>31</v>
      </c>
      <c r="V48" s="43">
        <v>14</v>
      </c>
      <c r="W48" s="43" t="s">
        <v>8350</v>
      </c>
      <c r="Y48" s="40" t="s">
        <v>6671</v>
      </c>
    </row>
    <row r="49" spans="1:25" x14ac:dyDescent="0.25">
      <c r="A49" s="41">
        <v>42863</v>
      </c>
      <c r="B49" s="631" t="s">
        <v>8281</v>
      </c>
      <c r="C49" s="631">
        <v>38.135809999999999</v>
      </c>
      <c r="D49" s="631">
        <v>-121.56219</v>
      </c>
      <c r="E49" s="631" t="s">
        <v>8351</v>
      </c>
      <c r="F49" s="631" t="s">
        <v>46</v>
      </c>
      <c r="G49" s="631" t="s">
        <v>6881</v>
      </c>
      <c r="H49" s="239">
        <v>0.49583333333333335</v>
      </c>
      <c r="I49" s="43" t="s">
        <v>4500</v>
      </c>
      <c r="J49" s="43" t="s">
        <v>4501</v>
      </c>
      <c r="K49" s="238" t="s">
        <v>8283</v>
      </c>
      <c r="L49" s="43">
        <v>2</v>
      </c>
      <c r="M49" s="43">
        <v>10</v>
      </c>
      <c r="N49" s="43" t="s">
        <v>64</v>
      </c>
      <c r="O49" s="43">
        <v>33.5</v>
      </c>
      <c r="P49" s="42">
        <f>AVERAGE(58.5,58)</f>
        <v>58.25</v>
      </c>
      <c r="Q49" s="42">
        <f>AVERAGE(58,59.4)</f>
        <v>58.7</v>
      </c>
      <c r="R49" s="234">
        <v>0.94500000000000006</v>
      </c>
      <c r="S49" s="234">
        <v>18.600000000000001</v>
      </c>
      <c r="T49" s="234">
        <v>106.5</v>
      </c>
      <c r="U49" s="43" t="s">
        <v>50</v>
      </c>
      <c r="V49" s="235">
        <v>0</v>
      </c>
      <c r="W49" s="235" t="s">
        <v>50</v>
      </c>
      <c r="Y49" s="49" t="s">
        <v>6671</v>
      </c>
    </row>
    <row r="50" spans="1:25" x14ac:dyDescent="0.25">
      <c r="A50" s="41">
        <v>42863</v>
      </c>
      <c r="B50" s="631" t="s">
        <v>8285</v>
      </c>
      <c r="C50" s="631">
        <v>38.038440000000001</v>
      </c>
      <c r="D50" s="631">
        <v>-122.13954</v>
      </c>
      <c r="E50" s="631" t="s">
        <v>8352</v>
      </c>
      <c r="F50" s="631" t="s">
        <v>80</v>
      </c>
      <c r="G50" s="631" t="s">
        <v>81</v>
      </c>
      <c r="H50" s="239">
        <v>0.48402777777777778</v>
      </c>
      <c r="I50" s="43" t="s">
        <v>4500</v>
      </c>
      <c r="J50" s="43" t="s">
        <v>4501</v>
      </c>
      <c r="K50" s="238" t="s">
        <v>8283</v>
      </c>
      <c r="L50" s="43">
        <v>2</v>
      </c>
      <c r="M50" s="43">
        <v>10</v>
      </c>
      <c r="N50" s="43" t="s">
        <v>49</v>
      </c>
      <c r="O50" s="43">
        <v>35</v>
      </c>
      <c r="P50" s="42">
        <f>AVERAGE(631,733)</f>
        <v>682</v>
      </c>
      <c r="Q50" s="42">
        <f>AVERAGE(1091,844)</f>
        <v>967.5</v>
      </c>
      <c r="R50" s="234">
        <v>0.31</v>
      </c>
      <c r="S50" s="234">
        <v>83.95</v>
      </c>
      <c r="T50" s="234">
        <v>87.15</v>
      </c>
      <c r="U50" s="43" t="s">
        <v>323</v>
      </c>
      <c r="V50" s="631">
        <v>4</v>
      </c>
      <c r="W50" s="43" t="s">
        <v>8353</v>
      </c>
      <c r="Y50" s="34" t="s">
        <v>6671</v>
      </c>
    </row>
    <row r="51" spans="1:25" x14ac:dyDescent="0.25">
      <c r="A51" s="41">
        <v>42863</v>
      </c>
      <c r="B51" s="631" t="s">
        <v>8285</v>
      </c>
      <c r="C51" s="631">
        <v>38.038440000000001</v>
      </c>
      <c r="D51" s="631">
        <v>-122.13954</v>
      </c>
      <c r="E51" s="631" t="s">
        <v>8352</v>
      </c>
      <c r="F51" s="631" t="s">
        <v>80</v>
      </c>
      <c r="G51" s="631" t="s">
        <v>81</v>
      </c>
      <c r="H51" s="239"/>
      <c r="I51" s="43"/>
      <c r="J51" s="43"/>
      <c r="K51" s="238"/>
      <c r="L51" s="43"/>
      <c r="M51" s="43"/>
      <c r="N51" s="43"/>
      <c r="O51" s="43"/>
      <c r="P51" s="43"/>
      <c r="Q51" s="43"/>
      <c r="R51" s="43"/>
      <c r="S51" s="43"/>
      <c r="T51" s="43"/>
      <c r="U51" s="43" t="s">
        <v>31</v>
      </c>
      <c r="V51" s="43">
        <v>40</v>
      </c>
      <c r="W51" s="43" t="s">
        <v>8354</v>
      </c>
      <c r="Y51" s="34" t="s">
        <v>6671</v>
      </c>
    </row>
    <row r="52" spans="1:25" x14ac:dyDescent="0.25">
      <c r="A52" s="41">
        <v>42864</v>
      </c>
      <c r="B52" s="631" t="s">
        <v>8296</v>
      </c>
      <c r="C52" s="631">
        <v>38.197749999999999</v>
      </c>
      <c r="D52" s="631">
        <v>-121.65636000000001</v>
      </c>
      <c r="E52" s="631" t="s">
        <v>8355</v>
      </c>
      <c r="F52" s="631" t="s">
        <v>90</v>
      </c>
      <c r="G52" s="631" t="s">
        <v>126</v>
      </c>
      <c r="H52" s="239">
        <v>0.48541666666666666</v>
      </c>
      <c r="I52" s="43" t="s">
        <v>4500</v>
      </c>
      <c r="J52" s="43" t="s">
        <v>4501</v>
      </c>
      <c r="K52" s="238" t="s">
        <v>8283</v>
      </c>
      <c r="L52" s="43">
        <v>2</v>
      </c>
      <c r="M52" s="43">
        <v>10</v>
      </c>
      <c r="N52" s="43" t="s">
        <v>49</v>
      </c>
      <c r="O52" s="43">
        <v>40</v>
      </c>
      <c r="P52" s="42">
        <f>AVERAGE(203.2,207.3)</f>
        <v>205.25</v>
      </c>
      <c r="Q52" s="42">
        <f>AVERAGE(196.6,201.6)</f>
        <v>199.1</v>
      </c>
      <c r="R52" s="234">
        <v>0.89</v>
      </c>
      <c r="S52" s="234">
        <v>10.9</v>
      </c>
      <c r="T52" s="234">
        <v>16.350000000000001</v>
      </c>
      <c r="U52" s="43" t="s">
        <v>50</v>
      </c>
      <c r="V52" s="235">
        <v>0</v>
      </c>
      <c r="W52" s="235" t="s">
        <v>50</v>
      </c>
      <c r="Y52" s="235" t="s">
        <v>6671</v>
      </c>
    </row>
    <row r="53" spans="1:25" x14ac:dyDescent="0.25">
      <c r="A53" s="41">
        <v>42864</v>
      </c>
      <c r="B53" s="631" t="s">
        <v>8296</v>
      </c>
      <c r="C53" s="631">
        <v>38.017420000000001</v>
      </c>
      <c r="D53" s="631">
        <v>-121.79582000000001</v>
      </c>
      <c r="E53" s="631" t="s">
        <v>8356</v>
      </c>
      <c r="F53" s="631" t="s">
        <v>27</v>
      </c>
      <c r="G53" s="631" t="s">
        <v>95</v>
      </c>
      <c r="H53" s="239">
        <v>0.54375000000000007</v>
      </c>
      <c r="I53" s="43" t="s">
        <v>4500</v>
      </c>
      <c r="J53" s="43" t="s">
        <v>4501</v>
      </c>
      <c r="K53" s="238" t="s">
        <v>8283</v>
      </c>
      <c r="L53" s="43">
        <v>2</v>
      </c>
      <c r="M53" s="43">
        <v>10</v>
      </c>
      <c r="N53" s="43" t="s">
        <v>64</v>
      </c>
      <c r="O53" s="43">
        <v>35</v>
      </c>
      <c r="P53" s="42">
        <f>AVERAGE(114.4,110.7)</f>
        <v>112.55000000000001</v>
      </c>
      <c r="Q53" s="42">
        <f>AVERAGE(124.1,117.1)</f>
        <v>120.6</v>
      </c>
      <c r="R53" s="234">
        <v>1.125</v>
      </c>
      <c r="S53" s="234">
        <v>12.65</v>
      </c>
      <c r="T53" s="234">
        <v>13.4</v>
      </c>
      <c r="U53" s="43" t="s">
        <v>50</v>
      </c>
      <c r="V53" s="235">
        <v>0</v>
      </c>
      <c r="W53" s="235" t="s">
        <v>50</v>
      </c>
      <c r="Y53" s="235" t="s">
        <v>6671</v>
      </c>
    </row>
    <row r="54" spans="1:25" x14ac:dyDescent="0.25">
      <c r="A54" s="41">
        <v>42864</v>
      </c>
      <c r="B54" s="631" t="s">
        <v>8291</v>
      </c>
      <c r="C54" s="631">
        <v>37.943370000000002</v>
      </c>
      <c r="D54" s="631">
        <v>-121.5334</v>
      </c>
      <c r="E54" s="631" t="s">
        <v>8357</v>
      </c>
      <c r="F54" s="631" t="s">
        <v>46</v>
      </c>
      <c r="G54" s="631" t="s">
        <v>6926</v>
      </c>
      <c r="H54" s="239">
        <v>0.40972222222222227</v>
      </c>
      <c r="I54" s="43" t="s">
        <v>4500</v>
      </c>
      <c r="J54" s="43" t="s">
        <v>4501</v>
      </c>
      <c r="K54" s="238" t="s">
        <v>8283</v>
      </c>
      <c r="L54" s="43">
        <v>2</v>
      </c>
      <c r="M54" s="43">
        <v>10</v>
      </c>
      <c r="N54" s="43" t="s">
        <v>64</v>
      </c>
      <c r="O54" s="43">
        <v>22</v>
      </c>
      <c r="P54" s="42">
        <f>AVERAGE(121.8,122.2)</f>
        <v>122</v>
      </c>
      <c r="Q54" s="42">
        <f>AVERAGE(123.5,125.5)</f>
        <v>124.5</v>
      </c>
      <c r="R54" s="234">
        <v>0.89</v>
      </c>
      <c r="S54" s="234">
        <v>13.149999999999999</v>
      </c>
      <c r="T54" s="234">
        <v>14.350000000000001</v>
      </c>
      <c r="U54" s="43" t="s">
        <v>50</v>
      </c>
      <c r="V54" s="235">
        <v>0</v>
      </c>
      <c r="W54" s="235" t="s">
        <v>50</v>
      </c>
      <c r="Y54" s="235" t="s">
        <v>6671</v>
      </c>
    </row>
    <row r="55" spans="1:25" x14ac:dyDescent="0.25">
      <c r="A55" s="41">
        <v>42864</v>
      </c>
      <c r="B55" s="631" t="s">
        <v>8291</v>
      </c>
      <c r="C55" s="631">
        <v>38.078479999999999</v>
      </c>
      <c r="D55" s="631">
        <v>-121.44998</v>
      </c>
      <c r="E55" s="631" t="s">
        <v>8358</v>
      </c>
      <c r="F55" s="631" t="s">
        <v>46</v>
      </c>
      <c r="G55" s="631" t="s">
        <v>6883</v>
      </c>
      <c r="H55" s="239">
        <v>0.34027777777777773</v>
      </c>
      <c r="I55" s="43" t="s">
        <v>4500</v>
      </c>
      <c r="J55" s="43" t="s">
        <v>4501</v>
      </c>
      <c r="K55" s="238" t="s">
        <v>8283</v>
      </c>
      <c r="L55" s="43">
        <v>2</v>
      </c>
      <c r="M55" s="43">
        <v>10</v>
      </c>
      <c r="N55" s="43" t="s">
        <v>49</v>
      </c>
      <c r="O55" s="43">
        <v>15</v>
      </c>
      <c r="P55" s="42">
        <f>AVERAGE(84.5,85)</f>
        <v>84.75</v>
      </c>
      <c r="Q55" s="42">
        <f>AVERAGE(84.4,85.2)</f>
        <v>84.800000000000011</v>
      </c>
      <c r="R55" s="234">
        <v>1.62</v>
      </c>
      <c r="S55" s="234">
        <v>4.21</v>
      </c>
      <c r="T55" s="234">
        <v>6.9550000000000001</v>
      </c>
      <c r="U55" s="43" t="s">
        <v>50</v>
      </c>
      <c r="V55" s="235">
        <v>0</v>
      </c>
      <c r="W55" s="235" t="s">
        <v>50</v>
      </c>
      <c r="Y55" s="235" t="s">
        <v>6671</v>
      </c>
    </row>
    <row r="56" spans="1:25" x14ac:dyDescent="0.25">
      <c r="A56" s="41">
        <v>42864</v>
      </c>
      <c r="B56" s="631" t="s">
        <v>8291</v>
      </c>
      <c r="C56" s="631">
        <v>38.10819</v>
      </c>
      <c r="D56" s="631">
        <v>-121.6088</v>
      </c>
      <c r="E56" s="631" t="s">
        <v>8359</v>
      </c>
      <c r="F56" s="631" t="s">
        <v>46</v>
      </c>
      <c r="G56" s="631" t="s">
        <v>582</v>
      </c>
      <c r="H56" s="239">
        <v>0.47569444444444442</v>
      </c>
      <c r="I56" s="43" t="s">
        <v>4500</v>
      </c>
      <c r="J56" s="43" t="s">
        <v>4501</v>
      </c>
      <c r="K56" s="238" t="s">
        <v>8283</v>
      </c>
      <c r="L56" s="43">
        <v>2</v>
      </c>
      <c r="M56" s="43">
        <v>10</v>
      </c>
      <c r="N56" s="43" t="s">
        <v>49</v>
      </c>
      <c r="O56" s="43">
        <v>11.5</v>
      </c>
      <c r="P56" s="42">
        <f>AVERAGE(90,91.1)</f>
        <v>90.55</v>
      </c>
      <c r="Q56" s="42">
        <f>AVERAGE(91.3,91.7)</f>
        <v>91.5</v>
      </c>
      <c r="R56" s="234">
        <v>1.24</v>
      </c>
      <c r="S56" s="234">
        <v>9.3550000000000004</v>
      </c>
      <c r="T56" s="234">
        <v>11.375</v>
      </c>
      <c r="U56" s="43" t="s">
        <v>50</v>
      </c>
      <c r="V56" s="235">
        <v>0</v>
      </c>
      <c r="W56" s="235" t="s">
        <v>50</v>
      </c>
      <c r="Y56" s="40" t="s">
        <v>6671</v>
      </c>
    </row>
    <row r="57" spans="1:25" x14ac:dyDescent="0.25">
      <c r="A57" s="41">
        <v>42865</v>
      </c>
      <c r="B57" s="631" t="s">
        <v>8291</v>
      </c>
      <c r="C57" s="631">
        <v>37.982170000000004</v>
      </c>
      <c r="D57" s="631">
        <v>-121.52431</v>
      </c>
      <c r="E57" s="631" t="s">
        <v>8360</v>
      </c>
      <c r="F57" s="631" t="s">
        <v>46</v>
      </c>
      <c r="G57" s="631" t="s">
        <v>6939</v>
      </c>
      <c r="H57" s="239">
        <v>0.36527777777777781</v>
      </c>
      <c r="I57" s="43" t="s">
        <v>4500</v>
      </c>
      <c r="J57" s="43" t="s">
        <v>4501</v>
      </c>
      <c r="K57" s="238" t="s">
        <v>8283</v>
      </c>
      <c r="L57" s="43">
        <v>2</v>
      </c>
      <c r="M57" s="43">
        <v>10</v>
      </c>
      <c r="N57" s="43" t="s">
        <v>49</v>
      </c>
      <c r="O57" s="43">
        <v>15.5</v>
      </c>
      <c r="P57" s="42">
        <f>AVERAGE(119.5,120.1)</f>
        <v>119.8</v>
      </c>
      <c r="Q57" s="42">
        <f>AVERAGE(120.5,120.4)</f>
        <v>120.45</v>
      </c>
      <c r="R57" s="234">
        <v>1.085</v>
      </c>
      <c r="S57" s="234">
        <v>6.5</v>
      </c>
      <c r="T57" s="234">
        <v>13.239999999999998</v>
      </c>
      <c r="U57" s="43" t="s">
        <v>50</v>
      </c>
      <c r="V57" s="235">
        <v>0</v>
      </c>
      <c r="W57" s="235" t="s">
        <v>50</v>
      </c>
      <c r="Y57" s="240" t="s">
        <v>6671</v>
      </c>
    </row>
    <row r="58" spans="1:25" x14ac:dyDescent="0.25">
      <c r="A58" s="41">
        <v>42865</v>
      </c>
      <c r="B58" s="631" t="s">
        <v>8291</v>
      </c>
      <c r="C58" s="631">
        <v>38.030560000000001</v>
      </c>
      <c r="D58" s="631">
        <v>-121.49189</v>
      </c>
      <c r="E58" s="631" t="s">
        <v>8361</v>
      </c>
      <c r="F58" s="631" t="s">
        <v>46</v>
      </c>
      <c r="G58" s="631" t="s">
        <v>6840</v>
      </c>
      <c r="H58" s="239">
        <v>0.32222222222222224</v>
      </c>
      <c r="I58" s="43" t="s">
        <v>4500</v>
      </c>
      <c r="J58" s="43" t="s">
        <v>4501</v>
      </c>
      <c r="K58" s="238" t="s">
        <v>8283</v>
      </c>
      <c r="L58" s="43">
        <v>2</v>
      </c>
      <c r="M58" s="43">
        <v>10</v>
      </c>
      <c r="N58" s="43" t="s">
        <v>49</v>
      </c>
      <c r="O58" s="43">
        <v>17</v>
      </c>
      <c r="P58" s="42">
        <f>AVERAGE(97.4,96.7)</f>
        <v>97.050000000000011</v>
      </c>
      <c r="Q58" s="42">
        <f>AVERAGE(97.4,93.6)</f>
        <v>95.5</v>
      </c>
      <c r="R58" s="234">
        <v>0.88</v>
      </c>
      <c r="S58" s="234">
        <v>8.8849999999999998</v>
      </c>
      <c r="T58" s="234">
        <v>12.25</v>
      </c>
      <c r="U58" s="43" t="s">
        <v>50</v>
      </c>
      <c r="V58" s="235">
        <v>0</v>
      </c>
      <c r="W58" s="235" t="s">
        <v>50</v>
      </c>
      <c r="Y58" s="240" t="s">
        <v>6671</v>
      </c>
    </row>
    <row r="59" spans="1:25" x14ac:dyDescent="0.25">
      <c r="A59" s="41">
        <v>42865</v>
      </c>
      <c r="B59" s="631" t="s">
        <v>8291</v>
      </c>
      <c r="C59" s="631">
        <v>38.009520000000002</v>
      </c>
      <c r="D59" s="631">
        <v>-121.44848</v>
      </c>
      <c r="E59" s="631" t="s">
        <v>8362</v>
      </c>
      <c r="F59" s="631" t="s">
        <v>46</v>
      </c>
      <c r="G59" s="631" t="s">
        <v>6840</v>
      </c>
      <c r="H59" s="239">
        <v>0.42291666666666666</v>
      </c>
      <c r="I59" s="43" t="s">
        <v>4500</v>
      </c>
      <c r="J59" s="43" t="s">
        <v>4501</v>
      </c>
      <c r="K59" s="238" t="s">
        <v>8283</v>
      </c>
      <c r="L59" s="43">
        <v>2</v>
      </c>
      <c r="M59" s="43">
        <v>10</v>
      </c>
      <c r="N59" s="43" t="s">
        <v>49</v>
      </c>
      <c r="O59" s="43">
        <v>16</v>
      </c>
      <c r="P59" s="42">
        <f>AVERAGE(97,96.4)</f>
        <v>96.7</v>
      </c>
      <c r="Q59" s="42">
        <f>AVERAGE(97.4,96)</f>
        <v>96.7</v>
      </c>
      <c r="R59" s="234">
        <v>1.0050000000000001</v>
      </c>
      <c r="S59" s="234">
        <v>13</v>
      </c>
      <c r="T59" s="234">
        <v>55.599999999999994</v>
      </c>
      <c r="U59" s="43" t="s">
        <v>50</v>
      </c>
      <c r="V59" s="235">
        <v>0</v>
      </c>
      <c r="W59" s="235" t="s">
        <v>50</v>
      </c>
      <c r="X59" s="5" t="s">
        <v>8363</v>
      </c>
      <c r="Y59" s="40" t="s">
        <v>6671</v>
      </c>
    </row>
    <row r="60" spans="1:25" x14ac:dyDescent="0.25">
      <c r="A60" s="41">
        <v>42866</v>
      </c>
      <c r="B60" s="631" t="s">
        <v>8296</v>
      </c>
      <c r="C60" s="631">
        <v>38.151760000000003</v>
      </c>
      <c r="D60" s="631">
        <v>-121.68227</v>
      </c>
      <c r="E60" s="631" t="s">
        <v>8364</v>
      </c>
      <c r="F60" s="631" t="s">
        <v>90</v>
      </c>
      <c r="G60" s="631" t="s">
        <v>91</v>
      </c>
      <c r="H60" s="239">
        <v>0.33958333333333335</v>
      </c>
      <c r="I60" s="43" t="s">
        <v>4500</v>
      </c>
      <c r="J60" s="43" t="s">
        <v>29</v>
      </c>
      <c r="K60" s="238" t="s">
        <v>8306</v>
      </c>
      <c r="L60" s="43">
        <v>2</v>
      </c>
      <c r="M60" s="43">
        <v>10</v>
      </c>
      <c r="N60" s="43" t="s">
        <v>49</v>
      </c>
      <c r="O60" s="43">
        <v>5</v>
      </c>
      <c r="P60" s="42">
        <f>AVERAGE(108.5,107.3)</f>
        <v>107.9</v>
      </c>
      <c r="Q60" s="43" t="s">
        <v>50</v>
      </c>
      <c r="R60" s="234">
        <v>0.56999999999999995</v>
      </c>
      <c r="S60" s="234">
        <v>27</v>
      </c>
      <c r="T60" s="293" t="s">
        <v>50</v>
      </c>
      <c r="U60" s="43" t="s">
        <v>50</v>
      </c>
      <c r="V60" s="235">
        <v>0</v>
      </c>
      <c r="W60" s="235" t="s">
        <v>50</v>
      </c>
      <c r="X60" s="5" t="s">
        <v>8365</v>
      </c>
      <c r="Y60" s="40" t="s">
        <v>6671</v>
      </c>
    </row>
    <row r="61" spans="1:25" x14ac:dyDescent="0.25">
      <c r="A61" s="41">
        <v>42866</v>
      </c>
      <c r="B61" s="631" t="s">
        <v>8296</v>
      </c>
      <c r="C61" s="631">
        <v>38.153840000000002</v>
      </c>
      <c r="D61" s="631">
        <v>-121.68838</v>
      </c>
      <c r="E61" s="631" t="s">
        <v>8364</v>
      </c>
      <c r="F61" s="631" t="s">
        <v>90</v>
      </c>
      <c r="G61" s="631" t="s">
        <v>91</v>
      </c>
      <c r="H61" s="239">
        <v>0.33680555555555558</v>
      </c>
      <c r="I61" s="43" t="s">
        <v>4500</v>
      </c>
      <c r="J61" s="43" t="s">
        <v>4501</v>
      </c>
      <c r="K61" s="238" t="s">
        <v>8283</v>
      </c>
      <c r="L61" s="43">
        <v>2</v>
      </c>
      <c r="M61" s="43">
        <v>10</v>
      </c>
      <c r="N61" s="43" t="s">
        <v>49</v>
      </c>
      <c r="O61" s="43">
        <v>35.5</v>
      </c>
      <c r="P61" s="42">
        <f>AVERAGE(100.8,93.3)</f>
        <v>97.05</v>
      </c>
      <c r="Q61" s="42">
        <f>AVERAGE(97.1,103.6)</f>
        <v>100.35</v>
      </c>
      <c r="R61" s="234">
        <v>0.52499999999999991</v>
      </c>
      <c r="S61" s="234">
        <v>28.15</v>
      </c>
      <c r="T61" s="234">
        <v>43.3</v>
      </c>
      <c r="U61" s="43" t="s">
        <v>50</v>
      </c>
      <c r="V61" s="235">
        <v>0</v>
      </c>
      <c r="W61" s="235" t="s">
        <v>50</v>
      </c>
      <c r="X61" s="5" t="s">
        <v>8366</v>
      </c>
      <c r="Y61" s="40" t="s">
        <v>6671</v>
      </c>
    </row>
    <row r="62" spans="1:25" x14ac:dyDescent="0.25">
      <c r="A62" s="41">
        <v>42866</v>
      </c>
      <c r="B62" s="631" t="s">
        <v>8296</v>
      </c>
      <c r="C62" s="631">
        <v>38.066690000000001</v>
      </c>
      <c r="D62" s="631">
        <v>-121.81947</v>
      </c>
      <c r="E62" s="631" t="s">
        <v>8367</v>
      </c>
      <c r="F62" s="631" t="s">
        <v>27</v>
      </c>
      <c r="G62" s="631" t="s">
        <v>25</v>
      </c>
      <c r="H62" s="239">
        <v>0.44791666666666669</v>
      </c>
      <c r="I62" s="43" t="s">
        <v>4500</v>
      </c>
      <c r="J62" s="43" t="s">
        <v>4501</v>
      </c>
      <c r="K62" s="238" t="s">
        <v>8283</v>
      </c>
      <c r="L62" s="43">
        <v>2</v>
      </c>
      <c r="M62" s="43">
        <v>10</v>
      </c>
      <c r="N62" s="43" t="s">
        <v>49</v>
      </c>
      <c r="O62" s="43">
        <v>22</v>
      </c>
      <c r="P62" s="42">
        <f>AVERAGE(108.7,106.8)</f>
        <v>107.75</v>
      </c>
      <c r="Q62" s="42">
        <f>AVERAGE(109.8,108)</f>
        <v>108.9</v>
      </c>
      <c r="R62" s="294" t="s">
        <v>50</v>
      </c>
      <c r="S62" s="234">
        <v>44.05</v>
      </c>
      <c r="T62" s="234">
        <v>57.25</v>
      </c>
      <c r="U62" s="43" t="s">
        <v>50</v>
      </c>
      <c r="V62" s="235">
        <v>0</v>
      </c>
      <c r="W62" s="235" t="s">
        <v>50</v>
      </c>
      <c r="X62" s="5" t="s">
        <v>8368</v>
      </c>
      <c r="Y62" s="40" t="s">
        <v>6671</v>
      </c>
    </row>
    <row r="63" spans="1:25" ht="13.5" customHeight="1" x14ac:dyDescent="0.25">
      <c r="A63" s="41">
        <v>42866</v>
      </c>
      <c r="B63" s="631" t="s">
        <v>8296</v>
      </c>
      <c r="C63" s="631">
        <v>38.068300000000001</v>
      </c>
      <c r="D63" s="631">
        <v>-121.82219000000001</v>
      </c>
      <c r="E63" s="631" t="s">
        <v>8367</v>
      </c>
      <c r="F63" s="631" t="s">
        <v>27</v>
      </c>
      <c r="G63" s="631" t="s">
        <v>25</v>
      </c>
      <c r="H63" s="239">
        <v>0.44861111111111113</v>
      </c>
      <c r="I63" s="43" t="s">
        <v>4500</v>
      </c>
      <c r="J63" s="43" t="s">
        <v>29</v>
      </c>
      <c r="K63" s="238" t="s">
        <v>8306</v>
      </c>
      <c r="L63" s="43">
        <v>2</v>
      </c>
      <c r="M63" s="43">
        <v>10</v>
      </c>
      <c r="N63" s="43" t="s">
        <v>64</v>
      </c>
      <c r="O63" s="43">
        <f>AVERAGE(5,8.61)</f>
        <v>6.8049999999999997</v>
      </c>
      <c r="P63" s="42">
        <f>AVERAGE(124.7,122.9)</f>
        <v>123.80000000000001</v>
      </c>
      <c r="Q63" s="43" t="s">
        <v>50</v>
      </c>
      <c r="R63" s="234">
        <v>0.44999999999999996</v>
      </c>
      <c r="S63" s="234">
        <v>42.05</v>
      </c>
      <c r="T63" s="293" t="s">
        <v>50</v>
      </c>
      <c r="U63" s="43" t="s">
        <v>323</v>
      </c>
      <c r="V63" s="240">
        <v>1</v>
      </c>
      <c r="W63" s="240">
        <v>14.8</v>
      </c>
      <c r="X63" s="5" t="s">
        <v>8369</v>
      </c>
      <c r="Y63" s="40" t="s">
        <v>6671</v>
      </c>
    </row>
    <row r="64" spans="1:25" x14ac:dyDescent="0.25">
      <c r="A64" s="41">
        <v>42870</v>
      </c>
      <c r="B64" s="631" t="s">
        <v>8281</v>
      </c>
      <c r="C64" s="631">
        <v>38.091439999999999</v>
      </c>
      <c r="D64" s="631">
        <v>-121.53017</v>
      </c>
      <c r="E64" s="631" t="s">
        <v>8370</v>
      </c>
      <c r="F64" s="631" t="s">
        <v>46</v>
      </c>
      <c r="G64" s="631" t="s">
        <v>6881</v>
      </c>
      <c r="H64" s="239">
        <v>0.57222222222222219</v>
      </c>
      <c r="I64" s="43" t="s">
        <v>4500</v>
      </c>
      <c r="J64" s="43" t="s">
        <v>4501</v>
      </c>
      <c r="K64" s="238" t="s">
        <v>8283</v>
      </c>
      <c r="L64" s="43">
        <v>2</v>
      </c>
      <c r="M64" s="43">
        <v>10</v>
      </c>
      <c r="N64" s="43" t="s">
        <v>49</v>
      </c>
      <c r="O64" s="43">
        <v>29</v>
      </c>
      <c r="P64" s="42">
        <f>AVERAGE(64.6,65.4)</f>
        <v>65</v>
      </c>
      <c r="Q64" s="42">
        <f>AVERAGE(61.9,65.5)</f>
        <v>63.7</v>
      </c>
      <c r="R64" s="234">
        <v>1.3900000000000001</v>
      </c>
      <c r="S64" s="234">
        <v>4.99</v>
      </c>
      <c r="T64" s="234">
        <v>12.3</v>
      </c>
      <c r="U64" s="43" t="s">
        <v>50</v>
      </c>
      <c r="V64" s="240">
        <v>0</v>
      </c>
      <c r="W64" s="240" t="s">
        <v>50</v>
      </c>
      <c r="Y64" s="240" t="s">
        <v>6671</v>
      </c>
    </row>
    <row r="65" spans="1:25" x14ac:dyDescent="0.25">
      <c r="A65" s="41">
        <v>42870</v>
      </c>
      <c r="B65" s="631" t="s">
        <v>8285</v>
      </c>
      <c r="C65" s="631">
        <v>38.062420000000003</v>
      </c>
      <c r="D65" s="631">
        <v>-122.22331</v>
      </c>
      <c r="E65" s="631" t="s">
        <v>8371</v>
      </c>
      <c r="F65" s="631" t="s">
        <v>80</v>
      </c>
      <c r="G65" s="631" t="s">
        <v>120</v>
      </c>
      <c r="H65" s="239">
        <v>0.38680555555555557</v>
      </c>
      <c r="I65" s="43" t="s">
        <v>4500</v>
      </c>
      <c r="J65" s="43" t="s">
        <v>4501</v>
      </c>
      <c r="K65" s="238" t="s">
        <v>8283</v>
      </c>
      <c r="L65" s="43">
        <v>1</v>
      </c>
      <c r="M65" s="43">
        <v>10</v>
      </c>
      <c r="N65" s="43" t="s">
        <v>49</v>
      </c>
      <c r="O65" s="43">
        <f>AVERAGE(96,80)</f>
        <v>88</v>
      </c>
      <c r="P65" s="42">
        <v>2847</v>
      </c>
      <c r="Q65" s="42">
        <v>2914</v>
      </c>
      <c r="R65" s="234">
        <v>0.505</v>
      </c>
      <c r="S65" s="234">
        <v>37.75</v>
      </c>
      <c r="T65" s="234">
        <v>98.9</v>
      </c>
      <c r="U65" s="43" t="s">
        <v>31</v>
      </c>
      <c r="V65" s="45">
        <v>4</v>
      </c>
      <c r="W65" s="45" t="s">
        <v>8372</v>
      </c>
      <c r="X65" s="5" t="s">
        <v>8373</v>
      </c>
      <c r="Y65" s="40" t="s">
        <v>6671</v>
      </c>
    </row>
    <row r="66" spans="1:25" x14ac:dyDescent="0.25">
      <c r="A66" s="41">
        <v>42870</v>
      </c>
      <c r="B66" s="631" t="s">
        <v>8281</v>
      </c>
      <c r="C66" s="631">
        <v>38.29974</v>
      </c>
      <c r="D66" s="631">
        <v>-121.56917</v>
      </c>
      <c r="E66" s="631" t="s">
        <v>8374</v>
      </c>
      <c r="F66" s="631" t="s">
        <v>90</v>
      </c>
      <c r="G66" s="631" t="s">
        <v>6851</v>
      </c>
      <c r="H66" s="239">
        <v>0.42430555555555555</v>
      </c>
      <c r="I66" s="43" t="s">
        <v>4500</v>
      </c>
      <c r="J66" s="43" t="s">
        <v>4501</v>
      </c>
      <c r="K66" s="238" t="s">
        <v>8283</v>
      </c>
      <c r="L66" s="43">
        <v>2</v>
      </c>
      <c r="M66" s="43">
        <v>10</v>
      </c>
      <c r="N66" s="43" t="s">
        <v>49</v>
      </c>
      <c r="O66" s="43">
        <v>29.5</v>
      </c>
      <c r="P66" s="42">
        <f>AVERAGE(70.6,71.4)</f>
        <v>71</v>
      </c>
      <c r="Q66" s="42">
        <f>AVERAGE(71,72.7)</f>
        <v>71.849999999999994</v>
      </c>
      <c r="R66" s="295">
        <v>0.59333333333333338</v>
      </c>
      <c r="S66" s="295">
        <v>19.266666666666666</v>
      </c>
      <c r="T66" s="295">
        <v>22.633333333333336</v>
      </c>
      <c r="U66" s="43" t="s">
        <v>50</v>
      </c>
      <c r="V66" s="240">
        <v>0</v>
      </c>
      <c r="W66" s="240" t="s">
        <v>50</v>
      </c>
      <c r="X66" s="5" t="s">
        <v>8375</v>
      </c>
      <c r="Y66" s="40" t="s">
        <v>6671</v>
      </c>
    </row>
    <row r="67" spans="1:25" x14ac:dyDescent="0.25">
      <c r="A67" s="41">
        <v>42870</v>
      </c>
      <c r="B67" s="631" t="s">
        <v>8285</v>
      </c>
      <c r="C67" s="631">
        <v>38.050359999999998</v>
      </c>
      <c r="D67" s="631">
        <v>-122.29545</v>
      </c>
      <c r="E67" s="631" t="s">
        <v>8376</v>
      </c>
      <c r="F67" s="631" t="s">
        <v>80</v>
      </c>
      <c r="G67" s="631" t="s">
        <v>123</v>
      </c>
      <c r="H67" s="239">
        <v>0.55277777777777781</v>
      </c>
      <c r="I67" s="43" t="s">
        <v>4500</v>
      </c>
      <c r="J67" s="43" t="s">
        <v>4501</v>
      </c>
      <c r="K67" s="238" t="s">
        <v>8283</v>
      </c>
      <c r="L67" s="43">
        <v>2</v>
      </c>
      <c r="M67" s="43">
        <v>10</v>
      </c>
      <c r="N67" s="43" t="s">
        <v>49</v>
      </c>
      <c r="O67" s="43">
        <f>AVERAGE(34.6,44)</f>
        <v>39.299999999999997</v>
      </c>
      <c r="P67" s="42">
        <f>AVERAGE(5613,4054)</f>
        <v>4833.5</v>
      </c>
      <c r="Q67" s="42">
        <f>AVERAGE(14212,12019)</f>
        <v>13115.5</v>
      </c>
      <c r="R67" s="234">
        <v>0.42000000000000004</v>
      </c>
      <c r="S67" s="234">
        <v>34.35</v>
      </c>
      <c r="T67" s="234">
        <v>41.7</v>
      </c>
      <c r="U67" s="43" t="s">
        <v>31</v>
      </c>
      <c r="V67" s="45">
        <v>17</v>
      </c>
      <c r="W67" s="45" t="s">
        <v>8377</v>
      </c>
      <c r="Y67" s="40" t="s">
        <v>6671</v>
      </c>
    </row>
    <row r="68" spans="1:25" x14ac:dyDescent="0.25">
      <c r="A68" s="44">
        <v>42871</v>
      </c>
      <c r="B68" s="631" t="s">
        <v>8291</v>
      </c>
      <c r="C68" s="631">
        <v>38.052439999999997</v>
      </c>
      <c r="D68" s="631">
        <v>-121.68961</v>
      </c>
      <c r="E68" s="631" t="s">
        <v>8378</v>
      </c>
      <c r="F68" s="631" t="s">
        <v>46</v>
      </c>
      <c r="G68" s="631" t="s">
        <v>97</v>
      </c>
      <c r="H68" s="239">
        <v>0.3354166666666667</v>
      </c>
      <c r="I68" s="43" t="s">
        <v>28</v>
      </c>
      <c r="J68" s="43" t="s">
        <v>4501</v>
      </c>
      <c r="K68" s="238" t="s">
        <v>8283</v>
      </c>
      <c r="L68" s="43">
        <v>2</v>
      </c>
      <c r="M68" s="43">
        <v>10</v>
      </c>
      <c r="N68" s="43" t="s">
        <v>49</v>
      </c>
      <c r="O68" s="43">
        <f>AVERAGE(45,48)</f>
        <v>46.5</v>
      </c>
      <c r="P68" s="42">
        <f>AVERAGE(98,95.7)</f>
        <v>96.85</v>
      </c>
      <c r="Q68" s="42">
        <f>AVERAGE(101.7,100.2)</f>
        <v>100.95</v>
      </c>
      <c r="R68" s="234">
        <v>1.1850000000000001</v>
      </c>
      <c r="S68" s="234">
        <v>7.2850000000000001</v>
      </c>
      <c r="T68" s="234">
        <v>8.2800000000000011</v>
      </c>
      <c r="U68" s="43" t="s">
        <v>50</v>
      </c>
      <c r="V68" s="45">
        <v>0</v>
      </c>
      <c r="W68" s="45" t="s">
        <v>50</v>
      </c>
      <c r="Y68" s="40" t="s">
        <v>6671</v>
      </c>
    </row>
    <row r="69" spans="1:25" x14ac:dyDescent="0.25">
      <c r="A69" s="44">
        <v>42871</v>
      </c>
      <c r="B69" s="631" t="s">
        <v>8285</v>
      </c>
      <c r="C69" s="631">
        <v>38.079590000000003</v>
      </c>
      <c r="D69" s="631">
        <v>-122.06574000000001</v>
      </c>
      <c r="E69" s="631" t="s">
        <v>8379</v>
      </c>
      <c r="F69" s="631" t="s">
        <v>80</v>
      </c>
      <c r="G69" s="631" t="s">
        <v>81</v>
      </c>
      <c r="H69" s="239">
        <v>0.39374999999999999</v>
      </c>
      <c r="I69" s="43" t="s">
        <v>28</v>
      </c>
      <c r="J69" s="43" t="s">
        <v>4501</v>
      </c>
      <c r="K69" s="238" t="s">
        <v>8283</v>
      </c>
      <c r="L69" s="43">
        <v>2</v>
      </c>
      <c r="M69" s="43">
        <v>10</v>
      </c>
      <c r="N69" s="43" t="s">
        <v>49</v>
      </c>
      <c r="O69" s="43">
        <f>AVERAGE(16,16)</f>
        <v>16</v>
      </c>
      <c r="P69" s="42">
        <f>AVERAGE(136.9,104.6)</f>
        <v>120.75</v>
      </c>
      <c r="Q69" s="42">
        <f>AVERAGE(141.1,105.6)</f>
        <v>123.35</v>
      </c>
      <c r="R69" s="234">
        <v>0.53</v>
      </c>
      <c r="S69" s="234">
        <v>23.75</v>
      </c>
      <c r="T69" s="234">
        <v>35.25</v>
      </c>
      <c r="U69" s="43" t="s">
        <v>50</v>
      </c>
      <c r="V69" s="45">
        <v>0</v>
      </c>
      <c r="W69" s="45" t="s">
        <v>50</v>
      </c>
      <c r="Y69" s="40" t="s">
        <v>6671</v>
      </c>
    </row>
    <row r="70" spans="1:25" x14ac:dyDescent="0.25">
      <c r="A70" s="44">
        <v>42871</v>
      </c>
      <c r="B70" s="631" t="s">
        <v>8291</v>
      </c>
      <c r="C70" s="631">
        <v>38.0426</v>
      </c>
      <c r="D70" s="631">
        <v>-121.57329</v>
      </c>
      <c r="E70" s="631" t="s">
        <v>8380</v>
      </c>
      <c r="F70" s="631" t="s">
        <v>46</v>
      </c>
      <c r="G70" s="631" t="s">
        <v>74</v>
      </c>
      <c r="H70" s="239">
        <v>0.39999999999999997</v>
      </c>
      <c r="I70" s="43" t="s">
        <v>28</v>
      </c>
      <c r="J70" s="43" t="s">
        <v>4501</v>
      </c>
      <c r="K70" s="238" t="s">
        <v>8283</v>
      </c>
      <c r="L70" s="43">
        <v>2</v>
      </c>
      <c r="M70" s="43">
        <v>10</v>
      </c>
      <c r="N70" s="43" t="s">
        <v>49</v>
      </c>
      <c r="O70" s="43">
        <f>AVERAGE(36,32)</f>
        <v>34</v>
      </c>
      <c r="P70" s="42">
        <f>AVERAGE(122.4,123.3)</f>
        <v>122.85</v>
      </c>
      <c r="Q70" s="42">
        <f>AVERAGE(115.5,121.8)</f>
        <v>118.65</v>
      </c>
      <c r="R70" s="234">
        <v>1.4449999999999998</v>
      </c>
      <c r="S70" s="234">
        <v>8.4450000000000003</v>
      </c>
      <c r="T70" s="234">
        <v>11.1</v>
      </c>
      <c r="U70" s="43" t="s">
        <v>50</v>
      </c>
      <c r="V70" s="235">
        <v>0</v>
      </c>
      <c r="W70" s="235" t="s">
        <v>50</v>
      </c>
      <c r="Y70" s="235" t="s">
        <v>6671</v>
      </c>
    </row>
    <row r="71" spans="1:25" x14ac:dyDescent="0.25">
      <c r="A71" s="44">
        <v>42871</v>
      </c>
      <c r="B71" s="631" t="s">
        <v>8296</v>
      </c>
      <c r="C71" s="631">
        <v>38.050519999999999</v>
      </c>
      <c r="D71" s="631">
        <v>-121.88195</v>
      </c>
      <c r="E71" s="631" t="s">
        <v>8381</v>
      </c>
      <c r="F71" s="631" t="s">
        <v>27</v>
      </c>
      <c r="G71" s="631" t="s">
        <v>25</v>
      </c>
      <c r="H71" s="239">
        <v>0.54791666666666672</v>
      </c>
      <c r="I71" s="43" t="s">
        <v>28</v>
      </c>
      <c r="J71" s="43" t="s">
        <v>4501</v>
      </c>
      <c r="K71" s="238" t="s">
        <v>8283</v>
      </c>
      <c r="L71" s="43">
        <v>2</v>
      </c>
      <c r="M71" s="43">
        <v>10</v>
      </c>
      <c r="N71" s="43" t="s">
        <v>49</v>
      </c>
      <c r="O71" s="43">
        <f>AVERAGE(41,41)</f>
        <v>41</v>
      </c>
      <c r="P71" s="42">
        <f>AVERAGE(86.5,84.5)</f>
        <v>85.5</v>
      </c>
      <c r="Q71" s="42">
        <f>AVERAGE(82.6,80.6)</f>
        <v>81.599999999999994</v>
      </c>
      <c r="R71" s="234">
        <v>0.73</v>
      </c>
      <c r="S71" s="234">
        <v>20.5</v>
      </c>
      <c r="T71" s="234">
        <v>27.25</v>
      </c>
      <c r="U71" s="43" t="s">
        <v>50</v>
      </c>
      <c r="V71" s="240">
        <v>0</v>
      </c>
      <c r="W71" s="240" t="s">
        <v>50</v>
      </c>
      <c r="Y71" s="240" t="s">
        <v>6671</v>
      </c>
    </row>
    <row r="72" spans="1:25" x14ac:dyDescent="0.25">
      <c r="A72" s="44">
        <v>42871</v>
      </c>
      <c r="B72" s="631" t="s">
        <v>8296</v>
      </c>
      <c r="C72" s="631">
        <v>38.060699999999997</v>
      </c>
      <c r="D72" s="631">
        <v>-122.04627000000001</v>
      </c>
      <c r="E72" s="631" t="s">
        <v>8382</v>
      </c>
      <c r="F72" s="631" t="s">
        <v>27</v>
      </c>
      <c r="G72" s="631" t="s">
        <v>86</v>
      </c>
      <c r="H72" s="239">
        <v>0.46597222222222223</v>
      </c>
      <c r="I72" s="43" t="s">
        <v>28</v>
      </c>
      <c r="J72" s="43" t="s">
        <v>4501</v>
      </c>
      <c r="K72" s="238" t="s">
        <v>8283</v>
      </c>
      <c r="L72" s="43">
        <v>2</v>
      </c>
      <c r="M72" s="43">
        <v>10</v>
      </c>
      <c r="N72" s="43" t="s">
        <v>49</v>
      </c>
      <c r="O72" s="43">
        <v>30</v>
      </c>
      <c r="P72" s="42">
        <f>AVERAGE(93.1,92.3)</f>
        <v>92.699999999999989</v>
      </c>
      <c r="Q72" s="42">
        <f>AVERAGE(93.2,92.3)</f>
        <v>92.75</v>
      </c>
      <c r="R72" s="234">
        <v>0.59499999999999997</v>
      </c>
      <c r="S72" s="234">
        <v>24.4</v>
      </c>
      <c r="T72" s="234">
        <v>25.5</v>
      </c>
      <c r="U72" s="43" t="s">
        <v>50</v>
      </c>
      <c r="V72" s="240">
        <v>0</v>
      </c>
      <c r="W72" s="240" t="s">
        <v>50</v>
      </c>
      <c r="Y72" s="240" t="s">
        <v>6671</v>
      </c>
    </row>
    <row r="73" spans="1:25" x14ac:dyDescent="0.25">
      <c r="A73" s="44">
        <v>42871</v>
      </c>
      <c r="B73" s="631" t="s">
        <v>8291</v>
      </c>
      <c r="C73" s="631">
        <v>38.00497</v>
      </c>
      <c r="D73" s="631">
        <v>-121.54687</v>
      </c>
      <c r="E73" s="631" t="s">
        <v>8383</v>
      </c>
      <c r="F73" s="631" t="s">
        <v>46</v>
      </c>
      <c r="G73" s="631" t="s">
        <v>6939</v>
      </c>
      <c r="H73" s="239">
        <v>0.44027777777777777</v>
      </c>
      <c r="I73" s="43" t="s">
        <v>28</v>
      </c>
      <c r="J73" s="43" t="s">
        <v>4501</v>
      </c>
      <c r="K73" s="238" t="s">
        <v>8283</v>
      </c>
      <c r="L73" s="43">
        <v>2</v>
      </c>
      <c r="M73" s="43">
        <v>10</v>
      </c>
      <c r="N73" s="43" t="s">
        <v>49</v>
      </c>
      <c r="O73" s="43">
        <f>AVERAGE(18,17)</f>
        <v>17.5</v>
      </c>
      <c r="P73" s="42">
        <f>AVERAGE(122.3,122.4)</f>
        <v>122.35</v>
      </c>
      <c r="Q73" s="42">
        <f>AVERAGE(122.4,122.3)</f>
        <v>122.35</v>
      </c>
      <c r="R73" s="234">
        <v>1.155</v>
      </c>
      <c r="S73" s="234">
        <v>8.5749999999999993</v>
      </c>
      <c r="T73" s="234">
        <v>11.375</v>
      </c>
      <c r="U73" s="43" t="s">
        <v>50</v>
      </c>
      <c r="V73" s="240">
        <v>0</v>
      </c>
      <c r="W73" s="240" t="s">
        <v>50</v>
      </c>
      <c r="Y73" s="240" t="s">
        <v>6671</v>
      </c>
    </row>
    <row r="74" spans="1:25" x14ac:dyDescent="0.25">
      <c r="A74" s="44">
        <v>42871</v>
      </c>
      <c r="B74" s="631" t="s">
        <v>8296</v>
      </c>
      <c r="C74" s="631">
        <v>38.065640000000002</v>
      </c>
      <c r="D74" s="631">
        <v>-121.96544</v>
      </c>
      <c r="E74" s="631" t="s">
        <v>8384</v>
      </c>
      <c r="F74" s="631" t="s">
        <v>27</v>
      </c>
      <c r="G74" s="631" t="s">
        <v>170</v>
      </c>
      <c r="H74" s="239">
        <v>0.50486111111111109</v>
      </c>
      <c r="I74" s="43" t="s">
        <v>28</v>
      </c>
      <c r="J74" s="43" t="s">
        <v>4501</v>
      </c>
      <c r="K74" s="238" t="s">
        <v>8283</v>
      </c>
      <c r="L74" s="43">
        <v>2</v>
      </c>
      <c r="M74" s="43">
        <v>10</v>
      </c>
      <c r="N74" s="43" t="s">
        <v>49</v>
      </c>
      <c r="O74" s="43">
        <f>AVERAGE(12,15)</f>
        <v>13.5</v>
      </c>
      <c r="P74" s="42">
        <f>AVERAGE(97,94.1)</f>
        <v>95.55</v>
      </c>
      <c r="Q74" s="42">
        <f>AVERAGE(96.4,94.6)</f>
        <v>95.5</v>
      </c>
      <c r="R74" s="234">
        <v>0.59499999999999997</v>
      </c>
      <c r="S74" s="234">
        <v>27.8</v>
      </c>
      <c r="T74" s="234">
        <v>34.099999999999994</v>
      </c>
      <c r="U74" s="43" t="s">
        <v>323</v>
      </c>
      <c r="V74" s="240">
        <v>1</v>
      </c>
      <c r="W74" s="240">
        <v>10.5</v>
      </c>
      <c r="Y74" s="240" t="s">
        <v>6671</v>
      </c>
    </row>
    <row r="75" spans="1:25" x14ac:dyDescent="0.25">
      <c r="A75" s="44">
        <v>42872</v>
      </c>
      <c r="B75" s="631" t="s">
        <v>8291</v>
      </c>
      <c r="C75" s="631">
        <v>38.09843</v>
      </c>
      <c r="D75" s="631">
        <v>-121.58872</v>
      </c>
      <c r="E75" s="631" t="s">
        <v>8385</v>
      </c>
      <c r="F75" s="631" t="s">
        <v>46</v>
      </c>
      <c r="G75" s="631" t="s">
        <v>582</v>
      </c>
      <c r="H75" s="239">
        <v>0.48958333333333331</v>
      </c>
      <c r="I75" s="43" t="s">
        <v>28</v>
      </c>
      <c r="J75" s="43" t="s">
        <v>4501</v>
      </c>
      <c r="K75" s="238" t="s">
        <v>8283</v>
      </c>
      <c r="L75" s="43">
        <v>2</v>
      </c>
      <c r="M75" s="43">
        <v>10</v>
      </c>
      <c r="N75" s="43" t="s">
        <v>49</v>
      </c>
      <c r="O75" s="43">
        <f>AVERAGE(40,40)</f>
        <v>40</v>
      </c>
      <c r="P75" s="42">
        <f>AVERAGE(79.2,80.7)</f>
        <v>79.95</v>
      </c>
      <c r="Q75" s="42">
        <f>AVERAGE(76.4,78)</f>
        <v>77.2</v>
      </c>
      <c r="R75" s="234">
        <v>1.31</v>
      </c>
      <c r="S75" s="234">
        <v>8.26</v>
      </c>
      <c r="T75" s="234">
        <v>14.1</v>
      </c>
      <c r="U75" s="43" t="s">
        <v>50</v>
      </c>
      <c r="V75" s="240">
        <v>0</v>
      </c>
      <c r="W75" s="240" t="s">
        <v>50</v>
      </c>
      <c r="Y75" s="240" t="s">
        <v>6671</v>
      </c>
    </row>
    <row r="76" spans="1:25" x14ac:dyDescent="0.25">
      <c r="A76" s="44">
        <v>42872</v>
      </c>
      <c r="B76" s="631" t="s">
        <v>8291</v>
      </c>
      <c r="C76" s="631">
        <v>37.862879999999997</v>
      </c>
      <c r="D76" s="631">
        <v>-121.55198</v>
      </c>
      <c r="E76" s="631" t="s">
        <v>8386</v>
      </c>
      <c r="F76" s="631" t="s">
        <v>46</v>
      </c>
      <c r="G76" s="631" t="s">
        <v>202</v>
      </c>
      <c r="H76" s="239">
        <v>0.3611111111111111</v>
      </c>
      <c r="I76" s="43" t="s">
        <v>28</v>
      </c>
      <c r="J76" s="43" t="s">
        <v>4501</v>
      </c>
      <c r="K76" s="238" t="s">
        <v>8283</v>
      </c>
      <c r="L76" s="43">
        <v>2</v>
      </c>
      <c r="M76" s="43">
        <v>10</v>
      </c>
      <c r="N76" s="43" t="s">
        <v>49</v>
      </c>
      <c r="O76" s="43">
        <f>AVERAGE(15,15)</f>
        <v>15</v>
      </c>
      <c r="P76" s="42">
        <f>AVERAGE(73.5,73.6)</f>
        <v>73.55</v>
      </c>
      <c r="Q76" s="42">
        <f>AVERAGE(74.5,74.5)</f>
        <v>74.5</v>
      </c>
      <c r="R76" s="234">
        <v>0.65</v>
      </c>
      <c r="S76" s="234">
        <v>11.094999999999999</v>
      </c>
      <c r="T76" s="234">
        <v>13.5</v>
      </c>
      <c r="U76" s="43" t="s">
        <v>50</v>
      </c>
      <c r="V76" s="240">
        <v>0</v>
      </c>
      <c r="W76" s="240" t="s">
        <v>50</v>
      </c>
      <c r="Y76" s="240" t="s">
        <v>6671</v>
      </c>
    </row>
    <row r="77" spans="1:25" x14ac:dyDescent="0.25">
      <c r="A77" s="44">
        <v>42872</v>
      </c>
      <c r="B77" s="631" t="s">
        <v>8291</v>
      </c>
      <c r="C77" s="631">
        <v>37.819949999999999</v>
      </c>
      <c r="D77" s="631">
        <v>-121.52067</v>
      </c>
      <c r="E77" s="631" t="s">
        <v>8387</v>
      </c>
      <c r="F77" s="631" t="s">
        <v>46</v>
      </c>
      <c r="G77" s="631" t="s">
        <v>8388</v>
      </c>
      <c r="H77" s="239">
        <v>0.40208333333333335</v>
      </c>
      <c r="I77" s="43" t="s">
        <v>28</v>
      </c>
      <c r="J77" s="43" t="s">
        <v>4501</v>
      </c>
      <c r="K77" s="238" t="s">
        <v>8283</v>
      </c>
      <c r="L77" s="43">
        <v>2</v>
      </c>
      <c r="M77" s="43">
        <v>10</v>
      </c>
      <c r="N77" s="43" t="s">
        <v>49</v>
      </c>
      <c r="O77" s="43">
        <f>AVERAGE(17,17.5)</f>
        <v>17.25</v>
      </c>
      <c r="P77" s="42">
        <f>AVERAGE(71.6,70.9)</f>
        <v>71.25</v>
      </c>
      <c r="Q77" s="42">
        <f>AVERAGE(36,72.9)</f>
        <v>54.45</v>
      </c>
      <c r="R77" s="234">
        <v>0.65</v>
      </c>
      <c r="S77" s="234">
        <v>15.75</v>
      </c>
      <c r="T77" s="234">
        <v>16.799999999999997</v>
      </c>
      <c r="U77" s="43" t="s">
        <v>50</v>
      </c>
      <c r="V77" s="240">
        <v>0</v>
      </c>
      <c r="W77" s="240" t="s">
        <v>50</v>
      </c>
      <c r="Y77" s="240" t="s">
        <v>6671</v>
      </c>
    </row>
    <row r="78" spans="1:25" x14ac:dyDescent="0.25">
      <c r="A78" s="44">
        <v>42872</v>
      </c>
      <c r="B78" s="631" t="s">
        <v>8296</v>
      </c>
      <c r="C78" s="631">
        <v>38.052680000000002</v>
      </c>
      <c r="D78" s="631">
        <v>-121.79907</v>
      </c>
      <c r="E78" s="631" t="s">
        <v>8389</v>
      </c>
      <c r="F78" s="631" t="s">
        <v>27</v>
      </c>
      <c r="G78" s="631" t="s">
        <v>25</v>
      </c>
      <c r="H78" s="239">
        <v>0.50486111111111109</v>
      </c>
      <c r="I78" s="43" t="s">
        <v>28</v>
      </c>
      <c r="J78" s="43" t="s">
        <v>4501</v>
      </c>
      <c r="K78" s="238" t="s">
        <v>8283</v>
      </c>
      <c r="L78" s="43">
        <v>2</v>
      </c>
      <c r="M78" s="43">
        <v>10</v>
      </c>
      <c r="N78" s="43" t="s">
        <v>49</v>
      </c>
      <c r="O78" s="43">
        <f>AVERAGE(20,19)</f>
        <v>19.5</v>
      </c>
      <c r="P78" s="42">
        <f>AVERAGE(102,101.1)</f>
        <v>101.55</v>
      </c>
      <c r="Q78" s="42">
        <f>AVERAGE(96.3,95.9)</f>
        <v>96.1</v>
      </c>
      <c r="R78" s="234">
        <v>0.5</v>
      </c>
      <c r="S78" s="234">
        <v>27.7</v>
      </c>
      <c r="T78" s="234">
        <v>71.3</v>
      </c>
      <c r="U78" s="43" t="s">
        <v>50</v>
      </c>
      <c r="V78" s="240">
        <v>0</v>
      </c>
      <c r="W78" s="240" t="s">
        <v>50</v>
      </c>
      <c r="X78" s="35" t="s">
        <v>8390</v>
      </c>
      <c r="Y78" s="240" t="s">
        <v>6671</v>
      </c>
    </row>
    <row r="79" spans="1:25" x14ac:dyDescent="0.25">
      <c r="A79" s="44">
        <v>42872</v>
      </c>
      <c r="B79" s="631" t="s">
        <v>8296</v>
      </c>
      <c r="C79" s="631">
        <v>38.051870000000001</v>
      </c>
      <c r="D79" s="631">
        <v>-121.79985000000001</v>
      </c>
      <c r="E79" s="631" t="s">
        <v>8389</v>
      </c>
      <c r="F79" s="631" t="s">
        <v>27</v>
      </c>
      <c r="G79" s="631" t="s">
        <v>25</v>
      </c>
      <c r="H79" s="239">
        <v>0.50416666666666665</v>
      </c>
      <c r="I79" s="43" t="s">
        <v>28</v>
      </c>
      <c r="J79" s="43" t="s">
        <v>29</v>
      </c>
      <c r="K79" s="238" t="s">
        <v>8306</v>
      </c>
      <c r="L79" s="43">
        <v>2</v>
      </c>
      <c r="M79" s="43">
        <v>10</v>
      </c>
      <c r="N79" s="43" t="s">
        <v>64</v>
      </c>
      <c r="O79" s="43">
        <v>5</v>
      </c>
      <c r="P79" s="42">
        <f>AVERAGE(91.9,104.6)</f>
        <v>98.25</v>
      </c>
      <c r="Q79" s="42" t="s">
        <v>50</v>
      </c>
      <c r="R79" s="234">
        <v>0.39</v>
      </c>
      <c r="S79" s="234">
        <v>25.25</v>
      </c>
      <c r="T79" s="293" t="s">
        <v>50</v>
      </c>
      <c r="U79" s="43" t="s">
        <v>50</v>
      </c>
      <c r="V79" s="240">
        <v>0</v>
      </c>
      <c r="W79" s="240" t="s">
        <v>50</v>
      </c>
      <c r="X79" s="35" t="s">
        <v>8391</v>
      </c>
      <c r="Y79" s="240" t="s">
        <v>6671</v>
      </c>
    </row>
    <row r="80" spans="1:25" x14ac:dyDescent="0.25">
      <c r="A80" s="44">
        <v>42872</v>
      </c>
      <c r="B80" s="631" t="s">
        <v>8296</v>
      </c>
      <c r="C80" s="631">
        <v>38.122480000000003</v>
      </c>
      <c r="D80" s="631">
        <v>-121.70276</v>
      </c>
      <c r="E80" s="631" t="s">
        <v>8392</v>
      </c>
      <c r="F80" s="631" t="s">
        <v>90</v>
      </c>
      <c r="G80" s="631" t="s">
        <v>91</v>
      </c>
      <c r="H80" s="239">
        <v>0.36041666666666666</v>
      </c>
      <c r="I80" s="43" t="s">
        <v>28</v>
      </c>
      <c r="J80" s="43" t="s">
        <v>29</v>
      </c>
      <c r="K80" s="238" t="s">
        <v>8306</v>
      </c>
      <c r="L80" s="43">
        <v>2</v>
      </c>
      <c r="M80" s="43">
        <v>10</v>
      </c>
      <c r="N80" s="43" t="s">
        <v>49</v>
      </c>
      <c r="O80" s="43" t="s">
        <v>50</v>
      </c>
      <c r="P80" s="42">
        <f>AVERAGE(84.9,85.5)</f>
        <v>85.2</v>
      </c>
      <c r="Q80" s="43" t="s">
        <v>50</v>
      </c>
      <c r="R80" s="234">
        <v>0.89</v>
      </c>
      <c r="S80" s="234">
        <v>10.475000000000001</v>
      </c>
      <c r="T80" s="43" t="s">
        <v>50</v>
      </c>
      <c r="U80" s="43" t="s">
        <v>50</v>
      </c>
      <c r="V80" s="43">
        <v>0</v>
      </c>
      <c r="W80" s="43" t="s">
        <v>50</v>
      </c>
      <c r="X80" s="35" t="s">
        <v>8393</v>
      </c>
      <c r="Y80" s="240" t="s">
        <v>6671</v>
      </c>
    </row>
    <row r="81" spans="1:25" x14ac:dyDescent="0.25">
      <c r="A81" s="44">
        <v>42872</v>
      </c>
      <c r="B81" s="631" t="s">
        <v>8296</v>
      </c>
      <c r="C81" s="631">
        <v>38.119700000000002</v>
      </c>
      <c r="D81" s="631">
        <v>-121.69673</v>
      </c>
      <c r="E81" s="631" t="s">
        <v>8392</v>
      </c>
      <c r="F81" s="631" t="s">
        <v>90</v>
      </c>
      <c r="G81" s="631" t="s">
        <v>91</v>
      </c>
      <c r="H81" s="239">
        <v>0.38263888888888892</v>
      </c>
      <c r="I81" s="43" t="s">
        <v>28</v>
      </c>
      <c r="J81" s="43" t="s">
        <v>4501</v>
      </c>
      <c r="K81" s="238" t="s">
        <v>8283</v>
      </c>
      <c r="L81" s="43">
        <v>2</v>
      </c>
      <c r="M81" s="43">
        <v>10</v>
      </c>
      <c r="N81" s="43" t="s">
        <v>49</v>
      </c>
      <c r="O81" s="43">
        <f>AVERAGE(14,12)</f>
        <v>13</v>
      </c>
      <c r="P81" s="42">
        <f>AVERAGE(90,92.3)</f>
        <v>91.15</v>
      </c>
      <c r="Q81" s="42">
        <f>AVERAGE(89.8,80.7)</f>
        <v>85.25</v>
      </c>
      <c r="R81" s="234">
        <v>0.98</v>
      </c>
      <c r="S81" s="234">
        <v>9.870000000000001</v>
      </c>
      <c r="T81" s="234">
        <v>20</v>
      </c>
      <c r="U81" s="43" t="s">
        <v>50</v>
      </c>
      <c r="V81" s="43">
        <v>0</v>
      </c>
      <c r="W81" s="43" t="s">
        <v>50</v>
      </c>
      <c r="X81" s="35" t="s">
        <v>8394</v>
      </c>
      <c r="Y81" s="235" t="s">
        <v>6671</v>
      </c>
    </row>
    <row r="82" spans="1:25" x14ac:dyDescent="0.25">
      <c r="A82" s="44">
        <v>42872</v>
      </c>
      <c r="B82" s="631" t="s">
        <v>8296</v>
      </c>
      <c r="C82" s="631">
        <v>38.095730000000003</v>
      </c>
      <c r="D82" s="631">
        <v>-122.02321000000001</v>
      </c>
      <c r="E82" s="631" t="s">
        <v>8395</v>
      </c>
      <c r="F82" s="631" t="s">
        <v>27</v>
      </c>
      <c r="G82" s="631" t="s">
        <v>8396</v>
      </c>
      <c r="H82" s="239">
        <v>0.4513888888888889</v>
      </c>
      <c r="I82" s="43" t="s">
        <v>28</v>
      </c>
      <c r="J82" s="43" t="s">
        <v>4501</v>
      </c>
      <c r="K82" s="238" t="s">
        <v>8283</v>
      </c>
      <c r="L82" s="43">
        <v>2</v>
      </c>
      <c r="M82" s="43">
        <v>10</v>
      </c>
      <c r="N82" s="43" t="s">
        <v>49</v>
      </c>
      <c r="O82" s="43">
        <f>AVERAGE(29,32)</f>
        <v>30.5</v>
      </c>
      <c r="P82" s="42">
        <f>AVERAGE(112.9,112.4)</f>
        <v>112.65</v>
      </c>
      <c r="Q82" s="42">
        <f>AVERAGE(112,113)</f>
        <v>112.5</v>
      </c>
      <c r="R82" s="234">
        <v>0.53500000000000003</v>
      </c>
      <c r="S82" s="234">
        <v>32.15</v>
      </c>
      <c r="T82" s="234">
        <v>58.2</v>
      </c>
      <c r="U82" s="43" t="s">
        <v>50</v>
      </c>
      <c r="V82" s="45">
        <v>0</v>
      </c>
      <c r="W82" s="45" t="s">
        <v>50</v>
      </c>
      <c r="Y82" s="40" t="s">
        <v>6671</v>
      </c>
    </row>
    <row r="83" spans="1:25" x14ac:dyDescent="0.25">
      <c r="A83" s="44">
        <v>42872</v>
      </c>
      <c r="B83" s="631" t="s">
        <v>8291</v>
      </c>
      <c r="C83" s="631">
        <v>38.04092</v>
      </c>
      <c r="D83" s="631">
        <v>-121.59408999999999</v>
      </c>
      <c r="E83" s="631" t="s">
        <v>8397</v>
      </c>
      <c r="F83" s="631" t="s">
        <v>46</v>
      </c>
      <c r="G83" s="631" t="s">
        <v>47</v>
      </c>
      <c r="H83" s="239">
        <v>0.4680555555555555</v>
      </c>
      <c r="I83" s="43" t="s">
        <v>28</v>
      </c>
      <c r="J83" s="43" t="s">
        <v>4501</v>
      </c>
      <c r="K83" s="238" t="s">
        <v>8283</v>
      </c>
      <c r="L83" s="43">
        <v>0</v>
      </c>
      <c r="M83" s="43">
        <v>0</v>
      </c>
      <c r="N83" s="43" t="s">
        <v>50</v>
      </c>
      <c r="O83" s="43" t="s">
        <v>50</v>
      </c>
      <c r="P83" s="43" t="s">
        <v>50</v>
      </c>
      <c r="Q83" s="43" t="s">
        <v>50</v>
      </c>
      <c r="R83" s="43" t="s">
        <v>50</v>
      </c>
      <c r="S83" s="43" t="s">
        <v>50</v>
      </c>
      <c r="T83" s="43" t="s">
        <v>50</v>
      </c>
      <c r="U83" s="43" t="s">
        <v>50</v>
      </c>
      <c r="V83" s="43" t="s">
        <v>50</v>
      </c>
      <c r="W83" s="43" t="s">
        <v>50</v>
      </c>
      <c r="X83" s="35" t="s">
        <v>8398</v>
      </c>
      <c r="Y83" s="34" t="s">
        <v>6671</v>
      </c>
    </row>
    <row r="84" spans="1:25" x14ac:dyDescent="0.25">
      <c r="A84" s="44">
        <v>42877</v>
      </c>
      <c r="B84" s="631" t="s">
        <v>8291</v>
      </c>
      <c r="C84" s="631">
        <v>37.938519999999997</v>
      </c>
      <c r="D84" s="631">
        <v>-121.55295</v>
      </c>
      <c r="E84" s="631" t="s">
        <v>8399</v>
      </c>
      <c r="F84" s="631" t="s">
        <v>46</v>
      </c>
      <c r="G84" s="631" t="s">
        <v>199</v>
      </c>
      <c r="H84" s="239">
        <v>0.34027777777777773</v>
      </c>
      <c r="I84" s="43" t="s">
        <v>4500</v>
      </c>
      <c r="J84" s="43" t="s">
        <v>4501</v>
      </c>
      <c r="K84" s="238" t="s">
        <v>8283</v>
      </c>
      <c r="L84" s="43">
        <v>2</v>
      </c>
      <c r="M84" s="43">
        <v>10</v>
      </c>
      <c r="N84" s="43" t="s">
        <v>49</v>
      </c>
      <c r="O84" s="43">
        <v>11</v>
      </c>
      <c r="P84" s="42">
        <f>AVERAGE(107.2,107.1)</f>
        <v>107.15</v>
      </c>
      <c r="Q84" s="42">
        <f>AVERAGE(109.3,108.2)</f>
        <v>108.75</v>
      </c>
      <c r="R84" s="234">
        <v>0.66999999999999993</v>
      </c>
      <c r="S84" s="234">
        <v>18.7</v>
      </c>
      <c r="T84" s="234">
        <v>56.65</v>
      </c>
      <c r="U84" s="43" t="s">
        <v>50</v>
      </c>
      <c r="V84" s="240">
        <v>0</v>
      </c>
      <c r="W84" s="240" t="s">
        <v>50</v>
      </c>
      <c r="Y84" s="235" t="s">
        <v>6671</v>
      </c>
    </row>
    <row r="85" spans="1:25" x14ac:dyDescent="0.25">
      <c r="A85" s="44">
        <v>42877</v>
      </c>
      <c r="B85" s="631" t="s">
        <v>8291</v>
      </c>
      <c r="C85" s="631">
        <v>38.084470000000003</v>
      </c>
      <c r="D85" s="631">
        <v>-121.64568</v>
      </c>
      <c r="E85" s="631" t="s">
        <v>8400</v>
      </c>
      <c r="F85" s="631" t="s">
        <v>46</v>
      </c>
      <c r="G85" s="631" t="s">
        <v>47</v>
      </c>
      <c r="H85" s="239">
        <v>0.40763888888888888</v>
      </c>
      <c r="I85" s="43" t="s">
        <v>4500</v>
      </c>
      <c r="J85" s="43" t="s">
        <v>4501</v>
      </c>
      <c r="K85" s="238" t="s">
        <v>8283</v>
      </c>
      <c r="L85" s="43">
        <v>2</v>
      </c>
      <c r="M85" s="43">
        <v>10</v>
      </c>
      <c r="N85" s="43" t="s">
        <v>49</v>
      </c>
      <c r="O85" s="43">
        <f>AVERAGE(26.7,25)</f>
        <v>25.85</v>
      </c>
      <c r="P85" s="42">
        <f>AVERAGE(93.6,95.3)</f>
        <v>94.449999999999989</v>
      </c>
      <c r="Q85" s="42">
        <f>AVERAGE(109.2,95.3)</f>
        <v>102.25</v>
      </c>
      <c r="R85" s="234">
        <v>0.77500000000000002</v>
      </c>
      <c r="S85" s="234">
        <v>18.399999999999999</v>
      </c>
      <c r="T85" s="234">
        <v>83.9</v>
      </c>
      <c r="U85" s="43" t="s">
        <v>50</v>
      </c>
      <c r="V85" s="240">
        <v>0</v>
      </c>
      <c r="W85" s="240" t="s">
        <v>50</v>
      </c>
      <c r="Y85" s="235" t="s">
        <v>6671</v>
      </c>
    </row>
    <row r="86" spans="1:25" x14ac:dyDescent="0.25">
      <c r="A86" s="44">
        <v>42877</v>
      </c>
      <c r="B86" s="631" t="s">
        <v>8291</v>
      </c>
      <c r="C86" s="631">
        <v>38.054470000000002</v>
      </c>
      <c r="D86" s="631">
        <v>-121.52315</v>
      </c>
      <c r="E86" s="631" t="s">
        <v>8401</v>
      </c>
      <c r="F86" s="631" t="s">
        <v>46</v>
      </c>
      <c r="G86" s="631" t="s">
        <v>582</v>
      </c>
      <c r="H86" s="239">
        <v>0.45763888888888887</v>
      </c>
      <c r="I86" s="43" t="s">
        <v>4500</v>
      </c>
      <c r="J86" s="43" t="s">
        <v>4501</v>
      </c>
      <c r="K86" s="238" t="s">
        <v>8283</v>
      </c>
      <c r="L86" s="43">
        <v>2</v>
      </c>
      <c r="M86" s="43">
        <v>10</v>
      </c>
      <c r="N86" s="43" t="s">
        <v>49</v>
      </c>
      <c r="O86" s="43">
        <v>17</v>
      </c>
      <c r="P86" s="42">
        <f>AVERAGE(109.1,112)</f>
        <v>110.55</v>
      </c>
      <c r="Q86" s="42">
        <f>AVERAGE(112.3,109.7)</f>
        <v>111</v>
      </c>
      <c r="R86" s="234">
        <v>0.66999999999999993</v>
      </c>
      <c r="S86" s="234">
        <v>18.7</v>
      </c>
      <c r="T86" s="234">
        <v>56.65</v>
      </c>
      <c r="U86" s="43" t="s">
        <v>50</v>
      </c>
      <c r="V86" s="240">
        <v>0</v>
      </c>
      <c r="W86" s="240" t="s">
        <v>50</v>
      </c>
      <c r="X86" s="5" t="s">
        <v>8402</v>
      </c>
      <c r="Y86" s="235" t="s">
        <v>6671</v>
      </c>
    </row>
    <row r="87" spans="1:25" x14ac:dyDescent="0.25">
      <c r="A87" s="44">
        <v>42877</v>
      </c>
      <c r="B87" s="631" t="s">
        <v>8285</v>
      </c>
      <c r="C87" s="631">
        <v>38.047800000000002</v>
      </c>
      <c r="D87" s="631">
        <v>-122.32315</v>
      </c>
      <c r="E87" s="631" t="s">
        <v>8403</v>
      </c>
      <c r="F87" s="631" t="s">
        <v>80</v>
      </c>
      <c r="G87" s="631" t="s">
        <v>123</v>
      </c>
      <c r="H87" s="239">
        <v>0.3972222222222222</v>
      </c>
      <c r="I87" s="43" t="s">
        <v>4500</v>
      </c>
      <c r="J87" s="43" t="s">
        <v>4501</v>
      </c>
      <c r="K87" s="238" t="s">
        <v>8283</v>
      </c>
      <c r="L87" s="43">
        <v>2</v>
      </c>
      <c r="M87" s="43">
        <v>10</v>
      </c>
      <c r="N87" s="43" t="s">
        <v>64</v>
      </c>
      <c r="O87" s="43">
        <f>AVERAGE(31.5,32.1)</f>
        <v>31.8</v>
      </c>
      <c r="P87" s="42">
        <f>AVERAGE(13567,13517)</f>
        <v>13542</v>
      </c>
      <c r="Q87" s="42">
        <f>AVERAGE(25593,26272)</f>
        <v>25932.5</v>
      </c>
      <c r="R87" s="234">
        <v>0.70499999999999996</v>
      </c>
      <c r="S87" s="234">
        <v>31.3</v>
      </c>
      <c r="T87" s="234">
        <v>129.5</v>
      </c>
      <c r="U87" s="43" t="s">
        <v>31</v>
      </c>
      <c r="V87" s="43">
        <v>1</v>
      </c>
      <c r="W87" s="43">
        <v>37</v>
      </c>
      <c r="Y87" s="235" t="s">
        <v>6671</v>
      </c>
    </row>
    <row r="88" spans="1:25" x14ac:dyDescent="0.25">
      <c r="A88" s="44">
        <v>42877</v>
      </c>
      <c r="B88" s="631" t="s">
        <v>8285</v>
      </c>
      <c r="C88" s="631">
        <v>38.042380000000001</v>
      </c>
      <c r="D88" s="631">
        <v>-122.17127000000001</v>
      </c>
      <c r="E88" s="631" t="s">
        <v>8404</v>
      </c>
      <c r="F88" s="631" t="s">
        <v>80</v>
      </c>
      <c r="G88" s="631" t="s">
        <v>120</v>
      </c>
      <c r="H88" s="239">
        <v>0.44722222222222219</v>
      </c>
      <c r="I88" s="43" t="s">
        <v>4500</v>
      </c>
      <c r="J88" s="43" t="s">
        <v>4501</v>
      </c>
      <c r="K88" s="238" t="s">
        <v>8283</v>
      </c>
      <c r="L88" s="43">
        <v>2</v>
      </c>
      <c r="M88" s="43">
        <v>10</v>
      </c>
      <c r="N88" s="43" t="s">
        <v>64</v>
      </c>
      <c r="O88" s="43">
        <f>AVERAGE(80.9,79.5)</f>
        <v>80.2</v>
      </c>
      <c r="P88" s="42">
        <f>AVERAGE(5700,5935)</f>
        <v>5817.5</v>
      </c>
      <c r="Q88" s="42">
        <f>AVERAGE(9615,15194)</f>
        <v>12404.5</v>
      </c>
      <c r="R88" s="234">
        <v>0.61</v>
      </c>
      <c r="S88" s="234">
        <v>59.2</v>
      </c>
      <c r="T88" s="234">
        <v>112.8</v>
      </c>
      <c r="U88" s="43" t="s">
        <v>31</v>
      </c>
      <c r="V88" s="45">
        <v>1</v>
      </c>
      <c r="W88" s="45">
        <v>29</v>
      </c>
      <c r="Y88" s="40" t="s">
        <v>6671</v>
      </c>
    </row>
    <row r="89" spans="1:25" x14ac:dyDescent="0.25">
      <c r="A89" s="44">
        <v>42877</v>
      </c>
      <c r="B89" s="631" t="s">
        <v>8285</v>
      </c>
      <c r="C89" s="631">
        <v>38.035789999999999</v>
      </c>
      <c r="D89" s="631">
        <v>-122.15365</v>
      </c>
      <c r="E89" s="631" t="s">
        <v>8405</v>
      </c>
      <c r="F89" s="631" t="s">
        <v>80</v>
      </c>
      <c r="G89" s="631" t="s">
        <v>120</v>
      </c>
      <c r="H89" s="239">
        <v>0.4993055555555555</v>
      </c>
      <c r="I89" s="43" t="s">
        <v>4500</v>
      </c>
      <c r="J89" s="43" t="s">
        <v>4501</v>
      </c>
      <c r="K89" s="238" t="s">
        <v>8283</v>
      </c>
      <c r="L89" s="43">
        <v>2</v>
      </c>
      <c r="M89" s="43">
        <v>10</v>
      </c>
      <c r="N89" s="43" t="s">
        <v>64</v>
      </c>
      <c r="O89" s="43">
        <f>AVERAGE(29.8,33.7)</f>
        <v>31.75</v>
      </c>
      <c r="P89" s="42">
        <f>AVERAGE(5948,6253)</f>
        <v>6100.5</v>
      </c>
      <c r="Q89" s="42">
        <f>AVERAGE(13554,13655)</f>
        <v>13604.5</v>
      </c>
      <c r="R89" s="234">
        <v>0.54499999999999993</v>
      </c>
      <c r="S89" s="234">
        <v>20.549999999999997</v>
      </c>
      <c r="T89" s="234">
        <v>32.25</v>
      </c>
      <c r="U89" s="43" t="s">
        <v>31</v>
      </c>
      <c r="V89" s="240">
        <v>1</v>
      </c>
      <c r="W89" s="240">
        <v>30</v>
      </c>
      <c r="Y89" s="240" t="s">
        <v>6671</v>
      </c>
    </row>
    <row r="90" spans="1:25" x14ac:dyDescent="0.25">
      <c r="A90" s="44">
        <v>42878</v>
      </c>
      <c r="B90" s="631" t="s">
        <v>8291</v>
      </c>
      <c r="C90" s="631">
        <v>38.053460000000001</v>
      </c>
      <c r="D90" s="631">
        <v>-121.46427</v>
      </c>
      <c r="E90" s="631" t="s">
        <v>8406</v>
      </c>
      <c r="F90" s="631" t="s">
        <v>46</v>
      </c>
      <c r="G90" s="631" t="s">
        <v>6883</v>
      </c>
      <c r="H90" s="239">
        <v>0.32083333333333336</v>
      </c>
      <c r="I90" s="43" t="s">
        <v>4500</v>
      </c>
      <c r="J90" s="43" t="s">
        <v>4501</v>
      </c>
      <c r="K90" s="238" t="s">
        <v>8283</v>
      </c>
      <c r="L90" s="43">
        <v>2</v>
      </c>
      <c r="M90" s="43">
        <v>10</v>
      </c>
      <c r="N90" s="43" t="s">
        <v>49</v>
      </c>
      <c r="O90" s="43">
        <v>17.5</v>
      </c>
      <c r="P90" s="42">
        <f>AVERAGE(111.7,111.1)</f>
        <v>111.4</v>
      </c>
      <c r="Q90" s="42">
        <f>AVERAGE(116.5,116.3)</f>
        <v>116.4</v>
      </c>
      <c r="R90" s="234">
        <v>1.27</v>
      </c>
      <c r="S90" s="234">
        <v>4.99</v>
      </c>
      <c r="T90" s="234">
        <v>8.5749999999999993</v>
      </c>
      <c r="U90" s="43" t="s">
        <v>50</v>
      </c>
      <c r="V90" s="240">
        <v>0</v>
      </c>
      <c r="W90" s="240" t="s">
        <v>50</v>
      </c>
      <c r="Y90" s="240" t="s">
        <v>6671</v>
      </c>
    </row>
    <row r="91" spans="1:25" x14ac:dyDescent="0.25">
      <c r="A91" s="44">
        <v>42878</v>
      </c>
      <c r="B91" s="631" t="s">
        <v>8291</v>
      </c>
      <c r="C91" s="631">
        <v>38.105409999999999</v>
      </c>
      <c r="D91" s="631">
        <v>-121.60648</v>
      </c>
      <c r="E91" s="631" t="s">
        <v>8407</v>
      </c>
      <c r="F91" s="631" t="s">
        <v>46</v>
      </c>
      <c r="G91" s="631" t="s">
        <v>97</v>
      </c>
      <c r="H91" s="239">
        <v>0.4458333333333333</v>
      </c>
      <c r="I91" s="43" t="s">
        <v>4500</v>
      </c>
      <c r="J91" s="43" t="s">
        <v>4501</v>
      </c>
      <c r="K91" s="238" t="s">
        <v>8283</v>
      </c>
      <c r="L91" s="43">
        <v>2</v>
      </c>
      <c r="M91" s="43">
        <v>10</v>
      </c>
      <c r="N91" s="43" t="s">
        <v>49</v>
      </c>
      <c r="O91" s="43">
        <v>26</v>
      </c>
      <c r="P91" s="42">
        <f>AVERAGE(88.7,90.5)</f>
        <v>89.6</v>
      </c>
      <c r="Q91" s="42">
        <f>AVERAGE(88.2,83)</f>
        <v>85.6</v>
      </c>
      <c r="R91" s="234">
        <v>1.19</v>
      </c>
      <c r="S91" s="234">
        <v>8.6149999999999984</v>
      </c>
      <c r="T91" s="234">
        <v>12.350000000000001</v>
      </c>
      <c r="U91" s="43" t="s">
        <v>50</v>
      </c>
      <c r="V91" s="240">
        <v>0</v>
      </c>
      <c r="W91" s="240" t="s">
        <v>50</v>
      </c>
      <c r="Y91" s="235" t="s">
        <v>6671</v>
      </c>
    </row>
    <row r="92" spans="1:25" x14ac:dyDescent="0.25">
      <c r="A92" s="44">
        <v>42878</v>
      </c>
      <c r="B92" s="631" t="s">
        <v>8296</v>
      </c>
      <c r="C92" s="631">
        <v>38.283880000000003</v>
      </c>
      <c r="D92" s="631">
        <v>-121.71635000000001</v>
      </c>
      <c r="E92" s="631" t="s">
        <v>8408</v>
      </c>
      <c r="F92" s="631" t="s">
        <v>90</v>
      </c>
      <c r="G92" s="631" t="s">
        <v>126</v>
      </c>
      <c r="H92" s="239">
        <v>0.47430555555555554</v>
      </c>
      <c r="I92" s="43" t="s">
        <v>4500</v>
      </c>
      <c r="J92" s="43" t="s">
        <v>4501</v>
      </c>
      <c r="K92" s="238" t="s">
        <v>8283</v>
      </c>
      <c r="L92" s="43">
        <v>2</v>
      </c>
      <c r="M92" s="43">
        <v>10</v>
      </c>
      <c r="N92" s="43" t="s">
        <v>64</v>
      </c>
      <c r="O92" s="43">
        <f>AVERAGE(14.6,12.4)</f>
        <v>13.5</v>
      </c>
      <c r="P92" s="42">
        <f>AVERAGE(265.8,275.4)</f>
        <v>270.60000000000002</v>
      </c>
      <c r="Q92" s="42">
        <f>AVERAGE(267.8,271.4)</f>
        <v>269.60000000000002</v>
      </c>
      <c r="R92" s="234">
        <v>0.59</v>
      </c>
      <c r="S92" s="234">
        <v>20.45</v>
      </c>
      <c r="T92" s="234">
        <v>32</v>
      </c>
      <c r="U92" s="43" t="s">
        <v>50</v>
      </c>
      <c r="V92" s="240">
        <v>0</v>
      </c>
      <c r="W92" s="240" t="s">
        <v>50</v>
      </c>
      <c r="Y92" s="240" t="s">
        <v>6671</v>
      </c>
    </row>
    <row r="93" spans="1:25" x14ac:dyDescent="0.25">
      <c r="A93" s="44">
        <v>42878</v>
      </c>
      <c r="B93" s="631" t="s">
        <v>8291</v>
      </c>
      <c r="C93" s="631">
        <v>37.950069999999997</v>
      </c>
      <c r="D93" s="631">
        <v>-121.44861</v>
      </c>
      <c r="E93" s="631" t="s">
        <v>8409</v>
      </c>
      <c r="F93" s="631" t="s">
        <v>46</v>
      </c>
      <c r="G93" s="631" t="s">
        <v>6939</v>
      </c>
      <c r="H93" s="239">
        <v>0.38125000000000003</v>
      </c>
      <c r="I93" s="43" t="s">
        <v>4500</v>
      </c>
      <c r="J93" s="43" t="s">
        <v>4501</v>
      </c>
      <c r="K93" s="238" t="s">
        <v>8283</v>
      </c>
      <c r="L93" s="43">
        <v>2</v>
      </c>
      <c r="M93" s="43">
        <v>10</v>
      </c>
      <c r="N93" s="43" t="s">
        <v>64</v>
      </c>
      <c r="O93" s="43">
        <v>15.5</v>
      </c>
      <c r="P93" s="42">
        <f>AVERAGE(427.8,430.2)</f>
        <v>429</v>
      </c>
      <c r="Q93" s="42">
        <f>AVERAGE(427.1,428.2)</f>
        <v>427.65</v>
      </c>
      <c r="R93" s="234">
        <v>1.2250000000000001</v>
      </c>
      <c r="S93" s="234">
        <v>7.0350000000000001</v>
      </c>
      <c r="T93" s="234">
        <v>27.794999999999998</v>
      </c>
      <c r="U93" s="43" t="s">
        <v>50</v>
      </c>
      <c r="V93" s="240">
        <v>0</v>
      </c>
      <c r="W93" s="240" t="s">
        <v>50</v>
      </c>
      <c r="Y93" s="34" t="s">
        <v>6671</v>
      </c>
    </row>
    <row r="94" spans="1:25" x14ac:dyDescent="0.25">
      <c r="A94" s="44">
        <v>42878</v>
      </c>
      <c r="B94" s="631" t="s">
        <v>8296</v>
      </c>
      <c r="C94" s="631">
        <v>38.08567</v>
      </c>
      <c r="D94" s="631">
        <v>-121.74263999999999</v>
      </c>
      <c r="E94" s="631" t="s">
        <v>8410</v>
      </c>
      <c r="F94" s="631" t="s">
        <v>27</v>
      </c>
      <c r="G94" s="631" t="s">
        <v>25</v>
      </c>
      <c r="H94" s="239">
        <v>0.53125</v>
      </c>
      <c r="I94" s="43" t="s">
        <v>4500</v>
      </c>
      <c r="J94" s="43" t="s">
        <v>4501</v>
      </c>
      <c r="K94" s="238" t="s">
        <v>8283</v>
      </c>
      <c r="L94" s="43">
        <v>2</v>
      </c>
      <c r="M94" s="43">
        <v>10</v>
      </c>
      <c r="N94" s="43" t="s">
        <v>64</v>
      </c>
      <c r="O94" s="43">
        <f>AVERAGE(30,31.7)</f>
        <v>30.85</v>
      </c>
      <c r="P94" s="42">
        <f>AVERAGE(92.8,93.6)</f>
        <v>93.199999999999989</v>
      </c>
      <c r="Q94" s="42">
        <f>AVERAGE(91.3,92)</f>
        <v>91.65</v>
      </c>
      <c r="R94" s="234">
        <v>0.84499999999999997</v>
      </c>
      <c r="S94" s="234">
        <v>13.149999999999999</v>
      </c>
      <c r="T94" s="234">
        <v>18.8</v>
      </c>
      <c r="U94" s="43" t="s">
        <v>50</v>
      </c>
      <c r="V94" s="240">
        <v>0</v>
      </c>
      <c r="W94" s="240" t="s">
        <v>50</v>
      </c>
      <c r="Y94" s="34" t="s">
        <v>6671</v>
      </c>
    </row>
    <row r="95" spans="1:25" x14ac:dyDescent="0.25">
      <c r="A95" s="44">
        <v>42878</v>
      </c>
      <c r="B95" s="631" t="s">
        <v>8296</v>
      </c>
      <c r="C95" s="631">
        <v>38.050989999999999</v>
      </c>
      <c r="D95" s="631">
        <v>-121.93071999999999</v>
      </c>
      <c r="E95" s="631" t="s">
        <v>8411</v>
      </c>
      <c r="F95" s="631" t="s">
        <v>27</v>
      </c>
      <c r="G95" s="631" t="s">
        <v>170</v>
      </c>
      <c r="H95" s="239">
        <v>0.3923611111111111</v>
      </c>
      <c r="I95" s="43" t="s">
        <v>4500</v>
      </c>
      <c r="J95" s="43" t="s">
        <v>4501</v>
      </c>
      <c r="K95" s="238" t="s">
        <v>8283</v>
      </c>
      <c r="L95" s="43">
        <v>2</v>
      </c>
      <c r="M95" s="43">
        <v>10</v>
      </c>
      <c r="N95" s="43" t="s">
        <v>49</v>
      </c>
      <c r="O95" s="43">
        <f>AVERAGE(44.6,43.1)</f>
        <v>43.85</v>
      </c>
      <c r="P95" s="42">
        <f>AVERAGE(97.6,95.6)</f>
        <v>96.6</v>
      </c>
      <c r="Q95" s="42">
        <f>AVERAGE(101.3,98.2)</f>
        <v>99.75</v>
      </c>
      <c r="R95" s="234">
        <v>0.6399999999999999</v>
      </c>
      <c r="S95" s="234">
        <v>19.8</v>
      </c>
      <c r="T95" s="234">
        <v>22.45</v>
      </c>
      <c r="U95" s="43" t="s">
        <v>50</v>
      </c>
      <c r="V95" s="240">
        <v>0</v>
      </c>
      <c r="W95" s="240" t="s">
        <v>50</v>
      </c>
      <c r="Y95" s="34" t="s">
        <v>6671</v>
      </c>
    </row>
    <row r="96" spans="1:25" x14ac:dyDescent="0.25">
      <c r="A96" s="44">
        <v>42879</v>
      </c>
      <c r="B96" s="631" t="s">
        <v>8296</v>
      </c>
      <c r="C96" s="631">
        <v>38.019660000000002</v>
      </c>
      <c r="D96" s="631">
        <v>-121.77939000000001</v>
      </c>
      <c r="E96" s="631" t="s">
        <v>8412</v>
      </c>
      <c r="F96" s="631" t="s">
        <v>27</v>
      </c>
      <c r="G96" s="631" t="s">
        <v>95</v>
      </c>
      <c r="H96" s="239">
        <v>0.36805555555555558</v>
      </c>
      <c r="I96" s="43" t="s">
        <v>4500</v>
      </c>
      <c r="J96" s="43" t="s">
        <v>4501</v>
      </c>
      <c r="K96" s="238" t="s">
        <v>8283</v>
      </c>
      <c r="L96" s="43">
        <v>2</v>
      </c>
      <c r="M96" s="43">
        <v>10</v>
      </c>
      <c r="N96" s="43" t="s">
        <v>49</v>
      </c>
      <c r="O96" s="43">
        <v>10</v>
      </c>
      <c r="P96" s="42">
        <f>AVERAGE(111.2,97)</f>
        <v>104.1</v>
      </c>
      <c r="Q96" s="42">
        <f>AVERAGE(111.4,110.9)</f>
        <v>111.15</v>
      </c>
      <c r="R96" s="234">
        <v>0.745</v>
      </c>
      <c r="S96" s="234">
        <v>16.649999999999999</v>
      </c>
      <c r="T96" s="234">
        <v>16.7</v>
      </c>
      <c r="U96" s="43" t="s">
        <v>50</v>
      </c>
      <c r="V96" s="240">
        <v>0</v>
      </c>
      <c r="W96" s="240" t="s">
        <v>50</v>
      </c>
      <c r="X96" s="5" t="s">
        <v>8413</v>
      </c>
      <c r="Y96" s="235" t="s">
        <v>6671</v>
      </c>
    </row>
    <row r="97" spans="1:25" x14ac:dyDescent="0.25">
      <c r="A97" s="44">
        <v>42879</v>
      </c>
      <c r="B97" s="631" t="s">
        <v>8296</v>
      </c>
      <c r="C97" s="631">
        <v>38.018979999999999</v>
      </c>
      <c r="D97" s="631">
        <v>-121.78046000000001</v>
      </c>
      <c r="E97" s="631" t="s">
        <v>8412</v>
      </c>
      <c r="F97" s="631" t="s">
        <v>27</v>
      </c>
      <c r="G97" s="631" t="s">
        <v>95</v>
      </c>
      <c r="H97" s="239">
        <v>0.36805555555555558</v>
      </c>
      <c r="I97" s="43" t="s">
        <v>4500</v>
      </c>
      <c r="J97" s="43" t="s">
        <v>29</v>
      </c>
      <c r="K97" s="238" t="s">
        <v>8306</v>
      </c>
      <c r="L97" s="43">
        <v>2</v>
      </c>
      <c r="M97" s="43">
        <v>10</v>
      </c>
      <c r="N97" s="43" t="s">
        <v>49</v>
      </c>
      <c r="O97" s="43">
        <f>AVERAGE(5.4,4.5)</f>
        <v>4.95</v>
      </c>
      <c r="P97" s="42">
        <f>AVERAGE(101.8,103.3)</f>
        <v>102.55</v>
      </c>
      <c r="Q97" s="43" t="s">
        <v>50</v>
      </c>
      <c r="R97" s="234">
        <v>0.7</v>
      </c>
      <c r="S97" s="234">
        <v>17.149999999999999</v>
      </c>
      <c r="T97" s="293" t="s">
        <v>50</v>
      </c>
      <c r="U97" s="43" t="s">
        <v>50</v>
      </c>
      <c r="V97" s="240">
        <v>0</v>
      </c>
      <c r="W97" s="240" t="s">
        <v>50</v>
      </c>
      <c r="X97" s="5" t="s">
        <v>8414</v>
      </c>
      <c r="Y97" s="235" t="s">
        <v>6671</v>
      </c>
    </row>
    <row r="98" spans="1:25" x14ac:dyDescent="0.25">
      <c r="A98" s="44">
        <v>42879</v>
      </c>
      <c r="B98" s="631" t="s">
        <v>8296</v>
      </c>
      <c r="C98" s="631">
        <v>38.09384</v>
      </c>
      <c r="D98" s="631">
        <v>-122.06175</v>
      </c>
      <c r="E98" s="631" t="s">
        <v>8415</v>
      </c>
      <c r="F98" s="631" t="s">
        <v>27</v>
      </c>
      <c r="G98" s="631" t="s">
        <v>86</v>
      </c>
      <c r="H98" s="239">
        <v>0.48472222222222222</v>
      </c>
      <c r="I98" s="43" t="s">
        <v>4500</v>
      </c>
      <c r="J98" s="43" t="s">
        <v>4501</v>
      </c>
      <c r="K98" s="238" t="s">
        <v>8283</v>
      </c>
      <c r="L98" s="43">
        <v>2</v>
      </c>
      <c r="M98" s="43">
        <v>10</v>
      </c>
      <c r="N98" s="43" t="s">
        <v>64</v>
      </c>
      <c r="O98" s="43">
        <f>AVERAGE(21,33)</f>
        <v>27</v>
      </c>
      <c r="P98" s="42">
        <f>AVERAGE(505,445.6)</f>
        <v>475.3</v>
      </c>
      <c r="Q98" s="42">
        <f>AVERAGE(582,622)</f>
        <v>602</v>
      </c>
      <c r="R98" s="234">
        <v>0.4</v>
      </c>
      <c r="S98" s="234">
        <v>56.75</v>
      </c>
      <c r="T98" s="234">
        <v>112</v>
      </c>
      <c r="U98" s="43" t="s">
        <v>31</v>
      </c>
      <c r="V98" s="43">
        <v>2</v>
      </c>
      <c r="W98" s="43" t="s">
        <v>8416</v>
      </c>
      <c r="X98" s="5" t="s">
        <v>8417</v>
      </c>
      <c r="Y98" s="235" t="s">
        <v>6671</v>
      </c>
    </row>
    <row r="99" spans="1:25" x14ac:dyDescent="0.25">
      <c r="A99" s="44">
        <v>42879</v>
      </c>
      <c r="B99" s="631" t="s">
        <v>8296</v>
      </c>
      <c r="C99" s="631">
        <v>38.084290000000003</v>
      </c>
      <c r="D99" s="631">
        <v>-121.99324</v>
      </c>
      <c r="E99" s="631" t="s">
        <v>8415</v>
      </c>
      <c r="F99" s="631" t="s">
        <v>27</v>
      </c>
      <c r="G99" s="631" t="s">
        <v>86</v>
      </c>
      <c r="H99" s="239">
        <v>0.48402777777777778</v>
      </c>
      <c r="I99" s="43" t="s">
        <v>4500</v>
      </c>
      <c r="J99" s="43" t="s">
        <v>29</v>
      </c>
      <c r="K99" s="238" t="s">
        <v>8306</v>
      </c>
      <c r="L99" s="43">
        <v>0</v>
      </c>
      <c r="M99" s="43">
        <v>0</v>
      </c>
      <c r="N99" s="43" t="s">
        <v>50</v>
      </c>
      <c r="O99" s="43" t="s">
        <v>50</v>
      </c>
      <c r="P99" s="43" t="s">
        <v>50</v>
      </c>
      <c r="Q99" s="43" t="s">
        <v>50</v>
      </c>
      <c r="R99" s="43" t="s">
        <v>50</v>
      </c>
      <c r="S99" s="43" t="s">
        <v>50</v>
      </c>
      <c r="T99" s="43" t="s">
        <v>50</v>
      </c>
      <c r="U99" s="43" t="s">
        <v>50</v>
      </c>
      <c r="V99" s="43" t="s">
        <v>50</v>
      </c>
      <c r="W99" s="43" t="s">
        <v>50</v>
      </c>
      <c r="X99" s="35" t="s">
        <v>8418</v>
      </c>
      <c r="Y99" s="40" t="s">
        <v>6671</v>
      </c>
    </row>
    <row r="100" spans="1:25" x14ac:dyDescent="0.25">
      <c r="A100" s="44">
        <v>42879</v>
      </c>
      <c r="B100" s="631" t="s">
        <v>8296</v>
      </c>
      <c r="C100" s="631">
        <v>38.071530000000003</v>
      </c>
      <c r="D100" s="631">
        <v>-121.95422000000001</v>
      </c>
      <c r="E100" s="631" t="s">
        <v>8419</v>
      </c>
      <c r="F100" s="631" t="s">
        <v>27</v>
      </c>
      <c r="G100" s="631" t="s">
        <v>170</v>
      </c>
      <c r="H100" s="239">
        <v>0.53194444444444444</v>
      </c>
      <c r="I100" s="43" t="s">
        <v>4500</v>
      </c>
      <c r="J100" s="43" t="s">
        <v>4501</v>
      </c>
      <c r="K100" s="238" t="s">
        <v>8283</v>
      </c>
      <c r="L100" s="43">
        <v>2</v>
      </c>
      <c r="M100" s="43">
        <v>10</v>
      </c>
      <c r="N100" s="43" t="s">
        <v>64</v>
      </c>
      <c r="O100" s="43">
        <v>11.5</v>
      </c>
      <c r="P100" s="42">
        <f>AVERAGE(109.8,122.9)</f>
        <v>116.35</v>
      </c>
      <c r="Q100" s="42">
        <f>AVERAGE(109.7,122.6)</f>
        <v>116.15</v>
      </c>
      <c r="R100" s="234">
        <v>0.43</v>
      </c>
      <c r="S100" s="234">
        <v>34.849999999999994</v>
      </c>
      <c r="T100" s="234">
        <v>36.349999999999994</v>
      </c>
      <c r="U100" s="43" t="s">
        <v>50</v>
      </c>
      <c r="V100" s="240">
        <v>0</v>
      </c>
      <c r="W100" s="240" t="s">
        <v>50</v>
      </c>
      <c r="X100" s="5" t="s">
        <v>8420</v>
      </c>
      <c r="Y100" s="40" t="s">
        <v>6671</v>
      </c>
    </row>
    <row r="101" spans="1:25" x14ac:dyDescent="0.25">
      <c r="A101" s="44">
        <v>42879</v>
      </c>
      <c r="B101" s="631" t="s">
        <v>8296</v>
      </c>
      <c r="C101" s="631">
        <v>38.071660000000001</v>
      </c>
      <c r="D101" s="631">
        <v>-121.95148</v>
      </c>
      <c r="E101" s="631" t="s">
        <v>8419</v>
      </c>
      <c r="F101" s="631" t="s">
        <v>27</v>
      </c>
      <c r="G101" s="631" t="s">
        <v>170</v>
      </c>
      <c r="H101" s="239">
        <v>0.53819444444444442</v>
      </c>
      <c r="I101" s="43" t="s">
        <v>4500</v>
      </c>
      <c r="J101" s="43" t="s">
        <v>29</v>
      </c>
      <c r="K101" s="238" t="s">
        <v>8306</v>
      </c>
      <c r="L101" s="43">
        <v>0</v>
      </c>
      <c r="M101" s="43">
        <v>0</v>
      </c>
      <c r="N101" s="43" t="s">
        <v>50</v>
      </c>
      <c r="O101" s="43" t="s">
        <v>50</v>
      </c>
      <c r="P101" s="43" t="s">
        <v>50</v>
      </c>
      <c r="Q101" s="43" t="s">
        <v>50</v>
      </c>
      <c r="R101" s="43" t="s">
        <v>50</v>
      </c>
      <c r="S101" s="43" t="s">
        <v>50</v>
      </c>
      <c r="T101" s="43" t="s">
        <v>50</v>
      </c>
      <c r="U101" s="43" t="s">
        <v>50</v>
      </c>
      <c r="V101" s="43" t="s">
        <v>50</v>
      </c>
      <c r="W101" s="43" t="s">
        <v>50</v>
      </c>
      <c r="X101" s="35" t="s">
        <v>8421</v>
      </c>
      <c r="Y101" s="240" t="s">
        <v>6671</v>
      </c>
    </row>
    <row r="102" spans="1:25" x14ac:dyDescent="0.25">
      <c r="A102" s="44">
        <v>42879</v>
      </c>
      <c r="B102" s="631" t="s">
        <v>8281</v>
      </c>
      <c r="C102" s="631">
        <v>38.132449999999999</v>
      </c>
      <c r="D102" s="631">
        <v>-121.56457</v>
      </c>
      <c r="E102" s="631" t="s">
        <v>8422</v>
      </c>
      <c r="F102" s="631" t="s">
        <v>46</v>
      </c>
      <c r="G102" s="631" t="s">
        <v>6881</v>
      </c>
      <c r="H102" s="239">
        <v>0.32430555555555557</v>
      </c>
      <c r="I102" s="43" t="s">
        <v>4500</v>
      </c>
      <c r="J102" s="43" t="s">
        <v>4501</v>
      </c>
      <c r="K102" s="238" t="s">
        <v>8283</v>
      </c>
      <c r="L102" s="43">
        <v>2</v>
      </c>
      <c r="M102" s="43">
        <v>10</v>
      </c>
      <c r="N102" s="43" t="s">
        <v>49</v>
      </c>
      <c r="O102" s="43">
        <v>28</v>
      </c>
      <c r="P102" s="42">
        <f>AVERAGE(72.7,73.5)</f>
        <v>73.099999999999994</v>
      </c>
      <c r="Q102" s="42">
        <f>AVERAGE(76,76.1)</f>
        <v>76.05</v>
      </c>
      <c r="R102" s="234">
        <v>1.2450000000000001</v>
      </c>
      <c r="S102" s="234">
        <v>7.5500000000000007</v>
      </c>
      <c r="T102" s="234">
        <v>14.1</v>
      </c>
      <c r="U102" s="43" t="s">
        <v>50</v>
      </c>
      <c r="V102" s="240">
        <v>0</v>
      </c>
      <c r="W102" s="240" t="s">
        <v>50</v>
      </c>
      <c r="X102" s="5" t="s">
        <v>8423</v>
      </c>
      <c r="Y102" s="240" t="s">
        <v>6671</v>
      </c>
    </row>
    <row r="103" spans="1:25" x14ac:dyDescent="0.25">
      <c r="A103" s="44">
        <v>42879</v>
      </c>
      <c r="B103" s="631" t="s">
        <v>8281</v>
      </c>
      <c r="C103" s="631">
        <v>38.435090000000002</v>
      </c>
      <c r="D103" s="631">
        <v>-121.5127</v>
      </c>
      <c r="E103" s="631" t="s">
        <v>8424</v>
      </c>
      <c r="F103" s="631" t="s">
        <v>90</v>
      </c>
      <c r="G103" s="631" t="s">
        <v>6851</v>
      </c>
      <c r="H103" s="239">
        <v>0.45902777777777781</v>
      </c>
      <c r="I103" s="43" t="s">
        <v>4500</v>
      </c>
      <c r="J103" s="43" t="s">
        <v>4501</v>
      </c>
      <c r="K103" s="238" t="s">
        <v>8283</v>
      </c>
      <c r="L103" s="43">
        <v>2</v>
      </c>
      <c r="M103" s="43">
        <v>10</v>
      </c>
      <c r="N103" s="43" t="s">
        <v>49</v>
      </c>
      <c r="O103" s="43">
        <v>30.2</v>
      </c>
      <c r="P103" s="42">
        <f>AVERAGE(76.4,76.3)</f>
        <v>76.349999999999994</v>
      </c>
      <c r="Q103" s="42">
        <f>AVERAGE(78.1,76.5)</f>
        <v>77.3</v>
      </c>
      <c r="R103" s="234">
        <v>0.72000000000000008</v>
      </c>
      <c r="S103" s="234">
        <v>18.8</v>
      </c>
      <c r="T103" s="295">
        <v>19.866666666666664</v>
      </c>
      <c r="U103" s="43" t="s">
        <v>50</v>
      </c>
      <c r="V103" s="240">
        <v>0</v>
      </c>
      <c r="W103" s="240" t="s">
        <v>50</v>
      </c>
      <c r="X103" s="5" t="s">
        <v>8375</v>
      </c>
      <c r="Y103" s="40" t="s">
        <v>6671</v>
      </c>
    </row>
    <row r="104" spans="1:25" x14ac:dyDescent="0.25">
      <c r="A104" s="44">
        <v>42879</v>
      </c>
      <c r="B104" s="631" t="s">
        <v>8281</v>
      </c>
      <c r="C104" s="631">
        <v>38.547359999999998</v>
      </c>
      <c r="D104" s="631">
        <v>-121.51148999999999</v>
      </c>
      <c r="E104" s="631" t="s">
        <v>8425</v>
      </c>
      <c r="F104" s="631" t="s">
        <v>90</v>
      </c>
      <c r="G104" s="631" t="s">
        <v>6851</v>
      </c>
      <c r="H104" s="239">
        <v>0.54513888888888895</v>
      </c>
      <c r="I104" s="43" t="s">
        <v>4500</v>
      </c>
      <c r="J104" s="43" t="s">
        <v>4501</v>
      </c>
      <c r="K104" s="238" t="s">
        <v>8283</v>
      </c>
      <c r="L104" s="43">
        <v>2</v>
      </c>
      <c r="M104" s="43">
        <v>10</v>
      </c>
      <c r="N104" s="43" t="s">
        <v>49</v>
      </c>
      <c r="O104" s="43">
        <v>24</v>
      </c>
      <c r="P104" s="42">
        <f>AVERAGE(68.3,68.7)</f>
        <v>68.5</v>
      </c>
      <c r="Q104" s="42">
        <f>AVERAGE(69.8,68.7)</f>
        <v>69.25</v>
      </c>
      <c r="R104" s="234">
        <v>0.67500000000000004</v>
      </c>
      <c r="S104" s="234">
        <v>18.950000000000003</v>
      </c>
      <c r="T104" s="234">
        <v>18.799999999999997</v>
      </c>
      <c r="U104" s="43" t="s">
        <v>50</v>
      </c>
      <c r="V104" s="240">
        <v>0</v>
      </c>
      <c r="W104" s="240" t="s">
        <v>50</v>
      </c>
      <c r="Y104" s="40" t="s">
        <v>6671</v>
      </c>
    </row>
    <row r="105" spans="1:25" x14ac:dyDescent="0.25">
      <c r="A105" s="44">
        <v>42885</v>
      </c>
      <c r="B105" s="631" t="s">
        <v>8281</v>
      </c>
      <c r="C105" s="631">
        <v>38.49794</v>
      </c>
      <c r="D105" s="631">
        <v>-121.55876000000001</v>
      </c>
      <c r="E105" s="631" t="s">
        <v>8426</v>
      </c>
      <c r="F105" s="631" t="s">
        <v>90</v>
      </c>
      <c r="G105" s="631" t="s">
        <v>6851</v>
      </c>
      <c r="H105" s="239">
        <v>0.4236111111111111</v>
      </c>
      <c r="I105" s="43" t="s">
        <v>4500</v>
      </c>
      <c r="J105" s="43" t="s">
        <v>4501</v>
      </c>
      <c r="K105" s="238" t="s">
        <v>8283</v>
      </c>
      <c r="L105" s="43">
        <v>2</v>
      </c>
      <c r="M105" s="43">
        <v>10</v>
      </c>
      <c r="N105" s="43" t="s">
        <v>49</v>
      </c>
      <c r="O105" s="43">
        <f>AVERAGE(22.7,21.4)</f>
        <v>22.049999999999997</v>
      </c>
      <c r="P105" s="42">
        <f>AVERAGE(73.3,73.7)</f>
        <v>73.5</v>
      </c>
      <c r="Q105" s="42">
        <f>AVERAGE(74.7,73.7)</f>
        <v>74.2</v>
      </c>
      <c r="R105" s="42">
        <v>0.52</v>
      </c>
      <c r="S105" s="90">
        <f>AVERAGE(20.2,26,7)</f>
        <v>17.733333333333334</v>
      </c>
      <c r="T105" s="42">
        <f>AVERAGE(23.7,32.1)</f>
        <v>27.9</v>
      </c>
      <c r="U105" s="43" t="s">
        <v>50</v>
      </c>
      <c r="V105" s="240">
        <v>0</v>
      </c>
      <c r="W105" s="240" t="s">
        <v>50</v>
      </c>
      <c r="Y105" s="40" t="s">
        <v>6671</v>
      </c>
    </row>
    <row r="106" spans="1:25" x14ac:dyDescent="0.25">
      <c r="A106" s="44">
        <v>42885</v>
      </c>
      <c r="B106" s="631" t="s">
        <v>8281</v>
      </c>
      <c r="C106" s="631">
        <v>38.179169999999999</v>
      </c>
      <c r="D106" s="631">
        <v>-121.52636</v>
      </c>
      <c r="E106" s="631" t="s">
        <v>8427</v>
      </c>
      <c r="F106" s="631" t="s">
        <v>46</v>
      </c>
      <c r="G106" s="631" t="s">
        <v>6881</v>
      </c>
      <c r="H106" s="239">
        <v>0.57291666666666663</v>
      </c>
      <c r="I106" s="43" t="s">
        <v>4500</v>
      </c>
      <c r="J106" s="43" t="s">
        <v>4501</v>
      </c>
      <c r="K106" s="238" t="s">
        <v>8283</v>
      </c>
      <c r="L106" s="43">
        <v>2</v>
      </c>
      <c r="M106" s="43">
        <v>10</v>
      </c>
      <c r="N106" s="43" t="s">
        <v>49</v>
      </c>
      <c r="O106" s="43">
        <v>26.5</v>
      </c>
      <c r="P106" s="42">
        <f>AVERAGE(51.4,51)</f>
        <v>51.2</v>
      </c>
      <c r="Q106" s="42">
        <f>AVERAGE(51.3,56.8)</f>
        <v>54.05</v>
      </c>
      <c r="R106" s="234">
        <v>1.36</v>
      </c>
      <c r="S106" s="234">
        <v>15.505000000000001</v>
      </c>
      <c r="T106" s="234">
        <v>27</v>
      </c>
      <c r="U106" s="43" t="s">
        <v>50</v>
      </c>
      <c r="V106" s="240">
        <v>0</v>
      </c>
      <c r="W106" s="240" t="s">
        <v>50</v>
      </c>
      <c r="Y106" s="40" t="s">
        <v>6671</v>
      </c>
    </row>
    <row r="107" spans="1:25" x14ac:dyDescent="0.25">
      <c r="A107" s="44">
        <v>42885</v>
      </c>
      <c r="B107" s="631" t="s">
        <v>8281</v>
      </c>
      <c r="C107" s="631">
        <v>38.10304</v>
      </c>
      <c r="D107" s="631">
        <v>-121.49185</v>
      </c>
      <c r="E107" s="631" t="s">
        <v>8428</v>
      </c>
      <c r="F107" s="631" t="s">
        <v>46</v>
      </c>
      <c r="G107" s="631" t="s">
        <v>6881</v>
      </c>
      <c r="H107" s="239">
        <v>0.62986111111111109</v>
      </c>
      <c r="I107" s="43" t="s">
        <v>4500</v>
      </c>
      <c r="J107" s="43" t="s">
        <v>4501</v>
      </c>
      <c r="K107" s="238" t="s">
        <v>8283</v>
      </c>
      <c r="L107" s="43">
        <v>2</v>
      </c>
      <c r="M107" s="43">
        <v>10</v>
      </c>
      <c r="N107" s="43" t="s">
        <v>49</v>
      </c>
      <c r="O107" s="43">
        <f>AVERAGE(24,16.7)</f>
        <v>20.350000000000001</v>
      </c>
      <c r="P107" s="42">
        <f>AVERAGE(55.5,53.8)</f>
        <v>54.65</v>
      </c>
      <c r="Q107" s="42">
        <f>AVERAGE(57.4,56.1)</f>
        <v>56.75</v>
      </c>
      <c r="R107" s="234">
        <v>1.2850000000000001</v>
      </c>
      <c r="S107" s="234">
        <v>10.89</v>
      </c>
      <c r="T107" s="234">
        <v>31.2</v>
      </c>
      <c r="U107" s="43" t="s">
        <v>50</v>
      </c>
      <c r="V107" s="240">
        <v>0</v>
      </c>
      <c r="W107" s="240" t="s">
        <v>50</v>
      </c>
      <c r="Y107" s="40" t="s">
        <v>6671</v>
      </c>
    </row>
    <row r="108" spans="1:25" x14ac:dyDescent="0.25">
      <c r="A108" s="44">
        <v>42885</v>
      </c>
      <c r="B108" s="631" t="s">
        <v>8296</v>
      </c>
      <c r="C108" s="631">
        <v>38.183399999999999</v>
      </c>
      <c r="D108" s="631">
        <v>-121.66226</v>
      </c>
      <c r="E108" s="631" t="s">
        <v>8429</v>
      </c>
      <c r="F108" s="631" t="s">
        <v>90</v>
      </c>
      <c r="G108" s="631" t="s">
        <v>126</v>
      </c>
      <c r="H108" s="239">
        <v>0.37013888888888885</v>
      </c>
      <c r="I108" s="43" t="s">
        <v>4500</v>
      </c>
      <c r="J108" s="43" t="s">
        <v>4501</v>
      </c>
      <c r="K108" s="238" t="s">
        <v>8283</v>
      </c>
      <c r="L108" s="43">
        <v>2</v>
      </c>
      <c r="M108" s="43">
        <v>10</v>
      </c>
      <c r="N108" s="43" t="s">
        <v>64</v>
      </c>
      <c r="O108" s="43">
        <v>33</v>
      </c>
      <c r="P108" s="42">
        <f>AVERAGE(97.7,88.9)</f>
        <v>93.300000000000011</v>
      </c>
      <c r="Q108" s="42">
        <f>AVERAGE(93,87.6)</f>
        <v>90.3</v>
      </c>
      <c r="R108" s="234">
        <v>0.78</v>
      </c>
      <c r="S108" s="234">
        <v>13.8</v>
      </c>
      <c r="T108" s="234">
        <v>14.9</v>
      </c>
      <c r="U108" s="43" t="s">
        <v>50</v>
      </c>
      <c r="V108" s="240">
        <v>0</v>
      </c>
      <c r="W108" s="240" t="s">
        <v>50</v>
      </c>
      <c r="Y108" s="40" t="s">
        <v>6671</v>
      </c>
    </row>
    <row r="109" spans="1:25" x14ac:dyDescent="0.25">
      <c r="A109" s="44">
        <v>42885</v>
      </c>
      <c r="B109" s="631" t="s">
        <v>8296</v>
      </c>
      <c r="C109" s="631">
        <v>38.084269999999997</v>
      </c>
      <c r="D109" s="631">
        <v>-121.99328</v>
      </c>
      <c r="E109" s="631" t="s">
        <v>8430</v>
      </c>
      <c r="F109" s="631" t="s">
        <v>27</v>
      </c>
      <c r="G109" s="631" t="s">
        <v>86</v>
      </c>
      <c r="H109" s="239">
        <v>0.49583333333333335</v>
      </c>
      <c r="I109" s="43" t="s">
        <v>4500</v>
      </c>
      <c r="J109" s="43" t="s">
        <v>4501</v>
      </c>
      <c r="K109" s="238" t="s">
        <v>8283</v>
      </c>
      <c r="L109" s="43">
        <v>2</v>
      </c>
      <c r="M109" s="43">
        <v>10</v>
      </c>
      <c r="N109" s="43" t="s">
        <v>49</v>
      </c>
      <c r="O109" s="43">
        <f>AVERAGE(29,38)</f>
        <v>33.5</v>
      </c>
      <c r="P109" s="42">
        <f>AVERAGE(124.6,124.5)</f>
        <v>124.55</v>
      </c>
      <c r="Q109" s="42">
        <f>AVERAGE(124,125.2)</f>
        <v>124.6</v>
      </c>
      <c r="R109" s="234">
        <v>0.435</v>
      </c>
      <c r="S109" s="234">
        <v>286.55</v>
      </c>
      <c r="T109" s="234">
        <v>47.05</v>
      </c>
      <c r="U109" s="43" t="s">
        <v>50</v>
      </c>
      <c r="V109" s="240">
        <v>0</v>
      </c>
      <c r="W109" s="240" t="s">
        <v>50</v>
      </c>
      <c r="Y109" s="40" t="s">
        <v>6671</v>
      </c>
    </row>
    <row r="110" spans="1:25" x14ac:dyDescent="0.25">
      <c r="A110" s="44">
        <v>42885</v>
      </c>
      <c r="B110" s="631" t="s">
        <v>8296</v>
      </c>
      <c r="C110" s="631">
        <v>38.055370000000003</v>
      </c>
      <c r="D110" s="631">
        <v>-121.87969</v>
      </c>
      <c r="E110" s="631" t="s">
        <v>8431</v>
      </c>
      <c r="F110" s="631" t="s">
        <v>27</v>
      </c>
      <c r="G110" s="631" t="s">
        <v>25</v>
      </c>
      <c r="H110" s="239">
        <v>0.5395833333333333</v>
      </c>
      <c r="I110" s="43" t="s">
        <v>4500</v>
      </c>
      <c r="J110" s="43" t="s">
        <v>4501</v>
      </c>
      <c r="K110" s="238" t="s">
        <v>8283</v>
      </c>
      <c r="L110" s="43">
        <v>2</v>
      </c>
      <c r="M110" s="43">
        <v>10</v>
      </c>
      <c r="N110" s="43" t="s">
        <v>49</v>
      </c>
      <c r="O110" s="43">
        <f>AVERAGE(53)</f>
        <v>53</v>
      </c>
      <c r="P110" s="42">
        <f>AVERAGE(108.8,105.6)</f>
        <v>107.19999999999999</v>
      </c>
      <c r="Q110" s="42">
        <f>AVERAGE(109.2,105.2)</f>
        <v>107.2</v>
      </c>
      <c r="R110" s="234">
        <v>0.58499999999999996</v>
      </c>
      <c r="S110" s="234">
        <v>32.4</v>
      </c>
      <c r="T110" s="234">
        <v>25.35</v>
      </c>
      <c r="U110" s="43" t="s">
        <v>50</v>
      </c>
      <c r="V110" s="240">
        <v>0</v>
      </c>
      <c r="W110" s="240" t="s">
        <v>50</v>
      </c>
      <c r="Y110" s="40" t="s">
        <v>6671</v>
      </c>
    </row>
    <row r="111" spans="1:25" x14ac:dyDescent="0.25">
      <c r="A111" s="44">
        <v>42886</v>
      </c>
      <c r="B111" s="631" t="s">
        <v>8291</v>
      </c>
      <c r="C111" s="631">
        <v>37.965240000000001</v>
      </c>
      <c r="D111" s="631">
        <v>-121.36798</v>
      </c>
      <c r="E111" s="631" t="s">
        <v>8432</v>
      </c>
      <c r="F111" s="631" t="s">
        <v>46</v>
      </c>
      <c r="G111" s="631" t="s">
        <v>6840</v>
      </c>
      <c r="H111" s="239">
        <v>0.32777777777777778</v>
      </c>
      <c r="I111" s="43" t="s">
        <v>4500</v>
      </c>
      <c r="J111" s="43" t="s">
        <v>4501</v>
      </c>
      <c r="K111" s="238" t="s">
        <v>8283</v>
      </c>
      <c r="L111" s="43">
        <v>2</v>
      </c>
      <c r="M111" s="43">
        <v>10</v>
      </c>
      <c r="N111" s="43" t="s">
        <v>64</v>
      </c>
      <c r="O111" s="43">
        <f>AVERAGE(29.5,31.7)</f>
        <v>30.6</v>
      </c>
      <c r="P111" s="42">
        <f>AVERAGE(100.2,100.2)</f>
        <v>100.2</v>
      </c>
      <c r="Q111" s="42">
        <f>AVERAGE(100.5,103)</f>
        <v>101.75</v>
      </c>
      <c r="R111" s="234">
        <v>0.74</v>
      </c>
      <c r="S111" s="234">
        <v>13.190000000000001</v>
      </c>
      <c r="T111" s="234">
        <v>127</v>
      </c>
      <c r="U111" s="43" t="s">
        <v>50</v>
      </c>
      <c r="V111" s="240">
        <v>0</v>
      </c>
      <c r="W111" s="240" t="s">
        <v>50</v>
      </c>
      <c r="Y111" s="40" t="s">
        <v>6671</v>
      </c>
    </row>
    <row r="112" spans="1:25" x14ac:dyDescent="0.25">
      <c r="A112" s="44">
        <v>42886</v>
      </c>
      <c r="B112" s="631" t="s">
        <v>8291</v>
      </c>
      <c r="C112" s="631">
        <v>37.980220000000003</v>
      </c>
      <c r="D112" s="631">
        <v>-121.52079000000001</v>
      </c>
      <c r="E112" s="631" t="s">
        <v>8433</v>
      </c>
      <c r="F112" s="631" t="s">
        <v>46</v>
      </c>
      <c r="G112" s="631" t="s">
        <v>6939</v>
      </c>
      <c r="H112" s="239">
        <v>0.40486111111111112</v>
      </c>
      <c r="I112" s="43" t="s">
        <v>4500</v>
      </c>
      <c r="J112" s="43" t="s">
        <v>4501</v>
      </c>
      <c r="K112" s="238" t="s">
        <v>8283</v>
      </c>
      <c r="L112" s="43">
        <v>2</v>
      </c>
      <c r="M112" s="43">
        <v>10</v>
      </c>
      <c r="N112" s="43" t="s">
        <v>64</v>
      </c>
      <c r="O112" s="43">
        <v>16.5</v>
      </c>
      <c r="P112" s="42">
        <f>AVERAGE(130.9,131.2)</f>
        <v>131.05000000000001</v>
      </c>
      <c r="Q112" s="42">
        <f>AVERAGE(132.9,132.2)</f>
        <v>132.55000000000001</v>
      </c>
      <c r="R112" s="234">
        <v>0.7</v>
      </c>
      <c r="S112" s="234">
        <v>13.45</v>
      </c>
      <c r="T112" s="234">
        <v>78.599999999999994</v>
      </c>
      <c r="U112" s="43" t="s">
        <v>50</v>
      </c>
      <c r="V112" s="240">
        <v>0</v>
      </c>
      <c r="W112" s="240" t="s">
        <v>50</v>
      </c>
      <c r="Y112" s="40" t="s">
        <v>6671</v>
      </c>
    </row>
    <row r="113" spans="1:25" x14ac:dyDescent="0.25">
      <c r="A113" s="44">
        <v>42886</v>
      </c>
      <c r="B113" s="631" t="s">
        <v>8291</v>
      </c>
      <c r="C113" s="631">
        <v>38.04466</v>
      </c>
      <c r="D113" s="631">
        <v>-121.53454000000001</v>
      </c>
      <c r="E113" s="631" t="s">
        <v>8434</v>
      </c>
      <c r="F113" s="631" t="s">
        <v>46</v>
      </c>
      <c r="G113" s="631" t="s">
        <v>582</v>
      </c>
      <c r="H113" s="239">
        <v>0.45694444444444443</v>
      </c>
      <c r="I113" s="43" t="s">
        <v>4500</v>
      </c>
      <c r="J113" s="43" t="s">
        <v>4501</v>
      </c>
      <c r="K113" s="238" t="s">
        <v>8283</v>
      </c>
      <c r="L113" s="43">
        <v>2</v>
      </c>
      <c r="M113" s="43">
        <v>10</v>
      </c>
      <c r="N113" s="43" t="s">
        <v>49</v>
      </c>
      <c r="O113" s="43">
        <v>15</v>
      </c>
      <c r="P113" s="42">
        <f>AVERAGE(106.9,108.2)</f>
        <v>107.55000000000001</v>
      </c>
      <c r="Q113" s="42">
        <f>AVERAGE(112.4,111.8)</f>
        <v>112.1</v>
      </c>
      <c r="R113" s="234">
        <v>0.94</v>
      </c>
      <c r="S113" s="234">
        <v>20.65</v>
      </c>
      <c r="T113" s="234">
        <v>66.55</v>
      </c>
      <c r="U113" s="43" t="s">
        <v>50</v>
      </c>
      <c r="V113" s="240">
        <v>0</v>
      </c>
      <c r="W113" s="240" t="s">
        <v>50</v>
      </c>
      <c r="Y113" s="235" t="s">
        <v>6671</v>
      </c>
    </row>
    <row r="114" spans="1:25" x14ac:dyDescent="0.25">
      <c r="A114" s="44">
        <v>42886</v>
      </c>
      <c r="B114" s="631" t="s">
        <v>8296</v>
      </c>
      <c r="C114" s="631">
        <v>38.076700000000002</v>
      </c>
      <c r="D114" s="631">
        <v>-122.02616999999999</v>
      </c>
      <c r="E114" s="631" t="s">
        <v>8435</v>
      </c>
      <c r="F114" s="631" t="s">
        <v>27</v>
      </c>
      <c r="G114" s="631" t="s">
        <v>86</v>
      </c>
      <c r="H114" s="239">
        <v>0.3444444444444445</v>
      </c>
      <c r="I114" s="43" t="s">
        <v>4500</v>
      </c>
      <c r="J114" s="43" t="s">
        <v>4501</v>
      </c>
      <c r="K114" s="238" t="s">
        <v>8283</v>
      </c>
      <c r="L114" s="43">
        <v>2</v>
      </c>
      <c r="M114" s="43">
        <v>10</v>
      </c>
      <c r="N114" s="43" t="s">
        <v>49</v>
      </c>
      <c r="O114" s="43">
        <v>11</v>
      </c>
      <c r="P114" s="42">
        <f>AVERAGE(123.3,161.1)</f>
        <v>142.19999999999999</v>
      </c>
      <c r="Q114" s="42">
        <f>AVERAGE(161,129.8)</f>
        <v>145.4</v>
      </c>
      <c r="R114" s="234">
        <v>0.39500000000000002</v>
      </c>
      <c r="S114" s="234">
        <v>35.299999999999997</v>
      </c>
      <c r="T114" s="234">
        <v>35.9</v>
      </c>
      <c r="U114" s="43" t="s">
        <v>50</v>
      </c>
      <c r="V114" s="240">
        <v>0</v>
      </c>
      <c r="W114" s="240" t="s">
        <v>50</v>
      </c>
      <c r="Y114" s="235" t="s">
        <v>6671</v>
      </c>
    </row>
    <row r="115" spans="1:25" x14ac:dyDescent="0.25">
      <c r="A115" s="44">
        <v>42886</v>
      </c>
      <c r="B115" s="631" t="s">
        <v>8296</v>
      </c>
      <c r="C115" s="631">
        <v>38.092320000000001</v>
      </c>
      <c r="D115" s="631">
        <v>-121.70843000000001</v>
      </c>
      <c r="E115" s="631" t="s">
        <v>8436</v>
      </c>
      <c r="F115" s="631" t="s">
        <v>90</v>
      </c>
      <c r="G115" s="631" t="s">
        <v>91</v>
      </c>
      <c r="H115" s="239">
        <v>0.3972222222222222</v>
      </c>
      <c r="I115" s="43" t="s">
        <v>4500</v>
      </c>
      <c r="J115" s="43" t="s">
        <v>4501</v>
      </c>
      <c r="K115" s="238" t="s">
        <v>8283</v>
      </c>
      <c r="L115" s="43">
        <v>2</v>
      </c>
      <c r="M115" s="43">
        <v>10</v>
      </c>
      <c r="N115" s="43" t="s">
        <v>49</v>
      </c>
      <c r="O115" s="43">
        <v>13</v>
      </c>
      <c r="P115" s="42">
        <f>AVERAGE(92.8,94.7)</f>
        <v>93.75</v>
      </c>
      <c r="Q115" s="42">
        <f>AVERAGE(96.2,93)</f>
        <v>94.6</v>
      </c>
      <c r="R115" s="234">
        <v>0.97</v>
      </c>
      <c r="S115" s="234">
        <v>11.984999999999999</v>
      </c>
      <c r="T115" s="234">
        <v>9.8649999999999984</v>
      </c>
      <c r="U115" s="43" t="s">
        <v>50</v>
      </c>
      <c r="V115" s="240">
        <v>0</v>
      </c>
      <c r="W115" s="240" t="s">
        <v>50</v>
      </c>
      <c r="Y115" s="40" t="s">
        <v>6671</v>
      </c>
    </row>
    <row r="116" spans="1:25" x14ac:dyDescent="0.25">
      <c r="A116" s="44">
        <v>42886</v>
      </c>
      <c r="B116" s="631" t="s">
        <v>8296</v>
      </c>
      <c r="C116" s="631">
        <v>38.066099999999999</v>
      </c>
      <c r="D116" s="631">
        <v>-121.84443</v>
      </c>
      <c r="E116" s="631" t="s">
        <v>8437</v>
      </c>
      <c r="F116" s="631" t="s">
        <v>27</v>
      </c>
      <c r="G116" s="631" t="s">
        <v>25</v>
      </c>
      <c r="H116" s="239">
        <v>0.4368055555555555</v>
      </c>
      <c r="I116" s="43" t="s">
        <v>4500</v>
      </c>
      <c r="J116" s="43" t="s">
        <v>4501</v>
      </c>
      <c r="K116" s="238" t="s">
        <v>8283</v>
      </c>
      <c r="L116" s="43">
        <v>2</v>
      </c>
      <c r="M116" s="43">
        <v>10</v>
      </c>
      <c r="N116" s="43" t="s">
        <v>49</v>
      </c>
      <c r="O116" s="43">
        <v>24</v>
      </c>
      <c r="P116" s="42">
        <f>AVERAGE(103.3,102.8)</f>
        <v>103.05</v>
      </c>
      <c r="Q116" s="42">
        <f>AVERAGE(103.9,104.5)</f>
        <v>104.2</v>
      </c>
      <c r="R116" s="234">
        <v>0.8</v>
      </c>
      <c r="S116" s="234">
        <v>13.15</v>
      </c>
      <c r="T116" s="234">
        <v>14.95</v>
      </c>
      <c r="U116" s="43" t="s">
        <v>50</v>
      </c>
      <c r="V116" s="240">
        <v>0</v>
      </c>
      <c r="W116" s="240" t="s">
        <v>50</v>
      </c>
      <c r="Y116" s="40" t="s">
        <v>6671</v>
      </c>
    </row>
    <row r="117" spans="1:25" x14ac:dyDescent="0.25">
      <c r="A117" s="44">
        <v>42887</v>
      </c>
      <c r="B117" s="631" t="s">
        <v>8291</v>
      </c>
      <c r="C117" s="631">
        <v>38.048990000000003</v>
      </c>
      <c r="D117" s="631">
        <v>-121.62837</v>
      </c>
      <c r="E117" s="631" t="s">
        <v>8438</v>
      </c>
      <c r="F117" s="631" t="s">
        <v>46</v>
      </c>
      <c r="G117" s="631" t="s">
        <v>47</v>
      </c>
      <c r="H117" s="239">
        <v>0.32430555555555557</v>
      </c>
      <c r="I117" s="43" t="s">
        <v>4500</v>
      </c>
      <c r="J117" s="43" t="s">
        <v>29</v>
      </c>
      <c r="K117" s="238" t="s">
        <v>8306</v>
      </c>
      <c r="L117" s="43">
        <v>2</v>
      </c>
      <c r="M117" s="43">
        <v>10</v>
      </c>
      <c r="N117" s="43" t="s">
        <v>64</v>
      </c>
      <c r="O117" s="43">
        <v>5</v>
      </c>
      <c r="P117" s="42">
        <f>AVERAGE(95.6,94.1)</f>
        <v>94.85</v>
      </c>
      <c r="Q117" s="43" t="s">
        <v>50</v>
      </c>
      <c r="R117" s="234">
        <v>0.88</v>
      </c>
      <c r="S117" s="234">
        <v>7.875</v>
      </c>
      <c r="T117" s="293" t="s">
        <v>50</v>
      </c>
      <c r="U117" s="43" t="s">
        <v>50</v>
      </c>
      <c r="V117" s="240">
        <v>0</v>
      </c>
      <c r="W117" s="240" t="s">
        <v>50</v>
      </c>
      <c r="X117" s="5" t="s">
        <v>8439</v>
      </c>
      <c r="Y117" s="40" t="s">
        <v>6671</v>
      </c>
    </row>
    <row r="118" spans="1:25" x14ac:dyDescent="0.25">
      <c r="A118" s="44">
        <v>42887</v>
      </c>
      <c r="B118" s="631" t="s">
        <v>8291</v>
      </c>
      <c r="C118" s="631">
        <v>38.010069999999999</v>
      </c>
      <c r="D118" s="631">
        <v>-121.55052000000001</v>
      </c>
      <c r="E118" s="631" t="s">
        <v>8440</v>
      </c>
      <c r="F118" s="631" t="s">
        <v>46</v>
      </c>
      <c r="G118" s="631" t="s">
        <v>6939</v>
      </c>
      <c r="H118" s="239">
        <v>0.38055555555555554</v>
      </c>
      <c r="I118" s="43" t="s">
        <v>4500</v>
      </c>
      <c r="J118" s="43" t="s">
        <v>29</v>
      </c>
      <c r="K118" s="238" t="s">
        <v>8306</v>
      </c>
      <c r="L118" s="43">
        <v>2</v>
      </c>
      <c r="M118" s="43">
        <v>10</v>
      </c>
      <c r="N118" s="43" t="s">
        <v>64</v>
      </c>
      <c r="O118" s="43">
        <v>8</v>
      </c>
      <c r="P118" s="42">
        <f>AVERAGE(127.3,128.1)</f>
        <v>127.69999999999999</v>
      </c>
      <c r="Q118" s="43" t="s">
        <v>50</v>
      </c>
      <c r="R118" s="234">
        <v>0.96499999999999997</v>
      </c>
      <c r="S118" s="234">
        <v>8.17</v>
      </c>
      <c r="T118" s="43" t="s">
        <v>50</v>
      </c>
      <c r="U118" s="43" t="s">
        <v>50</v>
      </c>
      <c r="V118" s="240">
        <v>0</v>
      </c>
      <c r="W118" s="240" t="s">
        <v>50</v>
      </c>
      <c r="X118" s="5" t="s">
        <v>8441</v>
      </c>
      <c r="Y118" s="40" t="s">
        <v>6671</v>
      </c>
    </row>
    <row r="119" spans="1:25" x14ac:dyDescent="0.25">
      <c r="A119" s="44">
        <v>42887</v>
      </c>
      <c r="B119" s="631" t="s">
        <v>8291</v>
      </c>
      <c r="C119" s="631">
        <v>38.049840000000003</v>
      </c>
      <c r="D119" s="631">
        <v>-121.62864999999999</v>
      </c>
      <c r="E119" s="631" t="s">
        <v>8438</v>
      </c>
      <c r="F119" s="631" t="s">
        <v>46</v>
      </c>
      <c r="G119" s="631" t="s">
        <v>47</v>
      </c>
      <c r="H119" s="239">
        <v>0.32361111111111113</v>
      </c>
      <c r="I119" s="43" t="s">
        <v>4500</v>
      </c>
      <c r="J119" s="43" t="s">
        <v>4501</v>
      </c>
      <c r="K119" s="43" t="s">
        <v>8283</v>
      </c>
      <c r="L119" s="43">
        <v>2</v>
      </c>
      <c r="M119" s="43">
        <v>10</v>
      </c>
      <c r="N119" s="43" t="s">
        <v>64</v>
      </c>
      <c r="O119" s="43">
        <f>AVERAGE(21.5,22.7)</f>
        <v>22.1</v>
      </c>
      <c r="P119" s="42">
        <f>AVERAGE(106.8,104.1)</f>
        <v>105.44999999999999</v>
      </c>
      <c r="Q119" s="42">
        <f>AVERAGE(107.5,104.9)</f>
        <v>106.2</v>
      </c>
      <c r="R119" s="234">
        <v>0.92</v>
      </c>
      <c r="S119" s="234">
        <v>9.3949999999999996</v>
      </c>
      <c r="T119" s="234">
        <v>12.55</v>
      </c>
      <c r="U119" s="43" t="s">
        <v>50</v>
      </c>
      <c r="V119" s="240">
        <v>0</v>
      </c>
      <c r="W119" s="240" t="s">
        <v>50</v>
      </c>
      <c r="X119" s="5" t="s">
        <v>8442</v>
      </c>
      <c r="Y119" s="40" t="s">
        <v>6671</v>
      </c>
    </row>
    <row r="120" spans="1:25" x14ac:dyDescent="0.25">
      <c r="A120" s="44">
        <v>42887</v>
      </c>
      <c r="B120" s="631" t="s">
        <v>8291</v>
      </c>
      <c r="C120" s="631">
        <v>38.010480000000001</v>
      </c>
      <c r="D120" s="631">
        <v>-121.55067</v>
      </c>
      <c r="E120" s="631" t="s">
        <v>8440</v>
      </c>
      <c r="F120" s="631" t="s">
        <v>46</v>
      </c>
      <c r="G120" s="631" t="s">
        <v>6939</v>
      </c>
      <c r="H120" s="239">
        <v>0.38055555555555554</v>
      </c>
      <c r="I120" s="43" t="s">
        <v>4500</v>
      </c>
      <c r="J120" s="43" t="s">
        <v>4501</v>
      </c>
      <c r="K120" s="238" t="s">
        <v>8283</v>
      </c>
      <c r="L120" s="43">
        <v>2</v>
      </c>
      <c r="M120" s="43">
        <v>10</v>
      </c>
      <c r="N120" s="43" t="s">
        <v>64</v>
      </c>
      <c r="O120" s="43">
        <v>28</v>
      </c>
      <c r="P120" s="42">
        <f>AVERAGE(143,142.1)</f>
        <v>142.55000000000001</v>
      </c>
      <c r="Q120" s="42">
        <f>AVERAGE(142.5,143.2)</f>
        <v>142.85</v>
      </c>
      <c r="R120" s="234">
        <v>1.03</v>
      </c>
      <c r="S120" s="234">
        <v>9.7650000000000006</v>
      </c>
      <c r="T120" s="234">
        <v>55.300000000000004</v>
      </c>
      <c r="U120" s="43" t="s">
        <v>50</v>
      </c>
      <c r="V120" s="240">
        <v>0</v>
      </c>
      <c r="W120" s="240" t="s">
        <v>50</v>
      </c>
      <c r="X120" s="5" t="s">
        <v>8443</v>
      </c>
      <c r="Y120" s="40" t="s">
        <v>6671</v>
      </c>
    </row>
    <row r="121" spans="1:25" x14ac:dyDescent="0.25">
      <c r="A121" s="44">
        <v>42887</v>
      </c>
      <c r="B121" s="631" t="s">
        <v>8291</v>
      </c>
      <c r="C121" s="631">
        <v>37.8581</v>
      </c>
      <c r="D121" s="631">
        <v>-121.55528</v>
      </c>
      <c r="E121" s="631" t="s">
        <v>8444</v>
      </c>
      <c r="F121" s="631" t="s">
        <v>46</v>
      </c>
      <c r="G121" s="631" t="s">
        <v>202</v>
      </c>
      <c r="H121" s="239">
        <v>0.47152777777777777</v>
      </c>
      <c r="I121" s="43" t="s">
        <v>4500</v>
      </c>
      <c r="J121" s="43" t="s">
        <v>4501</v>
      </c>
      <c r="K121" s="238" t="s">
        <v>8283</v>
      </c>
      <c r="L121" s="43">
        <v>2</v>
      </c>
      <c r="M121" s="43">
        <v>10</v>
      </c>
      <c r="N121" s="43" t="s">
        <v>64</v>
      </c>
      <c r="O121" s="43">
        <v>12.5</v>
      </c>
      <c r="P121" s="42">
        <f>AVERAGE(126.6,128.9)</f>
        <v>127.75</v>
      </c>
      <c r="Q121" s="42">
        <f>AVERAGE(129.3,129.6)</f>
        <v>129.44999999999999</v>
      </c>
      <c r="R121" s="234">
        <v>0.76</v>
      </c>
      <c r="S121" s="234">
        <v>28.6</v>
      </c>
      <c r="T121" s="234">
        <v>101.05</v>
      </c>
      <c r="U121" s="43" t="s">
        <v>50</v>
      </c>
      <c r="V121" s="240">
        <v>0</v>
      </c>
      <c r="W121" s="240" t="s">
        <v>50</v>
      </c>
      <c r="Y121" s="235" t="s">
        <v>6671</v>
      </c>
    </row>
    <row r="122" spans="1:25" x14ac:dyDescent="0.25">
      <c r="A122" s="44">
        <v>42887</v>
      </c>
      <c r="B122" s="631" t="s">
        <v>8285</v>
      </c>
      <c r="C122" s="631">
        <v>38.056930000000001</v>
      </c>
      <c r="D122" s="631">
        <v>-122.10787999999999</v>
      </c>
      <c r="E122" s="631" t="s">
        <v>8445</v>
      </c>
      <c r="F122" s="631" t="s">
        <v>80</v>
      </c>
      <c r="G122" s="631" t="s">
        <v>81</v>
      </c>
      <c r="H122" s="239">
        <v>0.35138888888888892</v>
      </c>
      <c r="I122" s="43" t="s">
        <v>4500</v>
      </c>
      <c r="J122" s="43" t="s">
        <v>4501</v>
      </c>
      <c r="K122" s="238" t="s">
        <v>8283</v>
      </c>
      <c r="L122" s="43">
        <v>2</v>
      </c>
      <c r="M122" s="43">
        <v>10</v>
      </c>
      <c r="N122" s="43" t="s">
        <v>49</v>
      </c>
      <c r="O122" s="43">
        <v>37</v>
      </c>
      <c r="P122" s="42">
        <f>AVERAGE(1911,1666)</f>
        <v>1788.5</v>
      </c>
      <c r="Q122" s="42">
        <f>AVERAGE(6897,6348)</f>
        <v>6622.5</v>
      </c>
      <c r="R122" s="234">
        <v>0.33999999999999997</v>
      </c>
      <c r="S122" s="234">
        <v>47.95</v>
      </c>
      <c r="T122" s="234">
        <v>46.7</v>
      </c>
      <c r="U122" s="43" t="s">
        <v>31</v>
      </c>
      <c r="V122" s="240">
        <v>8</v>
      </c>
      <c r="W122" s="240" t="s">
        <v>8446</v>
      </c>
      <c r="Y122" s="40" t="s">
        <v>6671</v>
      </c>
    </row>
    <row r="123" spans="1:25" x14ac:dyDescent="0.25">
      <c r="A123" s="44">
        <v>42887</v>
      </c>
      <c r="B123" s="631" t="s">
        <v>8285</v>
      </c>
      <c r="C123" s="631">
        <v>38.056930000000001</v>
      </c>
      <c r="D123" s="631">
        <v>-122.10787999999999</v>
      </c>
      <c r="E123" s="631" t="s">
        <v>8445</v>
      </c>
      <c r="F123" s="631" t="s">
        <v>80</v>
      </c>
      <c r="G123" s="631" t="s">
        <v>81</v>
      </c>
      <c r="H123" s="239"/>
      <c r="I123" s="43"/>
      <c r="J123" s="43"/>
      <c r="K123" s="43"/>
      <c r="L123" s="43"/>
      <c r="M123" s="43"/>
      <c r="N123" s="43"/>
      <c r="O123" s="43"/>
      <c r="P123" s="43"/>
      <c r="Q123" s="43"/>
      <c r="R123" s="43"/>
      <c r="S123" s="43"/>
      <c r="T123" s="43"/>
      <c r="U123" s="43" t="s">
        <v>702</v>
      </c>
      <c r="V123" s="43">
        <v>1</v>
      </c>
      <c r="W123" s="43">
        <v>105</v>
      </c>
      <c r="X123" s="5" t="s">
        <v>8447</v>
      </c>
      <c r="Y123" s="40" t="s">
        <v>6671</v>
      </c>
    </row>
    <row r="124" spans="1:25" x14ac:dyDescent="0.25">
      <c r="A124" s="44">
        <v>42887</v>
      </c>
      <c r="B124" s="631" t="s">
        <v>8285</v>
      </c>
      <c r="C124" s="631">
        <v>38.053849999999997</v>
      </c>
      <c r="D124" s="631">
        <v>-122.30106000000001</v>
      </c>
      <c r="E124" s="631" t="s">
        <v>8448</v>
      </c>
      <c r="F124" s="631" t="s">
        <v>80</v>
      </c>
      <c r="G124" s="631" t="s">
        <v>123</v>
      </c>
      <c r="H124" s="239">
        <v>0.4152777777777778</v>
      </c>
      <c r="I124" s="43" t="s">
        <v>4500</v>
      </c>
      <c r="J124" s="43" t="s">
        <v>4501</v>
      </c>
      <c r="K124" s="238" t="s">
        <v>8283</v>
      </c>
      <c r="L124" s="43">
        <v>2</v>
      </c>
      <c r="M124" s="43">
        <v>10</v>
      </c>
      <c r="N124" s="43" t="s">
        <v>49</v>
      </c>
      <c r="O124" s="43">
        <v>33</v>
      </c>
      <c r="P124" s="42">
        <f>AVERAGE(11160,10376)</f>
        <v>10768</v>
      </c>
      <c r="Q124" s="42">
        <f>AVERAGE(19685,24747)</f>
        <v>22216</v>
      </c>
      <c r="R124" s="234">
        <v>0.495</v>
      </c>
      <c r="S124" s="234">
        <v>25.75</v>
      </c>
      <c r="T124" s="234">
        <v>38.6</v>
      </c>
      <c r="U124" s="43" t="s">
        <v>31</v>
      </c>
      <c r="V124" s="45">
        <v>1</v>
      </c>
      <c r="W124" s="45">
        <v>33</v>
      </c>
      <c r="Y124" s="40" t="s">
        <v>6671</v>
      </c>
    </row>
    <row r="125" spans="1:25" x14ac:dyDescent="0.25">
      <c r="A125" s="44">
        <v>42887</v>
      </c>
      <c r="B125" s="631" t="s">
        <v>8285</v>
      </c>
      <c r="C125" s="631">
        <v>38.152419999999999</v>
      </c>
      <c r="D125" s="631">
        <v>-122.29188000000001</v>
      </c>
      <c r="E125" s="631" t="s">
        <v>8449</v>
      </c>
      <c r="F125" s="631" t="s">
        <v>80</v>
      </c>
      <c r="G125" s="631" t="s">
        <v>191</v>
      </c>
      <c r="H125" s="239">
        <v>0.46527777777777773</v>
      </c>
      <c r="I125" s="43" t="s">
        <v>4500</v>
      </c>
      <c r="J125" s="43" t="s">
        <v>4501</v>
      </c>
      <c r="K125" s="238" t="s">
        <v>8283</v>
      </c>
      <c r="L125" s="43">
        <v>2</v>
      </c>
      <c r="M125" s="43">
        <v>10</v>
      </c>
      <c r="N125" s="43" t="s">
        <v>49</v>
      </c>
      <c r="O125" s="43">
        <f>AVERAGE(12.2,11.7)</f>
        <v>11.95</v>
      </c>
      <c r="P125" s="42">
        <f>AVERAGE(5160,5339)</f>
        <v>5249.5</v>
      </c>
      <c r="Q125" s="42">
        <f>AVERAGE(5394,5173)</f>
        <v>5283.5</v>
      </c>
      <c r="R125" s="234">
        <v>0.31</v>
      </c>
      <c r="S125" s="234">
        <v>56.8</v>
      </c>
      <c r="T125" s="234">
        <v>86.85</v>
      </c>
      <c r="U125" s="43" t="s">
        <v>323</v>
      </c>
      <c r="V125" s="45">
        <v>1</v>
      </c>
      <c r="W125" s="45">
        <v>39</v>
      </c>
      <c r="X125" s="5" t="s">
        <v>8450</v>
      </c>
      <c r="Y125" s="40" t="s">
        <v>6671</v>
      </c>
    </row>
    <row r="126" spans="1:25" x14ac:dyDescent="0.25">
      <c r="A126" s="44">
        <v>42891</v>
      </c>
      <c r="B126" s="631" t="s">
        <v>8291</v>
      </c>
      <c r="C126" s="631">
        <v>38.095550000000003</v>
      </c>
      <c r="D126" s="631">
        <v>-121.56787</v>
      </c>
      <c r="E126" s="631" t="s">
        <v>8451</v>
      </c>
      <c r="F126" s="631" t="s">
        <v>46</v>
      </c>
      <c r="G126" s="631" t="s">
        <v>582</v>
      </c>
      <c r="H126" s="239">
        <v>0.30486111111111108</v>
      </c>
      <c r="I126" s="43" t="s">
        <v>4500</v>
      </c>
      <c r="J126" s="43" t="s">
        <v>4501</v>
      </c>
      <c r="K126" s="238" t="s">
        <v>8283</v>
      </c>
      <c r="L126" s="43">
        <v>2</v>
      </c>
      <c r="M126" s="43">
        <v>10</v>
      </c>
      <c r="N126" s="43" t="s">
        <v>49</v>
      </c>
      <c r="O126" s="43">
        <v>23.5</v>
      </c>
      <c r="P126" s="42">
        <f>AVERAGE(77.9,75.3)</f>
        <v>76.599999999999994</v>
      </c>
      <c r="Q126" s="42">
        <f>AVERAGE(78.4,76.7)</f>
        <v>77.550000000000011</v>
      </c>
      <c r="R126" s="234">
        <v>1.0699999999999998</v>
      </c>
      <c r="S126" s="234">
        <v>13.665000000000001</v>
      </c>
      <c r="T126" s="234">
        <v>22.85</v>
      </c>
      <c r="U126" s="43" t="s">
        <v>50</v>
      </c>
      <c r="V126" s="240">
        <v>0</v>
      </c>
      <c r="W126" s="240" t="s">
        <v>50</v>
      </c>
      <c r="Y126" s="40" t="s">
        <v>6671</v>
      </c>
    </row>
    <row r="127" spans="1:25" x14ac:dyDescent="0.25">
      <c r="A127" s="44">
        <v>42891</v>
      </c>
      <c r="B127" s="631" t="s">
        <v>8291</v>
      </c>
      <c r="C127" s="631">
        <v>38.116579999999999</v>
      </c>
      <c r="D127" s="631">
        <v>-121.62815000000001</v>
      </c>
      <c r="E127" s="631" t="s">
        <v>8452</v>
      </c>
      <c r="F127" s="631" t="s">
        <v>46</v>
      </c>
      <c r="G127" s="631" t="s">
        <v>97</v>
      </c>
      <c r="H127" s="239">
        <v>0.36458333333333331</v>
      </c>
      <c r="I127" s="43" t="s">
        <v>4500</v>
      </c>
      <c r="J127" s="43" t="s">
        <v>4501</v>
      </c>
      <c r="K127" s="43" t="s">
        <v>8283</v>
      </c>
      <c r="L127" s="43">
        <v>2</v>
      </c>
      <c r="M127" s="43">
        <v>10</v>
      </c>
      <c r="N127" s="43" t="s">
        <v>64</v>
      </c>
      <c r="O127" s="43">
        <v>9</v>
      </c>
      <c r="P127" s="42">
        <f>AVERAGE(104.4,104.4)</f>
        <v>104.4</v>
      </c>
      <c r="Q127" s="42">
        <f>AVERAGE(105.4,106.3)</f>
        <v>105.85</v>
      </c>
      <c r="R127" s="234">
        <v>1.01</v>
      </c>
      <c r="S127" s="234">
        <v>10.344999999999999</v>
      </c>
      <c r="T127" s="234">
        <v>24.934999999999999</v>
      </c>
      <c r="U127" s="43" t="s">
        <v>50</v>
      </c>
      <c r="V127" s="240">
        <v>0</v>
      </c>
      <c r="W127" s="240" t="s">
        <v>50</v>
      </c>
      <c r="Y127" s="40" t="s">
        <v>6671</v>
      </c>
    </row>
    <row r="128" spans="1:25" x14ac:dyDescent="0.25">
      <c r="A128" s="44">
        <v>42891</v>
      </c>
      <c r="B128" s="631" t="s">
        <v>8291</v>
      </c>
      <c r="C128" s="631">
        <v>38.013190000000002</v>
      </c>
      <c r="D128" s="631">
        <v>-121.65519999999999</v>
      </c>
      <c r="E128" s="631" t="s">
        <v>8453</v>
      </c>
      <c r="F128" s="631" t="s">
        <v>46</v>
      </c>
      <c r="G128" s="631" t="s">
        <v>47</v>
      </c>
      <c r="H128" s="239">
        <v>0.45416666666666666</v>
      </c>
      <c r="I128" s="43" t="s">
        <v>4500</v>
      </c>
      <c r="J128" s="43" t="s">
        <v>4501</v>
      </c>
      <c r="K128" s="43" t="s">
        <v>8283</v>
      </c>
      <c r="L128" s="43">
        <v>2</v>
      </c>
      <c r="M128" s="43">
        <v>10</v>
      </c>
      <c r="N128" s="43" t="s">
        <v>49</v>
      </c>
      <c r="O128" s="43">
        <v>11.5</v>
      </c>
      <c r="P128" s="42">
        <f>AVERAGE(130,134.3)</f>
        <v>132.15</v>
      </c>
      <c r="Q128" s="42">
        <f>AVERAGE(136.9,135.5)</f>
        <v>136.19999999999999</v>
      </c>
      <c r="R128" s="234">
        <v>1.43</v>
      </c>
      <c r="S128" s="234">
        <v>5.8949999999999996</v>
      </c>
      <c r="T128" s="234">
        <v>11.885</v>
      </c>
      <c r="U128" s="43" t="s">
        <v>50</v>
      </c>
      <c r="V128" s="240">
        <v>0</v>
      </c>
      <c r="W128" s="240" t="s">
        <v>50</v>
      </c>
      <c r="Y128" s="40" t="s">
        <v>6671</v>
      </c>
    </row>
    <row r="129" spans="1:25" x14ac:dyDescent="0.25">
      <c r="A129" s="44">
        <v>42891</v>
      </c>
      <c r="B129" s="631" t="s">
        <v>8285</v>
      </c>
      <c r="C129" s="631">
        <v>38.074069999999999</v>
      </c>
      <c r="D129" s="631">
        <v>-122.09014000000001</v>
      </c>
      <c r="E129" s="631" t="s">
        <v>8454</v>
      </c>
      <c r="F129" s="631" t="s">
        <v>80</v>
      </c>
      <c r="G129" s="631" t="s">
        <v>81</v>
      </c>
      <c r="H129" s="239">
        <v>0.33333333333333331</v>
      </c>
      <c r="I129" s="43" t="s">
        <v>4500</v>
      </c>
      <c r="J129" s="43" t="s">
        <v>4501</v>
      </c>
      <c r="K129" s="238" t="s">
        <v>8283</v>
      </c>
      <c r="L129" s="43">
        <v>0</v>
      </c>
      <c r="M129" s="43">
        <v>0</v>
      </c>
      <c r="N129" s="43" t="s">
        <v>50</v>
      </c>
      <c r="O129" s="43" t="s">
        <v>50</v>
      </c>
      <c r="P129" s="43" t="s">
        <v>50</v>
      </c>
      <c r="Q129" s="43" t="s">
        <v>50</v>
      </c>
      <c r="R129" s="43" t="s">
        <v>50</v>
      </c>
      <c r="S129" s="43" t="s">
        <v>50</v>
      </c>
      <c r="T129" s="43" t="s">
        <v>50</v>
      </c>
      <c r="U129" s="43" t="s">
        <v>50</v>
      </c>
      <c r="V129" s="43" t="s">
        <v>50</v>
      </c>
      <c r="W129" s="43" t="s">
        <v>50</v>
      </c>
      <c r="X129" s="5" t="s">
        <v>8455</v>
      </c>
      <c r="Y129" s="40" t="s">
        <v>6671</v>
      </c>
    </row>
    <row r="130" spans="1:25" x14ac:dyDescent="0.25">
      <c r="A130" s="44">
        <v>42891</v>
      </c>
      <c r="B130" s="631" t="s">
        <v>8285</v>
      </c>
      <c r="C130" s="631">
        <v>38.074530000000003</v>
      </c>
      <c r="D130" s="631">
        <v>-122.09184999999999</v>
      </c>
      <c r="E130" s="631" t="s">
        <v>8456</v>
      </c>
      <c r="F130" s="631" t="s">
        <v>80</v>
      </c>
      <c r="G130" s="631" t="s">
        <v>81</v>
      </c>
      <c r="H130" s="239">
        <v>0.35416666666666669</v>
      </c>
      <c r="I130" s="43" t="s">
        <v>4500</v>
      </c>
      <c r="J130" s="43" t="s">
        <v>4501</v>
      </c>
      <c r="K130" s="238" t="s">
        <v>8283</v>
      </c>
      <c r="L130" s="43">
        <v>0</v>
      </c>
      <c r="M130" s="43">
        <v>0</v>
      </c>
      <c r="N130" s="43" t="s">
        <v>50</v>
      </c>
      <c r="O130" s="43" t="s">
        <v>50</v>
      </c>
      <c r="P130" s="43" t="s">
        <v>50</v>
      </c>
      <c r="Q130" s="43" t="s">
        <v>50</v>
      </c>
      <c r="R130" s="43" t="s">
        <v>50</v>
      </c>
      <c r="S130" s="43" t="s">
        <v>50</v>
      </c>
      <c r="T130" s="43" t="s">
        <v>50</v>
      </c>
      <c r="U130" s="43" t="s">
        <v>50</v>
      </c>
      <c r="V130" s="43" t="s">
        <v>50</v>
      </c>
      <c r="W130" s="43" t="s">
        <v>50</v>
      </c>
      <c r="X130" s="5" t="s">
        <v>8455</v>
      </c>
      <c r="Y130" s="40" t="s">
        <v>6671</v>
      </c>
    </row>
    <row r="131" spans="1:25" x14ac:dyDescent="0.25">
      <c r="A131" s="44">
        <v>42891</v>
      </c>
      <c r="B131" s="631" t="s">
        <v>8285</v>
      </c>
      <c r="C131" s="631">
        <v>38.058669999999999</v>
      </c>
      <c r="D131" s="631">
        <v>-122.26067999999999</v>
      </c>
      <c r="E131" s="631" t="s">
        <v>8457</v>
      </c>
      <c r="F131" s="631" t="s">
        <v>80</v>
      </c>
      <c r="G131" s="631" t="s">
        <v>123</v>
      </c>
      <c r="H131" s="239">
        <v>0.39861111111111108</v>
      </c>
      <c r="I131" s="43" t="s">
        <v>4500</v>
      </c>
      <c r="J131" s="43" t="s">
        <v>4501</v>
      </c>
      <c r="K131" s="238" t="s">
        <v>8283</v>
      </c>
      <c r="L131" s="43">
        <v>2</v>
      </c>
      <c r="M131" s="43">
        <v>10</v>
      </c>
      <c r="N131" s="43" t="s">
        <v>64</v>
      </c>
      <c r="O131" s="43">
        <f>AVERAGE(43.3,40)</f>
        <v>41.65</v>
      </c>
      <c r="P131" s="42">
        <f>AVERAGE(9504,9075)</f>
        <v>9289.5</v>
      </c>
      <c r="Q131" s="42">
        <f>AVERAGE(15995,16413)</f>
        <v>16204</v>
      </c>
      <c r="R131" s="234">
        <v>0.56499999999999995</v>
      </c>
      <c r="S131" s="234">
        <v>20.3</v>
      </c>
      <c r="T131" s="234">
        <v>272.5</v>
      </c>
      <c r="U131" s="43" t="s">
        <v>50</v>
      </c>
      <c r="V131" s="240">
        <v>0</v>
      </c>
      <c r="W131" s="240" t="s">
        <v>50</v>
      </c>
      <c r="Y131" s="40" t="s">
        <v>6671</v>
      </c>
    </row>
    <row r="132" spans="1:25" x14ac:dyDescent="0.25">
      <c r="A132" s="44">
        <v>42891</v>
      </c>
      <c r="B132" s="631" t="s">
        <v>8285</v>
      </c>
      <c r="C132" s="631">
        <v>38.039090000000002</v>
      </c>
      <c r="D132" s="631">
        <v>-122.27981</v>
      </c>
      <c r="E132" s="631" t="s">
        <v>8458</v>
      </c>
      <c r="F132" s="631" t="s">
        <v>80</v>
      </c>
      <c r="G132" s="631" t="s">
        <v>123</v>
      </c>
      <c r="H132" s="239">
        <v>0.43541666666666662</v>
      </c>
      <c r="I132" s="43" t="s">
        <v>4500</v>
      </c>
      <c r="J132" s="43" t="s">
        <v>4501</v>
      </c>
      <c r="K132" s="238" t="s">
        <v>8283</v>
      </c>
      <c r="L132" s="43">
        <v>2</v>
      </c>
      <c r="M132" s="43">
        <v>10</v>
      </c>
      <c r="N132" s="43" t="s">
        <v>64</v>
      </c>
      <c r="O132" s="43">
        <v>11.5</v>
      </c>
      <c r="P132" s="42">
        <f>AVERAGE(17394,17754)</f>
        <v>17574</v>
      </c>
      <c r="Q132" s="42">
        <f>AVERAGE(17804,18606)</f>
        <v>18205</v>
      </c>
      <c r="R132" s="295">
        <v>0.52</v>
      </c>
      <c r="S132" s="295">
        <v>65.133333333333326</v>
      </c>
      <c r="T132" s="295">
        <v>73.066666666666663</v>
      </c>
      <c r="U132" s="43" t="s">
        <v>50</v>
      </c>
      <c r="V132" s="240">
        <v>0</v>
      </c>
      <c r="W132" s="240" t="s">
        <v>50</v>
      </c>
      <c r="Y132" s="40" t="s">
        <v>6671</v>
      </c>
    </row>
    <row r="133" spans="1:25" x14ac:dyDescent="0.25">
      <c r="A133" s="44">
        <v>42891</v>
      </c>
      <c r="B133" s="631" t="s">
        <v>8285</v>
      </c>
      <c r="C133" s="631">
        <v>38.077730000000003</v>
      </c>
      <c r="D133" s="631">
        <v>-122.02515</v>
      </c>
      <c r="E133" s="631" t="s">
        <v>8459</v>
      </c>
      <c r="F133" s="631" t="s">
        <v>80</v>
      </c>
      <c r="G133" s="631" t="s">
        <v>81</v>
      </c>
      <c r="H133" s="239">
        <v>0.49027777777777781</v>
      </c>
      <c r="I133" s="43" t="s">
        <v>4500</v>
      </c>
      <c r="J133" s="43" t="s">
        <v>4501</v>
      </c>
      <c r="K133" s="238" t="s">
        <v>8283</v>
      </c>
      <c r="L133" s="43">
        <v>2</v>
      </c>
      <c r="M133" s="43">
        <v>10</v>
      </c>
      <c r="N133" s="43" t="s">
        <v>49</v>
      </c>
      <c r="O133" s="43">
        <v>14</v>
      </c>
      <c r="P133" s="42">
        <f>AVERAGE(478.6,445)</f>
        <v>461.8</v>
      </c>
      <c r="Q133" s="42">
        <f>AVERAGE(540,433.2)</f>
        <v>486.6</v>
      </c>
      <c r="R133" s="234">
        <v>0.38</v>
      </c>
      <c r="S133" s="234">
        <v>48.3</v>
      </c>
      <c r="T133" s="234">
        <v>61.2</v>
      </c>
      <c r="U133" s="43" t="s">
        <v>323</v>
      </c>
      <c r="V133" s="45">
        <v>1</v>
      </c>
      <c r="W133" s="45">
        <v>11.9</v>
      </c>
      <c r="Y133" s="40" t="s">
        <v>6671</v>
      </c>
    </row>
    <row r="134" spans="1:25" x14ac:dyDescent="0.25">
      <c r="A134" s="44">
        <v>42892</v>
      </c>
      <c r="B134" s="631" t="s">
        <v>8291</v>
      </c>
      <c r="C134" s="631">
        <v>38.024340000000002</v>
      </c>
      <c r="D134" s="631">
        <v>-121.52598</v>
      </c>
      <c r="E134" s="631" t="s">
        <v>8460</v>
      </c>
      <c r="F134" s="631" t="s">
        <v>46</v>
      </c>
      <c r="G134" s="631" t="s">
        <v>6939</v>
      </c>
      <c r="H134" s="239">
        <v>0.38750000000000001</v>
      </c>
      <c r="I134" s="43" t="s">
        <v>4500</v>
      </c>
      <c r="J134" s="43" t="s">
        <v>4501</v>
      </c>
      <c r="K134" s="238" t="s">
        <v>8283</v>
      </c>
      <c r="L134" s="43">
        <v>2</v>
      </c>
      <c r="M134" s="43">
        <v>10</v>
      </c>
      <c r="N134" s="43" t="s">
        <v>49</v>
      </c>
      <c r="O134" s="43">
        <f>AVERAGE(17,21)</f>
        <v>19</v>
      </c>
      <c r="P134" s="43">
        <f>AVERAGE(118.5,119)</f>
        <v>118.75</v>
      </c>
      <c r="Q134" s="43">
        <f>AVERAGE(118.1,119.7)</f>
        <v>118.9</v>
      </c>
      <c r="R134" s="234">
        <v>0.9850000000000001</v>
      </c>
      <c r="S134" s="234">
        <v>8.9349999999999987</v>
      </c>
      <c r="T134" s="234">
        <v>11.7</v>
      </c>
      <c r="U134" s="43" t="s">
        <v>50</v>
      </c>
      <c r="V134" s="45">
        <v>0</v>
      </c>
      <c r="W134" s="45" t="s">
        <v>50</v>
      </c>
      <c r="Y134" s="40" t="s">
        <v>6671</v>
      </c>
    </row>
    <row r="135" spans="1:25" x14ac:dyDescent="0.25">
      <c r="A135" s="44">
        <v>42892</v>
      </c>
      <c r="B135" s="631" t="s">
        <v>8291</v>
      </c>
      <c r="C135" s="631">
        <v>37.974209999999999</v>
      </c>
      <c r="D135" s="631">
        <v>-121.52961999999999</v>
      </c>
      <c r="E135" s="631" t="s">
        <v>8461</v>
      </c>
      <c r="F135" s="631" t="s">
        <v>46</v>
      </c>
      <c r="G135" s="631" t="s">
        <v>6939</v>
      </c>
      <c r="H135" s="239">
        <v>0.33888888888888885</v>
      </c>
      <c r="I135" s="43" t="s">
        <v>4500</v>
      </c>
      <c r="J135" s="43" t="s">
        <v>4501</v>
      </c>
      <c r="K135" s="238" t="s">
        <v>8283</v>
      </c>
      <c r="L135" s="43">
        <v>2</v>
      </c>
      <c r="M135" s="43">
        <v>10</v>
      </c>
      <c r="N135" s="43" t="s">
        <v>49</v>
      </c>
      <c r="O135" s="43">
        <v>12.5</v>
      </c>
      <c r="P135" s="43">
        <f>AVERAGE(138.8,138.8)</f>
        <v>138.80000000000001</v>
      </c>
      <c r="Q135" s="43">
        <f>AVERAGE(140.1,141.3)</f>
        <v>140.69999999999999</v>
      </c>
      <c r="R135" s="234">
        <v>1.3199999999999998</v>
      </c>
      <c r="S135" s="234">
        <v>6.1349999999999998</v>
      </c>
      <c r="T135" s="234">
        <v>38.120000000000005</v>
      </c>
      <c r="U135" s="43" t="s">
        <v>50</v>
      </c>
      <c r="V135" s="45">
        <v>0</v>
      </c>
      <c r="W135" s="45" t="s">
        <v>50</v>
      </c>
      <c r="Y135" s="40" t="s">
        <v>6671</v>
      </c>
    </row>
    <row r="136" spans="1:25" x14ac:dyDescent="0.25">
      <c r="A136" s="44">
        <v>42892</v>
      </c>
      <c r="B136" s="631" t="s">
        <v>8291</v>
      </c>
      <c r="C136" s="631">
        <v>38.069020000000002</v>
      </c>
      <c r="D136" s="631">
        <v>-121.64794999999999</v>
      </c>
      <c r="E136" s="631" t="s">
        <v>8462</v>
      </c>
      <c r="F136" s="631" t="s">
        <v>46</v>
      </c>
      <c r="G136" s="631" t="s">
        <v>47</v>
      </c>
      <c r="H136" s="239">
        <v>0.44097222222222227</v>
      </c>
      <c r="I136" s="43" t="s">
        <v>4500</v>
      </c>
      <c r="J136" s="43" t="s">
        <v>4501</v>
      </c>
      <c r="K136" s="238" t="s">
        <v>8283</v>
      </c>
      <c r="L136" s="43">
        <v>2</v>
      </c>
      <c r="M136" s="43">
        <v>10</v>
      </c>
      <c r="N136" s="43" t="s">
        <v>49</v>
      </c>
      <c r="O136" s="43">
        <v>12.5</v>
      </c>
      <c r="P136" s="43">
        <f>AVERAGE(90.7,90.3)</f>
        <v>90.5</v>
      </c>
      <c r="Q136" s="43">
        <f>AVERAGE(90.8,90.7)</f>
        <v>90.75</v>
      </c>
      <c r="R136" s="234">
        <v>0.83499999999999996</v>
      </c>
      <c r="S136" s="234">
        <v>8.64</v>
      </c>
      <c r="T136" s="234">
        <v>18.850000000000001</v>
      </c>
      <c r="U136" s="43" t="s">
        <v>50</v>
      </c>
      <c r="V136" s="45">
        <v>0</v>
      </c>
      <c r="W136" s="45" t="s">
        <v>50</v>
      </c>
      <c r="Y136" s="40" t="s">
        <v>6671</v>
      </c>
    </row>
    <row r="137" spans="1:25" x14ac:dyDescent="0.25">
      <c r="A137" s="44">
        <v>42892</v>
      </c>
      <c r="B137" s="631" t="s">
        <v>8296</v>
      </c>
      <c r="C137" s="631">
        <v>38.508339999999997</v>
      </c>
      <c r="D137" s="631">
        <v>-121.58466</v>
      </c>
      <c r="E137" s="631" t="s">
        <v>8463</v>
      </c>
      <c r="F137" s="631" t="s">
        <v>90</v>
      </c>
      <c r="G137" s="631" t="s">
        <v>7577</v>
      </c>
      <c r="H137" s="239">
        <v>0.40208333333333335</v>
      </c>
      <c r="I137" s="43" t="s">
        <v>4500</v>
      </c>
      <c r="J137" s="43" t="s">
        <v>4501</v>
      </c>
      <c r="K137" s="43" t="s">
        <v>8283</v>
      </c>
      <c r="L137" s="43">
        <v>2</v>
      </c>
      <c r="M137" s="43">
        <v>10</v>
      </c>
      <c r="N137" s="43" t="s">
        <v>49</v>
      </c>
      <c r="O137" s="43">
        <v>34</v>
      </c>
      <c r="P137" s="43">
        <f>AVERAGE(759,750)</f>
        <v>754.5</v>
      </c>
      <c r="Q137" s="43">
        <f>AVERAGE(753,751)</f>
        <v>752</v>
      </c>
      <c r="R137" s="234">
        <v>0.71500000000000008</v>
      </c>
      <c r="S137" s="234">
        <v>25.1</v>
      </c>
      <c r="T137" s="234">
        <v>488</v>
      </c>
      <c r="U137" s="43" t="s">
        <v>50</v>
      </c>
      <c r="V137" s="45">
        <v>0</v>
      </c>
      <c r="W137" s="45" t="s">
        <v>50</v>
      </c>
      <c r="Y137" s="40" t="s">
        <v>6671</v>
      </c>
    </row>
    <row r="138" spans="1:25" x14ac:dyDescent="0.25">
      <c r="A138" s="44">
        <v>42892</v>
      </c>
      <c r="B138" s="631" t="s">
        <v>8296</v>
      </c>
      <c r="C138" s="631">
        <v>38.019150000000003</v>
      </c>
      <c r="D138" s="631">
        <v>-121.81346000000001</v>
      </c>
      <c r="E138" s="631" t="s">
        <v>8464</v>
      </c>
      <c r="F138" s="631" t="s">
        <v>27</v>
      </c>
      <c r="G138" s="631" t="s">
        <v>95</v>
      </c>
      <c r="H138" s="239">
        <v>0.54027777777777775</v>
      </c>
      <c r="I138" s="43" t="s">
        <v>4500</v>
      </c>
      <c r="J138" s="43" t="s">
        <v>4501</v>
      </c>
      <c r="K138" s="43" t="s">
        <v>8283</v>
      </c>
      <c r="L138" s="43">
        <v>2</v>
      </c>
      <c r="M138" s="43">
        <v>10</v>
      </c>
      <c r="N138" s="43" t="s">
        <v>64</v>
      </c>
      <c r="O138" s="43">
        <v>49.5</v>
      </c>
      <c r="P138" s="43">
        <f>AVERAGE(104.9,105)</f>
        <v>104.95</v>
      </c>
      <c r="Q138" s="43">
        <f>AVERAGE(105.7,104.7)</f>
        <v>105.2</v>
      </c>
      <c r="R138" s="234">
        <v>0.82499999999999996</v>
      </c>
      <c r="S138" s="234">
        <v>14.3</v>
      </c>
      <c r="T138" s="234">
        <v>16.05</v>
      </c>
      <c r="U138" s="43" t="s">
        <v>50</v>
      </c>
      <c r="V138" s="45">
        <v>0</v>
      </c>
      <c r="W138" s="45" t="s">
        <v>50</v>
      </c>
      <c r="Y138" s="40" t="s">
        <v>6671</v>
      </c>
    </row>
    <row r="139" spans="1:25" x14ac:dyDescent="0.25">
      <c r="A139" s="44">
        <v>42892</v>
      </c>
      <c r="B139" s="631" t="s">
        <v>8296</v>
      </c>
      <c r="C139" s="631">
        <v>38.093989999999998</v>
      </c>
      <c r="D139" s="631">
        <v>-121.87463</v>
      </c>
      <c r="E139" s="631" t="s">
        <v>8465</v>
      </c>
      <c r="F139" s="631" t="s">
        <v>27</v>
      </c>
      <c r="G139" s="631" t="s">
        <v>25</v>
      </c>
      <c r="H139" s="239">
        <v>0.41666666666666669</v>
      </c>
      <c r="I139" s="43" t="s">
        <v>4500</v>
      </c>
      <c r="J139" s="43" t="s">
        <v>4501</v>
      </c>
      <c r="K139" s="238" t="s">
        <v>8283</v>
      </c>
      <c r="L139" s="43">
        <v>0</v>
      </c>
      <c r="M139" s="43">
        <v>0</v>
      </c>
      <c r="N139" s="43" t="s">
        <v>50</v>
      </c>
      <c r="O139" s="43" t="s">
        <v>50</v>
      </c>
      <c r="P139" s="43" t="s">
        <v>50</v>
      </c>
      <c r="Q139" s="43" t="s">
        <v>50</v>
      </c>
      <c r="R139" s="43" t="s">
        <v>50</v>
      </c>
      <c r="S139" s="43" t="s">
        <v>50</v>
      </c>
      <c r="T139" s="43" t="s">
        <v>50</v>
      </c>
      <c r="U139" s="43" t="s">
        <v>50</v>
      </c>
      <c r="V139" s="45" t="s">
        <v>50</v>
      </c>
      <c r="W139" s="45" t="s">
        <v>50</v>
      </c>
      <c r="X139" s="5" t="s">
        <v>8466</v>
      </c>
      <c r="Y139" s="40" t="s">
        <v>6671</v>
      </c>
    </row>
    <row r="140" spans="1:25" x14ac:dyDescent="0.25">
      <c r="A140" s="44">
        <v>42892</v>
      </c>
      <c r="B140" s="631" t="s">
        <v>8296</v>
      </c>
      <c r="C140" s="631">
        <v>38.065980000000003</v>
      </c>
      <c r="D140" s="631">
        <v>-121.77562</v>
      </c>
      <c r="E140" s="631" t="s">
        <v>8467</v>
      </c>
      <c r="F140" s="631" t="s">
        <v>27</v>
      </c>
      <c r="G140" s="631" t="s">
        <v>25</v>
      </c>
      <c r="H140" s="239">
        <v>0.49027777777777781</v>
      </c>
      <c r="I140" s="43" t="s">
        <v>4500</v>
      </c>
      <c r="J140" s="43" t="s">
        <v>4501</v>
      </c>
      <c r="K140" s="238" t="s">
        <v>8283</v>
      </c>
      <c r="L140" s="43">
        <v>2</v>
      </c>
      <c r="M140" s="43">
        <v>10</v>
      </c>
      <c r="N140" s="43" t="s">
        <v>64</v>
      </c>
      <c r="O140" s="43">
        <v>25</v>
      </c>
      <c r="P140" s="43">
        <f>AVERAGE(85,84.9)</f>
        <v>84.95</v>
      </c>
      <c r="Q140" s="43">
        <f>AVERAGE(85.1,84.7)</f>
        <v>84.9</v>
      </c>
      <c r="R140" s="234">
        <v>0.90500000000000003</v>
      </c>
      <c r="S140" s="234">
        <v>17.3</v>
      </c>
      <c r="T140" s="234">
        <v>17.2</v>
      </c>
      <c r="U140" s="43" t="s">
        <v>50</v>
      </c>
      <c r="V140" s="45">
        <v>0</v>
      </c>
      <c r="W140" s="45" t="s">
        <v>50</v>
      </c>
      <c r="Y140" s="40" t="s">
        <v>6671</v>
      </c>
    </row>
    <row r="141" spans="1:25" x14ac:dyDescent="0.25">
      <c r="A141" s="44">
        <v>42893</v>
      </c>
      <c r="B141" s="631" t="s">
        <v>8296</v>
      </c>
      <c r="C141" s="631">
        <v>38.103529999999999</v>
      </c>
      <c r="D141" s="631">
        <v>-122.03075</v>
      </c>
      <c r="E141" s="631" t="s">
        <v>8468</v>
      </c>
      <c r="F141" s="631" t="s">
        <v>27</v>
      </c>
      <c r="G141" s="631" t="s">
        <v>86</v>
      </c>
      <c r="H141" s="239">
        <v>0.35486111111111113</v>
      </c>
      <c r="I141" s="43" t="s">
        <v>4500</v>
      </c>
      <c r="J141" s="43" t="s">
        <v>4501</v>
      </c>
      <c r="K141" s="238" t="s">
        <v>8283</v>
      </c>
      <c r="L141" s="43">
        <v>0</v>
      </c>
      <c r="M141" s="43">
        <v>0</v>
      </c>
      <c r="N141" s="43" t="s">
        <v>50</v>
      </c>
      <c r="O141" s="43" t="s">
        <v>50</v>
      </c>
      <c r="P141" s="43" t="s">
        <v>50</v>
      </c>
      <c r="Q141" s="43" t="s">
        <v>50</v>
      </c>
      <c r="R141" s="43" t="s">
        <v>50</v>
      </c>
      <c r="S141" s="43" t="s">
        <v>50</v>
      </c>
      <c r="T141" s="43" t="s">
        <v>50</v>
      </c>
      <c r="U141" s="43" t="s">
        <v>50</v>
      </c>
      <c r="V141" s="45" t="s">
        <v>50</v>
      </c>
      <c r="W141" s="45" t="s">
        <v>50</v>
      </c>
      <c r="X141" s="5" t="s">
        <v>8466</v>
      </c>
      <c r="Y141" s="235" t="s">
        <v>6671</v>
      </c>
    </row>
    <row r="142" spans="1:25" x14ac:dyDescent="0.25">
      <c r="A142" s="44">
        <v>42893</v>
      </c>
      <c r="B142" s="631" t="s">
        <v>8296</v>
      </c>
      <c r="C142" s="631">
        <v>38.101280000000003</v>
      </c>
      <c r="D142" s="631">
        <v>-122.05359</v>
      </c>
      <c r="E142" s="631" t="s">
        <v>8469</v>
      </c>
      <c r="F142" s="631" t="s">
        <v>27</v>
      </c>
      <c r="G142" s="631" t="s">
        <v>86</v>
      </c>
      <c r="H142" s="239">
        <v>0.3666666666666667</v>
      </c>
      <c r="I142" s="43" t="s">
        <v>4500</v>
      </c>
      <c r="J142" s="43" t="s">
        <v>4501</v>
      </c>
      <c r="K142" s="238" t="s">
        <v>8283</v>
      </c>
      <c r="L142" s="43">
        <v>2</v>
      </c>
      <c r="M142" s="43">
        <v>10</v>
      </c>
      <c r="N142" s="43" t="s">
        <v>49</v>
      </c>
      <c r="O142" s="43">
        <f>AVERAGE(14,13.7)</f>
        <v>13.85</v>
      </c>
      <c r="P142" s="43">
        <f>AVERAGE(218.5,219.1)</f>
        <v>218.8</v>
      </c>
      <c r="Q142" s="43">
        <f>AVERAGE(217.9,210)</f>
        <v>213.95</v>
      </c>
      <c r="R142" s="234">
        <v>0.33500000000000002</v>
      </c>
      <c r="S142" s="234">
        <v>52.7</v>
      </c>
      <c r="T142" s="234">
        <v>63.349999999999994</v>
      </c>
      <c r="U142" s="43" t="s">
        <v>50</v>
      </c>
      <c r="V142" s="45">
        <v>0</v>
      </c>
      <c r="W142" s="45" t="s">
        <v>50</v>
      </c>
      <c r="Y142" s="235" t="s">
        <v>6671</v>
      </c>
    </row>
    <row r="143" spans="1:25" x14ac:dyDescent="0.25">
      <c r="A143" s="44">
        <v>42893</v>
      </c>
      <c r="B143" s="631" t="s">
        <v>8296</v>
      </c>
      <c r="C143" s="631">
        <v>38.032179999999997</v>
      </c>
      <c r="D143" s="631">
        <v>-121.72135</v>
      </c>
      <c r="E143" s="631" t="s">
        <v>8470</v>
      </c>
      <c r="F143" s="631" t="s">
        <v>27</v>
      </c>
      <c r="G143" s="631" t="s">
        <v>95</v>
      </c>
      <c r="H143" s="239">
        <v>0.4694444444444445</v>
      </c>
      <c r="I143" s="43" t="s">
        <v>4500</v>
      </c>
      <c r="J143" s="43" t="s">
        <v>4501</v>
      </c>
      <c r="K143" s="238" t="s">
        <v>8283</v>
      </c>
      <c r="L143" s="43">
        <v>2</v>
      </c>
      <c r="M143" s="43">
        <v>10</v>
      </c>
      <c r="N143" s="43" t="s">
        <v>49</v>
      </c>
      <c r="O143" s="43">
        <f>AVERAGE(31,29.3)</f>
        <v>30.15</v>
      </c>
      <c r="P143" s="43">
        <f>AVERAGE(130.2,130.5)</f>
        <v>130.35</v>
      </c>
      <c r="Q143" s="43">
        <f>AVERAGE(123.5,129.7)</f>
        <v>126.6</v>
      </c>
      <c r="R143" s="234">
        <v>1.2549999999999999</v>
      </c>
      <c r="S143" s="234">
        <v>21.799999999999997</v>
      </c>
      <c r="T143" s="234">
        <v>210.3</v>
      </c>
      <c r="U143" s="43" t="s">
        <v>50</v>
      </c>
      <c r="V143" s="45">
        <v>0</v>
      </c>
      <c r="W143" s="45" t="s">
        <v>50</v>
      </c>
      <c r="Y143" s="235" t="s">
        <v>6671</v>
      </c>
    </row>
    <row r="144" spans="1:25" x14ac:dyDescent="0.25">
      <c r="A144" s="44">
        <v>42893</v>
      </c>
      <c r="B144" s="631" t="s">
        <v>8296</v>
      </c>
      <c r="C144" s="631">
        <v>38.252110000000002</v>
      </c>
      <c r="D144" s="631">
        <v>-121.72375</v>
      </c>
      <c r="E144" s="631" t="s">
        <v>8471</v>
      </c>
      <c r="F144" s="631" t="s">
        <v>90</v>
      </c>
      <c r="G144" s="631" t="s">
        <v>126</v>
      </c>
      <c r="H144" s="239">
        <v>0.54652777777777783</v>
      </c>
      <c r="I144" s="43" t="s">
        <v>4500</v>
      </c>
      <c r="J144" s="43" t="s">
        <v>4501</v>
      </c>
      <c r="K144" s="238" t="s">
        <v>8283</v>
      </c>
      <c r="L144" s="43">
        <v>2</v>
      </c>
      <c r="M144" s="43">
        <v>10</v>
      </c>
      <c r="N144" s="43" t="s">
        <v>49</v>
      </c>
      <c r="O144" s="43">
        <f>AVERAGE(12.3,10)</f>
        <v>11.15</v>
      </c>
      <c r="P144" s="43">
        <f>AVERAGE(206.1,204.7)</f>
        <v>205.39999999999998</v>
      </c>
      <c r="Q144" s="43">
        <f>AVERAGE(203.4,205.5)</f>
        <v>204.45</v>
      </c>
      <c r="R144" s="234">
        <v>0.78</v>
      </c>
      <c r="S144" s="234">
        <v>14.5</v>
      </c>
      <c r="T144" s="234">
        <v>23.95</v>
      </c>
      <c r="U144" s="43" t="s">
        <v>50</v>
      </c>
      <c r="V144" s="45">
        <v>0</v>
      </c>
      <c r="W144" s="45" t="s">
        <v>50</v>
      </c>
      <c r="Y144" s="235" t="s">
        <v>6671</v>
      </c>
    </row>
    <row r="145" spans="1:25" x14ac:dyDescent="0.25">
      <c r="A145" s="44">
        <v>42893</v>
      </c>
      <c r="B145" s="631" t="s">
        <v>8281</v>
      </c>
      <c r="C145" s="631">
        <v>38.073090000000001</v>
      </c>
      <c r="D145" s="631">
        <v>-121.50157</v>
      </c>
      <c r="E145" s="631" t="s">
        <v>8472</v>
      </c>
      <c r="F145" s="631" t="s">
        <v>46</v>
      </c>
      <c r="G145" s="631" t="s">
        <v>6881</v>
      </c>
      <c r="H145" s="239">
        <v>0.33194444444444443</v>
      </c>
      <c r="I145" s="43" t="s">
        <v>4500</v>
      </c>
      <c r="J145" s="43" t="s">
        <v>4501</v>
      </c>
      <c r="K145" s="238" t="s">
        <v>8283</v>
      </c>
      <c r="L145" s="43">
        <v>2</v>
      </c>
      <c r="M145" s="43">
        <v>10</v>
      </c>
      <c r="N145" s="43" t="s">
        <v>49</v>
      </c>
      <c r="O145" s="43">
        <v>19.5</v>
      </c>
      <c r="P145" s="43">
        <f>AVERAGE(68.2,68)</f>
        <v>68.099999999999994</v>
      </c>
      <c r="Q145" s="43">
        <f>AVERAGE(69.5,68.7)</f>
        <v>69.099999999999994</v>
      </c>
      <c r="R145" s="234">
        <v>1.8</v>
      </c>
      <c r="S145" s="234">
        <v>6.5350000000000001</v>
      </c>
      <c r="T145" s="234">
        <v>11.315</v>
      </c>
      <c r="U145" s="43" t="s">
        <v>50</v>
      </c>
      <c r="V145" s="45">
        <v>0</v>
      </c>
      <c r="W145" s="45" t="s">
        <v>50</v>
      </c>
      <c r="X145" s="5" t="s">
        <v>8473</v>
      </c>
      <c r="Y145" s="235" t="s">
        <v>6671</v>
      </c>
    </row>
    <row r="146" spans="1:25" x14ac:dyDescent="0.25">
      <c r="A146" s="44">
        <v>42893</v>
      </c>
      <c r="B146" s="631" t="s">
        <v>8281</v>
      </c>
      <c r="C146" s="631">
        <v>38.116630000000001</v>
      </c>
      <c r="D146" s="631">
        <v>-121.54707999999999</v>
      </c>
      <c r="E146" s="631" t="s">
        <v>8474</v>
      </c>
      <c r="F146" s="631" t="s">
        <v>46</v>
      </c>
      <c r="G146" s="631" t="s">
        <v>6881</v>
      </c>
      <c r="H146" s="239">
        <v>0.3979166666666667</v>
      </c>
      <c r="I146" s="43" t="s">
        <v>4500</v>
      </c>
      <c r="J146" s="43" t="s">
        <v>4501</v>
      </c>
      <c r="K146" s="238" t="s">
        <v>8283</v>
      </c>
      <c r="L146" s="43">
        <v>2</v>
      </c>
      <c r="M146" s="43">
        <v>10</v>
      </c>
      <c r="N146" s="43" t="s">
        <v>49</v>
      </c>
      <c r="O146" s="43">
        <v>23.5</v>
      </c>
      <c r="P146" s="43">
        <f>AVERAGE(61.1,61.1)</f>
        <v>61.1</v>
      </c>
      <c r="Q146" s="43">
        <f>AVERAGE(62.4,64.3)</f>
        <v>63.349999999999994</v>
      </c>
      <c r="R146" s="234">
        <v>1.6099999999999999</v>
      </c>
      <c r="S146" s="234">
        <v>8.2850000000000001</v>
      </c>
      <c r="T146" s="234">
        <v>26.67</v>
      </c>
      <c r="U146" s="43" t="s">
        <v>50</v>
      </c>
      <c r="V146" s="45">
        <v>0</v>
      </c>
      <c r="W146" s="45" t="s">
        <v>50</v>
      </c>
      <c r="X146" s="5" t="s">
        <v>8475</v>
      </c>
      <c r="Y146" s="40" t="s">
        <v>6671</v>
      </c>
    </row>
    <row r="147" spans="1:25" x14ac:dyDescent="0.25">
      <c r="A147" s="44">
        <v>42893</v>
      </c>
      <c r="B147" s="631" t="s">
        <v>8281</v>
      </c>
      <c r="C147" s="631">
        <v>38.235239999999997</v>
      </c>
      <c r="D147" s="631">
        <v>-121.55896</v>
      </c>
      <c r="E147" s="631" t="s">
        <v>8476</v>
      </c>
      <c r="F147" s="631" t="s">
        <v>90</v>
      </c>
      <c r="G147" s="631" t="s">
        <v>6892</v>
      </c>
      <c r="H147" s="239">
        <v>0.50555555555555554</v>
      </c>
      <c r="I147" s="43" t="s">
        <v>4500</v>
      </c>
      <c r="J147" s="43" t="s">
        <v>4501</v>
      </c>
      <c r="K147" s="238" t="s">
        <v>8283</v>
      </c>
      <c r="L147" s="43">
        <v>2</v>
      </c>
      <c r="M147" s="43">
        <v>10</v>
      </c>
      <c r="N147" s="43" t="s">
        <v>49</v>
      </c>
      <c r="O147" s="43">
        <v>30</v>
      </c>
      <c r="P147" s="43">
        <f>AVERAGE(75.7,76.1)</f>
        <v>75.900000000000006</v>
      </c>
      <c r="Q147" s="43">
        <f>AVERAGE(77,77.8)</f>
        <v>77.400000000000006</v>
      </c>
      <c r="R147" s="234">
        <v>0.83000000000000007</v>
      </c>
      <c r="S147" s="234">
        <v>17.05</v>
      </c>
      <c r="T147" s="234">
        <v>18.5</v>
      </c>
      <c r="U147" s="43" t="s">
        <v>50</v>
      </c>
      <c r="V147" s="45">
        <v>0</v>
      </c>
      <c r="W147" s="45" t="s">
        <v>50</v>
      </c>
      <c r="Y147" s="235" t="s">
        <v>6671</v>
      </c>
    </row>
    <row r="148" spans="1:25" x14ac:dyDescent="0.25">
      <c r="A148" s="44">
        <v>42893</v>
      </c>
      <c r="B148" s="631" t="s">
        <v>8281</v>
      </c>
      <c r="C148" s="631">
        <v>38.071100000000001</v>
      </c>
      <c r="D148" s="631">
        <v>-121.50139</v>
      </c>
      <c r="E148" s="631" t="s">
        <v>8472</v>
      </c>
      <c r="F148" s="631" t="s">
        <v>46</v>
      </c>
      <c r="G148" s="631" t="s">
        <v>6881</v>
      </c>
      <c r="H148" s="239">
        <v>0.33194444444444443</v>
      </c>
      <c r="I148" s="43" t="s">
        <v>4500</v>
      </c>
      <c r="J148" s="43" t="s">
        <v>29</v>
      </c>
      <c r="K148" s="238" t="s">
        <v>8306</v>
      </c>
      <c r="L148" s="43">
        <v>2</v>
      </c>
      <c r="M148" s="43">
        <v>10</v>
      </c>
      <c r="N148" s="43" t="s">
        <v>49</v>
      </c>
      <c r="O148" s="43">
        <f>AVERAGE(5.5,8.4)</f>
        <v>6.95</v>
      </c>
      <c r="P148" s="43">
        <f>AVERAGE(72.3,72.2)</f>
        <v>72.25</v>
      </c>
      <c r="Q148" s="43" t="s">
        <v>50</v>
      </c>
      <c r="R148" s="234">
        <v>1.75</v>
      </c>
      <c r="S148" s="234">
        <v>4.4800000000000004</v>
      </c>
      <c r="T148" s="43" t="s">
        <v>50</v>
      </c>
      <c r="U148" s="43" t="s">
        <v>50</v>
      </c>
      <c r="V148" s="45">
        <v>0</v>
      </c>
      <c r="W148" s="45" t="s">
        <v>50</v>
      </c>
      <c r="X148" s="5" t="s">
        <v>8477</v>
      </c>
      <c r="Y148" s="235" t="s">
        <v>6671</v>
      </c>
    </row>
    <row r="149" spans="1:25" x14ac:dyDescent="0.25">
      <c r="A149" s="44">
        <v>42893</v>
      </c>
      <c r="B149" s="631" t="s">
        <v>8281</v>
      </c>
      <c r="C149" s="631">
        <v>38.116190000000003</v>
      </c>
      <c r="D149" s="631">
        <v>-121.54792</v>
      </c>
      <c r="E149" s="631" t="s">
        <v>8474</v>
      </c>
      <c r="F149" s="631" t="s">
        <v>46</v>
      </c>
      <c r="G149" s="631" t="s">
        <v>6881</v>
      </c>
      <c r="H149" s="239">
        <v>0.3972222222222222</v>
      </c>
      <c r="I149" s="43" t="s">
        <v>4500</v>
      </c>
      <c r="J149" s="43" t="s">
        <v>29</v>
      </c>
      <c r="K149" s="238" t="s">
        <v>8306</v>
      </c>
      <c r="L149" s="43">
        <v>2</v>
      </c>
      <c r="M149" s="43">
        <v>10</v>
      </c>
      <c r="N149" s="43" t="s">
        <v>64</v>
      </c>
      <c r="O149" s="43">
        <f>AVERAGE(8.5,7.2)</f>
        <v>7.85</v>
      </c>
      <c r="P149" s="43">
        <f>AVERAGE(64.6,64.9)</f>
        <v>64.75</v>
      </c>
      <c r="Q149" s="43" t="s">
        <v>50</v>
      </c>
      <c r="R149" s="234">
        <v>1.57</v>
      </c>
      <c r="S149" s="234">
        <v>4.8049999999999997</v>
      </c>
      <c r="T149" s="43" t="s">
        <v>50</v>
      </c>
      <c r="U149" s="43" t="s">
        <v>50</v>
      </c>
      <c r="V149" s="45">
        <v>0</v>
      </c>
      <c r="W149" s="45" t="s">
        <v>50</v>
      </c>
      <c r="X149" s="5" t="s">
        <v>8478</v>
      </c>
      <c r="Y149" s="40" t="s">
        <v>6671</v>
      </c>
    </row>
    <row r="150" spans="1:25" x14ac:dyDescent="0.25">
      <c r="A150" s="44">
        <v>42898</v>
      </c>
      <c r="B150" s="631" t="s">
        <v>8281</v>
      </c>
      <c r="C150" s="631">
        <v>38.086500000000001</v>
      </c>
      <c r="D150" s="631">
        <v>-121.54516</v>
      </c>
      <c r="E150" s="631" t="s">
        <v>8479</v>
      </c>
      <c r="F150" s="631" t="s">
        <v>46</v>
      </c>
      <c r="G150" s="631" t="s">
        <v>6881</v>
      </c>
      <c r="H150" s="239">
        <v>0.32222222222222224</v>
      </c>
      <c r="I150" s="43" t="s">
        <v>4500</v>
      </c>
      <c r="J150" s="43" t="s">
        <v>29</v>
      </c>
      <c r="K150" s="238" t="s">
        <v>8306</v>
      </c>
      <c r="L150" s="43">
        <v>2</v>
      </c>
      <c r="M150" s="43">
        <v>10</v>
      </c>
      <c r="N150" s="43" t="s">
        <v>49</v>
      </c>
      <c r="O150" s="43">
        <v>10</v>
      </c>
      <c r="P150" s="43">
        <f>AVERAGE(80.8,80.7)</f>
        <v>80.75</v>
      </c>
      <c r="Q150" s="43" t="s">
        <v>50</v>
      </c>
      <c r="R150" s="43">
        <f>AVERAGE(1.18,1.26)</f>
        <v>1.22</v>
      </c>
      <c r="S150" s="43">
        <f>AVERAGE(6.76,8.08)</f>
        <v>7.42</v>
      </c>
      <c r="T150" s="43" t="s">
        <v>50</v>
      </c>
      <c r="U150" s="43" t="s">
        <v>50</v>
      </c>
      <c r="V150" s="45">
        <v>0</v>
      </c>
      <c r="W150" s="45" t="s">
        <v>50</v>
      </c>
      <c r="X150" s="5" t="s">
        <v>8480</v>
      </c>
      <c r="Y150" s="34" t="s">
        <v>6671</v>
      </c>
    </row>
    <row r="151" spans="1:25" x14ac:dyDescent="0.25">
      <c r="A151" s="44">
        <v>42898</v>
      </c>
      <c r="B151" s="631" t="s">
        <v>8281</v>
      </c>
      <c r="C151" s="631">
        <v>38.164459999999998</v>
      </c>
      <c r="D151" s="631">
        <v>-121.48105</v>
      </c>
      <c r="E151" s="631" t="s">
        <v>8481</v>
      </c>
      <c r="F151" s="631" t="s">
        <v>46</v>
      </c>
      <c r="G151" s="631" t="s">
        <v>6881</v>
      </c>
      <c r="H151" s="239">
        <v>0.3888888888888889</v>
      </c>
      <c r="I151" s="43" t="s">
        <v>4500</v>
      </c>
      <c r="J151" s="43" t="s">
        <v>29</v>
      </c>
      <c r="K151" s="43" t="s">
        <v>8306</v>
      </c>
      <c r="L151" s="43">
        <v>2</v>
      </c>
      <c r="M151" s="43">
        <v>10</v>
      </c>
      <c r="N151" s="43" t="s">
        <v>49</v>
      </c>
      <c r="O151" s="43">
        <f>AVERAGE(8.4,6.4)</f>
        <v>7.4</v>
      </c>
      <c r="P151" s="43">
        <f>AVERAGE(305.9,317)</f>
        <v>311.45</v>
      </c>
      <c r="Q151" s="43" t="s">
        <v>50</v>
      </c>
      <c r="R151" s="43">
        <f>AVERAGE(1.18,1.05)</f>
        <v>1.115</v>
      </c>
      <c r="S151" s="43">
        <f>AVERAGE(6.38,11.3)</f>
        <v>8.84</v>
      </c>
      <c r="T151" s="43" t="s">
        <v>50</v>
      </c>
      <c r="U151" s="43" t="s">
        <v>50</v>
      </c>
      <c r="V151" s="45">
        <v>0</v>
      </c>
      <c r="W151" s="45" t="s">
        <v>50</v>
      </c>
      <c r="X151" s="5" t="s">
        <v>8482</v>
      </c>
      <c r="Y151" s="235" t="s">
        <v>6671</v>
      </c>
    </row>
    <row r="152" spans="1:25" x14ac:dyDescent="0.25">
      <c r="A152" s="44">
        <v>42898</v>
      </c>
      <c r="B152" s="631" t="s">
        <v>8296</v>
      </c>
      <c r="C152" s="631">
        <v>38.031930000000003</v>
      </c>
      <c r="D152" s="631">
        <v>-121.77134</v>
      </c>
      <c r="E152" s="631" t="s">
        <v>8483</v>
      </c>
      <c r="F152" s="631" t="s">
        <v>27</v>
      </c>
      <c r="G152" s="631" t="s">
        <v>25</v>
      </c>
      <c r="H152" s="239">
        <v>0.41666666666666669</v>
      </c>
      <c r="I152" s="43" t="s">
        <v>4500</v>
      </c>
      <c r="J152" s="43" t="s">
        <v>4501</v>
      </c>
      <c r="K152" s="43" t="s">
        <v>8283</v>
      </c>
      <c r="L152" s="43">
        <v>2</v>
      </c>
      <c r="M152" s="43">
        <v>5</v>
      </c>
      <c r="N152" s="43" t="s">
        <v>49</v>
      </c>
      <c r="O152" s="43">
        <v>16.5</v>
      </c>
      <c r="P152" s="43">
        <f>AVERAGE(96.9,96.8)</f>
        <v>96.85</v>
      </c>
      <c r="Q152" s="43">
        <f>AVERAGE(97.2,100.3)</f>
        <v>98.75</v>
      </c>
      <c r="R152" s="43">
        <f>AVERAGE(0.77,0.79)</f>
        <v>0.78</v>
      </c>
      <c r="S152" s="43">
        <f>AVERAGE(16.9,47)</f>
        <v>31.95</v>
      </c>
      <c r="T152" s="43">
        <f>AVERAGE(22.8,312)</f>
        <v>167.4</v>
      </c>
      <c r="U152" s="43" t="s">
        <v>50</v>
      </c>
      <c r="V152" s="45">
        <v>0</v>
      </c>
      <c r="W152" s="45" t="s">
        <v>50</v>
      </c>
      <c r="X152" s="5" t="s">
        <v>8484</v>
      </c>
      <c r="Y152" s="49" t="s">
        <v>6671</v>
      </c>
    </row>
    <row r="153" spans="1:25" x14ac:dyDescent="0.25">
      <c r="A153" s="44">
        <v>42898</v>
      </c>
      <c r="B153" s="631" t="s">
        <v>8296</v>
      </c>
      <c r="C153" s="631">
        <v>38.056350000000002</v>
      </c>
      <c r="D153" s="631">
        <v>-121.96528000000001</v>
      </c>
      <c r="E153" s="631" t="s">
        <v>8485</v>
      </c>
      <c r="F153" s="631" t="s">
        <v>27</v>
      </c>
      <c r="G153" s="631" t="s">
        <v>170</v>
      </c>
      <c r="H153" s="239">
        <v>0.46319444444444446</v>
      </c>
      <c r="I153" s="43" t="s">
        <v>4500</v>
      </c>
      <c r="J153" s="43" t="s">
        <v>4501</v>
      </c>
      <c r="K153" s="43" t="s">
        <v>8283</v>
      </c>
      <c r="L153" s="43">
        <v>2</v>
      </c>
      <c r="M153" s="43">
        <v>10</v>
      </c>
      <c r="N153" s="43" t="s">
        <v>49</v>
      </c>
      <c r="O153" s="43">
        <v>37</v>
      </c>
      <c r="P153" s="43">
        <f>AVERAGE(97.6,98)</f>
        <v>97.8</v>
      </c>
      <c r="Q153" s="43">
        <f>AVERAGE(101.5,98.3)</f>
        <v>99.9</v>
      </c>
      <c r="R153" s="43">
        <f>AVERAGE(0.7,0.61)</f>
        <v>0.65500000000000003</v>
      </c>
      <c r="S153" s="43">
        <f>AVERAGE(23.8,19.6)</f>
        <v>21.700000000000003</v>
      </c>
      <c r="T153" s="43">
        <f>AVERAGE(18.5,22.7)</f>
        <v>20.6</v>
      </c>
      <c r="U153" s="43" t="s">
        <v>323</v>
      </c>
      <c r="V153" s="45">
        <v>1</v>
      </c>
      <c r="W153" s="45">
        <v>20.6</v>
      </c>
      <c r="X153" s="5" t="s">
        <v>8486</v>
      </c>
      <c r="Y153" s="49" t="s">
        <v>6671</v>
      </c>
    </row>
    <row r="154" spans="1:25" x14ac:dyDescent="0.25">
      <c r="A154" s="44">
        <v>42898</v>
      </c>
      <c r="B154" s="631" t="s">
        <v>8296</v>
      </c>
      <c r="C154" s="631">
        <v>38.174959999999999</v>
      </c>
      <c r="D154" s="631">
        <v>-121.66989</v>
      </c>
      <c r="E154" s="631" t="s">
        <v>8487</v>
      </c>
      <c r="F154" s="631" t="s">
        <v>27</v>
      </c>
      <c r="G154" s="631" t="s">
        <v>91</v>
      </c>
      <c r="H154" s="239">
        <v>0.34652777777777777</v>
      </c>
      <c r="I154" s="43" t="s">
        <v>4500</v>
      </c>
      <c r="J154" s="43" t="s">
        <v>4501</v>
      </c>
      <c r="K154" s="43" t="s">
        <v>8283</v>
      </c>
      <c r="L154" s="43">
        <v>2</v>
      </c>
      <c r="M154" s="43">
        <v>10</v>
      </c>
      <c r="N154" s="43" t="s">
        <v>49</v>
      </c>
      <c r="O154" s="43">
        <v>52.5</v>
      </c>
      <c r="P154" s="43">
        <f>AVERAGE(91.4,90.5)</f>
        <v>90.95</v>
      </c>
      <c r="Q154" s="43">
        <f>AVERAGE(91.4,92.5)</f>
        <v>91.95</v>
      </c>
      <c r="R154" s="43">
        <f>AVERAGE(0.76,1.1)</f>
        <v>0.93</v>
      </c>
      <c r="S154" s="43">
        <f>AVERAGE(17.8,13.6)</f>
        <v>15.7</v>
      </c>
      <c r="T154" s="43">
        <f>AVERAGE(12.4,16.2)</f>
        <v>14.3</v>
      </c>
      <c r="U154" s="43" t="s">
        <v>50</v>
      </c>
      <c r="V154" s="45">
        <v>0</v>
      </c>
      <c r="W154" s="45" t="s">
        <v>50</v>
      </c>
      <c r="Y154" s="40" t="s">
        <v>6671</v>
      </c>
    </row>
    <row r="155" spans="1:25" x14ac:dyDescent="0.25">
      <c r="A155" s="44">
        <v>42898</v>
      </c>
      <c r="B155" s="631" t="s">
        <v>8281</v>
      </c>
      <c r="C155" s="631">
        <v>38.087890000000002</v>
      </c>
      <c r="D155" s="631">
        <v>-121.54683</v>
      </c>
      <c r="E155" s="631" t="s">
        <v>8479</v>
      </c>
      <c r="F155" s="631" t="s">
        <v>46</v>
      </c>
      <c r="G155" s="631" t="s">
        <v>6881</v>
      </c>
      <c r="H155" s="239">
        <v>0.3215277777777778</v>
      </c>
      <c r="I155" s="43" t="s">
        <v>4500</v>
      </c>
      <c r="J155" s="43" t="s">
        <v>4501</v>
      </c>
      <c r="K155" s="43" t="s">
        <v>8283</v>
      </c>
      <c r="L155" s="43">
        <v>2</v>
      </c>
      <c r="M155" s="43">
        <v>10</v>
      </c>
      <c r="N155" s="43" t="s">
        <v>49</v>
      </c>
      <c r="O155" s="43">
        <v>16.5</v>
      </c>
      <c r="P155" s="43">
        <f>AVERAGE(85.8,86.3)</f>
        <v>86.05</v>
      </c>
      <c r="Q155" s="43">
        <f>AVERAGE(86.5,86.6)</f>
        <v>86.55</v>
      </c>
      <c r="R155" s="43">
        <f>AVERAGE(1.4,1.3)</f>
        <v>1.35</v>
      </c>
      <c r="S155" s="43">
        <f>AVERAGE(8.04,9)</f>
        <v>8.52</v>
      </c>
      <c r="T155" s="43">
        <f>AVERAGE(16.1,18.4)</f>
        <v>17.25</v>
      </c>
      <c r="U155" s="43" t="s">
        <v>50</v>
      </c>
      <c r="V155" s="45">
        <v>0</v>
      </c>
      <c r="W155" s="45" t="s">
        <v>50</v>
      </c>
      <c r="X155" s="5" t="s">
        <v>8488</v>
      </c>
      <c r="Y155" s="40" t="s">
        <v>6671</v>
      </c>
    </row>
    <row r="156" spans="1:25" x14ac:dyDescent="0.25">
      <c r="A156" s="44">
        <v>42898</v>
      </c>
      <c r="B156" s="631" t="s">
        <v>8281</v>
      </c>
      <c r="C156" s="631">
        <v>38.16525</v>
      </c>
      <c r="D156" s="631">
        <v>-121.48089</v>
      </c>
      <c r="E156" s="631" t="s">
        <v>8481</v>
      </c>
      <c r="F156" s="631" t="s">
        <v>46</v>
      </c>
      <c r="G156" s="631" t="s">
        <v>6881</v>
      </c>
      <c r="H156" s="239">
        <v>0.3888888888888889</v>
      </c>
      <c r="I156" s="43" t="s">
        <v>4500</v>
      </c>
      <c r="J156" s="43" t="s">
        <v>4501</v>
      </c>
      <c r="K156" s="43" t="s">
        <v>8283</v>
      </c>
      <c r="L156" s="43">
        <v>2</v>
      </c>
      <c r="M156" s="43">
        <v>10</v>
      </c>
      <c r="N156" s="43" t="s">
        <v>49</v>
      </c>
      <c r="O156" s="43">
        <v>13</v>
      </c>
      <c r="P156" s="43">
        <f>AVERAGE(324.2,372.4)</f>
        <v>348.29999999999995</v>
      </c>
      <c r="Q156" s="43">
        <f>AVERAGE(490,484)</f>
        <v>487</v>
      </c>
      <c r="R156" s="43">
        <f>AVERAGE(1.27,1.17)</f>
        <v>1.22</v>
      </c>
      <c r="S156" s="43">
        <f>AVERAGE(9.39,13.1)</f>
        <v>11.245000000000001</v>
      </c>
      <c r="T156" s="43">
        <f>AVERAGE(19.8,35.9)</f>
        <v>27.85</v>
      </c>
      <c r="U156" s="43" t="s">
        <v>50</v>
      </c>
      <c r="V156" s="45">
        <v>0</v>
      </c>
      <c r="W156" s="45" t="s">
        <v>50</v>
      </c>
      <c r="X156" s="5" t="s">
        <v>8489</v>
      </c>
      <c r="Y156" s="40" t="s">
        <v>6671</v>
      </c>
    </row>
    <row r="157" spans="1:25" x14ac:dyDescent="0.25">
      <c r="A157" s="44">
        <v>42898</v>
      </c>
      <c r="B157" s="631" t="s">
        <v>8281</v>
      </c>
      <c r="C157" s="631">
        <v>38.269689999999997</v>
      </c>
      <c r="D157" s="631">
        <v>-121.53368</v>
      </c>
      <c r="E157" s="631" t="s">
        <v>8490</v>
      </c>
      <c r="F157" s="631" t="s">
        <v>90</v>
      </c>
      <c r="G157" s="631" t="s">
        <v>6851</v>
      </c>
      <c r="H157" s="239">
        <v>0.54097222222222219</v>
      </c>
      <c r="I157" s="43" t="s">
        <v>4500</v>
      </c>
      <c r="J157" s="43" t="s">
        <v>4501</v>
      </c>
      <c r="K157" s="238" t="s">
        <v>8283</v>
      </c>
      <c r="L157" s="43">
        <v>2</v>
      </c>
      <c r="M157" s="43">
        <v>10</v>
      </c>
      <c r="N157" s="43" t="s">
        <v>49</v>
      </c>
      <c r="O157" s="43">
        <v>25.5</v>
      </c>
      <c r="P157" s="43">
        <f>AVERAGE(93.6,94.1)</f>
        <v>93.85</v>
      </c>
      <c r="Q157" s="43">
        <f>AVERAGE(94.6,94.9)</f>
        <v>94.75</v>
      </c>
      <c r="R157" s="43">
        <f>AVERAGE(0.54,0.61)</f>
        <v>0.57499999999999996</v>
      </c>
      <c r="S157" s="43">
        <f>AVERAGE(27.1,22.6)</f>
        <v>24.85</v>
      </c>
      <c r="T157" s="43">
        <f>AVERAGE(27.2,26.2)</f>
        <v>26.7</v>
      </c>
      <c r="U157" s="43" t="s">
        <v>50</v>
      </c>
      <c r="V157" s="45">
        <v>0</v>
      </c>
      <c r="W157" s="45" t="s">
        <v>50</v>
      </c>
      <c r="Y157" s="40" t="s">
        <v>6671</v>
      </c>
    </row>
    <row r="158" spans="1:25" x14ac:dyDescent="0.25">
      <c r="A158" s="44">
        <v>42899</v>
      </c>
      <c r="B158" s="631" t="s">
        <v>8291</v>
      </c>
      <c r="C158" s="631">
        <v>38.061979999999998</v>
      </c>
      <c r="D158" s="631">
        <v>-121.55858000000001</v>
      </c>
      <c r="E158" s="631" t="s">
        <v>8491</v>
      </c>
      <c r="F158" s="631" t="s">
        <v>46</v>
      </c>
      <c r="G158" s="631" t="s">
        <v>582</v>
      </c>
      <c r="H158" s="239">
        <v>0.31597222222222221</v>
      </c>
      <c r="I158" s="43" t="s">
        <v>4500</v>
      </c>
      <c r="J158" s="43" t="s">
        <v>4501</v>
      </c>
      <c r="K158" s="238" t="s">
        <v>8283</v>
      </c>
      <c r="L158" s="43">
        <v>2</v>
      </c>
      <c r="M158" s="43">
        <v>10</v>
      </c>
      <c r="N158" s="43" t="s">
        <v>49</v>
      </c>
      <c r="O158" s="43">
        <f>AVERAGE(66.2,54.8)</f>
        <v>60.5</v>
      </c>
      <c r="P158" s="43">
        <f>AVERAGE(95.4,95.3)</f>
        <v>95.35</v>
      </c>
      <c r="Q158" s="43">
        <f>AVERAGE(95.4,95.2)</f>
        <v>95.300000000000011</v>
      </c>
      <c r="R158" s="43">
        <f>AVERAGE(1.02,1.1)</f>
        <v>1.06</v>
      </c>
      <c r="S158" s="43">
        <f>AVERAGE(6.34,6.51)</f>
        <v>6.4249999999999998</v>
      </c>
      <c r="T158" s="43">
        <f>AVERAGE(8.54,7.32)</f>
        <v>7.93</v>
      </c>
      <c r="U158" s="43" t="s">
        <v>50</v>
      </c>
      <c r="V158" s="45">
        <v>0</v>
      </c>
      <c r="W158" s="45" t="s">
        <v>50</v>
      </c>
      <c r="Y158" s="40" t="s">
        <v>6671</v>
      </c>
    </row>
    <row r="159" spans="1:25" x14ac:dyDescent="0.25">
      <c r="A159" s="44">
        <v>42899</v>
      </c>
      <c r="B159" s="631" t="s">
        <v>8291</v>
      </c>
      <c r="C159" s="631">
        <v>38.025539999999999</v>
      </c>
      <c r="D159" s="631">
        <v>-121.47857999999999</v>
      </c>
      <c r="E159" s="631" t="s">
        <v>8492</v>
      </c>
      <c r="F159" s="631" t="s">
        <v>46</v>
      </c>
      <c r="G159" s="631" t="s">
        <v>6840</v>
      </c>
      <c r="H159" s="239">
        <v>0.37916666666666665</v>
      </c>
      <c r="I159" s="43" t="s">
        <v>4500</v>
      </c>
      <c r="J159" s="43" t="s">
        <v>4501</v>
      </c>
      <c r="K159" s="238" t="s">
        <v>8283</v>
      </c>
      <c r="L159" s="43">
        <v>2</v>
      </c>
      <c r="M159" s="43">
        <v>10</v>
      </c>
      <c r="N159" s="43" t="s">
        <v>49</v>
      </c>
      <c r="O159" s="43">
        <f>AVERAGE(18.5,21)</f>
        <v>19.75</v>
      </c>
      <c r="P159" s="43">
        <f>AVERAGE(104,104.4)</f>
        <v>104.2</v>
      </c>
      <c r="Q159" s="43">
        <f>AVERAGE(104.4,103.5)</f>
        <v>103.95</v>
      </c>
      <c r="R159" s="43">
        <f>AVERAGE(0.93,1.03)</f>
        <v>0.98</v>
      </c>
      <c r="S159" s="43">
        <f>AVERAGE(8.29,11.4)</f>
        <v>9.8449999999999989</v>
      </c>
      <c r="T159" s="43">
        <f>AVERAGE(20,26.9)</f>
        <v>23.45</v>
      </c>
      <c r="U159" s="43" t="s">
        <v>50</v>
      </c>
      <c r="V159" s="45">
        <v>0</v>
      </c>
      <c r="W159" s="45" t="s">
        <v>50</v>
      </c>
      <c r="Y159" s="40" t="s">
        <v>6671</v>
      </c>
    </row>
    <row r="160" spans="1:25" x14ac:dyDescent="0.25">
      <c r="A160" s="44">
        <v>42899</v>
      </c>
      <c r="B160" s="631" t="s">
        <v>8291</v>
      </c>
      <c r="C160" s="631">
        <v>37.988930000000003</v>
      </c>
      <c r="D160" s="631">
        <v>-121.40053</v>
      </c>
      <c r="E160" s="631" t="s">
        <v>8493</v>
      </c>
      <c r="F160" s="631" t="s">
        <v>46</v>
      </c>
      <c r="G160" s="631" t="s">
        <v>6840</v>
      </c>
      <c r="H160" s="239">
        <v>0.42083333333333334</v>
      </c>
      <c r="I160" s="43" t="s">
        <v>4500</v>
      </c>
      <c r="J160" s="43" t="s">
        <v>4501</v>
      </c>
      <c r="K160" s="238" t="s">
        <v>8283</v>
      </c>
      <c r="L160" s="43">
        <v>2</v>
      </c>
      <c r="M160" s="43">
        <v>10</v>
      </c>
      <c r="N160" s="43" t="s">
        <v>49</v>
      </c>
      <c r="O160" s="43">
        <f>AVERAGE(40.1,37)</f>
        <v>38.549999999999997</v>
      </c>
      <c r="P160" s="43">
        <f>AVERAGE(89.5,89.6)</f>
        <v>89.55</v>
      </c>
      <c r="Q160" s="43">
        <f>AVERAGE(91.8,90)</f>
        <v>90.9</v>
      </c>
      <c r="R160" s="43">
        <f>AVERAGE(0.52,0.52)</f>
        <v>0.52</v>
      </c>
      <c r="S160" s="43">
        <f>AVERAGE(17,15.8)</f>
        <v>16.399999999999999</v>
      </c>
      <c r="T160" s="43">
        <f>AVERAGE(19.6,16.1)</f>
        <v>17.850000000000001</v>
      </c>
      <c r="U160" s="43" t="s">
        <v>50</v>
      </c>
      <c r="V160" s="45">
        <v>0</v>
      </c>
      <c r="W160" s="45" t="s">
        <v>50</v>
      </c>
      <c r="Y160" s="40" t="s">
        <v>6671</v>
      </c>
    </row>
    <row r="161" spans="1:25" x14ac:dyDescent="0.25">
      <c r="A161" s="44">
        <v>42899</v>
      </c>
      <c r="B161" s="631" t="s">
        <v>8296</v>
      </c>
      <c r="C161" s="631">
        <v>38.057639999999999</v>
      </c>
      <c r="D161" s="631">
        <v>-121.8764</v>
      </c>
      <c r="E161" s="631" t="s">
        <v>8494</v>
      </c>
      <c r="F161" s="631" t="s">
        <v>27</v>
      </c>
      <c r="G161" s="631" t="s">
        <v>25</v>
      </c>
      <c r="H161" s="239">
        <v>0.4291666666666667</v>
      </c>
      <c r="I161" s="43" t="s">
        <v>4500</v>
      </c>
      <c r="J161" s="43" t="s">
        <v>4501</v>
      </c>
      <c r="K161" s="238" t="s">
        <v>8283</v>
      </c>
      <c r="L161" s="43">
        <v>2</v>
      </c>
      <c r="M161" s="43">
        <v>10</v>
      </c>
      <c r="N161" s="43" t="s">
        <v>49</v>
      </c>
      <c r="O161" s="43">
        <f>AVERAGE(18,19)</f>
        <v>18.5</v>
      </c>
      <c r="P161" s="43">
        <f>AVERAGE(97.1,96.3)</f>
        <v>96.699999999999989</v>
      </c>
      <c r="Q161" s="43">
        <f>AVERAGE(97.4,101.3)</f>
        <v>99.35</v>
      </c>
      <c r="R161" s="43">
        <f>AVERAGE(0.7,0.7)</f>
        <v>0.7</v>
      </c>
      <c r="S161" s="43">
        <f>AVERAGE(26.4,20.1)</f>
        <v>23.25</v>
      </c>
      <c r="T161" s="43">
        <f>AVERAGE(26.6,39)</f>
        <v>32.799999999999997</v>
      </c>
      <c r="U161" s="43" t="s">
        <v>50</v>
      </c>
      <c r="V161" s="45">
        <v>0</v>
      </c>
      <c r="W161" s="45" t="s">
        <v>50</v>
      </c>
      <c r="Y161" s="40" t="s">
        <v>6671</v>
      </c>
    </row>
    <row r="162" spans="1:25" x14ac:dyDescent="0.25">
      <c r="A162" s="44">
        <v>42899</v>
      </c>
      <c r="B162" s="631" t="s">
        <v>8296</v>
      </c>
      <c r="C162" s="631">
        <v>38.050109999999997</v>
      </c>
      <c r="D162" s="631">
        <v>-121.95643</v>
      </c>
      <c r="E162" s="631" t="s">
        <v>8495</v>
      </c>
      <c r="F162" s="631" t="s">
        <v>27</v>
      </c>
      <c r="G162" s="631" t="s">
        <v>170</v>
      </c>
      <c r="H162" s="239">
        <v>0.3444444444444445</v>
      </c>
      <c r="I162" s="43" t="s">
        <v>4500</v>
      </c>
      <c r="J162" s="43" t="s">
        <v>4501</v>
      </c>
      <c r="K162" s="238" t="s">
        <v>8283</v>
      </c>
      <c r="L162" s="43">
        <v>2</v>
      </c>
      <c r="M162" s="43">
        <v>10</v>
      </c>
      <c r="N162" s="43" t="s">
        <v>49</v>
      </c>
      <c r="O162" s="43">
        <v>17</v>
      </c>
      <c r="P162" s="43">
        <f>AVERAGE(109.4,111.7)</f>
        <v>110.55000000000001</v>
      </c>
      <c r="Q162" s="43">
        <f>AVERAGE(112.4,109.8)</f>
        <v>111.1</v>
      </c>
      <c r="R162" s="43">
        <f>AVERAGE(0.61,0.62)</f>
        <v>0.61499999999999999</v>
      </c>
      <c r="S162" s="43">
        <f>AVERAGE(17.2,23.2)</f>
        <v>20.2</v>
      </c>
      <c r="T162" s="43">
        <f>AVERAGE(19.4,23.7)</f>
        <v>21.549999999999997</v>
      </c>
      <c r="U162" s="43" t="s">
        <v>50</v>
      </c>
      <c r="V162" s="45">
        <v>0</v>
      </c>
      <c r="W162" s="45" t="s">
        <v>50</v>
      </c>
      <c r="Y162" s="40" t="s">
        <v>6671</v>
      </c>
    </row>
    <row r="163" spans="1:25" x14ac:dyDescent="0.25">
      <c r="A163" s="44">
        <v>42899</v>
      </c>
      <c r="B163" s="631" t="s">
        <v>8296</v>
      </c>
      <c r="C163" s="631">
        <v>38.054639999999999</v>
      </c>
      <c r="D163" s="631">
        <v>-121.84764</v>
      </c>
      <c r="E163" s="631" t="s">
        <v>8496</v>
      </c>
      <c r="F163" s="631" t="s">
        <v>27</v>
      </c>
      <c r="G163" s="631" t="s">
        <v>95</v>
      </c>
      <c r="H163" s="239">
        <v>0.39166666666666666</v>
      </c>
      <c r="I163" s="43" t="s">
        <v>4500</v>
      </c>
      <c r="J163" s="43" t="s">
        <v>4501</v>
      </c>
      <c r="K163" s="238" t="s">
        <v>8283</v>
      </c>
      <c r="L163" s="43">
        <v>2</v>
      </c>
      <c r="M163" s="43">
        <v>10</v>
      </c>
      <c r="N163" s="43" t="s">
        <v>64</v>
      </c>
      <c r="O163" s="43">
        <v>24</v>
      </c>
      <c r="P163" s="43">
        <f>AVERAGE(98.1,98.4)</f>
        <v>98.25</v>
      </c>
      <c r="Q163" s="43">
        <f>AVERAGE(98.6,98.4)</f>
        <v>98.5</v>
      </c>
      <c r="R163" s="43">
        <f>AVERAGE(0.69,0.74)</f>
        <v>0.71499999999999997</v>
      </c>
      <c r="S163" s="43">
        <f>AVERAGE(16.8,20)</f>
        <v>18.399999999999999</v>
      </c>
      <c r="T163" s="43">
        <f>AVERAGE(21.3,20.1)</f>
        <v>20.700000000000003</v>
      </c>
      <c r="U163" s="43" t="s">
        <v>50</v>
      </c>
      <c r="V163" s="45">
        <v>0</v>
      </c>
      <c r="W163" s="45" t="s">
        <v>50</v>
      </c>
      <c r="Y163" s="40" t="s">
        <v>6671</v>
      </c>
    </row>
    <row r="164" spans="1:25" x14ac:dyDescent="0.25">
      <c r="A164" s="44">
        <v>42900</v>
      </c>
      <c r="B164" s="631" t="s">
        <v>8291</v>
      </c>
      <c r="C164" s="631">
        <v>37.91516</v>
      </c>
      <c r="D164" s="631">
        <v>-121.51535</v>
      </c>
      <c r="E164" s="631" t="s">
        <v>8497</v>
      </c>
      <c r="F164" s="631" t="s">
        <v>46</v>
      </c>
      <c r="G164" s="631" t="s">
        <v>6926</v>
      </c>
      <c r="H164" s="239">
        <v>0.34097222222222223</v>
      </c>
      <c r="I164" s="43" t="s">
        <v>4500</v>
      </c>
      <c r="J164" s="43" t="s">
        <v>4501</v>
      </c>
      <c r="K164" s="238" t="s">
        <v>8283</v>
      </c>
      <c r="L164" s="43">
        <v>2</v>
      </c>
      <c r="M164" s="43">
        <v>10</v>
      </c>
      <c r="N164" s="43" t="s">
        <v>49</v>
      </c>
      <c r="O164" s="43">
        <v>15.5</v>
      </c>
      <c r="P164" s="43">
        <f>AVERAGE(125.4,123.8)</f>
        <v>124.6</v>
      </c>
      <c r="Q164" s="43">
        <f>AVERAGE(124,127.4)</f>
        <v>125.7</v>
      </c>
      <c r="R164" s="43">
        <f>AVERAGE(0.9,0.95)</f>
        <v>0.92500000000000004</v>
      </c>
      <c r="S164" s="43">
        <f>AVERAGE(11.9,12.4)</f>
        <v>12.15</v>
      </c>
      <c r="T164" s="43">
        <f>AVERAGE(13.8,11.9)</f>
        <v>12.850000000000001</v>
      </c>
      <c r="U164" s="43" t="s">
        <v>50</v>
      </c>
      <c r="V164" s="45">
        <v>0</v>
      </c>
      <c r="W164" s="45" t="s">
        <v>50</v>
      </c>
      <c r="Y164" s="40" t="s">
        <v>6671</v>
      </c>
    </row>
    <row r="165" spans="1:25" x14ac:dyDescent="0.25">
      <c r="A165" s="44">
        <v>42900</v>
      </c>
      <c r="B165" s="631" t="s">
        <v>8291</v>
      </c>
      <c r="C165" s="631">
        <v>37.99004</v>
      </c>
      <c r="D165" s="631">
        <v>-121.52207</v>
      </c>
      <c r="E165" s="631" t="s">
        <v>8498</v>
      </c>
      <c r="F165" s="631" t="s">
        <v>46</v>
      </c>
      <c r="G165" s="631" t="s">
        <v>6939</v>
      </c>
      <c r="H165" s="239">
        <v>0.39027777777777778</v>
      </c>
      <c r="I165" s="43" t="s">
        <v>4500</v>
      </c>
      <c r="J165" s="43" t="s">
        <v>4501</v>
      </c>
      <c r="K165" s="238" t="s">
        <v>8499</v>
      </c>
      <c r="L165" s="43">
        <v>2</v>
      </c>
      <c r="M165" s="43">
        <v>10</v>
      </c>
      <c r="N165" s="43" t="s">
        <v>49</v>
      </c>
      <c r="O165" s="43">
        <v>14.5</v>
      </c>
      <c r="P165" s="43">
        <f>AVERAGE(108.6,110.6)</f>
        <v>109.6</v>
      </c>
      <c r="Q165" s="43">
        <f>AVERAGE(109,110.1)</f>
        <v>109.55</v>
      </c>
      <c r="R165" s="43">
        <f>AVERAGE(1.26,1.28)</f>
        <v>1.27</v>
      </c>
      <c r="S165" s="43">
        <f>AVERAGE(7.82,7.43)</f>
        <v>7.625</v>
      </c>
      <c r="T165" s="43">
        <f>AVERAGE(6.88,10.6)</f>
        <v>8.74</v>
      </c>
      <c r="U165" s="43" t="s">
        <v>50</v>
      </c>
      <c r="V165" s="45">
        <v>0</v>
      </c>
      <c r="W165" s="45" t="s">
        <v>50</v>
      </c>
      <c r="Y165" s="40" t="s">
        <v>6671</v>
      </c>
    </row>
    <row r="166" spans="1:25" x14ac:dyDescent="0.25">
      <c r="A166" s="44">
        <v>42900</v>
      </c>
      <c r="B166" s="631" t="s">
        <v>8291</v>
      </c>
      <c r="C166" s="631">
        <v>38.062950000000001</v>
      </c>
      <c r="D166" s="631">
        <v>-121.61449</v>
      </c>
      <c r="E166" s="631" t="s">
        <v>8500</v>
      </c>
      <c r="F166" s="631" t="s">
        <v>46</v>
      </c>
      <c r="G166" s="631" t="s">
        <v>47</v>
      </c>
      <c r="H166" s="239">
        <v>0.44166666666666665</v>
      </c>
      <c r="I166" s="43" t="s">
        <v>4500</v>
      </c>
      <c r="J166" s="43" t="s">
        <v>4501</v>
      </c>
      <c r="K166" s="238" t="s">
        <v>8283</v>
      </c>
      <c r="L166" s="43">
        <v>2</v>
      </c>
      <c r="M166" s="43">
        <v>10</v>
      </c>
      <c r="N166" s="43" t="s">
        <v>49</v>
      </c>
      <c r="O166" s="43">
        <v>20.5</v>
      </c>
      <c r="P166" s="43">
        <f>AVERAGE(93.6,93.5)</f>
        <v>93.55</v>
      </c>
      <c r="Q166" s="43">
        <f>AVERAGE(93.9,94.8)</f>
        <v>94.35</v>
      </c>
      <c r="R166" s="43">
        <f>AVERAGE(1.9,1.23)</f>
        <v>1.5649999999999999</v>
      </c>
      <c r="S166" s="43">
        <f>AVERAGE(8.06,9.41)</f>
        <v>8.7349999999999994</v>
      </c>
      <c r="T166" s="43">
        <f>AVERAGE(9.91,9.12)</f>
        <v>9.5150000000000006</v>
      </c>
      <c r="U166" s="43" t="s">
        <v>50</v>
      </c>
      <c r="V166" s="45">
        <v>0</v>
      </c>
      <c r="W166" s="45" t="s">
        <v>50</v>
      </c>
      <c r="Y166" s="40" t="s">
        <v>6671</v>
      </c>
    </row>
    <row r="167" spans="1:25" x14ac:dyDescent="0.25">
      <c r="A167" s="44">
        <v>42900</v>
      </c>
      <c r="B167" s="631" t="s">
        <v>8285</v>
      </c>
      <c r="C167" s="631">
        <v>38.09254</v>
      </c>
      <c r="D167" s="631">
        <v>-122.07418</v>
      </c>
      <c r="E167" s="631" t="s">
        <v>8501</v>
      </c>
      <c r="F167" s="631" t="s">
        <v>80</v>
      </c>
      <c r="G167" s="631" t="s">
        <v>81</v>
      </c>
      <c r="H167" s="21">
        <v>0.35625000000000001</v>
      </c>
      <c r="I167" s="631" t="s">
        <v>4500</v>
      </c>
      <c r="J167" s="631" t="s">
        <v>4501</v>
      </c>
      <c r="K167" s="241" t="s">
        <v>8283</v>
      </c>
      <c r="L167" s="631">
        <v>2</v>
      </c>
      <c r="M167" s="631">
        <v>10</v>
      </c>
      <c r="N167" s="631" t="s">
        <v>49</v>
      </c>
      <c r="O167" s="631">
        <v>30</v>
      </c>
      <c r="P167" s="43">
        <f>AVERAGE(465,396.6)</f>
        <v>430.8</v>
      </c>
      <c r="Q167" s="43">
        <f>AVERAGE(7094,7480)</f>
        <v>7287</v>
      </c>
      <c r="R167" s="43">
        <f>AVERAGE(0.23,0.25)</f>
        <v>0.24</v>
      </c>
      <c r="S167" s="43" t="s">
        <v>50</v>
      </c>
      <c r="T167" s="43">
        <f>AVERAGE(28.5,39.5)</f>
        <v>34</v>
      </c>
      <c r="U167" s="43" t="s">
        <v>31</v>
      </c>
      <c r="V167" s="45">
        <v>2</v>
      </c>
      <c r="W167" s="45" t="s">
        <v>8502</v>
      </c>
      <c r="X167" s="5" t="s">
        <v>8503</v>
      </c>
      <c r="Y167" s="40" t="s">
        <v>6671</v>
      </c>
    </row>
    <row r="168" spans="1:25" x14ac:dyDescent="0.25">
      <c r="A168" s="44">
        <v>42900</v>
      </c>
      <c r="B168" s="631" t="s">
        <v>8285</v>
      </c>
      <c r="C168" s="631">
        <v>38.050379999999997</v>
      </c>
      <c r="D168" s="631">
        <v>-122.30692999999999</v>
      </c>
      <c r="E168" s="631" t="s">
        <v>8504</v>
      </c>
      <c r="F168" s="631" t="s">
        <v>80</v>
      </c>
      <c r="G168" s="631" t="s">
        <v>123</v>
      </c>
      <c r="H168" s="239">
        <v>0.43333333333333335</v>
      </c>
      <c r="I168" s="43" t="s">
        <v>4500</v>
      </c>
      <c r="J168" s="43" t="s">
        <v>4501</v>
      </c>
      <c r="K168" s="43" t="s">
        <v>8283</v>
      </c>
      <c r="L168" s="43">
        <v>2</v>
      </c>
      <c r="M168" s="43">
        <v>10</v>
      </c>
      <c r="N168" s="43" t="s">
        <v>64</v>
      </c>
      <c r="O168" s="43">
        <v>29</v>
      </c>
      <c r="P168" s="43">
        <f>AVERAGE(13263,10461)</f>
        <v>11862</v>
      </c>
      <c r="Q168" s="43">
        <f>AVERAGE(23401,18958)</f>
        <v>21179.5</v>
      </c>
      <c r="R168" s="43">
        <f>AVERAGE(0.63,0.63)</f>
        <v>0.63</v>
      </c>
      <c r="S168" s="43">
        <f>AVERAGE(24.4,16.8)</f>
        <v>20.6</v>
      </c>
      <c r="T168" s="43" t="s">
        <v>50</v>
      </c>
      <c r="U168" s="43" t="s">
        <v>348</v>
      </c>
      <c r="V168" s="45">
        <v>1</v>
      </c>
      <c r="W168" s="45">
        <v>81</v>
      </c>
      <c r="X168" s="5" t="s">
        <v>8505</v>
      </c>
      <c r="Y168" s="40" t="s">
        <v>6671</v>
      </c>
    </row>
    <row r="169" spans="1:25" x14ac:dyDescent="0.25">
      <c r="A169" s="44">
        <v>42900</v>
      </c>
      <c r="B169" s="631" t="s">
        <v>8285</v>
      </c>
      <c r="C169" s="631">
        <v>38.061160000000001</v>
      </c>
      <c r="D169" s="631">
        <v>-122.25942000000001</v>
      </c>
      <c r="E169" s="631" t="s">
        <v>8506</v>
      </c>
      <c r="F169" s="631" t="s">
        <v>80</v>
      </c>
      <c r="G169" s="631" t="s">
        <v>120</v>
      </c>
      <c r="H169" s="239">
        <v>0.48680555555555555</v>
      </c>
      <c r="I169" s="43" t="s">
        <v>4500</v>
      </c>
      <c r="J169" s="43" t="s">
        <v>4501</v>
      </c>
      <c r="K169" s="238" t="s">
        <v>8283</v>
      </c>
      <c r="L169" s="43">
        <v>2</v>
      </c>
      <c r="M169" s="43">
        <v>10</v>
      </c>
      <c r="N169" s="43" t="s">
        <v>64</v>
      </c>
      <c r="O169" s="43">
        <v>71</v>
      </c>
      <c r="P169" s="43">
        <f>AVERAGE(7801,5702)</f>
        <v>6751.5</v>
      </c>
      <c r="Q169" s="43">
        <f>AVERAGE(14135,12237)</f>
        <v>13186</v>
      </c>
      <c r="R169" s="43">
        <f>AVERAGE(0.42,0.41)</f>
        <v>0.41499999999999998</v>
      </c>
      <c r="S169" s="43">
        <f>AVERAGE(26.8,27.4)</f>
        <v>27.1</v>
      </c>
      <c r="T169" s="43" t="s">
        <v>50</v>
      </c>
      <c r="U169" s="43" t="s">
        <v>31</v>
      </c>
      <c r="V169" s="240">
        <v>1</v>
      </c>
      <c r="W169" s="240">
        <v>35</v>
      </c>
      <c r="X169" s="5" t="s">
        <v>8507</v>
      </c>
      <c r="Y169" s="240" t="s">
        <v>6671</v>
      </c>
    </row>
    <row r="170" spans="1:25" x14ac:dyDescent="0.25">
      <c r="A170" s="44">
        <v>42905</v>
      </c>
      <c r="B170" s="631" t="s">
        <v>8281</v>
      </c>
      <c r="C170" s="631">
        <v>38.147399999999998</v>
      </c>
      <c r="D170" s="631">
        <v>-121.59993</v>
      </c>
      <c r="E170" s="631" t="s">
        <v>8508</v>
      </c>
      <c r="F170" s="631" t="s">
        <v>90</v>
      </c>
      <c r="G170" s="631" t="s">
        <v>6892</v>
      </c>
      <c r="H170" s="239">
        <v>0.34375</v>
      </c>
      <c r="I170" s="43" t="s">
        <v>4500</v>
      </c>
      <c r="J170" s="43" t="s">
        <v>4501</v>
      </c>
      <c r="K170" s="238" t="s">
        <v>8283</v>
      </c>
      <c r="L170" s="43">
        <v>2</v>
      </c>
      <c r="M170" s="43">
        <v>10</v>
      </c>
      <c r="N170" s="43" t="s">
        <v>49</v>
      </c>
      <c r="O170" s="43">
        <v>17.5</v>
      </c>
      <c r="P170" s="43">
        <f>AVERAGE(114.1,114.8)</f>
        <v>114.44999999999999</v>
      </c>
      <c r="Q170" s="43">
        <f>AVERAGE(115.7,117.5)</f>
        <v>116.6</v>
      </c>
      <c r="R170" s="43">
        <f>AVERAGE(0.98,0.97)</f>
        <v>0.97499999999999998</v>
      </c>
      <c r="S170" s="43">
        <f>AVERAGE(13.1,12.8)</f>
        <v>12.95</v>
      </c>
      <c r="T170" s="43">
        <f>AVERAGE(17.2,15.6)</f>
        <v>16.399999999999999</v>
      </c>
      <c r="U170" s="43" t="s">
        <v>50</v>
      </c>
      <c r="V170" s="45">
        <v>0</v>
      </c>
      <c r="W170" s="45" t="s">
        <v>50</v>
      </c>
      <c r="Y170" s="49" t="s">
        <v>6671</v>
      </c>
    </row>
    <row r="171" spans="1:25" x14ac:dyDescent="0.25">
      <c r="A171" s="44">
        <v>42905</v>
      </c>
      <c r="B171" s="631" t="s">
        <v>8281</v>
      </c>
      <c r="C171" s="631">
        <v>38.335250000000002</v>
      </c>
      <c r="D171" s="631">
        <v>-121.56721</v>
      </c>
      <c r="E171" s="631" t="s">
        <v>8509</v>
      </c>
      <c r="F171" s="631" t="s">
        <v>90</v>
      </c>
      <c r="G171" s="631" t="s">
        <v>6851</v>
      </c>
      <c r="H171" s="239">
        <v>0.44236111111111115</v>
      </c>
      <c r="I171" s="43" t="s">
        <v>4500</v>
      </c>
      <c r="J171" s="43" t="s">
        <v>4501</v>
      </c>
      <c r="K171" s="238" t="s">
        <v>8283</v>
      </c>
      <c r="L171" s="43">
        <v>2</v>
      </c>
      <c r="M171" s="43">
        <v>10</v>
      </c>
      <c r="N171" s="43" t="s">
        <v>49</v>
      </c>
      <c r="O171" s="43">
        <v>20.5</v>
      </c>
      <c r="P171" s="43">
        <f>AVERAGE(115.7,115.7)</f>
        <v>115.7</v>
      </c>
      <c r="Q171" s="43">
        <f>AVERAGE(116.5,117.1)</f>
        <v>116.8</v>
      </c>
      <c r="R171" s="43">
        <f>AVERAGE(0.74,1.12)</f>
        <v>0.93</v>
      </c>
      <c r="S171" s="43">
        <f>AVERAGE(30,18.2)</f>
        <v>24.1</v>
      </c>
      <c r="T171" s="43">
        <f>AVERAGE(25.3,25.4)</f>
        <v>25.35</v>
      </c>
      <c r="U171" s="43" t="s">
        <v>50</v>
      </c>
      <c r="V171" s="45">
        <v>0</v>
      </c>
      <c r="W171" s="45" t="s">
        <v>50</v>
      </c>
      <c r="Y171" s="40" t="s">
        <v>6671</v>
      </c>
    </row>
    <row r="172" spans="1:25" x14ac:dyDescent="0.25">
      <c r="A172" s="44">
        <v>42905</v>
      </c>
      <c r="B172" s="631" t="s">
        <v>8281</v>
      </c>
      <c r="C172" s="631">
        <v>38.171329999999998</v>
      </c>
      <c r="D172" s="631">
        <v>-121.49678</v>
      </c>
      <c r="E172" s="631" t="s">
        <v>8510</v>
      </c>
      <c r="F172" s="631" t="s">
        <v>46</v>
      </c>
      <c r="G172" s="631" t="s">
        <v>6881</v>
      </c>
      <c r="H172" s="239">
        <v>0.57916666666666672</v>
      </c>
      <c r="I172" s="43" t="s">
        <v>4500</v>
      </c>
      <c r="J172" s="43" t="s">
        <v>4501</v>
      </c>
      <c r="K172" s="238" t="s">
        <v>8283</v>
      </c>
      <c r="L172" s="43">
        <v>2</v>
      </c>
      <c r="M172" s="43">
        <v>10</v>
      </c>
      <c r="N172" s="43" t="s">
        <v>64</v>
      </c>
      <c r="O172" s="43">
        <f>AVERAGE(10.3,15.2)</f>
        <v>12.75</v>
      </c>
      <c r="P172" s="43">
        <f>AVERAGE(153.3,147.1)</f>
        <v>150.19999999999999</v>
      </c>
      <c r="Q172" s="43">
        <f>AVERAGE(146.4,155.3)</f>
        <v>150.85000000000002</v>
      </c>
      <c r="R172" s="43">
        <f>AVERAGE(0.95,0.85)</f>
        <v>0.89999999999999991</v>
      </c>
      <c r="S172" s="43">
        <f>AVERAGE(25.4,28)</f>
        <v>26.7</v>
      </c>
      <c r="T172" s="43">
        <f>AVERAGE(25.7,16.8)</f>
        <v>21.25</v>
      </c>
      <c r="U172" s="43" t="s">
        <v>50</v>
      </c>
      <c r="V172" s="45">
        <v>0</v>
      </c>
      <c r="W172" s="45" t="s">
        <v>50</v>
      </c>
      <c r="Y172" s="40" t="s">
        <v>6671</v>
      </c>
    </row>
    <row r="173" spans="1:25" x14ac:dyDescent="0.25">
      <c r="A173" s="44">
        <v>42905</v>
      </c>
      <c r="B173" s="631" t="s">
        <v>8285</v>
      </c>
      <c r="C173" s="631">
        <v>38.037080000000003</v>
      </c>
      <c r="D173" s="631">
        <v>-122.1382</v>
      </c>
      <c r="E173" s="631" t="s">
        <v>8511</v>
      </c>
      <c r="F173" s="631" t="s">
        <v>80</v>
      </c>
      <c r="G173" s="631" t="s">
        <v>81</v>
      </c>
      <c r="H173" s="239">
        <v>0.3611111111111111</v>
      </c>
      <c r="I173" s="43" t="s">
        <v>4500</v>
      </c>
      <c r="J173" s="43" t="s">
        <v>4501</v>
      </c>
      <c r="K173" s="238" t="s">
        <v>8283</v>
      </c>
      <c r="L173" s="43">
        <v>2</v>
      </c>
      <c r="M173" s="43">
        <v>10</v>
      </c>
      <c r="N173" s="43" t="s">
        <v>49</v>
      </c>
      <c r="O173" s="43">
        <v>44.5</v>
      </c>
      <c r="P173" s="43">
        <f>AVERAGE(8464,9127)</f>
        <v>8795.5</v>
      </c>
      <c r="Q173" s="43">
        <f>AVERAGE(18614,12874)</f>
        <v>15744</v>
      </c>
      <c r="R173" s="43">
        <f>AVERAGE(0.57,0.6)</f>
        <v>0.58499999999999996</v>
      </c>
      <c r="S173" s="43">
        <f>AVERAGE(19.8,69.5)</f>
        <v>44.65</v>
      </c>
      <c r="T173" s="43">
        <f>AVERAGE(17.6,37.8)</f>
        <v>27.7</v>
      </c>
      <c r="U173" s="43" t="s">
        <v>50</v>
      </c>
      <c r="V173" s="45">
        <v>0</v>
      </c>
      <c r="W173" s="45" t="s">
        <v>50</v>
      </c>
      <c r="Y173" s="40" t="s">
        <v>6671</v>
      </c>
    </row>
    <row r="174" spans="1:25" x14ac:dyDescent="0.25">
      <c r="A174" s="44">
        <v>42905</v>
      </c>
      <c r="B174" s="631" t="s">
        <v>8285</v>
      </c>
      <c r="C174" s="631">
        <v>38.063119999999998</v>
      </c>
      <c r="D174" s="631">
        <v>-122.21111999999999</v>
      </c>
      <c r="E174" s="631" t="s">
        <v>8512</v>
      </c>
      <c r="F174" s="631" t="s">
        <v>80</v>
      </c>
      <c r="G174" s="631" t="s">
        <v>120</v>
      </c>
      <c r="H174" s="239">
        <v>0.40416666666666662</v>
      </c>
      <c r="I174" s="43" t="s">
        <v>4500</v>
      </c>
      <c r="J174" s="43" t="s">
        <v>4501</v>
      </c>
      <c r="K174" s="238" t="s">
        <v>8283</v>
      </c>
      <c r="L174" s="43">
        <v>2</v>
      </c>
      <c r="M174" s="43">
        <v>10</v>
      </c>
      <c r="N174" s="43" t="s">
        <v>64</v>
      </c>
      <c r="O174" s="43">
        <f>AVERAGE(7.61,7.45)</f>
        <v>7.53</v>
      </c>
      <c r="P174" s="43">
        <f>AVERAGE(16710,17287)</f>
        <v>16998.5</v>
      </c>
      <c r="Q174" s="43">
        <f>AVERAGE(23635,24669)</f>
        <v>24152</v>
      </c>
      <c r="R174" s="43">
        <f>AVERAGE(0.87,0.82)</f>
        <v>0.84499999999999997</v>
      </c>
      <c r="S174" s="43">
        <f>AVERAGE(18.4,18.3)</f>
        <v>18.350000000000001</v>
      </c>
      <c r="T174" s="43">
        <f>AVERAGE(25.3,40.1)</f>
        <v>32.700000000000003</v>
      </c>
      <c r="U174" s="43" t="s">
        <v>50</v>
      </c>
      <c r="V174" s="45">
        <v>0</v>
      </c>
      <c r="W174" s="45" t="s">
        <v>50</v>
      </c>
      <c r="Y174" s="40" t="s">
        <v>6671</v>
      </c>
    </row>
    <row r="175" spans="1:25" x14ac:dyDescent="0.25">
      <c r="A175" s="44">
        <v>42905</v>
      </c>
      <c r="B175" s="631" t="s">
        <v>8285</v>
      </c>
      <c r="C175" s="631">
        <v>38.04589</v>
      </c>
      <c r="D175" s="631">
        <v>-122.29007</v>
      </c>
      <c r="E175" s="631" t="s">
        <v>8513</v>
      </c>
      <c r="F175" s="631" t="s">
        <v>80</v>
      </c>
      <c r="G175" s="631" t="s">
        <v>123</v>
      </c>
      <c r="H175" s="239">
        <v>0.44513888888888892</v>
      </c>
      <c r="I175" s="43" t="s">
        <v>4500</v>
      </c>
      <c r="J175" s="43" t="s">
        <v>4501</v>
      </c>
      <c r="K175" s="238" t="s">
        <v>8283</v>
      </c>
      <c r="L175" s="43">
        <v>2</v>
      </c>
      <c r="M175" s="43">
        <v>10</v>
      </c>
      <c r="N175" s="43" t="s">
        <v>64</v>
      </c>
      <c r="O175" s="43">
        <v>17.5</v>
      </c>
      <c r="P175" s="43">
        <f>AVERAGE(21546,21775)</f>
        <v>21660.5</v>
      </c>
      <c r="Q175" s="43">
        <f>AVERAGE(25609,25890)</f>
        <v>25749.5</v>
      </c>
      <c r="R175" s="43">
        <f>AVERAGE(0.82,0.8)</f>
        <v>0.81</v>
      </c>
      <c r="S175" s="43">
        <f>AVERAGE(13.7,29.7)</f>
        <v>21.7</v>
      </c>
      <c r="T175" s="43">
        <f>AVERAGE(16.2,14.4)</f>
        <v>15.3</v>
      </c>
      <c r="U175" s="43" t="s">
        <v>50</v>
      </c>
      <c r="V175" s="45">
        <v>0</v>
      </c>
      <c r="W175" s="45" t="s">
        <v>50</v>
      </c>
      <c r="Y175" s="40" t="s">
        <v>6671</v>
      </c>
    </row>
    <row r="176" spans="1:25" x14ac:dyDescent="0.25">
      <c r="A176" s="44">
        <v>42906</v>
      </c>
      <c r="B176" s="631" t="s">
        <v>8296</v>
      </c>
      <c r="C176" s="631">
        <v>38.071719999999999</v>
      </c>
      <c r="D176" s="631">
        <v>-122.00993</v>
      </c>
      <c r="E176" s="631" t="s">
        <v>8514</v>
      </c>
      <c r="F176" s="631" t="s">
        <v>27</v>
      </c>
      <c r="G176" s="631" t="s">
        <v>8396</v>
      </c>
      <c r="H176" s="239">
        <v>0.37708333333333338</v>
      </c>
      <c r="I176" s="43" t="s">
        <v>4500</v>
      </c>
      <c r="J176" s="43" t="s">
        <v>4501</v>
      </c>
      <c r="K176" s="238" t="s">
        <v>8283</v>
      </c>
      <c r="L176" s="43">
        <v>2</v>
      </c>
      <c r="M176" s="43">
        <v>10</v>
      </c>
      <c r="N176" s="43" t="s">
        <v>49</v>
      </c>
      <c r="O176" s="43">
        <v>20</v>
      </c>
      <c r="P176" s="43">
        <f>AVERAGE(1515,1160)</f>
        <v>1337.5</v>
      </c>
      <c r="Q176" s="43">
        <f>AVERAGE(3519,2999)</f>
        <v>3259</v>
      </c>
      <c r="R176" s="43">
        <f>AVERAGE(0.46,0.53)</f>
        <v>0.495</v>
      </c>
      <c r="S176" s="43">
        <f>AVERAGE(22.6,24.6)</f>
        <v>23.6</v>
      </c>
      <c r="T176" s="43">
        <f>AVERAGE(28.1,26.1)</f>
        <v>27.1</v>
      </c>
      <c r="U176" s="43" t="s">
        <v>323</v>
      </c>
      <c r="V176" s="45">
        <v>1</v>
      </c>
      <c r="W176" s="45">
        <v>46</v>
      </c>
      <c r="X176" s="5" t="s">
        <v>8515</v>
      </c>
      <c r="Y176" s="40" t="s">
        <v>6671</v>
      </c>
    </row>
    <row r="177" spans="1:25" x14ac:dyDescent="0.25">
      <c r="A177" s="44">
        <v>42906</v>
      </c>
      <c r="B177" s="631" t="s">
        <v>8296</v>
      </c>
      <c r="C177" s="631">
        <v>38.042720000000003</v>
      </c>
      <c r="D177" s="631">
        <v>-121.91448</v>
      </c>
      <c r="E177" s="631" t="s">
        <v>8516</v>
      </c>
      <c r="F177" s="631" t="s">
        <v>27</v>
      </c>
      <c r="G177" s="631" t="s">
        <v>170</v>
      </c>
      <c r="H177" s="239">
        <v>0.42499999999999999</v>
      </c>
      <c r="I177" s="43" t="s">
        <v>4500</v>
      </c>
      <c r="J177" s="43" t="s">
        <v>4501</v>
      </c>
      <c r="K177" s="238" t="s">
        <v>8283</v>
      </c>
      <c r="L177" s="43">
        <v>2</v>
      </c>
      <c r="M177" s="43">
        <v>10</v>
      </c>
      <c r="N177" s="43" t="s">
        <v>64</v>
      </c>
      <c r="O177" s="43">
        <v>47</v>
      </c>
      <c r="P177" s="43">
        <f>AVERAGE(213.3,247.2)</f>
        <v>230.25</v>
      </c>
      <c r="Q177" s="43">
        <f>AVERAGE(233.5,257.4)</f>
        <v>245.45</v>
      </c>
      <c r="R177" s="43">
        <f>AVERAGE(0.63,0.69)</f>
        <v>0.65999999999999992</v>
      </c>
      <c r="S177" s="43">
        <f>AVERAGE(21,18.1)</f>
        <v>19.55</v>
      </c>
      <c r="T177" s="43">
        <f>AVERAGE(19.6,20.9)</f>
        <v>20.25</v>
      </c>
      <c r="U177" s="43" t="s">
        <v>50</v>
      </c>
      <c r="V177" s="45">
        <v>0</v>
      </c>
      <c r="W177" s="45" t="s">
        <v>50</v>
      </c>
      <c r="Y177" s="40" t="s">
        <v>6671</v>
      </c>
    </row>
    <row r="178" spans="1:25" x14ac:dyDescent="0.25">
      <c r="A178" s="44">
        <v>42906</v>
      </c>
      <c r="B178" s="631" t="s">
        <v>8296</v>
      </c>
      <c r="C178" s="631">
        <v>38.099119999999999</v>
      </c>
      <c r="D178" s="631">
        <v>-121.71852</v>
      </c>
      <c r="E178" s="631" t="s">
        <v>8517</v>
      </c>
      <c r="F178" s="631" t="s">
        <v>90</v>
      </c>
      <c r="G178" s="631" t="s">
        <v>91</v>
      </c>
      <c r="H178" s="239">
        <v>0.49374999999999997</v>
      </c>
      <c r="I178" s="43" t="s">
        <v>4500</v>
      </c>
      <c r="J178" s="43" t="s">
        <v>4501</v>
      </c>
      <c r="K178" s="238" t="s">
        <v>8283</v>
      </c>
      <c r="L178" s="43">
        <v>2</v>
      </c>
      <c r="M178" s="43">
        <v>10</v>
      </c>
      <c r="N178" s="43" t="s">
        <v>64</v>
      </c>
      <c r="O178" s="43">
        <v>19</v>
      </c>
      <c r="P178" s="43">
        <f>AVERAGE(108.3,111.4)</f>
        <v>109.85</v>
      </c>
      <c r="Q178" s="43">
        <f>AVERAGE(110.1,112.5)</f>
        <v>111.3</v>
      </c>
      <c r="R178" s="43">
        <f>AVERAGE(0.92,0.98)</f>
        <v>0.95</v>
      </c>
      <c r="S178" s="43">
        <f>AVERAGE(14.2,14.9)</f>
        <v>14.55</v>
      </c>
      <c r="T178" s="43">
        <f>AVERAGE(12.5,19.5)</f>
        <v>16</v>
      </c>
      <c r="U178" s="43" t="s">
        <v>50</v>
      </c>
      <c r="V178" s="45">
        <v>0</v>
      </c>
      <c r="W178" s="45" t="s">
        <v>50</v>
      </c>
      <c r="Y178" s="40" t="s">
        <v>6671</v>
      </c>
    </row>
    <row r="179" spans="1:25" x14ac:dyDescent="0.25">
      <c r="A179" s="44">
        <v>42906</v>
      </c>
      <c r="B179" s="631" t="s">
        <v>8291</v>
      </c>
      <c r="C179" s="631">
        <v>37.912619999999997</v>
      </c>
      <c r="D179" s="631">
        <v>-121.56278</v>
      </c>
      <c r="E179" s="631" t="s">
        <v>8518</v>
      </c>
      <c r="F179" s="631" t="s">
        <v>46</v>
      </c>
      <c r="G179" s="631" t="s">
        <v>199</v>
      </c>
      <c r="H179" s="239">
        <v>0.33402777777777781</v>
      </c>
      <c r="I179" s="43" t="s">
        <v>4500</v>
      </c>
      <c r="J179" s="43" t="s">
        <v>4501</v>
      </c>
      <c r="K179" s="238" t="s">
        <v>8283</v>
      </c>
      <c r="L179" s="43">
        <v>2</v>
      </c>
      <c r="M179" s="43">
        <v>10</v>
      </c>
      <c r="N179" s="43" t="s">
        <v>49</v>
      </c>
      <c r="O179" s="43">
        <v>23</v>
      </c>
      <c r="P179" s="43">
        <f>AVERAGE(137.9,138.3)</f>
        <v>138.10000000000002</v>
      </c>
      <c r="Q179" s="43">
        <f>AVERAGE(140.6,133.3)</f>
        <v>136.94999999999999</v>
      </c>
      <c r="R179" s="43">
        <f>AVERAGE(1.03)</f>
        <v>1.03</v>
      </c>
      <c r="S179" s="43">
        <f>AVERAGE(7.37,8.23)</f>
        <v>7.8000000000000007</v>
      </c>
      <c r="T179" s="43">
        <f>AVERAGE(12.6,9.98)</f>
        <v>11.29</v>
      </c>
      <c r="U179" s="43" t="s">
        <v>50</v>
      </c>
      <c r="V179" s="45">
        <v>0</v>
      </c>
      <c r="W179" s="45" t="s">
        <v>50</v>
      </c>
      <c r="X179" s="5" t="s">
        <v>8519</v>
      </c>
      <c r="Y179" s="40" t="s">
        <v>6671</v>
      </c>
    </row>
    <row r="180" spans="1:25" x14ac:dyDescent="0.25">
      <c r="A180" s="44">
        <v>42906</v>
      </c>
      <c r="B180" s="631" t="s">
        <v>8291</v>
      </c>
      <c r="C180" s="631">
        <v>38.016199999999998</v>
      </c>
      <c r="D180" s="631">
        <v>-121.58154999999999</v>
      </c>
      <c r="E180" s="631" t="s">
        <v>8520</v>
      </c>
      <c r="F180" s="631" t="s">
        <v>46</v>
      </c>
      <c r="G180" s="631" t="s">
        <v>74</v>
      </c>
      <c r="H180" s="239">
        <v>0.38680555555555557</v>
      </c>
      <c r="I180" s="43" t="s">
        <v>4500</v>
      </c>
      <c r="J180" s="43" t="s">
        <v>4501</v>
      </c>
      <c r="K180" s="238" t="s">
        <v>8283</v>
      </c>
      <c r="L180" s="43">
        <v>2</v>
      </c>
      <c r="M180" s="43">
        <v>10</v>
      </c>
      <c r="N180" s="43" t="s">
        <v>49</v>
      </c>
      <c r="O180" s="43">
        <v>24.5</v>
      </c>
      <c r="P180" s="43">
        <f>AVERAGE(128.3,128.9)</f>
        <v>128.60000000000002</v>
      </c>
      <c r="Q180" s="43">
        <f>AVERAGE(129.4,129.7)</f>
        <v>129.55000000000001</v>
      </c>
      <c r="R180" s="43">
        <f>AVERAGE(0.93,0.98)</f>
        <v>0.95500000000000007</v>
      </c>
      <c r="S180" s="43">
        <f>AVERAGE(7.43,6.37)</f>
        <v>6.9</v>
      </c>
      <c r="T180" s="43">
        <f>AVERAGE(8.32,7.55)</f>
        <v>7.9350000000000005</v>
      </c>
      <c r="U180" s="43" t="s">
        <v>50</v>
      </c>
      <c r="V180" s="45">
        <v>0</v>
      </c>
      <c r="W180" s="45" t="s">
        <v>50</v>
      </c>
      <c r="Y180" s="40" t="s">
        <v>6671</v>
      </c>
    </row>
    <row r="181" spans="1:25" x14ac:dyDescent="0.25">
      <c r="A181" s="44">
        <v>42906</v>
      </c>
      <c r="B181" s="631" t="s">
        <v>8291</v>
      </c>
      <c r="C181" s="631">
        <v>38.043419999999998</v>
      </c>
      <c r="D181" s="631">
        <v>-121.58356999999999</v>
      </c>
      <c r="E181" s="631" t="s">
        <v>8521</v>
      </c>
      <c r="F181" s="631" t="s">
        <v>46</v>
      </c>
      <c r="G181" s="631" t="s">
        <v>74</v>
      </c>
      <c r="H181" s="239">
        <v>0.42777777777777781</v>
      </c>
      <c r="I181" s="43" t="s">
        <v>4500</v>
      </c>
      <c r="J181" s="43" t="s">
        <v>4501</v>
      </c>
      <c r="K181" s="238" t="s">
        <v>8283</v>
      </c>
      <c r="L181" s="43">
        <v>2</v>
      </c>
      <c r="M181" s="43">
        <v>10</v>
      </c>
      <c r="N181" s="43" t="s">
        <v>49</v>
      </c>
      <c r="O181" s="43">
        <v>11.5</v>
      </c>
      <c r="P181" s="43">
        <f>AVERAGE(126,126.2)</f>
        <v>126.1</v>
      </c>
      <c r="Q181" s="43">
        <f>AVERAGE(127,127)</f>
        <v>127</v>
      </c>
      <c r="R181" s="43">
        <f>AVERAGE(1.39,1.6)</f>
        <v>1.4950000000000001</v>
      </c>
      <c r="S181" s="43">
        <f>AVERAGE(5.36,5.85)</f>
        <v>5.6050000000000004</v>
      </c>
      <c r="T181" s="43">
        <f>AVERAGE(33.2,7.73)</f>
        <v>20.465000000000003</v>
      </c>
      <c r="U181" s="43" t="s">
        <v>50</v>
      </c>
      <c r="V181" s="45">
        <v>0</v>
      </c>
      <c r="W181" s="45" t="s">
        <v>50</v>
      </c>
      <c r="Y181" s="40" t="s">
        <v>6671</v>
      </c>
    </row>
    <row r="182" spans="1:25" x14ac:dyDescent="0.25">
      <c r="A182" s="44">
        <v>42907</v>
      </c>
      <c r="B182" s="631" t="s">
        <v>8291</v>
      </c>
      <c r="C182" s="631">
        <v>38.067010000000003</v>
      </c>
      <c r="D182" s="631">
        <v>-121.67918</v>
      </c>
      <c r="E182" s="631" t="s">
        <v>8522</v>
      </c>
      <c r="F182" s="631" t="s">
        <v>46</v>
      </c>
      <c r="G182" s="631" t="s">
        <v>97</v>
      </c>
      <c r="H182" s="239">
        <v>0.34791666666666665</v>
      </c>
      <c r="I182" s="43" t="s">
        <v>4500</v>
      </c>
      <c r="J182" s="43" t="s">
        <v>4501</v>
      </c>
      <c r="K182" s="238" t="s">
        <v>8283</v>
      </c>
      <c r="L182" s="43">
        <v>2</v>
      </c>
      <c r="M182" s="43">
        <v>10</v>
      </c>
      <c r="N182" s="43" t="s">
        <v>49</v>
      </c>
      <c r="O182" s="235">
        <v>18</v>
      </c>
      <c r="P182" s="43">
        <f>AVERAGE(112.9,112.5)</f>
        <v>112.7</v>
      </c>
      <c r="Q182" s="43">
        <f>AVERAGE(113.5,110.6)</f>
        <v>112.05</v>
      </c>
      <c r="R182" s="43">
        <f>AVERAGE(0.8,0.87)</f>
        <v>0.83499999999999996</v>
      </c>
      <c r="S182" s="43">
        <f>AVERAGE(12.2,8.65)</f>
        <v>10.425000000000001</v>
      </c>
      <c r="T182" s="43">
        <f>AVERAGE(13.4,12.2)</f>
        <v>12.8</v>
      </c>
      <c r="U182" s="43" t="s">
        <v>50</v>
      </c>
      <c r="V182" s="45">
        <v>0</v>
      </c>
      <c r="W182" s="45" t="s">
        <v>50</v>
      </c>
      <c r="Y182" s="631" t="s">
        <v>6671</v>
      </c>
    </row>
    <row r="183" spans="1:25" x14ac:dyDescent="0.25">
      <c r="A183" s="44">
        <v>42907</v>
      </c>
      <c r="B183" s="631" t="s">
        <v>8291</v>
      </c>
      <c r="C183" s="631">
        <v>38.031170000000003</v>
      </c>
      <c r="D183" s="631">
        <v>-121.57144</v>
      </c>
      <c r="E183" s="631" t="s">
        <v>8523</v>
      </c>
      <c r="F183" s="631" t="s">
        <v>46</v>
      </c>
      <c r="G183" s="631" t="s">
        <v>74</v>
      </c>
      <c r="H183" s="239">
        <v>0.39930555555555558</v>
      </c>
      <c r="I183" s="43" t="s">
        <v>4500</v>
      </c>
      <c r="J183" s="43" t="s">
        <v>4501</v>
      </c>
      <c r="K183" s="238" t="s">
        <v>8283</v>
      </c>
      <c r="L183" s="43">
        <v>2</v>
      </c>
      <c r="M183" s="43">
        <v>10</v>
      </c>
      <c r="N183" s="43" t="s">
        <v>49</v>
      </c>
      <c r="O183" s="43">
        <f>AVERAGE(40,18)</f>
        <v>29</v>
      </c>
      <c r="P183" s="43">
        <f>AVERAGE(118.5,118.6)</f>
        <v>118.55</v>
      </c>
      <c r="Q183" s="43">
        <f>AVERAGE(119.1,119.6)</f>
        <v>119.35</v>
      </c>
      <c r="R183" s="43">
        <f>AVERAGE(1.01,0.92)</f>
        <v>0.96500000000000008</v>
      </c>
      <c r="S183" s="43">
        <f>AVERAGE(10.2,7.42)</f>
        <v>8.8099999999999987</v>
      </c>
      <c r="T183" s="43">
        <f>AVERAGE(7.15,7.14)</f>
        <v>7.1449999999999996</v>
      </c>
      <c r="U183" s="43" t="s">
        <v>50</v>
      </c>
      <c r="V183" s="45">
        <v>0</v>
      </c>
      <c r="W183" s="45" t="s">
        <v>50</v>
      </c>
      <c r="X183" s="5" t="s">
        <v>8524</v>
      </c>
      <c r="Y183" s="40" t="s">
        <v>6671</v>
      </c>
    </row>
    <row r="184" spans="1:25" x14ac:dyDescent="0.25">
      <c r="A184" s="44">
        <v>42907</v>
      </c>
      <c r="B184" s="631" t="s">
        <v>8291</v>
      </c>
      <c r="C184" s="631">
        <v>38.001049999999999</v>
      </c>
      <c r="D184" s="631">
        <v>-121.5115</v>
      </c>
      <c r="E184" s="631" t="s">
        <v>8525</v>
      </c>
      <c r="F184" s="631" t="s">
        <v>46</v>
      </c>
      <c r="G184" s="631" t="s">
        <v>6939</v>
      </c>
      <c r="H184" s="239">
        <v>0.46180555555555558</v>
      </c>
      <c r="I184" s="43" t="s">
        <v>4500</v>
      </c>
      <c r="J184" s="43" t="s">
        <v>4501</v>
      </c>
      <c r="K184" s="238" t="s">
        <v>8283</v>
      </c>
      <c r="L184" s="43">
        <v>2</v>
      </c>
      <c r="M184" s="43">
        <v>10</v>
      </c>
      <c r="N184" s="43" t="s">
        <v>49</v>
      </c>
      <c r="O184" s="43">
        <v>25</v>
      </c>
      <c r="P184" s="43">
        <f>AVERAGE(115.4,115.5)</f>
        <v>115.45</v>
      </c>
      <c r="Q184" s="43">
        <f>AVERAGE(115.9,115.4)</f>
        <v>115.65</v>
      </c>
      <c r="R184" s="43">
        <f>AVERAGE(1.15,1.3)</f>
        <v>1.2250000000000001</v>
      </c>
      <c r="S184" s="43">
        <f>AVERAGE(6.59,6.03)</f>
        <v>6.3100000000000005</v>
      </c>
      <c r="T184" s="43">
        <f>AVERAGE(8.1,7.35)</f>
        <v>7.7249999999999996</v>
      </c>
      <c r="U184" s="43" t="s">
        <v>50</v>
      </c>
      <c r="V184" s="45">
        <v>0</v>
      </c>
      <c r="W184" s="45" t="s">
        <v>50</v>
      </c>
      <c r="X184" s="5" t="s">
        <v>8526</v>
      </c>
      <c r="Y184" s="40" t="s">
        <v>6671</v>
      </c>
    </row>
    <row r="185" spans="1:25" x14ac:dyDescent="0.25">
      <c r="A185" s="44">
        <v>42907</v>
      </c>
      <c r="B185" s="631" t="s">
        <v>8291</v>
      </c>
      <c r="C185" s="631">
        <v>38.066369999999999</v>
      </c>
      <c r="D185" s="631">
        <v>-121.67914</v>
      </c>
      <c r="E185" s="631" t="s">
        <v>8522</v>
      </c>
      <c r="F185" s="631" t="s">
        <v>46</v>
      </c>
      <c r="G185" s="631" t="s">
        <v>97</v>
      </c>
      <c r="H185" s="239">
        <v>0.34722222222222227</v>
      </c>
      <c r="I185" s="43" t="s">
        <v>4500</v>
      </c>
      <c r="J185" s="43" t="s">
        <v>29</v>
      </c>
      <c r="K185" s="238" t="s">
        <v>8306</v>
      </c>
      <c r="L185" s="43">
        <v>0</v>
      </c>
      <c r="M185" s="43">
        <v>0</v>
      </c>
      <c r="N185" s="43" t="s">
        <v>50</v>
      </c>
      <c r="O185" s="43" t="s">
        <v>50</v>
      </c>
      <c r="P185" s="43" t="s">
        <v>50</v>
      </c>
      <c r="Q185" s="43" t="s">
        <v>50</v>
      </c>
      <c r="R185" s="43" t="s">
        <v>50</v>
      </c>
      <c r="S185" s="43" t="s">
        <v>50</v>
      </c>
      <c r="T185" s="43" t="s">
        <v>50</v>
      </c>
      <c r="U185" s="43" t="s">
        <v>50</v>
      </c>
      <c r="V185" s="43" t="s">
        <v>50</v>
      </c>
      <c r="W185" s="43" t="s">
        <v>50</v>
      </c>
      <c r="X185" s="5" t="s">
        <v>8527</v>
      </c>
      <c r="Y185" s="40" t="s">
        <v>6671</v>
      </c>
    </row>
    <row r="186" spans="1:25" x14ac:dyDescent="0.25">
      <c r="A186" s="44">
        <v>42907</v>
      </c>
      <c r="B186" s="631" t="s">
        <v>8291</v>
      </c>
      <c r="C186" s="631">
        <v>38.031379999999999</v>
      </c>
      <c r="D186" s="631">
        <v>-121.5711</v>
      </c>
      <c r="E186" s="631" t="s">
        <v>8523</v>
      </c>
      <c r="F186" s="631" t="s">
        <v>46</v>
      </c>
      <c r="G186" s="631" t="s">
        <v>74</v>
      </c>
      <c r="H186" s="239">
        <v>0.39861111111111108</v>
      </c>
      <c r="I186" s="43" t="s">
        <v>4500</v>
      </c>
      <c r="J186" s="43" t="s">
        <v>29</v>
      </c>
      <c r="K186" s="238" t="s">
        <v>8306</v>
      </c>
      <c r="L186" s="43">
        <v>2</v>
      </c>
      <c r="M186" s="43">
        <v>10</v>
      </c>
      <c r="N186" s="43" t="s">
        <v>49</v>
      </c>
      <c r="O186" s="43">
        <v>8.3000000000000007</v>
      </c>
      <c r="P186" s="43">
        <f>AVERAGE(117.1)</f>
        <v>117.1</v>
      </c>
      <c r="Q186" s="43" t="s">
        <v>50</v>
      </c>
      <c r="R186" s="43">
        <f>AVERAGE(0.85,1.12)</f>
        <v>0.9850000000000001</v>
      </c>
      <c r="S186" s="43">
        <f>AVERAGE(6.77,6.14)</f>
        <v>6.4550000000000001</v>
      </c>
      <c r="T186" s="43" t="s">
        <v>50</v>
      </c>
      <c r="U186" s="43" t="s">
        <v>50</v>
      </c>
      <c r="V186" s="45">
        <v>0</v>
      </c>
      <c r="W186" s="45" t="s">
        <v>50</v>
      </c>
      <c r="X186" s="5" t="s">
        <v>8528</v>
      </c>
      <c r="Y186" s="49" t="s">
        <v>6671</v>
      </c>
    </row>
    <row r="187" spans="1:25" x14ac:dyDescent="0.25">
      <c r="A187" s="44">
        <v>42907</v>
      </c>
      <c r="B187" s="631" t="s">
        <v>8291</v>
      </c>
      <c r="C187" s="631">
        <v>38.000399999999999</v>
      </c>
      <c r="D187" s="631">
        <v>-121.51040999999999</v>
      </c>
      <c r="E187" s="631" t="s">
        <v>8525</v>
      </c>
      <c r="F187" s="631" t="s">
        <v>46</v>
      </c>
      <c r="G187" s="631" t="s">
        <v>6939</v>
      </c>
      <c r="H187" s="239">
        <v>0.4597222222222222</v>
      </c>
      <c r="I187" s="43" t="s">
        <v>4500</v>
      </c>
      <c r="J187" s="43" t="s">
        <v>29</v>
      </c>
      <c r="K187" s="238" t="s">
        <v>8306</v>
      </c>
      <c r="L187" s="43">
        <v>1</v>
      </c>
      <c r="M187" s="43">
        <v>4</v>
      </c>
      <c r="N187" s="43" t="s">
        <v>49</v>
      </c>
      <c r="O187" s="43">
        <v>7.5</v>
      </c>
      <c r="P187" s="43">
        <v>117.4</v>
      </c>
      <c r="Q187" s="43" t="s">
        <v>50</v>
      </c>
      <c r="R187" s="43">
        <v>1.32</v>
      </c>
      <c r="S187" s="43">
        <v>6.66</v>
      </c>
      <c r="T187" s="43" t="s">
        <v>50</v>
      </c>
      <c r="U187" s="43" t="s">
        <v>50</v>
      </c>
      <c r="V187" s="45">
        <v>0</v>
      </c>
      <c r="W187" s="45" t="s">
        <v>50</v>
      </c>
      <c r="X187" s="5" t="s">
        <v>8529</v>
      </c>
      <c r="Y187" s="40" t="s">
        <v>6671</v>
      </c>
    </row>
    <row r="188" spans="1:25" x14ac:dyDescent="0.25">
      <c r="A188" s="44">
        <v>42907</v>
      </c>
      <c r="B188" s="631" t="s">
        <v>8296</v>
      </c>
      <c r="C188" s="631">
        <v>38.04466</v>
      </c>
      <c r="D188" s="631">
        <v>-121.69414999999999</v>
      </c>
      <c r="E188" s="631" t="s">
        <v>8530</v>
      </c>
      <c r="F188" s="631" t="s">
        <v>27</v>
      </c>
      <c r="G188" s="631" t="s">
        <v>95</v>
      </c>
      <c r="H188" s="239">
        <v>0.37222222222222223</v>
      </c>
      <c r="I188" s="43" t="s">
        <v>4500</v>
      </c>
      <c r="J188" s="43" t="s">
        <v>4501</v>
      </c>
      <c r="K188" s="238" t="s">
        <v>8283</v>
      </c>
      <c r="L188" s="43">
        <v>2</v>
      </c>
      <c r="M188" s="43">
        <v>10</v>
      </c>
      <c r="N188" s="43" t="s">
        <v>49</v>
      </c>
      <c r="O188" s="43">
        <v>19</v>
      </c>
      <c r="P188" s="43">
        <f>AVERAGE(111.5,111.7)</f>
        <v>111.6</v>
      </c>
      <c r="Q188" s="43">
        <f>AVERAGE(112.3,113.6)</f>
        <v>112.94999999999999</v>
      </c>
      <c r="R188" s="43">
        <f>AVERAGE(1.27,1.27)</f>
        <v>1.27</v>
      </c>
      <c r="S188" s="43">
        <f>AVERAGE(7.07,6.82)</f>
        <v>6.9450000000000003</v>
      </c>
      <c r="T188" s="43">
        <f>AVERAGE(7.98,110)</f>
        <v>58.99</v>
      </c>
      <c r="U188" s="43" t="s">
        <v>50</v>
      </c>
      <c r="V188" s="45">
        <v>0</v>
      </c>
      <c r="W188" s="45" t="s">
        <v>50</v>
      </c>
      <c r="Y188" s="34" t="s">
        <v>6671</v>
      </c>
    </row>
    <row r="189" spans="1:25" x14ac:dyDescent="0.25">
      <c r="A189" s="44">
        <v>42907</v>
      </c>
      <c r="B189" s="631" t="s">
        <v>8296</v>
      </c>
      <c r="C189" s="631">
        <v>38.279060000000001</v>
      </c>
      <c r="D189" s="631">
        <v>-121.63968</v>
      </c>
      <c r="E189" s="631" t="s">
        <v>8531</v>
      </c>
      <c r="F189" s="631" t="s">
        <v>90</v>
      </c>
      <c r="G189" s="631" t="s">
        <v>126</v>
      </c>
      <c r="H189" s="239">
        <v>0.4465277777777778</v>
      </c>
      <c r="I189" s="43" t="s">
        <v>4500</v>
      </c>
      <c r="J189" s="43" t="s">
        <v>4501</v>
      </c>
      <c r="K189" s="238" t="s">
        <v>8283</v>
      </c>
      <c r="L189" s="43">
        <v>2</v>
      </c>
      <c r="M189" s="43">
        <v>10</v>
      </c>
      <c r="N189" s="43" t="s">
        <v>49</v>
      </c>
      <c r="O189" s="43">
        <v>13</v>
      </c>
      <c r="P189" s="43">
        <f>AVERAGE(101,102.4)</f>
        <v>101.7</v>
      </c>
      <c r="Q189" s="43">
        <f>AVERAGE(103.3,103)</f>
        <v>103.15</v>
      </c>
      <c r="R189" s="43">
        <f>AVERAGE(0.9,0.85)</f>
        <v>0.875</v>
      </c>
      <c r="S189" s="43">
        <f>AVERAGE(37.2,18.5)</f>
        <v>27.85</v>
      </c>
      <c r="T189" s="43">
        <f>AVERAGE(26.3,18.9)</f>
        <v>22.6</v>
      </c>
      <c r="U189" s="43" t="s">
        <v>50</v>
      </c>
      <c r="V189" s="45">
        <v>0</v>
      </c>
      <c r="W189" s="45" t="s">
        <v>50</v>
      </c>
      <c r="Y189" s="40" t="s">
        <v>6671</v>
      </c>
    </row>
    <row r="190" spans="1:25" x14ac:dyDescent="0.25">
      <c r="A190" s="44">
        <v>42907</v>
      </c>
      <c r="B190" s="631" t="s">
        <v>8296</v>
      </c>
      <c r="C190" s="631">
        <v>38.175089999999997</v>
      </c>
      <c r="D190" s="631">
        <v>-121.95493</v>
      </c>
      <c r="E190" s="631" t="s">
        <v>8532</v>
      </c>
      <c r="F190" s="631" t="s">
        <v>27</v>
      </c>
      <c r="G190" s="631" t="s">
        <v>62</v>
      </c>
      <c r="H190" s="239">
        <v>0.53194444444444444</v>
      </c>
      <c r="I190" s="43" t="s">
        <v>4500</v>
      </c>
      <c r="J190" s="43" t="s">
        <v>4501</v>
      </c>
      <c r="K190" s="238" t="s">
        <v>8283</v>
      </c>
      <c r="L190" s="43">
        <v>2</v>
      </c>
      <c r="M190" s="43">
        <v>10</v>
      </c>
      <c r="N190" s="43" t="s">
        <v>64</v>
      </c>
      <c r="O190" s="43">
        <v>14</v>
      </c>
      <c r="P190" s="43">
        <f>AVERAGE(957,955)</f>
        <v>956</v>
      </c>
      <c r="Q190" s="43">
        <f>AVERAGE(965,964)</f>
        <v>964.5</v>
      </c>
      <c r="R190" s="43">
        <f>AVERAGE(0.2,0.26)</f>
        <v>0.23</v>
      </c>
      <c r="S190" s="43">
        <f>AVERAGE(69.4,84.6)</f>
        <v>77</v>
      </c>
      <c r="T190" s="43">
        <f>AVERAGE(88.5,101)</f>
        <v>94.75</v>
      </c>
      <c r="U190" s="43" t="s">
        <v>50</v>
      </c>
      <c r="V190" s="45">
        <v>0</v>
      </c>
      <c r="W190" s="45" t="s">
        <v>50</v>
      </c>
      <c r="Y190" s="34" t="s">
        <v>6671</v>
      </c>
    </row>
    <row r="191" spans="1:25" x14ac:dyDescent="0.25">
      <c r="A191" s="44">
        <v>42912</v>
      </c>
      <c r="B191" s="631" t="s">
        <v>8291</v>
      </c>
      <c r="C191" s="631">
        <v>38.046889999999998</v>
      </c>
      <c r="D191" s="631">
        <v>-121.53346000000001</v>
      </c>
      <c r="E191" s="631" t="s">
        <v>8533</v>
      </c>
      <c r="F191" s="631" t="s">
        <v>46</v>
      </c>
      <c r="G191" s="631" t="s">
        <v>582</v>
      </c>
      <c r="H191" s="239">
        <v>0.3263888888888889</v>
      </c>
      <c r="I191" s="43" t="s">
        <v>4500</v>
      </c>
      <c r="J191" s="43" t="s">
        <v>4501</v>
      </c>
      <c r="K191" s="238" t="s">
        <v>8283</v>
      </c>
      <c r="L191" s="43">
        <v>2</v>
      </c>
      <c r="M191" s="43">
        <v>10</v>
      </c>
      <c r="N191" s="43" t="s">
        <v>49</v>
      </c>
      <c r="O191" s="43">
        <v>23</v>
      </c>
      <c r="P191" s="43">
        <f>AVERAGE(103.7,103.7)</f>
        <v>103.7</v>
      </c>
      <c r="Q191" s="43">
        <f>AVERAGE(105.9,104.2)</f>
        <v>105.05000000000001</v>
      </c>
      <c r="R191" s="43">
        <f>AVERAGE(0.98,0.94)</f>
        <v>0.96</v>
      </c>
      <c r="S191" s="43">
        <f>AVERAGE(8.56,11.7)</f>
        <v>10.129999999999999</v>
      </c>
      <c r="T191" s="43">
        <f>AVERAGE(13.9,19.5)</f>
        <v>16.7</v>
      </c>
      <c r="U191" s="43" t="s">
        <v>50</v>
      </c>
      <c r="V191" s="45">
        <v>0</v>
      </c>
      <c r="W191" s="45" t="s">
        <v>50</v>
      </c>
      <c r="Y191" s="34" t="s">
        <v>6671</v>
      </c>
    </row>
    <row r="192" spans="1:25" x14ac:dyDescent="0.25">
      <c r="A192" s="44">
        <v>42912</v>
      </c>
      <c r="B192" s="631" t="s">
        <v>8291</v>
      </c>
      <c r="C192" s="631">
        <v>37.869840000000003</v>
      </c>
      <c r="D192" s="631">
        <v>-121.57979</v>
      </c>
      <c r="E192" s="631" t="s">
        <v>8534</v>
      </c>
      <c r="F192" s="631" t="s">
        <v>46</v>
      </c>
      <c r="G192" s="631" t="s">
        <v>202</v>
      </c>
      <c r="H192" s="239">
        <v>0.39305555555555555</v>
      </c>
      <c r="I192" s="43" t="s">
        <v>4500</v>
      </c>
      <c r="J192" s="43" t="s">
        <v>4501</v>
      </c>
      <c r="K192" s="238" t="s">
        <v>8283</v>
      </c>
      <c r="L192" s="43">
        <v>2</v>
      </c>
      <c r="M192" s="43">
        <v>10</v>
      </c>
      <c r="N192" s="43" t="s">
        <v>49</v>
      </c>
      <c r="O192" s="43">
        <v>25</v>
      </c>
      <c r="P192" s="43">
        <f>AVERAGE(138.3,138.9)</f>
        <v>138.60000000000002</v>
      </c>
      <c r="Q192" s="43">
        <f>AVERAGE(141.3,140.6)</f>
        <v>140.94999999999999</v>
      </c>
      <c r="R192" s="43">
        <f>AVERAGE(0.79,0.82)</f>
        <v>0.80499999999999994</v>
      </c>
      <c r="S192" s="43">
        <f>AVERAGE(14.3,13.6)</f>
        <v>13.95</v>
      </c>
      <c r="T192" s="43">
        <f>AVERAGE(15.5,17.7)</f>
        <v>16.600000000000001</v>
      </c>
      <c r="U192" s="43" t="s">
        <v>50</v>
      </c>
      <c r="V192" s="45">
        <v>0</v>
      </c>
      <c r="W192" s="45" t="s">
        <v>50</v>
      </c>
      <c r="Y192" s="49" t="s">
        <v>6671</v>
      </c>
    </row>
    <row r="193" spans="1:25" x14ac:dyDescent="0.25">
      <c r="A193" s="44">
        <v>42912</v>
      </c>
      <c r="B193" s="631" t="s">
        <v>8291</v>
      </c>
      <c r="C193" s="631">
        <v>38.074829999999999</v>
      </c>
      <c r="D193" s="631">
        <v>-121.68085000000001</v>
      </c>
      <c r="E193" s="631" t="s">
        <v>8535</v>
      </c>
      <c r="F193" s="631" t="s">
        <v>46</v>
      </c>
      <c r="G193" s="631" t="s">
        <v>97</v>
      </c>
      <c r="H193" s="239">
        <v>0.48402777777777778</v>
      </c>
      <c r="I193" s="43" t="s">
        <v>4500</v>
      </c>
      <c r="J193" s="43" t="s">
        <v>4501</v>
      </c>
      <c r="K193" s="238" t="s">
        <v>8283</v>
      </c>
      <c r="L193" s="43">
        <v>2</v>
      </c>
      <c r="M193" s="43">
        <v>10</v>
      </c>
      <c r="N193" s="43" t="s">
        <v>49</v>
      </c>
      <c r="O193" s="43">
        <f>AVERAGE(12.1,11.5)</f>
        <v>11.8</v>
      </c>
      <c r="P193" s="43">
        <f>AVERAGE(105,104.9)</f>
        <v>104.95</v>
      </c>
      <c r="Q193" s="43">
        <f>AVERAGE(105.8,105)</f>
        <v>105.4</v>
      </c>
      <c r="R193" s="43">
        <f>AVERAGE(0.92,0.86)</f>
        <v>0.89</v>
      </c>
      <c r="S193" s="43">
        <f>AVERAGE(12.5,14.9)</f>
        <v>13.7</v>
      </c>
      <c r="T193" s="43">
        <f>AVERAGE(16.2,14.8)</f>
        <v>15.5</v>
      </c>
      <c r="U193" s="43" t="s">
        <v>50</v>
      </c>
      <c r="V193" s="45">
        <v>0</v>
      </c>
      <c r="W193" s="45" t="s">
        <v>50</v>
      </c>
      <c r="Y193" s="34" t="s">
        <v>6671</v>
      </c>
    </row>
    <row r="194" spans="1:25" x14ac:dyDescent="0.25">
      <c r="A194" s="44">
        <v>42912</v>
      </c>
      <c r="B194" s="631" t="s">
        <v>8296</v>
      </c>
      <c r="C194" s="631">
        <v>38.246670000000002</v>
      </c>
      <c r="D194" s="631">
        <v>-121.67037000000001</v>
      </c>
      <c r="E194" s="631" t="s">
        <v>8536</v>
      </c>
      <c r="F194" s="631" t="s">
        <v>90</v>
      </c>
      <c r="G194" s="631" t="s">
        <v>126</v>
      </c>
      <c r="H194" s="239">
        <v>0.4069444444444445</v>
      </c>
      <c r="I194" s="43" t="s">
        <v>4500</v>
      </c>
      <c r="J194" s="43" t="s">
        <v>4501</v>
      </c>
      <c r="K194" s="238" t="s">
        <v>8283</v>
      </c>
      <c r="L194" s="43">
        <v>2</v>
      </c>
      <c r="M194" s="43">
        <v>10</v>
      </c>
      <c r="N194" s="43" t="s">
        <v>49</v>
      </c>
      <c r="O194" s="43">
        <f>AVERAGE(34,32.1)</f>
        <v>33.049999999999997</v>
      </c>
      <c r="P194" s="43">
        <f>AVERAGE(134,139.6)</f>
        <v>136.80000000000001</v>
      </c>
      <c r="Q194" s="43">
        <f>AVERAGE(136.8,135.4)</f>
        <v>136.10000000000002</v>
      </c>
      <c r="R194" s="43">
        <f>AVERAGE(0.82,0.69)</f>
        <v>0.75499999999999989</v>
      </c>
      <c r="S194" s="43">
        <f>AVERAGE(14.9,16.5)</f>
        <v>15.7</v>
      </c>
      <c r="T194" s="43">
        <f>AVERAGE(18.2,43.9)</f>
        <v>31.049999999999997</v>
      </c>
      <c r="U194" s="43" t="s">
        <v>50</v>
      </c>
      <c r="V194" s="45">
        <v>0</v>
      </c>
      <c r="W194" s="45" t="s">
        <v>50</v>
      </c>
      <c r="Y194" s="34" t="s">
        <v>8537</v>
      </c>
    </row>
    <row r="195" spans="1:25" x14ac:dyDescent="0.25">
      <c r="A195" s="44">
        <v>42912</v>
      </c>
      <c r="B195" s="631" t="s">
        <v>8296</v>
      </c>
      <c r="C195" s="631">
        <v>38.035800000000002</v>
      </c>
      <c r="D195" s="631">
        <v>-121.71277000000001</v>
      </c>
      <c r="E195" s="631" t="s">
        <v>8538</v>
      </c>
      <c r="F195" s="631" t="s">
        <v>27</v>
      </c>
      <c r="G195" s="631" t="s">
        <v>95</v>
      </c>
      <c r="H195" s="239">
        <v>0.49236111111111108</v>
      </c>
      <c r="I195" s="43" t="s">
        <v>4500</v>
      </c>
      <c r="J195" s="43" t="s">
        <v>4501</v>
      </c>
      <c r="K195" s="238" t="s">
        <v>8283</v>
      </c>
      <c r="L195" s="43">
        <v>2</v>
      </c>
      <c r="M195" s="43">
        <v>10</v>
      </c>
      <c r="N195" s="43" t="s">
        <v>49</v>
      </c>
      <c r="O195" s="43">
        <v>22</v>
      </c>
      <c r="P195" s="43">
        <f>AVERAGE(112.7,112.3)</f>
        <v>112.5</v>
      </c>
      <c r="Q195" s="43">
        <f>AVERAGE(112,112.4)</f>
        <v>112.2</v>
      </c>
      <c r="R195" s="43">
        <f>AVERAGE(0.85)</f>
        <v>0.85</v>
      </c>
      <c r="S195" s="43">
        <f>AVERAGE(13.6,14.4)</f>
        <v>14</v>
      </c>
      <c r="T195" s="43">
        <f>AVERAGE(12.6,13.3)</f>
        <v>12.95</v>
      </c>
      <c r="U195" s="43" t="s">
        <v>50</v>
      </c>
      <c r="V195" s="45">
        <v>0</v>
      </c>
      <c r="W195" s="45" t="s">
        <v>50</v>
      </c>
      <c r="Y195" s="34" t="s">
        <v>6671</v>
      </c>
    </row>
    <row r="196" spans="1:25" x14ac:dyDescent="0.25">
      <c r="A196" s="44">
        <v>42912</v>
      </c>
      <c r="B196" s="631" t="s">
        <v>8296</v>
      </c>
      <c r="C196" s="631">
        <v>38.045020000000001</v>
      </c>
      <c r="D196" s="631">
        <v>-121.84213</v>
      </c>
      <c r="E196" s="631" t="s">
        <v>8539</v>
      </c>
      <c r="F196" s="631" t="s">
        <v>27</v>
      </c>
      <c r="G196" s="631" t="s">
        <v>95</v>
      </c>
      <c r="H196" s="239">
        <v>0.54375000000000007</v>
      </c>
      <c r="I196" s="43" t="s">
        <v>4500</v>
      </c>
      <c r="J196" s="43" t="s">
        <v>4501</v>
      </c>
      <c r="K196" s="238" t="s">
        <v>8283</v>
      </c>
      <c r="L196" s="43">
        <v>2</v>
      </c>
      <c r="M196" s="43">
        <v>10</v>
      </c>
      <c r="N196" s="43" t="s">
        <v>49</v>
      </c>
      <c r="O196" s="43">
        <v>17.5</v>
      </c>
      <c r="P196" s="43">
        <f>AVERAGE(143.8,136.7)</f>
        <v>140.25</v>
      </c>
      <c r="Q196" s="43">
        <f>AVERAGE(144.9,136.3)</f>
        <v>140.60000000000002</v>
      </c>
      <c r="R196" s="43">
        <f>AVERAGE(0.85,0.85)</f>
        <v>0.85</v>
      </c>
      <c r="S196" s="43">
        <f>AVERAGE(20.3,21.7)</f>
        <v>21</v>
      </c>
      <c r="T196" s="43">
        <f>AVERAGE(28.3,21)</f>
        <v>24.65</v>
      </c>
      <c r="U196" s="43" t="s">
        <v>50</v>
      </c>
      <c r="V196" s="45">
        <v>0</v>
      </c>
      <c r="W196" s="45" t="s">
        <v>50</v>
      </c>
      <c r="Y196" s="34" t="s">
        <v>6671</v>
      </c>
    </row>
    <row r="197" spans="1:25" x14ac:dyDescent="0.25">
      <c r="A197" s="44">
        <v>42913</v>
      </c>
      <c r="B197" s="631" t="s">
        <v>8291</v>
      </c>
      <c r="C197" s="631">
        <v>38.054369999999999</v>
      </c>
      <c r="D197" s="631">
        <v>-121.46209</v>
      </c>
      <c r="E197" s="631" t="s">
        <v>8540</v>
      </c>
      <c r="F197" s="631" t="s">
        <v>46</v>
      </c>
      <c r="G197" s="631" t="s">
        <v>6883</v>
      </c>
      <c r="H197" s="239">
        <v>0.31944444444444448</v>
      </c>
      <c r="I197" s="43" t="s">
        <v>4500</v>
      </c>
      <c r="J197" s="43" t="s">
        <v>4501</v>
      </c>
      <c r="K197" s="238" t="s">
        <v>8283</v>
      </c>
      <c r="L197" s="43">
        <v>2</v>
      </c>
      <c r="M197" s="43">
        <v>10</v>
      </c>
      <c r="N197" s="43" t="s">
        <v>64</v>
      </c>
      <c r="O197" s="43">
        <f>AVERAGE(20,20)</f>
        <v>20</v>
      </c>
      <c r="P197" s="43">
        <f>AVERAGE(97.7,91.5)</f>
        <v>94.6</v>
      </c>
      <c r="Q197" s="43">
        <f>AVERAGE(92,91.4)</f>
        <v>91.7</v>
      </c>
      <c r="R197" s="43">
        <f>AVERAGE(0.82,0.81)</f>
        <v>0.81499999999999995</v>
      </c>
      <c r="S197" s="43">
        <f>AVERAGE(9.78,13.1)</f>
        <v>11.44</v>
      </c>
      <c r="T197" s="43">
        <f>AVERAGE(13.7,23.7)</f>
        <v>18.7</v>
      </c>
      <c r="U197" s="43" t="s">
        <v>50</v>
      </c>
      <c r="V197" s="43">
        <v>0</v>
      </c>
      <c r="W197" s="43" t="s">
        <v>50</v>
      </c>
      <c r="Y197" s="34" t="s">
        <v>6671</v>
      </c>
    </row>
    <row r="198" spans="1:25" x14ac:dyDescent="0.25">
      <c r="A198" s="44">
        <v>42913</v>
      </c>
      <c r="B198" s="631" t="s">
        <v>8291</v>
      </c>
      <c r="C198" s="631">
        <v>37.960209999999996</v>
      </c>
      <c r="D198" s="631">
        <v>-121.46032</v>
      </c>
      <c r="E198" s="631" t="s">
        <v>8541</v>
      </c>
      <c r="F198" s="631" t="s">
        <v>46</v>
      </c>
      <c r="G198" s="631" t="s">
        <v>6939</v>
      </c>
      <c r="H198" s="239">
        <v>0.37083333333333335</v>
      </c>
      <c r="I198" s="43" t="s">
        <v>4500</v>
      </c>
      <c r="J198" s="43" t="s">
        <v>4501</v>
      </c>
      <c r="K198" s="238" t="s">
        <v>8283</v>
      </c>
      <c r="L198" s="43">
        <v>2</v>
      </c>
      <c r="M198" s="43">
        <v>10</v>
      </c>
      <c r="N198" s="43" t="s">
        <v>49</v>
      </c>
      <c r="O198" s="43">
        <f>AVERAGE(15,13)</f>
        <v>14</v>
      </c>
      <c r="P198" s="43">
        <f>AVERAGE(356.7,355)</f>
        <v>355.85</v>
      </c>
      <c r="Q198" s="43">
        <f>AVERAGE(309.9,308.6)</f>
        <v>309.25</v>
      </c>
      <c r="R198" s="43">
        <f>AVERAGE(0.7,0.82)</f>
        <v>0.76</v>
      </c>
      <c r="S198" s="43">
        <f>AVERAGE(16.8,11.9)</f>
        <v>14.350000000000001</v>
      </c>
      <c r="T198" s="43">
        <f>AVERAGE(16.3,14)</f>
        <v>15.15</v>
      </c>
      <c r="U198" s="43" t="s">
        <v>50</v>
      </c>
      <c r="V198" s="43">
        <v>0</v>
      </c>
      <c r="W198" s="43" t="s">
        <v>50</v>
      </c>
      <c r="Y198" s="34" t="s">
        <v>8537</v>
      </c>
    </row>
    <row r="199" spans="1:25" x14ac:dyDescent="0.25">
      <c r="A199" s="44">
        <v>42913</v>
      </c>
      <c r="B199" s="631" t="s">
        <v>8291</v>
      </c>
      <c r="C199" s="631">
        <v>38.062440000000002</v>
      </c>
      <c r="D199" s="631">
        <v>-121.67665</v>
      </c>
      <c r="E199" s="631" t="s">
        <v>8542</v>
      </c>
      <c r="F199" s="631" t="s">
        <v>46</v>
      </c>
      <c r="G199" s="631" t="s">
        <v>97</v>
      </c>
      <c r="H199" s="239">
        <v>0.45694444444444443</v>
      </c>
      <c r="I199" s="43" t="s">
        <v>4500</v>
      </c>
      <c r="J199" s="43" t="s">
        <v>4501</v>
      </c>
      <c r="K199" s="238" t="s">
        <v>8283</v>
      </c>
      <c r="L199" s="43">
        <v>2</v>
      </c>
      <c r="M199" s="43">
        <v>10</v>
      </c>
      <c r="N199" s="43" t="s">
        <v>49</v>
      </c>
      <c r="O199" s="43">
        <f>AVERAGE(36,36)</f>
        <v>36</v>
      </c>
      <c r="P199" s="43">
        <f>AVERAGE(105.8,106.1)</f>
        <v>105.94999999999999</v>
      </c>
      <c r="Q199" s="43">
        <f>AVERAGE(106.4,105.3)</f>
        <v>105.85</v>
      </c>
      <c r="R199" s="43">
        <f>AVERAGE(0.81,0.77)</f>
        <v>0.79</v>
      </c>
      <c r="S199" s="43">
        <f>AVERAGE(30.4,20.1)</f>
        <v>25.25</v>
      </c>
      <c r="T199" s="43">
        <f>AVERAGE(26.3,11)</f>
        <v>18.649999999999999</v>
      </c>
      <c r="U199" s="43" t="s">
        <v>50</v>
      </c>
      <c r="V199" s="43">
        <v>0</v>
      </c>
      <c r="W199" s="43" t="s">
        <v>50</v>
      </c>
      <c r="Y199" s="34" t="s">
        <v>6671</v>
      </c>
    </row>
    <row r="200" spans="1:25" x14ac:dyDescent="0.25">
      <c r="A200" s="44">
        <v>42913</v>
      </c>
      <c r="B200" s="631" t="s">
        <v>8296</v>
      </c>
      <c r="C200" s="631">
        <v>38.041179999999997</v>
      </c>
      <c r="D200" s="631">
        <v>-121.90258</v>
      </c>
      <c r="E200" s="631" t="s">
        <v>8543</v>
      </c>
      <c r="F200" s="631" t="s">
        <v>27</v>
      </c>
      <c r="G200" s="631" t="s">
        <v>170</v>
      </c>
      <c r="H200" s="239">
        <v>0.34513888888888888</v>
      </c>
      <c r="I200" s="43" t="s">
        <v>4500</v>
      </c>
      <c r="J200" s="43" t="s">
        <v>4501</v>
      </c>
      <c r="K200" s="238" t="s">
        <v>8283</v>
      </c>
      <c r="L200" s="43">
        <v>2</v>
      </c>
      <c r="M200" s="43">
        <v>10</v>
      </c>
      <c r="N200" s="43" t="s">
        <v>49</v>
      </c>
      <c r="O200" s="43">
        <f>AVERAGE(17,17)</f>
        <v>17</v>
      </c>
      <c r="P200" s="43">
        <f>AVERAGE(1604,1646)</f>
        <v>1625</v>
      </c>
      <c r="Q200" s="43">
        <f>AVERAGE(1993,1770)</f>
        <v>1881.5</v>
      </c>
      <c r="R200" s="43">
        <f>AVERAGE(0.46,0.45)</f>
        <v>0.45500000000000002</v>
      </c>
      <c r="S200" s="43">
        <f>AVERAGE(23.7,41)</f>
        <v>32.35</v>
      </c>
      <c r="T200" s="43">
        <f>AVERAGE(105,122)</f>
        <v>113.5</v>
      </c>
      <c r="U200" s="43" t="s">
        <v>50</v>
      </c>
      <c r="V200" s="45">
        <v>0</v>
      </c>
      <c r="W200" s="45" t="s">
        <v>50</v>
      </c>
      <c r="Y200" s="40" t="s">
        <v>8537</v>
      </c>
    </row>
    <row r="201" spans="1:25" x14ac:dyDescent="0.25">
      <c r="A201" s="44">
        <v>42913</v>
      </c>
      <c r="B201" s="631" t="s">
        <v>8296</v>
      </c>
      <c r="C201" s="631">
        <v>38.084499999999998</v>
      </c>
      <c r="D201" s="631">
        <v>-121.74327</v>
      </c>
      <c r="E201" s="631" t="s">
        <v>8544</v>
      </c>
      <c r="F201" s="631" t="s">
        <v>27</v>
      </c>
      <c r="G201" s="631" t="s">
        <v>25</v>
      </c>
      <c r="H201" s="239">
        <v>0.39861111111111108</v>
      </c>
      <c r="I201" s="43" t="s">
        <v>4500</v>
      </c>
      <c r="J201" s="43" t="s">
        <v>4501</v>
      </c>
      <c r="K201" s="238" t="s">
        <v>8283</v>
      </c>
      <c r="L201" s="43">
        <v>2</v>
      </c>
      <c r="M201" s="43">
        <v>10</v>
      </c>
      <c r="N201" s="43" t="s">
        <v>49</v>
      </c>
      <c r="O201" s="43">
        <f>AVERAGE(33,33)</f>
        <v>33</v>
      </c>
      <c r="P201" s="43">
        <f>AVERAGE(135.3,120.1)</f>
        <v>127.7</v>
      </c>
      <c r="Q201" s="43">
        <f>AVERAGE(142.6,120.1)</f>
        <v>131.35</v>
      </c>
      <c r="R201" s="43">
        <f>AVERAGE(0.7,0.68)</f>
        <v>0.69</v>
      </c>
      <c r="S201" s="43">
        <f>AVERAGE(30,15.4)</f>
        <v>22.7</v>
      </c>
      <c r="T201" s="43">
        <f>AVERAGE(20.4,15.4)</f>
        <v>17.899999999999999</v>
      </c>
      <c r="U201" s="43" t="s">
        <v>50</v>
      </c>
      <c r="V201" s="45">
        <v>0</v>
      </c>
      <c r="W201" s="45" t="s">
        <v>50</v>
      </c>
      <c r="Y201" s="269" t="s">
        <v>6671</v>
      </c>
    </row>
    <row r="202" spans="1:25" x14ac:dyDescent="0.25">
      <c r="A202" s="44">
        <v>42913</v>
      </c>
      <c r="B202" s="631" t="s">
        <v>8296</v>
      </c>
      <c r="C202" s="631">
        <v>38.064329999999998</v>
      </c>
      <c r="D202" s="631">
        <v>-121.05034000000001</v>
      </c>
      <c r="E202" s="631" t="s">
        <v>8545</v>
      </c>
      <c r="F202" s="631" t="s">
        <v>27</v>
      </c>
      <c r="G202" s="631" t="s">
        <v>86</v>
      </c>
      <c r="H202" s="239">
        <v>0.51666666666666672</v>
      </c>
      <c r="I202" s="43" t="s">
        <v>4500</v>
      </c>
      <c r="J202" s="43" t="s">
        <v>4501</v>
      </c>
      <c r="K202" s="238" t="s">
        <v>8283</v>
      </c>
      <c r="L202" s="43">
        <v>2</v>
      </c>
      <c r="M202" s="43">
        <v>10</v>
      </c>
      <c r="N202" s="43" t="s">
        <v>49</v>
      </c>
      <c r="O202" s="43">
        <f>AVERAGE(17,17)</f>
        <v>17</v>
      </c>
      <c r="P202" s="43">
        <f>AVERAGE(1567,1038)</f>
        <v>1302.5</v>
      </c>
      <c r="Q202" s="43">
        <f>AVERAGE(1586,1429)</f>
        <v>1507.5</v>
      </c>
      <c r="R202" s="43">
        <f>AVERAGE(0.45,0.45)</f>
        <v>0.45</v>
      </c>
      <c r="S202" s="43">
        <f>AVERAGE(62.8,38.9)</f>
        <v>50.849999999999994</v>
      </c>
      <c r="T202" s="43">
        <f>AVERAGE(67.5,68.5)</f>
        <v>68</v>
      </c>
      <c r="U202" s="43" t="s">
        <v>323</v>
      </c>
      <c r="V202" s="43">
        <v>4</v>
      </c>
      <c r="W202" s="43" t="s">
        <v>8546</v>
      </c>
      <c r="X202" s="5" t="s">
        <v>8547</v>
      </c>
      <c r="Y202" s="235" t="s">
        <v>8537</v>
      </c>
    </row>
    <row r="203" spans="1:25" x14ac:dyDescent="0.25">
      <c r="A203" s="44">
        <v>42914</v>
      </c>
      <c r="B203" s="631" t="s">
        <v>8281</v>
      </c>
      <c r="C203" s="631">
        <v>38.405050000000003</v>
      </c>
      <c r="D203" s="631">
        <v>-121.51447</v>
      </c>
      <c r="E203" s="631" t="s">
        <v>8548</v>
      </c>
      <c r="F203" s="631" t="s">
        <v>90</v>
      </c>
      <c r="G203" s="631" t="s">
        <v>6851</v>
      </c>
      <c r="H203" s="239">
        <v>0.4381944444444445</v>
      </c>
      <c r="I203" s="43" t="s">
        <v>4500</v>
      </c>
      <c r="J203" s="43" t="s">
        <v>4501</v>
      </c>
      <c r="K203" s="238" t="s">
        <v>8283</v>
      </c>
      <c r="L203" s="43">
        <v>2</v>
      </c>
      <c r="M203" s="43">
        <v>10</v>
      </c>
      <c r="N203" s="43" t="s">
        <v>49</v>
      </c>
      <c r="O203" s="43">
        <v>19</v>
      </c>
      <c r="P203" s="43">
        <f>AVERAGE(92,92.8)</f>
        <v>92.4</v>
      </c>
      <c r="Q203" s="43">
        <f>AVERAGE(94.1,93.2)</f>
        <v>93.65</v>
      </c>
      <c r="R203" s="43">
        <f>AVERAGE(0.83,0.95)</f>
        <v>0.8899999999999999</v>
      </c>
      <c r="S203" s="43">
        <f>AVERAGE(8.64,7.84)</f>
        <v>8.24</v>
      </c>
      <c r="T203" s="43">
        <f>AVERAGE(12.8,10)</f>
        <v>11.4</v>
      </c>
      <c r="U203" s="43" t="s">
        <v>50</v>
      </c>
      <c r="V203" s="45">
        <v>0</v>
      </c>
      <c r="W203" s="45" t="s">
        <v>50</v>
      </c>
      <c r="Y203" s="235" t="s">
        <v>6671</v>
      </c>
    </row>
    <row r="204" spans="1:25" x14ac:dyDescent="0.25">
      <c r="A204" s="44">
        <v>42914</v>
      </c>
      <c r="B204" s="631" t="s">
        <v>8281</v>
      </c>
      <c r="C204" s="631">
        <v>38.139189999999999</v>
      </c>
      <c r="D204" s="631">
        <v>-121.48253</v>
      </c>
      <c r="E204" s="631" t="s">
        <v>8549</v>
      </c>
      <c r="F204" s="631" t="s">
        <v>46</v>
      </c>
      <c r="G204" s="631" t="s">
        <v>6881</v>
      </c>
      <c r="H204" s="239">
        <v>0.56944444444444442</v>
      </c>
      <c r="I204" s="43" t="s">
        <v>4500</v>
      </c>
      <c r="J204" s="43" t="s">
        <v>4501</v>
      </c>
      <c r="K204" s="238" t="s">
        <v>8283</v>
      </c>
      <c r="L204" s="43">
        <v>2</v>
      </c>
      <c r="M204" s="43">
        <v>10</v>
      </c>
      <c r="N204" s="43" t="s">
        <v>49</v>
      </c>
      <c r="O204" s="43">
        <v>16.5</v>
      </c>
      <c r="P204" s="43">
        <f>AVERAGE(120.3,119.6)</f>
        <v>119.94999999999999</v>
      </c>
      <c r="Q204" s="43">
        <f>AVERAGE(113.4,114.1)</f>
        <v>113.75</v>
      </c>
      <c r="R204" s="43">
        <f>AVERAGE(0.98,1)</f>
        <v>0.99</v>
      </c>
      <c r="S204" s="43">
        <f>AVERAGE(7.25,6.82)</f>
        <v>7.0350000000000001</v>
      </c>
      <c r="T204" s="43">
        <f>AVERAGE(9.23,13.9)</f>
        <v>11.565000000000001</v>
      </c>
      <c r="U204" s="43" t="s">
        <v>50</v>
      </c>
      <c r="V204" s="45">
        <v>0</v>
      </c>
      <c r="W204" s="45" t="s">
        <v>50</v>
      </c>
      <c r="Y204" s="235" t="s">
        <v>8537</v>
      </c>
    </row>
    <row r="205" spans="1:25" x14ac:dyDescent="0.25">
      <c r="A205" s="44">
        <v>42914</v>
      </c>
      <c r="B205" s="631" t="s">
        <v>8281</v>
      </c>
      <c r="C205" s="631">
        <v>38.099600000000002</v>
      </c>
      <c r="D205" s="631">
        <v>-121.56143</v>
      </c>
      <c r="E205" s="631" t="s">
        <v>8550</v>
      </c>
      <c r="F205" s="631" t="s">
        <v>46</v>
      </c>
      <c r="G205" s="631" t="s">
        <v>6881</v>
      </c>
      <c r="H205" s="239">
        <v>0.6381944444444444</v>
      </c>
      <c r="I205" s="43" t="s">
        <v>4500</v>
      </c>
      <c r="J205" s="43" t="s">
        <v>4501</v>
      </c>
      <c r="K205" s="238" t="s">
        <v>8283</v>
      </c>
      <c r="L205" s="43">
        <v>2</v>
      </c>
      <c r="M205" s="43">
        <v>10</v>
      </c>
      <c r="N205" s="43" t="s">
        <v>49</v>
      </c>
      <c r="O205" s="43">
        <v>14</v>
      </c>
      <c r="P205" s="43">
        <f>AVERAGE(96.4,96.2)</f>
        <v>96.300000000000011</v>
      </c>
      <c r="Q205" s="43">
        <f>AVERAGE(98.3,97)</f>
        <v>97.65</v>
      </c>
      <c r="R205" s="43">
        <f>AVERAGE(0.95,1.05)</f>
        <v>1</v>
      </c>
      <c r="S205" s="43">
        <f>AVERAGE(6.67,8.26)</f>
        <v>7.4649999999999999</v>
      </c>
      <c r="T205" s="43">
        <f>AVERAGE(9.25,10.3)</f>
        <v>9.7750000000000004</v>
      </c>
      <c r="U205" s="43" t="s">
        <v>50</v>
      </c>
      <c r="V205" s="45">
        <v>0</v>
      </c>
      <c r="W205" s="45" t="s">
        <v>50</v>
      </c>
      <c r="Y205" s="235" t="s">
        <v>6671</v>
      </c>
    </row>
    <row r="206" spans="1:25" x14ac:dyDescent="0.25">
      <c r="A206" s="44">
        <v>42914</v>
      </c>
      <c r="B206" s="631" t="s">
        <v>8285</v>
      </c>
      <c r="C206" s="631">
        <v>38.063420000000001</v>
      </c>
      <c r="D206" s="631">
        <v>-122.32701</v>
      </c>
      <c r="E206" s="631" t="s">
        <v>8551</v>
      </c>
      <c r="F206" s="631" t="s">
        <v>80</v>
      </c>
      <c r="G206" s="631" t="s">
        <v>123</v>
      </c>
      <c r="H206" s="239">
        <v>0.33333333333333331</v>
      </c>
      <c r="I206" s="43" t="s">
        <v>4500</v>
      </c>
      <c r="J206" s="43" t="s">
        <v>4501</v>
      </c>
      <c r="K206" s="238" t="s">
        <v>8283</v>
      </c>
      <c r="L206" s="43">
        <v>0</v>
      </c>
      <c r="M206" s="43">
        <v>0</v>
      </c>
      <c r="N206" s="43" t="s">
        <v>50</v>
      </c>
      <c r="O206" s="43" t="s">
        <v>50</v>
      </c>
      <c r="P206" s="43" t="s">
        <v>50</v>
      </c>
      <c r="Q206" s="43" t="s">
        <v>50</v>
      </c>
      <c r="R206" s="43" t="s">
        <v>50</v>
      </c>
      <c r="S206" s="43" t="s">
        <v>50</v>
      </c>
      <c r="T206" s="43" t="s">
        <v>50</v>
      </c>
      <c r="U206" s="43" t="s">
        <v>50</v>
      </c>
      <c r="V206" s="43" t="s">
        <v>50</v>
      </c>
      <c r="W206" s="43" t="s">
        <v>50</v>
      </c>
      <c r="X206" s="5" t="s">
        <v>8552</v>
      </c>
      <c r="Y206" s="235" t="s">
        <v>6671</v>
      </c>
    </row>
    <row r="207" spans="1:25" x14ac:dyDescent="0.25">
      <c r="A207" s="44">
        <v>42914</v>
      </c>
      <c r="B207" s="631" t="s">
        <v>8285</v>
      </c>
      <c r="C207" s="631">
        <v>38.035179999999997</v>
      </c>
      <c r="D207" s="631">
        <v>-122.1515</v>
      </c>
      <c r="E207" s="631" t="s">
        <v>8553</v>
      </c>
      <c r="F207" s="631" t="s">
        <v>80</v>
      </c>
      <c r="G207" s="631" t="s">
        <v>120</v>
      </c>
      <c r="H207" s="239">
        <v>0.375</v>
      </c>
      <c r="I207" s="43" t="s">
        <v>4500</v>
      </c>
      <c r="J207" s="43" t="s">
        <v>4501</v>
      </c>
      <c r="K207" s="238" t="s">
        <v>8283</v>
      </c>
      <c r="L207" s="43">
        <v>2</v>
      </c>
      <c r="M207" s="43">
        <v>10</v>
      </c>
      <c r="N207" s="43" t="s">
        <v>49</v>
      </c>
      <c r="O207" s="43">
        <f>AVERAGE(32.75,31)</f>
        <v>31.875</v>
      </c>
      <c r="P207" s="43">
        <f>AVERAGE(13821,9973)</f>
        <v>11897</v>
      </c>
      <c r="Q207" s="43">
        <f>AVERAGE(20950,18505)</f>
        <v>19727.5</v>
      </c>
      <c r="R207" s="43">
        <f>AVERAGE(0.69,0.28)</f>
        <v>0.48499999999999999</v>
      </c>
      <c r="S207" s="43">
        <f>AVERAGE(157,153)</f>
        <v>155</v>
      </c>
      <c r="T207" s="43">
        <f>AVERAGE(152,191)</f>
        <v>171.5</v>
      </c>
      <c r="U207" s="43" t="s">
        <v>50</v>
      </c>
      <c r="V207" s="45">
        <v>0</v>
      </c>
      <c r="W207" s="45" t="s">
        <v>50</v>
      </c>
      <c r="Y207" s="235" t="s">
        <v>6671</v>
      </c>
    </row>
    <row r="208" spans="1:25" x14ac:dyDescent="0.25">
      <c r="A208" s="44">
        <v>42914</v>
      </c>
      <c r="B208" s="631" t="s">
        <v>8285</v>
      </c>
      <c r="C208" s="631">
        <v>38.05733</v>
      </c>
      <c r="D208" s="631">
        <v>-122.29039</v>
      </c>
      <c r="E208" s="631" t="s">
        <v>8554</v>
      </c>
      <c r="F208" s="631" t="s">
        <v>80</v>
      </c>
      <c r="G208" s="631" t="s">
        <v>123</v>
      </c>
      <c r="H208" s="239">
        <v>0.48888888888888887</v>
      </c>
      <c r="I208" s="43" t="s">
        <v>4500</v>
      </c>
      <c r="J208" s="43" t="s">
        <v>4501</v>
      </c>
      <c r="K208" s="238" t="s">
        <v>8283</v>
      </c>
      <c r="L208" s="43">
        <v>2</v>
      </c>
      <c r="M208" s="43">
        <v>10</v>
      </c>
      <c r="N208" s="43" t="s">
        <v>49</v>
      </c>
      <c r="O208" s="43">
        <f>AVERAGE(34.6,34)</f>
        <v>34.299999999999997</v>
      </c>
      <c r="P208" s="43">
        <f>AVERAGE(18141,16555)</f>
        <v>17348</v>
      </c>
      <c r="Q208" s="43">
        <f>AVERAGE(1070,8337)</f>
        <v>4703.5</v>
      </c>
      <c r="R208" s="43">
        <f>AVERAGE(0.3,0.29)</f>
        <v>0.29499999999999998</v>
      </c>
      <c r="S208" s="43">
        <f>AVERAGE(103,97.1)</f>
        <v>100.05</v>
      </c>
      <c r="T208" s="43">
        <f>AVERAGE(119,191)</f>
        <v>155</v>
      </c>
      <c r="U208" s="43" t="s">
        <v>50</v>
      </c>
      <c r="V208" s="45">
        <v>0</v>
      </c>
      <c r="W208" s="45" t="s">
        <v>50</v>
      </c>
      <c r="Y208" s="235" t="s">
        <v>8537</v>
      </c>
    </row>
    <row r="209" spans="1:25" x14ac:dyDescent="0.25">
      <c r="A209" s="44">
        <v>42914</v>
      </c>
      <c r="B209" s="631" t="s">
        <v>8285</v>
      </c>
      <c r="C209" s="631">
        <v>38.040520000000001</v>
      </c>
      <c r="D209" s="631">
        <v>-122.17608</v>
      </c>
      <c r="E209" s="631" t="s">
        <v>8555</v>
      </c>
      <c r="F209" s="631" t="s">
        <v>80</v>
      </c>
      <c r="G209" s="631" t="s">
        <v>120</v>
      </c>
      <c r="H209" s="239">
        <v>0.59166666666666667</v>
      </c>
      <c r="I209" s="43" t="s">
        <v>4500</v>
      </c>
      <c r="J209" s="43" t="s">
        <v>4501</v>
      </c>
      <c r="K209" s="238" t="s">
        <v>8283</v>
      </c>
      <c r="L209" s="43">
        <v>2</v>
      </c>
      <c r="M209" s="43">
        <v>10</v>
      </c>
      <c r="N209" s="43" t="s">
        <v>49</v>
      </c>
      <c r="O209" s="43">
        <f>AVERAGE(80,74.7)</f>
        <v>77.349999999999994</v>
      </c>
      <c r="P209" s="43">
        <f>AVERAGE(5736,5667)</f>
        <v>5701.5</v>
      </c>
      <c r="Q209" s="43">
        <f>AVERAGE(6726,3978)</f>
        <v>5352</v>
      </c>
      <c r="R209" s="43">
        <f>AVERAGE(0.39,0.38)</f>
        <v>0.38500000000000001</v>
      </c>
      <c r="S209" s="43">
        <f>AVERAGE(65.6,56.7)</f>
        <v>61.15</v>
      </c>
      <c r="T209" s="43">
        <f>AVERAGE(128,177)</f>
        <v>152.5</v>
      </c>
      <c r="U209" s="43" t="s">
        <v>50</v>
      </c>
      <c r="V209" s="45">
        <v>0</v>
      </c>
      <c r="W209" s="45" t="s">
        <v>50</v>
      </c>
      <c r="Y209" s="235" t="s">
        <v>8537</v>
      </c>
    </row>
    <row r="210" spans="1:25" x14ac:dyDescent="0.25">
      <c r="A210" s="44"/>
      <c r="B210" s="631"/>
      <c r="C210" s="631"/>
      <c r="D210" s="631"/>
      <c r="E210" s="631"/>
      <c r="F210" s="631"/>
      <c r="G210" s="631"/>
      <c r="H210" s="239"/>
      <c r="I210" s="43"/>
      <c r="J210" s="43"/>
      <c r="K210" s="238"/>
      <c r="L210" s="43"/>
      <c r="M210" s="43"/>
      <c r="N210" s="43"/>
      <c r="O210" s="43"/>
      <c r="P210" s="43"/>
      <c r="Q210" s="43"/>
      <c r="R210" s="43"/>
      <c r="S210" s="43"/>
      <c r="T210" s="43"/>
      <c r="U210" s="43"/>
      <c r="V210" s="43"/>
      <c r="W210" s="43"/>
      <c r="Y210" s="235"/>
    </row>
    <row r="211" spans="1:25" x14ac:dyDescent="0.25">
      <c r="A211" s="44"/>
      <c r="B211" s="631"/>
      <c r="C211" s="631"/>
      <c r="D211" s="631"/>
      <c r="E211" s="631"/>
      <c r="F211" s="631"/>
      <c r="G211" s="631"/>
      <c r="H211" s="239"/>
      <c r="I211" s="43"/>
      <c r="J211" s="43"/>
      <c r="K211" s="238"/>
      <c r="L211" s="43"/>
      <c r="M211" s="43"/>
      <c r="N211" s="43"/>
      <c r="O211" s="43"/>
      <c r="P211" s="43"/>
      <c r="Q211" s="43"/>
      <c r="R211" s="43"/>
      <c r="S211" s="43"/>
      <c r="T211" s="43"/>
      <c r="U211" s="43"/>
      <c r="V211" s="43"/>
      <c r="W211" s="43"/>
      <c r="Y211" s="235"/>
    </row>
    <row r="212" spans="1:25" x14ac:dyDescent="0.25">
      <c r="A212" s="44"/>
      <c r="B212" s="631"/>
      <c r="C212" s="631"/>
      <c r="D212" s="631"/>
      <c r="E212" s="631"/>
      <c r="F212" s="631"/>
      <c r="G212" s="631"/>
      <c r="H212" s="239"/>
      <c r="I212" s="43"/>
      <c r="J212" s="43"/>
      <c r="K212" s="238"/>
      <c r="L212" s="43"/>
      <c r="M212" s="43"/>
      <c r="N212" s="43"/>
      <c r="O212" s="43"/>
      <c r="P212" s="43"/>
      <c r="Q212" s="43"/>
      <c r="R212" s="43"/>
      <c r="S212" s="43"/>
      <c r="T212" s="43"/>
      <c r="U212" s="43"/>
      <c r="V212" s="45"/>
      <c r="W212" s="45"/>
      <c r="Y212" s="40"/>
    </row>
    <row r="213" spans="1:25" x14ac:dyDescent="0.25">
      <c r="A213" s="44"/>
      <c r="B213" s="631"/>
      <c r="C213" s="631"/>
      <c r="D213" s="631"/>
      <c r="E213" s="631"/>
      <c r="F213" s="631"/>
      <c r="G213" s="631"/>
      <c r="H213" s="237"/>
      <c r="I213" s="43"/>
      <c r="J213" s="43"/>
      <c r="K213" s="238"/>
      <c r="L213" s="43"/>
      <c r="M213" s="43"/>
      <c r="N213" s="43"/>
      <c r="O213" s="43"/>
      <c r="P213" s="43"/>
      <c r="Q213" s="43"/>
      <c r="R213" s="43"/>
      <c r="S213" s="43"/>
      <c r="T213" s="43"/>
      <c r="U213" s="43"/>
      <c r="V213" s="45"/>
      <c r="W213" s="45"/>
      <c r="Y213" s="40"/>
    </row>
    <row r="214" spans="1:25" x14ac:dyDescent="0.25">
      <c r="A214" s="44"/>
      <c r="B214" s="631"/>
      <c r="C214" s="631"/>
      <c r="D214" s="631"/>
      <c r="E214" s="631"/>
      <c r="F214" s="631"/>
      <c r="G214" s="631"/>
      <c r="H214" s="237"/>
      <c r="I214" s="43"/>
      <c r="J214" s="43"/>
      <c r="K214" s="238"/>
      <c r="L214" s="43"/>
      <c r="M214" s="43"/>
      <c r="N214" s="43"/>
      <c r="O214" s="43"/>
      <c r="P214" s="43"/>
      <c r="Q214" s="43"/>
      <c r="R214" s="43"/>
      <c r="S214" s="43"/>
      <c r="T214" s="43"/>
      <c r="U214" s="43"/>
      <c r="V214" s="45"/>
      <c r="W214" s="45"/>
      <c r="Y214" s="40"/>
    </row>
    <row r="215" spans="1:25" x14ac:dyDescent="0.25">
      <c r="A215" s="44"/>
      <c r="B215" s="631"/>
      <c r="C215" s="631"/>
      <c r="D215" s="631"/>
      <c r="E215" s="631"/>
      <c r="F215" s="631"/>
      <c r="G215" s="631"/>
      <c r="H215" s="237"/>
      <c r="I215" s="43"/>
      <c r="J215" s="43"/>
      <c r="K215" s="238"/>
      <c r="L215" s="43"/>
      <c r="M215" s="43"/>
      <c r="N215" s="43"/>
      <c r="O215" s="43"/>
      <c r="P215" s="43"/>
      <c r="Q215" s="43"/>
      <c r="R215" s="43"/>
      <c r="S215" s="43"/>
      <c r="T215" s="43"/>
      <c r="U215" s="43"/>
      <c r="V215" s="45"/>
      <c r="W215" s="45"/>
      <c r="Y215" s="40"/>
    </row>
    <row r="216" spans="1:25" x14ac:dyDescent="0.25">
      <c r="A216" s="44"/>
      <c r="B216" s="631"/>
      <c r="C216" s="631"/>
      <c r="D216" s="631"/>
      <c r="E216" s="631"/>
      <c r="F216" s="631"/>
      <c r="G216" s="631"/>
      <c r="H216" s="237"/>
      <c r="I216" s="43"/>
      <c r="J216" s="43"/>
      <c r="K216" s="238"/>
      <c r="L216" s="43"/>
      <c r="M216" s="43"/>
      <c r="N216" s="43"/>
      <c r="O216" s="43"/>
      <c r="P216" s="43"/>
      <c r="Q216" s="43"/>
      <c r="R216" s="43"/>
      <c r="S216" s="43"/>
      <c r="T216" s="43"/>
      <c r="U216" s="43"/>
      <c r="V216" s="45"/>
      <c r="W216" s="45"/>
      <c r="Y216" s="40"/>
    </row>
    <row r="217" spans="1:25" x14ac:dyDescent="0.25">
      <c r="A217" s="44"/>
      <c r="B217" s="631"/>
      <c r="C217" s="631"/>
      <c r="D217" s="631"/>
      <c r="E217" s="631"/>
      <c r="F217" s="631"/>
      <c r="G217" s="631"/>
      <c r="H217" s="21"/>
      <c r="I217" s="43"/>
      <c r="J217" s="43"/>
      <c r="K217" s="238"/>
      <c r="L217" s="43"/>
      <c r="M217" s="43"/>
      <c r="N217" s="43"/>
      <c r="O217" s="43"/>
      <c r="P217" s="43"/>
      <c r="Q217" s="43"/>
      <c r="R217" s="43"/>
      <c r="S217" s="43"/>
      <c r="T217" s="43"/>
      <c r="U217" s="43"/>
      <c r="V217" s="45"/>
      <c r="W217" s="45"/>
      <c r="Y217" s="40"/>
    </row>
    <row r="218" spans="1:25" x14ac:dyDescent="0.25">
      <c r="A218" s="44"/>
      <c r="B218" s="631"/>
      <c r="C218" s="631"/>
      <c r="D218" s="631"/>
      <c r="E218" s="631"/>
      <c r="F218" s="631"/>
      <c r="G218" s="631"/>
      <c r="H218" s="631"/>
      <c r="I218" s="43"/>
      <c r="J218" s="43"/>
      <c r="K218" s="238"/>
      <c r="L218" s="43"/>
      <c r="M218" s="43"/>
      <c r="N218" s="43"/>
      <c r="O218" s="43"/>
      <c r="P218" s="43"/>
      <c r="Q218" s="43"/>
      <c r="R218" s="43"/>
      <c r="S218" s="43"/>
      <c r="T218" s="43"/>
      <c r="U218" s="43"/>
      <c r="V218" s="240"/>
      <c r="W218" s="240"/>
      <c r="Y218" s="240"/>
    </row>
    <row r="219" spans="1:25" x14ac:dyDescent="0.25">
      <c r="A219" s="44"/>
      <c r="B219" s="631"/>
      <c r="C219" s="631"/>
      <c r="D219" s="631"/>
      <c r="E219" s="631"/>
      <c r="F219" s="631"/>
      <c r="G219" s="631"/>
      <c r="H219" s="631"/>
      <c r="I219" s="43"/>
      <c r="J219" s="43"/>
      <c r="K219" s="238"/>
      <c r="L219" s="43"/>
      <c r="M219" s="43"/>
      <c r="N219" s="43"/>
      <c r="O219" s="43"/>
      <c r="P219" s="43"/>
      <c r="Q219" s="43"/>
      <c r="R219" s="43"/>
      <c r="S219" s="43"/>
      <c r="T219" s="43"/>
      <c r="U219" s="43"/>
      <c r="V219" s="45"/>
      <c r="W219" s="45"/>
      <c r="Y219" s="40"/>
    </row>
    <row r="220" spans="1:25" x14ac:dyDescent="0.25">
      <c r="A220" s="44"/>
      <c r="B220" s="631"/>
      <c r="C220" s="631"/>
      <c r="D220" s="631"/>
      <c r="E220" s="631"/>
      <c r="F220" s="631"/>
      <c r="G220" s="631"/>
      <c r="H220" s="239"/>
      <c r="I220" s="43"/>
      <c r="J220" s="43"/>
      <c r="K220" s="238"/>
      <c r="L220" s="43"/>
      <c r="M220" s="43"/>
      <c r="N220" s="43"/>
      <c r="O220" s="43"/>
      <c r="P220" s="43"/>
      <c r="Q220" s="43"/>
      <c r="R220" s="43"/>
      <c r="S220" s="43"/>
      <c r="T220" s="43"/>
      <c r="U220" s="43"/>
      <c r="V220" s="45"/>
      <c r="W220" s="45"/>
      <c r="Y220" s="40"/>
    </row>
    <row r="221" spans="1:25" x14ac:dyDescent="0.25">
      <c r="A221" s="44"/>
      <c r="B221" s="631"/>
      <c r="C221" s="631"/>
      <c r="D221" s="631"/>
      <c r="E221" s="631"/>
      <c r="F221" s="631"/>
      <c r="G221" s="631"/>
      <c r="H221" s="239"/>
      <c r="I221" s="43"/>
      <c r="J221" s="43"/>
      <c r="K221" s="238"/>
      <c r="L221" s="43"/>
      <c r="M221" s="43"/>
      <c r="N221" s="43"/>
      <c r="O221" s="43"/>
      <c r="P221" s="43"/>
      <c r="Q221" s="43"/>
      <c r="R221" s="43"/>
      <c r="S221" s="43"/>
      <c r="T221" s="43"/>
      <c r="U221" s="43"/>
      <c r="V221" s="45"/>
      <c r="W221" s="45"/>
      <c r="Y221" s="40"/>
    </row>
    <row r="222" spans="1:25" x14ac:dyDescent="0.25">
      <c r="A222" s="44"/>
      <c r="B222" s="631"/>
      <c r="C222" s="631"/>
      <c r="D222" s="631"/>
      <c r="E222" s="631"/>
      <c r="F222" s="631"/>
      <c r="G222" s="631"/>
      <c r="H222" s="239"/>
      <c r="I222" s="43"/>
      <c r="J222" s="43"/>
      <c r="K222" s="238"/>
      <c r="L222" s="43"/>
      <c r="M222" s="43"/>
      <c r="N222" s="43"/>
      <c r="O222" s="43"/>
      <c r="P222" s="43"/>
      <c r="Q222" s="43"/>
      <c r="R222" s="43"/>
      <c r="S222" s="43"/>
      <c r="T222" s="43"/>
      <c r="U222" s="43"/>
      <c r="V222" s="45"/>
      <c r="W222" s="45"/>
      <c r="Y222" s="40"/>
    </row>
    <row r="223" spans="1:25" x14ac:dyDescent="0.25">
      <c r="A223" s="44"/>
      <c r="B223" s="631"/>
      <c r="C223" s="631"/>
      <c r="D223" s="631"/>
      <c r="E223" s="631"/>
      <c r="F223" s="631"/>
      <c r="G223" s="631"/>
      <c r="H223" s="239"/>
      <c r="I223" s="43"/>
      <c r="J223" s="631"/>
      <c r="L223" s="631"/>
      <c r="M223" s="43"/>
      <c r="N223" s="43"/>
      <c r="O223" s="43"/>
      <c r="P223" s="43"/>
      <c r="Q223" s="43"/>
      <c r="R223" s="43"/>
      <c r="S223" s="43"/>
      <c r="T223" s="43"/>
      <c r="U223" s="43"/>
      <c r="V223" s="45"/>
      <c r="W223" s="45"/>
      <c r="Y223" s="40"/>
    </row>
    <row r="224" spans="1:25" x14ac:dyDescent="0.25">
      <c r="A224" s="44"/>
      <c r="B224" s="631"/>
      <c r="C224" s="631"/>
      <c r="D224" s="631"/>
      <c r="E224" s="631"/>
      <c r="F224" s="631"/>
      <c r="G224" s="631"/>
      <c r="H224" s="239"/>
      <c r="I224" s="43"/>
      <c r="J224" s="43"/>
      <c r="K224" s="238"/>
      <c r="L224" s="43"/>
      <c r="M224" s="43"/>
      <c r="N224" s="43"/>
      <c r="O224" s="43"/>
      <c r="P224" s="43"/>
      <c r="Q224" s="43"/>
      <c r="R224" s="43"/>
      <c r="S224" s="43"/>
      <c r="T224" s="43"/>
      <c r="U224" s="43"/>
      <c r="V224" s="45"/>
      <c r="W224" s="45"/>
      <c r="Y224" s="40"/>
    </row>
    <row r="225" spans="1:25" x14ac:dyDescent="0.25">
      <c r="A225" s="20"/>
      <c r="B225" s="631"/>
      <c r="C225" s="631"/>
      <c r="D225" s="631"/>
      <c r="E225" s="631"/>
      <c r="F225" s="631"/>
      <c r="G225" s="631"/>
      <c r="H225" s="631"/>
      <c r="I225" s="631"/>
      <c r="J225" s="631"/>
      <c r="L225" s="631"/>
      <c r="M225" s="631"/>
      <c r="N225" s="631"/>
      <c r="O225" s="631"/>
      <c r="P225" s="631"/>
      <c r="Q225" s="631"/>
      <c r="R225" s="631"/>
      <c r="S225" s="631"/>
      <c r="T225" s="631"/>
      <c r="U225" s="43"/>
      <c r="V225" s="45"/>
      <c r="W225" s="45"/>
      <c r="Y225" s="40"/>
    </row>
    <row r="226" spans="1:25" x14ac:dyDescent="0.25">
      <c r="A226" s="44"/>
      <c r="B226" s="631"/>
      <c r="C226" s="631"/>
      <c r="D226" s="631"/>
      <c r="E226" s="631"/>
      <c r="F226" s="631"/>
      <c r="G226" s="631"/>
      <c r="H226" s="239"/>
      <c r="I226" s="43"/>
      <c r="J226" s="43"/>
      <c r="K226" s="238"/>
      <c r="L226" s="43"/>
      <c r="M226" s="43"/>
      <c r="N226" s="43"/>
      <c r="O226" s="43"/>
      <c r="P226" s="43"/>
      <c r="Q226" s="43"/>
      <c r="R226" s="43"/>
      <c r="S226" s="43"/>
      <c r="T226" s="43"/>
      <c r="U226" s="43"/>
      <c r="V226" s="45"/>
      <c r="W226" s="45"/>
      <c r="Y226" s="40"/>
    </row>
    <row r="227" spans="1:25" x14ac:dyDescent="0.25">
      <c r="A227" s="44"/>
      <c r="B227" s="631"/>
      <c r="C227" s="631"/>
      <c r="D227" s="631"/>
      <c r="E227" s="631"/>
      <c r="F227" s="631"/>
      <c r="G227" s="631"/>
      <c r="H227" s="239"/>
      <c r="I227" s="43"/>
      <c r="J227" s="43"/>
      <c r="K227" s="238"/>
      <c r="L227" s="43"/>
      <c r="M227" s="43"/>
      <c r="N227" s="43"/>
      <c r="O227" s="43"/>
      <c r="P227" s="43"/>
      <c r="Q227" s="43"/>
      <c r="R227" s="43"/>
      <c r="S227" s="43"/>
      <c r="T227" s="43"/>
      <c r="U227" s="43"/>
      <c r="V227" s="45"/>
      <c r="W227" s="45"/>
      <c r="Y227" s="40"/>
    </row>
    <row r="228" spans="1:25" x14ac:dyDescent="0.25">
      <c r="A228" s="44"/>
      <c r="B228" s="631"/>
      <c r="C228" s="631"/>
      <c r="D228" s="631"/>
      <c r="E228" s="631"/>
      <c r="F228" s="631"/>
      <c r="G228" s="631"/>
      <c r="H228" s="239"/>
      <c r="I228" s="43"/>
      <c r="J228" s="43"/>
      <c r="K228" s="238"/>
      <c r="L228" s="43"/>
      <c r="M228" s="43"/>
      <c r="N228" s="43"/>
      <c r="O228" s="43"/>
      <c r="P228" s="43"/>
      <c r="Q228" s="43"/>
      <c r="R228" s="43"/>
      <c r="S228" s="43"/>
      <c r="T228" s="43"/>
      <c r="U228" s="43"/>
      <c r="V228" s="45"/>
      <c r="W228" s="45"/>
      <c r="Y228" s="40"/>
    </row>
    <row r="229" spans="1:25" x14ac:dyDescent="0.25">
      <c r="A229" s="44"/>
      <c r="B229" s="631"/>
      <c r="C229" s="631"/>
      <c r="D229" s="631"/>
      <c r="E229" s="631"/>
      <c r="F229" s="631"/>
      <c r="G229" s="631"/>
      <c r="H229" s="239"/>
      <c r="I229" s="43"/>
      <c r="J229" s="43"/>
      <c r="K229" s="238"/>
      <c r="L229" s="43"/>
      <c r="M229" s="43"/>
      <c r="N229" s="43"/>
      <c r="O229" s="43"/>
      <c r="P229" s="43"/>
      <c r="Q229" s="43"/>
      <c r="R229" s="43"/>
      <c r="S229" s="43"/>
      <c r="T229" s="43"/>
      <c r="U229" s="43"/>
      <c r="V229" s="45"/>
      <c r="W229" s="45"/>
      <c r="Y229" s="40"/>
    </row>
    <row r="230" spans="1:25" x14ac:dyDescent="0.25">
      <c r="A230" s="44"/>
      <c r="B230" s="631"/>
      <c r="C230" s="631"/>
      <c r="D230" s="631"/>
      <c r="E230" s="631"/>
      <c r="F230" s="631"/>
      <c r="G230" s="631"/>
      <c r="H230" s="239"/>
      <c r="I230" s="43"/>
      <c r="J230" s="43"/>
      <c r="K230" s="238"/>
      <c r="L230" s="43"/>
      <c r="M230" s="43"/>
      <c r="N230" s="43"/>
      <c r="O230" s="43"/>
      <c r="P230" s="43"/>
      <c r="Q230" s="43"/>
      <c r="R230" s="43"/>
      <c r="S230" s="43"/>
      <c r="T230" s="43"/>
      <c r="U230" s="43"/>
      <c r="V230" s="45"/>
      <c r="W230" s="45"/>
      <c r="Y230" s="40"/>
    </row>
    <row r="231" spans="1:25" x14ac:dyDescent="0.25">
      <c r="A231" s="44"/>
      <c r="B231" s="631"/>
      <c r="C231" s="631"/>
      <c r="D231" s="631"/>
      <c r="E231" s="631"/>
      <c r="F231" s="631"/>
      <c r="G231" s="631"/>
      <c r="H231" s="239"/>
      <c r="I231" s="43"/>
      <c r="J231" s="43"/>
      <c r="K231" s="238"/>
      <c r="L231" s="43"/>
      <c r="M231" s="43"/>
      <c r="N231" s="43"/>
      <c r="O231" s="43"/>
      <c r="P231" s="43"/>
      <c r="Q231" s="43"/>
      <c r="R231" s="43"/>
      <c r="S231" s="43"/>
      <c r="T231" s="43"/>
      <c r="U231" s="43"/>
      <c r="V231" s="45"/>
      <c r="W231" s="45"/>
      <c r="Y231" s="40"/>
    </row>
    <row r="232" spans="1:25" x14ac:dyDescent="0.25">
      <c r="A232" s="44"/>
      <c r="B232" s="631"/>
      <c r="C232" s="631"/>
      <c r="D232" s="631"/>
      <c r="E232" s="631"/>
      <c r="F232" s="631"/>
      <c r="G232" s="631"/>
      <c r="H232" s="239"/>
      <c r="I232" s="43"/>
      <c r="J232" s="43"/>
      <c r="K232" s="238"/>
      <c r="L232" s="43"/>
      <c r="M232" s="43"/>
      <c r="N232" s="43"/>
      <c r="O232" s="43"/>
      <c r="P232" s="43"/>
      <c r="Q232" s="43"/>
      <c r="R232" s="43"/>
      <c r="S232" s="43"/>
      <c r="T232" s="43"/>
      <c r="U232" s="43"/>
      <c r="V232" s="45"/>
      <c r="W232" s="45"/>
      <c r="Y232" s="40"/>
    </row>
    <row r="233" spans="1:25" x14ac:dyDescent="0.25">
      <c r="A233" s="44"/>
      <c r="B233" s="631"/>
      <c r="C233" s="631"/>
      <c r="D233" s="631"/>
      <c r="E233" s="631"/>
      <c r="F233" s="631"/>
      <c r="G233" s="631"/>
      <c r="H233" s="239"/>
      <c r="I233" s="43"/>
      <c r="J233" s="43"/>
      <c r="K233" s="238"/>
      <c r="L233" s="43"/>
      <c r="M233" s="43"/>
      <c r="N233" s="43"/>
      <c r="O233" s="43"/>
      <c r="P233" s="43"/>
      <c r="Q233" s="43"/>
      <c r="R233" s="43"/>
      <c r="S233" s="43"/>
      <c r="T233" s="43"/>
      <c r="U233" s="43"/>
      <c r="V233" s="45"/>
      <c r="W233" s="45"/>
      <c r="Y233" s="40"/>
    </row>
    <row r="234" spans="1:25" x14ac:dyDescent="0.25">
      <c r="A234" s="44"/>
      <c r="B234" s="631"/>
      <c r="C234" s="631"/>
      <c r="D234" s="631"/>
      <c r="E234" s="631"/>
      <c r="F234" s="631"/>
      <c r="G234" s="631"/>
      <c r="H234" s="239"/>
      <c r="I234" s="43"/>
      <c r="J234" s="43"/>
      <c r="K234" s="238"/>
      <c r="L234" s="43"/>
      <c r="M234" s="43"/>
      <c r="N234" s="43"/>
      <c r="O234" s="43"/>
      <c r="P234" s="43"/>
      <c r="Q234" s="43"/>
      <c r="R234" s="43"/>
      <c r="S234" s="43"/>
      <c r="T234" s="43"/>
      <c r="U234" s="43"/>
      <c r="V234" s="45"/>
      <c r="W234" s="45"/>
      <c r="Y234" s="40"/>
    </row>
    <row r="235" spans="1:25" x14ac:dyDescent="0.25">
      <c r="A235" s="44"/>
      <c r="B235" s="631"/>
      <c r="C235" s="631"/>
      <c r="D235" s="631"/>
      <c r="E235" s="631"/>
      <c r="F235" s="631"/>
      <c r="G235" s="631"/>
      <c r="H235" s="239"/>
      <c r="I235" s="43"/>
      <c r="J235" s="43"/>
      <c r="K235" s="238"/>
      <c r="L235" s="43"/>
      <c r="M235" s="43"/>
      <c r="N235" s="43"/>
      <c r="O235" s="43"/>
      <c r="P235" s="43"/>
      <c r="Q235" s="43"/>
      <c r="R235" s="43"/>
      <c r="S235" s="43"/>
      <c r="T235" s="43"/>
      <c r="U235" s="43"/>
      <c r="V235" s="45"/>
      <c r="W235" s="45"/>
      <c r="Y235" s="40"/>
    </row>
    <row r="236" spans="1:25" x14ac:dyDescent="0.25">
      <c r="A236" s="44"/>
      <c r="B236" s="631"/>
      <c r="C236" s="631"/>
      <c r="D236" s="631"/>
      <c r="E236" s="631"/>
      <c r="F236" s="631"/>
      <c r="G236" s="631"/>
      <c r="H236" s="239"/>
      <c r="I236" s="43"/>
      <c r="J236" s="43"/>
      <c r="K236" s="238"/>
      <c r="L236" s="43"/>
      <c r="M236" s="43"/>
      <c r="N236" s="43"/>
      <c r="O236" s="43"/>
      <c r="P236" s="43"/>
      <c r="Q236" s="43"/>
      <c r="R236" s="43"/>
      <c r="S236" s="43"/>
      <c r="T236" s="43"/>
      <c r="U236" s="43"/>
      <c r="V236" s="45"/>
      <c r="W236" s="45"/>
      <c r="Y236" s="40"/>
    </row>
    <row r="237" spans="1:25" x14ac:dyDescent="0.25">
      <c r="A237" s="44"/>
      <c r="B237" s="631"/>
      <c r="C237" s="631"/>
      <c r="D237" s="631"/>
      <c r="E237" s="631"/>
      <c r="F237" s="631"/>
      <c r="G237" s="631"/>
      <c r="H237" s="239"/>
      <c r="I237" s="43"/>
      <c r="J237" s="43"/>
      <c r="K237" s="238"/>
      <c r="L237" s="43"/>
      <c r="M237" s="43"/>
      <c r="N237" s="43"/>
      <c r="O237" s="43"/>
      <c r="P237" s="43"/>
      <c r="Q237" s="43"/>
      <c r="R237" s="43"/>
      <c r="S237" s="43"/>
      <c r="T237" s="43"/>
      <c r="U237" s="43"/>
      <c r="V237" s="45"/>
      <c r="W237" s="45"/>
      <c r="Y237" s="40"/>
    </row>
    <row r="238" spans="1:25" x14ac:dyDescent="0.25">
      <c r="A238" s="44"/>
      <c r="B238" s="631"/>
      <c r="C238" s="631"/>
      <c r="D238" s="631"/>
      <c r="E238" s="631"/>
      <c r="F238" s="631"/>
      <c r="G238" s="631"/>
      <c r="H238" s="239"/>
      <c r="I238" s="43"/>
      <c r="J238" s="43"/>
      <c r="K238" s="238"/>
      <c r="L238" s="43"/>
      <c r="M238" s="43"/>
      <c r="N238" s="43"/>
      <c r="O238" s="43"/>
      <c r="P238" s="43"/>
      <c r="Q238" s="43"/>
      <c r="R238" s="43"/>
      <c r="S238" s="43"/>
      <c r="T238" s="43"/>
      <c r="U238" s="43"/>
      <c r="V238" s="45"/>
      <c r="W238" s="45"/>
      <c r="Y238" s="40"/>
    </row>
    <row r="239" spans="1:25" x14ac:dyDescent="0.25">
      <c r="A239" s="44"/>
      <c r="B239" s="631"/>
      <c r="C239" s="631"/>
      <c r="D239" s="631"/>
      <c r="E239" s="631"/>
      <c r="F239" s="631"/>
      <c r="G239" s="631"/>
      <c r="H239" s="239"/>
      <c r="I239" s="43"/>
      <c r="J239" s="43"/>
      <c r="K239" s="238"/>
      <c r="L239" s="43"/>
      <c r="M239" s="43"/>
      <c r="N239" s="43"/>
      <c r="O239" s="43"/>
      <c r="P239" s="43"/>
      <c r="Q239" s="43"/>
      <c r="R239" s="43"/>
      <c r="S239" s="43"/>
      <c r="T239" s="43"/>
      <c r="U239" s="43"/>
      <c r="V239" s="45"/>
      <c r="W239" s="45"/>
      <c r="Y239" s="40"/>
    </row>
    <row r="240" spans="1:25" x14ac:dyDescent="0.25">
      <c r="A240" s="44"/>
      <c r="B240" s="631"/>
      <c r="C240" s="631"/>
      <c r="D240" s="631"/>
      <c r="E240" s="631"/>
      <c r="F240" s="631"/>
      <c r="G240" s="631"/>
      <c r="H240" s="239"/>
      <c r="I240" s="43"/>
      <c r="J240" s="43"/>
      <c r="K240" s="238"/>
      <c r="L240" s="43"/>
      <c r="M240" s="43"/>
      <c r="N240" s="43"/>
      <c r="O240" s="43"/>
      <c r="P240" s="43"/>
      <c r="Q240" s="43"/>
      <c r="R240" s="43"/>
      <c r="S240" s="43"/>
      <c r="T240" s="43"/>
      <c r="U240" s="43"/>
      <c r="V240" s="45"/>
      <c r="W240" s="45"/>
      <c r="Y240" s="40"/>
    </row>
    <row r="241" spans="1:25" x14ac:dyDescent="0.25">
      <c r="A241" s="44"/>
      <c r="B241" s="631"/>
      <c r="C241" s="631"/>
      <c r="D241" s="631"/>
      <c r="E241" s="631"/>
      <c r="F241" s="631"/>
      <c r="G241" s="631"/>
      <c r="H241" s="239"/>
      <c r="I241" s="43"/>
      <c r="J241" s="43"/>
      <c r="K241" s="238"/>
      <c r="L241" s="43"/>
      <c r="M241" s="43"/>
      <c r="N241" s="43"/>
      <c r="O241" s="43"/>
      <c r="P241" s="43"/>
      <c r="Q241" s="43"/>
      <c r="R241" s="43"/>
      <c r="S241" s="43"/>
      <c r="T241" s="43"/>
      <c r="U241" s="43"/>
      <c r="V241" s="45"/>
      <c r="W241" s="45"/>
      <c r="Y241" s="40"/>
    </row>
    <row r="242" spans="1:25" x14ac:dyDescent="0.25">
      <c r="A242" s="44"/>
      <c r="B242" s="631"/>
      <c r="C242" s="631"/>
      <c r="D242" s="631"/>
      <c r="E242" s="631"/>
      <c r="F242" s="631"/>
      <c r="G242" s="631"/>
      <c r="H242" s="239"/>
      <c r="I242" s="43"/>
      <c r="J242" s="43"/>
      <c r="K242" s="238"/>
      <c r="L242" s="43"/>
      <c r="M242" s="43"/>
      <c r="N242" s="43"/>
      <c r="O242" s="43"/>
      <c r="P242" s="43"/>
      <c r="Q242" s="43"/>
      <c r="R242" s="43"/>
      <c r="S242" s="43"/>
      <c r="T242" s="43"/>
      <c r="U242" s="43"/>
      <c r="V242" s="45"/>
      <c r="W242" s="45"/>
      <c r="Y242" s="40"/>
    </row>
    <row r="243" spans="1:25" x14ac:dyDescent="0.25">
      <c r="A243" s="44"/>
      <c r="B243" s="631"/>
      <c r="C243" s="631"/>
      <c r="D243" s="631"/>
      <c r="E243" s="631"/>
      <c r="F243" s="631"/>
      <c r="G243" s="631"/>
      <c r="H243" s="239"/>
      <c r="I243" s="43"/>
      <c r="J243" s="43"/>
      <c r="K243" s="238"/>
      <c r="L243" s="43"/>
      <c r="M243" s="43"/>
      <c r="N243" s="43"/>
      <c r="O243" s="43"/>
      <c r="P243" s="43"/>
      <c r="Q243" s="43"/>
      <c r="R243" s="43"/>
      <c r="S243" s="43"/>
      <c r="T243" s="43"/>
      <c r="U243" s="43"/>
      <c r="V243" s="45"/>
      <c r="W243" s="45"/>
      <c r="Y243" s="40"/>
    </row>
    <row r="244" spans="1:25" x14ac:dyDescent="0.25">
      <c r="A244" s="44"/>
      <c r="B244" s="631"/>
      <c r="C244" s="631"/>
      <c r="D244" s="631"/>
      <c r="E244" s="631"/>
      <c r="F244" s="631"/>
      <c r="G244" s="631"/>
      <c r="H244" s="239"/>
      <c r="I244" s="43"/>
      <c r="J244" s="43"/>
      <c r="K244" s="238"/>
      <c r="L244" s="43"/>
      <c r="M244" s="43"/>
      <c r="N244" s="43"/>
      <c r="O244" s="43"/>
      <c r="P244" s="43"/>
      <c r="Q244" s="43"/>
      <c r="R244" s="43"/>
      <c r="S244" s="43"/>
      <c r="T244" s="43"/>
      <c r="U244" s="43"/>
      <c r="V244" s="45"/>
      <c r="W244" s="45"/>
      <c r="Y244" s="40"/>
    </row>
    <row r="245" spans="1:25" x14ac:dyDescent="0.25">
      <c r="A245" s="44"/>
      <c r="B245" s="631"/>
      <c r="C245" s="631"/>
      <c r="D245" s="631"/>
      <c r="E245" s="631"/>
      <c r="F245" s="631"/>
      <c r="G245" s="631"/>
      <c r="H245" s="239"/>
      <c r="I245" s="43"/>
      <c r="J245" s="43"/>
      <c r="K245" s="238"/>
      <c r="L245" s="43"/>
      <c r="M245" s="43"/>
      <c r="N245" s="43"/>
      <c r="O245" s="43"/>
      <c r="P245" s="43"/>
      <c r="Q245" s="43"/>
      <c r="R245" s="43"/>
      <c r="S245" s="43"/>
      <c r="T245" s="43"/>
      <c r="U245" s="43"/>
      <c r="V245" s="45"/>
      <c r="W245" s="45"/>
      <c r="Y245" s="40"/>
    </row>
    <row r="246" spans="1:25" x14ac:dyDescent="0.25">
      <c r="A246" s="44"/>
      <c r="B246" s="631"/>
      <c r="C246" s="631"/>
      <c r="D246" s="631"/>
      <c r="E246" s="631"/>
      <c r="F246" s="631"/>
      <c r="G246" s="631"/>
      <c r="H246" s="239"/>
      <c r="I246" s="43"/>
      <c r="J246" s="43"/>
      <c r="K246" s="238"/>
      <c r="L246" s="43"/>
      <c r="M246" s="43"/>
      <c r="N246" s="43"/>
      <c r="O246" s="43"/>
      <c r="P246" s="43"/>
      <c r="Q246" s="43"/>
      <c r="R246" s="43"/>
      <c r="S246" s="43"/>
      <c r="T246" s="43"/>
      <c r="U246" s="43"/>
      <c r="V246" s="45"/>
      <c r="W246" s="45"/>
      <c r="Y246" s="40"/>
    </row>
    <row r="247" spans="1:25" x14ac:dyDescent="0.25">
      <c r="A247" s="44"/>
      <c r="B247" s="631"/>
      <c r="C247" s="631"/>
      <c r="D247" s="631"/>
      <c r="E247" s="631"/>
      <c r="F247" s="631"/>
      <c r="G247" s="631"/>
      <c r="H247" s="239"/>
      <c r="I247" s="43"/>
      <c r="J247" s="43"/>
      <c r="K247" s="238"/>
      <c r="L247" s="43"/>
      <c r="M247" s="43"/>
      <c r="N247" s="43"/>
      <c r="O247" s="43"/>
      <c r="P247" s="43"/>
      <c r="Q247" s="43"/>
      <c r="R247" s="43"/>
      <c r="S247" s="43"/>
      <c r="T247" s="43"/>
      <c r="U247" s="43"/>
      <c r="V247" s="45"/>
      <c r="W247" s="45"/>
      <c r="Y247" s="40"/>
    </row>
    <row r="248" spans="1:25" x14ac:dyDescent="0.25">
      <c r="A248" s="44"/>
      <c r="B248" s="631"/>
      <c r="C248" s="631"/>
      <c r="D248" s="631"/>
      <c r="E248" s="631"/>
      <c r="F248" s="631"/>
      <c r="G248" s="631"/>
      <c r="H248" s="239"/>
      <c r="I248" s="43"/>
      <c r="J248" s="43"/>
      <c r="K248" s="238"/>
      <c r="L248" s="43"/>
      <c r="M248" s="43"/>
      <c r="N248" s="43"/>
      <c r="O248" s="43"/>
      <c r="P248" s="43"/>
      <c r="Q248" s="43"/>
      <c r="R248" s="43"/>
      <c r="S248" s="43"/>
      <c r="T248" s="43"/>
      <c r="U248" s="43"/>
      <c r="V248" s="45"/>
      <c r="W248" s="45"/>
      <c r="Y248" s="40"/>
    </row>
    <row r="249" spans="1:25" x14ac:dyDescent="0.25">
      <c r="A249" s="44"/>
      <c r="B249" s="631"/>
      <c r="C249" s="631"/>
      <c r="D249" s="631"/>
      <c r="E249" s="631"/>
      <c r="F249" s="631"/>
      <c r="G249" s="631"/>
      <c r="H249" s="239"/>
      <c r="I249" s="43"/>
      <c r="J249" s="43"/>
      <c r="K249" s="238"/>
      <c r="L249" s="43"/>
      <c r="M249" s="43"/>
      <c r="N249" s="43"/>
      <c r="O249" s="43"/>
      <c r="P249" s="43"/>
      <c r="Q249" s="43"/>
      <c r="R249" s="43"/>
      <c r="S249" s="43"/>
      <c r="T249" s="43"/>
      <c r="U249" s="43"/>
      <c r="V249" s="45"/>
      <c r="W249" s="45"/>
      <c r="Y249" s="40"/>
    </row>
    <row r="250" spans="1:25" x14ac:dyDescent="0.25">
      <c r="A250" s="44"/>
      <c r="B250" s="631"/>
      <c r="C250" s="631"/>
      <c r="D250" s="631"/>
      <c r="E250" s="631"/>
      <c r="F250" s="631"/>
      <c r="G250" s="631"/>
      <c r="H250" s="239"/>
      <c r="I250" s="43"/>
      <c r="J250" s="43"/>
      <c r="K250" s="238"/>
      <c r="L250" s="43"/>
      <c r="M250" s="43"/>
      <c r="N250" s="43"/>
      <c r="O250" s="43"/>
      <c r="P250" s="43"/>
      <c r="Q250" s="43"/>
      <c r="R250" s="43"/>
      <c r="S250" s="43"/>
      <c r="T250" s="43"/>
      <c r="U250" s="43"/>
      <c r="V250" s="45"/>
      <c r="W250" s="45"/>
      <c r="Y250" s="40"/>
    </row>
    <row r="251" spans="1:25" x14ac:dyDescent="0.25">
      <c r="A251" s="44"/>
      <c r="B251" s="631"/>
      <c r="C251" s="631"/>
      <c r="D251" s="631"/>
      <c r="E251" s="631"/>
      <c r="F251" s="631"/>
      <c r="G251" s="631"/>
      <c r="H251" s="239"/>
      <c r="I251" s="43"/>
      <c r="J251" s="43"/>
      <c r="K251" s="238"/>
      <c r="L251" s="43"/>
      <c r="M251" s="43"/>
      <c r="N251" s="43"/>
      <c r="O251" s="43"/>
      <c r="P251" s="43"/>
      <c r="Q251" s="43"/>
      <c r="R251" s="43"/>
      <c r="S251" s="43"/>
      <c r="T251" s="43"/>
      <c r="U251" s="43"/>
      <c r="V251" s="45"/>
      <c r="W251" s="45"/>
      <c r="Y251" s="40"/>
    </row>
    <row r="252" spans="1:25" x14ac:dyDescent="0.25">
      <c r="A252" s="44"/>
      <c r="B252" s="631"/>
      <c r="C252" s="631"/>
      <c r="D252" s="631"/>
      <c r="E252" s="631"/>
      <c r="F252" s="631"/>
      <c r="G252" s="631"/>
      <c r="H252" s="239"/>
      <c r="I252" s="43"/>
      <c r="J252" s="43"/>
      <c r="K252" s="238"/>
      <c r="L252" s="43"/>
      <c r="M252" s="43"/>
      <c r="N252" s="43"/>
      <c r="O252" s="43"/>
      <c r="P252" s="43"/>
      <c r="Q252" s="43"/>
      <c r="R252" s="43"/>
      <c r="S252" s="43"/>
      <c r="T252" s="43"/>
      <c r="U252" s="43"/>
      <c r="V252" s="45"/>
      <c r="W252" s="45"/>
      <c r="Y252" s="40"/>
    </row>
    <row r="253" spans="1:25" x14ac:dyDescent="0.25">
      <c r="A253" s="44"/>
      <c r="B253" s="631"/>
      <c r="C253" s="631"/>
      <c r="D253" s="631"/>
      <c r="E253" s="631"/>
      <c r="F253" s="631"/>
      <c r="G253" s="631"/>
      <c r="H253" s="239"/>
      <c r="I253" s="43"/>
      <c r="J253" s="43"/>
      <c r="K253" s="238"/>
      <c r="L253" s="43"/>
      <c r="M253" s="43"/>
      <c r="N253" s="43"/>
      <c r="O253" s="43"/>
      <c r="P253" s="43"/>
      <c r="Q253" s="43"/>
      <c r="R253" s="43"/>
      <c r="S253" s="43"/>
      <c r="T253" s="43"/>
      <c r="U253" s="43"/>
      <c r="V253" s="45"/>
      <c r="W253" s="45"/>
      <c r="Y253" s="40"/>
    </row>
    <row r="254" spans="1:25" x14ac:dyDescent="0.25">
      <c r="A254" s="44"/>
      <c r="B254" s="631"/>
      <c r="C254" s="631"/>
      <c r="D254" s="631"/>
      <c r="E254" s="631"/>
      <c r="F254" s="631"/>
      <c r="G254" s="631"/>
      <c r="H254" s="239"/>
      <c r="I254" s="43"/>
      <c r="J254" s="43"/>
      <c r="K254" s="238"/>
      <c r="L254" s="43"/>
      <c r="M254" s="43"/>
      <c r="N254" s="43"/>
      <c r="O254" s="43"/>
      <c r="P254" s="43"/>
      <c r="Q254" s="43"/>
      <c r="R254" s="43"/>
      <c r="S254" s="43"/>
      <c r="T254" s="43"/>
      <c r="U254" s="43"/>
      <c r="V254" s="45"/>
      <c r="W254" s="45"/>
      <c r="Y254" s="40"/>
    </row>
    <row r="255" spans="1:25" x14ac:dyDescent="0.25">
      <c r="A255" s="44"/>
      <c r="B255" s="631"/>
      <c r="C255" s="631"/>
      <c r="D255" s="631"/>
      <c r="E255" s="631"/>
      <c r="F255" s="631"/>
      <c r="G255" s="631"/>
      <c r="H255" s="239"/>
      <c r="I255" s="43"/>
      <c r="J255" s="43"/>
      <c r="K255" s="238"/>
      <c r="L255" s="43"/>
      <c r="M255" s="43"/>
      <c r="N255" s="43"/>
      <c r="O255" s="43"/>
      <c r="P255" s="43"/>
      <c r="Q255" s="43"/>
      <c r="R255" s="43"/>
      <c r="S255" s="43"/>
      <c r="T255" s="43"/>
      <c r="U255" s="43"/>
      <c r="V255" s="45"/>
      <c r="W255" s="45"/>
      <c r="Y255" s="40"/>
    </row>
    <row r="256" spans="1:25" x14ac:dyDescent="0.25">
      <c r="A256" s="44"/>
      <c r="B256" s="631"/>
      <c r="C256" s="631"/>
      <c r="D256" s="631"/>
      <c r="E256" s="631"/>
      <c r="F256" s="631"/>
      <c r="G256" s="631"/>
      <c r="H256" s="239"/>
      <c r="I256" s="43"/>
      <c r="J256" s="43"/>
      <c r="K256" s="238"/>
      <c r="L256" s="43"/>
      <c r="M256" s="43"/>
      <c r="N256" s="43"/>
      <c r="O256" s="43"/>
      <c r="P256" s="43"/>
      <c r="Q256" s="43"/>
      <c r="R256" s="43"/>
      <c r="S256" s="43"/>
      <c r="T256" s="43"/>
      <c r="U256" s="43"/>
      <c r="V256" s="45"/>
      <c r="W256" s="45"/>
      <c r="Y256" s="40"/>
    </row>
    <row r="257" spans="1:25" x14ac:dyDescent="0.25">
      <c r="A257" s="44"/>
      <c r="B257" s="631"/>
      <c r="C257" s="631"/>
      <c r="D257" s="631"/>
      <c r="E257" s="631"/>
      <c r="F257" s="631"/>
      <c r="G257" s="631"/>
      <c r="H257" s="239"/>
      <c r="I257" s="43"/>
      <c r="J257" s="43"/>
      <c r="K257" s="238"/>
      <c r="L257" s="43"/>
      <c r="M257" s="43"/>
      <c r="N257" s="43"/>
      <c r="O257" s="43"/>
      <c r="P257" s="43"/>
      <c r="Q257" s="43"/>
      <c r="R257" s="43"/>
      <c r="S257" s="43"/>
      <c r="T257" s="43"/>
      <c r="U257" s="43"/>
      <c r="V257" s="45"/>
      <c r="W257" s="45"/>
      <c r="Y257" s="40"/>
    </row>
    <row r="258" spans="1:25" x14ac:dyDescent="0.25">
      <c r="A258" s="44"/>
      <c r="B258" s="631"/>
      <c r="C258" s="631"/>
      <c r="D258" s="631"/>
      <c r="E258" s="631"/>
      <c r="F258" s="631"/>
      <c r="G258" s="631"/>
      <c r="H258" s="239"/>
      <c r="I258" s="43"/>
      <c r="J258" s="43"/>
      <c r="K258" s="238"/>
      <c r="L258" s="43"/>
      <c r="M258" s="43"/>
      <c r="N258" s="43"/>
      <c r="O258" s="43"/>
      <c r="P258" s="43"/>
      <c r="Q258" s="43"/>
      <c r="R258" s="43"/>
      <c r="S258" s="43"/>
      <c r="T258" s="43"/>
      <c r="U258" s="43"/>
      <c r="V258" s="45"/>
      <c r="W258" s="45"/>
      <c r="Y258" s="40"/>
    </row>
    <row r="259" spans="1:25" x14ac:dyDescent="0.25">
      <c r="A259" s="44"/>
      <c r="B259" s="631"/>
      <c r="C259" s="631"/>
      <c r="D259" s="631"/>
      <c r="E259" s="631"/>
      <c r="F259" s="631"/>
      <c r="G259" s="631"/>
      <c r="H259" s="239"/>
      <c r="I259" s="43"/>
      <c r="J259" s="43"/>
      <c r="K259" s="238"/>
      <c r="L259" s="43"/>
      <c r="M259" s="43"/>
      <c r="N259" s="43"/>
      <c r="O259" s="43"/>
      <c r="P259" s="43"/>
      <c r="Q259" s="43"/>
      <c r="R259" s="43"/>
      <c r="S259" s="43"/>
      <c r="T259" s="43"/>
      <c r="U259" s="43"/>
      <c r="V259" s="45"/>
      <c r="W259" s="45"/>
      <c r="Y259" s="40"/>
    </row>
    <row r="260" spans="1:25" x14ac:dyDescent="0.25">
      <c r="A260" s="44"/>
      <c r="B260" s="631"/>
      <c r="C260" s="631"/>
      <c r="D260" s="631"/>
      <c r="E260" s="631"/>
      <c r="F260" s="631"/>
      <c r="G260" s="631"/>
      <c r="H260" s="239"/>
      <c r="I260" s="43"/>
      <c r="J260" s="43"/>
      <c r="K260" s="238"/>
      <c r="L260" s="43"/>
      <c r="M260" s="43"/>
      <c r="N260" s="43"/>
      <c r="O260" s="43"/>
      <c r="P260" s="43"/>
      <c r="Q260" s="43"/>
      <c r="R260" s="43"/>
      <c r="S260" s="43"/>
      <c r="T260" s="43"/>
      <c r="U260" s="43"/>
      <c r="V260" s="45"/>
      <c r="W260" s="45"/>
      <c r="Y260" s="40"/>
    </row>
    <row r="261" spans="1:25" x14ac:dyDescent="0.25">
      <c r="A261" s="44"/>
      <c r="B261" s="631"/>
      <c r="C261" s="631"/>
      <c r="D261" s="631"/>
      <c r="E261" s="631"/>
      <c r="F261" s="631"/>
      <c r="G261" s="631"/>
      <c r="H261" s="239"/>
      <c r="I261" s="43"/>
      <c r="J261" s="43"/>
      <c r="K261" s="238"/>
      <c r="L261" s="43"/>
      <c r="M261" s="43"/>
      <c r="N261" s="43"/>
      <c r="O261" s="43"/>
      <c r="P261" s="43"/>
      <c r="Q261" s="43"/>
      <c r="R261" s="43"/>
      <c r="S261" s="43"/>
      <c r="T261" s="43"/>
      <c r="U261" s="43"/>
      <c r="V261" s="45"/>
      <c r="W261" s="45"/>
      <c r="Y261" s="40"/>
    </row>
    <row r="262" spans="1:25" x14ac:dyDescent="0.25">
      <c r="A262" s="44"/>
      <c r="B262" s="631"/>
      <c r="C262" s="631"/>
      <c r="D262" s="631"/>
      <c r="E262" s="631"/>
      <c r="F262" s="631"/>
      <c r="G262" s="631"/>
      <c r="H262" s="239"/>
      <c r="I262" s="43"/>
      <c r="J262" s="43"/>
      <c r="K262" s="238"/>
      <c r="L262" s="43"/>
      <c r="M262" s="43"/>
      <c r="N262" s="43"/>
      <c r="O262" s="43"/>
      <c r="P262" s="43"/>
      <c r="Q262" s="43"/>
      <c r="R262" s="43"/>
      <c r="S262" s="43"/>
      <c r="T262" s="43"/>
      <c r="U262" s="43"/>
      <c r="V262" s="43"/>
      <c r="W262" s="43"/>
      <c r="Y262" s="235"/>
    </row>
    <row r="263" spans="1:25" x14ac:dyDescent="0.25">
      <c r="A263" s="44"/>
      <c r="B263" s="631"/>
      <c r="C263" s="631"/>
      <c r="D263" s="631"/>
      <c r="E263" s="631"/>
      <c r="F263" s="631"/>
      <c r="G263" s="631"/>
      <c r="H263" s="239"/>
      <c r="I263" s="43"/>
      <c r="J263" s="43"/>
      <c r="K263" s="238"/>
      <c r="L263" s="43"/>
      <c r="M263" s="43"/>
      <c r="N263" s="43"/>
      <c r="O263" s="43"/>
      <c r="P263" s="43"/>
      <c r="Q263" s="43"/>
      <c r="R263" s="43"/>
      <c r="S263" s="43"/>
      <c r="T263" s="43"/>
      <c r="U263" s="43"/>
      <c r="V263" s="45"/>
      <c r="W263" s="45"/>
      <c r="Y263" s="40"/>
    </row>
    <row r="264" spans="1:25" x14ac:dyDescent="0.25">
      <c r="A264" s="44"/>
      <c r="B264" s="631"/>
      <c r="C264" s="631"/>
      <c r="D264" s="631"/>
      <c r="E264" s="631"/>
      <c r="F264" s="631"/>
      <c r="G264" s="631"/>
      <c r="H264" s="239"/>
      <c r="I264" s="43"/>
      <c r="J264" s="43"/>
      <c r="K264" s="238"/>
      <c r="L264" s="43"/>
      <c r="M264" s="43"/>
      <c r="N264" s="43"/>
      <c r="O264" s="43"/>
      <c r="P264" s="43"/>
      <c r="Q264" s="43"/>
      <c r="R264" s="43"/>
      <c r="S264" s="43"/>
      <c r="T264" s="43"/>
      <c r="U264" s="43"/>
      <c r="V264" s="45"/>
      <c r="W264" s="45"/>
      <c r="Y264" s="40"/>
    </row>
    <row r="265" spans="1:25" x14ac:dyDescent="0.25">
      <c r="A265" s="44"/>
      <c r="B265" s="631"/>
      <c r="C265" s="631"/>
      <c r="D265" s="631"/>
      <c r="E265" s="631"/>
      <c r="F265" s="631"/>
      <c r="G265" s="631"/>
      <c r="H265" s="239"/>
      <c r="I265" s="43"/>
      <c r="J265" s="43"/>
      <c r="K265" s="238"/>
      <c r="L265" s="43"/>
      <c r="M265" s="43"/>
      <c r="N265" s="43"/>
      <c r="O265" s="43"/>
      <c r="P265" s="43"/>
      <c r="Q265" s="43"/>
      <c r="R265" s="43"/>
      <c r="S265" s="43"/>
      <c r="T265" s="43"/>
      <c r="U265" s="43"/>
      <c r="V265" s="45"/>
      <c r="W265" s="45"/>
      <c r="Y265" s="40"/>
    </row>
    <row r="266" spans="1:25" x14ac:dyDescent="0.25">
      <c r="A266" s="44"/>
      <c r="B266" s="631"/>
      <c r="C266" s="631"/>
      <c r="D266" s="631"/>
      <c r="E266" s="631"/>
      <c r="F266" s="631"/>
      <c r="G266" s="631"/>
      <c r="H266" s="239"/>
      <c r="I266" s="43"/>
      <c r="J266" s="43"/>
      <c r="K266" s="238"/>
      <c r="L266" s="43"/>
      <c r="M266" s="43"/>
      <c r="N266" s="43"/>
      <c r="O266" s="43"/>
      <c r="P266" s="43"/>
      <c r="Q266" s="43"/>
      <c r="R266" s="43"/>
      <c r="S266" s="43"/>
      <c r="T266" s="43"/>
      <c r="U266" s="43"/>
      <c r="V266" s="45"/>
      <c r="W266" s="45"/>
      <c r="Y266" s="40"/>
    </row>
    <row r="267" spans="1:25" x14ac:dyDescent="0.25">
      <c r="A267" s="44"/>
      <c r="B267" s="631"/>
      <c r="C267" s="631"/>
      <c r="D267" s="631"/>
      <c r="E267" s="631"/>
      <c r="F267" s="631"/>
      <c r="G267" s="631"/>
      <c r="H267" s="239"/>
      <c r="I267" s="43"/>
      <c r="J267" s="43"/>
      <c r="K267" s="238"/>
      <c r="L267" s="43"/>
      <c r="M267" s="43"/>
      <c r="N267" s="43"/>
      <c r="O267" s="43"/>
      <c r="P267" s="43"/>
      <c r="Q267" s="43"/>
      <c r="R267" s="43"/>
      <c r="S267" s="43"/>
      <c r="T267" s="43"/>
      <c r="U267" s="43"/>
      <c r="V267" s="45"/>
      <c r="W267" s="45"/>
      <c r="Y267" s="40"/>
    </row>
    <row r="268" spans="1:25" x14ac:dyDescent="0.25">
      <c r="A268" s="44"/>
      <c r="B268" s="631"/>
      <c r="C268" s="631"/>
      <c r="D268" s="631"/>
      <c r="E268" s="631"/>
      <c r="F268" s="631"/>
      <c r="G268" s="631"/>
      <c r="H268" s="239"/>
      <c r="I268" s="43"/>
      <c r="J268" s="43"/>
      <c r="K268" s="238"/>
      <c r="L268" s="43"/>
      <c r="M268" s="43"/>
      <c r="N268" s="43"/>
      <c r="O268" s="43"/>
      <c r="P268" s="43"/>
      <c r="Q268" s="43"/>
      <c r="R268" s="43"/>
      <c r="S268" s="43"/>
      <c r="T268" s="43"/>
      <c r="U268" s="43"/>
      <c r="V268" s="45"/>
      <c r="W268" s="45"/>
      <c r="Y268" s="40"/>
    </row>
    <row r="269" spans="1:25" x14ac:dyDescent="0.25">
      <c r="A269" s="44"/>
      <c r="B269" s="631"/>
      <c r="C269" s="631"/>
      <c r="D269" s="631"/>
      <c r="E269" s="631"/>
      <c r="F269" s="631"/>
      <c r="G269" s="631"/>
      <c r="H269" s="239"/>
      <c r="I269" s="43"/>
      <c r="J269" s="43"/>
      <c r="K269" s="238"/>
      <c r="L269" s="43"/>
      <c r="M269" s="43"/>
      <c r="N269" s="43"/>
      <c r="O269" s="43"/>
      <c r="P269" s="43"/>
      <c r="Q269" s="43"/>
      <c r="R269" s="43"/>
      <c r="S269" s="43"/>
      <c r="T269" s="43"/>
      <c r="U269" s="43"/>
      <c r="V269" s="45"/>
      <c r="W269" s="45"/>
      <c r="Y269" s="40"/>
    </row>
    <row r="270" spans="1:25" x14ac:dyDescent="0.25">
      <c r="A270" s="44"/>
      <c r="B270" s="631"/>
      <c r="C270" s="631"/>
      <c r="D270" s="631"/>
      <c r="E270" s="631"/>
      <c r="F270" s="631"/>
      <c r="G270" s="631"/>
      <c r="H270" s="631"/>
      <c r="I270" s="631"/>
      <c r="J270" s="631"/>
      <c r="L270" s="631"/>
      <c r="M270" s="631"/>
      <c r="N270" s="43"/>
      <c r="O270" s="43"/>
      <c r="P270" s="43"/>
      <c r="Q270" s="43"/>
      <c r="R270" s="43"/>
      <c r="S270" s="43"/>
      <c r="T270" s="43"/>
      <c r="U270" s="43"/>
      <c r="V270" s="240"/>
      <c r="W270" s="240"/>
      <c r="Y270" s="240"/>
    </row>
    <row r="271" spans="1:25" x14ac:dyDescent="0.25">
      <c r="A271" s="44"/>
      <c r="B271" s="631"/>
      <c r="C271" s="631"/>
      <c r="D271" s="631"/>
      <c r="E271" s="631"/>
      <c r="F271" s="631"/>
      <c r="G271" s="631"/>
      <c r="H271" s="239"/>
      <c r="I271" s="43"/>
      <c r="J271" s="43"/>
      <c r="K271" s="238"/>
      <c r="L271" s="43"/>
      <c r="M271" s="43"/>
      <c r="N271" s="43"/>
      <c r="O271" s="43"/>
      <c r="P271" s="43"/>
      <c r="Q271" s="43"/>
      <c r="R271" s="43"/>
      <c r="S271" s="43"/>
      <c r="T271" s="43"/>
      <c r="U271" s="43"/>
      <c r="V271" s="240"/>
      <c r="W271" s="240"/>
      <c r="Y271" s="240"/>
    </row>
    <row r="272" spans="1:25" x14ac:dyDescent="0.25">
      <c r="A272" s="44"/>
      <c r="B272" s="631"/>
      <c r="C272" s="631"/>
      <c r="D272" s="631"/>
      <c r="E272" s="631"/>
      <c r="F272" s="631"/>
      <c r="G272" s="631"/>
      <c r="H272" s="239"/>
      <c r="I272" s="43"/>
      <c r="J272" s="43"/>
      <c r="K272" s="238"/>
      <c r="L272" s="43"/>
      <c r="M272" s="43"/>
      <c r="N272" s="43"/>
      <c r="O272" s="43"/>
      <c r="P272" s="43"/>
      <c r="Q272" s="43"/>
      <c r="R272" s="43"/>
      <c r="S272" s="43"/>
      <c r="T272" s="43"/>
      <c r="U272" s="43"/>
      <c r="V272" s="240"/>
      <c r="W272" s="240"/>
      <c r="Y272" s="240"/>
    </row>
    <row r="273" spans="1:25" x14ac:dyDescent="0.25">
      <c r="A273" s="44"/>
      <c r="B273" s="631"/>
      <c r="C273" s="631"/>
      <c r="D273" s="631"/>
      <c r="E273" s="631"/>
      <c r="F273" s="631"/>
      <c r="G273" s="631"/>
      <c r="H273" s="239"/>
      <c r="I273" s="43"/>
      <c r="J273" s="43"/>
      <c r="K273" s="238"/>
      <c r="L273" s="43"/>
      <c r="M273" s="43"/>
      <c r="N273" s="43"/>
      <c r="O273" s="43"/>
      <c r="P273" s="43"/>
      <c r="Q273" s="43"/>
      <c r="R273" s="43"/>
      <c r="S273" s="43"/>
      <c r="T273" s="43"/>
      <c r="U273" s="43"/>
      <c r="V273" s="45"/>
      <c r="W273" s="45"/>
      <c r="Y273" s="40"/>
    </row>
    <row r="274" spans="1:25" x14ac:dyDescent="0.25">
      <c r="A274" s="44"/>
      <c r="B274" s="631"/>
      <c r="C274" s="631"/>
      <c r="D274" s="631"/>
      <c r="E274" s="631"/>
      <c r="F274" s="631"/>
      <c r="G274" s="631"/>
      <c r="H274" s="239"/>
      <c r="I274" s="43"/>
      <c r="J274" s="43"/>
      <c r="K274" s="238"/>
      <c r="L274" s="43"/>
      <c r="M274" s="43"/>
      <c r="N274" s="43"/>
      <c r="O274" s="43"/>
      <c r="P274" s="43"/>
      <c r="Q274" s="43"/>
      <c r="R274" s="43"/>
      <c r="S274" s="43"/>
      <c r="T274" s="43"/>
      <c r="U274" s="43"/>
      <c r="V274" s="240"/>
      <c r="W274" s="240"/>
      <c r="Y274" s="240"/>
    </row>
    <row r="275" spans="1:25" x14ac:dyDescent="0.25">
      <c r="A275" s="44"/>
      <c r="B275" s="631"/>
      <c r="C275" s="631"/>
      <c r="D275" s="631"/>
      <c r="E275" s="631"/>
      <c r="F275" s="631"/>
      <c r="G275" s="631"/>
      <c r="H275" s="239"/>
      <c r="I275" s="43"/>
      <c r="J275" s="43"/>
      <c r="K275" s="238"/>
      <c r="L275" s="43"/>
      <c r="M275" s="43"/>
      <c r="N275" s="43"/>
      <c r="O275" s="43"/>
      <c r="P275" s="43"/>
      <c r="Q275" s="43"/>
      <c r="R275" s="43"/>
      <c r="S275" s="43"/>
      <c r="T275" s="43"/>
      <c r="U275" s="43"/>
      <c r="V275" s="240"/>
      <c r="W275" s="240"/>
      <c r="Y275" s="240"/>
    </row>
    <row r="276" spans="1:25" x14ac:dyDescent="0.25">
      <c r="A276" s="44"/>
      <c r="B276" s="631"/>
      <c r="C276" s="631"/>
      <c r="D276" s="631"/>
      <c r="E276" s="631"/>
      <c r="F276" s="631"/>
      <c r="G276" s="631"/>
      <c r="H276" s="239"/>
      <c r="I276" s="43"/>
      <c r="J276" s="43"/>
      <c r="K276" s="238"/>
      <c r="L276" s="43"/>
      <c r="M276" s="43"/>
      <c r="N276" s="43"/>
      <c r="O276" s="43"/>
      <c r="P276" s="43"/>
      <c r="Q276" s="43"/>
      <c r="R276" s="43"/>
      <c r="S276" s="43"/>
      <c r="T276" s="43"/>
      <c r="U276" s="43"/>
      <c r="V276" s="45"/>
      <c r="W276" s="45"/>
      <c r="Y276" s="40"/>
    </row>
    <row r="277" spans="1:25" x14ac:dyDescent="0.25">
      <c r="A277" s="44"/>
      <c r="B277" s="631"/>
      <c r="C277" s="631"/>
      <c r="D277" s="631"/>
      <c r="E277" s="631"/>
      <c r="F277" s="631"/>
      <c r="G277" s="631"/>
      <c r="H277" s="239"/>
      <c r="I277" s="43"/>
      <c r="J277" s="43"/>
      <c r="K277" s="238"/>
      <c r="L277" s="43"/>
      <c r="M277" s="43"/>
      <c r="N277" s="43"/>
      <c r="O277" s="43"/>
      <c r="P277" s="43"/>
      <c r="Q277" s="43"/>
      <c r="R277" s="43"/>
      <c r="S277" s="43"/>
      <c r="T277" s="43"/>
      <c r="U277" s="43"/>
      <c r="V277" s="240"/>
      <c r="W277" s="240"/>
      <c r="Y277" s="240"/>
    </row>
    <row r="278" spans="1:25" x14ac:dyDescent="0.25">
      <c r="A278" s="44"/>
      <c r="B278" s="631"/>
      <c r="C278" s="631"/>
      <c r="D278" s="631"/>
      <c r="E278" s="631"/>
      <c r="F278" s="631"/>
      <c r="G278" s="631"/>
      <c r="H278" s="239"/>
      <c r="I278" s="43"/>
      <c r="J278" s="43"/>
      <c r="K278" s="238"/>
      <c r="L278" s="43"/>
      <c r="M278" s="43"/>
      <c r="N278" s="43"/>
      <c r="O278" s="43"/>
      <c r="P278" s="43"/>
      <c r="Q278" s="43"/>
      <c r="R278" s="43"/>
      <c r="S278" s="43"/>
      <c r="T278" s="43"/>
      <c r="U278" s="43"/>
      <c r="V278" s="45"/>
      <c r="W278" s="45"/>
      <c r="Y278" s="40"/>
    </row>
    <row r="279" spans="1:25" x14ac:dyDescent="0.25">
      <c r="A279" s="44"/>
      <c r="B279" s="631"/>
      <c r="C279" s="631"/>
      <c r="D279" s="631"/>
      <c r="E279" s="631"/>
      <c r="F279" s="631"/>
      <c r="G279" s="631"/>
      <c r="H279" s="239"/>
      <c r="I279" s="43"/>
      <c r="J279" s="43"/>
      <c r="K279" s="238"/>
      <c r="L279" s="43"/>
      <c r="M279" s="43"/>
      <c r="N279" s="43"/>
      <c r="O279" s="43"/>
      <c r="P279" s="43"/>
      <c r="Q279" s="43"/>
      <c r="R279" s="43"/>
      <c r="S279" s="43"/>
      <c r="T279" s="43"/>
      <c r="U279" s="43"/>
      <c r="V279" s="240"/>
      <c r="W279" s="240"/>
      <c r="Y279" s="240"/>
    </row>
    <row r="280" spans="1:25" x14ac:dyDescent="0.25">
      <c r="A280" s="44"/>
      <c r="B280" s="631"/>
      <c r="C280" s="631"/>
      <c r="D280" s="631"/>
      <c r="E280" s="631"/>
      <c r="F280" s="631"/>
      <c r="G280" s="631"/>
      <c r="H280" s="239"/>
      <c r="I280" s="43"/>
      <c r="J280" s="43"/>
      <c r="K280" s="238"/>
      <c r="L280" s="43"/>
      <c r="M280" s="43"/>
      <c r="N280" s="43"/>
      <c r="O280" s="43"/>
      <c r="P280" s="43"/>
      <c r="Q280" s="43"/>
      <c r="R280" s="43"/>
      <c r="S280" s="43"/>
      <c r="T280" s="43"/>
      <c r="U280" s="43"/>
      <c r="V280" s="45"/>
      <c r="W280" s="45"/>
      <c r="Y280" s="40"/>
    </row>
    <row r="281" spans="1:25" x14ac:dyDescent="0.25">
      <c r="A281" s="44"/>
      <c r="B281" s="631"/>
      <c r="C281" s="631"/>
      <c r="D281" s="631"/>
      <c r="E281" s="631"/>
      <c r="F281" s="631"/>
      <c r="G281" s="631"/>
      <c r="H281" s="239"/>
      <c r="I281" s="43"/>
      <c r="J281" s="43"/>
      <c r="K281" s="238"/>
      <c r="L281" s="43"/>
      <c r="M281" s="43"/>
      <c r="N281" s="43"/>
      <c r="O281" s="43"/>
      <c r="P281" s="43"/>
      <c r="Q281" s="43"/>
      <c r="R281" s="43"/>
      <c r="S281" s="43"/>
      <c r="T281" s="43"/>
      <c r="U281" s="43"/>
      <c r="V281" s="45"/>
      <c r="W281" s="45"/>
      <c r="Y281" s="40"/>
    </row>
    <row r="282" spans="1:25" x14ac:dyDescent="0.25">
      <c r="A282" s="44"/>
      <c r="B282" s="631"/>
      <c r="C282" s="631"/>
      <c r="D282" s="631"/>
      <c r="E282" s="631"/>
      <c r="F282" s="631"/>
      <c r="G282" s="631"/>
      <c r="H282" s="239"/>
      <c r="I282" s="43"/>
      <c r="J282" s="43"/>
      <c r="K282" s="238"/>
      <c r="L282" s="43"/>
      <c r="M282" s="43"/>
      <c r="N282" s="43"/>
      <c r="O282" s="43"/>
      <c r="P282" s="43"/>
      <c r="Q282" s="43"/>
      <c r="R282" s="43"/>
      <c r="S282" s="43"/>
      <c r="T282" s="43"/>
      <c r="U282" s="43"/>
      <c r="V282" s="45"/>
      <c r="W282" s="45"/>
      <c r="Y282" s="40"/>
    </row>
    <row r="283" spans="1:25" x14ac:dyDescent="0.25">
      <c r="A283" s="44"/>
      <c r="B283" s="631"/>
      <c r="C283" s="631"/>
      <c r="D283" s="631"/>
      <c r="E283" s="631"/>
      <c r="F283" s="631"/>
      <c r="G283" s="631"/>
      <c r="H283" s="239"/>
      <c r="I283" s="43"/>
      <c r="J283" s="43"/>
      <c r="K283" s="238"/>
      <c r="L283" s="43"/>
      <c r="M283" s="43"/>
      <c r="N283" s="43"/>
      <c r="O283" s="43"/>
      <c r="P283" s="43"/>
      <c r="Q283" s="43"/>
      <c r="R283" s="43"/>
      <c r="S283" s="43"/>
      <c r="T283" s="43"/>
      <c r="U283" s="43"/>
      <c r="V283" s="240"/>
      <c r="W283" s="240"/>
      <c r="Y283" s="240"/>
    </row>
    <row r="284" spans="1:25" x14ac:dyDescent="0.25">
      <c r="A284" s="44"/>
      <c r="B284" s="631"/>
      <c r="C284" s="631"/>
      <c r="D284" s="631"/>
      <c r="E284" s="631"/>
      <c r="F284" s="631"/>
      <c r="G284" s="631"/>
      <c r="H284" s="239"/>
      <c r="I284" s="43"/>
      <c r="J284" s="43"/>
      <c r="K284" s="238"/>
      <c r="L284" s="43"/>
      <c r="M284" s="43"/>
      <c r="N284" s="43"/>
      <c r="O284" s="43"/>
      <c r="P284" s="43"/>
      <c r="Q284" s="43"/>
      <c r="R284" s="43"/>
      <c r="S284" s="43"/>
      <c r="T284" s="43"/>
      <c r="U284" s="43"/>
      <c r="V284" s="240"/>
      <c r="W284" s="240"/>
      <c r="Y284" s="240"/>
    </row>
    <row r="285" spans="1:25" x14ac:dyDescent="0.25">
      <c r="A285" s="44"/>
      <c r="B285" s="631"/>
      <c r="C285" s="631"/>
      <c r="D285" s="631"/>
      <c r="E285" s="631"/>
      <c r="F285" s="631"/>
      <c r="G285" s="631"/>
      <c r="H285" s="239"/>
      <c r="I285" s="43"/>
      <c r="J285" s="43"/>
      <c r="K285" s="238"/>
      <c r="L285" s="43"/>
      <c r="M285" s="43"/>
      <c r="N285" s="43"/>
      <c r="O285" s="43"/>
      <c r="P285" s="43"/>
      <c r="Q285" s="43"/>
      <c r="R285" s="43"/>
      <c r="S285" s="43"/>
      <c r="T285" s="43"/>
      <c r="U285" s="43"/>
      <c r="V285" s="240"/>
      <c r="W285" s="240"/>
      <c r="Y285" s="240"/>
    </row>
    <row r="286" spans="1:25" x14ac:dyDescent="0.25">
      <c r="A286" s="44"/>
      <c r="B286" s="631"/>
      <c r="C286" s="631"/>
      <c r="D286" s="631"/>
      <c r="E286" s="631"/>
      <c r="F286" s="631"/>
      <c r="G286" s="631"/>
      <c r="H286" s="239"/>
      <c r="I286" s="43"/>
      <c r="J286" s="43"/>
      <c r="K286" s="238"/>
      <c r="L286" s="43"/>
      <c r="M286" s="43"/>
      <c r="N286" s="43"/>
      <c r="O286" s="43"/>
      <c r="P286" s="43"/>
      <c r="Q286" s="43"/>
      <c r="R286" s="43"/>
      <c r="S286" s="43"/>
      <c r="T286" s="43"/>
      <c r="U286" s="43"/>
      <c r="V286" s="45"/>
      <c r="W286" s="45"/>
      <c r="Y286" s="40"/>
    </row>
    <row r="287" spans="1:25" x14ac:dyDescent="0.25">
      <c r="A287" s="44"/>
      <c r="B287" s="631"/>
      <c r="C287" s="631"/>
      <c r="D287" s="631"/>
      <c r="E287" s="631"/>
      <c r="F287" s="631"/>
      <c r="G287" s="631"/>
      <c r="H287" s="239"/>
      <c r="I287" s="43"/>
      <c r="J287" s="43"/>
      <c r="K287" s="238"/>
      <c r="L287" s="43"/>
      <c r="M287" s="43"/>
      <c r="N287" s="43"/>
      <c r="O287" s="43"/>
      <c r="P287" s="43"/>
      <c r="Q287" s="43"/>
      <c r="R287" s="43"/>
      <c r="S287" s="43"/>
      <c r="T287" s="43"/>
      <c r="U287" s="43"/>
      <c r="V287" s="240"/>
      <c r="W287" s="240"/>
      <c r="Y287" s="240"/>
    </row>
    <row r="288" spans="1:25" x14ac:dyDescent="0.25">
      <c r="A288" s="44"/>
      <c r="B288" s="631"/>
      <c r="C288" s="631"/>
      <c r="D288" s="631"/>
      <c r="E288" s="631"/>
      <c r="F288" s="631"/>
      <c r="G288" s="631"/>
      <c r="H288" s="239"/>
      <c r="I288" s="43"/>
      <c r="J288" s="43"/>
      <c r="K288" s="238"/>
      <c r="L288" s="43"/>
      <c r="M288" s="43"/>
      <c r="N288" s="43"/>
      <c r="O288" s="43"/>
      <c r="P288" s="43"/>
      <c r="Q288" s="43"/>
      <c r="R288" s="43"/>
      <c r="S288" s="43"/>
      <c r="T288" s="43"/>
      <c r="U288" s="43"/>
      <c r="V288" s="240"/>
      <c r="W288" s="240"/>
      <c r="Y288" s="240"/>
    </row>
    <row r="289" spans="1:25" x14ac:dyDescent="0.25">
      <c r="A289" s="44"/>
      <c r="B289" s="631"/>
      <c r="C289" s="631"/>
      <c r="D289" s="631"/>
      <c r="E289" s="631"/>
      <c r="F289" s="631"/>
      <c r="G289" s="631"/>
      <c r="H289" s="239"/>
      <c r="I289" s="43"/>
      <c r="J289" s="43"/>
      <c r="K289" s="238"/>
      <c r="L289" s="43"/>
      <c r="M289" s="43"/>
      <c r="N289" s="43"/>
      <c r="O289" s="43"/>
      <c r="P289" s="43"/>
      <c r="Q289" s="43"/>
      <c r="R289" s="43"/>
      <c r="S289" s="43"/>
      <c r="T289" s="43"/>
      <c r="U289" s="43"/>
      <c r="V289" s="240"/>
      <c r="W289" s="240"/>
      <c r="Y289" s="240"/>
    </row>
    <row r="290" spans="1:25" x14ac:dyDescent="0.25">
      <c r="A290" s="44"/>
      <c r="B290" s="631"/>
      <c r="C290" s="631"/>
      <c r="D290" s="631"/>
      <c r="E290" s="631"/>
      <c r="F290" s="631"/>
      <c r="G290" s="631"/>
      <c r="H290" s="239"/>
      <c r="I290" s="43"/>
      <c r="J290" s="43"/>
      <c r="K290" s="238"/>
      <c r="L290" s="43"/>
      <c r="M290" s="43"/>
      <c r="N290" s="43"/>
      <c r="O290" s="43"/>
      <c r="P290" s="43"/>
      <c r="Q290" s="43"/>
      <c r="R290" s="43"/>
      <c r="S290" s="43"/>
      <c r="T290" s="43"/>
      <c r="U290" s="43"/>
      <c r="V290" s="45"/>
      <c r="W290" s="45"/>
      <c r="Y290" s="40"/>
    </row>
    <row r="291" spans="1:25" x14ac:dyDescent="0.25">
      <c r="A291" s="44"/>
      <c r="B291" s="631"/>
      <c r="C291" s="631"/>
      <c r="D291" s="631"/>
      <c r="E291" s="631"/>
      <c r="F291" s="631"/>
      <c r="G291" s="631"/>
      <c r="H291" s="239"/>
      <c r="I291" s="43"/>
      <c r="J291" s="43"/>
      <c r="K291" s="238"/>
      <c r="L291" s="43"/>
      <c r="M291" s="43"/>
      <c r="N291" s="43"/>
      <c r="O291" s="43"/>
      <c r="P291" s="43"/>
      <c r="Q291" s="43"/>
      <c r="R291" s="43"/>
      <c r="S291" s="43"/>
      <c r="T291" s="43"/>
      <c r="U291" s="43"/>
      <c r="V291" s="45"/>
      <c r="W291" s="45"/>
      <c r="Y291" s="40"/>
    </row>
    <row r="292" spans="1:25" x14ac:dyDescent="0.25">
      <c r="A292" s="44"/>
      <c r="B292" s="631"/>
      <c r="C292" s="631"/>
      <c r="D292" s="631"/>
      <c r="E292" s="631"/>
      <c r="F292" s="631"/>
      <c r="G292" s="631"/>
      <c r="H292" s="239"/>
      <c r="I292" s="43"/>
      <c r="J292" s="43"/>
      <c r="K292" s="238"/>
      <c r="L292" s="43"/>
      <c r="M292" s="43"/>
      <c r="N292" s="43"/>
      <c r="O292" s="43"/>
      <c r="P292" s="43"/>
      <c r="Q292" s="43"/>
      <c r="R292" s="43"/>
      <c r="S292" s="43"/>
      <c r="T292" s="43"/>
      <c r="U292" s="43"/>
      <c r="V292" s="45"/>
      <c r="W292" s="45"/>
      <c r="Y292" s="40"/>
    </row>
    <row r="293" spans="1:25" x14ac:dyDescent="0.25">
      <c r="A293" s="44"/>
      <c r="B293" s="631"/>
      <c r="C293" s="631"/>
      <c r="D293" s="631"/>
      <c r="E293" s="631"/>
      <c r="F293" s="631"/>
      <c r="G293" s="631"/>
      <c r="H293" s="239"/>
      <c r="I293" s="43"/>
      <c r="J293" s="43"/>
      <c r="K293" s="238"/>
      <c r="L293" s="43"/>
      <c r="M293" s="43"/>
      <c r="N293" s="43"/>
      <c r="O293" s="43"/>
      <c r="P293" s="43"/>
      <c r="Q293" s="43"/>
      <c r="R293" s="43"/>
      <c r="S293" s="43"/>
      <c r="T293" s="43"/>
      <c r="U293" s="43"/>
      <c r="V293" s="240"/>
      <c r="W293" s="240"/>
      <c r="Y293" s="240"/>
    </row>
    <row r="294" spans="1:25" x14ac:dyDescent="0.25">
      <c r="A294" s="44"/>
      <c r="B294" s="631"/>
      <c r="C294" s="631"/>
      <c r="D294" s="631"/>
      <c r="E294" s="631"/>
      <c r="F294" s="631"/>
      <c r="G294" s="631"/>
      <c r="H294" s="239"/>
      <c r="I294" s="43"/>
      <c r="J294" s="43"/>
      <c r="K294" s="238"/>
      <c r="L294" s="43"/>
      <c r="M294" s="43"/>
      <c r="N294" s="43"/>
      <c r="O294" s="43"/>
      <c r="P294" s="43"/>
      <c r="Q294" s="43"/>
      <c r="R294" s="43"/>
      <c r="S294" s="43"/>
      <c r="T294" s="43"/>
      <c r="U294" s="43"/>
      <c r="V294" s="45"/>
      <c r="W294" s="45"/>
      <c r="Y294" s="40"/>
    </row>
    <row r="295" spans="1:25" x14ac:dyDescent="0.25">
      <c r="A295" s="44"/>
      <c r="B295" s="631"/>
      <c r="C295" s="631"/>
      <c r="D295" s="631"/>
      <c r="E295" s="631"/>
      <c r="F295" s="631"/>
      <c r="G295" s="631"/>
      <c r="H295" s="239"/>
      <c r="I295" s="43"/>
      <c r="J295" s="43"/>
      <c r="K295" s="238"/>
      <c r="L295" s="43"/>
      <c r="M295" s="43"/>
      <c r="N295" s="43"/>
      <c r="O295" s="43"/>
      <c r="P295" s="43"/>
      <c r="Q295" s="43"/>
      <c r="R295" s="43"/>
      <c r="S295" s="43"/>
      <c r="T295" s="43"/>
      <c r="U295" s="43"/>
      <c r="V295" s="45"/>
      <c r="W295" s="45"/>
      <c r="Y295" s="40"/>
    </row>
    <row r="296" spans="1:25" x14ac:dyDescent="0.25">
      <c r="A296" s="44"/>
      <c r="B296" s="631"/>
      <c r="C296" s="631"/>
      <c r="D296" s="631"/>
      <c r="E296" s="631"/>
      <c r="F296" s="631"/>
      <c r="G296" s="631"/>
      <c r="H296" s="239"/>
      <c r="I296" s="43"/>
      <c r="J296" s="43"/>
      <c r="K296" s="238"/>
      <c r="L296" s="43"/>
      <c r="M296" s="43"/>
      <c r="N296" s="43"/>
      <c r="O296" s="43"/>
      <c r="P296" s="43"/>
      <c r="Q296" s="43"/>
      <c r="R296" s="43"/>
      <c r="S296" s="43"/>
      <c r="T296" s="43"/>
      <c r="U296" s="43"/>
      <c r="V296" s="45"/>
      <c r="W296" s="45"/>
      <c r="Y296" s="40"/>
    </row>
    <row r="297" spans="1:25" x14ac:dyDescent="0.25">
      <c r="A297" s="44"/>
      <c r="B297" s="631"/>
      <c r="C297" s="631"/>
      <c r="D297" s="631"/>
      <c r="E297" s="631"/>
      <c r="F297" s="631"/>
      <c r="G297" s="631"/>
      <c r="H297" s="239"/>
      <c r="I297" s="43"/>
      <c r="J297" s="43"/>
      <c r="K297" s="238"/>
      <c r="L297" s="43"/>
      <c r="M297" s="43"/>
      <c r="N297" s="43"/>
      <c r="O297" s="43"/>
      <c r="P297" s="43"/>
      <c r="Q297" s="43"/>
      <c r="R297" s="43"/>
      <c r="S297" s="43"/>
      <c r="T297" s="43"/>
      <c r="U297" s="43"/>
      <c r="V297" s="45"/>
      <c r="W297" s="45"/>
      <c r="Y297" s="40"/>
    </row>
    <row r="298" spans="1:25" x14ac:dyDescent="0.25">
      <c r="A298" s="44"/>
      <c r="B298" s="631"/>
      <c r="C298" s="631"/>
      <c r="D298" s="631"/>
      <c r="E298" s="631"/>
      <c r="F298" s="631"/>
      <c r="G298" s="631"/>
      <c r="H298" s="239"/>
      <c r="I298" s="43"/>
      <c r="J298" s="43"/>
      <c r="K298" s="238"/>
      <c r="L298" s="43"/>
      <c r="M298" s="43"/>
      <c r="N298" s="43"/>
      <c r="O298" s="43"/>
      <c r="P298" s="43"/>
      <c r="Q298" s="43"/>
      <c r="R298" s="43"/>
      <c r="S298" s="43"/>
      <c r="T298" s="43"/>
      <c r="U298" s="43"/>
      <c r="V298" s="240"/>
      <c r="W298" s="240"/>
      <c r="Y298" s="240"/>
    </row>
    <row r="299" spans="1:25" x14ac:dyDescent="0.25">
      <c r="A299" s="44"/>
      <c r="B299" s="631"/>
      <c r="C299" s="631"/>
      <c r="D299" s="631"/>
      <c r="E299" s="631"/>
      <c r="F299" s="631"/>
      <c r="G299" s="631"/>
      <c r="H299" s="239"/>
      <c r="I299" s="43"/>
      <c r="J299" s="43"/>
      <c r="K299" s="238"/>
      <c r="L299" s="43"/>
      <c r="M299" s="43"/>
      <c r="N299" s="43"/>
      <c r="O299" s="43"/>
      <c r="P299" s="43"/>
      <c r="Q299" s="43"/>
      <c r="R299" s="43"/>
      <c r="S299" s="43"/>
      <c r="T299" s="43"/>
      <c r="U299" s="43"/>
      <c r="V299" s="45"/>
      <c r="W299" s="45"/>
      <c r="Y299" s="40"/>
    </row>
    <row r="300" spans="1:25" x14ac:dyDescent="0.25">
      <c r="A300" s="44"/>
      <c r="B300" s="631"/>
      <c r="C300" s="631"/>
      <c r="D300" s="631"/>
      <c r="E300" s="631"/>
      <c r="F300" s="631"/>
      <c r="G300" s="631"/>
      <c r="H300" s="239"/>
      <c r="I300" s="43"/>
      <c r="J300" s="43"/>
      <c r="K300" s="238"/>
      <c r="L300" s="43"/>
      <c r="M300" s="43"/>
      <c r="N300" s="43"/>
      <c r="O300" s="43"/>
      <c r="P300" s="43"/>
      <c r="Q300" s="43"/>
      <c r="R300" s="43"/>
      <c r="S300" s="43"/>
      <c r="T300" s="43"/>
      <c r="U300" s="43"/>
      <c r="V300" s="45"/>
      <c r="W300" s="45"/>
      <c r="Y300" s="40"/>
    </row>
    <row r="301" spans="1:25" x14ac:dyDescent="0.25">
      <c r="A301" s="44"/>
      <c r="B301" s="631"/>
      <c r="C301" s="631"/>
      <c r="D301" s="631"/>
      <c r="E301" s="631"/>
      <c r="F301" s="631"/>
      <c r="G301" s="631"/>
      <c r="H301" s="239"/>
      <c r="I301" s="43"/>
      <c r="J301" s="43"/>
      <c r="K301" s="238"/>
      <c r="L301" s="43"/>
      <c r="M301" s="43"/>
      <c r="N301" s="43"/>
      <c r="O301" s="43"/>
      <c r="P301" s="43"/>
      <c r="Q301" s="43"/>
      <c r="R301" s="43"/>
      <c r="S301" s="43"/>
      <c r="T301" s="43"/>
      <c r="U301" s="43"/>
      <c r="V301" s="240"/>
      <c r="W301" s="240"/>
      <c r="Y301" s="240"/>
    </row>
    <row r="302" spans="1:25" x14ac:dyDescent="0.25">
      <c r="A302" s="44"/>
      <c r="B302" s="631"/>
      <c r="C302" s="631"/>
      <c r="D302" s="631"/>
      <c r="E302" s="631"/>
      <c r="F302" s="631"/>
      <c r="G302" s="631"/>
      <c r="H302" s="239"/>
      <c r="I302" s="43"/>
      <c r="J302" s="43"/>
      <c r="K302" s="238"/>
      <c r="L302" s="43"/>
      <c r="M302" s="43"/>
      <c r="N302" s="43"/>
      <c r="O302" s="43"/>
      <c r="P302" s="43"/>
      <c r="Q302" s="43"/>
      <c r="R302" s="43"/>
      <c r="S302" s="43"/>
      <c r="T302" s="43"/>
      <c r="U302" s="43"/>
      <c r="V302" s="45"/>
      <c r="W302" s="45"/>
      <c r="Y302" s="40"/>
    </row>
    <row r="303" spans="1:25" x14ac:dyDescent="0.25">
      <c r="A303" s="44"/>
      <c r="B303" s="631"/>
      <c r="C303" s="631"/>
      <c r="D303" s="631"/>
      <c r="E303" s="631"/>
      <c r="F303" s="631"/>
      <c r="G303" s="631"/>
      <c r="H303" s="239"/>
      <c r="I303" s="43"/>
      <c r="J303" s="43"/>
      <c r="K303" s="238"/>
      <c r="L303" s="43"/>
      <c r="M303" s="43"/>
      <c r="N303" s="43"/>
      <c r="O303" s="43"/>
      <c r="P303" s="43"/>
      <c r="Q303" s="43"/>
      <c r="R303" s="43"/>
      <c r="S303" s="43"/>
      <c r="T303" s="43"/>
      <c r="U303" s="43"/>
      <c r="V303" s="45"/>
      <c r="W303" s="45"/>
      <c r="Y303" s="40"/>
    </row>
    <row r="304" spans="1:25" x14ac:dyDescent="0.25">
      <c r="A304" s="44"/>
      <c r="B304" s="631"/>
      <c r="C304" s="631"/>
      <c r="D304" s="631"/>
      <c r="E304" s="631"/>
      <c r="F304" s="631"/>
      <c r="G304" s="631"/>
      <c r="H304" s="239"/>
      <c r="I304" s="43"/>
      <c r="J304" s="43"/>
      <c r="K304" s="238"/>
      <c r="L304" s="43"/>
      <c r="M304" s="43"/>
      <c r="N304" s="43"/>
      <c r="O304" s="43"/>
      <c r="P304" s="43"/>
      <c r="Q304" s="43"/>
      <c r="R304" s="43"/>
      <c r="S304" s="43"/>
      <c r="T304" s="43"/>
      <c r="U304" s="43"/>
      <c r="V304" s="45"/>
      <c r="W304" s="45"/>
      <c r="Y304" s="40"/>
    </row>
    <row r="305" spans="1:25" x14ac:dyDescent="0.25">
      <c r="A305" s="44"/>
      <c r="B305" s="631"/>
      <c r="C305" s="631"/>
      <c r="D305" s="631"/>
      <c r="E305" s="631"/>
      <c r="F305" s="631"/>
      <c r="G305" s="631"/>
      <c r="H305" s="239"/>
      <c r="I305" s="43"/>
      <c r="J305" s="43"/>
      <c r="K305" s="238"/>
      <c r="L305" s="43"/>
      <c r="M305" s="43"/>
      <c r="N305" s="43"/>
      <c r="O305" s="43"/>
      <c r="P305" s="43"/>
      <c r="Q305" s="43"/>
      <c r="R305" s="43"/>
      <c r="S305" s="43"/>
      <c r="T305" s="43"/>
      <c r="U305" s="43"/>
      <c r="V305" s="45"/>
      <c r="W305" s="45"/>
      <c r="Y305" s="40"/>
    </row>
    <row r="306" spans="1:25" x14ac:dyDescent="0.25">
      <c r="A306" s="44"/>
      <c r="B306" s="631"/>
      <c r="C306" s="631"/>
      <c r="D306" s="631"/>
      <c r="E306" s="631"/>
      <c r="F306" s="631"/>
      <c r="G306" s="631"/>
      <c r="H306" s="239"/>
      <c r="I306" s="43"/>
      <c r="J306" s="43"/>
      <c r="K306" s="238"/>
      <c r="L306" s="43"/>
      <c r="M306" s="43"/>
      <c r="N306" s="43"/>
      <c r="O306" s="43"/>
      <c r="P306" s="43"/>
      <c r="Q306" s="43"/>
      <c r="R306" s="43"/>
      <c r="S306" s="43"/>
      <c r="T306" s="43"/>
      <c r="U306" s="43"/>
      <c r="V306" s="45"/>
      <c r="W306" s="45"/>
      <c r="Y306" s="40"/>
    </row>
    <row r="307" spans="1:25" x14ac:dyDescent="0.25">
      <c r="A307" s="44"/>
      <c r="B307" s="631"/>
      <c r="C307" s="631"/>
      <c r="D307" s="631"/>
      <c r="E307" s="631"/>
      <c r="F307" s="631"/>
      <c r="G307" s="631"/>
      <c r="H307" s="239"/>
      <c r="I307" s="43"/>
      <c r="J307" s="43"/>
      <c r="K307" s="238"/>
      <c r="L307" s="43"/>
      <c r="M307" s="43"/>
      <c r="N307" s="43"/>
      <c r="O307" s="43"/>
      <c r="P307" s="43"/>
      <c r="Q307" s="43"/>
      <c r="R307" s="43"/>
      <c r="S307" s="43"/>
      <c r="T307" s="43"/>
      <c r="U307" s="43"/>
      <c r="V307" s="45"/>
      <c r="W307" s="45"/>
      <c r="Y307" s="40"/>
    </row>
    <row r="308" spans="1:25" x14ac:dyDescent="0.25">
      <c r="A308" s="44"/>
      <c r="B308" s="631"/>
      <c r="C308" s="631"/>
      <c r="D308" s="631"/>
      <c r="E308" s="631"/>
      <c r="F308" s="631"/>
      <c r="G308" s="631"/>
      <c r="H308" s="239"/>
      <c r="I308" s="43"/>
      <c r="J308" s="43"/>
      <c r="K308" s="238"/>
      <c r="L308" s="43"/>
      <c r="M308" s="43"/>
      <c r="N308" s="43"/>
      <c r="O308" s="43"/>
      <c r="P308" s="43"/>
      <c r="Q308" s="43"/>
      <c r="R308" s="43"/>
      <c r="S308" s="43"/>
      <c r="T308" s="43"/>
      <c r="U308" s="43"/>
      <c r="V308" s="45"/>
      <c r="W308" s="45"/>
      <c r="Y308" s="40"/>
    </row>
    <row r="309" spans="1:25" x14ac:dyDescent="0.25">
      <c r="A309" s="44"/>
      <c r="B309" s="631"/>
      <c r="C309" s="631"/>
      <c r="D309" s="631"/>
      <c r="E309" s="631"/>
      <c r="F309" s="631"/>
      <c r="G309" s="631"/>
      <c r="H309" s="239"/>
      <c r="I309" s="43"/>
      <c r="J309" s="43"/>
      <c r="K309" s="238"/>
      <c r="L309" s="43"/>
      <c r="M309" s="43"/>
      <c r="N309" s="43"/>
      <c r="O309" s="43"/>
      <c r="P309" s="43"/>
      <c r="Q309" s="43"/>
      <c r="R309" s="43"/>
      <c r="S309" s="43"/>
      <c r="T309" s="43"/>
      <c r="U309" s="43"/>
      <c r="V309" s="45"/>
      <c r="W309" s="45"/>
      <c r="Y309" s="40"/>
    </row>
    <row r="310" spans="1:25" x14ac:dyDescent="0.25">
      <c r="A310" s="44"/>
      <c r="B310" s="631"/>
      <c r="C310" s="631"/>
      <c r="D310" s="631"/>
      <c r="E310" s="631"/>
      <c r="F310" s="631"/>
      <c r="G310" s="631"/>
      <c r="H310" s="239"/>
      <c r="I310" s="43"/>
      <c r="J310" s="43"/>
      <c r="K310" s="238"/>
      <c r="L310" s="43"/>
      <c r="M310" s="43"/>
      <c r="N310" s="43"/>
      <c r="O310" s="43"/>
      <c r="P310" s="43"/>
      <c r="Q310" s="43"/>
      <c r="R310" s="43"/>
      <c r="S310" s="43"/>
      <c r="T310" s="43"/>
      <c r="U310" s="43"/>
      <c r="V310" s="45"/>
      <c r="W310" s="45"/>
      <c r="Y310" s="40"/>
    </row>
    <row r="311" spans="1:25" x14ac:dyDescent="0.25">
      <c r="A311" s="44"/>
      <c r="B311" s="631"/>
      <c r="C311" s="631"/>
      <c r="D311" s="631"/>
      <c r="E311" s="631"/>
      <c r="F311" s="631"/>
      <c r="G311" s="631"/>
      <c r="H311" s="239"/>
      <c r="I311" s="43"/>
      <c r="J311" s="43"/>
      <c r="K311" s="238"/>
      <c r="L311" s="43"/>
      <c r="M311" s="43"/>
      <c r="N311" s="43"/>
      <c r="O311" s="43"/>
      <c r="P311" s="43"/>
      <c r="Q311" s="43"/>
      <c r="R311" s="43"/>
      <c r="S311" s="43"/>
      <c r="T311" s="43"/>
      <c r="U311" s="43"/>
      <c r="V311" s="45"/>
      <c r="W311" s="45"/>
      <c r="Y311" s="40"/>
    </row>
    <row r="312" spans="1:25" x14ac:dyDescent="0.25">
      <c r="A312" s="44"/>
      <c r="B312" s="631"/>
      <c r="C312" s="631"/>
      <c r="D312" s="631"/>
      <c r="E312" s="631"/>
      <c r="F312" s="631"/>
      <c r="G312" s="631"/>
      <c r="H312" s="239"/>
      <c r="I312" s="43"/>
      <c r="J312" s="43"/>
      <c r="K312" s="238"/>
      <c r="L312" s="43"/>
      <c r="M312" s="43"/>
      <c r="N312" s="43"/>
      <c r="O312" s="43"/>
      <c r="P312" s="43"/>
      <c r="Q312" s="43"/>
      <c r="R312" s="43"/>
      <c r="S312" s="43"/>
      <c r="T312" s="43"/>
      <c r="U312" s="43"/>
      <c r="V312" s="45"/>
      <c r="W312" s="45"/>
      <c r="Y312" s="40"/>
    </row>
    <row r="313" spans="1:25" x14ac:dyDescent="0.25">
      <c r="A313" s="44"/>
      <c r="B313" s="631"/>
      <c r="C313" s="631"/>
      <c r="D313" s="631"/>
      <c r="E313" s="631"/>
      <c r="F313" s="631"/>
      <c r="G313" s="631"/>
      <c r="H313" s="239"/>
      <c r="I313" s="43"/>
      <c r="J313" s="43"/>
      <c r="K313" s="238"/>
      <c r="L313" s="43"/>
      <c r="M313" s="43"/>
      <c r="N313" s="43"/>
      <c r="O313" s="43"/>
      <c r="P313" s="43"/>
      <c r="Q313" s="43"/>
      <c r="R313" s="43"/>
      <c r="S313" s="43"/>
      <c r="T313" s="43"/>
      <c r="U313" s="43"/>
      <c r="V313" s="45"/>
      <c r="W313" s="45"/>
      <c r="Y313" s="40"/>
    </row>
    <row r="314" spans="1:25" x14ac:dyDescent="0.25">
      <c r="A314" s="44"/>
      <c r="B314" s="631"/>
      <c r="C314" s="631"/>
      <c r="D314" s="631"/>
      <c r="E314" s="631"/>
      <c r="F314" s="631"/>
      <c r="G314" s="631"/>
      <c r="H314" s="239"/>
      <c r="I314" s="43"/>
      <c r="J314" s="43"/>
      <c r="K314" s="238"/>
      <c r="L314" s="43"/>
      <c r="M314" s="43"/>
      <c r="N314" s="43"/>
      <c r="O314" s="43"/>
      <c r="P314" s="43"/>
      <c r="Q314" s="43"/>
      <c r="R314" s="43"/>
      <c r="S314" s="43"/>
      <c r="T314" s="43"/>
      <c r="U314" s="43"/>
      <c r="V314" s="45"/>
      <c r="W314" s="45"/>
      <c r="Y314" s="40"/>
    </row>
    <row r="315" spans="1:25" x14ac:dyDescent="0.25">
      <c r="A315" s="44"/>
      <c r="B315" s="631"/>
      <c r="C315" s="631"/>
      <c r="D315" s="631"/>
      <c r="E315" s="631"/>
      <c r="F315" s="631"/>
      <c r="G315" s="631"/>
      <c r="H315" s="239"/>
      <c r="I315" s="43"/>
      <c r="J315" s="43"/>
      <c r="K315" s="238"/>
      <c r="L315" s="43"/>
      <c r="M315" s="43"/>
      <c r="N315" s="43"/>
      <c r="O315" s="43"/>
      <c r="P315" s="43"/>
      <c r="Q315" s="43"/>
      <c r="R315" s="43"/>
      <c r="S315" s="43"/>
      <c r="T315" s="43"/>
      <c r="U315" s="43"/>
      <c r="V315" s="240"/>
      <c r="W315" s="240"/>
      <c r="Y315" s="240"/>
    </row>
    <row r="316" spans="1:25" x14ac:dyDescent="0.25">
      <c r="A316" s="44"/>
      <c r="B316" s="631"/>
      <c r="C316" s="631"/>
      <c r="D316" s="631"/>
      <c r="E316" s="631"/>
      <c r="F316" s="631"/>
      <c r="G316" s="631"/>
      <c r="H316" s="239"/>
      <c r="I316" s="43"/>
      <c r="J316" s="43"/>
      <c r="K316" s="238"/>
      <c r="L316" s="43"/>
      <c r="M316" s="43"/>
      <c r="N316" s="43"/>
      <c r="O316" s="43"/>
      <c r="P316" s="43"/>
      <c r="Q316" s="43"/>
      <c r="R316" s="43"/>
      <c r="S316" s="43"/>
      <c r="T316" s="43"/>
      <c r="U316" s="43"/>
      <c r="V316" s="45"/>
      <c r="W316" s="45"/>
      <c r="Y316" s="40"/>
    </row>
    <row r="317" spans="1:25" x14ac:dyDescent="0.25">
      <c r="A317" s="44"/>
      <c r="B317" s="631"/>
      <c r="C317" s="631"/>
      <c r="D317" s="631"/>
      <c r="E317" s="631"/>
      <c r="F317" s="631"/>
      <c r="G317" s="631"/>
      <c r="H317" s="239"/>
      <c r="I317" s="43"/>
      <c r="J317" s="43"/>
      <c r="K317" s="238"/>
      <c r="L317" s="43"/>
      <c r="M317" s="43"/>
      <c r="N317" s="43"/>
      <c r="O317" s="43"/>
      <c r="P317" s="43"/>
      <c r="Q317" s="43"/>
      <c r="R317" s="43"/>
      <c r="S317" s="43"/>
      <c r="T317" s="43"/>
      <c r="U317" s="43"/>
      <c r="V317" s="45"/>
      <c r="W317" s="45"/>
      <c r="Y317" s="40"/>
    </row>
    <row r="318" spans="1:25" x14ac:dyDescent="0.25">
      <c r="A318" s="44"/>
      <c r="B318" s="631"/>
      <c r="C318" s="631"/>
      <c r="D318" s="631"/>
      <c r="E318" s="631"/>
      <c r="F318" s="631"/>
      <c r="G318" s="631"/>
      <c r="H318" s="21"/>
      <c r="I318" s="631"/>
      <c r="J318" s="631"/>
      <c r="L318" s="631"/>
      <c r="M318" s="631"/>
      <c r="N318" s="631"/>
      <c r="O318" s="631"/>
      <c r="P318" s="631"/>
      <c r="Q318" s="631"/>
      <c r="R318" s="631"/>
      <c r="S318" s="631"/>
      <c r="T318" s="631"/>
      <c r="U318" s="43"/>
      <c r="V318" s="45"/>
      <c r="W318" s="45"/>
      <c r="Y318" s="40"/>
    </row>
    <row r="319" spans="1:25" x14ac:dyDescent="0.25">
      <c r="A319" s="44"/>
      <c r="B319" s="631"/>
      <c r="C319" s="631"/>
      <c r="D319" s="631"/>
      <c r="E319" s="631"/>
      <c r="F319" s="631"/>
      <c r="G319" s="631"/>
      <c r="H319" s="239"/>
      <c r="I319" s="43"/>
      <c r="J319" s="43"/>
      <c r="K319" s="238"/>
      <c r="L319" s="43"/>
      <c r="M319" s="43"/>
      <c r="N319" s="43"/>
      <c r="O319" s="43"/>
      <c r="P319" s="43"/>
      <c r="Q319" s="43"/>
      <c r="R319" s="43"/>
      <c r="S319" s="43"/>
      <c r="T319" s="43"/>
      <c r="U319" s="43"/>
      <c r="V319" s="240"/>
      <c r="W319" s="240"/>
      <c r="Y319" s="240"/>
    </row>
    <row r="320" spans="1:25" x14ac:dyDescent="0.25">
      <c r="A320" s="44"/>
      <c r="B320" s="631"/>
      <c r="C320" s="631"/>
      <c r="D320" s="631"/>
      <c r="E320" s="631"/>
      <c r="F320" s="631"/>
      <c r="G320" s="631"/>
      <c r="H320" s="239"/>
      <c r="I320" s="43"/>
      <c r="J320" s="43"/>
      <c r="K320" s="238"/>
      <c r="L320" s="43"/>
      <c r="M320" s="43"/>
      <c r="N320" s="43"/>
      <c r="O320" s="43"/>
      <c r="P320" s="43"/>
      <c r="Q320" s="43"/>
      <c r="R320" s="43"/>
      <c r="S320" s="43"/>
      <c r="T320" s="43"/>
      <c r="U320" s="43"/>
      <c r="V320" s="240"/>
      <c r="W320" s="240"/>
      <c r="Y320" s="240"/>
    </row>
    <row r="321" spans="1:25" x14ac:dyDescent="0.25">
      <c r="A321" s="44"/>
      <c r="B321" s="631"/>
      <c r="C321" s="631"/>
      <c r="D321" s="631"/>
      <c r="E321" s="631"/>
      <c r="F321" s="631"/>
      <c r="G321" s="631"/>
      <c r="H321" s="239"/>
      <c r="I321" s="43"/>
      <c r="J321" s="43"/>
      <c r="K321" s="238"/>
      <c r="L321" s="43"/>
      <c r="M321" s="43"/>
      <c r="N321" s="43"/>
      <c r="O321" s="43"/>
      <c r="P321" s="43"/>
      <c r="Q321" s="43"/>
      <c r="R321" s="43"/>
      <c r="S321" s="43"/>
      <c r="T321" s="43"/>
      <c r="U321" s="43"/>
      <c r="V321" s="240"/>
      <c r="W321" s="240"/>
      <c r="Y321" s="240"/>
    </row>
    <row r="322" spans="1:25" x14ac:dyDescent="0.25">
      <c r="A322" s="44"/>
      <c r="B322" s="631"/>
      <c r="C322" s="631"/>
      <c r="D322" s="631"/>
      <c r="E322" s="631"/>
      <c r="F322" s="631"/>
      <c r="G322" s="631"/>
      <c r="H322" s="239"/>
      <c r="I322" s="43"/>
      <c r="J322" s="43"/>
      <c r="K322" s="238"/>
      <c r="L322" s="43"/>
      <c r="M322" s="43"/>
      <c r="N322" s="43"/>
      <c r="O322" s="43"/>
      <c r="P322" s="43"/>
      <c r="Q322" s="43"/>
      <c r="R322" s="43"/>
      <c r="S322" s="43"/>
      <c r="T322" s="43"/>
      <c r="U322" s="43"/>
      <c r="V322" s="240"/>
      <c r="W322" s="240"/>
      <c r="Y322" s="240"/>
    </row>
    <row r="323" spans="1:25" x14ac:dyDescent="0.25">
      <c r="A323" s="44"/>
      <c r="B323" s="631"/>
      <c r="C323" s="631"/>
      <c r="D323" s="631"/>
      <c r="E323" s="631"/>
      <c r="F323" s="631"/>
      <c r="G323" s="631"/>
      <c r="H323" s="239"/>
      <c r="I323" s="43"/>
      <c r="J323" s="43"/>
      <c r="K323" s="238"/>
      <c r="L323" s="43"/>
      <c r="M323" s="43"/>
      <c r="N323" s="43"/>
      <c r="O323" s="43"/>
      <c r="P323" s="43"/>
      <c r="Q323" s="43"/>
      <c r="R323" s="43"/>
      <c r="S323" s="43"/>
      <c r="T323" s="43"/>
      <c r="U323" s="43"/>
      <c r="V323" s="235"/>
      <c r="W323" s="235"/>
      <c r="Y323" s="235"/>
    </row>
    <row r="324" spans="1:25" x14ac:dyDescent="0.25">
      <c r="A324" s="44"/>
      <c r="B324" s="631"/>
      <c r="C324" s="631"/>
      <c r="D324" s="631"/>
      <c r="E324" s="631"/>
      <c r="F324" s="631"/>
      <c r="G324" s="631"/>
      <c r="H324" s="239"/>
      <c r="I324" s="43"/>
      <c r="J324" s="43"/>
      <c r="K324" s="238"/>
      <c r="L324" s="43"/>
      <c r="M324" s="43"/>
      <c r="N324" s="43"/>
      <c r="O324" s="43"/>
      <c r="P324" s="43"/>
      <c r="Q324" s="43"/>
      <c r="R324" s="43"/>
      <c r="S324" s="43"/>
      <c r="T324" s="43"/>
      <c r="U324" s="43"/>
      <c r="V324" s="240"/>
      <c r="W324" s="240"/>
      <c r="Y324" s="240"/>
    </row>
    <row r="325" spans="1:25" x14ac:dyDescent="0.25">
      <c r="A325" s="44"/>
      <c r="B325" s="631"/>
      <c r="C325" s="631"/>
      <c r="D325" s="631"/>
      <c r="E325" s="631"/>
      <c r="F325" s="631"/>
      <c r="G325" s="631"/>
      <c r="H325" s="239"/>
      <c r="I325" s="43"/>
      <c r="J325" s="43"/>
      <c r="K325" s="238"/>
      <c r="L325" s="43"/>
      <c r="M325" s="43"/>
      <c r="N325" s="43"/>
      <c r="O325" s="43"/>
      <c r="P325" s="43"/>
      <c r="Q325" s="43"/>
      <c r="R325" s="43"/>
      <c r="S325" s="43"/>
      <c r="T325" s="43"/>
      <c r="U325" s="43"/>
      <c r="V325" s="240"/>
      <c r="W325" s="240"/>
      <c r="Y325" s="240"/>
    </row>
    <row r="326" spans="1:25" x14ac:dyDescent="0.25">
      <c r="A326" s="44"/>
      <c r="B326" s="631"/>
      <c r="C326" s="631"/>
      <c r="D326" s="631"/>
      <c r="E326" s="631"/>
      <c r="F326" s="631"/>
      <c r="G326" s="631"/>
      <c r="H326" s="239"/>
      <c r="I326" s="43"/>
      <c r="J326" s="43"/>
      <c r="K326" s="238"/>
      <c r="L326" s="43"/>
      <c r="M326" s="43"/>
      <c r="N326" s="43"/>
      <c r="O326" s="43"/>
      <c r="P326" s="43"/>
      <c r="Q326" s="43"/>
      <c r="R326" s="43"/>
      <c r="S326" s="43"/>
      <c r="T326" s="43"/>
      <c r="U326" s="43"/>
      <c r="V326" s="240"/>
      <c r="W326" s="240"/>
      <c r="Y326" s="240"/>
    </row>
    <row r="327" spans="1:25" x14ac:dyDescent="0.25">
      <c r="A327" s="44"/>
      <c r="B327" s="631"/>
      <c r="C327" s="631"/>
      <c r="D327" s="631"/>
      <c r="E327" s="631"/>
      <c r="F327" s="631"/>
      <c r="G327" s="631"/>
      <c r="H327" s="239"/>
      <c r="I327" s="43"/>
      <c r="J327" s="43"/>
      <c r="K327" s="238"/>
      <c r="L327" s="43"/>
      <c r="M327" s="43"/>
      <c r="N327" s="43"/>
      <c r="O327" s="43"/>
      <c r="P327" s="43"/>
      <c r="Q327" s="43"/>
      <c r="R327" s="43"/>
      <c r="S327" s="43"/>
      <c r="T327" s="43"/>
      <c r="U327" s="43"/>
      <c r="V327" s="240"/>
      <c r="W327" s="240"/>
      <c r="Y327" s="240"/>
    </row>
    <row r="328" spans="1:25" x14ac:dyDescent="0.25">
      <c r="A328" s="44"/>
      <c r="B328" s="631"/>
      <c r="C328" s="631"/>
      <c r="D328" s="631"/>
      <c r="E328" s="631"/>
      <c r="F328" s="631"/>
      <c r="G328" s="631"/>
      <c r="H328" s="239"/>
      <c r="I328" s="43"/>
      <c r="J328" s="43"/>
      <c r="K328" s="238"/>
      <c r="L328" s="43"/>
      <c r="M328" s="43"/>
      <c r="N328" s="43"/>
      <c r="O328" s="43"/>
      <c r="P328" s="43"/>
      <c r="Q328" s="43"/>
      <c r="R328" s="43"/>
      <c r="S328" s="43"/>
      <c r="T328" s="43"/>
      <c r="U328" s="43"/>
      <c r="V328" s="45"/>
      <c r="W328" s="45"/>
      <c r="Y328" s="40"/>
    </row>
    <row r="329" spans="1:25" x14ac:dyDescent="0.25">
      <c r="A329" s="44"/>
      <c r="B329" s="631"/>
      <c r="C329" s="631"/>
      <c r="D329" s="631"/>
      <c r="E329" s="631"/>
      <c r="F329" s="631"/>
      <c r="G329" s="631"/>
      <c r="H329" s="239"/>
      <c r="I329" s="43"/>
      <c r="J329" s="43"/>
      <c r="K329" s="238"/>
      <c r="L329" s="43"/>
      <c r="M329" s="43"/>
      <c r="N329" s="43"/>
      <c r="O329" s="43"/>
      <c r="P329" s="43"/>
      <c r="Q329" s="43"/>
      <c r="R329" s="43"/>
      <c r="S329" s="43"/>
      <c r="T329" s="43"/>
      <c r="U329" s="43"/>
      <c r="V329" s="45"/>
      <c r="W329" s="45"/>
      <c r="Y329" s="40"/>
    </row>
    <row r="330" spans="1:25" x14ac:dyDescent="0.25">
      <c r="A330" s="44"/>
      <c r="B330" s="631"/>
      <c r="C330" s="631"/>
      <c r="D330" s="631"/>
      <c r="E330" s="631"/>
      <c r="F330" s="631"/>
      <c r="G330" s="631"/>
      <c r="H330" s="239"/>
      <c r="I330" s="43"/>
      <c r="J330" s="43"/>
      <c r="K330" s="238"/>
      <c r="L330" s="43"/>
      <c r="M330" s="43"/>
      <c r="N330" s="43"/>
      <c r="O330" s="43"/>
      <c r="P330" s="43"/>
      <c r="Q330" s="43"/>
      <c r="R330" s="43"/>
      <c r="S330" s="43"/>
      <c r="T330" s="43"/>
      <c r="U330" s="43"/>
      <c r="V330" s="240"/>
      <c r="W330" s="240"/>
      <c r="Y330" s="240"/>
    </row>
    <row r="331" spans="1:25" x14ac:dyDescent="0.25">
      <c r="A331" s="44"/>
      <c r="B331" s="631"/>
      <c r="C331" s="631"/>
      <c r="D331" s="631"/>
      <c r="E331" s="631"/>
      <c r="F331" s="631"/>
      <c r="G331" s="631"/>
      <c r="H331" s="239"/>
      <c r="I331" s="43"/>
      <c r="J331" s="43"/>
      <c r="K331" s="238"/>
      <c r="L331" s="43"/>
      <c r="M331" s="43"/>
      <c r="N331" s="43"/>
      <c r="O331" s="43"/>
      <c r="P331" s="43"/>
      <c r="Q331" s="43"/>
      <c r="R331" s="43"/>
      <c r="S331" s="43"/>
      <c r="T331" s="43"/>
      <c r="U331" s="43"/>
      <c r="V331" s="240"/>
      <c r="W331" s="240"/>
      <c r="Y331" s="240"/>
    </row>
    <row r="332" spans="1:25" x14ac:dyDescent="0.25">
      <c r="A332" s="44"/>
      <c r="B332" s="631"/>
      <c r="C332" s="631"/>
      <c r="D332" s="631"/>
      <c r="E332" s="631"/>
      <c r="F332" s="631"/>
      <c r="G332" s="631"/>
      <c r="H332" s="239"/>
      <c r="I332" s="43"/>
      <c r="J332" s="43"/>
      <c r="K332" s="238"/>
      <c r="L332" s="43"/>
      <c r="M332" s="43"/>
      <c r="N332" s="43"/>
      <c r="O332" s="43"/>
      <c r="P332" s="43"/>
      <c r="Q332" s="43"/>
      <c r="R332" s="43"/>
      <c r="S332" s="43"/>
      <c r="T332" s="43"/>
      <c r="U332" s="43"/>
      <c r="V332" s="45"/>
      <c r="W332" s="45"/>
      <c r="Y332" s="40"/>
    </row>
    <row r="333" spans="1:25" x14ac:dyDescent="0.25">
      <c r="A333" s="44"/>
      <c r="B333" s="631"/>
      <c r="C333" s="631"/>
      <c r="D333" s="631"/>
      <c r="E333" s="631"/>
      <c r="F333" s="631"/>
      <c r="G333" s="631"/>
      <c r="H333" s="239"/>
      <c r="I333" s="43"/>
      <c r="J333" s="43"/>
      <c r="K333" s="238"/>
      <c r="L333" s="43"/>
      <c r="M333" s="43"/>
      <c r="N333" s="43"/>
      <c r="O333" s="43"/>
      <c r="P333" s="43"/>
      <c r="Q333" s="43"/>
      <c r="R333" s="43"/>
      <c r="S333" s="43"/>
      <c r="T333" s="43"/>
      <c r="U333" s="43"/>
      <c r="V333" s="45"/>
      <c r="W333" s="45"/>
      <c r="Y333" s="40"/>
    </row>
    <row r="334" spans="1:25" x14ac:dyDescent="0.25">
      <c r="A334" s="44"/>
      <c r="B334" s="631"/>
      <c r="C334" s="631"/>
      <c r="D334" s="631"/>
      <c r="E334" s="631"/>
      <c r="F334" s="631"/>
      <c r="G334" s="631"/>
      <c r="H334" s="239"/>
      <c r="I334" s="43"/>
      <c r="J334" s="43"/>
      <c r="K334" s="238"/>
      <c r="L334" s="43"/>
      <c r="M334" s="43"/>
      <c r="N334" s="43"/>
      <c r="O334" s="43"/>
      <c r="P334" s="43"/>
      <c r="Q334" s="43"/>
      <c r="R334" s="43"/>
      <c r="S334" s="43"/>
      <c r="T334" s="43"/>
      <c r="U334" s="43"/>
      <c r="V334" s="45"/>
      <c r="W334" s="45"/>
      <c r="Y334" s="40"/>
    </row>
    <row r="335" spans="1:25" x14ac:dyDescent="0.25">
      <c r="A335" s="44"/>
      <c r="B335" s="631"/>
      <c r="C335" s="631"/>
      <c r="D335" s="631"/>
      <c r="E335" s="631"/>
      <c r="F335" s="631"/>
      <c r="G335" s="631"/>
      <c r="H335" s="239"/>
      <c r="I335" s="43"/>
      <c r="J335" s="43"/>
      <c r="K335" s="238"/>
      <c r="L335" s="43"/>
      <c r="M335" s="43"/>
      <c r="N335" s="43"/>
      <c r="O335" s="43"/>
      <c r="P335" s="43"/>
      <c r="Q335" s="43"/>
      <c r="R335" s="43"/>
      <c r="S335" s="43"/>
      <c r="T335" s="43"/>
      <c r="U335" s="43"/>
      <c r="V335" s="45"/>
      <c r="W335" s="45"/>
      <c r="Y335" s="40"/>
    </row>
    <row r="336" spans="1:25" x14ac:dyDescent="0.25">
      <c r="A336" s="44"/>
      <c r="B336" s="631"/>
      <c r="C336" s="631"/>
      <c r="D336" s="631"/>
      <c r="E336" s="631"/>
      <c r="F336" s="631"/>
      <c r="G336" s="631"/>
      <c r="H336" s="239"/>
      <c r="I336" s="43"/>
      <c r="J336" s="43"/>
      <c r="K336" s="238"/>
      <c r="L336" s="43"/>
      <c r="M336" s="43"/>
      <c r="N336" s="43"/>
      <c r="O336" s="43"/>
      <c r="P336" s="43"/>
      <c r="Q336" s="43"/>
      <c r="R336" s="43"/>
      <c r="S336" s="43"/>
      <c r="T336" s="43"/>
      <c r="U336" s="43"/>
      <c r="V336" s="45"/>
      <c r="W336" s="45"/>
      <c r="Y336" s="40"/>
    </row>
    <row r="337" spans="1:25" x14ac:dyDescent="0.25">
      <c r="A337" s="44"/>
      <c r="B337" s="631"/>
      <c r="C337" s="631"/>
      <c r="D337" s="631"/>
      <c r="E337" s="631"/>
      <c r="F337" s="631"/>
      <c r="G337" s="631"/>
      <c r="H337" s="239"/>
      <c r="I337" s="43"/>
      <c r="J337" s="43"/>
      <c r="K337" s="238"/>
      <c r="L337" s="43"/>
      <c r="M337" s="43"/>
      <c r="N337" s="43"/>
      <c r="O337" s="43"/>
      <c r="P337" s="43"/>
      <c r="Q337" s="43"/>
      <c r="R337" s="43"/>
      <c r="S337" s="43"/>
      <c r="T337" s="43"/>
      <c r="U337" s="43"/>
      <c r="V337" s="240"/>
      <c r="W337" s="240"/>
      <c r="Y337" s="240"/>
    </row>
    <row r="338" spans="1:25" x14ac:dyDescent="0.25">
      <c r="A338" s="44"/>
      <c r="B338" s="631"/>
      <c r="C338" s="631"/>
      <c r="D338" s="631"/>
      <c r="E338" s="631"/>
      <c r="F338" s="631"/>
      <c r="G338" s="631"/>
      <c r="H338" s="239"/>
      <c r="I338" s="43"/>
      <c r="J338" s="43"/>
      <c r="K338" s="238"/>
      <c r="L338" s="43"/>
      <c r="M338" s="43"/>
      <c r="N338" s="43"/>
      <c r="O338" s="43"/>
      <c r="P338" s="43"/>
      <c r="Q338" s="43"/>
      <c r="R338" s="43"/>
      <c r="S338" s="43"/>
      <c r="T338" s="43"/>
      <c r="U338" s="43"/>
      <c r="V338" s="240"/>
      <c r="W338" s="240"/>
      <c r="Y338" s="240"/>
    </row>
    <row r="339" spans="1:25" x14ac:dyDescent="0.25">
      <c r="A339" s="44"/>
      <c r="B339" s="631"/>
      <c r="C339" s="631"/>
      <c r="D339" s="631"/>
      <c r="E339" s="631"/>
      <c r="F339" s="631"/>
      <c r="G339" s="631"/>
      <c r="H339" s="239"/>
      <c r="I339" s="43"/>
      <c r="J339" s="43"/>
      <c r="K339" s="238"/>
      <c r="L339" s="43"/>
      <c r="M339" s="43"/>
      <c r="N339" s="43"/>
      <c r="O339" s="43"/>
      <c r="P339" s="43"/>
      <c r="Q339" s="43"/>
      <c r="R339" s="43"/>
      <c r="S339" s="43"/>
      <c r="T339" s="43"/>
      <c r="U339" s="43"/>
      <c r="V339" s="45"/>
      <c r="W339" s="45"/>
      <c r="Y339" s="40"/>
    </row>
    <row r="340" spans="1:25" x14ac:dyDescent="0.25">
      <c r="A340" s="44"/>
      <c r="B340" s="631"/>
      <c r="C340" s="631"/>
      <c r="D340" s="631"/>
      <c r="E340" s="631"/>
      <c r="F340" s="631"/>
      <c r="G340" s="631"/>
      <c r="H340" s="239"/>
      <c r="I340" s="43"/>
      <c r="J340" s="43"/>
      <c r="K340" s="238"/>
      <c r="L340" s="43"/>
      <c r="M340" s="43"/>
      <c r="N340" s="43"/>
      <c r="O340" s="43"/>
      <c r="P340" s="43"/>
      <c r="Q340" s="43"/>
      <c r="R340" s="43"/>
      <c r="S340" s="43"/>
      <c r="T340" s="43"/>
      <c r="U340" s="43"/>
      <c r="V340" s="240"/>
      <c r="W340" s="240"/>
      <c r="Y340" s="240"/>
    </row>
    <row r="341" spans="1:25" x14ac:dyDescent="0.25">
      <c r="A341" s="44"/>
      <c r="B341" s="631"/>
      <c r="C341" s="631"/>
      <c r="D341" s="631"/>
      <c r="E341" s="631"/>
      <c r="F341" s="631"/>
      <c r="G341" s="631"/>
      <c r="H341" s="239"/>
      <c r="I341" s="43"/>
      <c r="J341" s="43"/>
      <c r="K341" s="238"/>
      <c r="L341" s="43"/>
      <c r="M341" s="43"/>
      <c r="N341" s="43"/>
      <c r="O341" s="43"/>
      <c r="P341" s="43"/>
      <c r="Q341" s="43"/>
      <c r="R341" s="43"/>
      <c r="S341" s="43"/>
      <c r="T341" s="43"/>
      <c r="U341" s="43"/>
      <c r="V341" s="240"/>
      <c r="W341" s="240"/>
      <c r="Y341" s="240"/>
    </row>
    <row r="342" spans="1:25" x14ac:dyDescent="0.25">
      <c r="A342" s="44"/>
      <c r="B342" s="631"/>
      <c r="C342" s="631"/>
      <c r="D342" s="631"/>
      <c r="E342" s="631"/>
      <c r="F342" s="631"/>
      <c r="G342" s="631"/>
      <c r="H342" s="239"/>
      <c r="I342" s="43"/>
      <c r="J342" s="43"/>
      <c r="K342" s="238"/>
      <c r="L342" s="43"/>
      <c r="M342" s="43"/>
      <c r="N342" s="43"/>
      <c r="O342" s="43"/>
      <c r="P342" s="43"/>
      <c r="Q342" s="43"/>
      <c r="R342" s="43"/>
      <c r="S342" s="43"/>
      <c r="T342" s="43"/>
      <c r="U342" s="43"/>
      <c r="V342" s="240"/>
      <c r="W342" s="240"/>
      <c r="Y342" s="240"/>
    </row>
    <row r="343" spans="1:25" x14ac:dyDescent="0.25">
      <c r="A343" s="44"/>
      <c r="B343" s="631"/>
      <c r="C343" s="631"/>
      <c r="D343" s="631"/>
      <c r="E343" s="631"/>
      <c r="F343" s="631"/>
      <c r="G343" s="631"/>
      <c r="H343" s="239"/>
      <c r="I343" s="43"/>
      <c r="J343" s="43"/>
      <c r="K343" s="238"/>
      <c r="L343" s="43"/>
      <c r="M343" s="43"/>
      <c r="N343" s="43"/>
      <c r="O343" s="43"/>
      <c r="P343" s="43"/>
      <c r="Q343" s="43"/>
      <c r="R343" s="43"/>
      <c r="S343" s="43"/>
      <c r="T343" s="43"/>
      <c r="U343" s="43"/>
      <c r="V343" s="235"/>
      <c r="W343" s="235"/>
      <c r="Y343" s="235"/>
    </row>
    <row r="344" spans="1:25" x14ac:dyDescent="0.25">
      <c r="A344" s="44"/>
      <c r="B344" s="631"/>
      <c r="C344" s="631"/>
      <c r="D344" s="631"/>
      <c r="E344" s="631"/>
      <c r="F344" s="631"/>
      <c r="G344" s="631"/>
      <c r="H344" s="239"/>
      <c r="I344" s="43"/>
      <c r="J344" s="43"/>
      <c r="K344" s="238"/>
      <c r="L344" s="43"/>
      <c r="M344" s="43"/>
      <c r="N344" s="43"/>
      <c r="O344" s="43"/>
      <c r="P344" s="43"/>
      <c r="Q344" s="43"/>
      <c r="R344" s="43"/>
      <c r="S344" s="43"/>
      <c r="T344" s="43"/>
      <c r="U344" s="43"/>
      <c r="V344" s="240"/>
      <c r="W344" s="240"/>
      <c r="Y344" s="240"/>
    </row>
    <row r="345" spans="1:25" x14ac:dyDescent="0.25">
      <c r="A345" s="44"/>
      <c r="B345" s="631"/>
      <c r="C345" s="631"/>
      <c r="D345" s="631"/>
      <c r="E345" s="631"/>
      <c r="F345" s="631"/>
      <c r="G345" s="631"/>
      <c r="H345" s="239"/>
      <c r="I345" s="43"/>
      <c r="J345" s="43"/>
      <c r="K345" s="238"/>
      <c r="L345" s="43"/>
      <c r="M345" s="43"/>
      <c r="N345" s="43"/>
      <c r="O345" s="43"/>
      <c r="P345" s="43"/>
      <c r="Q345" s="43"/>
      <c r="R345" s="43"/>
      <c r="S345" s="43"/>
      <c r="T345" s="43"/>
      <c r="U345" s="43"/>
      <c r="V345" s="240"/>
      <c r="W345" s="240"/>
      <c r="Y345" s="240"/>
    </row>
    <row r="346" spans="1:25" x14ac:dyDescent="0.25">
      <c r="A346" s="44"/>
      <c r="B346" s="631"/>
      <c r="C346" s="631"/>
      <c r="D346" s="631"/>
      <c r="E346" s="631"/>
      <c r="F346" s="631"/>
      <c r="G346" s="631"/>
      <c r="H346" s="239"/>
      <c r="I346" s="43"/>
      <c r="J346" s="43"/>
      <c r="K346" s="238"/>
      <c r="L346" s="43"/>
      <c r="M346" s="43"/>
      <c r="N346" s="43"/>
      <c r="O346" s="43"/>
      <c r="P346" s="43"/>
      <c r="Q346" s="43"/>
      <c r="R346" s="43"/>
      <c r="S346" s="43"/>
      <c r="T346" s="43"/>
      <c r="U346" s="43"/>
      <c r="V346" s="240"/>
      <c r="W346" s="240"/>
      <c r="Y346" s="240"/>
    </row>
    <row r="347" spans="1:25" x14ac:dyDescent="0.25">
      <c r="A347" s="44"/>
      <c r="B347" s="631"/>
      <c r="C347" s="631"/>
      <c r="D347" s="631"/>
      <c r="E347" s="631"/>
      <c r="F347" s="631"/>
      <c r="G347" s="631"/>
      <c r="H347" s="239"/>
      <c r="I347" s="43"/>
      <c r="J347" s="43"/>
      <c r="K347" s="238"/>
      <c r="L347" s="43"/>
      <c r="M347" s="43"/>
      <c r="N347" s="43"/>
      <c r="O347" s="43"/>
      <c r="P347" s="43"/>
      <c r="Q347" s="43"/>
      <c r="R347" s="43"/>
      <c r="S347" s="43"/>
      <c r="T347" s="43"/>
      <c r="U347" s="43"/>
      <c r="V347" s="240"/>
      <c r="W347" s="240"/>
      <c r="Y347" s="240"/>
    </row>
    <row r="348" spans="1:25" x14ac:dyDescent="0.25">
      <c r="A348" s="44"/>
      <c r="B348" s="631"/>
      <c r="C348" s="631"/>
      <c r="D348" s="631"/>
      <c r="E348" s="631"/>
      <c r="F348" s="631"/>
      <c r="G348" s="631"/>
      <c r="H348" s="239"/>
      <c r="I348" s="43"/>
      <c r="J348" s="43"/>
      <c r="K348" s="238"/>
      <c r="L348" s="43"/>
      <c r="M348" s="43"/>
      <c r="N348" s="43"/>
      <c r="O348" s="43"/>
      <c r="P348" s="43"/>
      <c r="Q348" s="43"/>
      <c r="R348" s="43"/>
      <c r="S348" s="43"/>
      <c r="T348" s="43"/>
      <c r="U348" s="43"/>
      <c r="V348" s="240"/>
      <c r="W348" s="240"/>
      <c r="Y348" s="240"/>
    </row>
    <row r="349" spans="1:25" x14ac:dyDescent="0.25">
      <c r="A349" s="44"/>
      <c r="B349" s="631"/>
      <c r="C349" s="631"/>
      <c r="D349" s="631"/>
      <c r="E349" s="631"/>
      <c r="F349" s="631"/>
      <c r="G349" s="631"/>
      <c r="H349" s="239"/>
      <c r="I349" s="43"/>
      <c r="J349" s="43"/>
      <c r="K349" s="238"/>
      <c r="L349" s="43"/>
      <c r="M349" s="43"/>
      <c r="N349" s="43"/>
      <c r="O349" s="43"/>
      <c r="P349" s="43"/>
      <c r="Q349" s="43"/>
      <c r="R349" s="43"/>
      <c r="S349" s="43"/>
      <c r="T349" s="43"/>
      <c r="U349" s="43"/>
      <c r="V349" s="240"/>
      <c r="W349" s="240"/>
      <c r="Y349" s="240"/>
    </row>
    <row r="350" spans="1:25" x14ac:dyDescent="0.25">
      <c r="A350" s="44"/>
      <c r="B350" s="631"/>
      <c r="C350" s="631"/>
      <c r="D350" s="631"/>
      <c r="E350" s="631"/>
      <c r="F350" s="631"/>
      <c r="G350" s="631"/>
      <c r="H350" s="239"/>
      <c r="I350" s="43"/>
      <c r="J350" s="43"/>
      <c r="K350" s="238"/>
      <c r="L350" s="43"/>
      <c r="M350" s="43"/>
      <c r="N350" s="43"/>
      <c r="O350" s="43"/>
      <c r="P350" s="43"/>
      <c r="Q350" s="43"/>
      <c r="R350" s="43"/>
      <c r="S350" s="43"/>
      <c r="T350" s="43"/>
      <c r="U350" s="43"/>
      <c r="V350" s="240"/>
      <c r="W350" s="240"/>
      <c r="Y350" s="240"/>
    </row>
    <row r="351" spans="1:25" x14ac:dyDescent="0.25">
      <c r="A351" s="44"/>
      <c r="B351" s="631"/>
      <c r="C351" s="631"/>
      <c r="D351" s="631"/>
      <c r="E351" s="631"/>
      <c r="F351" s="631"/>
      <c r="G351" s="631"/>
      <c r="H351" s="239"/>
      <c r="I351" s="43"/>
      <c r="J351" s="43"/>
      <c r="K351" s="238"/>
      <c r="L351" s="43"/>
      <c r="M351" s="43"/>
      <c r="N351" s="43"/>
      <c r="O351" s="43"/>
      <c r="P351" s="43"/>
      <c r="Q351" s="43"/>
      <c r="R351" s="43"/>
      <c r="S351" s="43"/>
      <c r="T351" s="43"/>
      <c r="U351" s="43"/>
      <c r="V351" s="240"/>
      <c r="W351" s="240"/>
      <c r="Y351" s="240"/>
    </row>
    <row r="352" spans="1:25" x14ac:dyDescent="0.25">
      <c r="A352" s="44"/>
      <c r="B352" s="631"/>
      <c r="C352" s="631"/>
      <c r="D352" s="631"/>
      <c r="E352" s="631"/>
      <c r="F352" s="631"/>
      <c r="G352" s="631"/>
      <c r="H352" s="239"/>
      <c r="I352" s="43"/>
      <c r="J352" s="43"/>
      <c r="K352" s="238"/>
      <c r="L352" s="43"/>
      <c r="M352" s="43"/>
      <c r="N352" s="43"/>
      <c r="O352" s="43"/>
      <c r="P352" s="43"/>
      <c r="Q352" s="43"/>
      <c r="R352" s="43"/>
      <c r="S352" s="43"/>
      <c r="T352" s="43"/>
      <c r="U352" s="43"/>
      <c r="V352" s="240"/>
      <c r="W352" s="240"/>
      <c r="Y352" s="240"/>
    </row>
    <row r="353" spans="1:25" x14ac:dyDescent="0.25">
      <c r="A353" s="44"/>
      <c r="B353" s="631"/>
      <c r="C353" s="631"/>
      <c r="D353" s="631"/>
      <c r="E353" s="631"/>
      <c r="F353" s="631"/>
      <c r="G353" s="631"/>
      <c r="H353" s="239"/>
      <c r="I353" s="43"/>
      <c r="J353" s="43"/>
      <c r="K353" s="238"/>
      <c r="L353" s="43"/>
      <c r="M353" s="43"/>
      <c r="N353" s="43"/>
      <c r="O353" s="43"/>
      <c r="P353" s="43"/>
      <c r="Q353" s="43"/>
      <c r="R353" s="43"/>
      <c r="S353" s="43"/>
      <c r="T353" s="43"/>
      <c r="U353" s="43"/>
      <c r="V353" s="240"/>
      <c r="W353" s="240"/>
      <c r="Y353" s="240"/>
    </row>
    <row r="354" spans="1:25" x14ac:dyDescent="0.25">
      <c r="A354" s="44"/>
      <c r="B354" s="631"/>
      <c r="C354" s="631"/>
      <c r="D354" s="631"/>
      <c r="E354" s="631"/>
      <c r="F354" s="631"/>
      <c r="G354" s="631"/>
      <c r="H354" s="239"/>
      <c r="I354" s="43"/>
      <c r="J354" s="43"/>
      <c r="K354" s="238"/>
      <c r="L354" s="43"/>
      <c r="M354" s="43"/>
      <c r="N354" s="43"/>
      <c r="O354" s="43"/>
      <c r="P354" s="43"/>
      <c r="Q354" s="43"/>
      <c r="R354" s="43"/>
      <c r="S354" s="43"/>
      <c r="T354" s="43"/>
      <c r="U354" s="43"/>
      <c r="V354" s="240"/>
      <c r="W354" s="240"/>
      <c r="Y354" s="240"/>
    </row>
    <row r="355" spans="1:25" x14ac:dyDescent="0.25">
      <c r="A355" s="44"/>
      <c r="B355" s="631"/>
      <c r="C355" s="631"/>
      <c r="D355" s="631"/>
      <c r="E355" s="631"/>
      <c r="F355" s="631"/>
      <c r="G355" s="631"/>
      <c r="H355" s="239"/>
      <c r="I355" s="43"/>
      <c r="J355" s="43"/>
      <c r="K355" s="238"/>
      <c r="L355" s="43"/>
      <c r="M355" s="43"/>
      <c r="N355" s="43"/>
      <c r="O355" s="43"/>
      <c r="P355" s="43"/>
      <c r="Q355" s="43"/>
      <c r="R355" s="43"/>
      <c r="S355" s="43"/>
      <c r="T355" s="43"/>
      <c r="U355" s="43"/>
      <c r="V355" s="240"/>
      <c r="W355" s="240"/>
      <c r="Y355" s="240"/>
    </row>
    <row r="356" spans="1:25" x14ac:dyDescent="0.25">
      <c r="A356" s="44"/>
      <c r="B356" s="631"/>
      <c r="C356" s="631"/>
      <c r="D356" s="631"/>
      <c r="E356" s="631"/>
      <c r="F356" s="631"/>
      <c r="G356" s="631"/>
      <c r="H356" s="239"/>
      <c r="I356" s="43"/>
      <c r="J356" s="43"/>
      <c r="K356" s="238"/>
      <c r="L356" s="43"/>
      <c r="M356" s="43"/>
      <c r="N356" s="43"/>
      <c r="O356" s="43"/>
      <c r="P356" s="43"/>
      <c r="Q356" s="43"/>
      <c r="R356" s="43"/>
      <c r="S356" s="43"/>
      <c r="T356" s="43"/>
      <c r="U356" s="43"/>
      <c r="V356" s="240"/>
      <c r="W356" s="240"/>
      <c r="Y356" s="240"/>
    </row>
    <row r="357" spans="1:25" x14ac:dyDescent="0.25">
      <c r="A357" s="44"/>
      <c r="B357" s="631"/>
      <c r="C357" s="631"/>
      <c r="D357" s="631"/>
      <c r="E357" s="631"/>
      <c r="F357" s="631"/>
      <c r="G357" s="631"/>
      <c r="H357" s="239"/>
      <c r="I357" s="43"/>
      <c r="J357" s="43"/>
      <c r="K357" s="238"/>
      <c r="L357" s="43"/>
      <c r="M357" s="43"/>
      <c r="N357" s="43"/>
      <c r="O357" s="43"/>
      <c r="P357" s="43"/>
      <c r="Q357" s="43"/>
      <c r="R357" s="43"/>
      <c r="S357" s="43"/>
      <c r="T357" s="43"/>
      <c r="U357" s="43"/>
      <c r="V357" s="240"/>
      <c r="W357" s="240"/>
      <c r="Y357" s="240"/>
    </row>
    <row r="358" spans="1:25" x14ac:dyDescent="0.25">
      <c r="A358" s="44"/>
      <c r="B358" s="631"/>
      <c r="C358" s="631"/>
      <c r="D358" s="631"/>
      <c r="E358" s="631"/>
      <c r="F358" s="631"/>
      <c r="G358" s="631"/>
      <c r="H358" s="239"/>
      <c r="I358" s="43"/>
      <c r="J358" s="43"/>
      <c r="K358" s="238"/>
      <c r="L358" s="43"/>
      <c r="M358" s="43"/>
      <c r="N358" s="43"/>
      <c r="O358" s="43"/>
      <c r="P358" s="43"/>
      <c r="Q358" s="43"/>
      <c r="R358" s="43"/>
      <c r="S358" s="43"/>
      <c r="T358" s="43"/>
      <c r="U358" s="43"/>
      <c r="V358" s="45"/>
      <c r="W358" s="45"/>
      <c r="Y358" s="40"/>
    </row>
    <row r="359" spans="1:25" x14ac:dyDescent="0.25">
      <c r="A359" s="44"/>
      <c r="B359" s="631"/>
      <c r="C359" s="631"/>
      <c r="D359" s="631"/>
      <c r="E359" s="631"/>
      <c r="F359" s="631"/>
      <c r="G359" s="631"/>
      <c r="H359" s="239"/>
      <c r="I359" s="43"/>
      <c r="J359" s="43"/>
      <c r="K359" s="238"/>
      <c r="L359" s="43"/>
      <c r="M359" s="43"/>
      <c r="N359" s="43"/>
      <c r="O359" s="43"/>
      <c r="P359" s="43"/>
      <c r="Q359" s="43"/>
      <c r="R359" s="43"/>
      <c r="S359" s="43"/>
      <c r="T359" s="43"/>
      <c r="U359" s="43"/>
      <c r="V359" s="45"/>
      <c r="W359" s="45"/>
      <c r="Y359" s="40"/>
    </row>
    <row r="360" spans="1:25" x14ac:dyDescent="0.25">
      <c r="A360" s="44"/>
      <c r="B360" s="631"/>
      <c r="C360" s="631"/>
      <c r="D360" s="631"/>
      <c r="E360" s="631"/>
      <c r="F360" s="631"/>
      <c r="G360" s="631"/>
      <c r="H360" s="239"/>
      <c r="I360" s="43"/>
      <c r="J360" s="43"/>
      <c r="K360" s="238"/>
      <c r="L360" s="43"/>
      <c r="M360" s="43"/>
      <c r="N360" s="43"/>
      <c r="O360" s="43"/>
      <c r="P360" s="43"/>
      <c r="Q360" s="43"/>
      <c r="R360" s="43"/>
      <c r="S360" s="43"/>
      <c r="T360" s="43"/>
      <c r="U360" s="43"/>
      <c r="V360" s="40"/>
      <c r="W360" s="40"/>
      <c r="Y360" s="40"/>
    </row>
    <row r="361" spans="1:25" x14ac:dyDescent="0.25">
      <c r="A361" s="44"/>
      <c r="B361" s="631"/>
      <c r="C361" s="631"/>
      <c r="D361" s="631"/>
      <c r="E361" s="631"/>
      <c r="F361" s="631"/>
      <c r="G361" s="631"/>
      <c r="H361" s="239"/>
      <c r="I361" s="43"/>
      <c r="J361" s="43"/>
      <c r="K361" s="238"/>
      <c r="L361" s="43"/>
      <c r="M361" s="43"/>
      <c r="N361" s="43"/>
      <c r="O361" s="43"/>
      <c r="P361" s="43"/>
      <c r="Q361" s="43"/>
      <c r="R361" s="43"/>
      <c r="S361" s="43"/>
      <c r="T361" s="43"/>
      <c r="U361" s="43"/>
      <c r="V361" s="40"/>
      <c r="W361" s="40"/>
      <c r="Y361" s="40"/>
    </row>
    <row r="362" spans="1:25" x14ac:dyDescent="0.25">
      <c r="A362" s="44"/>
      <c r="B362" s="631"/>
      <c r="C362" s="631"/>
      <c r="D362" s="631"/>
      <c r="E362" s="631"/>
      <c r="F362" s="631"/>
      <c r="G362" s="631"/>
      <c r="H362" s="239"/>
      <c r="I362" s="43"/>
      <c r="J362" s="43"/>
      <c r="K362" s="238"/>
      <c r="L362" s="43"/>
      <c r="M362" s="43"/>
      <c r="N362" s="43"/>
      <c r="O362" s="43"/>
      <c r="P362" s="43"/>
      <c r="Q362" s="43"/>
      <c r="R362" s="43"/>
      <c r="S362" s="43"/>
      <c r="T362" s="43"/>
      <c r="U362" s="43"/>
      <c r="V362" s="40"/>
      <c r="W362" s="40"/>
      <c r="Y362" s="40"/>
    </row>
    <row r="363" spans="1:25" x14ac:dyDescent="0.25">
      <c r="A363" s="44"/>
      <c r="B363" s="631"/>
      <c r="C363" s="631"/>
      <c r="D363" s="631"/>
      <c r="E363" s="631"/>
      <c r="F363" s="631"/>
      <c r="G363" s="631"/>
      <c r="H363" s="239"/>
      <c r="I363" s="43"/>
      <c r="J363" s="43"/>
      <c r="K363" s="238"/>
      <c r="L363" s="43"/>
      <c r="M363" s="43"/>
      <c r="N363" s="43"/>
      <c r="O363" s="43"/>
      <c r="P363" s="43"/>
      <c r="Q363" s="43"/>
      <c r="R363" s="43"/>
      <c r="S363" s="43"/>
      <c r="T363" s="43"/>
      <c r="U363" s="43"/>
      <c r="V363" s="240"/>
      <c r="W363" s="240"/>
      <c r="Y363" s="240"/>
    </row>
    <row r="364" spans="1:25" x14ac:dyDescent="0.25">
      <c r="A364" s="44"/>
      <c r="B364" s="631"/>
      <c r="C364" s="631"/>
      <c r="D364" s="631"/>
      <c r="E364" s="631"/>
      <c r="F364" s="631"/>
      <c r="G364" s="631"/>
      <c r="H364" s="239"/>
      <c r="I364" s="43"/>
      <c r="J364" s="43"/>
      <c r="K364" s="238"/>
      <c r="L364" s="43"/>
      <c r="M364" s="43"/>
      <c r="N364" s="43"/>
      <c r="O364" s="43"/>
      <c r="P364" s="43"/>
      <c r="Q364" s="43"/>
      <c r="R364" s="43"/>
      <c r="S364" s="43"/>
      <c r="T364" s="43"/>
      <c r="U364" s="43"/>
      <c r="V364" s="240"/>
      <c r="W364" s="240"/>
      <c r="Y364" s="240"/>
    </row>
    <row r="365" spans="1:25" x14ac:dyDescent="0.25">
      <c r="A365" s="44"/>
      <c r="B365" s="631"/>
      <c r="C365" s="631"/>
      <c r="D365" s="631"/>
      <c r="E365" s="631"/>
      <c r="F365" s="631"/>
      <c r="G365" s="631"/>
      <c r="H365" s="239"/>
      <c r="I365" s="43"/>
      <c r="J365" s="43"/>
      <c r="K365" s="238"/>
      <c r="L365" s="43"/>
      <c r="M365" s="43"/>
      <c r="N365" s="43"/>
      <c r="O365" s="43"/>
      <c r="P365" s="43"/>
      <c r="Q365" s="43"/>
      <c r="R365" s="43"/>
      <c r="S365" s="43"/>
      <c r="T365" s="43"/>
      <c r="U365" s="43"/>
      <c r="V365" s="240"/>
      <c r="W365" s="240"/>
      <c r="Y365" s="240"/>
    </row>
    <row r="366" spans="1:25" x14ac:dyDescent="0.25">
      <c r="A366" s="44"/>
      <c r="B366" s="631"/>
      <c r="C366" s="631"/>
      <c r="D366" s="631"/>
      <c r="E366" s="631"/>
      <c r="F366" s="631"/>
      <c r="G366" s="631"/>
      <c r="H366" s="239"/>
      <c r="I366" s="43"/>
      <c r="J366" s="43"/>
      <c r="K366" s="238"/>
      <c r="L366" s="43"/>
      <c r="M366" s="43"/>
      <c r="N366" s="43"/>
      <c r="O366" s="43"/>
      <c r="P366" s="43"/>
      <c r="Q366" s="43"/>
      <c r="R366" s="43"/>
      <c r="S366" s="43"/>
      <c r="T366" s="43"/>
      <c r="U366" s="43"/>
      <c r="V366" s="240"/>
      <c r="W366" s="240"/>
      <c r="Y366" s="240"/>
    </row>
    <row r="367" spans="1:25" x14ac:dyDescent="0.25">
      <c r="A367" s="44"/>
      <c r="B367" s="631"/>
      <c r="C367" s="631"/>
      <c r="D367" s="631"/>
      <c r="E367" s="631"/>
      <c r="F367" s="631"/>
      <c r="G367" s="631"/>
      <c r="H367" s="239"/>
      <c r="I367" s="43"/>
      <c r="J367" s="43"/>
      <c r="K367" s="238"/>
      <c r="L367" s="43"/>
      <c r="M367" s="43"/>
      <c r="N367" s="43"/>
      <c r="O367" s="43"/>
      <c r="P367" s="43"/>
      <c r="Q367" s="43"/>
      <c r="R367" s="43"/>
      <c r="S367" s="43"/>
      <c r="T367" s="43"/>
      <c r="U367" s="43"/>
      <c r="V367" s="240"/>
      <c r="W367" s="240"/>
      <c r="Y367" s="240"/>
    </row>
    <row r="368" spans="1:25" x14ac:dyDescent="0.25">
      <c r="A368" s="44"/>
      <c r="B368" s="631"/>
      <c r="C368" s="631"/>
      <c r="D368" s="631"/>
      <c r="E368" s="631"/>
      <c r="F368" s="631"/>
      <c r="G368" s="631"/>
      <c r="H368" s="239"/>
      <c r="I368" s="43"/>
      <c r="J368" s="43"/>
      <c r="K368" s="238"/>
      <c r="L368" s="43"/>
      <c r="M368" s="43"/>
      <c r="N368" s="43"/>
      <c r="O368" s="43"/>
      <c r="P368" s="43"/>
      <c r="Q368" s="43"/>
      <c r="R368" s="43"/>
      <c r="S368" s="43"/>
      <c r="T368" s="43"/>
      <c r="U368" s="43"/>
      <c r="V368" s="240"/>
      <c r="W368" s="240"/>
      <c r="Y368" s="240"/>
    </row>
    <row r="369" spans="1:25" x14ac:dyDescent="0.25">
      <c r="A369" s="44"/>
      <c r="B369" s="631"/>
      <c r="C369" s="631"/>
      <c r="D369" s="631"/>
      <c r="E369" s="631"/>
      <c r="F369" s="631"/>
      <c r="G369" s="631"/>
      <c r="H369" s="239"/>
      <c r="I369" s="43"/>
      <c r="J369" s="43"/>
      <c r="K369" s="238"/>
      <c r="L369" s="43"/>
      <c r="M369" s="43"/>
      <c r="N369" s="43"/>
      <c r="O369" s="43"/>
      <c r="P369" s="43"/>
      <c r="Q369" s="43"/>
      <c r="R369" s="43"/>
      <c r="S369" s="43"/>
      <c r="T369" s="43"/>
      <c r="U369" s="43"/>
      <c r="V369" s="240"/>
      <c r="W369" s="240"/>
      <c r="Y369" s="240"/>
    </row>
    <row r="370" spans="1:25" x14ac:dyDescent="0.25">
      <c r="A370" s="44"/>
      <c r="B370" s="631"/>
      <c r="C370" s="631"/>
      <c r="D370" s="631"/>
      <c r="E370" s="631"/>
      <c r="F370" s="631"/>
      <c r="G370" s="631"/>
      <c r="H370" s="239"/>
      <c r="I370" s="43"/>
      <c r="J370" s="43"/>
      <c r="K370" s="238"/>
      <c r="L370" s="43"/>
      <c r="M370" s="43"/>
      <c r="N370" s="43"/>
      <c r="O370" s="43"/>
      <c r="P370" s="43"/>
      <c r="Q370" s="43"/>
      <c r="R370" s="43"/>
      <c r="S370" s="43"/>
      <c r="T370" s="43"/>
      <c r="U370" s="43"/>
      <c r="V370" s="45"/>
      <c r="W370" s="45"/>
      <c r="Y370" s="40"/>
    </row>
    <row r="371" spans="1:25" x14ac:dyDescent="0.25">
      <c r="A371" s="44"/>
      <c r="B371" s="631"/>
      <c r="C371" s="631"/>
      <c r="D371" s="631"/>
      <c r="E371" s="631"/>
      <c r="F371" s="631"/>
      <c r="G371" s="631"/>
      <c r="H371" s="239"/>
      <c r="I371" s="43"/>
      <c r="J371" s="43"/>
      <c r="K371" s="238"/>
      <c r="L371" s="43"/>
      <c r="M371" s="43"/>
      <c r="N371" s="43"/>
      <c r="O371" s="43"/>
      <c r="P371" s="43"/>
      <c r="Q371" s="43"/>
      <c r="R371" s="43"/>
      <c r="S371" s="43"/>
      <c r="T371" s="43"/>
      <c r="U371" s="43"/>
      <c r="V371" s="45"/>
      <c r="W371" s="45"/>
      <c r="Y371" s="40"/>
    </row>
    <row r="372" spans="1:25" x14ac:dyDescent="0.25">
      <c r="A372" s="44"/>
      <c r="B372" s="631"/>
      <c r="C372" s="631"/>
      <c r="D372" s="631"/>
      <c r="E372" s="631"/>
      <c r="F372" s="631"/>
      <c r="G372" s="631"/>
      <c r="H372" s="239"/>
      <c r="I372" s="43"/>
      <c r="J372" s="43"/>
      <c r="K372" s="238"/>
      <c r="L372" s="43"/>
      <c r="M372" s="43"/>
      <c r="N372" s="43"/>
      <c r="O372" s="43"/>
      <c r="P372" s="43"/>
      <c r="Q372" s="43"/>
      <c r="R372" s="43"/>
      <c r="S372" s="43"/>
      <c r="T372" s="43"/>
      <c r="U372" s="43"/>
      <c r="V372" s="240"/>
      <c r="W372" s="240"/>
      <c r="Y372" s="240"/>
    </row>
    <row r="373" spans="1:25" x14ac:dyDescent="0.25">
      <c r="A373" s="44"/>
      <c r="B373" s="631"/>
      <c r="C373" s="631"/>
      <c r="D373" s="631"/>
      <c r="E373" s="631"/>
      <c r="F373" s="631"/>
      <c r="G373" s="631"/>
      <c r="H373" s="239"/>
      <c r="I373" s="43"/>
      <c r="J373" s="43"/>
      <c r="K373" s="238"/>
      <c r="L373" s="43"/>
      <c r="M373" s="43"/>
      <c r="N373" s="43"/>
      <c r="O373" s="43"/>
      <c r="P373" s="43"/>
      <c r="Q373" s="43"/>
      <c r="R373" s="43"/>
      <c r="S373" s="43"/>
      <c r="T373" s="43"/>
      <c r="U373" s="43"/>
      <c r="V373" s="45"/>
      <c r="W373" s="45"/>
      <c r="Y373" s="40"/>
    </row>
    <row r="374" spans="1:25" x14ac:dyDescent="0.25">
      <c r="A374" s="44"/>
      <c r="B374" s="631"/>
      <c r="C374" s="631"/>
      <c r="D374" s="631"/>
      <c r="E374" s="631"/>
      <c r="F374" s="631"/>
      <c r="G374" s="631"/>
      <c r="H374" s="239"/>
      <c r="I374" s="43"/>
      <c r="J374" s="43"/>
      <c r="K374" s="238"/>
      <c r="L374" s="43"/>
      <c r="M374" s="43"/>
      <c r="N374" s="43"/>
      <c r="O374" s="43"/>
      <c r="P374" s="43"/>
      <c r="Q374" s="43"/>
      <c r="R374" s="43"/>
      <c r="S374" s="43"/>
      <c r="T374" s="43"/>
      <c r="U374" s="43"/>
      <c r="V374" s="45"/>
      <c r="W374" s="45"/>
      <c r="Y374" s="40"/>
    </row>
    <row r="375" spans="1:25" x14ac:dyDescent="0.25">
      <c r="A375" s="44"/>
      <c r="B375" s="631"/>
      <c r="C375" s="631"/>
      <c r="D375" s="631"/>
      <c r="E375" s="631"/>
      <c r="F375" s="631"/>
      <c r="G375" s="631"/>
      <c r="H375" s="239"/>
      <c r="I375" s="43"/>
      <c r="J375" s="43"/>
      <c r="K375" s="238"/>
      <c r="L375" s="43"/>
      <c r="M375" s="43"/>
      <c r="N375" s="43"/>
      <c r="O375" s="43"/>
      <c r="P375" s="43"/>
      <c r="Q375" s="43"/>
      <c r="R375" s="43"/>
      <c r="S375" s="43"/>
      <c r="T375" s="43"/>
      <c r="U375" s="43"/>
      <c r="V375" s="45"/>
      <c r="W375" s="45"/>
      <c r="Y375" s="40"/>
    </row>
    <row r="376" spans="1:25" x14ac:dyDescent="0.25">
      <c r="A376" s="44"/>
      <c r="B376" s="631"/>
      <c r="C376" s="631"/>
      <c r="D376" s="631"/>
      <c r="E376" s="631"/>
      <c r="F376" s="631"/>
      <c r="G376" s="631"/>
      <c r="H376" s="239"/>
      <c r="I376" s="43"/>
      <c r="J376" s="43"/>
      <c r="K376" s="238"/>
      <c r="L376" s="43"/>
      <c r="M376" s="43"/>
      <c r="N376" s="43"/>
      <c r="O376" s="43"/>
      <c r="P376" s="43"/>
      <c r="Q376" s="43"/>
      <c r="R376" s="43"/>
      <c r="S376" s="43"/>
      <c r="T376" s="43"/>
      <c r="U376" s="43"/>
      <c r="V376" s="45"/>
      <c r="W376" s="45"/>
      <c r="Y376" s="40"/>
    </row>
    <row r="377" spans="1:25" x14ac:dyDescent="0.25">
      <c r="A377" s="44"/>
      <c r="B377" s="631"/>
      <c r="C377" s="631"/>
      <c r="D377" s="631"/>
      <c r="E377" s="631"/>
      <c r="F377" s="631"/>
      <c r="G377" s="631"/>
      <c r="H377" s="239"/>
      <c r="I377" s="43"/>
      <c r="J377" s="43"/>
      <c r="K377" s="238"/>
      <c r="L377" s="43"/>
      <c r="M377" s="43"/>
      <c r="N377" s="43"/>
      <c r="O377" s="43"/>
      <c r="P377" s="43"/>
      <c r="Q377" s="43"/>
      <c r="R377" s="43"/>
      <c r="S377" s="43"/>
      <c r="T377" s="43"/>
      <c r="U377" s="43"/>
      <c r="V377" s="240"/>
      <c r="W377" s="240"/>
      <c r="Y377" s="240"/>
    </row>
    <row r="378" spans="1:25" x14ac:dyDescent="0.25">
      <c r="A378" s="44"/>
      <c r="B378" s="631"/>
      <c r="C378" s="631"/>
      <c r="D378" s="631"/>
      <c r="E378" s="631"/>
      <c r="F378" s="631"/>
      <c r="G378" s="631"/>
      <c r="H378" s="239"/>
      <c r="I378" s="43"/>
      <c r="J378" s="43"/>
      <c r="K378" s="238"/>
      <c r="L378" s="43"/>
      <c r="M378" s="43"/>
      <c r="N378" s="43"/>
      <c r="O378" s="43"/>
      <c r="P378" s="43"/>
      <c r="Q378" s="43"/>
      <c r="R378" s="43"/>
      <c r="S378" s="43"/>
      <c r="T378" s="43"/>
      <c r="U378" s="43"/>
      <c r="V378" s="45"/>
      <c r="W378" s="45"/>
      <c r="Y378" s="40"/>
    </row>
    <row r="379" spans="1:25" x14ac:dyDescent="0.25">
      <c r="A379" s="44"/>
      <c r="B379" s="631"/>
      <c r="C379" s="631"/>
      <c r="D379" s="631"/>
      <c r="E379" s="631"/>
      <c r="F379" s="631"/>
      <c r="G379" s="631"/>
      <c r="H379" s="239"/>
      <c r="I379" s="43"/>
      <c r="J379" s="43"/>
      <c r="K379" s="238"/>
      <c r="L379" s="43"/>
      <c r="M379" s="43"/>
      <c r="N379" s="43"/>
      <c r="O379" s="43"/>
      <c r="P379" s="43"/>
      <c r="Q379" s="43"/>
      <c r="R379" s="43"/>
      <c r="S379" s="43"/>
      <c r="T379" s="43"/>
      <c r="U379" s="43"/>
      <c r="V379" s="240"/>
      <c r="W379" s="240"/>
      <c r="Y379" s="240"/>
    </row>
    <row r="380" spans="1:25" x14ac:dyDescent="0.25">
      <c r="A380" s="44"/>
      <c r="B380" s="631"/>
      <c r="C380" s="631"/>
      <c r="D380" s="631"/>
      <c r="E380" s="631"/>
      <c r="F380" s="631"/>
      <c r="G380" s="631"/>
      <c r="H380" s="239"/>
      <c r="I380" s="43"/>
      <c r="J380" s="43"/>
      <c r="K380" s="238"/>
      <c r="L380" s="43"/>
      <c r="M380" s="43"/>
      <c r="N380" s="43"/>
      <c r="O380" s="43"/>
      <c r="P380" s="43"/>
      <c r="Q380" s="43"/>
      <c r="R380" s="43"/>
      <c r="S380" s="43"/>
      <c r="T380" s="43"/>
      <c r="U380" s="43"/>
      <c r="V380" s="240"/>
      <c r="W380" s="240"/>
      <c r="Y380" s="240"/>
    </row>
    <row r="381" spans="1:25" x14ac:dyDescent="0.25">
      <c r="A381" s="44"/>
      <c r="B381" s="631"/>
      <c r="C381" s="631"/>
      <c r="D381" s="631"/>
      <c r="E381" s="631"/>
      <c r="F381" s="631"/>
      <c r="G381" s="631"/>
      <c r="H381" s="239"/>
      <c r="I381" s="43"/>
      <c r="J381" s="43"/>
      <c r="K381" s="238"/>
      <c r="L381" s="43"/>
      <c r="M381" s="43"/>
      <c r="N381" s="43"/>
      <c r="O381" s="43"/>
      <c r="P381" s="43"/>
      <c r="Q381" s="43"/>
      <c r="R381" s="43"/>
      <c r="S381" s="43"/>
      <c r="T381" s="43"/>
      <c r="U381" s="43"/>
      <c r="V381" s="240"/>
      <c r="W381" s="240"/>
      <c r="Y381" s="240"/>
    </row>
    <row r="382" spans="1:25" x14ac:dyDescent="0.25">
      <c r="A382" s="44"/>
      <c r="B382" s="631"/>
      <c r="C382" s="291"/>
      <c r="D382" s="631"/>
      <c r="E382" s="631"/>
      <c r="F382" s="631"/>
      <c r="G382" s="631"/>
      <c r="H382" s="239"/>
      <c r="I382" s="43"/>
      <c r="J382" s="43"/>
      <c r="K382" s="238"/>
      <c r="L382" s="43"/>
      <c r="M382" s="43"/>
      <c r="N382" s="43"/>
      <c r="O382" s="43"/>
      <c r="P382" s="43"/>
      <c r="Q382" s="43"/>
      <c r="R382" s="43"/>
      <c r="S382" s="43"/>
      <c r="T382" s="43"/>
      <c r="U382" s="43"/>
      <c r="V382" s="45"/>
      <c r="W382" s="45"/>
      <c r="Y382" s="40"/>
    </row>
    <row r="383" spans="1:25" x14ac:dyDescent="0.25">
      <c r="A383" s="44"/>
      <c r="B383" s="631"/>
      <c r="C383" s="291"/>
      <c r="D383" s="631"/>
      <c r="E383" s="631"/>
      <c r="F383" s="631"/>
      <c r="G383" s="631"/>
      <c r="H383" s="239"/>
      <c r="I383" s="43"/>
      <c r="J383" s="43"/>
      <c r="K383" s="238"/>
      <c r="L383" s="43"/>
      <c r="M383" s="43"/>
      <c r="N383" s="43"/>
      <c r="O383" s="43"/>
      <c r="P383" s="43"/>
      <c r="Q383" s="43"/>
      <c r="R383" s="43"/>
      <c r="S383" s="43"/>
      <c r="T383" s="43"/>
      <c r="U383" s="43"/>
      <c r="V383" s="45"/>
      <c r="W383" s="45"/>
      <c r="Y383" s="40"/>
    </row>
    <row r="384" spans="1:25" x14ac:dyDescent="0.25">
      <c r="A384" s="44"/>
      <c r="B384" s="631"/>
      <c r="C384" s="631"/>
      <c r="D384" s="631"/>
      <c r="E384" s="631"/>
      <c r="F384" s="631"/>
      <c r="G384" s="631"/>
      <c r="H384" s="239"/>
      <c r="I384" s="43"/>
      <c r="J384" s="43"/>
      <c r="K384" s="238"/>
      <c r="L384" s="43"/>
      <c r="M384" s="43"/>
      <c r="N384" s="43"/>
      <c r="O384" s="43"/>
      <c r="P384" s="43"/>
      <c r="Q384" s="43"/>
      <c r="R384" s="43"/>
      <c r="S384" s="43"/>
      <c r="T384" s="43"/>
      <c r="U384" s="43"/>
      <c r="V384" s="45"/>
      <c r="W384" s="45"/>
      <c r="Y384" s="40"/>
    </row>
    <row r="385" spans="1:25" x14ac:dyDescent="0.25">
      <c r="A385" s="44"/>
      <c r="B385" s="631"/>
      <c r="C385" s="631"/>
      <c r="D385" s="631"/>
      <c r="E385" s="631"/>
      <c r="F385" s="631"/>
      <c r="G385" s="631"/>
      <c r="H385" s="239"/>
      <c r="I385" s="43"/>
      <c r="J385" s="43"/>
      <c r="K385" s="238"/>
      <c r="L385" s="43"/>
      <c r="M385" s="43"/>
      <c r="N385" s="43"/>
      <c r="O385" s="43"/>
      <c r="P385" s="43"/>
      <c r="Q385" s="43"/>
      <c r="R385" s="43"/>
      <c r="S385" s="43"/>
      <c r="T385" s="43"/>
      <c r="U385" s="43"/>
      <c r="V385" s="45"/>
      <c r="W385" s="45"/>
      <c r="Y385" s="40"/>
    </row>
    <row r="386" spans="1:25" x14ac:dyDescent="0.25">
      <c r="A386" s="44"/>
      <c r="B386" s="631"/>
      <c r="C386" s="631"/>
      <c r="D386" s="631"/>
      <c r="E386" s="631"/>
      <c r="F386" s="631"/>
      <c r="G386" s="631"/>
      <c r="H386" s="239"/>
      <c r="I386" s="43"/>
      <c r="J386" s="43"/>
      <c r="K386" s="238"/>
      <c r="L386" s="43"/>
      <c r="M386" s="43"/>
      <c r="N386" s="43"/>
      <c r="O386" s="43"/>
      <c r="P386" s="43"/>
      <c r="Q386" s="43"/>
      <c r="R386" s="43"/>
      <c r="S386" s="43"/>
      <c r="T386" s="43"/>
      <c r="U386" s="43"/>
      <c r="V386" s="240"/>
      <c r="W386" s="240"/>
      <c r="Y386" s="240"/>
    </row>
    <row r="387" spans="1:25" x14ac:dyDescent="0.25">
      <c r="A387" s="44"/>
      <c r="B387" s="631"/>
      <c r="C387" s="631"/>
      <c r="D387" s="631"/>
      <c r="E387" s="631"/>
      <c r="F387" s="631"/>
      <c r="G387" s="631"/>
      <c r="H387" s="239"/>
      <c r="I387" s="43"/>
      <c r="J387" s="43"/>
      <c r="K387" s="238"/>
      <c r="L387" s="43"/>
      <c r="M387" s="43"/>
      <c r="N387" s="43"/>
      <c r="O387" s="43"/>
      <c r="P387" s="43"/>
      <c r="Q387" s="43"/>
      <c r="R387" s="43"/>
      <c r="S387" s="43"/>
      <c r="T387" s="43"/>
      <c r="U387" s="43"/>
      <c r="V387" s="240"/>
      <c r="W387" s="240"/>
      <c r="Y387" s="240"/>
    </row>
    <row r="388" spans="1:25" x14ac:dyDescent="0.25">
      <c r="A388" s="44"/>
      <c r="B388" s="631"/>
      <c r="C388" s="631"/>
      <c r="D388" s="631"/>
      <c r="E388" s="631"/>
      <c r="F388" s="631"/>
      <c r="G388" s="631"/>
      <c r="H388" s="239"/>
      <c r="I388" s="43"/>
      <c r="J388" s="43"/>
      <c r="K388" s="238"/>
      <c r="L388" s="43"/>
      <c r="M388" s="43"/>
      <c r="N388" s="43"/>
      <c r="O388" s="43"/>
      <c r="P388" s="43"/>
      <c r="Q388" s="43"/>
      <c r="R388" s="43"/>
      <c r="S388" s="43"/>
      <c r="T388" s="43"/>
      <c r="U388" s="43"/>
      <c r="V388" s="240"/>
      <c r="W388" s="240"/>
      <c r="Y388" s="240"/>
    </row>
    <row r="389" spans="1:25" x14ac:dyDescent="0.25">
      <c r="A389" s="44"/>
      <c r="B389" s="631"/>
      <c r="C389" s="631"/>
      <c r="D389" s="631"/>
      <c r="E389" s="631"/>
      <c r="F389" s="631"/>
      <c r="G389" s="631"/>
      <c r="H389" s="239"/>
      <c r="I389" s="43"/>
      <c r="J389" s="43"/>
      <c r="K389" s="238"/>
      <c r="L389" s="43"/>
      <c r="M389" s="43"/>
      <c r="N389" s="43"/>
      <c r="O389" s="43"/>
      <c r="P389" s="43"/>
      <c r="Q389" s="43"/>
      <c r="R389" s="43"/>
      <c r="S389" s="43"/>
      <c r="T389" s="43"/>
      <c r="U389" s="43"/>
      <c r="V389" s="240"/>
      <c r="W389" s="240"/>
      <c r="Y389" s="240"/>
    </row>
    <row r="390" spans="1:25" x14ac:dyDescent="0.25">
      <c r="A390" s="44"/>
      <c r="B390" s="631"/>
      <c r="C390" s="631"/>
      <c r="D390" s="631"/>
      <c r="E390" s="631"/>
      <c r="F390" s="631"/>
      <c r="G390" s="631"/>
      <c r="H390" s="239"/>
      <c r="I390" s="43"/>
      <c r="J390" s="43"/>
      <c r="K390" s="238"/>
      <c r="L390" s="43"/>
      <c r="M390" s="43"/>
      <c r="N390" s="43"/>
      <c r="O390" s="43"/>
      <c r="P390" s="43"/>
      <c r="Q390" s="43"/>
      <c r="R390" s="43"/>
      <c r="S390" s="43"/>
      <c r="T390" s="43"/>
      <c r="U390" s="43"/>
      <c r="V390" s="240"/>
      <c r="W390" s="240"/>
      <c r="Y390" s="240"/>
    </row>
    <row r="391" spans="1:25" x14ac:dyDescent="0.25">
      <c r="A391" s="44"/>
      <c r="B391" s="631"/>
      <c r="C391" s="631"/>
      <c r="D391" s="631"/>
      <c r="E391" s="631"/>
      <c r="F391" s="631"/>
      <c r="G391" s="631"/>
      <c r="H391" s="239"/>
      <c r="I391" s="43"/>
      <c r="J391" s="43"/>
      <c r="K391" s="238"/>
      <c r="L391" s="43"/>
      <c r="M391" s="43"/>
      <c r="N391" s="43"/>
      <c r="O391" s="43"/>
      <c r="P391" s="43"/>
      <c r="Q391" s="43"/>
      <c r="R391" s="43"/>
      <c r="S391" s="43"/>
      <c r="T391" s="43"/>
      <c r="U391" s="43"/>
      <c r="V391" s="45"/>
      <c r="W391" s="45"/>
      <c r="Y391" s="40"/>
    </row>
    <row r="392" spans="1:25" x14ac:dyDescent="0.25">
      <c r="A392" s="44"/>
      <c r="B392" s="631"/>
      <c r="C392" s="631"/>
      <c r="D392" s="631"/>
      <c r="E392" s="631"/>
      <c r="F392" s="631"/>
      <c r="G392" s="631"/>
      <c r="H392" s="239"/>
      <c r="I392" s="43"/>
      <c r="J392" s="43"/>
      <c r="K392" s="238"/>
      <c r="L392" s="43"/>
      <c r="M392" s="43"/>
      <c r="N392" s="43"/>
      <c r="O392" s="43"/>
      <c r="P392" s="43"/>
      <c r="Q392" s="43"/>
      <c r="R392" s="43"/>
      <c r="S392" s="43"/>
      <c r="T392" s="43"/>
      <c r="U392" s="43"/>
      <c r="V392" s="45"/>
      <c r="W392" s="45"/>
      <c r="Y392" s="40"/>
    </row>
    <row r="393" spans="1:25" x14ac:dyDescent="0.25">
      <c r="A393" s="44"/>
      <c r="B393" s="631"/>
      <c r="C393" s="631"/>
      <c r="D393" s="631"/>
      <c r="E393" s="631"/>
      <c r="F393" s="631"/>
      <c r="G393" s="631"/>
      <c r="H393" s="239"/>
      <c r="I393" s="43"/>
      <c r="J393" s="43"/>
      <c r="K393" s="238"/>
      <c r="L393" s="43"/>
      <c r="M393" s="43"/>
      <c r="N393" s="43"/>
      <c r="O393" s="43"/>
      <c r="P393" s="43"/>
      <c r="Q393" s="43"/>
      <c r="R393" s="43"/>
      <c r="S393" s="43"/>
      <c r="T393" s="43"/>
      <c r="U393" s="43"/>
      <c r="V393" s="45"/>
      <c r="W393" s="45"/>
      <c r="Y393" s="40"/>
    </row>
    <row r="394" spans="1:25" x14ac:dyDescent="0.25">
      <c r="A394" s="44"/>
      <c r="B394" s="631"/>
      <c r="C394" s="631"/>
      <c r="D394" s="631"/>
      <c r="E394" s="631"/>
      <c r="F394" s="631"/>
      <c r="G394" s="631"/>
      <c r="H394" s="239"/>
      <c r="I394" s="43"/>
      <c r="J394" s="43"/>
      <c r="K394" s="238"/>
      <c r="L394" s="43"/>
      <c r="M394" s="43"/>
      <c r="N394" s="43"/>
      <c r="O394" s="43"/>
      <c r="P394" s="43"/>
      <c r="Q394" s="43"/>
      <c r="R394" s="43"/>
      <c r="S394" s="43"/>
      <c r="T394" s="43"/>
      <c r="U394" s="43"/>
      <c r="V394" s="45"/>
      <c r="W394" s="45"/>
      <c r="Y394" s="40"/>
    </row>
    <row r="395" spans="1:25" x14ac:dyDescent="0.25">
      <c r="A395" s="44"/>
      <c r="B395" s="631"/>
      <c r="C395" s="631"/>
      <c r="D395" s="631"/>
      <c r="E395" s="631"/>
      <c r="F395" s="631"/>
      <c r="G395" s="631"/>
      <c r="H395" s="239"/>
      <c r="I395" s="43"/>
      <c r="J395" s="43"/>
      <c r="K395" s="238"/>
      <c r="L395" s="43"/>
      <c r="M395" s="43"/>
      <c r="N395" s="43"/>
      <c r="O395" s="43"/>
      <c r="P395" s="43"/>
      <c r="Q395" s="43"/>
      <c r="R395" s="43"/>
      <c r="S395" s="43"/>
      <c r="T395" s="43"/>
      <c r="U395" s="43"/>
      <c r="V395" s="45"/>
      <c r="W395" s="45"/>
      <c r="Y395" s="40"/>
    </row>
    <row r="396" spans="1:25" x14ac:dyDescent="0.25">
      <c r="A396" s="44"/>
      <c r="B396" s="631"/>
      <c r="C396" s="631"/>
      <c r="D396" s="631"/>
      <c r="E396" s="631"/>
      <c r="F396" s="631"/>
      <c r="G396" s="631"/>
      <c r="H396" s="239"/>
      <c r="I396" s="43"/>
      <c r="J396" s="43"/>
      <c r="K396" s="238"/>
      <c r="L396" s="43"/>
      <c r="M396" s="43"/>
      <c r="N396" s="43"/>
      <c r="O396" s="43"/>
      <c r="P396" s="43"/>
      <c r="Q396" s="43"/>
      <c r="R396" s="43"/>
      <c r="S396" s="43"/>
      <c r="T396" s="43"/>
      <c r="U396" s="43"/>
      <c r="V396" s="240"/>
      <c r="W396" s="240"/>
      <c r="Y396" s="240"/>
    </row>
    <row r="397" spans="1:25" x14ac:dyDescent="0.25">
      <c r="A397" s="44"/>
      <c r="B397" s="631"/>
      <c r="C397" s="631"/>
      <c r="D397" s="631"/>
      <c r="E397" s="631"/>
      <c r="F397" s="631"/>
      <c r="G397" s="631"/>
      <c r="H397" s="239"/>
      <c r="I397" s="43"/>
      <c r="J397" s="43"/>
      <c r="K397" s="238"/>
      <c r="L397" s="43"/>
      <c r="M397" s="43"/>
      <c r="N397" s="43"/>
      <c r="O397" s="43"/>
      <c r="P397" s="43"/>
      <c r="Q397" s="43"/>
      <c r="R397" s="43"/>
      <c r="S397" s="43"/>
      <c r="T397" s="43"/>
      <c r="U397" s="43"/>
      <c r="V397" s="240"/>
      <c r="W397" s="240"/>
      <c r="Y397" s="240"/>
    </row>
    <row r="398" spans="1:25" x14ac:dyDescent="0.25">
      <c r="A398" s="44"/>
      <c r="B398" s="631"/>
      <c r="C398" s="631"/>
      <c r="D398" s="631"/>
      <c r="E398" s="631"/>
      <c r="F398" s="631"/>
      <c r="G398" s="631"/>
      <c r="H398" s="239"/>
      <c r="I398" s="43"/>
      <c r="J398" s="43"/>
      <c r="K398" s="238"/>
      <c r="L398" s="43"/>
      <c r="M398" s="43"/>
      <c r="N398" s="43"/>
      <c r="O398" s="43"/>
      <c r="P398" s="43"/>
      <c r="Q398" s="43"/>
      <c r="R398" s="43"/>
      <c r="S398" s="43"/>
      <c r="T398" s="43"/>
      <c r="U398" s="43"/>
      <c r="V398" s="240"/>
      <c r="W398" s="240"/>
      <c r="Y398" s="240"/>
    </row>
    <row r="399" spans="1:25" x14ac:dyDescent="0.25">
      <c r="A399" s="44"/>
      <c r="B399" s="631"/>
      <c r="C399" s="631"/>
      <c r="D399" s="631"/>
      <c r="E399" s="631"/>
      <c r="F399" s="631"/>
      <c r="G399" s="631"/>
      <c r="H399" s="239"/>
      <c r="I399" s="43"/>
      <c r="J399" s="43"/>
      <c r="K399" s="238"/>
      <c r="L399" s="43"/>
      <c r="M399" s="43"/>
      <c r="N399" s="43"/>
      <c r="O399" s="43"/>
      <c r="P399" s="43"/>
      <c r="Q399" s="43"/>
      <c r="R399" s="43"/>
      <c r="S399" s="43"/>
      <c r="T399" s="43"/>
      <c r="U399" s="43"/>
      <c r="V399" s="240"/>
      <c r="W399" s="240"/>
      <c r="Y399" s="240"/>
    </row>
    <row r="400" spans="1:25" x14ac:dyDescent="0.25">
      <c r="A400" s="44"/>
      <c r="B400" s="631"/>
      <c r="C400" s="631"/>
      <c r="D400" s="631"/>
      <c r="E400" s="631"/>
      <c r="F400" s="631"/>
      <c r="G400" s="631"/>
      <c r="H400" s="239"/>
      <c r="I400" s="43"/>
      <c r="J400" s="43"/>
      <c r="K400" s="238"/>
      <c r="L400" s="43"/>
      <c r="M400" s="43"/>
      <c r="N400" s="43"/>
      <c r="O400" s="43"/>
      <c r="P400" s="43"/>
      <c r="Q400" s="43"/>
      <c r="R400" s="43"/>
      <c r="S400" s="43"/>
      <c r="T400" s="43"/>
      <c r="U400" s="43"/>
      <c r="V400" s="240"/>
      <c r="W400" s="240"/>
      <c r="Y400" s="240"/>
    </row>
    <row r="401" spans="1:25" x14ac:dyDescent="0.25">
      <c r="A401" s="44"/>
      <c r="B401" s="631"/>
      <c r="C401" s="631"/>
      <c r="D401" s="631"/>
      <c r="E401" s="631"/>
      <c r="F401" s="631"/>
      <c r="G401" s="631"/>
      <c r="H401" s="239"/>
      <c r="I401" s="43"/>
      <c r="J401" s="43"/>
      <c r="K401" s="238"/>
      <c r="L401" s="43"/>
      <c r="M401" s="43"/>
      <c r="N401" s="43"/>
      <c r="O401" s="43"/>
      <c r="P401" s="43"/>
      <c r="Q401" s="43"/>
      <c r="R401" s="43"/>
      <c r="S401" s="43"/>
      <c r="T401" s="43"/>
      <c r="U401" s="43"/>
      <c r="V401" s="240"/>
      <c r="W401" s="240"/>
      <c r="Y401" s="240"/>
    </row>
    <row r="402" spans="1:25" x14ac:dyDescent="0.25">
      <c r="A402" s="44"/>
      <c r="B402" s="631"/>
      <c r="C402" s="631"/>
      <c r="D402" s="631"/>
      <c r="E402" s="631"/>
      <c r="F402" s="631"/>
      <c r="G402" s="631"/>
      <c r="H402" s="239"/>
      <c r="I402" s="43"/>
      <c r="J402" s="43"/>
      <c r="K402" s="238"/>
      <c r="L402" s="43"/>
      <c r="M402" s="43"/>
      <c r="N402" s="43"/>
      <c r="O402" s="43"/>
      <c r="P402" s="43"/>
      <c r="Q402" s="43"/>
      <c r="R402" s="43"/>
      <c r="S402" s="43"/>
      <c r="T402" s="43"/>
      <c r="U402" s="43"/>
      <c r="V402" s="240"/>
      <c r="W402" s="240"/>
      <c r="Y402" s="240"/>
    </row>
    <row r="403" spans="1:25" x14ac:dyDescent="0.25">
      <c r="A403" s="44"/>
      <c r="B403" s="631"/>
      <c r="C403" s="631"/>
      <c r="D403" s="631"/>
      <c r="E403" s="631"/>
      <c r="F403" s="631"/>
      <c r="G403" s="631"/>
      <c r="H403" s="239"/>
      <c r="I403" s="43"/>
      <c r="J403" s="43"/>
      <c r="K403" s="238"/>
      <c r="L403" s="43"/>
      <c r="M403" s="43"/>
      <c r="N403" s="43"/>
      <c r="O403" s="43"/>
      <c r="P403" s="43"/>
      <c r="Q403" s="43"/>
      <c r="R403" s="43"/>
      <c r="S403" s="43"/>
      <c r="T403" s="43"/>
      <c r="U403" s="43"/>
      <c r="V403" s="240"/>
      <c r="W403" s="240"/>
      <c r="Y403" s="240"/>
    </row>
    <row r="404" spans="1:25" x14ac:dyDescent="0.25">
      <c r="A404" s="44"/>
      <c r="B404" s="631"/>
      <c r="C404" s="631"/>
      <c r="D404" s="631"/>
      <c r="E404" s="631"/>
      <c r="F404" s="631"/>
      <c r="G404" s="631"/>
      <c r="H404" s="239"/>
      <c r="I404" s="43"/>
      <c r="J404" s="43"/>
      <c r="K404" s="238"/>
      <c r="L404" s="43"/>
      <c r="M404" s="43"/>
      <c r="N404" s="43"/>
      <c r="O404" s="43"/>
      <c r="P404" s="43"/>
      <c r="Q404" s="43"/>
      <c r="R404" s="43"/>
      <c r="S404" s="43"/>
      <c r="T404" s="43"/>
      <c r="U404" s="43"/>
      <c r="V404" s="240"/>
      <c r="W404" s="240"/>
      <c r="Y404" s="240"/>
    </row>
    <row r="405" spans="1:25" x14ac:dyDescent="0.25">
      <c r="A405" s="44"/>
      <c r="B405" s="631"/>
      <c r="C405" s="631"/>
      <c r="D405" s="631"/>
      <c r="E405" s="631"/>
      <c r="F405" s="631"/>
      <c r="G405" s="631"/>
      <c r="H405" s="239"/>
      <c r="I405" s="43"/>
      <c r="J405" s="43"/>
      <c r="K405" s="238"/>
      <c r="L405" s="43"/>
      <c r="M405" s="43"/>
      <c r="N405" s="43"/>
      <c r="O405" s="43"/>
      <c r="P405" s="43"/>
      <c r="Q405" s="43"/>
      <c r="R405" s="43"/>
      <c r="S405" s="43"/>
      <c r="T405" s="43"/>
      <c r="U405" s="43"/>
      <c r="V405" s="240"/>
      <c r="W405" s="240"/>
      <c r="Y405" s="240"/>
    </row>
    <row r="406" spans="1:25" x14ac:dyDescent="0.25">
      <c r="A406" s="44"/>
      <c r="B406" s="631"/>
      <c r="C406" s="631"/>
      <c r="D406" s="631"/>
      <c r="E406" s="631"/>
      <c r="F406" s="631"/>
      <c r="G406" s="631"/>
      <c r="H406" s="239"/>
      <c r="I406" s="43"/>
      <c r="J406" s="43"/>
      <c r="K406" s="238"/>
      <c r="L406" s="43"/>
      <c r="M406" s="43"/>
      <c r="N406" s="43"/>
      <c r="O406" s="43"/>
      <c r="P406" s="43"/>
      <c r="Q406" s="43"/>
      <c r="R406" s="43"/>
      <c r="S406" s="43"/>
      <c r="T406" s="43"/>
      <c r="U406" s="43"/>
      <c r="V406" s="240"/>
      <c r="W406" s="240"/>
      <c r="Y406" s="240"/>
    </row>
    <row r="407" spans="1:25" x14ac:dyDescent="0.25">
      <c r="A407" s="44"/>
      <c r="B407" s="631"/>
      <c r="C407" s="631"/>
      <c r="D407" s="631"/>
      <c r="E407" s="631"/>
      <c r="F407" s="631"/>
      <c r="G407" s="631"/>
      <c r="H407" s="239"/>
      <c r="I407" s="43"/>
      <c r="J407" s="43"/>
      <c r="K407" s="238"/>
      <c r="L407" s="43"/>
      <c r="M407" s="43"/>
      <c r="N407" s="43"/>
      <c r="O407" s="43"/>
      <c r="P407" s="43"/>
      <c r="Q407" s="43"/>
      <c r="R407" s="43"/>
      <c r="S407" s="43"/>
      <c r="T407" s="43"/>
      <c r="U407" s="43"/>
      <c r="V407" s="240"/>
      <c r="W407" s="240"/>
      <c r="Y407" s="240"/>
    </row>
    <row r="408" spans="1:25" x14ac:dyDescent="0.25">
      <c r="A408" s="44"/>
      <c r="B408" s="631"/>
      <c r="C408" s="631"/>
      <c r="D408" s="631"/>
      <c r="E408" s="631"/>
      <c r="F408" s="631"/>
      <c r="G408" s="631"/>
      <c r="H408" s="239"/>
      <c r="I408" s="43"/>
      <c r="J408" s="43"/>
      <c r="K408" s="238"/>
      <c r="L408" s="43"/>
      <c r="M408" s="43"/>
      <c r="N408" s="43"/>
      <c r="O408" s="43"/>
      <c r="P408" s="43"/>
      <c r="Q408" s="43"/>
      <c r="R408" s="43"/>
      <c r="S408" s="43"/>
      <c r="T408" s="43"/>
      <c r="U408" s="43"/>
      <c r="V408" s="240"/>
      <c r="W408" s="240"/>
      <c r="Y408" s="240"/>
    </row>
    <row r="409" spans="1:25" x14ac:dyDescent="0.25">
      <c r="A409" s="44"/>
      <c r="B409" s="631"/>
      <c r="C409" s="631"/>
      <c r="D409" s="631"/>
      <c r="E409" s="631"/>
      <c r="F409" s="631"/>
      <c r="G409" s="631"/>
      <c r="H409" s="239"/>
      <c r="I409" s="43"/>
      <c r="J409" s="43"/>
      <c r="K409" s="238"/>
      <c r="L409" s="43"/>
      <c r="M409" s="43"/>
      <c r="N409" s="43"/>
      <c r="O409" s="43"/>
      <c r="P409" s="43"/>
      <c r="Q409" s="43"/>
      <c r="R409" s="43"/>
      <c r="S409" s="43"/>
      <c r="T409" s="43"/>
      <c r="U409" s="43"/>
      <c r="V409" s="240"/>
      <c r="W409" s="240"/>
      <c r="Y409" s="240"/>
    </row>
    <row r="410" spans="1:25" x14ac:dyDescent="0.25">
      <c r="A410" s="44"/>
      <c r="B410" s="631"/>
      <c r="C410" s="631"/>
      <c r="D410" s="631"/>
      <c r="E410" s="631"/>
      <c r="F410" s="631"/>
      <c r="G410" s="631"/>
      <c r="H410" s="239"/>
      <c r="I410" s="43"/>
      <c r="J410" s="43"/>
      <c r="K410" s="238"/>
      <c r="L410" s="43"/>
      <c r="M410" s="43"/>
      <c r="N410" s="43"/>
      <c r="O410" s="43"/>
      <c r="P410" s="43"/>
      <c r="Q410" s="43"/>
      <c r="R410" s="43"/>
      <c r="S410" s="43"/>
      <c r="T410" s="43"/>
      <c r="U410" s="43"/>
      <c r="V410" s="240"/>
      <c r="W410" s="240"/>
      <c r="Y410" s="240"/>
    </row>
    <row r="411" spans="1:25" x14ac:dyDescent="0.25">
      <c r="A411" s="44"/>
      <c r="B411" s="631"/>
      <c r="C411" s="631"/>
      <c r="D411" s="631"/>
      <c r="E411" s="631"/>
      <c r="F411" s="631"/>
      <c r="G411" s="631"/>
      <c r="H411" s="239"/>
      <c r="I411" s="43"/>
      <c r="J411" s="43"/>
      <c r="K411" s="238"/>
      <c r="L411" s="43"/>
      <c r="M411" s="43"/>
      <c r="N411" s="43"/>
      <c r="O411" s="43"/>
      <c r="P411" s="43"/>
      <c r="Q411" s="43"/>
      <c r="R411" s="43"/>
      <c r="S411" s="43"/>
      <c r="T411" s="43"/>
      <c r="U411" s="43"/>
      <c r="V411" s="45"/>
      <c r="W411" s="45"/>
      <c r="Y411" s="40"/>
    </row>
    <row r="412" spans="1:25" x14ac:dyDescent="0.25">
      <c r="A412" s="44"/>
      <c r="B412" s="631"/>
      <c r="C412" s="631"/>
      <c r="D412" s="631"/>
      <c r="E412" s="631"/>
      <c r="F412" s="631"/>
      <c r="G412" s="631"/>
      <c r="H412" s="21"/>
      <c r="I412" s="631"/>
      <c r="J412" s="631"/>
      <c r="L412" s="631"/>
      <c r="M412" s="631"/>
      <c r="N412" s="631"/>
      <c r="O412" s="631"/>
      <c r="P412" s="631"/>
      <c r="Q412" s="631"/>
      <c r="R412" s="631"/>
      <c r="S412" s="631"/>
      <c r="T412" s="631"/>
      <c r="U412" s="631"/>
      <c r="V412" s="631"/>
      <c r="W412" s="631"/>
      <c r="Y412" s="631"/>
    </row>
    <row r="413" spans="1:25" x14ac:dyDescent="0.25">
      <c r="A413" s="44"/>
      <c r="B413" s="631"/>
      <c r="C413" s="631"/>
      <c r="D413" s="631"/>
      <c r="E413" s="631"/>
      <c r="F413" s="631"/>
      <c r="G413" s="631"/>
      <c r="H413" s="631"/>
      <c r="I413" s="631"/>
      <c r="J413" s="631"/>
      <c r="L413" s="631"/>
      <c r="M413" s="631"/>
      <c r="N413" s="631"/>
      <c r="O413" s="631"/>
      <c r="P413" s="631"/>
      <c r="Q413" s="631"/>
      <c r="R413" s="631"/>
      <c r="S413" s="631"/>
      <c r="T413" s="631"/>
      <c r="U413" s="631"/>
      <c r="V413" s="631"/>
      <c r="W413" s="631"/>
      <c r="Y413" s="631"/>
    </row>
    <row r="414" spans="1:25" x14ac:dyDescent="0.25">
      <c r="A414" s="44"/>
      <c r="B414" s="631"/>
      <c r="C414" s="631"/>
      <c r="D414" s="631"/>
      <c r="E414" s="631"/>
      <c r="F414" s="631"/>
      <c r="G414" s="631"/>
      <c r="H414" s="631"/>
      <c r="I414" s="631"/>
      <c r="J414" s="631"/>
      <c r="L414" s="631"/>
      <c r="M414" s="631"/>
      <c r="N414" s="631"/>
      <c r="O414" s="631"/>
      <c r="P414" s="631"/>
      <c r="Q414" s="631"/>
      <c r="R414" s="631"/>
      <c r="S414" s="631"/>
      <c r="T414" s="631"/>
      <c r="U414" s="631"/>
      <c r="V414" s="631"/>
      <c r="W414" s="631"/>
      <c r="Y414" s="631"/>
    </row>
    <row r="415" spans="1:25" x14ac:dyDescent="0.25">
      <c r="A415" s="20"/>
      <c r="B415" s="631"/>
      <c r="C415" s="631"/>
      <c r="D415" s="631"/>
      <c r="E415" s="631"/>
      <c r="F415" s="631"/>
      <c r="G415" s="631"/>
      <c r="H415" s="21"/>
      <c r="I415" s="631"/>
      <c r="J415" s="631"/>
      <c r="L415" s="631"/>
      <c r="M415" s="631"/>
      <c r="N415" s="631"/>
      <c r="O415" s="631"/>
      <c r="P415" s="631"/>
      <c r="Q415" s="631"/>
      <c r="R415" s="631"/>
      <c r="S415" s="631"/>
      <c r="T415" s="631"/>
      <c r="U415" s="631"/>
      <c r="V415" s="631"/>
      <c r="W415" s="631"/>
      <c r="Y415" s="631"/>
    </row>
    <row r="416" spans="1:25" x14ac:dyDescent="0.25">
      <c r="A416" s="20"/>
      <c r="B416" s="631"/>
      <c r="C416" s="631"/>
      <c r="D416" s="631"/>
      <c r="E416" s="631"/>
      <c r="F416" s="631"/>
      <c r="G416" s="631"/>
      <c r="H416" s="21"/>
      <c r="I416" s="631"/>
      <c r="J416" s="631"/>
      <c r="L416" s="631"/>
      <c r="M416" s="631"/>
      <c r="N416" s="631"/>
      <c r="O416" s="631"/>
      <c r="P416" s="631"/>
      <c r="Q416" s="631"/>
      <c r="R416" s="631"/>
      <c r="S416" s="631"/>
      <c r="T416" s="631"/>
      <c r="U416" s="631"/>
      <c r="V416" s="631"/>
      <c r="W416" s="631"/>
      <c r="Y416" s="631"/>
    </row>
    <row r="417" spans="1:8" x14ac:dyDescent="0.25">
      <c r="A417" s="20"/>
      <c r="B417" s="631"/>
      <c r="C417" s="631"/>
      <c r="D417" s="631"/>
      <c r="E417" s="631"/>
      <c r="F417" s="631"/>
      <c r="G417" s="631"/>
      <c r="H417" s="631"/>
    </row>
    <row r="418" spans="1:8" x14ac:dyDescent="0.25">
      <c r="A418" s="20"/>
      <c r="B418" s="631"/>
      <c r="C418" s="631"/>
      <c r="D418" s="631"/>
      <c r="E418" s="631"/>
      <c r="F418" s="631"/>
      <c r="G418" s="631"/>
      <c r="H418" s="21"/>
    </row>
    <row r="419" spans="1:8" x14ac:dyDescent="0.25">
      <c r="A419" s="20"/>
      <c r="B419" s="631"/>
      <c r="C419" s="631"/>
      <c r="D419" s="631"/>
      <c r="E419" s="631"/>
      <c r="F419" s="631"/>
      <c r="G419" s="631"/>
      <c r="H419" s="21"/>
    </row>
    <row r="420" spans="1:8" x14ac:dyDescent="0.25">
      <c r="A420" s="20"/>
      <c r="B420" s="631"/>
      <c r="C420" s="631"/>
      <c r="D420" s="631"/>
      <c r="E420" s="631"/>
      <c r="F420" s="631"/>
      <c r="G420" s="631"/>
      <c r="H420" s="21"/>
    </row>
    <row r="421" spans="1:8" x14ac:dyDescent="0.25">
      <c r="A421" s="20"/>
      <c r="B421" s="631"/>
      <c r="C421" s="631"/>
      <c r="D421" s="631"/>
      <c r="E421" s="631"/>
      <c r="F421" s="631"/>
      <c r="G421" s="631"/>
      <c r="H421" s="21"/>
    </row>
    <row r="422" spans="1:8" x14ac:dyDescent="0.25">
      <c r="A422" s="20"/>
      <c r="B422" s="631"/>
      <c r="C422" s="631"/>
      <c r="D422" s="631"/>
      <c r="E422" s="631"/>
      <c r="F422" s="631"/>
      <c r="G422" s="631"/>
      <c r="H422" s="21"/>
    </row>
    <row r="423" spans="1:8" x14ac:dyDescent="0.25">
      <c r="A423" s="20"/>
      <c r="B423" s="631"/>
      <c r="C423" s="631"/>
      <c r="D423" s="631"/>
      <c r="E423" s="631"/>
      <c r="F423" s="631"/>
      <c r="G423" s="631"/>
      <c r="H423" s="21"/>
    </row>
    <row r="424" spans="1:8" x14ac:dyDescent="0.25">
      <c r="A424" s="20"/>
      <c r="B424" s="631"/>
      <c r="C424" s="631"/>
      <c r="D424" s="631"/>
      <c r="E424" s="631"/>
      <c r="F424" s="631"/>
      <c r="G424" s="631"/>
      <c r="H424" s="21"/>
    </row>
    <row r="425" spans="1:8" x14ac:dyDescent="0.25">
      <c r="A425" s="20"/>
      <c r="B425" s="631"/>
      <c r="C425" s="631"/>
      <c r="D425" s="631"/>
      <c r="E425" s="631"/>
      <c r="F425" s="631"/>
      <c r="G425" s="631"/>
      <c r="H425" s="21"/>
    </row>
    <row r="426" spans="1:8" x14ac:dyDescent="0.25">
      <c r="A426" s="20"/>
      <c r="B426" s="631"/>
      <c r="C426" s="631"/>
      <c r="D426" s="631"/>
      <c r="E426" s="631"/>
      <c r="F426" s="631"/>
      <c r="G426" s="631"/>
      <c r="H426" s="21"/>
    </row>
    <row r="427" spans="1:8" x14ac:dyDescent="0.25">
      <c r="A427" s="20"/>
      <c r="B427" s="631"/>
      <c r="C427" s="631"/>
      <c r="D427" s="631"/>
      <c r="E427" s="631"/>
      <c r="F427" s="631"/>
      <c r="G427" s="631"/>
      <c r="H427" s="21"/>
    </row>
    <row r="428" spans="1:8" x14ac:dyDescent="0.25">
      <c r="A428" s="20"/>
      <c r="B428" s="631"/>
      <c r="C428" s="631"/>
      <c r="D428" s="631"/>
      <c r="E428" s="631"/>
      <c r="F428" s="631"/>
      <c r="G428" s="631"/>
      <c r="H428" s="21"/>
    </row>
    <row r="429" spans="1:8" x14ac:dyDescent="0.25">
      <c r="A429" s="20"/>
      <c r="B429" s="631"/>
      <c r="C429" s="631"/>
      <c r="D429" s="631"/>
      <c r="E429" s="631"/>
      <c r="F429" s="631"/>
      <c r="G429" s="631"/>
      <c r="H429" s="21"/>
    </row>
    <row r="430" spans="1:8" x14ac:dyDescent="0.25">
      <c r="A430" s="20"/>
      <c r="B430" s="631"/>
      <c r="C430" s="631"/>
      <c r="D430" s="631"/>
      <c r="E430" s="631"/>
      <c r="F430" s="631"/>
      <c r="G430" s="631"/>
      <c r="H430" s="631"/>
    </row>
    <row r="431" spans="1:8" x14ac:dyDescent="0.25">
      <c r="A431" s="20"/>
      <c r="B431" s="631"/>
      <c r="C431" s="631"/>
      <c r="D431" s="631"/>
      <c r="E431" s="631"/>
      <c r="F431" s="631"/>
      <c r="G431" s="631"/>
      <c r="H431" s="21"/>
    </row>
    <row r="432" spans="1:8" x14ac:dyDescent="0.25">
      <c r="A432" s="20"/>
      <c r="B432" s="631"/>
      <c r="C432" s="631"/>
      <c r="D432" s="631"/>
      <c r="E432" s="631"/>
      <c r="F432" s="631"/>
      <c r="G432" s="631"/>
      <c r="H432" s="21"/>
    </row>
    <row r="433" spans="1:8" x14ac:dyDescent="0.25">
      <c r="A433" s="20"/>
      <c r="B433" s="631"/>
      <c r="C433" s="631"/>
      <c r="D433" s="631"/>
      <c r="E433" s="631"/>
      <c r="F433" s="631"/>
      <c r="G433" s="631"/>
      <c r="H433" s="21"/>
    </row>
    <row r="434" spans="1:8" x14ac:dyDescent="0.25">
      <c r="A434" s="20"/>
      <c r="B434" s="631"/>
      <c r="C434" s="631"/>
      <c r="D434" s="631"/>
      <c r="E434" s="631"/>
      <c r="F434" s="631"/>
      <c r="G434" s="631"/>
      <c r="H434" s="631"/>
    </row>
    <row r="435" spans="1:8" x14ac:dyDescent="0.25">
      <c r="A435" s="20"/>
      <c r="B435" s="631"/>
      <c r="C435" s="631"/>
      <c r="D435" s="631"/>
      <c r="E435" s="631"/>
      <c r="F435" s="631"/>
      <c r="G435" s="631"/>
      <c r="H435" s="21"/>
    </row>
    <row r="436" spans="1:8" x14ac:dyDescent="0.25">
      <c r="A436" s="20"/>
      <c r="B436" s="631"/>
      <c r="C436" s="631"/>
      <c r="D436" s="631"/>
      <c r="E436" s="631"/>
      <c r="F436" s="631"/>
      <c r="G436" s="631"/>
      <c r="H436" s="631"/>
    </row>
    <row r="437" spans="1:8" x14ac:dyDescent="0.25">
      <c r="A437" s="20"/>
      <c r="B437" s="631"/>
      <c r="C437" s="631"/>
      <c r="D437" s="631"/>
      <c r="E437" s="631"/>
      <c r="F437" s="631"/>
      <c r="G437" s="631"/>
      <c r="H437" s="631"/>
    </row>
    <row r="438" spans="1:8" x14ac:dyDescent="0.25">
      <c r="A438" s="20"/>
      <c r="B438" s="631"/>
      <c r="C438" s="631"/>
      <c r="D438" s="631"/>
      <c r="E438" s="631"/>
      <c r="F438" s="631"/>
      <c r="G438" s="631"/>
      <c r="H438" s="21"/>
    </row>
    <row r="439" spans="1:8" x14ac:dyDescent="0.25">
      <c r="A439" s="20"/>
      <c r="B439" s="631"/>
      <c r="C439" s="631"/>
      <c r="D439" s="631"/>
      <c r="E439" s="631"/>
      <c r="F439" s="631"/>
      <c r="G439" s="631"/>
      <c r="H439" s="631"/>
    </row>
    <row r="440" spans="1:8" x14ac:dyDescent="0.25">
      <c r="A440" s="20"/>
      <c r="B440" s="631"/>
      <c r="C440" s="631"/>
      <c r="D440" s="631"/>
      <c r="E440" s="631"/>
      <c r="F440" s="631"/>
      <c r="G440" s="631"/>
      <c r="H440" s="21"/>
    </row>
    <row r="441" spans="1:8" x14ac:dyDescent="0.25">
      <c r="A441" s="20"/>
      <c r="B441" s="631"/>
      <c r="C441" s="631"/>
      <c r="D441" s="631"/>
      <c r="E441" s="631"/>
      <c r="F441" s="631"/>
      <c r="G441" s="631"/>
      <c r="H441" s="21"/>
    </row>
    <row r="442" spans="1:8" x14ac:dyDescent="0.25">
      <c r="A442" s="20"/>
      <c r="B442" s="631"/>
      <c r="C442" s="631"/>
      <c r="D442" s="631"/>
      <c r="E442" s="631"/>
      <c r="F442" s="631"/>
      <c r="G442" s="631"/>
      <c r="H442" s="21"/>
    </row>
    <row r="443" spans="1:8" x14ac:dyDescent="0.25">
      <c r="A443" s="20"/>
      <c r="B443" s="631"/>
      <c r="C443" s="631"/>
      <c r="D443" s="631"/>
      <c r="E443" s="631"/>
      <c r="F443" s="631"/>
      <c r="G443" s="631"/>
      <c r="H443" s="21"/>
    </row>
    <row r="444" spans="1:8" x14ac:dyDescent="0.25">
      <c r="A444" s="20"/>
      <c r="B444" s="631"/>
      <c r="C444" s="631"/>
      <c r="D444" s="631"/>
      <c r="E444" s="631"/>
      <c r="F444" s="631"/>
      <c r="G444" s="631"/>
      <c r="H444" s="21"/>
    </row>
    <row r="445" spans="1:8" x14ac:dyDescent="0.25">
      <c r="A445" s="20"/>
      <c r="B445" s="631"/>
      <c r="C445" s="631"/>
      <c r="D445" s="631"/>
      <c r="E445" s="631"/>
      <c r="F445" s="631"/>
      <c r="G445" s="631"/>
      <c r="H445" s="21"/>
    </row>
    <row r="446" spans="1:8" x14ac:dyDescent="0.25">
      <c r="A446" s="20"/>
      <c r="B446" s="631"/>
      <c r="C446" s="631"/>
      <c r="D446" s="631"/>
      <c r="E446" s="631"/>
      <c r="F446" s="631"/>
      <c r="G446" s="631"/>
      <c r="H446" s="21"/>
    </row>
    <row r="447" spans="1:8" x14ac:dyDescent="0.25">
      <c r="A447" s="20"/>
      <c r="B447" s="631"/>
      <c r="C447" s="631"/>
      <c r="D447" s="631"/>
      <c r="E447" s="631"/>
      <c r="F447" s="631"/>
      <c r="G447" s="631"/>
      <c r="H447" s="21"/>
    </row>
    <row r="448" spans="1:8" x14ac:dyDescent="0.25">
      <c r="A448" s="20"/>
      <c r="B448" s="631"/>
      <c r="C448" s="631"/>
      <c r="D448" s="631"/>
      <c r="E448" s="631"/>
      <c r="F448" s="631"/>
      <c r="G448" s="631"/>
      <c r="H448" s="21"/>
    </row>
    <row r="449" spans="1:25" x14ac:dyDescent="0.25">
      <c r="A449" s="20"/>
      <c r="B449" s="631"/>
      <c r="C449" s="631"/>
      <c r="D449" s="631"/>
      <c r="E449" s="631"/>
      <c r="F449" s="631"/>
      <c r="G449" s="631"/>
      <c r="H449" s="21"/>
      <c r="I449" s="631"/>
      <c r="J449" s="631"/>
      <c r="L449" s="631"/>
      <c r="M449" s="631"/>
      <c r="N449" s="631"/>
      <c r="O449" s="631"/>
      <c r="P449" s="631"/>
      <c r="Q449" s="631"/>
      <c r="R449" s="631"/>
      <c r="S449" s="631"/>
      <c r="T449" s="631"/>
      <c r="U449" s="631"/>
      <c r="V449" s="631"/>
      <c r="W449" s="631"/>
      <c r="Y449" s="631"/>
    </row>
    <row r="450" spans="1:25" x14ac:dyDescent="0.25">
      <c r="A450" s="20"/>
      <c r="B450" s="631"/>
      <c r="C450" s="631"/>
      <c r="D450" s="631"/>
      <c r="E450" s="631"/>
      <c r="F450" s="631"/>
      <c r="G450" s="631"/>
      <c r="H450" s="21"/>
      <c r="I450" s="631"/>
      <c r="J450" s="631"/>
      <c r="L450" s="631"/>
      <c r="M450" s="631"/>
      <c r="N450" s="631"/>
      <c r="O450" s="631"/>
      <c r="P450" s="631"/>
      <c r="Q450" s="631"/>
      <c r="R450" s="631"/>
      <c r="S450" s="631"/>
      <c r="T450" s="631"/>
      <c r="U450" s="631"/>
      <c r="V450" s="631"/>
      <c r="W450" s="631"/>
      <c r="Y450" s="631"/>
    </row>
    <row r="451" spans="1:25" x14ac:dyDescent="0.25">
      <c r="A451" s="20"/>
      <c r="B451" s="631"/>
      <c r="C451" s="631"/>
      <c r="D451" s="631"/>
      <c r="E451" s="631"/>
      <c r="F451" s="631"/>
      <c r="G451" s="631"/>
      <c r="H451" s="21"/>
      <c r="I451" s="631"/>
      <c r="J451" s="631"/>
      <c r="L451" s="631"/>
      <c r="M451" s="631"/>
      <c r="N451" s="631"/>
      <c r="O451" s="631"/>
      <c r="P451" s="631"/>
      <c r="Q451" s="631"/>
      <c r="R451" s="631"/>
      <c r="S451" s="631"/>
      <c r="T451" s="631"/>
      <c r="U451" s="631"/>
      <c r="V451" s="631"/>
      <c r="W451" s="631"/>
      <c r="Y451" s="631"/>
    </row>
    <row r="452" spans="1:25" x14ac:dyDescent="0.25">
      <c r="A452" s="20"/>
      <c r="B452" s="631"/>
      <c r="C452" s="631"/>
      <c r="D452" s="631"/>
      <c r="E452" s="631"/>
      <c r="F452" s="631"/>
      <c r="G452" s="631"/>
      <c r="H452" s="21"/>
      <c r="I452" s="631"/>
      <c r="J452" s="631"/>
      <c r="L452" s="631"/>
      <c r="M452" s="631"/>
      <c r="N452" s="631"/>
      <c r="O452" s="631"/>
      <c r="P452" s="631"/>
      <c r="Q452" s="631"/>
      <c r="R452" s="631"/>
      <c r="S452" s="631"/>
      <c r="T452" s="631"/>
      <c r="U452" s="631"/>
      <c r="V452" s="631"/>
      <c r="W452" s="631"/>
      <c r="Y452" s="631"/>
    </row>
    <row r="453" spans="1:25" x14ac:dyDescent="0.25">
      <c r="A453" s="20"/>
      <c r="B453" s="631"/>
      <c r="C453" s="631"/>
      <c r="D453" s="631"/>
      <c r="E453" s="631"/>
      <c r="F453" s="631"/>
      <c r="G453" s="631"/>
      <c r="H453" s="21"/>
      <c r="I453" s="43"/>
      <c r="J453" s="43"/>
      <c r="K453" s="238"/>
      <c r="L453" s="43"/>
      <c r="M453" s="43"/>
      <c r="N453" s="43"/>
      <c r="O453" s="43"/>
      <c r="P453" s="43"/>
      <c r="Q453" s="43"/>
      <c r="R453" s="43"/>
      <c r="S453" s="43"/>
      <c r="T453" s="43"/>
      <c r="U453" s="43"/>
      <c r="V453" s="45"/>
      <c r="W453" s="45"/>
      <c r="Y453" s="40"/>
    </row>
    <row r="454" spans="1:25" x14ac:dyDescent="0.25">
      <c r="A454" s="20"/>
      <c r="B454" s="631"/>
      <c r="C454" s="631"/>
      <c r="D454" s="631"/>
      <c r="E454" s="631"/>
      <c r="F454" s="631"/>
      <c r="G454" s="631"/>
      <c r="H454" s="21"/>
      <c r="I454" s="631"/>
      <c r="J454" s="631"/>
      <c r="L454" s="631"/>
      <c r="M454" s="631"/>
      <c r="N454" s="631"/>
      <c r="O454" s="631"/>
      <c r="P454" s="631"/>
      <c r="Q454" s="631"/>
      <c r="R454" s="631"/>
      <c r="S454" s="631"/>
      <c r="T454" s="631"/>
      <c r="U454" s="43"/>
      <c r="V454" s="45"/>
      <c r="W454" s="45"/>
      <c r="Y454" s="40"/>
    </row>
    <row r="455" spans="1:25" x14ac:dyDescent="0.25">
      <c r="A455" s="20"/>
      <c r="B455" s="631"/>
      <c r="C455" s="631"/>
      <c r="D455" s="631"/>
      <c r="E455" s="631"/>
      <c r="F455" s="631"/>
      <c r="G455" s="631"/>
      <c r="H455" s="631"/>
      <c r="I455" s="631"/>
      <c r="J455" s="631"/>
      <c r="L455" s="631"/>
      <c r="M455" s="631"/>
      <c r="N455" s="631"/>
      <c r="O455" s="631"/>
      <c r="P455" s="631"/>
      <c r="Q455" s="631"/>
      <c r="R455" s="631"/>
      <c r="S455" s="631"/>
      <c r="T455" s="631"/>
      <c r="U455" s="631"/>
      <c r="V455" s="631"/>
      <c r="W455" s="631"/>
      <c r="Y455" s="631"/>
    </row>
    <row r="456" spans="1:25" x14ac:dyDescent="0.25">
      <c r="A456" s="20"/>
      <c r="B456" s="631"/>
      <c r="C456" s="631"/>
      <c r="D456" s="631"/>
      <c r="E456" s="631"/>
      <c r="F456" s="631"/>
      <c r="G456" s="631"/>
      <c r="H456" s="21"/>
      <c r="I456" s="631"/>
      <c r="J456" s="631"/>
      <c r="L456" s="631"/>
      <c r="M456" s="631"/>
      <c r="N456" s="631"/>
      <c r="O456" s="631"/>
      <c r="P456" s="631"/>
      <c r="Q456" s="631"/>
      <c r="R456" s="631"/>
      <c r="S456" s="631"/>
      <c r="T456" s="631"/>
      <c r="U456" s="43"/>
      <c r="V456" s="45"/>
      <c r="W456" s="45"/>
      <c r="Y456" s="40"/>
    </row>
    <row r="457" spans="1:25" x14ac:dyDescent="0.25">
      <c r="A457" s="20"/>
      <c r="B457" s="631"/>
      <c r="C457" s="631"/>
      <c r="D457" s="631"/>
      <c r="E457" s="631"/>
      <c r="F457" s="631"/>
      <c r="G457" s="631"/>
      <c r="H457" s="21"/>
      <c r="I457" s="631"/>
      <c r="J457" s="631"/>
      <c r="L457" s="631"/>
      <c r="M457" s="631"/>
      <c r="N457" s="631"/>
      <c r="O457" s="631"/>
      <c r="P457" s="631"/>
      <c r="Q457" s="631"/>
      <c r="R457" s="631"/>
      <c r="S457" s="631"/>
      <c r="T457" s="631"/>
      <c r="U457" s="631"/>
      <c r="V457" s="631"/>
      <c r="W457" s="631"/>
      <c r="Y457" s="631"/>
    </row>
    <row r="458" spans="1:25" x14ac:dyDescent="0.25">
      <c r="A458" s="20"/>
      <c r="B458" s="631"/>
      <c r="C458" s="631"/>
      <c r="D458" s="631"/>
      <c r="E458" s="631"/>
      <c r="F458" s="631"/>
      <c r="G458" s="631"/>
      <c r="H458" s="21"/>
      <c r="I458" s="631"/>
      <c r="J458" s="631"/>
      <c r="L458" s="631"/>
      <c r="M458" s="631"/>
      <c r="N458" s="631"/>
      <c r="O458" s="631"/>
      <c r="P458" s="631"/>
      <c r="Q458" s="631"/>
      <c r="R458" s="631"/>
      <c r="S458" s="631"/>
      <c r="T458" s="631"/>
      <c r="U458" s="43"/>
      <c r="V458" s="45"/>
      <c r="W458" s="45"/>
      <c r="Y458" s="40"/>
    </row>
    <row r="459" spans="1:25" x14ac:dyDescent="0.25">
      <c r="A459" s="20"/>
      <c r="B459" s="631"/>
      <c r="C459" s="631"/>
      <c r="D459" s="631"/>
      <c r="E459" s="631"/>
      <c r="F459" s="631"/>
      <c r="G459" s="631"/>
      <c r="H459" s="21"/>
      <c r="I459" s="631"/>
      <c r="J459" s="631"/>
      <c r="L459" s="631"/>
      <c r="M459" s="631"/>
      <c r="N459" s="631"/>
      <c r="O459" s="631"/>
      <c r="P459" s="631"/>
      <c r="Q459" s="631"/>
      <c r="R459" s="631"/>
      <c r="S459" s="631"/>
      <c r="T459" s="631"/>
      <c r="U459" s="43"/>
      <c r="V459" s="45"/>
      <c r="W459" s="45"/>
      <c r="Y459" s="40"/>
    </row>
    <row r="460" spans="1:25" x14ac:dyDescent="0.25">
      <c r="A460" s="20"/>
      <c r="B460" s="631"/>
      <c r="C460" s="631"/>
      <c r="D460" s="631"/>
      <c r="E460" s="631"/>
      <c r="F460" s="631"/>
      <c r="G460" s="631"/>
      <c r="H460" s="21"/>
      <c r="I460" s="631"/>
      <c r="J460" s="631"/>
      <c r="L460" s="631"/>
      <c r="M460" s="631"/>
      <c r="N460" s="631"/>
      <c r="O460" s="631"/>
      <c r="P460" s="631"/>
      <c r="Q460" s="631"/>
      <c r="R460" s="631"/>
      <c r="S460" s="631"/>
      <c r="T460" s="631"/>
      <c r="U460" s="631"/>
      <c r="V460" s="631"/>
      <c r="W460" s="631"/>
      <c r="Y460" s="631"/>
    </row>
    <row r="461" spans="1:25" x14ac:dyDescent="0.25">
      <c r="A461" s="20"/>
      <c r="B461" s="631"/>
      <c r="C461" s="631"/>
      <c r="D461" s="631"/>
      <c r="E461" s="631"/>
      <c r="F461" s="631"/>
      <c r="G461" s="631"/>
      <c r="H461" s="21"/>
      <c r="I461" s="631"/>
      <c r="J461" s="631"/>
      <c r="L461" s="631"/>
      <c r="M461" s="631"/>
      <c r="N461" s="631"/>
      <c r="O461" s="631"/>
      <c r="P461" s="631"/>
      <c r="Q461" s="631"/>
      <c r="R461" s="631"/>
      <c r="S461" s="631"/>
      <c r="T461" s="631"/>
      <c r="U461" s="631"/>
      <c r="V461" s="631"/>
      <c r="W461" s="631"/>
      <c r="Y461" s="631"/>
    </row>
    <row r="462" spans="1:25" x14ac:dyDescent="0.25">
      <c r="A462" s="20"/>
      <c r="B462" s="631"/>
      <c r="C462" s="631"/>
      <c r="D462" s="631"/>
      <c r="E462" s="631"/>
      <c r="F462" s="631"/>
      <c r="G462" s="631"/>
      <c r="H462" s="631"/>
      <c r="I462" s="631"/>
      <c r="J462" s="631"/>
      <c r="L462" s="631"/>
      <c r="M462" s="631"/>
      <c r="N462" s="631"/>
      <c r="O462" s="631"/>
      <c r="P462" s="631"/>
      <c r="Q462" s="631"/>
      <c r="R462" s="631"/>
      <c r="S462" s="631"/>
      <c r="T462" s="631"/>
      <c r="U462" s="631"/>
      <c r="V462" s="631"/>
      <c r="W462" s="631"/>
      <c r="Y462" s="631"/>
    </row>
    <row r="463" spans="1:25" x14ac:dyDescent="0.25">
      <c r="A463" s="20"/>
      <c r="B463" s="631"/>
      <c r="C463" s="631"/>
      <c r="D463" s="631"/>
      <c r="E463" s="631"/>
      <c r="F463" s="631"/>
      <c r="G463" s="631"/>
      <c r="H463" s="21"/>
      <c r="I463" s="631"/>
      <c r="J463" s="631"/>
      <c r="L463" s="631"/>
      <c r="M463" s="631"/>
      <c r="N463" s="631"/>
      <c r="O463" s="631"/>
      <c r="P463" s="631"/>
      <c r="Q463" s="631"/>
      <c r="R463" s="631"/>
      <c r="S463" s="631"/>
      <c r="T463" s="631"/>
      <c r="U463" s="43"/>
      <c r="V463" s="45"/>
      <c r="W463" s="45"/>
      <c r="Y463" s="40"/>
    </row>
    <row r="464" spans="1:25" x14ac:dyDescent="0.25">
      <c r="A464" s="20"/>
      <c r="B464" s="631"/>
      <c r="C464" s="631"/>
      <c r="D464" s="631"/>
      <c r="E464" s="631"/>
      <c r="F464" s="631"/>
      <c r="G464" s="631"/>
      <c r="H464" s="21"/>
      <c r="I464" s="631"/>
      <c r="J464" s="631"/>
      <c r="L464" s="631"/>
      <c r="M464" s="631"/>
      <c r="N464" s="631"/>
      <c r="O464" s="631"/>
      <c r="P464" s="631"/>
      <c r="Q464" s="631"/>
      <c r="R464" s="631"/>
      <c r="S464" s="631"/>
      <c r="T464" s="631"/>
      <c r="U464" s="43"/>
      <c r="V464" s="45"/>
      <c r="W464" s="45"/>
      <c r="Y464" s="40"/>
    </row>
    <row r="465" spans="1:25" x14ac:dyDescent="0.25">
      <c r="A465" s="20"/>
      <c r="B465" s="631"/>
      <c r="C465" s="631"/>
      <c r="D465" s="631"/>
      <c r="E465" s="631"/>
      <c r="F465" s="631"/>
      <c r="G465" s="631"/>
      <c r="H465" s="21"/>
      <c r="I465" s="631"/>
      <c r="J465" s="631"/>
      <c r="L465" s="631"/>
      <c r="M465" s="631"/>
      <c r="N465" s="631"/>
      <c r="O465" s="631"/>
      <c r="P465" s="631"/>
      <c r="Q465" s="631"/>
      <c r="R465" s="631"/>
      <c r="S465" s="631"/>
      <c r="T465" s="631"/>
      <c r="U465" s="43"/>
      <c r="V465" s="45"/>
      <c r="W465" s="45"/>
      <c r="Y465" s="40"/>
    </row>
    <row r="466" spans="1:25" x14ac:dyDescent="0.25">
      <c r="A466" s="20"/>
      <c r="B466" s="631"/>
      <c r="C466" s="631"/>
      <c r="D466" s="631"/>
      <c r="E466" s="631"/>
      <c r="F466" s="631"/>
      <c r="G466" s="631"/>
      <c r="H466" s="21"/>
      <c r="I466" s="631"/>
      <c r="J466" s="631"/>
      <c r="L466" s="631"/>
      <c r="M466" s="631"/>
      <c r="N466" s="631"/>
      <c r="O466" s="631"/>
      <c r="P466" s="631"/>
      <c r="Q466" s="631"/>
      <c r="R466" s="631"/>
      <c r="S466" s="631"/>
      <c r="T466" s="631"/>
      <c r="U466" s="43"/>
      <c r="V466" s="45"/>
      <c r="W466" s="45"/>
      <c r="Y466" s="40"/>
    </row>
    <row r="467" spans="1:25" x14ac:dyDescent="0.25">
      <c r="A467" s="20"/>
      <c r="B467" s="631"/>
      <c r="C467" s="631"/>
      <c r="D467" s="631"/>
      <c r="E467" s="631"/>
      <c r="F467" s="631"/>
      <c r="G467" s="631"/>
      <c r="H467" s="21"/>
      <c r="I467" s="631"/>
      <c r="J467" s="631"/>
      <c r="L467" s="631"/>
      <c r="M467" s="631"/>
      <c r="N467" s="631"/>
      <c r="O467" s="631"/>
      <c r="P467" s="631"/>
      <c r="Q467" s="631"/>
      <c r="R467" s="631"/>
      <c r="S467" s="631"/>
      <c r="T467" s="631"/>
      <c r="U467" s="43"/>
      <c r="V467" s="45"/>
      <c r="W467" s="45"/>
      <c r="Y467" s="40"/>
    </row>
    <row r="468" spans="1:25" x14ac:dyDescent="0.25">
      <c r="A468" s="20"/>
      <c r="B468" s="631"/>
      <c r="C468" s="631"/>
      <c r="D468" s="631"/>
      <c r="E468" s="631"/>
      <c r="F468" s="631"/>
      <c r="G468" s="631"/>
      <c r="H468" s="21"/>
      <c r="I468" s="631"/>
      <c r="J468" s="631"/>
      <c r="L468" s="631"/>
      <c r="M468" s="631"/>
      <c r="N468" s="631"/>
      <c r="O468" s="631"/>
      <c r="P468" s="631"/>
      <c r="Q468" s="631"/>
      <c r="R468" s="631"/>
      <c r="S468" s="631"/>
      <c r="T468" s="631"/>
      <c r="U468" s="43"/>
      <c r="V468" s="45"/>
      <c r="W468" s="45"/>
      <c r="Y468" s="40"/>
    </row>
    <row r="469" spans="1:25" x14ac:dyDescent="0.25">
      <c r="A469" s="20"/>
      <c r="B469" s="631"/>
      <c r="C469" s="631"/>
      <c r="D469" s="631"/>
      <c r="E469" s="631"/>
      <c r="F469" s="631"/>
      <c r="G469" s="631"/>
      <c r="H469" s="21"/>
      <c r="I469" s="631"/>
      <c r="J469" s="631"/>
      <c r="L469" s="631"/>
      <c r="M469" s="631"/>
      <c r="N469" s="631"/>
      <c r="O469" s="631"/>
      <c r="P469" s="631"/>
      <c r="Q469" s="631"/>
      <c r="R469" s="631"/>
      <c r="S469" s="631"/>
      <c r="T469" s="631"/>
      <c r="U469" s="43"/>
      <c r="V469" s="45"/>
      <c r="W469" s="45"/>
      <c r="Y469" s="40"/>
    </row>
    <row r="470" spans="1:25" x14ac:dyDescent="0.25">
      <c r="A470" s="20"/>
      <c r="B470" s="631"/>
      <c r="C470" s="631"/>
      <c r="D470" s="631"/>
      <c r="E470" s="631"/>
      <c r="F470" s="631"/>
      <c r="G470" s="631"/>
      <c r="H470" s="21"/>
      <c r="I470" s="631"/>
      <c r="J470" s="631"/>
      <c r="L470" s="631"/>
      <c r="M470" s="631"/>
      <c r="N470" s="631"/>
      <c r="O470" s="631"/>
      <c r="P470" s="631"/>
      <c r="Q470" s="631"/>
      <c r="R470" s="631"/>
      <c r="S470" s="631"/>
      <c r="T470" s="631"/>
      <c r="U470" s="43"/>
      <c r="V470" s="45"/>
      <c r="W470" s="45"/>
      <c r="Y470" s="40"/>
    </row>
    <row r="471" spans="1:25" x14ac:dyDescent="0.25">
      <c r="A471" s="20"/>
      <c r="B471" s="631"/>
      <c r="C471" s="631"/>
      <c r="D471" s="631"/>
      <c r="E471" s="631"/>
      <c r="F471" s="631"/>
      <c r="G471" s="631"/>
      <c r="H471" s="21"/>
      <c r="I471" s="631"/>
      <c r="J471" s="631"/>
      <c r="L471" s="631"/>
      <c r="M471" s="631"/>
      <c r="N471" s="631"/>
      <c r="O471" s="631"/>
      <c r="P471" s="631"/>
      <c r="Q471" s="631"/>
      <c r="R471" s="631"/>
      <c r="S471" s="631"/>
      <c r="T471" s="631"/>
      <c r="U471" s="631"/>
      <c r="V471" s="631"/>
      <c r="W471" s="631"/>
      <c r="Y471" s="631"/>
    </row>
    <row r="472" spans="1:25" x14ac:dyDescent="0.25">
      <c r="A472" s="20"/>
      <c r="B472" s="631"/>
      <c r="C472" s="631"/>
      <c r="D472" s="631"/>
      <c r="E472" s="631"/>
      <c r="F472" s="631"/>
      <c r="G472" s="631"/>
      <c r="H472" s="21"/>
      <c r="I472" s="631"/>
      <c r="J472" s="631"/>
      <c r="L472" s="631"/>
      <c r="M472" s="631"/>
      <c r="N472" s="631"/>
      <c r="O472" s="631"/>
      <c r="P472" s="631"/>
      <c r="Q472" s="631"/>
      <c r="R472" s="631"/>
      <c r="S472" s="631"/>
      <c r="T472" s="631"/>
      <c r="U472" s="631"/>
      <c r="V472" s="631"/>
      <c r="W472" s="631"/>
      <c r="Y472" s="631"/>
    </row>
    <row r="473" spans="1:25" x14ac:dyDescent="0.25">
      <c r="A473" s="20"/>
      <c r="B473" s="631"/>
      <c r="C473" s="631"/>
      <c r="D473" s="631"/>
      <c r="E473" s="631"/>
      <c r="F473" s="631"/>
      <c r="G473" s="631"/>
      <c r="H473" s="21"/>
      <c r="I473" s="631"/>
      <c r="J473" s="631"/>
      <c r="L473" s="631"/>
      <c r="M473" s="631"/>
      <c r="N473" s="631"/>
      <c r="O473" s="631"/>
      <c r="P473" s="631"/>
      <c r="Q473" s="631"/>
      <c r="R473" s="631"/>
      <c r="S473" s="631"/>
      <c r="T473" s="631"/>
      <c r="U473" s="631"/>
      <c r="V473" s="631"/>
      <c r="W473" s="631"/>
      <c r="Y473" s="631"/>
    </row>
    <row r="474" spans="1:25" x14ac:dyDescent="0.25">
      <c r="A474" s="20"/>
      <c r="B474" s="631"/>
      <c r="C474" s="631"/>
      <c r="D474" s="631"/>
      <c r="E474" s="631"/>
      <c r="F474" s="631"/>
      <c r="G474" s="631"/>
      <c r="H474" s="21"/>
      <c r="I474" s="631"/>
      <c r="J474" s="631"/>
      <c r="L474" s="631"/>
      <c r="M474" s="631"/>
      <c r="N474" s="631"/>
      <c r="O474" s="631"/>
      <c r="P474" s="631"/>
      <c r="Q474" s="631"/>
      <c r="R474" s="631"/>
      <c r="S474" s="631"/>
      <c r="T474" s="631"/>
      <c r="U474" s="631"/>
      <c r="V474" s="631"/>
      <c r="W474" s="631"/>
      <c r="Y474" s="631"/>
    </row>
    <row r="475" spans="1:25" x14ac:dyDescent="0.25">
      <c r="A475" s="20"/>
      <c r="B475" s="631"/>
      <c r="C475" s="631"/>
      <c r="D475" s="631"/>
      <c r="E475" s="631"/>
      <c r="F475" s="631"/>
      <c r="G475" s="631"/>
      <c r="H475" s="631"/>
      <c r="I475" s="631"/>
      <c r="J475" s="631"/>
      <c r="L475" s="631"/>
      <c r="M475" s="631"/>
      <c r="N475" s="631"/>
      <c r="O475" s="631"/>
      <c r="P475" s="631"/>
      <c r="Q475" s="631"/>
      <c r="R475" s="631"/>
      <c r="S475" s="631"/>
      <c r="T475" s="631"/>
      <c r="U475" s="631"/>
      <c r="V475" s="631"/>
      <c r="W475" s="631"/>
      <c r="Y475" s="631"/>
    </row>
    <row r="476" spans="1:25" x14ac:dyDescent="0.25">
      <c r="A476" s="20"/>
      <c r="B476" s="631"/>
      <c r="C476" s="631"/>
      <c r="D476" s="631"/>
      <c r="E476" s="631"/>
      <c r="F476" s="631"/>
      <c r="G476" s="631"/>
      <c r="H476" s="21"/>
      <c r="I476" s="631"/>
      <c r="J476" s="631"/>
      <c r="L476" s="631"/>
      <c r="M476" s="631"/>
      <c r="N476" s="631"/>
      <c r="O476" s="631"/>
      <c r="P476" s="631"/>
      <c r="Q476" s="631"/>
      <c r="R476" s="631"/>
      <c r="S476" s="631"/>
      <c r="T476" s="631"/>
      <c r="U476" s="43"/>
      <c r="V476" s="45"/>
      <c r="W476" s="45"/>
      <c r="Y476" s="40"/>
    </row>
    <row r="477" spans="1:25" x14ac:dyDescent="0.25">
      <c r="A477" s="20"/>
      <c r="B477" s="631"/>
      <c r="C477" s="631"/>
      <c r="D477" s="631"/>
      <c r="E477" s="631"/>
      <c r="F477" s="631"/>
      <c r="G477" s="631"/>
      <c r="H477" s="21"/>
      <c r="I477" s="631"/>
      <c r="J477" s="631"/>
      <c r="L477" s="631"/>
      <c r="M477" s="631"/>
      <c r="N477" s="631"/>
      <c r="O477" s="631"/>
      <c r="P477" s="631"/>
      <c r="Q477" s="631"/>
      <c r="R477" s="631"/>
      <c r="S477" s="631"/>
      <c r="T477" s="631"/>
      <c r="U477" s="43"/>
      <c r="V477" s="45"/>
      <c r="W477" s="45"/>
      <c r="Y477" s="40"/>
    </row>
    <row r="478" spans="1:25" x14ac:dyDescent="0.25">
      <c r="A478" s="20"/>
      <c r="B478" s="631"/>
      <c r="C478" s="631"/>
      <c r="D478" s="631"/>
      <c r="E478" s="631"/>
      <c r="F478" s="631"/>
      <c r="G478" s="631"/>
      <c r="H478" s="21"/>
      <c r="I478" s="631"/>
      <c r="J478" s="631"/>
      <c r="L478" s="631"/>
      <c r="M478" s="631"/>
      <c r="N478" s="631"/>
      <c r="O478" s="631"/>
      <c r="P478" s="631"/>
      <c r="Q478" s="631"/>
      <c r="R478" s="631"/>
      <c r="S478" s="631"/>
      <c r="T478" s="631"/>
      <c r="U478" s="43"/>
      <c r="V478" s="45"/>
      <c r="W478" s="45"/>
      <c r="Y478" s="40"/>
    </row>
    <row r="479" spans="1:25" x14ac:dyDescent="0.25">
      <c r="A479" s="20"/>
      <c r="B479" s="631"/>
      <c r="C479" s="631"/>
      <c r="D479" s="631"/>
      <c r="E479" s="631"/>
      <c r="F479" s="631"/>
      <c r="G479" s="631"/>
      <c r="H479" s="21"/>
      <c r="I479" s="631"/>
      <c r="J479" s="631"/>
      <c r="L479" s="631"/>
      <c r="M479" s="631"/>
      <c r="N479" s="631"/>
      <c r="O479" s="631"/>
      <c r="P479" s="631"/>
      <c r="Q479" s="631"/>
      <c r="R479" s="631"/>
      <c r="S479" s="631"/>
      <c r="T479" s="631"/>
      <c r="U479" s="631"/>
      <c r="V479" s="631"/>
      <c r="W479" s="631"/>
      <c r="Y479" s="631"/>
    </row>
    <row r="480" spans="1:25" x14ac:dyDescent="0.25">
      <c r="A480" s="20"/>
      <c r="B480" s="631"/>
      <c r="C480" s="631"/>
      <c r="D480" s="631"/>
      <c r="E480" s="631"/>
      <c r="F480" s="631"/>
      <c r="G480" s="631"/>
      <c r="H480" s="21"/>
      <c r="I480" s="631"/>
      <c r="J480" s="631"/>
      <c r="L480" s="631"/>
      <c r="M480" s="631"/>
      <c r="N480" s="631"/>
      <c r="O480" s="631"/>
      <c r="P480" s="631"/>
      <c r="Q480" s="631"/>
      <c r="R480" s="631"/>
      <c r="S480" s="631"/>
      <c r="T480" s="631"/>
      <c r="U480" s="43"/>
      <c r="V480" s="45"/>
      <c r="W480" s="45"/>
      <c r="Y480" s="40"/>
    </row>
    <row r="481" spans="1:25" x14ac:dyDescent="0.25">
      <c r="A481" s="20"/>
      <c r="B481" s="631"/>
      <c r="C481" s="631"/>
      <c r="D481" s="631"/>
      <c r="E481" s="631"/>
      <c r="F481" s="631"/>
      <c r="G481" s="631"/>
      <c r="H481" s="21"/>
      <c r="I481" s="631"/>
      <c r="J481" s="631"/>
      <c r="L481" s="631"/>
      <c r="M481" s="631"/>
      <c r="N481" s="631"/>
      <c r="O481" s="631"/>
      <c r="P481" s="631"/>
      <c r="Q481" s="631"/>
      <c r="R481" s="631"/>
      <c r="S481" s="631"/>
      <c r="T481" s="631"/>
      <c r="U481" s="631"/>
      <c r="V481" s="631"/>
      <c r="W481" s="631"/>
      <c r="Y481" s="631"/>
    </row>
    <row r="482" spans="1:25" x14ac:dyDescent="0.25">
      <c r="A482" s="20"/>
      <c r="B482" s="631"/>
      <c r="C482" s="631"/>
      <c r="D482" s="631"/>
      <c r="E482" s="631"/>
      <c r="F482" s="631"/>
      <c r="G482" s="631"/>
      <c r="H482" s="21"/>
      <c r="I482" s="631"/>
      <c r="J482" s="631"/>
      <c r="L482" s="631"/>
      <c r="M482" s="631"/>
      <c r="N482" s="631"/>
      <c r="O482" s="631"/>
      <c r="P482" s="631"/>
      <c r="Q482" s="631"/>
      <c r="R482" s="631"/>
      <c r="S482" s="631"/>
      <c r="T482" s="631"/>
      <c r="U482" s="43"/>
      <c r="V482" s="45"/>
      <c r="W482" s="45"/>
      <c r="Y482" s="40"/>
    </row>
    <row r="483" spans="1:25" x14ac:dyDescent="0.25">
      <c r="A483" s="20"/>
      <c r="B483" s="631"/>
      <c r="C483" s="631"/>
      <c r="D483" s="631"/>
      <c r="E483" s="631"/>
      <c r="F483" s="631"/>
      <c r="G483" s="631"/>
      <c r="H483" s="21"/>
      <c r="I483" s="43"/>
      <c r="J483" s="43"/>
      <c r="K483" s="238"/>
      <c r="L483" s="43"/>
      <c r="M483" s="43"/>
      <c r="N483" s="43"/>
      <c r="O483" s="43"/>
      <c r="P483" s="43"/>
      <c r="Q483" s="43"/>
      <c r="R483" s="43"/>
      <c r="S483" s="43"/>
      <c r="T483" s="43"/>
      <c r="U483" s="43"/>
      <c r="V483" s="45"/>
      <c r="W483" s="45"/>
      <c r="Y483" s="40"/>
    </row>
    <row r="484" spans="1:25" x14ac:dyDescent="0.25">
      <c r="A484" s="20"/>
      <c r="B484" s="631"/>
      <c r="C484" s="631"/>
      <c r="D484" s="631"/>
      <c r="E484" s="631"/>
      <c r="F484" s="631"/>
      <c r="G484" s="631"/>
      <c r="H484" s="21"/>
      <c r="I484" s="631"/>
      <c r="J484" s="631"/>
      <c r="L484" s="631"/>
      <c r="M484" s="631"/>
      <c r="N484" s="631"/>
      <c r="O484" s="631"/>
      <c r="P484" s="631"/>
      <c r="Q484" s="631"/>
      <c r="R484" s="631"/>
      <c r="S484" s="631"/>
      <c r="T484" s="631"/>
      <c r="U484" s="631"/>
      <c r="V484" s="631"/>
      <c r="W484" s="631"/>
      <c r="Y484" s="631"/>
    </row>
    <row r="485" spans="1:25" x14ac:dyDescent="0.25">
      <c r="A485" s="20"/>
      <c r="B485" s="631"/>
      <c r="C485" s="631"/>
      <c r="D485" s="631"/>
      <c r="E485" s="631"/>
      <c r="F485" s="631"/>
      <c r="G485" s="631"/>
      <c r="H485" s="631"/>
      <c r="I485" s="631"/>
      <c r="J485" s="631"/>
      <c r="L485" s="631"/>
      <c r="M485" s="631"/>
      <c r="N485" s="631"/>
      <c r="O485" s="631"/>
      <c r="P485" s="631"/>
      <c r="Q485" s="631"/>
      <c r="R485" s="631"/>
      <c r="S485" s="631"/>
      <c r="T485" s="631"/>
      <c r="U485" s="631"/>
      <c r="V485" s="631"/>
      <c r="W485" s="631"/>
      <c r="Y485" s="631"/>
    </row>
    <row r="486" spans="1:25" x14ac:dyDescent="0.25">
      <c r="A486" s="20"/>
      <c r="B486" s="631"/>
      <c r="C486" s="631"/>
      <c r="D486" s="631"/>
      <c r="E486" s="631"/>
      <c r="F486" s="631"/>
      <c r="G486" s="631"/>
      <c r="H486" s="631"/>
      <c r="I486" s="631"/>
      <c r="J486" s="631"/>
      <c r="L486" s="631"/>
      <c r="M486" s="631"/>
      <c r="N486" s="631"/>
      <c r="O486" s="631"/>
      <c r="P486" s="631"/>
      <c r="Q486" s="631"/>
      <c r="R486" s="631"/>
      <c r="S486" s="631"/>
      <c r="T486" s="631"/>
      <c r="U486" s="631"/>
      <c r="V486" s="631"/>
      <c r="W486" s="631"/>
      <c r="Y486" s="631"/>
    </row>
    <row r="487" spans="1:25" x14ac:dyDescent="0.25">
      <c r="A487" s="20"/>
      <c r="B487" s="631"/>
      <c r="C487" s="631"/>
      <c r="D487" s="631"/>
      <c r="E487" s="631"/>
      <c r="F487" s="631"/>
      <c r="G487" s="631"/>
      <c r="H487" s="631"/>
      <c r="I487" s="631"/>
      <c r="J487" s="631"/>
      <c r="L487" s="631"/>
      <c r="M487" s="631"/>
      <c r="N487" s="631"/>
      <c r="O487" s="631"/>
      <c r="P487" s="631"/>
      <c r="Q487" s="631"/>
      <c r="R487" s="631"/>
      <c r="S487" s="631"/>
      <c r="T487" s="631"/>
      <c r="U487" s="631"/>
      <c r="V487" s="631"/>
      <c r="W487" s="631"/>
      <c r="Y487" s="631"/>
    </row>
    <row r="488" spans="1:25" x14ac:dyDescent="0.25">
      <c r="A488" s="20"/>
      <c r="B488" s="631"/>
      <c r="C488" s="631"/>
      <c r="D488" s="631"/>
      <c r="E488" s="631"/>
      <c r="F488" s="631"/>
      <c r="G488" s="631"/>
      <c r="H488" s="21"/>
      <c r="I488" s="631"/>
      <c r="J488" s="631"/>
      <c r="L488" s="631"/>
      <c r="M488" s="631"/>
      <c r="N488" s="631"/>
      <c r="O488" s="631"/>
      <c r="P488" s="631"/>
      <c r="Q488" s="631"/>
      <c r="R488" s="631"/>
      <c r="S488" s="631"/>
      <c r="T488" s="631"/>
      <c r="U488" s="631"/>
      <c r="V488" s="631"/>
      <c r="W488" s="631"/>
      <c r="Y488" s="631"/>
    </row>
    <row r="489" spans="1:25" x14ac:dyDescent="0.25">
      <c r="A489" s="20"/>
      <c r="B489" s="631"/>
      <c r="C489" s="631"/>
      <c r="D489" s="631"/>
      <c r="E489" s="631"/>
      <c r="F489" s="631"/>
      <c r="G489" s="631"/>
      <c r="H489" s="21"/>
      <c r="I489" s="631"/>
      <c r="J489" s="631"/>
      <c r="L489" s="631"/>
      <c r="M489" s="631"/>
      <c r="N489" s="631"/>
      <c r="O489" s="631"/>
      <c r="P489" s="631"/>
      <c r="Q489" s="631"/>
      <c r="R489" s="631"/>
      <c r="S489" s="631"/>
      <c r="T489" s="631"/>
      <c r="U489" s="631"/>
      <c r="V489" s="631"/>
      <c r="W489" s="631"/>
      <c r="Y489" s="631"/>
    </row>
    <row r="490" spans="1:25" x14ac:dyDescent="0.25">
      <c r="A490" s="20"/>
      <c r="B490" s="631"/>
      <c r="C490" s="631"/>
      <c r="D490" s="631"/>
      <c r="E490" s="631"/>
      <c r="F490" s="631"/>
      <c r="G490" s="631"/>
      <c r="H490" s="631"/>
      <c r="I490" s="631"/>
      <c r="J490" s="631"/>
      <c r="L490" s="631"/>
      <c r="M490" s="631"/>
      <c r="N490" s="631"/>
      <c r="O490" s="631"/>
      <c r="P490" s="631"/>
      <c r="Q490" s="631"/>
      <c r="R490" s="631"/>
      <c r="S490" s="631"/>
      <c r="T490" s="631"/>
      <c r="U490" s="631"/>
      <c r="V490" s="631"/>
      <c r="W490" s="631"/>
      <c r="Y490" s="631"/>
    </row>
    <row r="491" spans="1:25" x14ac:dyDescent="0.25">
      <c r="A491" s="20"/>
      <c r="B491" s="631"/>
      <c r="C491" s="631"/>
      <c r="D491" s="631"/>
      <c r="E491" s="631"/>
      <c r="F491" s="631"/>
      <c r="G491" s="631"/>
      <c r="H491" s="631"/>
      <c r="I491" s="631"/>
      <c r="J491" s="631"/>
      <c r="L491" s="631"/>
      <c r="M491" s="631"/>
      <c r="N491" s="631"/>
      <c r="O491" s="631"/>
      <c r="P491" s="631"/>
      <c r="Q491" s="631"/>
      <c r="R491" s="631"/>
      <c r="S491" s="631"/>
      <c r="T491" s="631"/>
      <c r="U491" s="631"/>
      <c r="V491" s="631"/>
      <c r="W491" s="631"/>
      <c r="Y491" s="631"/>
    </row>
    <row r="492" spans="1:25" x14ac:dyDescent="0.25">
      <c r="A492" s="20"/>
      <c r="B492" s="631"/>
      <c r="C492" s="631"/>
      <c r="D492" s="631"/>
      <c r="E492" s="631"/>
      <c r="F492" s="631"/>
      <c r="G492" s="631"/>
      <c r="H492" s="631"/>
      <c r="I492" s="631"/>
      <c r="J492" s="631"/>
      <c r="L492" s="631"/>
      <c r="M492" s="631"/>
      <c r="N492" s="631"/>
      <c r="O492" s="631"/>
      <c r="P492" s="631"/>
      <c r="Q492" s="631"/>
      <c r="R492" s="631"/>
      <c r="S492" s="631"/>
      <c r="T492" s="631"/>
      <c r="U492" s="631"/>
      <c r="V492" s="631"/>
      <c r="W492" s="631"/>
      <c r="Y492" s="631"/>
    </row>
    <row r="493" spans="1:25" x14ac:dyDescent="0.25">
      <c r="A493" s="20"/>
      <c r="B493" s="631"/>
      <c r="C493" s="631"/>
      <c r="D493" s="631"/>
      <c r="E493" s="631"/>
      <c r="F493" s="631"/>
      <c r="G493" s="631"/>
      <c r="H493" s="631"/>
      <c r="I493" s="631"/>
      <c r="J493" s="631"/>
      <c r="L493" s="631"/>
      <c r="M493" s="631"/>
      <c r="N493" s="631"/>
      <c r="O493" s="631"/>
      <c r="P493" s="631"/>
      <c r="Q493" s="631"/>
      <c r="R493" s="631"/>
      <c r="S493" s="631"/>
      <c r="T493" s="631"/>
      <c r="U493" s="631"/>
      <c r="V493" s="631"/>
      <c r="W493" s="631"/>
      <c r="Y493" s="631"/>
    </row>
    <row r="494" spans="1:25" x14ac:dyDescent="0.25">
      <c r="A494" s="20"/>
      <c r="B494" s="631"/>
      <c r="C494" s="631"/>
      <c r="D494" s="631"/>
      <c r="E494" s="631"/>
      <c r="F494" s="631"/>
      <c r="G494" s="631"/>
      <c r="H494" s="21"/>
      <c r="I494" s="43"/>
      <c r="J494" s="43"/>
      <c r="K494" s="238"/>
      <c r="L494" s="43"/>
      <c r="M494" s="43"/>
      <c r="N494" s="43"/>
      <c r="O494" s="43"/>
      <c r="P494" s="43"/>
      <c r="Q494" s="43"/>
      <c r="R494" s="43"/>
      <c r="S494" s="43"/>
      <c r="T494" s="43"/>
      <c r="U494" s="43"/>
      <c r="V494" s="45"/>
      <c r="W494" s="45"/>
      <c r="Y494" s="40"/>
    </row>
    <row r="495" spans="1:25" x14ac:dyDescent="0.25">
      <c r="A495" s="20"/>
      <c r="B495" s="631"/>
      <c r="C495" s="631"/>
      <c r="D495" s="631"/>
      <c r="E495" s="631"/>
      <c r="F495" s="631"/>
      <c r="G495" s="631"/>
      <c r="H495" s="21"/>
      <c r="I495" s="631"/>
      <c r="J495" s="631"/>
      <c r="L495" s="631"/>
      <c r="M495" s="631"/>
      <c r="N495" s="631"/>
      <c r="O495" s="631"/>
      <c r="P495" s="631"/>
      <c r="Q495" s="631"/>
      <c r="R495" s="631"/>
      <c r="S495" s="631"/>
      <c r="T495" s="631"/>
      <c r="U495" s="631"/>
      <c r="V495" s="631"/>
      <c r="W495" s="631"/>
      <c r="Y495" s="631"/>
    </row>
    <row r="496" spans="1:25" x14ac:dyDescent="0.25">
      <c r="A496" s="20"/>
      <c r="B496" s="631"/>
      <c r="C496" s="631"/>
      <c r="D496" s="631"/>
      <c r="E496" s="631"/>
      <c r="F496" s="631"/>
      <c r="G496" s="631"/>
      <c r="H496" s="21"/>
      <c r="I496" s="631"/>
      <c r="J496" s="631"/>
      <c r="L496" s="631"/>
      <c r="M496" s="631"/>
      <c r="N496" s="631"/>
      <c r="O496" s="631"/>
      <c r="P496" s="631"/>
      <c r="Q496" s="631"/>
      <c r="R496" s="631"/>
      <c r="S496" s="631"/>
      <c r="T496" s="631"/>
      <c r="U496" s="631"/>
      <c r="V496" s="631"/>
      <c r="W496" s="631"/>
      <c r="Y496" s="631"/>
    </row>
    <row r="497" spans="1:1" x14ac:dyDescent="0.25">
      <c r="A497" s="20"/>
    </row>
    <row r="498" spans="1:1" x14ac:dyDescent="0.25">
      <c r="A498" s="20"/>
    </row>
    <row r="499" spans="1:1" x14ac:dyDescent="0.25">
      <c r="A499" s="20"/>
    </row>
    <row r="500" spans="1:1" x14ac:dyDescent="0.25">
      <c r="A500" s="2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8">
    <tabColor theme="9" tint="0.59999389629810485"/>
  </sheetPr>
  <dimension ref="A1:AB24"/>
  <sheetViews>
    <sheetView topLeftCell="D1" workbookViewId="0">
      <selection activeCell="A21" sqref="A21"/>
    </sheetView>
  </sheetViews>
  <sheetFormatPr defaultColWidth="9.140625" defaultRowHeight="15" x14ac:dyDescent="0.25"/>
  <cols>
    <col min="1" max="1" width="10.7109375" customWidth="1"/>
    <col min="2" max="2" width="25.85546875" customWidth="1"/>
    <col min="3" max="4" width="15.7109375" customWidth="1"/>
    <col min="5" max="5" width="12.28515625" bestFit="1" customWidth="1"/>
    <col min="6" max="6" width="10.42578125" customWidth="1"/>
    <col min="7" max="7" width="43.7109375" customWidth="1"/>
    <col min="8" max="8" width="10.42578125" customWidth="1"/>
    <col min="9" max="9" width="8.140625" customWidth="1"/>
    <col min="10" max="10" width="9.7109375" bestFit="1" customWidth="1"/>
    <col min="11" max="11" width="36.5703125" bestFit="1" customWidth="1"/>
    <col min="12" max="12" width="15.5703125" customWidth="1"/>
    <col min="13" max="13" width="13" customWidth="1"/>
    <col min="14" max="14" width="16" customWidth="1"/>
    <col min="15" max="15" width="31.7109375" customWidth="1"/>
    <col min="16" max="16" width="20.5703125" customWidth="1"/>
    <col min="17" max="18" width="23.5703125" customWidth="1"/>
    <col min="19" max="19" width="27.140625" bestFit="1" customWidth="1"/>
    <col min="20" max="20" width="30.140625" bestFit="1" customWidth="1"/>
    <col min="21" max="21" width="11.28515625" customWidth="1"/>
    <col min="22" max="22" width="10.5703125" customWidth="1"/>
    <col min="23" max="23" width="14.7109375" bestFit="1" customWidth="1"/>
    <col min="24" max="24" width="105.85546875" bestFit="1" customWidth="1"/>
    <col min="25" max="25" width="11.28515625" customWidth="1"/>
  </cols>
  <sheetData>
    <row r="1" spans="1:25" s="47" customFormat="1" x14ac:dyDescent="0.25">
      <c r="A1" s="296" t="s">
        <v>8556</v>
      </c>
      <c r="X1" s="46"/>
    </row>
    <row r="2" spans="1:25" s="48" customFormat="1" x14ac:dyDescent="0.25">
      <c r="A2" s="40" t="s">
        <v>1</v>
      </c>
      <c r="B2" s="631" t="s">
        <v>3</v>
      </c>
      <c r="C2" s="631" t="s">
        <v>4</v>
      </c>
      <c r="D2" s="631" t="s">
        <v>5</v>
      </c>
      <c r="E2" s="631" t="s">
        <v>6</v>
      </c>
      <c r="F2" s="631" t="s">
        <v>7</v>
      </c>
      <c r="G2" s="631" t="s">
        <v>8</v>
      </c>
      <c r="H2" s="40" t="s">
        <v>9</v>
      </c>
      <c r="I2" s="40" t="s">
        <v>10</v>
      </c>
      <c r="J2" s="40" t="s">
        <v>11</v>
      </c>
      <c r="K2" s="40" t="s">
        <v>8280</v>
      </c>
      <c r="L2" s="40" t="s">
        <v>13</v>
      </c>
      <c r="M2" s="40" t="s">
        <v>14</v>
      </c>
      <c r="N2" s="40" t="s">
        <v>39</v>
      </c>
      <c r="O2" s="40" t="s">
        <v>15</v>
      </c>
      <c r="P2" s="40" t="s">
        <v>8557</v>
      </c>
      <c r="Q2" s="40" t="s">
        <v>8558</v>
      </c>
      <c r="R2" s="49" t="s">
        <v>17</v>
      </c>
      <c r="S2" s="49" t="s">
        <v>18</v>
      </c>
      <c r="T2" s="49" t="s">
        <v>1747</v>
      </c>
      <c r="U2"/>
      <c r="V2" s="40" t="s">
        <v>20</v>
      </c>
      <c r="W2" s="40" t="s">
        <v>21</v>
      </c>
      <c r="X2" s="5" t="s">
        <v>22</v>
      </c>
      <c r="Y2" s="40" t="s">
        <v>23</v>
      </c>
    </row>
    <row r="3" spans="1:25" s="298" customFormat="1" x14ac:dyDescent="0.25">
      <c r="A3" s="297">
        <v>42843</v>
      </c>
      <c r="B3" s="298" t="s">
        <v>8291</v>
      </c>
      <c r="C3" s="298">
        <v>38.081560000000003</v>
      </c>
      <c r="D3" s="298">
        <v>-121.57203</v>
      </c>
      <c r="E3" s="298" t="s">
        <v>8559</v>
      </c>
      <c r="F3" s="298" t="s">
        <v>46</v>
      </c>
      <c r="G3" s="298" t="s">
        <v>582</v>
      </c>
      <c r="H3" s="299">
        <v>0.3576388888888889</v>
      </c>
      <c r="I3" s="300" t="s">
        <v>4500</v>
      </c>
      <c r="J3" s="300" t="s">
        <v>4501</v>
      </c>
      <c r="K3" s="300" t="s">
        <v>8283</v>
      </c>
      <c r="L3" s="300">
        <v>2</v>
      </c>
      <c r="M3" s="300">
        <v>10</v>
      </c>
      <c r="N3" s="300" t="s">
        <v>49</v>
      </c>
      <c r="O3" s="300">
        <v>40.75</v>
      </c>
      <c r="P3" s="300">
        <f>AVERAGE(100.5,82.9)</f>
        <v>91.7</v>
      </c>
      <c r="Q3" s="300">
        <f>AVERAGE(87.4,83.6)</f>
        <v>85.5</v>
      </c>
      <c r="R3" s="300"/>
      <c r="S3" s="301">
        <v>19.035</v>
      </c>
      <c r="T3" s="301">
        <v>32.25</v>
      </c>
      <c r="U3" s="302" t="s">
        <v>50</v>
      </c>
      <c r="V3" s="303">
        <v>0</v>
      </c>
      <c r="W3" s="303" t="s">
        <v>50</v>
      </c>
      <c r="X3" s="302"/>
      <c r="Y3" s="303" t="s">
        <v>6671</v>
      </c>
    </row>
    <row r="4" spans="1:25" s="298" customFormat="1" x14ac:dyDescent="0.25">
      <c r="A4" s="297">
        <v>42843</v>
      </c>
      <c r="B4" s="298" t="s">
        <v>8291</v>
      </c>
      <c r="C4" s="298">
        <v>38.01717</v>
      </c>
      <c r="D4" s="298">
        <v>-121.57265</v>
      </c>
      <c r="E4" s="298" t="s">
        <v>8560</v>
      </c>
      <c r="F4" s="298" t="s">
        <v>46</v>
      </c>
      <c r="G4" s="298" t="s">
        <v>74</v>
      </c>
      <c r="H4" s="304">
        <v>0.4368055555555555</v>
      </c>
      <c r="I4" s="302" t="s">
        <v>4500</v>
      </c>
      <c r="J4" s="302" t="s">
        <v>4501</v>
      </c>
      <c r="K4" s="302" t="s">
        <v>8283</v>
      </c>
      <c r="L4" s="302">
        <v>2</v>
      </c>
      <c r="M4" s="302">
        <v>5</v>
      </c>
      <c r="N4" s="302" t="s">
        <v>49</v>
      </c>
      <c r="O4" s="300">
        <v>22</v>
      </c>
      <c r="P4" s="300">
        <f>AVERAGE(127.1,129.1)</f>
        <v>128.1</v>
      </c>
      <c r="Q4" s="300">
        <f>AVERAGE(126.8,128.8)</f>
        <v>127.80000000000001</v>
      </c>
      <c r="R4" s="300"/>
      <c r="S4" s="301">
        <v>7.7200000000000006</v>
      </c>
      <c r="T4" s="301">
        <v>15.72</v>
      </c>
      <c r="U4" s="302" t="s">
        <v>50</v>
      </c>
      <c r="V4" s="303">
        <v>0</v>
      </c>
      <c r="W4" s="303" t="s">
        <v>50</v>
      </c>
      <c r="X4" s="305" t="s">
        <v>8561</v>
      </c>
      <c r="Y4" s="303" t="s">
        <v>6671</v>
      </c>
    </row>
    <row r="5" spans="1:25" s="298" customFormat="1" x14ac:dyDescent="0.25">
      <c r="A5" s="297">
        <v>42843</v>
      </c>
      <c r="B5" s="298" t="s">
        <v>8291</v>
      </c>
      <c r="C5" s="298">
        <v>38.0946</v>
      </c>
      <c r="D5" s="298">
        <v>-121.65094999999999</v>
      </c>
      <c r="E5" s="298" t="s">
        <v>8562</v>
      </c>
      <c r="F5" s="298" t="s">
        <v>46</v>
      </c>
      <c r="G5" s="298" t="s">
        <v>97</v>
      </c>
      <c r="H5" s="304">
        <v>0.49236111111111108</v>
      </c>
      <c r="I5" s="302" t="s">
        <v>4500</v>
      </c>
      <c r="J5" s="302" t="s">
        <v>4501</v>
      </c>
      <c r="K5" s="300" t="s">
        <v>8283</v>
      </c>
      <c r="L5" s="302">
        <v>2</v>
      </c>
      <c r="M5" s="302">
        <v>10</v>
      </c>
      <c r="N5" s="302" t="s">
        <v>49</v>
      </c>
      <c r="O5" s="300">
        <v>32.5</v>
      </c>
      <c r="P5" s="300">
        <f>AVERAGE(96,75.4)</f>
        <v>85.7</v>
      </c>
      <c r="Q5" s="300">
        <f>AVERAGE(97,96.4)</f>
        <v>96.7</v>
      </c>
      <c r="R5" s="300"/>
      <c r="S5" s="301">
        <v>8.9250000000000007</v>
      </c>
      <c r="T5" s="301">
        <v>11.16</v>
      </c>
      <c r="U5" s="302" t="s">
        <v>50</v>
      </c>
      <c r="V5" s="306">
        <v>0</v>
      </c>
      <c r="W5" s="306" t="s">
        <v>50</v>
      </c>
      <c r="X5" s="305"/>
      <c r="Y5" s="303" t="s">
        <v>6671</v>
      </c>
    </row>
    <row r="6" spans="1:25" s="298" customFormat="1" x14ac:dyDescent="0.25">
      <c r="A6" s="297">
        <v>42843</v>
      </c>
      <c r="B6" s="298" t="s">
        <v>8296</v>
      </c>
      <c r="C6" s="298">
        <v>38.068530000000003</v>
      </c>
      <c r="D6" s="298">
        <v>-121.98237</v>
      </c>
      <c r="E6" s="298" t="s">
        <v>8563</v>
      </c>
      <c r="F6" s="298" t="s">
        <v>27</v>
      </c>
      <c r="G6" s="298" t="s">
        <v>86</v>
      </c>
      <c r="H6" s="304">
        <v>0.37083333333333335</v>
      </c>
      <c r="I6" s="302" t="s">
        <v>4500</v>
      </c>
      <c r="J6" s="302" t="s">
        <v>4501</v>
      </c>
      <c r="K6" s="302" t="s">
        <v>8283</v>
      </c>
      <c r="L6" s="302">
        <v>2</v>
      </c>
      <c r="M6" s="302">
        <v>10</v>
      </c>
      <c r="N6" s="302" t="s">
        <v>49</v>
      </c>
      <c r="O6" s="300">
        <f>AVERAGE(21.1,20.6)</f>
        <v>20.85</v>
      </c>
      <c r="P6" s="300">
        <f>AVERAGE(107.4,109.9)</f>
        <v>108.65</v>
      </c>
      <c r="Q6" s="300">
        <f>AVERAGE(103.3,107)</f>
        <v>105.15</v>
      </c>
      <c r="R6" s="300"/>
      <c r="S6" s="301">
        <v>12</v>
      </c>
      <c r="T6" s="301">
        <v>23.200000000000003</v>
      </c>
      <c r="U6" s="302" t="s">
        <v>50</v>
      </c>
      <c r="V6" s="306">
        <v>0</v>
      </c>
      <c r="W6" s="306" t="s">
        <v>50</v>
      </c>
      <c r="X6" s="305"/>
      <c r="Y6" s="303" t="s">
        <v>6671</v>
      </c>
    </row>
    <row r="7" spans="1:25" s="298" customFormat="1" x14ac:dyDescent="0.25">
      <c r="A7" s="297">
        <v>42843</v>
      </c>
      <c r="B7" s="298" t="s">
        <v>8296</v>
      </c>
      <c r="C7" s="298">
        <v>38.136290000000002</v>
      </c>
      <c r="D7" s="298">
        <v>-122.06107</v>
      </c>
      <c r="E7" s="298" t="s">
        <v>8564</v>
      </c>
      <c r="F7" s="298" t="s">
        <v>27</v>
      </c>
      <c r="G7" s="298" t="s">
        <v>62</v>
      </c>
      <c r="H7" s="304">
        <v>0.42499999999999999</v>
      </c>
      <c r="I7" s="302" t="s">
        <v>4500</v>
      </c>
      <c r="J7" s="302" t="s">
        <v>4501</v>
      </c>
      <c r="K7" s="300" t="s">
        <v>8283</v>
      </c>
      <c r="L7" s="302">
        <v>2</v>
      </c>
      <c r="M7" s="302">
        <v>10</v>
      </c>
      <c r="N7" s="302" t="s">
        <v>49</v>
      </c>
      <c r="O7" s="302">
        <v>27.3</v>
      </c>
      <c r="P7" s="302">
        <f>AVERAGE(528,550)</f>
        <v>539</v>
      </c>
      <c r="Q7" s="300">
        <f>AVERAGE(601,629)</f>
        <v>615</v>
      </c>
      <c r="R7" s="300"/>
      <c r="S7" s="301">
        <v>43.8</v>
      </c>
      <c r="T7" s="301">
        <v>540.5</v>
      </c>
      <c r="U7" s="302" t="s">
        <v>50</v>
      </c>
      <c r="V7" s="306">
        <v>0</v>
      </c>
      <c r="W7" s="306" t="s">
        <v>50</v>
      </c>
      <c r="X7" s="305"/>
      <c r="Y7" s="303" t="s">
        <v>6671</v>
      </c>
    </row>
    <row r="8" spans="1:25" s="298" customFormat="1" x14ac:dyDescent="0.25">
      <c r="A8" s="297">
        <v>42843</v>
      </c>
      <c r="B8" s="298" t="s">
        <v>8296</v>
      </c>
      <c r="C8" s="298">
        <v>38.02704</v>
      </c>
      <c r="D8" s="298">
        <v>-121.83833</v>
      </c>
      <c r="E8" s="298" t="s">
        <v>8565</v>
      </c>
      <c r="F8" s="298" t="s">
        <v>27</v>
      </c>
      <c r="G8" s="298" t="s">
        <v>95</v>
      </c>
      <c r="H8" s="304">
        <v>0.48888888888888887</v>
      </c>
      <c r="I8" s="302" t="s">
        <v>4500</v>
      </c>
      <c r="J8" s="302" t="s">
        <v>4501</v>
      </c>
      <c r="K8" s="302" t="s">
        <v>8283</v>
      </c>
      <c r="L8" s="302">
        <v>2</v>
      </c>
      <c r="M8" s="302">
        <v>10</v>
      </c>
      <c r="N8" s="302" t="s">
        <v>49</v>
      </c>
      <c r="O8" s="302">
        <f>AVERAGE(33.7,30.3)</f>
        <v>32</v>
      </c>
      <c r="P8" s="302">
        <f>AVERAGE(114.2,117)</f>
        <v>115.6</v>
      </c>
      <c r="Q8" s="300">
        <f>AVERAGE(114.9,117.4)</f>
        <v>116.15</v>
      </c>
      <c r="R8" s="300"/>
      <c r="S8" s="301">
        <v>68.650000000000006</v>
      </c>
      <c r="T8" s="301">
        <v>24.700000000000003</v>
      </c>
      <c r="U8" s="302" t="s">
        <v>50</v>
      </c>
      <c r="V8" s="306">
        <v>0</v>
      </c>
      <c r="W8" s="306" t="s">
        <v>50</v>
      </c>
      <c r="X8" s="305"/>
      <c r="Y8" s="303" t="s">
        <v>6671</v>
      </c>
    </row>
    <row r="9" spans="1:25" s="298" customFormat="1" x14ac:dyDescent="0.25">
      <c r="A9" s="297">
        <v>42844</v>
      </c>
      <c r="B9" s="298" t="s">
        <v>8291</v>
      </c>
      <c r="C9" s="298">
        <v>37.976199999999999</v>
      </c>
      <c r="D9" s="298">
        <v>-121.59891</v>
      </c>
      <c r="E9" s="298" t="s">
        <v>8566</v>
      </c>
      <c r="F9" s="298" t="s">
        <v>46</v>
      </c>
      <c r="G9" s="298" t="s">
        <v>423</v>
      </c>
      <c r="H9" s="304">
        <v>0.3354166666666667</v>
      </c>
      <c r="I9" s="302" t="s">
        <v>4500</v>
      </c>
      <c r="J9" s="302" t="s">
        <v>4501</v>
      </c>
      <c r="K9" s="300" t="s">
        <v>8283</v>
      </c>
      <c r="L9" s="302">
        <v>2</v>
      </c>
      <c r="M9" s="302">
        <v>10</v>
      </c>
      <c r="N9" s="302" t="s">
        <v>49</v>
      </c>
      <c r="O9" s="302">
        <v>16</v>
      </c>
      <c r="P9" s="302">
        <f>AVERAGE(147.5,146.9)</f>
        <v>147.19999999999999</v>
      </c>
      <c r="Q9" s="300">
        <f>AVERAGE(150.7,146.8)</f>
        <v>148.75</v>
      </c>
      <c r="R9" s="301">
        <v>1.385</v>
      </c>
      <c r="S9" s="301">
        <v>6.8</v>
      </c>
      <c r="T9" s="301">
        <v>16.47</v>
      </c>
      <c r="U9" s="302" t="s">
        <v>50</v>
      </c>
      <c r="V9" s="306">
        <v>0</v>
      </c>
      <c r="W9" s="306" t="s">
        <v>50</v>
      </c>
      <c r="X9" s="305" t="s">
        <v>8567</v>
      </c>
      <c r="Y9" s="303" t="s">
        <v>6671</v>
      </c>
    </row>
    <row r="10" spans="1:25" s="298" customFormat="1" x14ac:dyDescent="0.25">
      <c r="A10" s="297">
        <v>42844</v>
      </c>
      <c r="B10" s="298" t="s">
        <v>8291</v>
      </c>
      <c r="C10" s="298">
        <v>38.0809</v>
      </c>
      <c r="D10" s="298">
        <v>-121.44553999999999</v>
      </c>
      <c r="E10" s="298" t="s">
        <v>8568</v>
      </c>
      <c r="F10" s="298" t="s">
        <v>46</v>
      </c>
      <c r="G10" s="298" t="s">
        <v>6883</v>
      </c>
      <c r="H10" s="304">
        <v>0.42430555555555555</v>
      </c>
      <c r="I10" s="302" t="s">
        <v>4500</v>
      </c>
      <c r="J10" s="302" t="s">
        <v>4501</v>
      </c>
      <c r="K10" s="302" t="s">
        <v>8283</v>
      </c>
      <c r="L10" s="302">
        <v>2</v>
      </c>
      <c r="M10" s="302">
        <v>10</v>
      </c>
      <c r="N10" s="302" t="s">
        <v>64</v>
      </c>
      <c r="O10" s="302">
        <v>15</v>
      </c>
      <c r="P10" s="302">
        <f>AVERAGE(99.7,100.9)</f>
        <v>100.30000000000001</v>
      </c>
      <c r="Q10" s="300">
        <f>AVERAGE(99.3,99.9)</f>
        <v>99.6</v>
      </c>
      <c r="R10" s="301">
        <v>1.8</v>
      </c>
      <c r="S10" s="301">
        <v>4.58</v>
      </c>
      <c r="T10" s="301">
        <v>10.51</v>
      </c>
      <c r="U10" s="302" t="s">
        <v>50</v>
      </c>
      <c r="V10" s="306">
        <v>0</v>
      </c>
      <c r="W10" s="306" t="s">
        <v>50</v>
      </c>
      <c r="X10" s="305"/>
      <c r="Y10" s="303" t="s">
        <v>6671</v>
      </c>
    </row>
    <row r="11" spans="1:25" s="298" customFormat="1" x14ac:dyDescent="0.25">
      <c r="A11" s="297">
        <v>42844</v>
      </c>
      <c r="B11" s="298" t="s">
        <v>8291</v>
      </c>
      <c r="C11" s="298">
        <v>37.952249999999999</v>
      </c>
      <c r="D11" s="298">
        <v>-121.53242</v>
      </c>
      <c r="E11" s="298" t="s">
        <v>8569</v>
      </c>
      <c r="F11" s="298" t="s">
        <v>46</v>
      </c>
      <c r="G11" s="298" t="s">
        <v>6926</v>
      </c>
      <c r="H11" s="304">
        <v>0.51041666666666663</v>
      </c>
      <c r="I11" s="302" t="s">
        <v>4500</v>
      </c>
      <c r="J11" s="302" t="s">
        <v>4501</v>
      </c>
      <c r="K11" s="300" t="s">
        <v>8283</v>
      </c>
      <c r="L11" s="302">
        <v>2</v>
      </c>
      <c r="M11" s="302">
        <v>10</v>
      </c>
      <c r="N11" s="302" t="s">
        <v>49</v>
      </c>
      <c r="O11" s="302">
        <v>24</v>
      </c>
      <c r="P11" s="302">
        <f>AVERAGE(108.3,107.5)</f>
        <v>107.9</v>
      </c>
      <c r="Q11" s="300">
        <f>AVERAGE(113.2,109)</f>
        <v>111.1</v>
      </c>
      <c r="R11" s="301">
        <v>1.2749999999999999</v>
      </c>
      <c r="S11" s="301">
        <v>7.415</v>
      </c>
      <c r="T11" s="301">
        <v>10.14</v>
      </c>
      <c r="U11" s="302" t="s">
        <v>50</v>
      </c>
      <c r="V11" s="306">
        <v>0</v>
      </c>
      <c r="W11" s="306" t="s">
        <v>50</v>
      </c>
      <c r="X11" s="305"/>
      <c r="Y11" s="303" t="s">
        <v>6671</v>
      </c>
    </row>
    <row r="12" spans="1:25" s="298" customFormat="1" x14ac:dyDescent="0.25">
      <c r="A12" s="297">
        <v>42844</v>
      </c>
      <c r="B12" s="298" t="s">
        <v>8296</v>
      </c>
      <c r="C12" s="298">
        <v>38.026499999999999</v>
      </c>
      <c r="D12" s="298">
        <v>-121.74262</v>
      </c>
      <c r="E12" s="307" t="s">
        <v>8570</v>
      </c>
      <c r="F12" s="298" t="s">
        <v>27</v>
      </c>
      <c r="G12" s="298" t="s">
        <v>95</v>
      </c>
      <c r="H12" s="304">
        <v>0.35972222222222222</v>
      </c>
      <c r="I12" s="302" t="s">
        <v>4500</v>
      </c>
      <c r="J12" s="302" t="s">
        <v>4501</v>
      </c>
      <c r="K12" s="302" t="s">
        <v>8283</v>
      </c>
      <c r="L12" s="302">
        <v>2</v>
      </c>
      <c r="M12" s="302">
        <v>10</v>
      </c>
      <c r="N12" s="302" t="s">
        <v>64</v>
      </c>
      <c r="O12" s="302">
        <v>35</v>
      </c>
      <c r="P12" s="302">
        <f>AVERAGE(111.7,111.5)</f>
        <v>111.6</v>
      </c>
      <c r="Q12" s="300">
        <f>AVERAGE(109.7,109.7)</f>
        <v>109.7</v>
      </c>
      <c r="R12" s="301">
        <v>1.165</v>
      </c>
      <c r="S12" s="301">
        <v>8.6349999999999998</v>
      </c>
      <c r="T12" s="301">
        <v>10.355</v>
      </c>
      <c r="U12" s="302" t="s">
        <v>50</v>
      </c>
      <c r="V12" s="306">
        <v>0</v>
      </c>
      <c r="W12" s="306" t="s">
        <v>50</v>
      </c>
      <c r="X12" s="305"/>
      <c r="Y12" s="303" t="s">
        <v>6671</v>
      </c>
    </row>
    <row r="13" spans="1:25" s="298" customFormat="1" x14ac:dyDescent="0.25">
      <c r="A13" s="297">
        <v>42844</v>
      </c>
      <c r="B13" s="298" t="s">
        <v>8296</v>
      </c>
      <c r="C13" s="298">
        <v>38.071489999999997</v>
      </c>
      <c r="D13" s="298">
        <v>-121.9616</v>
      </c>
      <c r="E13" s="298" t="s">
        <v>8571</v>
      </c>
      <c r="F13" s="298" t="s">
        <v>27</v>
      </c>
      <c r="G13" s="298" t="s">
        <v>170</v>
      </c>
      <c r="H13" s="304">
        <v>0.42569444444444443</v>
      </c>
      <c r="I13" s="302" t="s">
        <v>4500</v>
      </c>
      <c r="J13" s="302" t="s">
        <v>4501</v>
      </c>
      <c r="K13" s="300" t="s">
        <v>8283</v>
      </c>
      <c r="L13" s="302">
        <v>2</v>
      </c>
      <c r="M13" s="302">
        <v>10</v>
      </c>
      <c r="N13" s="302" t="s">
        <v>49</v>
      </c>
      <c r="O13" s="302">
        <v>12</v>
      </c>
      <c r="P13" s="302">
        <f>AVERAGE(114.1,115.6)</f>
        <v>114.85</v>
      </c>
      <c r="Q13" s="300">
        <f>AVERAGE(117.1,114.9)</f>
        <v>116</v>
      </c>
      <c r="R13" s="308">
        <v>0.81</v>
      </c>
      <c r="S13" s="308">
        <v>12.2</v>
      </c>
      <c r="T13" s="308">
        <v>13.399999999999999</v>
      </c>
      <c r="U13" s="302" t="s">
        <v>50</v>
      </c>
      <c r="V13" s="306">
        <v>0</v>
      </c>
      <c r="W13" s="306" t="s">
        <v>50</v>
      </c>
      <c r="X13" s="305"/>
      <c r="Y13" s="303" t="s">
        <v>6671</v>
      </c>
    </row>
    <row r="14" spans="1:25" s="298" customFormat="1" x14ac:dyDescent="0.25">
      <c r="A14" s="297">
        <v>42844</v>
      </c>
      <c r="B14" s="298" t="s">
        <v>8296</v>
      </c>
      <c r="C14" s="298">
        <v>38.098030000000001</v>
      </c>
      <c r="D14" s="298">
        <v>-122.04846999999999</v>
      </c>
      <c r="E14" s="298" t="s">
        <v>8572</v>
      </c>
      <c r="F14" s="298" t="s">
        <v>27</v>
      </c>
      <c r="G14" s="298" t="s">
        <v>86</v>
      </c>
      <c r="H14" s="304">
        <v>0.4770833333333333</v>
      </c>
      <c r="I14" s="302" t="s">
        <v>4500</v>
      </c>
      <c r="J14" s="302" t="s">
        <v>4501</v>
      </c>
      <c r="K14" s="302" t="s">
        <v>8283</v>
      </c>
      <c r="L14" s="302">
        <v>2</v>
      </c>
      <c r="M14" s="302">
        <v>10</v>
      </c>
      <c r="N14" s="302" t="s">
        <v>49</v>
      </c>
      <c r="O14" s="302">
        <v>17</v>
      </c>
      <c r="P14" s="302">
        <f>AVERAGE(117.5,118.1)</f>
        <v>117.8</v>
      </c>
      <c r="Q14" s="300">
        <f>AVERAGE(124.2,120.7)</f>
        <v>122.45</v>
      </c>
      <c r="R14" s="308">
        <v>0.72499999999999998</v>
      </c>
      <c r="S14" s="308">
        <v>17.8</v>
      </c>
      <c r="T14" s="308">
        <v>19.8</v>
      </c>
      <c r="U14" s="302" t="s">
        <v>50</v>
      </c>
      <c r="V14" s="306">
        <v>0</v>
      </c>
      <c r="W14" s="306" t="s">
        <v>50</v>
      </c>
      <c r="X14" s="305"/>
      <c r="Y14" s="303" t="s">
        <v>6671</v>
      </c>
    </row>
    <row r="15" spans="1:25" s="298" customFormat="1" x14ac:dyDescent="0.25">
      <c r="A15" s="297">
        <v>42845</v>
      </c>
      <c r="B15" s="298" t="s">
        <v>8285</v>
      </c>
      <c r="C15" s="298">
        <v>38.037329999999997</v>
      </c>
      <c r="D15" s="298">
        <v>-122.32307</v>
      </c>
      <c r="E15" s="298" t="s">
        <v>8573</v>
      </c>
      <c r="F15" s="298" t="s">
        <v>80</v>
      </c>
      <c r="G15" s="298" t="s">
        <v>123</v>
      </c>
      <c r="H15" s="304">
        <v>0.38680555555555557</v>
      </c>
      <c r="I15" s="302" t="s">
        <v>4500</v>
      </c>
      <c r="J15" s="302" t="s">
        <v>4501</v>
      </c>
      <c r="K15" s="300" t="s">
        <v>8283</v>
      </c>
      <c r="L15" s="302">
        <v>2</v>
      </c>
      <c r="M15" s="302">
        <v>10</v>
      </c>
      <c r="N15" s="302" t="s">
        <v>49</v>
      </c>
      <c r="O15" s="302">
        <f>AVERAGE(20,20)</f>
        <v>20</v>
      </c>
      <c r="P15" s="302">
        <f>AVERAGE(4473,4408)</f>
        <v>4440.5</v>
      </c>
      <c r="Q15" s="300">
        <f>AVERAGE(14321,14531)</f>
        <v>14426</v>
      </c>
      <c r="R15" s="308">
        <v>0.81499999999999995</v>
      </c>
      <c r="S15" s="308">
        <v>13</v>
      </c>
      <c r="T15" s="308">
        <v>26.7</v>
      </c>
      <c r="U15" s="302" t="s">
        <v>50</v>
      </c>
      <c r="V15" s="306">
        <v>0</v>
      </c>
      <c r="W15" s="306" t="s">
        <v>50</v>
      </c>
      <c r="X15" s="305"/>
      <c r="Y15" s="303" t="s">
        <v>6671</v>
      </c>
    </row>
    <row r="16" spans="1:25" s="298" customFormat="1" x14ac:dyDescent="0.25">
      <c r="A16" s="297">
        <v>42845</v>
      </c>
      <c r="B16" s="298" t="s">
        <v>8285</v>
      </c>
      <c r="C16" s="298">
        <v>38.051940000000002</v>
      </c>
      <c r="D16" s="298">
        <v>-122.18272</v>
      </c>
      <c r="E16" s="298" t="s">
        <v>8574</v>
      </c>
      <c r="F16" s="298" t="s">
        <v>80</v>
      </c>
      <c r="G16" s="298" t="s">
        <v>120</v>
      </c>
      <c r="H16" s="304">
        <v>0.43888888888888888</v>
      </c>
      <c r="I16" s="302" t="s">
        <v>4500</v>
      </c>
      <c r="J16" s="302" t="s">
        <v>4501</v>
      </c>
      <c r="K16" s="302" t="s">
        <v>8283</v>
      </c>
      <c r="L16" s="302">
        <v>2</v>
      </c>
      <c r="M16" s="302">
        <v>10</v>
      </c>
      <c r="N16" s="302" t="s">
        <v>49</v>
      </c>
      <c r="O16" s="302">
        <f>AVERAGE(65,65)</f>
        <v>65</v>
      </c>
      <c r="P16" s="302">
        <f>AVERAGE(658,319.4)</f>
        <v>488.7</v>
      </c>
      <c r="Q16" s="300">
        <f>AVERAGE(18526,18760)</f>
        <v>18643</v>
      </c>
      <c r="R16" s="308">
        <v>0.64</v>
      </c>
      <c r="S16" s="308">
        <v>14.05</v>
      </c>
      <c r="T16" s="308">
        <v>60.85</v>
      </c>
      <c r="U16" s="302" t="s">
        <v>31</v>
      </c>
      <c r="V16" s="303">
        <v>6</v>
      </c>
      <c r="W16" s="303" t="s">
        <v>8575</v>
      </c>
      <c r="X16" s="305"/>
      <c r="Y16" s="303" t="s">
        <v>6671</v>
      </c>
    </row>
    <row r="17" spans="1:28" s="298" customFormat="1" x14ac:dyDescent="0.25">
      <c r="A17" s="297">
        <v>42845</v>
      </c>
      <c r="B17" s="298" t="s">
        <v>8285</v>
      </c>
      <c r="C17" s="298">
        <v>38.051940000000002</v>
      </c>
      <c r="D17" s="298">
        <v>-122.18272</v>
      </c>
      <c r="E17" s="298" t="s">
        <v>8574</v>
      </c>
      <c r="F17" s="298" t="s">
        <v>80</v>
      </c>
      <c r="G17" s="298" t="s">
        <v>120</v>
      </c>
      <c r="H17" s="304"/>
      <c r="I17" s="302"/>
      <c r="J17" s="302"/>
      <c r="K17" s="302"/>
      <c r="L17" s="302"/>
      <c r="M17" s="302"/>
      <c r="N17" s="302"/>
      <c r="O17" s="302"/>
      <c r="P17" s="302"/>
      <c r="Q17" s="302"/>
      <c r="R17" s="302"/>
      <c r="S17" s="302"/>
      <c r="T17" s="302"/>
      <c r="U17" s="302" t="s">
        <v>323</v>
      </c>
      <c r="V17" s="303">
        <v>1</v>
      </c>
      <c r="W17" s="303">
        <v>20</v>
      </c>
      <c r="X17" s="305"/>
      <c r="Y17" s="303" t="s">
        <v>6671</v>
      </c>
    </row>
    <row r="18" spans="1:28" s="298" customFormat="1" x14ac:dyDescent="0.25">
      <c r="A18" s="297">
        <v>42845</v>
      </c>
      <c r="B18" s="298" t="s">
        <v>8285</v>
      </c>
      <c r="C18" s="298">
        <v>38.061579999999999</v>
      </c>
      <c r="D18" s="298">
        <v>-122.3198</v>
      </c>
      <c r="E18" s="298" t="s">
        <v>8576</v>
      </c>
      <c r="F18" s="298" t="s">
        <v>80</v>
      </c>
      <c r="G18" s="298" t="s">
        <v>123</v>
      </c>
      <c r="H18" s="304">
        <v>0.49722222222222223</v>
      </c>
      <c r="I18" s="302" t="s">
        <v>4500</v>
      </c>
      <c r="J18" s="302" t="s">
        <v>4501</v>
      </c>
      <c r="K18" s="302" t="s">
        <v>8283</v>
      </c>
      <c r="L18" s="302">
        <v>2</v>
      </c>
      <c r="M18" s="302">
        <v>10</v>
      </c>
      <c r="N18" s="302" t="s">
        <v>49</v>
      </c>
      <c r="O18" s="302">
        <f>AVERAGE(10,10)</f>
        <v>10</v>
      </c>
      <c r="P18" s="302">
        <f>AVERAGE(6463,5607)</f>
        <v>6035</v>
      </c>
      <c r="Q18" s="300">
        <f>AVERAGE(8734,5193)</f>
        <v>6963.5</v>
      </c>
      <c r="R18" s="308">
        <v>0.44500000000000001</v>
      </c>
      <c r="S18" s="308">
        <v>24.35</v>
      </c>
      <c r="T18" s="308">
        <v>49.2</v>
      </c>
      <c r="U18" s="309" t="s">
        <v>31</v>
      </c>
      <c r="V18" s="310">
        <v>10</v>
      </c>
      <c r="W18" s="310" t="s">
        <v>8577</v>
      </c>
      <c r="X18" s="305"/>
      <c r="Y18" s="303" t="s">
        <v>6671</v>
      </c>
    </row>
    <row r="19" spans="1:28" s="298" customFormat="1" x14ac:dyDescent="0.25">
      <c r="A19" s="297">
        <v>42845</v>
      </c>
      <c r="B19" s="298" t="s">
        <v>8281</v>
      </c>
      <c r="C19" s="298">
        <v>38.451610000000002</v>
      </c>
      <c r="D19" s="298">
        <v>-121.5014</v>
      </c>
      <c r="E19" s="298" t="s">
        <v>8578</v>
      </c>
      <c r="F19" s="298" t="s">
        <v>90</v>
      </c>
      <c r="G19" s="298" t="s">
        <v>6851</v>
      </c>
      <c r="H19" s="304">
        <v>0.44861111111111113</v>
      </c>
      <c r="I19" s="302" t="s">
        <v>4500</v>
      </c>
      <c r="J19" s="302" t="s">
        <v>4501</v>
      </c>
      <c r="K19" s="302" t="s">
        <v>8283</v>
      </c>
      <c r="L19" s="302">
        <v>3</v>
      </c>
      <c r="M19" s="302">
        <v>2.5</v>
      </c>
      <c r="N19" s="302" t="s">
        <v>49</v>
      </c>
      <c r="O19" s="302">
        <v>35</v>
      </c>
      <c r="P19" s="302">
        <f>AVERAGE(65.8,66.8,69.5)</f>
        <v>67.36666666666666</v>
      </c>
      <c r="Q19" s="300">
        <f>AVERAGE(67.5,68.1,70.9)</f>
        <v>68.833333333333329</v>
      </c>
      <c r="R19" s="311">
        <v>0.52333333333333332</v>
      </c>
      <c r="S19" s="311">
        <v>22.633333333333336</v>
      </c>
      <c r="T19" s="311">
        <v>24.033333333333331</v>
      </c>
      <c r="U19" s="302" t="s">
        <v>50</v>
      </c>
      <c r="V19" s="306">
        <v>0</v>
      </c>
      <c r="W19" s="306" t="s">
        <v>50</v>
      </c>
      <c r="X19" s="305" t="s">
        <v>8579</v>
      </c>
      <c r="Y19" s="306" t="s">
        <v>6671</v>
      </c>
    </row>
    <row r="20" spans="1:28" s="298" customFormat="1" x14ac:dyDescent="0.25">
      <c r="A20" s="297">
        <v>42845</v>
      </c>
      <c r="B20" s="298" t="s">
        <v>8281</v>
      </c>
      <c r="C20" s="298">
        <v>38.4514</v>
      </c>
      <c r="D20" s="298">
        <v>-121.5014</v>
      </c>
      <c r="E20" s="298" t="s">
        <v>8580</v>
      </c>
      <c r="F20" s="298" t="s">
        <v>90</v>
      </c>
      <c r="G20" s="298" t="s">
        <v>6851</v>
      </c>
      <c r="H20" s="304">
        <v>0.52013888888888882</v>
      </c>
      <c r="I20" s="302" t="s">
        <v>4500</v>
      </c>
      <c r="J20" s="302" t="s">
        <v>4501</v>
      </c>
      <c r="K20" s="302" t="s">
        <v>8283</v>
      </c>
      <c r="L20" s="302">
        <v>3</v>
      </c>
      <c r="M20" s="302">
        <v>5</v>
      </c>
      <c r="N20" s="302" t="s">
        <v>49</v>
      </c>
      <c r="O20" s="302">
        <v>28</v>
      </c>
      <c r="P20" s="302">
        <f>AVERAGE(66.5,66.6,66.6)</f>
        <v>66.566666666666663</v>
      </c>
      <c r="Q20" s="300">
        <f>AVERAGE(68.7,66.8,69.1)</f>
        <v>68.2</v>
      </c>
      <c r="R20" s="311">
        <v>0.47666666666666663</v>
      </c>
      <c r="S20" s="311">
        <v>26.633333333333336</v>
      </c>
      <c r="T20" s="311">
        <v>22.400000000000002</v>
      </c>
      <c r="U20" s="302" t="s">
        <v>50</v>
      </c>
      <c r="V20" s="306">
        <v>0</v>
      </c>
      <c r="W20" s="306" t="s">
        <v>50</v>
      </c>
      <c r="X20" s="305" t="s">
        <v>8581</v>
      </c>
      <c r="Y20" s="306" t="s">
        <v>6671</v>
      </c>
    </row>
    <row r="21" spans="1:28" s="313" customFormat="1" ht="15.75" thickBot="1" x14ac:dyDescent="0.3">
      <c r="A21" s="312">
        <v>42845</v>
      </c>
      <c r="B21" s="313" t="s">
        <v>8281</v>
      </c>
      <c r="C21" s="313">
        <v>38.182569999999998</v>
      </c>
      <c r="D21" s="313">
        <v>-121.52697000000001</v>
      </c>
      <c r="E21" s="313" t="s">
        <v>8582</v>
      </c>
      <c r="F21" s="313" t="s">
        <v>46</v>
      </c>
      <c r="G21" s="313" t="s">
        <v>6881</v>
      </c>
      <c r="H21" s="314">
        <v>0.63124999999999998</v>
      </c>
      <c r="I21" s="315" t="s">
        <v>4500</v>
      </c>
      <c r="J21" s="315" t="s">
        <v>4501</v>
      </c>
      <c r="K21" s="315" t="s">
        <v>8283</v>
      </c>
      <c r="L21" s="315">
        <v>2</v>
      </c>
      <c r="M21" s="315">
        <v>10</v>
      </c>
      <c r="N21" s="315" t="s">
        <v>49</v>
      </c>
      <c r="O21" s="315">
        <v>20</v>
      </c>
      <c r="P21" s="315">
        <f>AVERAGE(72.9,74.8)</f>
        <v>73.849999999999994</v>
      </c>
      <c r="Q21" s="316">
        <f>AVERAGE(74.3,75.2)</f>
        <v>74.75</v>
      </c>
      <c r="R21" s="317">
        <v>0.60499999999999998</v>
      </c>
      <c r="S21" s="317">
        <v>16.600000000000001</v>
      </c>
      <c r="T21" s="317">
        <v>16.149999999999999</v>
      </c>
      <c r="U21" s="315" t="s">
        <v>50</v>
      </c>
      <c r="V21" s="318">
        <v>0</v>
      </c>
      <c r="W21" s="318" t="s">
        <v>50</v>
      </c>
      <c r="X21" s="319"/>
      <c r="Y21" s="318" t="s">
        <v>6671</v>
      </c>
    </row>
    <row r="24" spans="1:28" x14ac:dyDescent="0.25">
      <c r="Z24" s="40"/>
      <c r="AA24" s="40"/>
      <c r="AB24" s="40"/>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
    <tabColor theme="9" tint="0.59999389629810485"/>
  </sheetPr>
  <dimension ref="A1:Z38"/>
  <sheetViews>
    <sheetView workbookViewId="0">
      <selection activeCell="Z24" sqref="Z24"/>
    </sheetView>
  </sheetViews>
  <sheetFormatPr defaultColWidth="13.5703125" defaultRowHeight="15" x14ac:dyDescent="0.25"/>
  <cols>
    <col min="1" max="1" width="13.5703125" style="51"/>
    <col min="2" max="2" width="30.85546875" style="51" bestFit="1" customWidth="1"/>
    <col min="3" max="6" width="13.5703125" style="51"/>
    <col min="7" max="7" width="29.42578125" style="51" bestFit="1" customWidth="1"/>
    <col min="8" max="10" width="13.5703125" style="51"/>
    <col min="11" max="11" width="36.5703125" style="51" bestFit="1" customWidth="1"/>
    <col min="12" max="12" width="23.42578125" style="51" bestFit="1" customWidth="1"/>
    <col min="13" max="13" width="15.5703125" style="51" bestFit="1" customWidth="1"/>
    <col min="14" max="15" width="13.5703125" style="51"/>
    <col min="16" max="16" width="31.7109375" style="51" bestFit="1" customWidth="1"/>
    <col min="17" max="17" width="20.42578125" style="51" bestFit="1" customWidth="1"/>
    <col min="18" max="18" width="23.42578125" style="51" bestFit="1" customWidth="1"/>
    <col min="19" max="19" width="18.28515625" style="51" bestFit="1" customWidth="1"/>
    <col min="20" max="20" width="27.140625" style="51" bestFit="1" customWidth="1"/>
    <col min="21" max="21" width="30.140625" style="51" bestFit="1" customWidth="1"/>
    <col min="22" max="22" width="66.140625" style="51" bestFit="1" customWidth="1"/>
    <col min="23" max="23" width="13.5703125" style="51"/>
    <col min="24" max="24" width="14.7109375" style="51" bestFit="1" customWidth="1"/>
    <col min="25" max="25" width="126.5703125" style="52" bestFit="1" customWidth="1"/>
    <col min="26" max="16384" width="13.5703125" style="51"/>
  </cols>
  <sheetData>
    <row r="1" spans="1:26" s="47" customFormat="1" x14ac:dyDescent="0.25">
      <c r="A1" s="50" t="s">
        <v>8583</v>
      </c>
      <c r="Y1" s="46"/>
    </row>
    <row r="2" spans="1:26" s="48" customFormat="1" x14ac:dyDescent="0.25">
      <c r="A2" s="40" t="s">
        <v>1</v>
      </c>
      <c r="B2" s="631" t="s">
        <v>3</v>
      </c>
      <c r="C2" s="631" t="s">
        <v>4</v>
      </c>
      <c r="D2" s="631" t="s">
        <v>5</v>
      </c>
      <c r="E2" s="631" t="s">
        <v>6</v>
      </c>
      <c r="F2" s="631" t="s">
        <v>7</v>
      </c>
      <c r="G2" s="631" t="s">
        <v>8</v>
      </c>
      <c r="H2" s="40" t="s">
        <v>9</v>
      </c>
      <c r="I2" s="40" t="s">
        <v>10</v>
      </c>
      <c r="J2" s="40" t="s">
        <v>11</v>
      </c>
      <c r="K2" s="40" t="s">
        <v>8280</v>
      </c>
      <c r="L2" s="40" t="s">
        <v>8584</v>
      </c>
      <c r="M2" s="40" t="s">
        <v>13</v>
      </c>
      <c r="N2" s="40" t="s">
        <v>14</v>
      </c>
      <c r="O2" s="40" t="s">
        <v>39</v>
      </c>
      <c r="P2" s="40" t="s">
        <v>15</v>
      </c>
      <c r="Q2" s="40" t="s">
        <v>16</v>
      </c>
      <c r="R2" s="40" t="s">
        <v>1746</v>
      </c>
      <c r="S2" s="49" t="s">
        <v>17</v>
      </c>
      <c r="T2" s="49" t="s">
        <v>18</v>
      </c>
      <c r="U2" s="49" t="s">
        <v>1747</v>
      </c>
      <c r="V2" s="40" t="s">
        <v>19</v>
      </c>
      <c r="W2" s="40" t="s">
        <v>20</v>
      </c>
      <c r="X2" s="40" t="s">
        <v>21</v>
      </c>
      <c r="Y2" s="5" t="s">
        <v>22</v>
      </c>
      <c r="Z2" s="40" t="s">
        <v>23</v>
      </c>
    </row>
    <row r="3" spans="1:26" s="322" customFormat="1" ht="13.9" x14ac:dyDescent="0.25">
      <c r="A3" s="320">
        <v>42912</v>
      </c>
      <c r="B3" s="259" t="s">
        <v>8296</v>
      </c>
      <c r="C3" s="259">
        <v>38.245220000000003</v>
      </c>
      <c r="D3" s="259">
        <v>-121.67064999999999</v>
      </c>
      <c r="E3" s="259" t="s">
        <v>8536</v>
      </c>
      <c r="F3" s="259" t="s">
        <v>90</v>
      </c>
      <c r="G3" s="259" t="s">
        <v>126</v>
      </c>
      <c r="H3" s="321">
        <v>0.3979166666666667</v>
      </c>
      <c r="I3" s="266" t="s">
        <v>48</v>
      </c>
      <c r="J3" s="266" t="s">
        <v>29</v>
      </c>
      <c r="K3" s="266" t="s">
        <v>8283</v>
      </c>
      <c r="L3" s="266" t="s">
        <v>50</v>
      </c>
      <c r="M3" s="266">
        <v>2</v>
      </c>
      <c r="N3" s="322">
        <v>10</v>
      </c>
      <c r="O3" s="322" t="s">
        <v>49</v>
      </c>
      <c r="P3" s="322" t="s">
        <v>50</v>
      </c>
      <c r="Q3" s="266">
        <f>AVERAGE(135.7,152.4)</f>
        <v>144.05000000000001</v>
      </c>
      <c r="R3" s="322" t="s">
        <v>50</v>
      </c>
      <c r="S3" s="266">
        <f>AVERAGE(0.65,0.68)</f>
        <v>0.66500000000000004</v>
      </c>
      <c r="T3" s="266">
        <f>AVERAGE(11.9,16)</f>
        <v>13.95</v>
      </c>
      <c r="U3" s="322" t="s">
        <v>50</v>
      </c>
      <c r="V3" s="322" t="s">
        <v>323</v>
      </c>
      <c r="W3" s="322">
        <v>19</v>
      </c>
      <c r="X3" s="322" t="s">
        <v>8585</v>
      </c>
      <c r="Y3" s="323" t="s">
        <v>8586</v>
      </c>
      <c r="Z3" s="322" t="s">
        <v>6671</v>
      </c>
    </row>
    <row r="4" spans="1:26" s="325" customFormat="1" ht="13.9" x14ac:dyDescent="0.25">
      <c r="A4" s="324">
        <v>42912</v>
      </c>
      <c r="B4" s="325" t="s">
        <v>8296</v>
      </c>
      <c r="C4" s="325">
        <v>38.245150000000002</v>
      </c>
      <c r="D4" s="325">
        <v>-121.67053</v>
      </c>
      <c r="E4" s="325" t="s">
        <v>8536</v>
      </c>
      <c r="F4" s="325" t="s">
        <v>90</v>
      </c>
      <c r="G4" s="325" t="s">
        <v>126</v>
      </c>
      <c r="H4" s="326">
        <v>0.4152777777777778</v>
      </c>
      <c r="I4" s="325" t="s">
        <v>4500</v>
      </c>
      <c r="J4" s="325" t="s">
        <v>29</v>
      </c>
      <c r="K4" s="325" t="s">
        <v>8283</v>
      </c>
      <c r="L4" s="325" t="s">
        <v>8587</v>
      </c>
      <c r="M4" s="325">
        <v>2</v>
      </c>
      <c r="N4" s="325">
        <v>10</v>
      </c>
      <c r="O4" s="325" t="s">
        <v>49</v>
      </c>
      <c r="P4" s="325">
        <f>AVERAGE(35.8,35.3)</f>
        <v>35.549999999999997</v>
      </c>
      <c r="Q4" s="235">
        <f>AVERAGE(142.9,149.5)</f>
        <v>146.19999999999999</v>
      </c>
      <c r="R4" s="325" t="s">
        <v>50</v>
      </c>
      <c r="S4" s="235">
        <f>AVERAGE(0.81,0.86)</f>
        <v>0.83499999999999996</v>
      </c>
      <c r="T4" s="235">
        <f>AVERAGE(12.8,15.7)</f>
        <v>14.25</v>
      </c>
      <c r="U4" s="325" t="s">
        <v>50</v>
      </c>
      <c r="V4" s="235" t="s">
        <v>50</v>
      </c>
      <c r="W4" s="40">
        <v>0</v>
      </c>
      <c r="X4" s="40" t="s">
        <v>50</v>
      </c>
      <c r="Y4" s="327"/>
      <c r="Z4" s="325" t="s">
        <v>8537</v>
      </c>
    </row>
    <row r="5" spans="1:26" s="325" customFormat="1" ht="13.9" x14ac:dyDescent="0.25">
      <c r="A5" s="324">
        <v>42912</v>
      </c>
      <c r="B5" s="325" t="s">
        <v>8296</v>
      </c>
      <c r="C5" s="325">
        <v>38.246830000000003</v>
      </c>
      <c r="D5" s="325">
        <v>-121.67050999999999</v>
      </c>
      <c r="E5" s="325" t="s">
        <v>8536</v>
      </c>
      <c r="F5" s="325" t="s">
        <v>90</v>
      </c>
      <c r="G5" s="325" t="s">
        <v>126</v>
      </c>
      <c r="H5" s="326">
        <v>0.39027777777777778</v>
      </c>
      <c r="I5" s="325" t="s">
        <v>4500</v>
      </c>
      <c r="J5" s="325" t="s">
        <v>29</v>
      </c>
      <c r="K5" s="325" t="s">
        <v>8283</v>
      </c>
      <c r="L5" s="325" t="s">
        <v>8588</v>
      </c>
      <c r="M5" s="325">
        <v>2</v>
      </c>
      <c r="N5" s="325">
        <v>10</v>
      </c>
      <c r="O5" s="325" t="s">
        <v>49</v>
      </c>
      <c r="P5" s="325">
        <f>AVERAGE(32.8,33.1)</f>
        <v>32.950000000000003</v>
      </c>
      <c r="Q5" s="235">
        <f>AVERAGE(130,141.5)</f>
        <v>135.75</v>
      </c>
      <c r="R5" s="235">
        <f>AVERAGE(132.1,141.6)</f>
        <v>136.85</v>
      </c>
      <c r="S5" s="235">
        <f>AVERAGE(0.87,0.79)</f>
        <v>0.83000000000000007</v>
      </c>
      <c r="T5" s="235">
        <f>AVERAGE(12.1,24.6)</f>
        <v>18.350000000000001</v>
      </c>
      <c r="U5" s="235">
        <f>AVERAGE(16.7,15.6)</f>
        <v>16.149999999999999</v>
      </c>
      <c r="V5" s="235" t="s">
        <v>50</v>
      </c>
      <c r="W5" s="40">
        <v>0</v>
      </c>
      <c r="X5" s="40" t="s">
        <v>50</v>
      </c>
      <c r="Y5" s="327"/>
      <c r="Z5" s="325" t="s">
        <v>6671</v>
      </c>
    </row>
    <row r="6" spans="1:26" s="329" customFormat="1" x14ac:dyDescent="0.25">
      <c r="A6" s="328">
        <v>42912</v>
      </c>
      <c r="B6" s="329" t="s">
        <v>8296</v>
      </c>
      <c r="C6" s="329">
        <v>38.246670000000002</v>
      </c>
      <c r="D6" s="329">
        <v>-121.67037000000001</v>
      </c>
      <c r="E6" s="329" t="s">
        <v>8536</v>
      </c>
      <c r="F6" s="329" t="s">
        <v>90</v>
      </c>
      <c r="G6" s="329" t="s">
        <v>126</v>
      </c>
      <c r="H6" s="330">
        <v>0.4069444444444445</v>
      </c>
      <c r="I6" s="270" t="s">
        <v>4500</v>
      </c>
      <c r="J6" s="270" t="s">
        <v>4501</v>
      </c>
      <c r="K6" s="270" t="s">
        <v>8283</v>
      </c>
      <c r="L6" s="270" t="s">
        <v>8588</v>
      </c>
      <c r="M6" s="270">
        <v>2</v>
      </c>
      <c r="N6" s="270">
        <v>10</v>
      </c>
      <c r="O6" s="270" t="s">
        <v>49</v>
      </c>
      <c r="P6" s="270">
        <f>AVERAGE(34,32.1)</f>
        <v>33.049999999999997</v>
      </c>
      <c r="Q6" s="270">
        <f>AVERAGE(134,139.6)</f>
        <v>136.80000000000001</v>
      </c>
      <c r="R6" s="270">
        <f>AVERAGE(136.8,135.4)</f>
        <v>136.10000000000002</v>
      </c>
      <c r="S6" s="270">
        <f>AVERAGE(0.82,0.69)</f>
        <v>0.75499999999999989</v>
      </c>
      <c r="T6" s="270">
        <f>AVERAGE(14.9,16.5)</f>
        <v>15.7</v>
      </c>
      <c r="U6" s="270">
        <f>AVERAGE(18.2,43.9)</f>
        <v>31.049999999999997</v>
      </c>
      <c r="V6" s="270" t="s">
        <v>50</v>
      </c>
      <c r="W6" s="269">
        <v>0</v>
      </c>
      <c r="X6" s="269" t="s">
        <v>50</v>
      </c>
      <c r="Y6" s="53" t="s">
        <v>8589</v>
      </c>
      <c r="Z6" s="270" t="s">
        <v>6671</v>
      </c>
    </row>
    <row r="7" spans="1:26" s="322" customFormat="1" ht="13.9" x14ac:dyDescent="0.25">
      <c r="A7" s="320">
        <v>42913</v>
      </c>
      <c r="B7" s="322" t="s">
        <v>8296</v>
      </c>
      <c r="C7" s="322">
        <v>38.083599999999997</v>
      </c>
      <c r="D7" s="322">
        <v>-121.7454</v>
      </c>
      <c r="E7" s="322" t="s">
        <v>8544</v>
      </c>
      <c r="F7" s="322" t="s">
        <v>27</v>
      </c>
      <c r="G7" s="322" t="s">
        <v>25</v>
      </c>
      <c r="H7" s="321">
        <v>0.4236111111111111</v>
      </c>
      <c r="I7" s="322" t="s">
        <v>48</v>
      </c>
      <c r="J7" s="322" t="s">
        <v>29</v>
      </c>
      <c r="K7" s="322" t="s">
        <v>8283</v>
      </c>
      <c r="L7" s="322" t="s">
        <v>50</v>
      </c>
      <c r="M7" s="322">
        <v>2</v>
      </c>
      <c r="N7" s="322">
        <v>5</v>
      </c>
      <c r="O7" s="322" t="s">
        <v>49</v>
      </c>
      <c r="P7" s="322" t="s">
        <v>50</v>
      </c>
      <c r="Q7" s="266">
        <f>AVERAGE(122.1,118.1)</f>
        <v>120.1</v>
      </c>
      <c r="R7" s="322" t="s">
        <v>50</v>
      </c>
      <c r="S7" s="266">
        <f>AVERAGE(0.62,0.75)</f>
        <v>0.68500000000000005</v>
      </c>
      <c r="T7" s="266">
        <f>AVERAGE(12.8,16.5)</f>
        <v>14.65</v>
      </c>
      <c r="U7" s="322" t="s">
        <v>50</v>
      </c>
      <c r="V7" s="266" t="s">
        <v>50</v>
      </c>
      <c r="W7" s="268">
        <v>0</v>
      </c>
      <c r="X7" s="268" t="s">
        <v>50</v>
      </c>
      <c r="Y7" s="323" t="s">
        <v>8590</v>
      </c>
      <c r="Z7" s="322" t="s">
        <v>6671</v>
      </c>
    </row>
    <row r="8" spans="1:26" s="325" customFormat="1" ht="13.9" x14ac:dyDescent="0.25">
      <c r="A8" s="324">
        <v>42913</v>
      </c>
      <c r="B8" s="325" t="s">
        <v>8296</v>
      </c>
      <c r="C8" s="325">
        <v>38.084769999999999</v>
      </c>
      <c r="D8" s="325">
        <v>-121.74427</v>
      </c>
      <c r="E8" s="325" t="s">
        <v>8544</v>
      </c>
      <c r="F8" s="325" t="s">
        <v>27</v>
      </c>
      <c r="G8" s="325" t="s">
        <v>25</v>
      </c>
      <c r="H8" s="326">
        <v>0.40625</v>
      </c>
      <c r="I8" s="325" t="s">
        <v>4500</v>
      </c>
      <c r="J8" s="325" t="s">
        <v>29</v>
      </c>
      <c r="K8" s="325" t="s">
        <v>8283</v>
      </c>
      <c r="L8" s="325" t="s">
        <v>8587</v>
      </c>
      <c r="M8" s="325">
        <v>2</v>
      </c>
      <c r="N8" s="325">
        <v>10</v>
      </c>
      <c r="O8" s="325" t="s">
        <v>49</v>
      </c>
      <c r="P8" s="325">
        <f>AVERAGE(34.6,38)</f>
        <v>36.299999999999997</v>
      </c>
      <c r="Q8" s="235">
        <f>AVERAGE(133.9, 88.9)</f>
        <v>111.4</v>
      </c>
      <c r="R8" s="325" t="s">
        <v>50</v>
      </c>
      <c r="S8" s="235">
        <f>AVERAGE(0.74,0.75)</f>
        <v>0.745</v>
      </c>
      <c r="T8" s="235">
        <f>AVERAGE(13.4,13)</f>
        <v>13.2</v>
      </c>
      <c r="U8" s="325" t="s">
        <v>50</v>
      </c>
      <c r="V8" s="235" t="s">
        <v>50</v>
      </c>
      <c r="W8" s="40">
        <v>0</v>
      </c>
      <c r="X8" s="40" t="s">
        <v>50</v>
      </c>
      <c r="Y8" s="327"/>
      <c r="Z8" s="325" t="s">
        <v>6671</v>
      </c>
    </row>
    <row r="9" spans="1:26" s="325" customFormat="1" ht="13.9" x14ac:dyDescent="0.25">
      <c r="A9" s="324">
        <v>42913</v>
      </c>
      <c r="B9" s="325" t="s">
        <v>8296</v>
      </c>
      <c r="C9" s="325">
        <v>38.083779999999997</v>
      </c>
      <c r="D9" s="325">
        <v>-121.74460999999999</v>
      </c>
      <c r="E9" s="325" t="s">
        <v>8544</v>
      </c>
      <c r="F9" s="325" t="s">
        <v>27</v>
      </c>
      <c r="G9" s="325" t="s">
        <v>25</v>
      </c>
      <c r="H9" s="326">
        <v>0.4152777777777778</v>
      </c>
      <c r="I9" s="325" t="s">
        <v>4500</v>
      </c>
      <c r="J9" s="325" t="s">
        <v>29</v>
      </c>
      <c r="K9" s="325" t="s">
        <v>8283</v>
      </c>
      <c r="L9" s="325" t="s">
        <v>8588</v>
      </c>
      <c r="M9" s="325">
        <v>2</v>
      </c>
      <c r="N9" s="325">
        <v>10</v>
      </c>
      <c r="O9" s="325" t="s">
        <v>49</v>
      </c>
      <c r="P9" s="325">
        <f>AVERAGE(33,33)</f>
        <v>33</v>
      </c>
      <c r="Q9" s="235">
        <f>AVERAGE(129.4,124.7)</f>
        <v>127.05000000000001</v>
      </c>
      <c r="R9" s="235">
        <f>AVERAGE(132.4,126.2)</f>
        <v>129.30000000000001</v>
      </c>
      <c r="S9" s="235">
        <f>AVERAGE(0.7,0.68)</f>
        <v>0.69</v>
      </c>
      <c r="T9" s="235">
        <f>AVERAGE(14.3,17.5)</f>
        <v>15.9</v>
      </c>
      <c r="U9" s="235">
        <f>AVERAGE(26.9,18.5)</f>
        <v>22.7</v>
      </c>
      <c r="V9" s="235" t="s">
        <v>50</v>
      </c>
      <c r="W9" s="40">
        <v>0</v>
      </c>
      <c r="X9" s="40" t="s">
        <v>50</v>
      </c>
      <c r="Y9" s="327"/>
      <c r="Z9" s="325" t="s">
        <v>6671</v>
      </c>
    </row>
    <row r="10" spans="1:26" s="329" customFormat="1" x14ac:dyDescent="0.25">
      <c r="A10" s="328">
        <v>42913</v>
      </c>
      <c r="B10" s="329" t="s">
        <v>8296</v>
      </c>
      <c r="C10" s="329">
        <v>38.084499999999998</v>
      </c>
      <c r="D10" s="329">
        <v>-121.74327</v>
      </c>
      <c r="E10" s="329" t="s">
        <v>8544</v>
      </c>
      <c r="F10" s="329" t="s">
        <v>27</v>
      </c>
      <c r="G10" s="329" t="s">
        <v>25</v>
      </c>
      <c r="H10" s="330">
        <v>0.39861111111111108</v>
      </c>
      <c r="I10" s="270" t="s">
        <v>4500</v>
      </c>
      <c r="J10" s="270" t="s">
        <v>4501</v>
      </c>
      <c r="K10" s="270" t="s">
        <v>8283</v>
      </c>
      <c r="L10" s="270" t="s">
        <v>8588</v>
      </c>
      <c r="M10" s="270">
        <v>2</v>
      </c>
      <c r="N10" s="270">
        <v>10</v>
      </c>
      <c r="O10" s="270" t="s">
        <v>49</v>
      </c>
      <c r="P10" s="270">
        <f>AVERAGE(33,33)</f>
        <v>33</v>
      </c>
      <c r="Q10" s="270">
        <f>AVERAGE(135.3,120.1)</f>
        <v>127.7</v>
      </c>
      <c r="R10" s="270">
        <f>AVERAGE(142.6,120.1)</f>
        <v>131.35</v>
      </c>
      <c r="S10" s="270">
        <f>AVERAGE(0.7,0.68)</f>
        <v>0.69</v>
      </c>
      <c r="T10" s="270">
        <f>AVERAGE(30,15.4)</f>
        <v>22.7</v>
      </c>
      <c r="U10" s="270">
        <f>AVERAGE(20.4,15.4)</f>
        <v>17.899999999999999</v>
      </c>
      <c r="V10" s="270" t="s">
        <v>50</v>
      </c>
      <c r="W10" s="269">
        <v>0</v>
      </c>
      <c r="X10" s="269" t="s">
        <v>50</v>
      </c>
      <c r="Y10" s="53" t="s">
        <v>8591</v>
      </c>
      <c r="Z10" s="269" t="s">
        <v>6671</v>
      </c>
    </row>
    <row r="11" spans="1:26" s="322" customFormat="1" ht="13.9" x14ac:dyDescent="0.25">
      <c r="A11" s="320">
        <v>42913</v>
      </c>
      <c r="B11" s="322" t="s">
        <v>8296</v>
      </c>
      <c r="C11" s="322">
        <v>38.064709999999998</v>
      </c>
      <c r="D11" s="322">
        <v>-122.05199</v>
      </c>
      <c r="E11" s="322" t="s">
        <v>8545</v>
      </c>
      <c r="F11" s="322" t="s">
        <v>27</v>
      </c>
      <c r="G11" s="322" t="s">
        <v>86</v>
      </c>
      <c r="H11" s="321">
        <v>0.52500000000000002</v>
      </c>
      <c r="I11" s="322" t="s">
        <v>48</v>
      </c>
      <c r="J11" s="322" t="s">
        <v>29</v>
      </c>
      <c r="K11" s="322" t="s">
        <v>8283</v>
      </c>
      <c r="L11" s="322" t="s">
        <v>50</v>
      </c>
      <c r="M11" s="322">
        <v>2</v>
      </c>
      <c r="N11" s="322">
        <v>5</v>
      </c>
      <c r="O11" s="322" t="s">
        <v>49</v>
      </c>
      <c r="P11" s="322" t="s">
        <v>50</v>
      </c>
      <c r="Q11" s="266">
        <f>AVERAGE(145.1,105.6)</f>
        <v>125.35</v>
      </c>
      <c r="R11" s="322" t="s">
        <v>50</v>
      </c>
      <c r="S11" s="266">
        <f>AVERAGE(0.35,0.27)</f>
        <v>0.31</v>
      </c>
      <c r="T11" s="266">
        <f>AVERAGE(55.3,58.3)</f>
        <v>56.8</v>
      </c>
      <c r="U11" s="322" t="s">
        <v>50</v>
      </c>
      <c r="V11" s="322" t="s">
        <v>323</v>
      </c>
      <c r="W11" s="322">
        <v>1</v>
      </c>
      <c r="X11" s="322">
        <v>55</v>
      </c>
      <c r="Y11" s="323" t="s">
        <v>8592</v>
      </c>
      <c r="Z11" s="322" t="s">
        <v>6671</v>
      </c>
    </row>
    <row r="12" spans="1:26" s="325" customFormat="1" ht="13.9" x14ac:dyDescent="0.25">
      <c r="A12" s="324">
        <v>42913</v>
      </c>
      <c r="B12" s="325" t="s">
        <v>8296</v>
      </c>
      <c r="C12" s="325">
        <v>38.064799999999998</v>
      </c>
      <c r="D12" s="325">
        <v>-122.05149</v>
      </c>
      <c r="E12" s="325" t="s">
        <v>8545</v>
      </c>
      <c r="F12" s="325" t="s">
        <v>27</v>
      </c>
      <c r="G12" s="325" t="s">
        <v>86</v>
      </c>
      <c r="H12" s="326">
        <v>0.50694444444444442</v>
      </c>
      <c r="I12" s="325" t="s">
        <v>4500</v>
      </c>
      <c r="J12" s="325" t="s">
        <v>29</v>
      </c>
      <c r="K12" s="325" t="s">
        <v>8283</v>
      </c>
      <c r="L12" s="325" t="s">
        <v>8587</v>
      </c>
      <c r="M12" s="325">
        <v>2</v>
      </c>
      <c r="N12" s="325">
        <v>10</v>
      </c>
      <c r="O12" s="325" t="s">
        <v>49</v>
      </c>
      <c r="P12" s="325">
        <f>AVERAGE(18.5,19)</f>
        <v>18.75</v>
      </c>
      <c r="Q12" s="235">
        <f>AVERAGE(1824,956)</f>
        <v>1390</v>
      </c>
      <c r="R12" s="235" t="s">
        <v>50</v>
      </c>
      <c r="S12" s="235">
        <f>AVERAGE(0.36,0.38)</f>
        <v>0.37</v>
      </c>
      <c r="T12" s="235">
        <f>AVERAGE(50.9,38.9)</f>
        <v>44.9</v>
      </c>
      <c r="U12" s="235" t="s">
        <v>50</v>
      </c>
      <c r="V12" s="325" t="s">
        <v>323</v>
      </c>
      <c r="W12" s="325">
        <v>1</v>
      </c>
      <c r="X12" s="325">
        <v>50</v>
      </c>
      <c r="Y12" s="327" t="s">
        <v>8593</v>
      </c>
      <c r="Z12" s="325" t="s">
        <v>6671</v>
      </c>
    </row>
    <row r="13" spans="1:26" s="325" customFormat="1" ht="13.9" x14ac:dyDescent="0.25">
      <c r="A13" s="324">
        <v>42913</v>
      </c>
      <c r="B13" s="325" t="s">
        <v>8296</v>
      </c>
      <c r="C13" s="325">
        <v>38.064680000000003</v>
      </c>
      <c r="D13" s="325">
        <v>-122.05145</v>
      </c>
      <c r="E13" s="325" t="s">
        <v>8545</v>
      </c>
      <c r="F13" s="325" t="s">
        <v>27</v>
      </c>
      <c r="G13" s="325" t="s">
        <v>86</v>
      </c>
      <c r="H13" s="326">
        <v>0.5</v>
      </c>
      <c r="I13" s="325" t="s">
        <v>4500</v>
      </c>
      <c r="J13" s="325" t="s">
        <v>29</v>
      </c>
      <c r="K13" s="325" t="s">
        <v>8283</v>
      </c>
      <c r="L13" s="325" t="s">
        <v>8588</v>
      </c>
      <c r="M13" s="325">
        <v>2</v>
      </c>
      <c r="N13" s="325">
        <v>10</v>
      </c>
      <c r="O13" s="325" t="s">
        <v>49</v>
      </c>
      <c r="P13" s="325">
        <v>18</v>
      </c>
      <c r="Q13" s="235">
        <f>AVERAGE(1971,978)</f>
        <v>1474.5</v>
      </c>
      <c r="R13" s="235">
        <f>AVERAGE(2010,942)</f>
        <v>1476</v>
      </c>
      <c r="S13" s="235">
        <f>AVERAGE(0.44,0.41)</f>
        <v>0.42499999999999999</v>
      </c>
      <c r="T13" s="235">
        <f>AVERAGE(50.6,38.2)</f>
        <v>44.400000000000006</v>
      </c>
      <c r="U13" s="235">
        <f>AVERAGE(57.1,47.7)</f>
        <v>52.400000000000006</v>
      </c>
      <c r="V13" s="235" t="s">
        <v>50</v>
      </c>
      <c r="W13" s="40">
        <v>0</v>
      </c>
      <c r="X13" s="40" t="s">
        <v>50</v>
      </c>
      <c r="Y13" s="327"/>
      <c r="Z13" s="325" t="s">
        <v>6671</v>
      </c>
    </row>
    <row r="14" spans="1:26" s="329" customFormat="1" x14ac:dyDescent="0.25">
      <c r="A14" s="328">
        <v>42913</v>
      </c>
      <c r="B14" s="329" t="s">
        <v>8296</v>
      </c>
      <c r="C14" s="329">
        <v>38.064329999999998</v>
      </c>
      <c r="D14" s="329">
        <v>-121.05034000000001</v>
      </c>
      <c r="E14" s="329" t="s">
        <v>8545</v>
      </c>
      <c r="F14" s="329" t="s">
        <v>27</v>
      </c>
      <c r="G14" s="329" t="s">
        <v>86</v>
      </c>
      <c r="H14" s="330">
        <v>0.51666666666666672</v>
      </c>
      <c r="I14" s="270" t="s">
        <v>4500</v>
      </c>
      <c r="J14" s="270" t="s">
        <v>4501</v>
      </c>
      <c r="K14" s="270" t="s">
        <v>8283</v>
      </c>
      <c r="L14" s="270" t="s">
        <v>8588</v>
      </c>
      <c r="M14" s="270">
        <v>2</v>
      </c>
      <c r="N14" s="270">
        <v>10</v>
      </c>
      <c r="O14" s="270" t="s">
        <v>49</v>
      </c>
      <c r="P14" s="270">
        <f>AVERAGE(17,17)</f>
        <v>17</v>
      </c>
      <c r="Q14" s="270">
        <f>AVERAGE(1567,1038)</f>
        <v>1302.5</v>
      </c>
      <c r="R14" s="270">
        <f>AVERAGE(1586,1429)</f>
        <v>1507.5</v>
      </c>
      <c r="S14" s="270">
        <f>AVERAGE(0.45,0.45)</f>
        <v>0.45</v>
      </c>
      <c r="T14" s="270">
        <f>AVERAGE(62.8,38.9)</f>
        <v>50.849999999999994</v>
      </c>
      <c r="U14" s="270">
        <f>AVERAGE(67.5,68.5)</f>
        <v>68</v>
      </c>
      <c r="V14" s="270" t="s">
        <v>323</v>
      </c>
      <c r="W14" s="270">
        <v>4</v>
      </c>
      <c r="X14" s="270" t="s">
        <v>8546</v>
      </c>
      <c r="Y14" s="331" t="s">
        <v>8594</v>
      </c>
      <c r="Z14" s="270" t="s">
        <v>6671</v>
      </c>
    </row>
    <row r="15" spans="1:26" s="322" customFormat="1" ht="13.9" x14ac:dyDescent="0.25">
      <c r="A15" s="320">
        <v>42914</v>
      </c>
      <c r="B15" s="322" t="s">
        <v>8285</v>
      </c>
      <c r="C15" s="322">
        <v>38.034750000000003</v>
      </c>
      <c r="D15" s="322">
        <v>-122.15535</v>
      </c>
      <c r="E15" s="322" t="s">
        <v>8553</v>
      </c>
      <c r="F15" s="322" t="s">
        <v>80</v>
      </c>
      <c r="G15" s="322" t="s">
        <v>120</v>
      </c>
      <c r="H15" s="321">
        <v>0.3833333333333333</v>
      </c>
      <c r="I15" s="322" t="s">
        <v>48</v>
      </c>
      <c r="J15" s="322" t="s">
        <v>29</v>
      </c>
      <c r="K15" s="322" t="s">
        <v>8283</v>
      </c>
      <c r="L15" s="322" t="s">
        <v>50</v>
      </c>
      <c r="M15" s="322">
        <v>2</v>
      </c>
      <c r="N15" s="322">
        <v>10</v>
      </c>
      <c r="O15" s="322" t="s">
        <v>49</v>
      </c>
      <c r="P15" s="322" t="s">
        <v>50</v>
      </c>
      <c r="Q15" s="266">
        <f>AVERAGE(13982,8436)</f>
        <v>11209</v>
      </c>
      <c r="R15" s="322" t="s">
        <v>50</v>
      </c>
      <c r="S15" s="266">
        <f>AVERAGE(0.33,0.52)</f>
        <v>0.42500000000000004</v>
      </c>
      <c r="T15" s="266">
        <f>AVERAGE(21.8,83.8)</f>
        <v>52.8</v>
      </c>
      <c r="U15" s="322" t="s">
        <v>50</v>
      </c>
      <c r="V15" s="266" t="s">
        <v>50</v>
      </c>
      <c r="W15" s="268">
        <v>0</v>
      </c>
      <c r="X15" s="268" t="s">
        <v>50</v>
      </c>
      <c r="Y15" s="323"/>
      <c r="Z15" s="322" t="s">
        <v>6671</v>
      </c>
    </row>
    <row r="16" spans="1:26" s="325" customFormat="1" ht="13.9" x14ac:dyDescent="0.25">
      <c r="A16" s="324">
        <v>42914</v>
      </c>
      <c r="B16" s="325" t="s">
        <v>8285</v>
      </c>
      <c r="C16" s="325">
        <v>38.03539</v>
      </c>
      <c r="D16" s="325">
        <v>-122.15056</v>
      </c>
      <c r="E16" s="325" t="s">
        <v>8553</v>
      </c>
      <c r="F16" s="325" t="s">
        <v>80</v>
      </c>
      <c r="G16" s="325" t="s">
        <v>120</v>
      </c>
      <c r="H16" s="326">
        <v>0.39999999999999997</v>
      </c>
      <c r="I16" s="325" t="s">
        <v>4500</v>
      </c>
      <c r="J16" s="325" t="s">
        <v>29</v>
      </c>
      <c r="K16" s="325" t="s">
        <v>8283</v>
      </c>
      <c r="L16" s="325" t="s">
        <v>8587</v>
      </c>
      <c r="M16" s="325">
        <v>2</v>
      </c>
      <c r="N16" s="325">
        <v>10</v>
      </c>
      <c r="O16" s="325" t="s">
        <v>49</v>
      </c>
      <c r="P16" s="325">
        <v>35.4</v>
      </c>
      <c r="Q16" s="235">
        <f>AVERAGE(12990,9309)</f>
        <v>11149.5</v>
      </c>
      <c r="R16" s="325" t="s">
        <v>50</v>
      </c>
      <c r="S16" s="235">
        <f>AVERAGE(0.4,0.41)</f>
        <v>0.40500000000000003</v>
      </c>
      <c r="T16" s="235">
        <f>AVERAGE(20.5,42.6)</f>
        <v>31.55</v>
      </c>
      <c r="U16" s="325" t="s">
        <v>50</v>
      </c>
      <c r="V16" s="235" t="s">
        <v>50</v>
      </c>
      <c r="W16" s="40">
        <v>0</v>
      </c>
      <c r="X16" s="40" t="s">
        <v>50</v>
      </c>
      <c r="Y16" s="327"/>
      <c r="Z16" s="325" t="s">
        <v>6671</v>
      </c>
    </row>
    <row r="17" spans="1:26" s="325" customFormat="1" ht="13.9" x14ac:dyDescent="0.25">
      <c r="A17" s="324">
        <v>42914</v>
      </c>
      <c r="B17" s="325" t="s">
        <v>8285</v>
      </c>
      <c r="C17" s="325">
        <v>38.035159999999998</v>
      </c>
      <c r="D17" s="325">
        <v>-122.15034</v>
      </c>
      <c r="E17" s="325" t="s">
        <v>8553</v>
      </c>
      <c r="F17" s="325" t="s">
        <v>80</v>
      </c>
      <c r="G17" s="325" t="s">
        <v>120</v>
      </c>
      <c r="H17" s="326">
        <v>0.40833333333333338</v>
      </c>
      <c r="I17" s="325" t="s">
        <v>4500</v>
      </c>
      <c r="J17" s="325" t="s">
        <v>29</v>
      </c>
      <c r="K17" s="325" t="s">
        <v>8283</v>
      </c>
      <c r="L17" s="325" t="s">
        <v>8588</v>
      </c>
      <c r="M17" s="325">
        <v>2</v>
      </c>
      <c r="N17" s="325">
        <v>10</v>
      </c>
      <c r="O17" s="325" t="s">
        <v>49</v>
      </c>
      <c r="P17" s="325">
        <f>AVERAGE(32.38,30.7)</f>
        <v>31.54</v>
      </c>
      <c r="Q17" s="235">
        <f>AVERAGE(10812,8488)</f>
        <v>9650</v>
      </c>
      <c r="R17" s="235">
        <f>AVERAGE(20851,16341)</f>
        <v>18596</v>
      </c>
      <c r="S17" s="235">
        <f>AVERAGE(0.58,0.29)</f>
        <v>0.43499999999999994</v>
      </c>
      <c r="T17" s="235">
        <f>AVERAGE(76.5,70.8)</f>
        <v>73.650000000000006</v>
      </c>
      <c r="U17" s="235">
        <f>AVERAGE(972,147)</f>
        <v>559.5</v>
      </c>
      <c r="V17" s="235" t="s">
        <v>50</v>
      </c>
      <c r="W17" s="40">
        <v>0</v>
      </c>
      <c r="X17" s="40" t="s">
        <v>50</v>
      </c>
      <c r="Y17" s="327"/>
      <c r="Z17" s="325" t="s">
        <v>6671</v>
      </c>
    </row>
    <row r="18" spans="1:26" s="333" customFormat="1" x14ac:dyDescent="0.25">
      <c r="A18" s="332">
        <v>42914</v>
      </c>
      <c r="B18" s="333" t="s">
        <v>8285</v>
      </c>
      <c r="C18" s="333">
        <v>38.035179999999997</v>
      </c>
      <c r="D18" s="333">
        <v>-122.1515</v>
      </c>
      <c r="E18" s="333" t="s">
        <v>8553</v>
      </c>
      <c r="F18" s="333" t="s">
        <v>80</v>
      </c>
      <c r="G18" s="333" t="s">
        <v>120</v>
      </c>
      <c r="H18" s="334">
        <v>0.375</v>
      </c>
      <c r="I18" s="335" t="s">
        <v>4500</v>
      </c>
      <c r="J18" s="335" t="s">
        <v>4501</v>
      </c>
      <c r="K18" s="335" t="s">
        <v>8283</v>
      </c>
      <c r="L18" s="335" t="s">
        <v>8588</v>
      </c>
      <c r="M18" s="335">
        <v>2</v>
      </c>
      <c r="N18" s="335">
        <v>10</v>
      </c>
      <c r="O18" s="335" t="s">
        <v>49</v>
      </c>
      <c r="P18" s="335">
        <f>AVERAGE(32.75,31)</f>
        <v>31.875</v>
      </c>
      <c r="Q18" s="335">
        <f>AVERAGE(13821,9973)</f>
        <v>11897</v>
      </c>
      <c r="R18" s="335">
        <f>AVERAGE(20950,18505)</f>
        <v>19727.5</v>
      </c>
      <c r="S18" s="335">
        <f>AVERAGE(0.69,0.28)</f>
        <v>0.48499999999999999</v>
      </c>
      <c r="T18" s="335">
        <f>AVERAGE(157,153)</f>
        <v>155</v>
      </c>
      <c r="U18" s="335">
        <f>AVERAGE(152,191)</f>
        <v>171.5</v>
      </c>
      <c r="V18" s="335" t="s">
        <v>50</v>
      </c>
      <c r="W18" s="336">
        <v>0</v>
      </c>
      <c r="X18" s="336" t="s">
        <v>50</v>
      </c>
      <c r="Y18" s="337" t="s">
        <v>8589</v>
      </c>
      <c r="Z18" s="335" t="s">
        <v>6671</v>
      </c>
    </row>
    <row r="19" spans="1:26" s="16" customFormat="1" x14ac:dyDescent="0.25">
      <c r="A19" s="56">
        <v>42940</v>
      </c>
      <c r="B19" s="16" t="s">
        <v>88</v>
      </c>
      <c r="C19" s="16">
        <v>38.096989999999998</v>
      </c>
      <c r="D19" s="16">
        <v>-121.72266</v>
      </c>
      <c r="E19" s="16" t="s">
        <v>7666</v>
      </c>
      <c r="F19" s="16" t="s">
        <v>90</v>
      </c>
      <c r="G19" s="16" t="s">
        <v>91</v>
      </c>
      <c r="H19" s="57">
        <v>0.3972222222222222</v>
      </c>
      <c r="I19" s="58" t="s">
        <v>48</v>
      </c>
      <c r="J19" s="16" t="s">
        <v>29</v>
      </c>
      <c r="K19" s="16" t="s">
        <v>8283</v>
      </c>
      <c r="L19" s="16" t="s">
        <v>50</v>
      </c>
      <c r="M19" s="58">
        <v>6</v>
      </c>
      <c r="N19" s="58">
        <v>5</v>
      </c>
      <c r="O19" s="58" t="s">
        <v>49</v>
      </c>
      <c r="P19" s="16" t="s">
        <v>50</v>
      </c>
      <c r="Q19" s="59">
        <v>154.85</v>
      </c>
      <c r="R19" s="16" t="s">
        <v>50</v>
      </c>
      <c r="S19" s="59">
        <v>0.53500000000000003</v>
      </c>
      <c r="T19" s="59">
        <v>20.399999999999999</v>
      </c>
      <c r="U19" s="58" t="s">
        <v>50</v>
      </c>
      <c r="V19" s="58" t="s">
        <v>50</v>
      </c>
      <c r="W19" s="60">
        <v>0</v>
      </c>
      <c r="X19" s="60" t="s">
        <v>50</v>
      </c>
      <c r="Y19" s="53" t="s">
        <v>8595</v>
      </c>
      <c r="Z19" s="16" t="s">
        <v>50</v>
      </c>
    </row>
    <row r="20" spans="1:26" s="54" customFormat="1" ht="13.9" x14ac:dyDescent="0.25">
      <c r="A20" s="44">
        <v>42940</v>
      </c>
      <c r="B20" s="631" t="s">
        <v>88</v>
      </c>
      <c r="C20" s="54">
        <v>38.098419999999997</v>
      </c>
      <c r="D20" s="54">
        <v>-121.72150000000001</v>
      </c>
      <c r="E20" s="631" t="s">
        <v>7666</v>
      </c>
      <c r="F20" s="631" t="s">
        <v>90</v>
      </c>
      <c r="G20" s="631" t="s">
        <v>91</v>
      </c>
      <c r="H20" s="55">
        <v>0.37222222222222223</v>
      </c>
      <c r="I20" s="631" t="s">
        <v>4500</v>
      </c>
      <c r="J20" s="631" t="s">
        <v>29</v>
      </c>
      <c r="K20" s="54" t="s">
        <v>8283</v>
      </c>
      <c r="L20" s="54" t="s">
        <v>8587</v>
      </c>
      <c r="M20" s="54">
        <v>2</v>
      </c>
      <c r="N20" s="54">
        <v>10</v>
      </c>
      <c r="O20" s="54" t="s">
        <v>49</v>
      </c>
      <c r="P20" s="54">
        <f>AVERAGE(18.6,17.3)</f>
        <v>17.950000000000003</v>
      </c>
      <c r="Q20" s="54">
        <f>AVERAGE(159.8,147.4)</f>
        <v>153.60000000000002</v>
      </c>
      <c r="R20" s="54" t="s">
        <v>50</v>
      </c>
      <c r="S20" s="54">
        <f>AVERAGE(0.65,0.72)</f>
        <v>0.68500000000000005</v>
      </c>
      <c r="T20" s="54">
        <f>AVERAGE(26.2,18.7)</f>
        <v>22.45</v>
      </c>
      <c r="U20" s="54" t="s">
        <v>50</v>
      </c>
      <c r="V20" s="54" t="s">
        <v>50</v>
      </c>
      <c r="W20" s="45">
        <v>0</v>
      </c>
      <c r="X20" s="45" t="s">
        <v>50</v>
      </c>
      <c r="Y20" s="67"/>
      <c r="Z20" s="54" t="s">
        <v>32</v>
      </c>
    </row>
    <row r="21" spans="1:26" s="54" customFormat="1" ht="13.9" x14ac:dyDescent="0.25">
      <c r="A21" s="44">
        <v>42940</v>
      </c>
      <c r="B21" s="631" t="s">
        <v>88</v>
      </c>
      <c r="C21" s="54">
        <v>38.098799999999997</v>
      </c>
      <c r="D21" s="54">
        <v>-121.72073</v>
      </c>
      <c r="E21" s="631" t="s">
        <v>7666</v>
      </c>
      <c r="F21" s="631" t="s">
        <v>90</v>
      </c>
      <c r="G21" s="631" t="s">
        <v>91</v>
      </c>
      <c r="H21" s="55">
        <v>0.38194444444444442</v>
      </c>
      <c r="I21" s="54" t="s">
        <v>4500</v>
      </c>
      <c r="J21" s="54" t="s">
        <v>29</v>
      </c>
      <c r="K21" s="54" t="s">
        <v>8283</v>
      </c>
      <c r="L21" s="54" t="s">
        <v>8588</v>
      </c>
      <c r="M21" s="54">
        <v>2</v>
      </c>
      <c r="N21" s="54">
        <v>10</v>
      </c>
      <c r="O21" s="54" t="s">
        <v>49</v>
      </c>
      <c r="P21" s="54">
        <f>AVERAGE(20,17)</f>
        <v>18.5</v>
      </c>
      <c r="Q21" s="54">
        <f>AVERAGE(125.6,142.1)</f>
        <v>133.85</v>
      </c>
      <c r="R21" s="54">
        <f>AVERAGE(163,141.2)</f>
        <v>152.1</v>
      </c>
      <c r="S21" s="54">
        <f>AVERAGE(0.47,0.52)</f>
        <v>0.495</v>
      </c>
      <c r="T21" s="54">
        <f>AVERAGE(19.2,16.3)</f>
        <v>17.75</v>
      </c>
      <c r="U21" s="54">
        <f>AVERAGE(22,19.3)</f>
        <v>20.65</v>
      </c>
      <c r="V21" s="54" t="s">
        <v>50</v>
      </c>
      <c r="W21" s="45">
        <v>0</v>
      </c>
      <c r="X21" s="45" t="s">
        <v>50</v>
      </c>
      <c r="Y21" s="67"/>
      <c r="Z21" s="54" t="s">
        <v>32</v>
      </c>
    </row>
    <row r="22" spans="1:26" s="63" customFormat="1" ht="13.9" x14ac:dyDescent="0.25">
      <c r="A22" s="61">
        <v>42940</v>
      </c>
      <c r="B22" s="62" t="s">
        <v>88</v>
      </c>
      <c r="C22" s="63">
        <v>38.09892</v>
      </c>
      <c r="D22" s="63">
        <v>-121.72066</v>
      </c>
      <c r="E22" s="62" t="s">
        <v>7666</v>
      </c>
      <c r="F22" s="62" t="s">
        <v>90</v>
      </c>
      <c r="G22" s="62" t="s">
        <v>91</v>
      </c>
      <c r="H22" s="64">
        <v>0.36458333333333331</v>
      </c>
      <c r="I22" s="63" t="s">
        <v>4500</v>
      </c>
      <c r="J22" s="63" t="s">
        <v>4501</v>
      </c>
      <c r="K22" s="63" t="s">
        <v>8283</v>
      </c>
      <c r="L22" s="63" t="s">
        <v>8588</v>
      </c>
      <c r="M22" s="63">
        <v>2</v>
      </c>
      <c r="N22" s="63">
        <v>10</v>
      </c>
      <c r="O22" s="63" t="s">
        <v>49</v>
      </c>
      <c r="P22" s="63">
        <v>20</v>
      </c>
      <c r="Q22" s="63">
        <f>AVERAGE(193.5,144.6)</f>
        <v>169.05</v>
      </c>
      <c r="R22" s="63">
        <f>AVERAGE(196.5,144)</f>
        <v>170.25</v>
      </c>
      <c r="S22" s="63">
        <f>AVERAGE(0.47,0.51)</f>
        <v>0.49</v>
      </c>
      <c r="T22" s="63">
        <f>AVERAGE(19.7,16.3)</f>
        <v>18</v>
      </c>
      <c r="U22" s="63">
        <f>AVERAGE(23.7,22.8)</f>
        <v>23.25</v>
      </c>
      <c r="V22" s="63" t="s">
        <v>50</v>
      </c>
      <c r="W22" s="65">
        <v>0</v>
      </c>
      <c r="X22" s="65" t="s">
        <v>50</v>
      </c>
      <c r="Y22" s="68"/>
      <c r="Z22" s="63" t="s">
        <v>32</v>
      </c>
    </row>
    <row r="23" spans="1:26" s="16" customFormat="1" x14ac:dyDescent="0.25">
      <c r="A23" s="56">
        <v>42940</v>
      </c>
      <c r="B23" s="16" t="s">
        <v>88</v>
      </c>
      <c r="C23" s="16">
        <v>38.108780000000003</v>
      </c>
      <c r="D23" s="16">
        <v>-121.71243</v>
      </c>
      <c r="E23" s="16" t="s">
        <v>7665</v>
      </c>
      <c r="F23" s="16" t="s">
        <v>90</v>
      </c>
      <c r="G23" s="16" t="s">
        <v>91</v>
      </c>
      <c r="H23" s="57">
        <v>0.5180555555555556</v>
      </c>
      <c r="I23" s="58" t="s">
        <v>48</v>
      </c>
      <c r="J23" s="16" t="s">
        <v>29</v>
      </c>
      <c r="K23" s="16" t="s">
        <v>8283</v>
      </c>
      <c r="L23" s="16" t="s">
        <v>50</v>
      </c>
      <c r="M23" s="58">
        <v>5</v>
      </c>
      <c r="N23" s="58">
        <v>5</v>
      </c>
      <c r="O23" s="58" t="s">
        <v>49</v>
      </c>
      <c r="P23" s="16" t="s">
        <v>50</v>
      </c>
      <c r="Q23" s="59">
        <v>119.24</v>
      </c>
      <c r="R23" s="16" t="s">
        <v>50</v>
      </c>
      <c r="S23" s="59">
        <v>0.86399999999999999</v>
      </c>
      <c r="T23" s="59">
        <v>9.0719999999999992</v>
      </c>
      <c r="U23" s="58" t="s">
        <v>50</v>
      </c>
      <c r="V23" s="58" t="s">
        <v>50</v>
      </c>
      <c r="W23" s="60">
        <v>0</v>
      </c>
      <c r="X23" s="60" t="s">
        <v>50</v>
      </c>
      <c r="Y23" s="53" t="s">
        <v>8596</v>
      </c>
      <c r="Z23" s="16" t="s">
        <v>50</v>
      </c>
    </row>
    <row r="24" spans="1:26" ht="13.9" x14ac:dyDescent="0.25">
      <c r="A24" s="41">
        <v>42940</v>
      </c>
      <c r="B24" s="631" t="s">
        <v>88</v>
      </c>
      <c r="C24" s="631">
        <v>38.109479999999998</v>
      </c>
      <c r="D24" s="631">
        <v>-121.71254999999999</v>
      </c>
      <c r="E24" s="631" t="s">
        <v>7665</v>
      </c>
      <c r="F24" s="631" t="s">
        <v>90</v>
      </c>
      <c r="G24" s="631" t="s">
        <v>91</v>
      </c>
      <c r="H24" s="66">
        <v>0.4993055555555555</v>
      </c>
      <c r="I24" s="51" t="s">
        <v>4500</v>
      </c>
      <c r="J24" s="51" t="s">
        <v>29</v>
      </c>
      <c r="K24" s="54" t="s">
        <v>8283</v>
      </c>
      <c r="L24" s="51" t="s">
        <v>8587</v>
      </c>
      <c r="M24" s="51">
        <v>2</v>
      </c>
      <c r="N24" s="51">
        <v>10</v>
      </c>
      <c r="O24" s="51" t="s">
        <v>49</v>
      </c>
      <c r="P24" s="51" t="s">
        <v>50</v>
      </c>
      <c r="Q24" s="54">
        <f>AVERAGE(122.3,122)</f>
        <v>122.15</v>
      </c>
      <c r="R24" s="54" t="s">
        <v>50</v>
      </c>
      <c r="S24" s="54">
        <f>AVERAGE(0.92,0.92)</f>
        <v>0.92</v>
      </c>
      <c r="T24" s="54">
        <f>AVERAGE(15.2,11.5)</f>
        <v>13.35</v>
      </c>
      <c r="U24" s="54" t="s">
        <v>50</v>
      </c>
      <c r="V24" s="42" t="s">
        <v>50</v>
      </c>
      <c r="W24" s="69">
        <v>0</v>
      </c>
      <c r="X24" s="69" t="s">
        <v>50</v>
      </c>
      <c r="Z24" s="51" t="s">
        <v>32</v>
      </c>
    </row>
    <row r="25" spans="1:26" ht="13.9" x14ac:dyDescent="0.25">
      <c r="A25" s="41">
        <v>42940</v>
      </c>
      <c r="B25" s="631" t="s">
        <v>88</v>
      </c>
      <c r="C25" s="631">
        <v>38.109340000000003</v>
      </c>
      <c r="D25" s="631">
        <v>-121.71192000000001</v>
      </c>
      <c r="E25" s="631" t="s">
        <v>7665</v>
      </c>
      <c r="F25" s="631" t="s">
        <v>90</v>
      </c>
      <c r="G25" s="631" t="s">
        <v>91</v>
      </c>
      <c r="H25" s="66">
        <v>0.52361111111111114</v>
      </c>
      <c r="I25" s="51" t="s">
        <v>4500</v>
      </c>
      <c r="J25" s="51" t="s">
        <v>29</v>
      </c>
      <c r="K25" s="54" t="s">
        <v>8283</v>
      </c>
      <c r="L25" s="51" t="s">
        <v>8588</v>
      </c>
      <c r="M25" s="51">
        <v>2</v>
      </c>
      <c r="N25" s="51">
        <v>10</v>
      </c>
      <c r="O25" s="51" t="s">
        <v>49</v>
      </c>
      <c r="P25" s="71">
        <v>24.5</v>
      </c>
      <c r="Q25" s="71">
        <f>AVERAGE(122.6,122.4)</f>
        <v>122.5</v>
      </c>
      <c r="R25" s="71">
        <f>AVERAGE(122.2,123.1)</f>
        <v>122.65</v>
      </c>
      <c r="S25" s="71">
        <f>AVERAGE(0.9,0.84)</f>
        <v>0.87</v>
      </c>
      <c r="T25" s="71">
        <f>AVERAGE(13.6,9.94)</f>
        <v>11.77</v>
      </c>
      <c r="U25" s="71">
        <f>AVERAGE(13.5,11.3)</f>
        <v>12.4</v>
      </c>
      <c r="V25" s="70" t="s">
        <v>50</v>
      </c>
      <c r="W25" s="69">
        <v>0</v>
      </c>
      <c r="X25" s="69" t="s">
        <v>50</v>
      </c>
      <c r="Z25" s="51" t="s">
        <v>32</v>
      </c>
    </row>
    <row r="26" spans="1:26" s="74" customFormat="1" ht="13.9" x14ac:dyDescent="0.25">
      <c r="A26" s="72">
        <v>42940</v>
      </c>
      <c r="B26" s="62" t="s">
        <v>88</v>
      </c>
      <c r="C26" s="62">
        <v>38.109439999999999</v>
      </c>
      <c r="D26" s="62">
        <v>-121.71225</v>
      </c>
      <c r="E26" s="62" t="s">
        <v>7665</v>
      </c>
      <c r="F26" s="62" t="s">
        <v>90</v>
      </c>
      <c r="G26" s="62" t="s">
        <v>91</v>
      </c>
      <c r="H26" s="73">
        <v>0.50972222222222219</v>
      </c>
      <c r="I26" s="74" t="s">
        <v>4500</v>
      </c>
      <c r="J26" s="74" t="s">
        <v>4501</v>
      </c>
      <c r="K26" s="63" t="s">
        <v>8283</v>
      </c>
      <c r="L26" s="74" t="s">
        <v>8588</v>
      </c>
      <c r="M26" s="74">
        <v>2</v>
      </c>
      <c r="N26" s="74">
        <v>10</v>
      </c>
      <c r="O26" s="74" t="s">
        <v>49</v>
      </c>
      <c r="P26" s="63">
        <v>25</v>
      </c>
      <c r="Q26" s="63">
        <f>AVERAGE(121.2,122.2)</f>
        <v>121.7</v>
      </c>
      <c r="R26" s="63">
        <f>AVERAGE(123.3,122.2)</f>
        <v>122.75</v>
      </c>
      <c r="S26" s="63">
        <f>AVERAGE(0.93,0.88)</f>
        <v>0.90500000000000003</v>
      </c>
      <c r="T26" s="63">
        <f>AVERAGE(12,14.6)</f>
        <v>13.3</v>
      </c>
      <c r="U26" s="63">
        <f>AVERAGE(16.9,10.6)</f>
        <v>13.75</v>
      </c>
      <c r="V26" s="75" t="s">
        <v>50</v>
      </c>
      <c r="W26" s="76">
        <v>0</v>
      </c>
      <c r="X26" s="76" t="s">
        <v>50</v>
      </c>
      <c r="Y26" s="77"/>
      <c r="Z26" s="74" t="s">
        <v>32</v>
      </c>
    </row>
    <row r="27" spans="1:26" s="16" customFormat="1" x14ac:dyDescent="0.25">
      <c r="A27" s="22">
        <v>42941</v>
      </c>
      <c r="B27" s="16" t="s">
        <v>845</v>
      </c>
      <c r="C27" s="16">
        <v>38.231850000000001</v>
      </c>
      <c r="D27" s="16">
        <v>-121.67412</v>
      </c>
      <c r="E27" s="16" t="s">
        <v>7672</v>
      </c>
      <c r="F27" s="16" t="s">
        <v>90</v>
      </c>
      <c r="G27" s="16" t="s">
        <v>7562</v>
      </c>
      <c r="H27" s="23">
        <v>0.33194444444444443</v>
      </c>
      <c r="I27" s="17" t="s">
        <v>48</v>
      </c>
      <c r="J27" s="16" t="s">
        <v>29</v>
      </c>
      <c r="K27" s="16" t="s">
        <v>8283</v>
      </c>
      <c r="L27" s="16" t="s">
        <v>50</v>
      </c>
      <c r="M27" s="17">
        <v>5</v>
      </c>
      <c r="N27" s="17">
        <v>5</v>
      </c>
      <c r="O27" s="17" t="s">
        <v>49</v>
      </c>
      <c r="P27" s="16" t="s">
        <v>50</v>
      </c>
      <c r="Q27" s="24">
        <f>AVERAGE(120.3,121.1,124.8,125.9,128.3)</f>
        <v>124.08000000000001</v>
      </c>
      <c r="R27" s="16" t="s">
        <v>50</v>
      </c>
      <c r="S27" s="24">
        <f>AVERAGE(1.12,1.1,0.99,0.83,0.8)</f>
        <v>0.96799999999999997</v>
      </c>
      <c r="T27" s="24">
        <f>AVERAGE(6.18,6.66,12.5,11.2,10)</f>
        <v>9.3079999999999998</v>
      </c>
      <c r="U27" s="17" t="s">
        <v>50</v>
      </c>
      <c r="V27" s="17" t="s">
        <v>50</v>
      </c>
      <c r="W27" s="19">
        <v>0</v>
      </c>
      <c r="X27" s="19" t="s">
        <v>50</v>
      </c>
      <c r="Y27" s="53" t="s">
        <v>8597</v>
      </c>
      <c r="Z27" s="16" t="s">
        <v>50</v>
      </c>
    </row>
    <row r="28" spans="1:26" ht="13.9" x14ac:dyDescent="0.25">
      <c r="A28" s="44">
        <v>42941</v>
      </c>
      <c r="B28" s="631" t="s">
        <v>845</v>
      </c>
      <c r="C28" s="631">
        <v>38.232889999999998</v>
      </c>
      <c r="D28" s="631">
        <v>-121.67506</v>
      </c>
      <c r="E28" s="631" t="s">
        <v>7672</v>
      </c>
      <c r="F28" s="631" t="s">
        <v>90</v>
      </c>
      <c r="G28" s="631" t="s">
        <v>7562</v>
      </c>
      <c r="H28" s="66">
        <v>0.3430555555555555</v>
      </c>
      <c r="I28" s="51" t="s">
        <v>4500</v>
      </c>
      <c r="J28" s="51" t="s">
        <v>29</v>
      </c>
      <c r="K28" s="54" t="s">
        <v>8283</v>
      </c>
      <c r="L28" s="51" t="s">
        <v>8587</v>
      </c>
      <c r="M28" s="51">
        <v>2</v>
      </c>
      <c r="N28" s="51">
        <v>5</v>
      </c>
      <c r="O28" s="51" t="s">
        <v>49</v>
      </c>
      <c r="P28" s="54">
        <f>AVERAGE(38.2,32.8)</f>
        <v>35.5</v>
      </c>
      <c r="Q28" s="54">
        <f>AVERAGE(120.9,122.6)</f>
        <v>121.75</v>
      </c>
      <c r="R28" s="54" t="s">
        <v>50</v>
      </c>
      <c r="S28" s="54">
        <f>AVERAGE(0.3,1.05)</f>
        <v>0.67500000000000004</v>
      </c>
      <c r="T28" s="54">
        <f>AVERAGE(7.86,8.16)</f>
        <v>8.01</v>
      </c>
      <c r="U28" s="54" t="s">
        <v>50</v>
      </c>
      <c r="V28" s="43" t="s">
        <v>50</v>
      </c>
      <c r="W28" s="45">
        <v>0</v>
      </c>
      <c r="X28" s="45" t="s">
        <v>50</v>
      </c>
      <c r="Y28" s="52" t="s">
        <v>8598</v>
      </c>
      <c r="Z28" s="51" t="s">
        <v>32</v>
      </c>
    </row>
    <row r="29" spans="1:26" ht="13.9" x14ac:dyDescent="0.25">
      <c r="A29" s="44">
        <v>42941</v>
      </c>
      <c r="B29" s="631" t="s">
        <v>845</v>
      </c>
      <c r="C29" s="631">
        <v>38.234090000000002</v>
      </c>
      <c r="D29" s="631">
        <v>-121.67712</v>
      </c>
      <c r="E29" s="631" t="s">
        <v>7672</v>
      </c>
      <c r="F29" s="631" t="s">
        <v>90</v>
      </c>
      <c r="G29" s="631" t="s">
        <v>7562</v>
      </c>
      <c r="H29" s="66">
        <v>0.32708333333333334</v>
      </c>
      <c r="I29" s="51" t="s">
        <v>4500</v>
      </c>
      <c r="J29" s="51" t="s">
        <v>29</v>
      </c>
      <c r="K29" s="54" t="s">
        <v>8283</v>
      </c>
      <c r="L29" s="51" t="s">
        <v>8588</v>
      </c>
      <c r="M29" s="51">
        <v>2</v>
      </c>
      <c r="N29" s="51">
        <v>5</v>
      </c>
      <c r="O29" s="51" t="s">
        <v>49</v>
      </c>
      <c r="P29" s="71">
        <v>38.5</v>
      </c>
      <c r="Q29" s="71">
        <f>AVERAGE(120.3,120.8)</f>
        <v>120.55</v>
      </c>
      <c r="R29" s="71">
        <f>AVERAGE(121.4,113)</f>
        <v>117.2</v>
      </c>
      <c r="S29" s="71">
        <f>AVERAGE(1.06,1.05)</f>
        <v>1.0550000000000002</v>
      </c>
      <c r="T29" s="71">
        <f>AVERAGE(6.95,9.79)</f>
        <v>8.3699999999999992</v>
      </c>
      <c r="U29" s="71">
        <f>AVERAGE(94.5,14)</f>
        <v>54.25</v>
      </c>
      <c r="V29" s="43" t="s">
        <v>50</v>
      </c>
      <c r="W29" s="45">
        <v>0</v>
      </c>
      <c r="X29" s="45" t="s">
        <v>50</v>
      </c>
      <c r="Y29" s="52" t="s">
        <v>8598</v>
      </c>
      <c r="Z29" s="51" t="s">
        <v>32</v>
      </c>
    </row>
    <row r="30" spans="1:26" s="74" customFormat="1" ht="13.9" x14ac:dyDescent="0.25">
      <c r="A30" s="61">
        <v>42941</v>
      </c>
      <c r="B30" s="62" t="s">
        <v>845</v>
      </c>
      <c r="C30" s="62">
        <v>38.233899999999998</v>
      </c>
      <c r="D30" s="62">
        <v>-121.67778</v>
      </c>
      <c r="E30" s="62" t="s">
        <v>7672</v>
      </c>
      <c r="F30" s="62" t="s">
        <v>90</v>
      </c>
      <c r="G30" s="62" t="s">
        <v>7562</v>
      </c>
      <c r="H30" s="73">
        <v>0.33749999999999997</v>
      </c>
      <c r="I30" s="74" t="s">
        <v>4500</v>
      </c>
      <c r="J30" s="74" t="s">
        <v>4501</v>
      </c>
      <c r="K30" s="63" t="s">
        <v>8283</v>
      </c>
      <c r="L30" s="74" t="s">
        <v>8588</v>
      </c>
      <c r="M30" s="74">
        <v>2</v>
      </c>
      <c r="N30" s="74">
        <v>5</v>
      </c>
      <c r="O30" s="74" t="s">
        <v>49</v>
      </c>
      <c r="P30" s="63">
        <v>40.5</v>
      </c>
      <c r="Q30" s="63">
        <f>AVERAGE(121.3,121.1)</f>
        <v>121.19999999999999</v>
      </c>
      <c r="R30" s="63">
        <f>AVERAGE(120.1,101.6)</f>
        <v>110.85</v>
      </c>
      <c r="S30" s="63">
        <f>AVERAGE(1.06,1.06)</f>
        <v>1.06</v>
      </c>
      <c r="T30" s="63">
        <f>AVERAGE(11.7,9.31)</f>
        <v>10.504999999999999</v>
      </c>
      <c r="U30" s="63">
        <f>AVERAGE(12.7,12.8)</f>
        <v>12.75</v>
      </c>
      <c r="V30" s="78" t="s">
        <v>50</v>
      </c>
      <c r="W30" s="65">
        <v>0</v>
      </c>
      <c r="X30" s="65" t="s">
        <v>50</v>
      </c>
      <c r="Y30" s="77" t="s">
        <v>8598</v>
      </c>
      <c r="Z30" s="74" t="s">
        <v>32</v>
      </c>
    </row>
    <row r="31" spans="1:26" s="16" customFormat="1" x14ac:dyDescent="0.25">
      <c r="A31" s="22">
        <v>42942</v>
      </c>
      <c r="B31" s="16" t="s">
        <v>106</v>
      </c>
      <c r="C31" s="16">
        <v>38.384070000000001</v>
      </c>
      <c r="D31" s="16">
        <v>-121.62434</v>
      </c>
      <c r="E31" s="16" t="s">
        <v>7683</v>
      </c>
      <c r="F31" s="16" t="s">
        <v>90</v>
      </c>
      <c r="G31" s="16" t="s">
        <v>7577</v>
      </c>
      <c r="H31" s="23">
        <v>0.35347222222222219</v>
      </c>
      <c r="I31" s="17" t="s">
        <v>48</v>
      </c>
      <c r="J31" s="16" t="s">
        <v>29</v>
      </c>
      <c r="K31" s="16" t="s">
        <v>8283</v>
      </c>
      <c r="L31" s="16" t="s">
        <v>50</v>
      </c>
      <c r="M31" s="17">
        <v>1</v>
      </c>
      <c r="N31" s="17">
        <v>3</v>
      </c>
      <c r="O31" s="17" t="s">
        <v>49</v>
      </c>
      <c r="P31" s="16" t="s">
        <v>50</v>
      </c>
      <c r="Q31" s="24">
        <v>437</v>
      </c>
      <c r="R31" s="16" t="s">
        <v>50</v>
      </c>
      <c r="S31" s="24">
        <v>0.34</v>
      </c>
      <c r="T31" s="24">
        <v>27.8</v>
      </c>
      <c r="U31" s="17" t="s">
        <v>50</v>
      </c>
      <c r="V31" s="17" t="s">
        <v>323</v>
      </c>
      <c r="W31" s="25">
        <v>36</v>
      </c>
      <c r="X31" s="25" t="s">
        <v>7684</v>
      </c>
      <c r="Y31" s="53" t="s">
        <v>8599</v>
      </c>
      <c r="Z31" s="16" t="s">
        <v>50</v>
      </c>
    </row>
    <row r="32" spans="1:26" ht="13.9" x14ac:dyDescent="0.25">
      <c r="A32" s="44">
        <v>42942</v>
      </c>
      <c r="B32" s="631" t="s">
        <v>106</v>
      </c>
      <c r="C32" s="631">
        <v>38.383490000000002</v>
      </c>
      <c r="D32" s="631">
        <v>-121.62475999999999</v>
      </c>
      <c r="E32" s="631" t="s">
        <v>7683</v>
      </c>
      <c r="F32" s="631" t="s">
        <v>90</v>
      </c>
      <c r="G32" s="631" t="s">
        <v>7577</v>
      </c>
      <c r="H32" s="66">
        <v>0.40486111111111112</v>
      </c>
      <c r="I32" s="51" t="s">
        <v>4500</v>
      </c>
      <c r="J32" s="51" t="s">
        <v>29</v>
      </c>
      <c r="K32" s="54" t="s">
        <v>8283</v>
      </c>
      <c r="L32" s="51" t="s">
        <v>8587</v>
      </c>
      <c r="M32" s="51">
        <v>1</v>
      </c>
      <c r="N32" s="51">
        <v>5</v>
      </c>
      <c r="O32" s="51" t="s">
        <v>49</v>
      </c>
      <c r="P32" s="54">
        <f>AVERAGE(25)</f>
        <v>25</v>
      </c>
      <c r="Q32" s="54">
        <v>485.3</v>
      </c>
      <c r="R32" s="54" t="s">
        <v>50</v>
      </c>
      <c r="S32" s="54">
        <v>0.34</v>
      </c>
      <c r="T32" s="54">
        <v>31.4</v>
      </c>
      <c r="U32" s="54" t="s">
        <v>50</v>
      </c>
      <c r="V32" s="51" t="s">
        <v>323</v>
      </c>
      <c r="W32" s="51">
        <v>2</v>
      </c>
      <c r="X32" s="51" t="s">
        <v>5350</v>
      </c>
      <c r="Y32" s="52" t="s">
        <v>8600</v>
      </c>
      <c r="Z32" s="51" t="s">
        <v>32</v>
      </c>
    </row>
    <row r="33" spans="1:26" ht="13.9" x14ac:dyDescent="0.25">
      <c r="A33" s="44">
        <v>42942</v>
      </c>
      <c r="B33" s="631" t="s">
        <v>106</v>
      </c>
      <c r="C33" s="631">
        <v>38.384219999999999</v>
      </c>
      <c r="D33" s="631">
        <v>-121.62465</v>
      </c>
      <c r="E33" s="631" t="s">
        <v>7683</v>
      </c>
      <c r="F33" s="631" t="s">
        <v>90</v>
      </c>
      <c r="G33" s="631" t="s">
        <v>7577</v>
      </c>
      <c r="H33" s="66">
        <v>0.34861111111111115</v>
      </c>
      <c r="I33" s="51" t="s">
        <v>4500</v>
      </c>
      <c r="J33" s="51" t="s">
        <v>29</v>
      </c>
      <c r="K33" s="54" t="s">
        <v>8283</v>
      </c>
      <c r="L33" s="51" t="s">
        <v>8588</v>
      </c>
      <c r="M33" s="51">
        <v>1</v>
      </c>
      <c r="N33" s="51">
        <v>5</v>
      </c>
      <c r="O33" s="51" t="s">
        <v>49</v>
      </c>
      <c r="P33" s="51">
        <v>35</v>
      </c>
      <c r="Q33" s="51">
        <v>454.2</v>
      </c>
      <c r="R33" s="51">
        <v>443.2</v>
      </c>
      <c r="S33" s="51">
        <v>0.37</v>
      </c>
      <c r="T33" s="51">
        <v>32</v>
      </c>
      <c r="U33" s="51">
        <v>427</v>
      </c>
      <c r="V33" s="51" t="s">
        <v>323</v>
      </c>
      <c r="W33" s="51">
        <v>3</v>
      </c>
      <c r="X33" s="51" t="s">
        <v>8601</v>
      </c>
      <c r="Y33" s="52" t="s">
        <v>8600</v>
      </c>
      <c r="Z33" s="51" t="s">
        <v>32</v>
      </c>
    </row>
    <row r="34" spans="1:26" s="74" customFormat="1" ht="13.9" x14ac:dyDescent="0.25">
      <c r="A34" s="61">
        <v>42942</v>
      </c>
      <c r="B34" s="62" t="s">
        <v>106</v>
      </c>
      <c r="C34" s="62">
        <v>38.384500000000003</v>
      </c>
      <c r="D34" s="62">
        <v>-121.6247</v>
      </c>
      <c r="E34" s="62" t="s">
        <v>7683</v>
      </c>
      <c r="F34" s="62" t="s">
        <v>90</v>
      </c>
      <c r="G34" s="62" t="s">
        <v>7577</v>
      </c>
      <c r="H34" s="73">
        <v>0.37152777777777773</v>
      </c>
      <c r="I34" s="74" t="s">
        <v>4500</v>
      </c>
      <c r="J34" s="74" t="s">
        <v>4501</v>
      </c>
      <c r="K34" s="63" t="s">
        <v>8283</v>
      </c>
      <c r="L34" s="74" t="s">
        <v>8588</v>
      </c>
      <c r="M34" s="74">
        <v>1</v>
      </c>
      <c r="N34" s="74">
        <v>5</v>
      </c>
      <c r="O34" s="74" t="s">
        <v>49</v>
      </c>
      <c r="P34" s="74">
        <v>35</v>
      </c>
      <c r="Q34" s="74">
        <v>455</v>
      </c>
      <c r="R34" s="74">
        <v>450.3</v>
      </c>
      <c r="S34" s="74">
        <v>0.34</v>
      </c>
      <c r="T34" s="74">
        <v>37.1</v>
      </c>
      <c r="U34" s="74">
        <v>43.3</v>
      </c>
      <c r="V34" s="74" t="s">
        <v>50</v>
      </c>
      <c r="W34" s="74">
        <v>0</v>
      </c>
      <c r="X34" s="74" t="s">
        <v>50</v>
      </c>
      <c r="Y34" s="77" t="s">
        <v>8602</v>
      </c>
    </row>
    <row r="35" spans="1:26" s="16" customFormat="1" x14ac:dyDescent="0.25">
      <c r="A35" s="22">
        <v>42942</v>
      </c>
      <c r="B35" s="16" t="s">
        <v>106</v>
      </c>
      <c r="C35" s="16">
        <v>38.4069</v>
      </c>
      <c r="D35" s="16">
        <v>-121.61405000000001</v>
      </c>
      <c r="E35" s="16" t="s">
        <v>7686</v>
      </c>
      <c r="F35" s="16" t="s">
        <v>90</v>
      </c>
      <c r="G35" s="16" t="s">
        <v>7577</v>
      </c>
      <c r="H35" s="23">
        <v>0.43333333333333335</v>
      </c>
      <c r="I35" s="17" t="s">
        <v>48</v>
      </c>
      <c r="J35" s="16" t="s">
        <v>29</v>
      </c>
      <c r="K35" s="16" t="s">
        <v>8283</v>
      </c>
      <c r="L35" s="16" t="s">
        <v>50</v>
      </c>
      <c r="M35" s="17">
        <v>1</v>
      </c>
      <c r="N35" s="17">
        <v>3</v>
      </c>
      <c r="O35" s="17" t="s">
        <v>49</v>
      </c>
      <c r="P35" s="16" t="s">
        <v>50</v>
      </c>
      <c r="Q35" s="24">
        <v>579</v>
      </c>
      <c r="R35" s="16" t="s">
        <v>50</v>
      </c>
      <c r="S35" s="24">
        <v>0.26</v>
      </c>
      <c r="T35" s="24">
        <v>45</v>
      </c>
      <c r="U35" s="17" t="s">
        <v>50</v>
      </c>
      <c r="V35" s="17" t="s">
        <v>323</v>
      </c>
      <c r="W35" s="25">
        <v>26</v>
      </c>
      <c r="X35" s="25" t="s">
        <v>7687</v>
      </c>
      <c r="Y35" s="53" t="s">
        <v>8603</v>
      </c>
      <c r="Z35" s="16" t="s">
        <v>50</v>
      </c>
    </row>
    <row r="36" spans="1:26" ht="13.9" x14ac:dyDescent="0.25">
      <c r="A36" s="44">
        <v>42942</v>
      </c>
      <c r="B36" s="631" t="s">
        <v>106</v>
      </c>
      <c r="C36" s="631">
        <v>38.409030000000001</v>
      </c>
      <c r="D36" s="631">
        <v>-121.61323</v>
      </c>
      <c r="E36" s="631" t="s">
        <v>7686</v>
      </c>
      <c r="F36" s="631" t="s">
        <v>90</v>
      </c>
      <c r="G36" s="631" t="s">
        <v>7577</v>
      </c>
      <c r="H36" s="66">
        <v>0.4597222222222222</v>
      </c>
      <c r="I36" s="51" t="s">
        <v>4500</v>
      </c>
      <c r="J36" s="51" t="s">
        <v>29</v>
      </c>
      <c r="K36" s="51" t="s">
        <v>8283</v>
      </c>
      <c r="L36" s="51" t="s">
        <v>8587</v>
      </c>
      <c r="M36" s="51">
        <v>1</v>
      </c>
      <c r="N36" s="51">
        <v>5</v>
      </c>
      <c r="O36" s="51" t="s">
        <v>49</v>
      </c>
      <c r="P36" s="51">
        <v>30.6</v>
      </c>
      <c r="Q36" s="51">
        <v>641</v>
      </c>
      <c r="R36" s="51" t="s">
        <v>50</v>
      </c>
      <c r="S36" s="51">
        <v>0.34</v>
      </c>
      <c r="T36" s="51">
        <v>43.5</v>
      </c>
      <c r="U36" s="51" t="s">
        <v>50</v>
      </c>
      <c r="V36" s="51" t="s">
        <v>323</v>
      </c>
      <c r="W36" s="51">
        <v>1</v>
      </c>
      <c r="X36" s="51">
        <v>42</v>
      </c>
      <c r="Y36" s="52" t="s">
        <v>8604</v>
      </c>
      <c r="Z36" s="51" t="s">
        <v>32</v>
      </c>
    </row>
    <row r="37" spans="1:26" ht="13.9" x14ac:dyDescent="0.25">
      <c r="A37" s="44">
        <v>42942</v>
      </c>
      <c r="B37" s="631" t="s">
        <v>106</v>
      </c>
      <c r="C37" s="631">
        <v>38.40728</v>
      </c>
      <c r="D37" s="631">
        <v>-121.61391</v>
      </c>
      <c r="E37" s="631" t="s">
        <v>7686</v>
      </c>
      <c r="F37" s="631" t="s">
        <v>90</v>
      </c>
      <c r="G37" s="631" t="s">
        <v>7577</v>
      </c>
      <c r="H37" s="66">
        <v>0.4368055555555555</v>
      </c>
      <c r="I37" s="51" t="s">
        <v>4500</v>
      </c>
      <c r="J37" s="51" t="s">
        <v>29</v>
      </c>
      <c r="K37" s="51" t="s">
        <v>8283</v>
      </c>
      <c r="L37" s="51" t="s">
        <v>8588</v>
      </c>
      <c r="M37" s="51">
        <v>1</v>
      </c>
      <c r="N37" s="51">
        <v>5</v>
      </c>
      <c r="O37" s="51" t="s">
        <v>49</v>
      </c>
      <c r="P37" s="51">
        <v>30</v>
      </c>
      <c r="Q37" s="51">
        <v>590</v>
      </c>
      <c r="R37" s="51">
        <v>600</v>
      </c>
      <c r="S37" s="51">
        <v>0.35</v>
      </c>
      <c r="T37" s="51">
        <v>53.8</v>
      </c>
      <c r="U37" s="51">
        <v>68.599999999999994</v>
      </c>
      <c r="V37" s="51" t="s">
        <v>323</v>
      </c>
      <c r="W37" s="51">
        <v>1</v>
      </c>
      <c r="X37" s="51">
        <v>29</v>
      </c>
      <c r="Y37" s="52" t="s">
        <v>8604</v>
      </c>
      <c r="Z37" s="51" t="s">
        <v>32</v>
      </c>
    </row>
    <row r="38" spans="1:26" s="74" customFormat="1" ht="13.9" x14ac:dyDescent="0.25">
      <c r="A38" s="61">
        <v>42942</v>
      </c>
      <c r="B38" s="62" t="s">
        <v>106</v>
      </c>
      <c r="C38" s="62">
        <v>38.40728</v>
      </c>
      <c r="D38" s="62">
        <v>-121.61391</v>
      </c>
      <c r="E38" s="62" t="s">
        <v>7686</v>
      </c>
      <c r="F38" s="62" t="s">
        <v>90</v>
      </c>
      <c r="G38" s="62" t="s">
        <v>7577</v>
      </c>
      <c r="H38" s="73">
        <v>0.46527777777777773</v>
      </c>
      <c r="I38" s="74" t="s">
        <v>4500</v>
      </c>
      <c r="J38" s="74" t="s">
        <v>4501</v>
      </c>
      <c r="K38" s="74" t="s">
        <v>8283</v>
      </c>
      <c r="L38" s="74" t="s">
        <v>8588</v>
      </c>
      <c r="M38" s="74">
        <v>1</v>
      </c>
      <c r="N38" s="74">
        <v>5</v>
      </c>
      <c r="O38" s="74" t="s">
        <v>49</v>
      </c>
      <c r="P38" s="74">
        <v>31</v>
      </c>
      <c r="Q38" s="74">
        <v>633</v>
      </c>
      <c r="R38" s="74">
        <v>610</v>
      </c>
      <c r="S38" s="74">
        <v>0.37</v>
      </c>
      <c r="T38" s="74">
        <v>42.2</v>
      </c>
      <c r="U38" s="74">
        <v>73.5</v>
      </c>
      <c r="V38" s="74" t="s">
        <v>50</v>
      </c>
      <c r="W38" s="74">
        <v>0</v>
      </c>
      <c r="X38" s="74" t="s">
        <v>50</v>
      </c>
      <c r="Y38" s="77" t="s">
        <v>8602</v>
      </c>
      <c r="Z38" s="74" t="s">
        <v>32</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0">
    <tabColor theme="9" tint="0.59999389629810485"/>
  </sheetPr>
  <dimension ref="A1:U526"/>
  <sheetViews>
    <sheetView workbookViewId="0">
      <pane xSplit="1" topLeftCell="B1" activePane="topRight" state="frozen"/>
      <selection activeCell="A202" sqref="A202"/>
      <selection pane="topRight" activeCell="A3" sqref="A3"/>
    </sheetView>
  </sheetViews>
  <sheetFormatPr defaultColWidth="9.140625" defaultRowHeight="15" x14ac:dyDescent="0.25"/>
  <cols>
    <col min="1" max="1" width="10.7109375" style="48" customWidth="1"/>
    <col min="2" max="2" width="22.140625" style="48" customWidth="1"/>
    <col min="3" max="4" width="15.7109375" style="48" customWidth="1"/>
    <col min="5" max="5" width="12.28515625" style="48" bestFit="1" customWidth="1"/>
    <col min="6" max="6" width="10.42578125" style="48" customWidth="1"/>
    <col min="7" max="7" width="43.7109375" style="48" bestFit="1" customWidth="1"/>
    <col min="8" max="8" width="10.42578125" style="48" customWidth="1"/>
    <col min="9" max="9" width="18.5703125" style="4" bestFit="1" customWidth="1"/>
    <col min="10" max="10" width="8" style="48" bestFit="1" customWidth="1"/>
    <col min="11" max="11" width="15.7109375" style="48" bestFit="1" customWidth="1"/>
    <col min="12" max="12" width="12.42578125" style="48" bestFit="1" customWidth="1"/>
    <col min="13" max="13" width="12.85546875" style="48" bestFit="1" customWidth="1"/>
    <col min="14" max="14" width="7.7109375" style="48" bestFit="1" customWidth="1"/>
    <col min="15" max="15" width="10.28515625" style="48" bestFit="1" customWidth="1"/>
    <col min="16" max="16" width="5.85546875" style="48" bestFit="1" customWidth="1"/>
    <col min="17" max="17" width="14.85546875" style="48" customWidth="1"/>
    <col min="18" max="18" width="5.85546875" style="48" bestFit="1" customWidth="1"/>
    <col min="19" max="19" width="27.42578125" style="48" customWidth="1"/>
    <col min="20" max="20" width="54.85546875" style="5" customWidth="1"/>
    <col min="21" max="16384" width="9.140625" style="48"/>
  </cols>
  <sheetData>
    <row r="1" spans="1:20" x14ac:dyDescent="0.25">
      <c r="A1" s="338" t="s">
        <v>8605</v>
      </c>
      <c r="B1" s="631"/>
      <c r="C1" s="631"/>
      <c r="D1" s="631"/>
      <c r="E1" s="631"/>
      <c r="F1" s="631"/>
      <c r="G1" s="631"/>
      <c r="H1" s="631"/>
      <c r="J1" s="631"/>
      <c r="K1" s="631"/>
      <c r="L1" s="631"/>
      <c r="M1" s="631"/>
      <c r="N1" s="631"/>
      <c r="O1" s="631"/>
      <c r="P1" s="631"/>
      <c r="Q1" s="631"/>
      <c r="R1" s="631"/>
      <c r="S1" s="631"/>
    </row>
    <row r="2" spans="1:20" x14ac:dyDescent="0.25">
      <c r="A2" s="339" t="s">
        <v>1</v>
      </c>
      <c r="B2" s="631" t="s">
        <v>3</v>
      </c>
      <c r="C2" s="631" t="s">
        <v>4</v>
      </c>
      <c r="D2" s="631" t="s">
        <v>5</v>
      </c>
      <c r="E2" s="631" t="s">
        <v>6</v>
      </c>
      <c r="F2" s="631" t="s">
        <v>7</v>
      </c>
      <c r="G2" s="631" t="s">
        <v>8</v>
      </c>
      <c r="H2" s="339" t="s">
        <v>9</v>
      </c>
      <c r="I2" s="340" t="s">
        <v>36</v>
      </c>
      <c r="J2" s="339" t="s">
        <v>10</v>
      </c>
      <c r="K2" s="339" t="s">
        <v>13</v>
      </c>
      <c r="L2" s="339" t="s">
        <v>14</v>
      </c>
      <c r="M2" s="339" t="s">
        <v>39</v>
      </c>
      <c r="N2" s="339" t="s">
        <v>19</v>
      </c>
      <c r="O2" s="339" t="s">
        <v>42</v>
      </c>
      <c r="P2" s="339" t="s">
        <v>20</v>
      </c>
      <c r="Q2" s="339" t="s">
        <v>21</v>
      </c>
      <c r="R2" s="339" t="s">
        <v>41</v>
      </c>
      <c r="S2" s="339" t="s">
        <v>40</v>
      </c>
      <c r="T2" s="5" t="s">
        <v>22</v>
      </c>
    </row>
    <row r="3" spans="1:20" x14ac:dyDescent="0.25">
      <c r="A3" s="6">
        <v>42719</v>
      </c>
      <c r="B3" s="631" t="s">
        <v>8606</v>
      </c>
      <c r="C3" s="631">
        <v>38.089722219999999</v>
      </c>
      <c r="D3" s="631">
        <v>-121.65</v>
      </c>
      <c r="E3" s="631" t="s">
        <v>8607</v>
      </c>
      <c r="F3" s="631" t="s">
        <v>46</v>
      </c>
      <c r="G3" s="631" t="s">
        <v>97</v>
      </c>
      <c r="H3" s="7">
        <v>0.32430555555555557</v>
      </c>
      <c r="I3" s="8">
        <v>28.86</v>
      </c>
      <c r="J3" s="9" t="s">
        <v>8608</v>
      </c>
      <c r="K3" s="9">
        <v>5</v>
      </c>
      <c r="L3" s="9" t="s">
        <v>8609</v>
      </c>
      <c r="M3" s="9" t="s">
        <v>8610</v>
      </c>
      <c r="N3" s="9" t="s">
        <v>3280</v>
      </c>
      <c r="O3" s="9" t="s">
        <v>228</v>
      </c>
      <c r="P3" s="10">
        <v>1</v>
      </c>
      <c r="Q3" s="10">
        <v>37</v>
      </c>
      <c r="R3" s="9">
        <v>2</v>
      </c>
      <c r="S3" s="9" t="s">
        <v>50</v>
      </c>
    </row>
    <row r="4" spans="1:20" x14ac:dyDescent="0.25">
      <c r="A4" s="11">
        <v>42719</v>
      </c>
      <c r="B4" s="631" t="s">
        <v>8606</v>
      </c>
      <c r="C4" s="631">
        <v>38.096888890000002</v>
      </c>
      <c r="D4" s="631">
        <v>-121.6581667</v>
      </c>
      <c r="E4" s="631" t="s">
        <v>8611</v>
      </c>
      <c r="F4" s="631" t="s">
        <v>46</v>
      </c>
      <c r="G4" s="631" t="s">
        <v>97</v>
      </c>
      <c r="H4" s="12">
        <v>0.40486111111111112</v>
      </c>
      <c r="I4" s="13">
        <v>23.8</v>
      </c>
      <c r="J4" s="14" t="s">
        <v>8608</v>
      </c>
      <c r="K4" s="14">
        <v>2</v>
      </c>
      <c r="L4" s="14" t="s">
        <v>8609</v>
      </c>
      <c r="M4" s="14" t="s">
        <v>8610</v>
      </c>
      <c r="N4" s="14" t="s">
        <v>323</v>
      </c>
      <c r="O4" s="14" t="s">
        <v>228</v>
      </c>
      <c r="P4" s="15">
        <v>2</v>
      </c>
      <c r="Q4" s="15" t="s">
        <v>8612</v>
      </c>
      <c r="R4" s="14" t="s">
        <v>50</v>
      </c>
      <c r="S4" s="14" t="s">
        <v>8613</v>
      </c>
    </row>
    <row r="5" spans="1:20" x14ac:dyDescent="0.25">
      <c r="A5" s="11">
        <v>42719</v>
      </c>
      <c r="B5" s="631" t="s">
        <v>8606</v>
      </c>
      <c r="C5" s="631">
        <v>38.056805560000001</v>
      </c>
      <c r="D5" s="631">
        <v>-121.5523333</v>
      </c>
      <c r="E5" s="631" t="s">
        <v>8614</v>
      </c>
      <c r="F5" s="631" t="s">
        <v>46</v>
      </c>
      <c r="G5" s="631" t="s">
        <v>8615</v>
      </c>
      <c r="H5" s="12">
        <v>0.45555555555555555</v>
      </c>
      <c r="I5" s="13">
        <v>23.5</v>
      </c>
      <c r="J5" s="14" t="s">
        <v>8608</v>
      </c>
      <c r="K5" s="14">
        <v>5</v>
      </c>
      <c r="L5" s="14" t="s">
        <v>8609</v>
      </c>
      <c r="M5" s="14" t="s">
        <v>8610</v>
      </c>
      <c r="N5" s="14" t="s">
        <v>323</v>
      </c>
      <c r="O5" s="14" t="s">
        <v>228</v>
      </c>
      <c r="P5" s="10">
        <v>1</v>
      </c>
      <c r="Q5" s="10">
        <v>64</v>
      </c>
      <c r="R5" s="14" t="s">
        <v>50</v>
      </c>
      <c r="S5" s="14" t="s">
        <v>8613</v>
      </c>
    </row>
    <row r="6" spans="1:20" x14ac:dyDescent="0.25">
      <c r="A6" s="11">
        <v>42723</v>
      </c>
      <c r="B6" s="631" t="s">
        <v>8606</v>
      </c>
      <c r="C6" s="16">
        <v>38.054200000000002</v>
      </c>
      <c r="D6" s="631">
        <v>-121.52609</v>
      </c>
      <c r="E6" s="631" t="s">
        <v>8616</v>
      </c>
      <c r="F6" s="631" t="s">
        <v>46</v>
      </c>
      <c r="G6" s="631" t="s">
        <v>8615</v>
      </c>
      <c r="H6" s="12">
        <v>0.32222222222222224</v>
      </c>
      <c r="I6" s="13">
        <v>19.32</v>
      </c>
      <c r="J6" s="14" t="s">
        <v>8608</v>
      </c>
      <c r="K6" s="14">
        <v>5</v>
      </c>
      <c r="L6" s="14" t="s">
        <v>8609</v>
      </c>
      <c r="M6" s="14" t="s">
        <v>8617</v>
      </c>
      <c r="N6" s="14" t="s">
        <v>5265</v>
      </c>
      <c r="O6" s="14" t="s">
        <v>2525</v>
      </c>
      <c r="P6" s="15">
        <v>1</v>
      </c>
      <c r="Q6" s="15">
        <v>140</v>
      </c>
      <c r="R6" s="14" t="s">
        <v>50</v>
      </c>
      <c r="S6" s="14" t="s">
        <v>50</v>
      </c>
    </row>
    <row r="7" spans="1:20" x14ac:dyDescent="0.25">
      <c r="A7" s="11">
        <v>42723</v>
      </c>
      <c r="B7" s="631" t="s">
        <v>8606</v>
      </c>
      <c r="C7" s="631">
        <v>38.05518</v>
      </c>
      <c r="D7" s="631">
        <v>-121.52328</v>
      </c>
      <c r="E7" s="631" t="s">
        <v>8618</v>
      </c>
      <c r="F7" s="631" t="s">
        <v>46</v>
      </c>
      <c r="G7" s="631" t="s">
        <v>8615</v>
      </c>
      <c r="H7" s="12">
        <v>0.38055555555555554</v>
      </c>
      <c r="I7" s="13">
        <v>35.020000000000003</v>
      </c>
      <c r="J7" s="14" t="s">
        <v>8608</v>
      </c>
      <c r="K7" s="14">
        <v>5</v>
      </c>
      <c r="L7" s="14" t="s">
        <v>8609</v>
      </c>
      <c r="M7" s="14" t="s">
        <v>8617</v>
      </c>
      <c r="N7" s="14" t="s">
        <v>50</v>
      </c>
      <c r="O7" s="14" t="s">
        <v>50</v>
      </c>
      <c r="P7" s="15">
        <v>0</v>
      </c>
      <c r="Q7" s="15" t="s">
        <v>50</v>
      </c>
      <c r="R7" s="14" t="s">
        <v>50</v>
      </c>
      <c r="S7" s="14" t="s">
        <v>50</v>
      </c>
    </row>
    <row r="8" spans="1:20" x14ac:dyDescent="0.25">
      <c r="A8" s="11">
        <v>42723</v>
      </c>
      <c r="B8" s="631" t="s">
        <v>8606</v>
      </c>
      <c r="C8" s="631">
        <v>38.0822</v>
      </c>
      <c r="D8" s="631">
        <v>-121.67816000000001</v>
      </c>
      <c r="E8" s="631" t="s">
        <v>8619</v>
      </c>
      <c r="F8" s="631" t="s">
        <v>46</v>
      </c>
      <c r="G8" s="631" t="s">
        <v>97</v>
      </c>
      <c r="H8" s="12">
        <v>0.45694444444444443</v>
      </c>
      <c r="I8" s="13">
        <v>44.42</v>
      </c>
      <c r="J8" s="14" t="s">
        <v>8608</v>
      </c>
      <c r="K8" s="14">
        <v>5</v>
      </c>
      <c r="L8" s="14" t="s">
        <v>8609</v>
      </c>
      <c r="M8" s="14" t="s">
        <v>8610</v>
      </c>
      <c r="N8" s="14" t="s">
        <v>50</v>
      </c>
      <c r="O8" s="14" t="s">
        <v>50</v>
      </c>
      <c r="P8" s="15">
        <v>0</v>
      </c>
      <c r="Q8" s="15" t="s">
        <v>50</v>
      </c>
      <c r="R8" s="14" t="s">
        <v>50</v>
      </c>
      <c r="S8" s="14" t="s">
        <v>50</v>
      </c>
    </row>
    <row r="9" spans="1:20" x14ac:dyDescent="0.25">
      <c r="A9" s="11">
        <v>42724</v>
      </c>
      <c r="B9" s="631" t="s">
        <v>8296</v>
      </c>
      <c r="C9" s="631">
        <v>38.103110000000001</v>
      </c>
      <c r="D9" s="16">
        <v>-122.03455</v>
      </c>
      <c r="E9" s="631" t="s">
        <v>8620</v>
      </c>
      <c r="F9" s="631" t="s">
        <v>27</v>
      </c>
      <c r="G9" s="631" t="s">
        <v>86</v>
      </c>
      <c r="H9" s="12">
        <v>0.3520833333333333</v>
      </c>
      <c r="I9" s="13">
        <v>73.25</v>
      </c>
      <c r="J9" s="14" t="s">
        <v>8608</v>
      </c>
      <c r="K9" s="14">
        <v>2</v>
      </c>
      <c r="L9" s="14" t="s">
        <v>8609</v>
      </c>
      <c r="M9" s="14" t="s">
        <v>8610</v>
      </c>
      <c r="N9" s="14" t="s">
        <v>323</v>
      </c>
      <c r="O9" s="14" t="s">
        <v>228</v>
      </c>
      <c r="P9" s="15">
        <v>1</v>
      </c>
      <c r="Q9" s="15">
        <v>60</v>
      </c>
      <c r="R9" s="14" t="s">
        <v>50</v>
      </c>
      <c r="S9" s="14" t="s">
        <v>8613</v>
      </c>
    </row>
    <row r="10" spans="1:20" x14ac:dyDescent="0.25">
      <c r="A10" s="11">
        <v>42724</v>
      </c>
      <c r="B10" s="631" t="s">
        <v>8296</v>
      </c>
      <c r="C10" s="631">
        <v>38.103110000000001</v>
      </c>
      <c r="D10" s="16">
        <v>-122.03455</v>
      </c>
      <c r="E10" s="631" t="s">
        <v>8620</v>
      </c>
      <c r="F10" s="631" t="s">
        <v>27</v>
      </c>
      <c r="G10" s="631" t="s">
        <v>86</v>
      </c>
      <c r="H10" s="12"/>
      <c r="I10" s="13"/>
      <c r="J10" s="14"/>
      <c r="K10" s="14"/>
      <c r="L10" s="14"/>
      <c r="M10" s="14"/>
      <c r="N10" s="14" t="s">
        <v>5265</v>
      </c>
      <c r="O10" s="14" t="s">
        <v>2525</v>
      </c>
      <c r="P10" s="15">
        <v>1</v>
      </c>
      <c r="Q10" s="15">
        <v>163</v>
      </c>
      <c r="R10" s="14">
        <v>5</v>
      </c>
      <c r="S10" s="14" t="s">
        <v>50</v>
      </c>
    </row>
    <row r="11" spans="1:20" x14ac:dyDescent="0.25">
      <c r="A11" s="11">
        <v>42724</v>
      </c>
      <c r="B11" s="631" t="s">
        <v>8296</v>
      </c>
      <c r="C11" s="631">
        <v>38.059359999999998</v>
      </c>
      <c r="D11" s="631">
        <v>-121.96963</v>
      </c>
      <c r="E11" s="631" t="s">
        <v>8621</v>
      </c>
      <c r="F11" s="631" t="s">
        <v>27</v>
      </c>
      <c r="G11" s="631" t="s">
        <v>170</v>
      </c>
      <c r="H11" s="12">
        <v>0.38472222222222219</v>
      </c>
      <c r="I11" s="13">
        <v>56.55</v>
      </c>
      <c r="J11" s="14" t="s">
        <v>8608</v>
      </c>
      <c r="K11" s="14">
        <v>2</v>
      </c>
      <c r="L11" s="14" t="s">
        <v>8609</v>
      </c>
      <c r="M11" s="14" t="s">
        <v>8610</v>
      </c>
      <c r="N11" s="14" t="s">
        <v>323</v>
      </c>
      <c r="O11" s="14" t="s">
        <v>228</v>
      </c>
      <c r="P11" s="15">
        <v>1</v>
      </c>
      <c r="Q11" s="15">
        <v>61</v>
      </c>
      <c r="R11" s="14" t="s">
        <v>50</v>
      </c>
      <c r="S11" s="14" t="s">
        <v>8613</v>
      </c>
    </row>
    <row r="12" spans="1:20" x14ac:dyDescent="0.25">
      <c r="A12" s="11">
        <v>42724</v>
      </c>
      <c r="B12" s="631" t="s">
        <v>8296</v>
      </c>
      <c r="C12" s="631">
        <v>38.059359999999998</v>
      </c>
      <c r="D12" s="631">
        <v>-121.96963</v>
      </c>
      <c r="E12" s="631" t="s">
        <v>8621</v>
      </c>
      <c r="F12" s="631" t="s">
        <v>27</v>
      </c>
      <c r="G12" s="631" t="s">
        <v>170</v>
      </c>
      <c r="H12" s="12"/>
      <c r="I12" s="13"/>
      <c r="J12" s="14"/>
      <c r="K12" s="14"/>
      <c r="L12" s="14"/>
      <c r="M12" s="14"/>
      <c r="N12" s="14" t="s">
        <v>5265</v>
      </c>
      <c r="O12" s="14" t="s">
        <v>2525</v>
      </c>
      <c r="P12" s="15">
        <v>1</v>
      </c>
      <c r="Q12" s="15">
        <v>157</v>
      </c>
      <c r="R12" s="14">
        <v>5</v>
      </c>
      <c r="S12" s="14" t="s">
        <v>50</v>
      </c>
    </row>
    <row r="13" spans="1:20" x14ac:dyDescent="0.25">
      <c r="A13" s="11">
        <v>42724</v>
      </c>
      <c r="B13" s="631" t="s">
        <v>8296</v>
      </c>
      <c r="C13" s="631">
        <v>38.067659999999997</v>
      </c>
      <c r="D13" s="631">
        <v>-122.0295</v>
      </c>
      <c r="E13" s="631" t="s">
        <v>8622</v>
      </c>
      <c r="F13" s="631" t="s">
        <v>27</v>
      </c>
      <c r="G13" s="631" t="s">
        <v>86</v>
      </c>
      <c r="H13" s="12">
        <v>0.41666666666666669</v>
      </c>
      <c r="I13" s="13">
        <v>70.25</v>
      </c>
      <c r="J13" s="14" t="s">
        <v>8608</v>
      </c>
      <c r="K13" s="14">
        <v>2</v>
      </c>
      <c r="L13" s="14" t="s">
        <v>8609</v>
      </c>
      <c r="M13" s="14" t="s">
        <v>8610</v>
      </c>
      <c r="N13" s="14" t="s">
        <v>323</v>
      </c>
      <c r="O13" s="14" t="s">
        <v>228</v>
      </c>
      <c r="P13" s="15">
        <v>1</v>
      </c>
      <c r="Q13" s="15">
        <v>62</v>
      </c>
      <c r="R13" s="14" t="s">
        <v>50</v>
      </c>
      <c r="S13" s="14" t="s">
        <v>8613</v>
      </c>
    </row>
    <row r="14" spans="1:20" x14ac:dyDescent="0.25">
      <c r="A14" s="11">
        <v>42724</v>
      </c>
      <c r="B14" s="631" t="s">
        <v>8296</v>
      </c>
      <c r="C14" s="631">
        <v>38.067659999999997</v>
      </c>
      <c r="D14" s="631">
        <v>-122.0295</v>
      </c>
      <c r="E14" s="631" t="s">
        <v>8622</v>
      </c>
      <c r="F14" s="631" t="s">
        <v>27</v>
      </c>
      <c r="G14" s="631" t="s">
        <v>86</v>
      </c>
      <c r="H14" s="12"/>
      <c r="I14" s="13"/>
      <c r="J14" s="14"/>
      <c r="K14" s="14"/>
      <c r="L14" s="14"/>
      <c r="M14" s="14"/>
      <c r="N14" s="14" t="s">
        <v>702</v>
      </c>
      <c r="O14" s="14" t="s">
        <v>228</v>
      </c>
      <c r="P14" s="15">
        <v>1</v>
      </c>
      <c r="Q14" s="15">
        <v>35</v>
      </c>
      <c r="R14" s="14">
        <v>2</v>
      </c>
      <c r="S14" s="14" t="s">
        <v>50</v>
      </c>
    </row>
    <row r="15" spans="1:20" x14ac:dyDescent="0.25">
      <c r="A15" s="11">
        <v>42724</v>
      </c>
      <c r="B15" s="631" t="s">
        <v>8296</v>
      </c>
      <c r="C15" s="631">
        <v>38.067659999999997</v>
      </c>
      <c r="D15" s="631">
        <v>-122.0295</v>
      </c>
      <c r="E15" s="631" t="s">
        <v>8622</v>
      </c>
      <c r="F15" s="631" t="s">
        <v>27</v>
      </c>
      <c r="G15" s="631" t="s">
        <v>86</v>
      </c>
      <c r="H15" s="12"/>
      <c r="I15" s="13"/>
      <c r="J15" s="14"/>
      <c r="K15" s="14"/>
      <c r="L15" s="14"/>
      <c r="M15" s="14"/>
      <c r="N15" s="14" t="s">
        <v>5265</v>
      </c>
      <c r="O15" s="14" t="s">
        <v>2525</v>
      </c>
      <c r="P15" s="15">
        <v>1</v>
      </c>
      <c r="Q15" s="15">
        <v>166</v>
      </c>
      <c r="R15" s="14" t="s">
        <v>50</v>
      </c>
      <c r="S15" s="14" t="s">
        <v>50</v>
      </c>
      <c r="T15" s="5" t="s">
        <v>8623</v>
      </c>
    </row>
    <row r="16" spans="1:20" x14ac:dyDescent="0.25">
      <c r="A16" s="11">
        <v>42724</v>
      </c>
      <c r="B16" s="631" t="s">
        <v>8296</v>
      </c>
      <c r="C16" s="631">
        <v>38.072099999999999</v>
      </c>
      <c r="D16" s="631">
        <v>-121.77601</v>
      </c>
      <c r="E16" s="631" t="s">
        <v>8624</v>
      </c>
      <c r="F16" s="631" t="s">
        <v>27</v>
      </c>
      <c r="G16" s="631" t="s">
        <v>25</v>
      </c>
      <c r="H16" s="12">
        <v>0.46249999999999997</v>
      </c>
      <c r="I16" s="13">
        <v>56.55</v>
      </c>
      <c r="J16" s="14" t="s">
        <v>8608</v>
      </c>
      <c r="K16" s="14">
        <v>4</v>
      </c>
      <c r="L16" s="14" t="s">
        <v>8625</v>
      </c>
      <c r="M16" s="14" t="s">
        <v>8610</v>
      </c>
      <c r="N16" s="14" t="s">
        <v>323</v>
      </c>
      <c r="O16" s="14" t="s">
        <v>228</v>
      </c>
      <c r="P16" s="15">
        <v>1</v>
      </c>
      <c r="Q16" s="15">
        <v>65</v>
      </c>
      <c r="R16" s="14" t="s">
        <v>50</v>
      </c>
      <c r="S16" s="14" t="s">
        <v>8613</v>
      </c>
    </row>
    <row r="17" spans="1:20" x14ac:dyDescent="0.25">
      <c r="A17" s="11">
        <v>42724</v>
      </c>
      <c r="B17" s="631" t="s">
        <v>8606</v>
      </c>
      <c r="C17" s="631">
        <v>38.103029999999997</v>
      </c>
      <c r="D17" s="631">
        <v>-121.61872</v>
      </c>
      <c r="E17" s="631" t="s">
        <v>8626</v>
      </c>
      <c r="F17" s="631" t="s">
        <v>46</v>
      </c>
      <c r="G17" s="631" t="s">
        <v>97</v>
      </c>
      <c r="H17" s="12">
        <v>0.32222222222222224</v>
      </c>
      <c r="I17" s="13">
        <v>49.85</v>
      </c>
      <c r="J17" s="14" t="s">
        <v>8608</v>
      </c>
      <c r="K17" s="14">
        <v>2</v>
      </c>
      <c r="L17" s="14" t="s">
        <v>8609</v>
      </c>
      <c r="M17" s="14" t="s">
        <v>8617</v>
      </c>
      <c r="N17" s="14" t="s">
        <v>323</v>
      </c>
      <c r="O17" s="14" t="s">
        <v>228</v>
      </c>
      <c r="P17" s="15">
        <v>2</v>
      </c>
      <c r="Q17" s="15">
        <v>66</v>
      </c>
      <c r="R17" s="14" t="s">
        <v>50</v>
      </c>
      <c r="S17" s="14" t="s">
        <v>8613</v>
      </c>
    </row>
    <row r="18" spans="1:20" x14ac:dyDescent="0.25">
      <c r="A18" s="11">
        <v>42724</v>
      </c>
      <c r="B18" s="631" t="s">
        <v>8606</v>
      </c>
      <c r="C18" s="631">
        <v>38.103029999999997</v>
      </c>
      <c r="D18" s="631">
        <v>-121.61872</v>
      </c>
      <c r="E18" s="631" t="s">
        <v>8626</v>
      </c>
      <c r="F18" s="631" t="s">
        <v>46</v>
      </c>
      <c r="G18" s="631" t="s">
        <v>97</v>
      </c>
      <c r="H18" s="12"/>
      <c r="I18" s="13"/>
      <c r="J18" s="14"/>
      <c r="K18" s="14"/>
      <c r="L18" s="14"/>
      <c r="M18" s="14"/>
      <c r="N18" s="14" t="s">
        <v>5265</v>
      </c>
      <c r="O18" s="14" t="s">
        <v>2525</v>
      </c>
      <c r="P18" s="15">
        <v>2</v>
      </c>
      <c r="Q18" s="15" t="s">
        <v>8627</v>
      </c>
      <c r="R18" s="14">
        <v>5</v>
      </c>
      <c r="S18" s="14" t="s">
        <v>50</v>
      </c>
      <c r="T18" s="5" t="s">
        <v>8628</v>
      </c>
    </row>
    <row r="19" spans="1:20" x14ac:dyDescent="0.25">
      <c r="A19" s="11">
        <v>42724</v>
      </c>
      <c r="B19" s="631" t="s">
        <v>8606</v>
      </c>
      <c r="C19" s="631">
        <v>38.105130000000003</v>
      </c>
      <c r="D19" s="631">
        <v>-121.60014</v>
      </c>
      <c r="E19" s="631" t="s">
        <v>8629</v>
      </c>
      <c r="F19" s="631" t="s">
        <v>46</v>
      </c>
      <c r="G19" s="631" t="s">
        <v>8615</v>
      </c>
      <c r="H19" s="12">
        <v>0.3520833333333333</v>
      </c>
      <c r="I19" s="13">
        <v>62.42</v>
      </c>
      <c r="J19" s="14" t="s">
        <v>8608</v>
      </c>
      <c r="K19" s="14">
        <v>4</v>
      </c>
      <c r="L19" s="14" t="s">
        <v>8609</v>
      </c>
      <c r="M19" s="14" t="s">
        <v>8617</v>
      </c>
      <c r="N19" s="14" t="s">
        <v>323</v>
      </c>
      <c r="O19" s="14" t="s">
        <v>228</v>
      </c>
      <c r="P19" s="15">
        <v>1</v>
      </c>
      <c r="Q19" s="15">
        <v>34</v>
      </c>
      <c r="R19" s="14" t="s">
        <v>50</v>
      </c>
      <c r="S19" s="14" t="s">
        <v>8613</v>
      </c>
    </row>
    <row r="20" spans="1:20" x14ac:dyDescent="0.25">
      <c r="A20" s="11">
        <v>42724</v>
      </c>
      <c r="B20" s="631" t="s">
        <v>8606</v>
      </c>
      <c r="C20" s="631">
        <v>38.105130000000003</v>
      </c>
      <c r="D20" s="631">
        <v>-121.60014</v>
      </c>
      <c r="E20" s="631" t="s">
        <v>8629</v>
      </c>
      <c r="F20" s="631" t="s">
        <v>46</v>
      </c>
      <c r="G20" s="631" t="s">
        <v>8615</v>
      </c>
      <c r="H20" s="631"/>
      <c r="J20" s="631"/>
      <c r="K20" s="631"/>
      <c r="L20" s="631"/>
      <c r="M20" s="631"/>
      <c r="N20" s="14" t="s">
        <v>5265</v>
      </c>
      <c r="O20" s="14" t="s">
        <v>2525</v>
      </c>
      <c r="P20" s="15">
        <v>1</v>
      </c>
      <c r="Q20" s="15">
        <v>126</v>
      </c>
      <c r="R20" s="14" t="s">
        <v>50</v>
      </c>
      <c r="S20" s="14" t="s">
        <v>50</v>
      </c>
    </row>
    <row r="21" spans="1:20" x14ac:dyDescent="0.25">
      <c r="A21" s="11">
        <v>42724</v>
      </c>
      <c r="B21" s="631" t="s">
        <v>8606</v>
      </c>
      <c r="C21" s="631">
        <v>38.077240000000003</v>
      </c>
      <c r="D21" s="631">
        <v>-121.57297</v>
      </c>
      <c r="E21" s="631" t="s">
        <v>8630</v>
      </c>
      <c r="F21" s="631" t="s">
        <v>46</v>
      </c>
      <c r="G21" s="631" t="s">
        <v>8615</v>
      </c>
      <c r="H21" s="12">
        <v>0.40763888888888888</v>
      </c>
      <c r="I21" s="13">
        <v>49.9</v>
      </c>
      <c r="J21" s="14" t="s">
        <v>8608</v>
      </c>
      <c r="K21" s="14">
        <v>5</v>
      </c>
      <c r="L21" s="14" t="s">
        <v>8609</v>
      </c>
      <c r="M21" s="14" t="s">
        <v>8610</v>
      </c>
      <c r="N21" s="14" t="s">
        <v>50</v>
      </c>
      <c r="O21" s="14" t="s">
        <v>50</v>
      </c>
      <c r="P21" s="15">
        <v>0</v>
      </c>
      <c r="Q21" s="15" t="s">
        <v>50</v>
      </c>
      <c r="R21" s="14" t="s">
        <v>50</v>
      </c>
      <c r="S21" s="14" t="s">
        <v>50</v>
      </c>
    </row>
    <row r="22" spans="1:20" x14ac:dyDescent="0.25">
      <c r="A22" s="11">
        <v>42724</v>
      </c>
      <c r="B22" s="631" t="s">
        <v>8606</v>
      </c>
      <c r="C22" s="631">
        <v>38.061520000000002</v>
      </c>
      <c r="D22" s="631">
        <v>-121.6808</v>
      </c>
      <c r="E22" s="631" t="s">
        <v>8631</v>
      </c>
      <c r="F22" s="631" t="s">
        <v>46</v>
      </c>
      <c r="G22" s="631" t="s">
        <v>97</v>
      </c>
      <c r="H22" s="12">
        <v>0.4770833333333333</v>
      </c>
      <c r="I22" s="13">
        <v>41.72</v>
      </c>
      <c r="J22" s="14" t="s">
        <v>8608</v>
      </c>
      <c r="K22" s="14">
        <v>5</v>
      </c>
      <c r="L22" s="14" t="s">
        <v>8609</v>
      </c>
      <c r="M22" s="14" t="s">
        <v>8610</v>
      </c>
      <c r="N22" s="14" t="s">
        <v>50</v>
      </c>
      <c r="O22" s="14" t="s">
        <v>50</v>
      </c>
      <c r="P22" s="10">
        <v>0</v>
      </c>
      <c r="Q22" s="10" t="s">
        <v>50</v>
      </c>
      <c r="R22" s="14" t="s">
        <v>50</v>
      </c>
      <c r="S22" s="14" t="s">
        <v>50</v>
      </c>
    </row>
    <row r="23" spans="1:20" x14ac:dyDescent="0.25">
      <c r="A23" s="11">
        <v>42725</v>
      </c>
      <c r="B23" s="631" t="s">
        <v>8296</v>
      </c>
      <c r="C23" s="631">
        <v>38.252569999999999</v>
      </c>
      <c r="D23" s="631">
        <v>-121.68798</v>
      </c>
      <c r="E23" s="631" t="s">
        <v>8632</v>
      </c>
      <c r="F23" s="631" t="s">
        <v>90</v>
      </c>
      <c r="G23" s="631" t="s">
        <v>126</v>
      </c>
      <c r="H23" s="12">
        <v>0.35833333333333334</v>
      </c>
      <c r="I23" s="13">
        <v>86</v>
      </c>
      <c r="J23" s="14" t="s">
        <v>8608</v>
      </c>
      <c r="K23" s="14">
        <v>5</v>
      </c>
      <c r="L23" s="14" t="s">
        <v>8625</v>
      </c>
      <c r="M23" s="14" t="s">
        <v>8617</v>
      </c>
      <c r="N23" s="14" t="s">
        <v>702</v>
      </c>
      <c r="O23" s="14" t="s">
        <v>228</v>
      </c>
      <c r="P23" s="10">
        <v>1</v>
      </c>
      <c r="Q23" s="10">
        <v>33</v>
      </c>
      <c r="R23" s="14">
        <v>1</v>
      </c>
      <c r="S23" s="14" t="s">
        <v>50</v>
      </c>
    </row>
    <row r="24" spans="1:20" x14ac:dyDescent="0.25">
      <c r="A24" s="11">
        <v>42725</v>
      </c>
      <c r="B24" s="631" t="s">
        <v>8296</v>
      </c>
      <c r="C24" s="631" t="s">
        <v>50</v>
      </c>
      <c r="D24" s="631" t="s">
        <v>50</v>
      </c>
      <c r="E24" s="16" t="s">
        <v>8633</v>
      </c>
      <c r="F24" s="631" t="s">
        <v>27</v>
      </c>
      <c r="G24" s="16" t="s">
        <v>863</v>
      </c>
      <c r="H24" s="12">
        <v>0.43333333333333335</v>
      </c>
      <c r="I24" s="13" t="s">
        <v>50</v>
      </c>
      <c r="J24" s="14" t="s">
        <v>8608</v>
      </c>
      <c r="K24" s="14">
        <v>0</v>
      </c>
      <c r="L24" s="14" t="s">
        <v>50</v>
      </c>
      <c r="M24" s="14" t="s">
        <v>50</v>
      </c>
      <c r="N24" s="14" t="s">
        <v>50</v>
      </c>
      <c r="O24" s="14" t="s">
        <v>50</v>
      </c>
      <c r="P24" s="10">
        <v>0</v>
      </c>
      <c r="Q24" s="10" t="s">
        <v>50</v>
      </c>
      <c r="R24" s="14" t="s">
        <v>50</v>
      </c>
      <c r="S24" s="14" t="s">
        <v>50</v>
      </c>
      <c r="T24" s="5" t="s">
        <v>8634</v>
      </c>
    </row>
    <row r="25" spans="1:20" x14ac:dyDescent="0.25">
      <c r="A25" s="11">
        <v>42725</v>
      </c>
      <c r="B25" s="631" t="s">
        <v>8296</v>
      </c>
      <c r="C25" s="631">
        <v>38.066249999999997</v>
      </c>
      <c r="D25" s="631">
        <v>-121.81985</v>
      </c>
      <c r="E25" s="631" t="s">
        <v>8635</v>
      </c>
      <c r="F25" s="631" t="s">
        <v>27</v>
      </c>
      <c r="G25" s="631" t="s">
        <v>25</v>
      </c>
      <c r="H25" s="12">
        <v>0.45763888888888887</v>
      </c>
      <c r="I25" s="13">
        <v>98.45</v>
      </c>
      <c r="J25" s="14" t="s">
        <v>8608</v>
      </c>
      <c r="K25" s="14">
        <v>2</v>
      </c>
      <c r="L25" s="14" t="s">
        <v>8625</v>
      </c>
      <c r="M25" s="14" t="s">
        <v>8610</v>
      </c>
      <c r="N25" s="14" t="s">
        <v>323</v>
      </c>
      <c r="O25" s="14" t="s">
        <v>228</v>
      </c>
      <c r="P25" s="10">
        <v>10</v>
      </c>
      <c r="Q25" s="10" t="s">
        <v>8636</v>
      </c>
      <c r="R25" s="14" t="s">
        <v>50</v>
      </c>
      <c r="S25" s="14" t="s">
        <v>8613</v>
      </c>
      <c r="T25" s="5" t="s">
        <v>8637</v>
      </c>
    </row>
    <row r="26" spans="1:20" x14ac:dyDescent="0.25">
      <c r="A26" s="11">
        <v>42725</v>
      </c>
      <c r="B26" s="631" t="s">
        <v>8296</v>
      </c>
      <c r="C26" s="631">
        <v>38.067030000000003</v>
      </c>
      <c r="D26" s="631">
        <v>-121.86467</v>
      </c>
      <c r="E26" s="631" t="s">
        <v>8638</v>
      </c>
      <c r="F26" s="631" t="s">
        <v>27</v>
      </c>
      <c r="G26" s="631" t="s">
        <v>25</v>
      </c>
      <c r="H26" s="12">
        <v>0.48472222222222222</v>
      </c>
      <c r="I26" s="13">
        <v>82.57</v>
      </c>
      <c r="J26" s="14" t="s">
        <v>8608</v>
      </c>
      <c r="K26" s="14">
        <v>3</v>
      </c>
      <c r="L26" s="14" t="s">
        <v>8625</v>
      </c>
      <c r="M26" s="14" t="s">
        <v>8610</v>
      </c>
      <c r="N26" s="14" t="s">
        <v>323</v>
      </c>
      <c r="O26" s="14" t="s">
        <v>228</v>
      </c>
      <c r="P26" s="10">
        <v>1</v>
      </c>
      <c r="Q26" s="10">
        <v>68</v>
      </c>
      <c r="R26" s="14" t="s">
        <v>50</v>
      </c>
      <c r="S26" s="14" t="s">
        <v>8613</v>
      </c>
    </row>
    <row r="27" spans="1:20" x14ac:dyDescent="0.25">
      <c r="A27" s="11">
        <v>42726</v>
      </c>
      <c r="B27" s="631" t="s">
        <v>8606</v>
      </c>
      <c r="C27" s="631">
        <v>38.066789999999997</v>
      </c>
      <c r="D27" s="631">
        <v>-121.55638999999999</v>
      </c>
      <c r="E27" s="631" t="s">
        <v>8639</v>
      </c>
      <c r="F27" s="631" t="s">
        <v>46</v>
      </c>
      <c r="G27" s="631" t="s">
        <v>8615</v>
      </c>
      <c r="H27" s="12">
        <v>0.33194444444444443</v>
      </c>
      <c r="I27" s="13">
        <v>38.619999999999997</v>
      </c>
      <c r="J27" s="14" t="s">
        <v>8608</v>
      </c>
      <c r="K27" s="14">
        <v>5</v>
      </c>
      <c r="L27" s="14" t="s">
        <v>8609</v>
      </c>
      <c r="M27" s="14" t="s">
        <v>8617</v>
      </c>
      <c r="N27" s="14" t="s">
        <v>50</v>
      </c>
      <c r="O27" s="14" t="s">
        <v>50</v>
      </c>
      <c r="P27" s="10">
        <v>0</v>
      </c>
      <c r="Q27" s="10" t="s">
        <v>50</v>
      </c>
      <c r="R27" s="14" t="s">
        <v>50</v>
      </c>
      <c r="S27" s="14" t="s">
        <v>50</v>
      </c>
    </row>
    <row r="28" spans="1:20" x14ac:dyDescent="0.25">
      <c r="A28" s="11">
        <v>42726</v>
      </c>
      <c r="B28" s="631" t="s">
        <v>8606</v>
      </c>
      <c r="C28" s="631">
        <v>38.068100000000001</v>
      </c>
      <c r="D28" s="631">
        <v>-121.5343</v>
      </c>
      <c r="E28" s="631" t="s">
        <v>8640</v>
      </c>
      <c r="F28" s="631" t="s">
        <v>46</v>
      </c>
      <c r="G28" s="631" t="s">
        <v>8615</v>
      </c>
      <c r="H28" s="12">
        <v>0.39305555555555555</v>
      </c>
      <c r="I28" s="13">
        <v>41.3</v>
      </c>
      <c r="J28" s="14" t="s">
        <v>8608</v>
      </c>
      <c r="K28" s="14">
        <v>5</v>
      </c>
      <c r="L28" s="14" t="s">
        <v>8609</v>
      </c>
      <c r="M28" s="14" t="s">
        <v>8617</v>
      </c>
      <c r="N28" s="14" t="s">
        <v>323</v>
      </c>
      <c r="O28" s="14" t="s">
        <v>228</v>
      </c>
      <c r="P28" s="14">
        <v>1</v>
      </c>
      <c r="Q28" s="14">
        <v>46</v>
      </c>
      <c r="R28" s="14" t="s">
        <v>50</v>
      </c>
      <c r="S28" s="14" t="s">
        <v>8613</v>
      </c>
    </row>
    <row r="29" spans="1:20" x14ac:dyDescent="0.25">
      <c r="A29" s="11">
        <v>42726</v>
      </c>
      <c r="B29" s="631" t="s">
        <v>8296</v>
      </c>
      <c r="C29" s="631">
        <v>38.039540000000002</v>
      </c>
      <c r="D29" s="16">
        <v>-121.71359</v>
      </c>
      <c r="E29" s="16" t="s">
        <v>8641</v>
      </c>
      <c r="F29" s="631" t="s">
        <v>27</v>
      </c>
      <c r="G29" s="16" t="s">
        <v>863</v>
      </c>
      <c r="H29" s="12">
        <v>0.3576388888888889</v>
      </c>
      <c r="I29" s="13">
        <v>37.700000000000003</v>
      </c>
      <c r="J29" s="14" t="s">
        <v>8608</v>
      </c>
      <c r="K29" s="14">
        <v>5</v>
      </c>
      <c r="L29" s="14" t="s">
        <v>8625</v>
      </c>
      <c r="M29" s="14" t="s">
        <v>8617</v>
      </c>
      <c r="N29" s="14" t="s">
        <v>50</v>
      </c>
      <c r="O29" s="14" t="s">
        <v>50</v>
      </c>
      <c r="P29" s="10">
        <v>0</v>
      </c>
      <c r="Q29" s="10" t="s">
        <v>50</v>
      </c>
      <c r="R29" s="14" t="s">
        <v>50</v>
      </c>
      <c r="S29" s="14" t="s">
        <v>50</v>
      </c>
    </row>
    <row r="30" spans="1:20" x14ac:dyDescent="0.25">
      <c r="A30" s="11">
        <v>42726</v>
      </c>
      <c r="B30" s="631" t="s">
        <v>8296</v>
      </c>
      <c r="C30" s="631">
        <v>38.048310000000001</v>
      </c>
      <c r="D30" s="631">
        <v>-121.84614999999999</v>
      </c>
      <c r="E30" s="16" t="s">
        <v>8642</v>
      </c>
      <c r="F30" s="631" t="s">
        <v>27</v>
      </c>
      <c r="G30" s="16" t="s">
        <v>863</v>
      </c>
      <c r="H30" s="12">
        <v>0.41319444444444442</v>
      </c>
      <c r="I30" s="13">
        <v>52.95</v>
      </c>
      <c r="J30" s="14" t="s">
        <v>8608</v>
      </c>
      <c r="K30" s="14">
        <v>2</v>
      </c>
      <c r="L30" s="14" t="s">
        <v>8625</v>
      </c>
      <c r="M30" s="14" t="s">
        <v>8610</v>
      </c>
      <c r="N30" s="14" t="s">
        <v>3280</v>
      </c>
      <c r="O30" s="14" t="s">
        <v>228</v>
      </c>
      <c r="P30" s="15">
        <v>1</v>
      </c>
      <c r="Q30" s="15">
        <v>38</v>
      </c>
      <c r="R30" s="14">
        <v>2</v>
      </c>
      <c r="S30" s="14" t="s">
        <v>50</v>
      </c>
    </row>
    <row r="31" spans="1:20" x14ac:dyDescent="0.25">
      <c r="A31" s="11">
        <v>42726</v>
      </c>
      <c r="B31" s="631" t="s">
        <v>8296</v>
      </c>
      <c r="C31" s="631">
        <v>38.048310000000001</v>
      </c>
      <c r="D31" s="631">
        <v>-121.84614999999999</v>
      </c>
      <c r="E31" s="16" t="s">
        <v>8642</v>
      </c>
      <c r="F31" s="631" t="s">
        <v>27</v>
      </c>
      <c r="G31" s="16" t="s">
        <v>863</v>
      </c>
      <c r="H31" s="12"/>
      <c r="I31" s="13"/>
      <c r="J31" s="14"/>
      <c r="K31" s="14"/>
      <c r="L31" s="14"/>
      <c r="M31" s="14"/>
      <c r="N31" s="14" t="s">
        <v>323</v>
      </c>
      <c r="O31" s="14" t="s">
        <v>228</v>
      </c>
      <c r="P31" s="10">
        <v>1</v>
      </c>
      <c r="Q31" s="10">
        <v>62</v>
      </c>
      <c r="R31" s="14" t="s">
        <v>50</v>
      </c>
      <c r="S31" s="14" t="s">
        <v>8613</v>
      </c>
    </row>
    <row r="32" spans="1:20" x14ac:dyDescent="0.25">
      <c r="A32" s="11">
        <v>42726</v>
      </c>
      <c r="B32" s="631" t="s">
        <v>8296</v>
      </c>
      <c r="C32" s="631">
        <v>38.076999999999998</v>
      </c>
      <c r="D32" s="631">
        <v>-122.03175</v>
      </c>
      <c r="E32" s="631" t="s">
        <v>8643</v>
      </c>
      <c r="F32" s="631" t="s">
        <v>27</v>
      </c>
      <c r="G32" s="631" t="s">
        <v>86</v>
      </c>
      <c r="H32" s="12">
        <v>0.44791666666666669</v>
      </c>
      <c r="I32" s="13">
        <v>69.53</v>
      </c>
      <c r="J32" s="14" t="s">
        <v>8608</v>
      </c>
      <c r="K32" s="14">
        <v>3</v>
      </c>
      <c r="L32" s="14" t="s">
        <v>8625</v>
      </c>
      <c r="M32" s="14" t="s">
        <v>8617</v>
      </c>
      <c r="N32" s="14" t="s">
        <v>323</v>
      </c>
      <c r="O32" s="14" t="s">
        <v>228</v>
      </c>
      <c r="P32" s="15">
        <v>1</v>
      </c>
      <c r="Q32" s="15">
        <v>64</v>
      </c>
      <c r="R32" s="14" t="s">
        <v>50</v>
      </c>
      <c r="S32" s="14" t="s">
        <v>8613</v>
      </c>
    </row>
    <row r="33" spans="1:20" x14ac:dyDescent="0.25">
      <c r="A33" s="11">
        <v>42726</v>
      </c>
      <c r="B33" s="631" t="s">
        <v>8296</v>
      </c>
      <c r="C33" s="631">
        <v>38.062040000000003</v>
      </c>
      <c r="D33" s="631">
        <v>-121.99509999999999</v>
      </c>
      <c r="E33" s="631" t="s">
        <v>8644</v>
      </c>
      <c r="F33" s="631" t="s">
        <v>27</v>
      </c>
      <c r="G33" s="631" t="s">
        <v>86</v>
      </c>
      <c r="H33" s="12">
        <v>0.48402777777777778</v>
      </c>
      <c r="I33" s="13">
        <v>53.2</v>
      </c>
      <c r="J33" s="14" t="s">
        <v>8608</v>
      </c>
      <c r="K33" s="14">
        <v>5</v>
      </c>
      <c r="L33" s="14" t="s">
        <v>8625</v>
      </c>
      <c r="M33" s="14" t="s">
        <v>8610</v>
      </c>
      <c r="N33" s="14" t="s">
        <v>50</v>
      </c>
      <c r="O33" s="14" t="s">
        <v>50</v>
      </c>
      <c r="P33" s="15">
        <v>0</v>
      </c>
      <c r="Q33" s="15" t="s">
        <v>50</v>
      </c>
      <c r="R33" s="14" t="s">
        <v>50</v>
      </c>
      <c r="S33" s="14" t="s">
        <v>50</v>
      </c>
    </row>
    <row r="34" spans="1:20" x14ac:dyDescent="0.25">
      <c r="A34" s="11">
        <v>42731</v>
      </c>
      <c r="B34" s="631" t="s">
        <v>8606</v>
      </c>
      <c r="C34" s="631">
        <v>38.053139999999999</v>
      </c>
      <c r="D34" s="631">
        <v>-121.50996000000001</v>
      </c>
      <c r="E34" s="631" t="s">
        <v>8645</v>
      </c>
      <c r="F34" s="631" t="s">
        <v>46</v>
      </c>
      <c r="G34" s="631" t="s">
        <v>8615</v>
      </c>
      <c r="H34" s="12">
        <v>0.3125</v>
      </c>
      <c r="I34" s="13">
        <v>18.2</v>
      </c>
      <c r="J34" s="14" t="s">
        <v>8608</v>
      </c>
      <c r="K34" s="14">
        <v>5</v>
      </c>
      <c r="L34" s="14" t="s">
        <v>8609</v>
      </c>
      <c r="M34" s="14" t="s">
        <v>8610</v>
      </c>
      <c r="N34" s="14" t="s">
        <v>50</v>
      </c>
      <c r="O34" s="14" t="s">
        <v>50</v>
      </c>
      <c r="P34" s="15">
        <v>0</v>
      </c>
      <c r="Q34" s="15" t="s">
        <v>50</v>
      </c>
      <c r="R34" s="14" t="s">
        <v>50</v>
      </c>
      <c r="S34" s="14" t="s">
        <v>50</v>
      </c>
    </row>
    <row r="35" spans="1:20" x14ac:dyDescent="0.25">
      <c r="A35" s="11">
        <v>42731</v>
      </c>
      <c r="B35" s="631" t="s">
        <v>8606</v>
      </c>
      <c r="C35" s="631">
        <v>38.039659999999998</v>
      </c>
      <c r="D35" s="631">
        <v>-121.49245000000001</v>
      </c>
      <c r="E35" s="631" t="s">
        <v>8646</v>
      </c>
      <c r="F35" s="631" t="s">
        <v>46</v>
      </c>
      <c r="G35" s="631" t="s">
        <v>8615</v>
      </c>
      <c r="H35" s="12">
        <v>0.3666666666666667</v>
      </c>
      <c r="I35" s="13">
        <v>16.66</v>
      </c>
      <c r="J35" s="14" t="s">
        <v>8608</v>
      </c>
      <c r="K35" s="14">
        <v>5</v>
      </c>
      <c r="L35" s="17" t="s">
        <v>8609</v>
      </c>
      <c r="M35" s="14" t="s">
        <v>8610</v>
      </c>
      <c r="N35" s="14" t="s">
        <v>50</v>
      </c>
      <c r="O35" s="14" t="s">
        <v>50</v>
      </c>
      <c r="P35" s="10">
        <v>0</v>
      </c>
      <c r="Q35" s="10" t="s">
        <v>50</v>
      </c>
      <c r="R35" s="14" t="s">
        <v>50</v>
      </c>
      <c r="S35" s="14" t="s">
        <v>50</v>
      </c>
    </row>
    <row r="36" spans="1:20" x14ac:dyDescent="0.25">
      <c r="A36" s="11">
        <v>42731</v>
      </c>
      <c r="B36" s="631" t="s">
        <v>8606</v>
      </c>
      <c r="C36" s="631">
        <v>38.078539999999997</v>
      </c>
      <c r="D36" s="631">
        <v>-121.68155</v>
      </c>
      <c r="E36" s="631" t="s">
        <v>8647</v>
      </c>
      <c r="F36" s="631" t="s">
        <v>46</v>
      </c>
      <c r="G36" s="631" t="s">
        <v>97</v>
      </c>
      <c r="H36" s="12">
        <v>0.44097222222222227</v>
      </c>
      <c r="I36" s="13">
        <v>30.1</v>
      </c>
      <c r="J36" s="14" t="s">
        <v>8608</v>
      </c>
      <c r="K36" s="14">
        <v>2</v>
      </c>
      <c r="L36" s="14" t="s">
        <v>8609</v>
      </c>
      <c r="M36" s="14" t="s">
        <v>8610</v>
      </c>
      <c r="N36" s="14" t="s">
        <v>323</v>
      </c>
      <c r="O36" s="14" t="s">
        <v>228</v>
      </c>
      <c r="P36" s="10">
        <v>1</v>
      </c>
      <c r="Q36" s="10">
        <v>66</v>
      </c>
      <c r="R36" s="14" t="s">
        <v>50</v>
      </c>
      <c r="S36" s="14" t="s">
        <v>8613</v>
      </c>
      <c r="T36" s="5" t="s">
        <v>8648</v>
      </c>
    </row>
    <row r="37" spans="1:20" x14ac:dyDescent="0.25">
      <c r="A37" s="11">
        <v>42731</v>
      </c>
      <c r="B37" s="631" t="s">
        <v>8606</v>
      </c>
      <c r="C37" s="631">
        <v>38.094070000000002</v>
      </c>
      <c r="D37" s="631">
        <v>-121.67515</v>
      </c>
      <c r="E37" s="631" t="s">
        <v>8649</v>
      </c>
      <c r="F37" s="631" t="s">
        <v>46</v>
      </c>
      <c r="G37" s="631" t="s">
        <v>97</v>
      </c>
      <c r="H37" s="12">
        <v>0.47152777777777777</v>
      </c>
      <c r="I37" s="13">
        <v>37.700000000000003</v>
      </c>
      <c r="J37" s="14" t="s">
        <v>8608</v>
      </c>
      <c r="K37" s="14">
        <v>2</v>
      </c>
      <c r="L37" s="14" t="s">
        <v>8609</v>
      </c>
      <c r="M37" s="14" t="s">
        <v>8617</v>
      </c>
      <c r="N37" s="14" t="s">
        <v>323</v>
      </c>
      <c r="O37" s="14" t="s">
        <v>228</v>
      </c>
      <c r="P37" s="10">
        <v>3</v>
      </c>
      <c r="Q37" s="10" t="s">
        <v>8650</v>
      </c>
      <c r="R37" s="14" t="s">
        <v>50</v>
      </c>
      <c r="S37" s="14" t="s">
        <v>8613</v>
      </c>
    </row>
    <row r="38" spans="1:20" x14ac:dyDescent="0.25">
      <c r="A38" s="11">
        <v>42732</v>
      </c>
      <c r="B38" s="631" t="s">
        <v>8606</v>
      </c>
      <c r="C38" s="631">
        <v>38.096240000000002</v>
      </c>
      <c r="D38" s="631">
        <v>-121.62658</v>
      </c>
      <c r="E38" s="631" t="s">
        <v>8651</v>
      </c>
      <c r="F38" s="631" t="s">
        <v>46</v>
      </c>
      <c r="G38" s="631" t="s">
        <v>97</v>
      </c>
      <c r="H38" s="12">
        <v>0.36458333333333331</v>
      </c>
      <c r="I38" s="13">
        <v>33.76</v>
      </c>
      <c r="J38" s="14" t="s">
        <v>8608</v>
      </c>
      <c r="K38" s="14">
        <v>5</v>
      </c>
      <c r="L38" s="14" t="s">
        <v>8609</v>
      </c>
      <c r="M38" s="14" t="s">
        <v>8610</v>
      </c>
      <c r="N38" s="14" t="s">
        <v>50</v>
      </c>
      <c r="O38" s="14" t="s">
        <v>50</v>
      </c>
      <c r="P38" s="10">
        <v>0</v>
      </c>
      <c r="Q38" s="10" t="s">
        <v>50</v>
      </c>
      <c r="R38" s="14" t="s">
        <v>50</v>
      </c>
      <c r="S38" s="14" t="s">
        <v>50</v>
      </c>
    </row>
    <row r="39" spans="1:20" x14ac:dyDescent="0.25">
      <c r="A39" s="11">
        <v>42732</v>
      </c>
      <c r="B39" s="631" t="s">
        <v>8606</v>
      </c>
      <c r="C39" s="631">
        <v>38.101370000000003</v>
      </c>
      <c r="D39" s="631">
        <v>-121.61485</v>
      </c>
      <c r="E39" s="631" t="s">
        <v>8652</v>
      </c>
      <c r="F39" s="631" t="s">
        <v>46</v>
      </c>
      <c r="G39" s="631" t="s">
        <v>97</v>
      </c>
      <c r="H39" s="12">
        <v>0.42708333333333331</v>
      </c>
      <c r="I39" s="13">
        <v>30.13</v>
      </c>
      <c r="J39" s="14" t="s">
        <v>8608</v>
      </c>
      <c r="K39" s="14">
        <v>3</v>
      </c>
      <c r="L39" s="14" t="s">
        <v>8609</v>
      </c>
      <c r="M39" s="14" t="s">
        <v>8610</v>
      </c>
      <c r="N39" s="14" t="s">
        <v>323</v>
      </c>
      <c r="O39" s="14" t="s">
        <v>228</v>
      </c>
      <c r="P39" s="14">
        <v>1</v>
      </c>
      <c r="Q39" s="14">
        <v>68</v>
      </c>
      <c r="R39" s="14" t="s">
        <v>50</v>
      </c>
      <c r="S39" s="14" t="s">
        <v>8613</v>
      </c>
    </row>
    <row r="40" spans="1:20" x14ac:dyDescent="0.25">
      <c r="A40" s="11">
        <v>42732</v>
      </c>
      <c r="B40" s="631" t="s">
        <v>8606</v>
      </c>
      <c r="C40" s="631">
        <v>38.097880000000004</v>
      </c>
      <c r="D40" s="631">
        <v>-121.57612</v>
      </c>
      <c r="E40" s="631" t="s">
        <v>8653</v>
      </c>
      <c r="F40" s="631" t="s">
        <v>46</v>
      </c>
      <c r="G40" s="631" t="s">
        <v>8615</v>
      </c>
      <c r="H40" s="12">
        <v>0.4680555555555555</v>
      </c>
      <c r="I40" s="13">
        <v>32.200000000000003</v>
      </c>
      <c r="J40" s="14" t="s">
        <v>8608</v>
      </c>
      <c r="K40" s="14">
        <v>2</v>
      </c>
      <c r="L40" s="14" t="s">
        <v>8609</v>
      </c>
      <c r="M40" s="14" t="s">
        <v>8617</v>
      </c>
      <c r="N40" s="14" t="s">
        <v>323</v>
      </c>
      <c r="O40" s="14" t="s">
        <v>228</v>
      </c>
      <c r="P40" s="14">
        <v>2</v>
      </c>
      <c r="Q40" s="14" t="s">
        <v>8654</v>
      </c>
      <c r="R40" s="14" t="s">
        <v>50</v>
      </c>
      <c r="S40" s="14" t="s">
        <v>8613</v>
      </c>
    </row>
    <row r="41" spans="1:20" x14ac:dyDescent="0.25">
      <c r="A41" s="11">
        <v>42732</v>
      </c>
      <c r="B41" s="631" t="s">
        <v>8296</v>
      </c>
      <c r="C41" s="631">
        <v>38.301319999999997</v>
      </c>
      <c r="D41" s="631">
        <v>-121.65452000000001</v>
      </c>
      <c r="E41" s="631" t="s">
        <v>8655</v>
      </c>
      <c r="F41" s="631" t="s">
        <v>90</v>
      </c>
      <c r="G41" s="631" t="s">
        <v>126</v>
      </c>
      <c r="H41" s="12">
        <v>0.37013888888888885</v>
      </c>
      <c r="I41" s="13">
        <v>36.75</v>
      </c>
      <c r="J41" s="14" t="s">
        <v>8608</v>
      </c>
      <c r="K41" s="14">
        <v>2</v>
      </c>
      <c r="L41" s="14" t="s">
        <v>8625</v>
      </c>
      <c r="M41" s="14" t="s">
        <v>8610</v>
      </c>
      <c r="N41" s="14" t="s">
        <v>323</v>
      </c>
      <c r="O41" s="14" t="s">
        <v>228</v>
      </c>
      <c r="P41" s="15">
        <v>11</v>
      </c>
      <c r="Q41" s="15" t="s">
        <v>8656</v>
      </c>
      <c r="R41" s="14" t="s">
        <v>50</v>
      </c>
      <c r="S41" s="14" t="s">
        <v>8613</v>
      </c>
      <c r="T41" s="5" t="s">
        <v>8657</v>
      </c>
    </row>
    <row r="42" spans="1:20" x14ac:dyDescent="0.25">
      <c r="A42" s="11">
        <v>42732</v>
      </c>
      <c r="B42" s="631" t="s">
        <v>8296</v>
      </c>
      <c r="C42" s="631">
        <v>38.103549999999998</v>
      </c>
      <c r="D42" s="631">
        <v>-121.72474</v>
      </c>
      <c r="E42" s="631" t="s">
        <v>8658</v>
      </c>
      <c r="F42" s="631" t="s">
        <v>90</v>
      </c>
      <c r="G42" s="631" t="s">
        <v>91</v>
      </c>
      <c r="H42" s="12">
        <v>0.44444444444444442</v>
      </c>
      <c r="I42" s="13">
        <v>29.3</v>
      </c>
      <c r="J42" s="14" t="s">
        <v>8608</v>
      </c>
      <c r="K42" s="14">
        <v>2</v>
      </c>
      <c r="L42" s="14" t="s">
        <v>8625</v>
      </c>
      <c r="M42" s="14" t="s">
        <v>8610</v>
      </c>
      <c r="N42" s="14" t="s">
        <v>323</v>
      </c>
      <c r="O42" s="14" t="s">
        <v>228</v>
      </c>
      <c r="P42" s="10">
        <v>1</v>
      </c>
      <c r="Q42" s="10">
        <v>58</v>
      </c>
      <c r="R42" s="14" t="s">
        <v>50</v>
      </c>
      <c r="S42" s="14" t="s">
        <v>8613</v>
      </c>
    </row>
    <row r="43" spans="1:20" x14ac:dyDescent="0.25">
      <c r="A43" s="11">
        <v>42732</v>
      </c>
      <c r="B43" s="631" t="s">
        <v>8296</v>
      </c>
      <c r="C43" s="631">
        <v>38.103549999999998</v>
      </c>
      <c r="D43" s="631">
        <v>-121.72474</v>
      </c>
      <c r="E43" s="631" t="s">
        <v>8658</v>
      </c>
      <c r="F43" s="631" t="s">
        <v>90</v>
      </c>
      <c r="G43" s="631" t="s">
        <v>91</v>
      </c>
      <c r="H43" s="12"/>
      <c r="I43" s="13"/>
      <c r="J43" s="14"/>
      <c r="K43" s="14"/>
      <c r="L43" s="14"/>
      <c r="M43" s="14"/>
      <c r="N43" s="14" t="s">
        <v>5265</v>
      </c>
      <c r="O43" s="14" t="s">
        <v>2525</v>
      </c>
      <c r="P43" s="15">
        <v>1</v>
      </c>
      <c r="Q43" s="15">
        <v>133</v>
      </c>
      <c r="R43" s="14" t="s">
        <v>50</v>
      </c>
      <c r="S43" s="14" t="s">
        <v>50</v>
      </c>
      <c r="T43" s="5" t="s">
        <v>8659</v>
      </c>
    </row>
    <row r="44" spans="1:20" x14ac:dyDescent="0.25">
      <c r="A44" s="11">
        <v>42732</v>
      </c>
      <c r="B44" s="631" t="s">
        <v>8296</v>
      </c>
      <c r="C44" s="631">
        <v>38.060209999999998</v>
      </c>
      <c r="D44" s="631">
        <v>-121.99522</v>
      </c>
      <c r="E44" s="631" t="s">
        <v>8644</v>
      </c>
      <c r="F44" s="631" t="s">
        <v>27</v>
      </c>
      <c r="G44" s="631" t="s">
        <v>86</v>
      </c>
      <c r="H44" s="12">
        <v>0.49444444444444446</v>
      </c>
      <c r="I44" s="13">
        <v>52.03</v>
      </c>
      <c r="J44" s="14" t="s">
        <v>8608</v>
      </c>
      <c r="K44" s="14">
        <v>3</v>
      </c>
      <c r="L44" s="14" t="s">
        <v>8625</v>
      </c>
      <c r="M44" s="14" t="s">
        <v>8617</v>
      </c>
      <c r="N44" s="14" t="s">
        <v>323</v>
      </c>
      <c r="O44" s="14" t="s">
        <v>228</v>
      </c>
      <c r="P44" s="18">
        <v>2</v>
      </c>
      <c r="Q44" s="18" t="s">
        <v>8660</v>
      </c>
      <c r="R44" s="14" t="s">
        <v>50</v>
      </c>
      <c r="S44" s="14" t="s">
        <v>8613</v>
      </c>
    </row>
    <row r="45" spans="1:20" x14ac:dyDescent="0.25">
      <c r="A45" s="11">
        <v>42733</v>
      </c>
      <c r="B45" s="631" t="s">
        <v>8606</v>
      </c>
      <c r="C45" s="631">
        <v>38.05959</v>
      </c>
      <c r="D45" s="631">
        <v>-121.5321</v>
      </c>
      <c r="E45" s="631" t="s">
        <v>8661</v>
      </c>
      <c r="F45" s="631" t="s">
        <v>46</v>
      </c>
      <c r="G45" s="631" t="s">
        <v>8615</v>
      </c>
      <c r="H45" s="12">
        <v>0.32708333333333334</v>
      </c>
      <c r="I45" s="13">
        <v>30.78</v>
      </c>
      <c r="J45" s="14" t="s">
        <v>8608</v>
      </c>
      <c r="K45" s="14">
        <v>5</v>
      </c>
      <c r="L45" s="14" t="s">
        <v>8609</v>
      </c>
      <c r="M45" s="14" t="s">
        <v>8617</v>
      </c>
      <c r="N45" s="14" t="s">
        <v>50</v>
      </c>
      <c r="O45" s="14" t="s">
        <v>50</v>
      </c>
      <c r="P45" s="18">
        <v>0</v>
      </c>
      <c r="Q45" s="18" t="s">
        <v>50</v>
      </c>
      <c r="R45" s="14" t="s">
        <v>50</v>
      </c>
      <c r="S45" s="14" t="s">
        <v>50</v>
      </c>
    </row>
    <row r="46" spans="1:20" x14ac:dyDescent="0.25">
      <c r="A46" s="11">
        <v>42733</v>
      </c>
      <c r="B46" s="631" t="s">
        <v>8606</v>
      </c>
      <c r="C46" s="631">
        <v>38.07159</v>
      </c>
      <c r="D46" s="631">
        <v>-121.55574</v>
      </c>
      <c r="E46" s="631" t="s">
        <v>8662</v>
      </c>
      <c r="F46" s="631" t="s">
        <v>46</v>
      </c>
      <c r="G46" s="631" t="s">
        <v>8615</v>
      </c>
      <c r="H46" s="12">
        <v>0.39861111111111108</v>
      </c>
      <c r="I46" s="13">
        <v>33.06</v>
      </c>
      <c r="J46" s="14" t="s">
        <v>8608</v>
      </c>
      <c r="K46" s="14">
        <v>5</v>
      </c>
      <c r="L46" s="14" t="s">
        <v>8609</v>
      </c>
      <c r="M46" s="14" t="s">
        <v>8610</v>
      </c>
      <c r="N46" s="14" t="s">
        <v>50</v>
      </c>
      <c r="O46" s="14" t="s">
        <v>50</v>
      </c>
      <c r="P46" s="18">
        <v>0</v>
      </c>
      <c r="Q46" s="18" t="s">
        <v>50</v>
      </c>
      <c r="R46" s="14" t="s">
        <v>50</v>
      </c>
      <c r="S46" s="14" t="s">
        <v>50</v>
      </c>
    </row>
    <row r="47" spans="1:20" x14ac:dyDescent="0.25">
      <c r="A47" s="11">
        <v>42733</v>
      </c>
      <c r="B47" s="631" t="s">
        <v>8606</v>
      </c>
      <c r="C47" s="631">
        <v>38.054099999999998</v>
      </c>
      <c r="D47" s="631">
        <v>-121.69280000000001</v>
      </c>
      <c r="E47" s="631" t="s">
        <v>8663</v>
      </c>
      <c r="F47" s="631" t="s">
        <v>46</v>
      </c>
      <c r="G47" s="631" t="s">
        <v>97</v>
      </c>
      <c r="H47" s="12">
        <v>0.47916666666666669</v>
      </c>
      <c r="I47" s="13">
        <v>39.5</v>
      </c>
      <c r="J47" s="14" t="s">
        <v>8608</v>
      </c>
      <c r="K47" s="14">
        <v>2</v>
      </c>
      <c r="L47" s="14" t="s">
        <v>8609</v>
      </c>
      <c r="M47" s="14" t="s">
        <v>8617</v>
      </c>
      <c r="N47" s="14" t="s">
        <v>323</v>
      </c>
      <c r="O47" s="14" t="s">
        <v>228</v>
      </c>
      <c r="P47" s="18">
        <v>1</v>
      </c>
      <c r="Q47" s="18">
        <v>72</v>
      </c>
      <c r="R47" s="14" t="s">
        <v>50</v>
      </c>
      <c r="S47" s="14" t="s">
        <v>8613</v>
      </c>
    </row>
    <row r="48" spans="1:20" x14ac:dyDescent="0.25">
      <c r="A48" s="11">
        <v>42733</v>
      </c>
      <c r="B48" s="631" t="s">
        <v>8296</v>
      </c>
      <c r="C48" s="631">
        <v>38.127310000000001</v>
      </c>
      <c r="D48" s="631">
        <v>-122.05972</v>
      </c>
      <c r="E48" s="631" t="s">
        <v>8664</v>
      </c>
      <c r="F48" s="631" t="s">
        <v>27</v>
      </c>
      <c r="G48" s="631" t="s">
        <v>86</v>
      </c>
      <c r="H48" s="12">
        <v>0.34027777777777773</v>
      </c>
      <c r="I48" s="13">
        <v>103.03</v>
      </c>
      <c r="J48" s="14" t="s">
        <v>8608</v>
      </c>
      <c r="K48" s="14">
        <v>3</v>
      </c>
      <c r="L48" s="14" t="s">
        <v>8625</v>
      </c>
      <c r="M48" s="14" t="s">
        <v>8610</v>
      </c>
      <c r="N48" s="14" t="s">
        <v>323</v>
      </c>
      <c r="O48" s="14" t="s">
        <v>228</v>
      </c>
      <c r="P48" s="18">
        <v>2</v>
      </c>
      <c r="Q48" s="18" t="s">
        <v>8665</v>
      </c>
      <c r="R48" s="14" t="s">
        <v>50</v>
      </c>
      <c r="S48" s="14" t="s">
        <v>8613</v>
      </c>
    </row>
    <row r="49" spans="1:20" x14ac:dyDescent="0.25">
      <c r="A49" s="11">
        <v>42733</v>
      </c>
      <c r="B49" s="631" t="s">
        <v>8296</v>
      </c>
      <c r="C49" s="631">
        <v>38.176470000000002</v>
      </c>
      <c r="D49" s="631">
        <v>-122.01128</v>
      </c>
      <c r="E49" s="631" t="s">
        <v>8666</v>
      </c>
      <c r="F49" s="631" t="s">
        <v>27</v>
      </c>
      <c r="G49" s="631" t="s">
        <v>62</v>
      </c>
      <c r="H49" s="12">
        <v>0.37708333333333338</v>
      </c>
      <c r="I49" s="13">
        <v>75.8</v>
      </c>
      <c r="J49" s="14" t="s">
        <v>8608</v>
      </c>
      <c r="K49" s="14">
        <v>2</v>
      </c>
      <c r="L49" s="14" t="s">
        <v>8625</v>
      </c>
      <c r="M49" s="14" t="s">
        <v>8610</v>
      </c>
      <c r="N49" s="14" t="s">
        <v>323</v>
      </c>
      <c r="O49" s="14" t="s">
        <v>228</v>
      </c>
      <c r="P49" s="18">
        <v>2</v>
      </c>
      <c r="Q49" s="18" t="s">
        <v>8667</v>
      </c>
      <c r="R49" s="14" t="s">
        <v>50</v>
      </c>
      <c r="S49" s="14" t="s">
        <v>8613</v>
      </c>
    </row>
    <row r="50" spans="1:20" x14ac:dyDescent="0.25">
      <c r="A50" s="11">
        <v>42733</v>
      </c>
      <c r="B50" s="631" t="s">
        <v>8296</v>
      </c>
      <c r="C50" s="16">
        <v>38.057099999999998</v>
      </c>
      <c r="D50" s="16">
        <v>-121.994</v>
      </c>
      <c r="E50" s="631" t="s">
        <v>8668</v>
      </c>
      <c r="F50" s="631" t="s">
        <v>27</v>
      </c>
      <c r="G50" s="631" t="s">
        <v>86</v>
      </c>
      <c r="H50" s="12">
        <v>0.41388888888888892</v>
      </c>
      <c r="I50" s="13">
        <v>49.42</v>
      </c>
      <c r="J50" s="14" t="s">
        <v>8608</v>
      </c>
      <c r="K50" s="14">
        <v>5</v>
      </c>
      <c r="L50" s="14" t="s">
        <v>8625</v>
      </c>
      <c r="M50" s="14" t="s">
        <v>8610</v>
      </c>
      <c r="N50" s="14" t="s">
        <v>50</v>
      </c>
      <c r="O50" s="14" t="s">
        <v>50</v>
      </c>
      <c r="P50" s="18">
        <v>0</v>
      </c>
      <c r="Q50" s="18" t="s">
        <v>50</v>
      </c>
      <c r="R50" s="14" t="s">
        <v>50</v>
      </c>
      <c r="S50" s="14" t="s">
        <v>50</v>
      </c>
    </row>
    <row r="51" spans="1:20" x14ac:dyDescent="0.25">
      <c r="A51" s="11">
        <v>42733</v>
      </c>
      <c r="B51" s="631" t="s">
        <v>8296</v>
      </c>
      <c r="C51" s="631" t="s">
        <v>50</v>
      </c>
      <c r="D51" s="631" t="s">
        <v>50</v>
      </c>
      <c r="E51" s="631" t="s">
        <v>8669</v>
      </c>
      <c r="F51" s="631" t="s">
        <v>27</v>
      </c>
      <c r="G51" s="631" t="s">
        <v>25</v>
      </c>
      <c r="H51" s="12">
        <v>0.47916666666666669</v>
      </c>
      <c r="I51" s="13" t="s">
        <v>50</v>
      </c>
      <c r="J51" s="14" t="s">
        <v>8608</v>
      </c>
      <c r="K51" s="14">
        <v>0</v>
      </c>
      <c r="L51" s="14" t="s">
        <v>50</v>
      </c>
      <c r="M51" s="14" t="s">
        <v>50</v>
      </c>
      <c r="N51" s="14" t="s">
        <v>50</v>
      </c>
      <c r="O51" s="14" t="s">
        <v>50</v>
      </c>
      <c r="P51" s="18">
        <v>0</v>
      </c>
      <c r="Q51" s="18" t="s">
        <v>50</v>
      </c>
      <c r="R51" s="14" t="s">
        <v>50</v>
      </c>
      <c r="S51" s="14" t="s">
        <v>50</v>
      </c>
      <c r="T51" s="5" t="s">
        <v>8634</v>
      </c>
    </row>
    <row r="52" spans="1:20" x14ac:dyDescent="0.25">
      <c r="A52" s="11">
        <v>42734</v>
      </c>
      <c r="B52" s="631" t="s">
        <v>8606</v>
      </c>
      <c r="C52" s="631">
        <v>38.101821000000001</v>
      </c>
      <c r="D52" s="631">
        <v>-121.59514</v>
      </c>
      <c r="E52" s="631" t="s">
        <v>8670</v>
      </c>
      <c r="F52" s="631" t="s">
        <v>46</v>
      </c>
      <c r="G52" s="631" t="s">
        <v>8615</v>
      </c>
      <c r="H52" s="12">
        <v>0.30763888888888891</v>
      </c>
      <c r="I52" s="13">
        <v>30.2</v>
      </c>
      <c r="J52" s="14" t="s">
        <v>8608</v>
      </c>
      <c r="K52" s="14">
        <v>3</v>
      </c>
      <c r="L52" s="14" t="s">
        <v>8609</v>
      </c>
      <c r="M52" s="14" t="s">
        <v>8610</v>
      </c>
      <c r="N52" s="14" t="s">
        <v>323</v>
      </c>
      <c r="O52" s="14" t="s">
        <v>228</v>
      </c>
      <c r="P52" s="18">
        <v>1</v>
      </c>
      <c r="Q52" s="18">
        <v>67</v>
      </c>
      <c r="R52" s="14" t="s">
        <v>50</v>
      </c>
      <c r="S52" s="14" t="s">
        <v>8613</v>
      </c>
    </row>
    <row r="53" spans="1:20" x14ac:dyDescent="0.25">
      <c r="A53" s="11">
        <v>42734</v>
      </c>
      <c r="B53" s="631" t="s">
        <v>8606</v>
      </c>
      <c r="C53" s="631" t="s">
        <v>50</v>
      </c>
      <c r="D53" s="631" t="s">
        <v>50</v>
      </c>
      <c r="E53" s="631" t="s">
        <v>8671</v>
      </c>
      <c r="F53" s="631" t="s">
        <v>46</v>
      </c>
      <c r="G53" s="631" t="s">
        <v>8615</v>
      </c>
      <c r="H53" s="12">
        <v>0.34027777777777773</v>
      </c>
      <c r="I53" s="13" t="s">
        <v>50</v>
      </c>
      <c r="J53" s="14" t="s">
        <v>8608</v>
      </c>
      <c r="K53" s="14">
        <v>0</v>
      </c>
      <c r="L53" s="14" t="s">
        <v>50</v>
      </c>
      <c r="M53" s="14" t="s">
        <v>50</v>
      </c>
      <c r="N53" s="14" t="s">
        <v>50</v>
      </c>
      <c r="O53" s="14" t="s">
        <v>50</v>
      </c>
      <c r="P53" s="18">
        <v>0</v>
      </c>
      <c r="Q53" s="18" t="s">
        <v>50</v>
      </c>
      <c r="R53" s="14" t="s">
        <v>50</v>
      </c>
      <c r="S53" s="14" t="s">
        <v>50</v>
      </c>
      <c r="T53" s="5" t="s">
        <v>8672</v>
      </c>
    </row>
    <row r="54" spans="1:20" x14ac:dyDescent="0.25">
      <c r="A54" s="11">
        <v>42734</v>
      </c>
      <c r="B54" s="631" t="s">
        <v>8606</v>
      </c>
      <c r="C54" s="631">
        <v>38.093400000000003</v>
      </c>
      <c r="D54" s="631">
        <v>-121.57646</v>
      </c>
      <c r="E54" s="631" t="s">
        <v>8673</v>
      </c>
      <c r="F54" s="631" t="s">
        <v>46</v>
      </c>
      <c r="G54" s="631" t="s">
        <v>8615</v>
      </c>
      <c r="H54" s="12">
        <v>0.3611111111111111</v>
      </c>
      <c r="I54" s="13">
        <v>32.67</v>
      </c>
      <c r="J54" s="14" t="s">
        <v>8608</v>
      </c>
      <c r="K54" s="14">
        <v>3</v>
      </c>
      <c r="L54" s="14" t="s">
        <v>8609</v>
      </c>
      <c r="M54" s="14" t="s">
        <v>8610</v>
      </c>
      <c r="N54" s="14" t="s">
        <v>323</v>
      </c>
      <c r="O54" s="14" t="s">
        <v>228</v>
      </c>
      <c r="P54" s="18">
        <v>1</v>
      </c>
      <c r="Q54" s="18">
        <v>64</v>
      </c>
      <c r="R54" s="14" t="s">
        <v>50</v>
      </c>
      <c r="S54" s="14" t="s">
        <v>8613</v>
      </c>
    </row>
    <row r="55" spans="1:20" x14ac:dyDescent="0.25">
      <c r="A55" s="11">
        <v>42734</v>
      </c>
      <c r="B55" s="631" t="s">
        <v>8606</v>
      </c>
      <c r="C55" s="631">
        <v>38.088729999999998</v>
      </c>
      <c r="D55" s="631">
        <v>-121.68137</v>
      </c>
      <c r="E55" s="631" t="s">
        <v>8674</v>
      </c>
      <c r="F55" s="631" t="s">
        <v>46</v>
      </c>
      <c r="G55" s="631" t="s">
        <v>97</v>
      </c>
      <c r="H55" s="12">
        <v>0.4152777777777778</v>
      </c>
      <c r="I55" s="13">
        <v>32.4</v>
      </c>
      <c r="J55" s="14" t="s">
        <v>8608</v>
      </c>
      <c r="K55" s="14">
        <v>2</v>
      </c>
      <c r="L55" s="14" t="s">
        <v>8609</v>
      </c>
      <c r="M55" s="14" t="s">
        <v>8610</v>
      </c>
      <c r="N55" s="14" t="s">
        <v>323</v>
      </c>
      <c r="O55" s="14" t="s">
        <v>228</v>
      </c>
      <c r="P55" s="18">
        <v>5</v>
      </c>
      <c r="Q55" s="18" t="s">
        <v>8675</v>
      </c>
      <c r="R55" s="14" t="s">
        <v>50</v>
      </c>
      <c r="S55" s="14" t="s">
        <v>8613</v>
      </c>
    </row>
    <row r="56" spans="1:20" x14ac:dyDescent="0.25">
      <c r="A56" s="11">
        <v>42734</v>
      </c>
      <c r="B56" s="631" t="s">
        <v>8296</v>
      </c>
      <c r="C56" s="631">
        <v>38.072150000000001</v>
      </c>
      <c r="D56" s="631">
        <v>-121.84611</v>
      </c>
      <c r="E56" s="631" t="s">
        <v>8676</v>
      </c>
      <c r="F56" s="631" t="s">
        <v>27</v>
      </c>
      <c r="G56" s="631" t="s">
        <v>25</v>
      </c>
      <c r="H56" s="12">
        <v>0.34027777777777773</v>
      </c>
      <c r="I56" s="13">
        <v>51.4</v>
      </c>
      <c r="J56" s="14" t="s">
        <v>8608</v>
      </c>
      <c r="K56" s="14">
        <v>2</v>
      </c>
      <c r="L56" s="14" t="s">
        <v>8625</v>
      </c>
      <c r="M56" s="14" t="s">
        <v>8610</v>
      </c>
      <c r="N56" s="14" t="s">
        <v>323</v>
      </c>
      <c r="O56" s="14" t="s">
        <v>228</v>
      </c>
      <c r="P56" s="15">
        <v>1</v>
      </c>
      <c r="Q56" s="15">
        <v>64</v>
      </c>
      <c r="R56" s="14" t="s">
        <v>50</v>
      </c>
      <c r="S56" s="14" t="s">
        <v>8613</v>
      </c>
    </row>
    <row r="57" spans="1:20" x14ac:dyDescent="0.25">
      <c r="A57" s="11">
        <v>42734</v>
      </c>
      <c r="B57" s="631" t="s">
        <v>8296</v>
      </c>
      <c r="C57" s="631">
        <v>38.149450000000002</v>
      </c>
      <c r="D57" s="631">
        <v>-121.68527</v>
      </c>
      <c r="E57" s="631" t="s">
        <v>8677</v>
      </c>
      <c r="F57" s="631" t="s">
        <v>90</v>
      </c>
      <c r="G57" s="631" t="s">
        <v>91</v>
      </c>
      <c r="H57" s="12">
        <v>0.37986111111111115</v>
      </c>
      <c r="I57" s="13">
        <v>53.88</v>
      </c>
      <c r="J57" s="14" t="s">
        <v>8608</v>
      </c>
      <c r="K57" s="14">
        <v>5</v>
      </c>
      <c r="L57" s="14" t="s">
        <v>8625</v>
      </c>
      <c r="M57" s="14" t="s">
        <v>8610</v>
      </c>
      <c r="N57" s="14" t="s">
        <v>50</v>
      </c>
      <c r="O57" s="14" t="s">
        <v>50</v>
      </c>
      <c r="P57" s="15">
        <v>0</v>
      </c>
      <c r="Q57" s="15" t="s">
        <v>50</v>
      </c>
      <c r="R57" s="14" t="s">
        <v>50</v>
      </c>
      <c r="S57" s="14" t="s">
        <v>50</v>
      </c>
    </row>
    <row r="58" spans="1:20" x14ac:dyDescent="0.25">
      <c r="A58" s="11">
        <v>42734</v>
      </c>
      <c r="B58" s="631" t="s">
        <v>8296</v>
      </c>
      <c r="C58" s="631">
        <v>38.245820000000002</v>
      </c>
      <c r="D58" s="631">
        <v>-121.65894</v>
      </c>
      <c r="E58" s="631" t="s">
        <v>8678</v>
      </c>
      <c r="F58" s="631" t="s">
        <v>90</v>
      </c>
      <c r="G58" s="631" t="s">
        <v>126</v>
      </c>
      <c r="H58" s="12">
        <v>0.43611111111111112</v>
      </c>
      <c r="I58" s="13">
        <v>56.68</v>
      </c>
      <c r="J58" s="14" t="s">
        <v>8608</v>
      </c>
      <c r="K58" s="14">
        <v>5</v>
      </c>
      <c r="L58" s="14" t="s">
        <v>8625</v>
      </c>
      <c r="M58" s="14" t="s">
        <v>8610</v>
      </c>
      <c r="N58" s="14" t="s">
        <v>50</v>
      </c>
      <c r="O58" s="14" t="s">
        <v>50</v>
      </c>
      <c r="P58" s="14">
        <v>0</v>
      </c>
      <c r="Q58" s="14" t="s">
        <v>50</v>
      </c>
      <c r="R58" s="14" t="s">
        <v>50</v>
      </c>
      <c r="S58" s="14" t="s">
        <v>50</v>
      </c>
    </row>
    <row r="59" spans="1:20" x14ac:dyDescent="0.25">
      <c r="A59" s="11">
        <v>42738</v>
      </c>
      <c r="B59" s="631" t="s">
        <v>8606</v>
      </c>
      <c r="C59" s="631">
        <v>38.093629999999997</v>
      </c>
      <c r="D59" s="631">
        <v>-121.6309284</v>
      </c>
      <c r="E59" s="631" t="s">
        <v>8679</v>
      </c>
      <c r="F59" s="631" t="s">
        <v>46</v>
      </c>
      <c r="G59" s="631" t="s">
        <v>97</v>
      </c>
      <c r="H59" s="12">
        <v>0.32083333333333336</v>
      </c>
      <c r="I59" s="13">
        <v>27.97</v>
      </c>
      <c r="J59" s="14" t="s">
        <v>8608</v>
      </c>
      <c r="K59" s="14">
        <v>5</v>
      </c>
      <c r="L59" s="14" t="s">
        <v>8609</v>
      </c>
      <c r="M59" s="14" t="s">
        <v>8617</v>
      </c>
      <c r="N59" s="14" t="s">
        <v>50</v>
      </c>
      <c r="O59" s="14" t="s">
        <v>50</v>
      </c>
      <c r="P59" s="10">
        <v>0</v>
      </c>
      <c r="Q59" s="10" t="s">
        <v>50</v>
      </c>
      <c r="R59" s="14" t="s">
        <v>50</v>
      </c>
      <c r="S59" s="14" t="s">
        <v>50</v>
      </c>
      <c r="T59" s="5" t="s">
        <v>8680</v>
      </c>
    </row>
    <row r="60" spans="1:20" x14ac:dyDescent="0.25">
      <c r="A60" s="11">
        <v>42738</v>
      </c>
      <c r="B60" s="631" t="s">
        <v>8606</v>
      </c>
      <c r="C60" s="631">
        <v>38.087409999999998</v>
      </c>
      <c r="D60" s="631">
        <v>-121.63254999999999</v>
      </c>
      <c r="E60" s="631" t="s">
        <v>8681</v>
      </c>
      <c r="F60" s="631" t="s">
        <v>46</v>
      </c>
      <c r="G60" s="631" t="s">
        <v>97</v>
      </c>
      <c r="H60" s="12">
        <v>0.39861111111111108</v>
      </c>
      <c r="I60" s="13">
        <v>31.55</v>
      </c>
      <c r="J60" s="14" t="s">
        <v>8608</v>
      </c>
      <c r="K60" s="14">
        <v>2</v>
      </c>
      <c r="L60" s="14" t="s">
        <v>8609</v>
      </c>
      <c r="M60" s="14" t="s">
        <v>8610</v>
      </c>
      <c r="N60" s="14" t="s">
        <v>323</v>
      </c>
      <c r="O60" s="14" t="s">
        <v>228</v>
      </c>
      <c r="P60" s="18">
        <v>1</v>
      </c>
      <c r="Q60" s="18">
        <v>71</v>
      </c>
      <c r="R60" s="14" t="s">
        <v>50</v>
      </c>
      <c r="S60" s="14" t="s">
        <v>8613</v>
      </c>
      <c r="T60" s="5" t="s">
        <v>8682</v>
      </c>
    </row>
    <row r="61" spans="1:20" x14ac:dyDescent="0.25">
      <c r="A61" s="11">
        <v>42738</v>
      </c>
      <c r="B61" s="631" t="s">
        <v>8606</v>
      </c>
      <c r="C61" s="631">
        <v>38.097180000000002</v>
      </c>
      <c r="D61" s="631">
        <v>-121.66771369999999</v>
      </c>
      <c r="E61" s="631" t="s">
        <v>8683</v>
      </c>
      <c r="F61" s="631" t="s">
        <v>46</v>
      </c>
      <c r="G61" s="631" t="s">
        <v>97</v>
      </c>
      <c r="H61" s="12">
        <v>0.43611111111111112</v>
      </c>
      <c r="I61" s="13">
        <v>29.3</v>
      </c>
      <c r="J61" s="14" t="s">
        <v>8608</v>
      </c>
      <c r="K61" s="14">
        <v>2</v>
      </c>
      <c r="L61" s="14" t="s">
        <v>8609</v>
      </c>
      <c r="M61" s="14" t="s">
        <v>8610</v>
      </c>
      <c r="N61" s="14" t="s">
        <v>323</v>
      </c>
      <c r="O61" s="14" t="s">
        <v>228</v>
      </c>
      <c r="P61" s="18">
        <v>3</v>
      </c>
      <c r="Q61" s="18" t="s">
        <v>8684</v>
      </c>
      <c r="R61" s="14" t="s">
        <v>50</v>
      </c>
      <c r="S61" s="14" t="s">
        <v>8613</v>
      </c>
    </row>
    <row r="62" spans="1:20" x14ac:dyDescent="0.25">
      <c r="A62" s="11">
        <v>42738</v>
      </c>
      <c r="B62" s="631" t="s">
        <v>8296</v>
      </c>
      <c r="C62" s="631">
        <v>38.047710000000002</v>
      </c>
      <c r="D62" s="631">
        <v>-121.93040000000001</v>
      </c>
      <c r="E62" s="631" t="s">
        <v>8685</v>
      </c>
      <c r="F62" s="631" t="s">
        <v>27</v>
      </c>
      <c r="G62" s="631" t="s">
        <v>170</v>
      </c>
      <c r="H62" s="12">
        <v>0.33888888888888885</v>
      </c>
      <c r="I62" s="13">
        <v>51.72</v>
      </c>
      <c r="J62" s="14" t="s">
        <v>8608</v>
      </c>
      <c r="K62" s="14">
        <v>5</v>
      </c>
      <c r="L62" s="14" t="s">
        <v>8625</v>
      </c>
      <c r="M62" s="14" t="s">
        <v>8610</v>
      </c>
      <c r="N62" s="14" t="s">
        <v>5265</v>
      </c>
      <c r="O62" s="14" t="s">
        <v>2525</v>
      </c>
      <c r="P62" s="18">
        <v>1</v>
      </c>
      <c r="Q62" s="18">
        <v>117</v>
      </c>
      <c r="R62" s="14">
        <v>5</v>
      </c>
      <c r="S62" s="14" t="s">
        <v>50</v>
      </c>
      <c r="T62" s="5" t="s">
        <v>8659</v>
      </c>
    </row>
    <row r="63" spans="1:20" x14ac:dyDescent="0.25">
      <c r="A63" s="11">
        <v>42738</v>
      </c>
      <c r="B63" s="631" t="s">
        <v>8296</v>
      </c>
      <c r="C63" s="631">
        <v>38.074530000000003</v>
      </c>
      <c r="D63" s="631">
        <v>-121.95911</v>
      </c>
      <c r="E63" s="631" t="s">
        <v>8686</v>
      </c>
      <c r="F63" s="631" t="s">
        <v>27</v>
      </c>
      <c r="G63" s="631" t="s">
        <v>170</v>
      </c>
      <c r="H63" s="12">
        <v>0.40208333333333335</v>
      </c>
      <c r="I63" s="13">
        <v>71.599999999999994</v>
      </c>
      <c r="J63" s="14" t="s">
        <v>8608</v>
      </c>
      <c r="K63" s="14">
        <v>5</v>
      </c>
      <c r="L63" s="14" t="s">
        <v>8625</v>
      </c>
      <c r="M63" s="14" t="s">
        <v>8610</v>
      </c>
      <c r="N63" s="14" t="s">
        <v>50</v>
      </c>
      <c r="O63" s="14" t="s">
        <v>50</v>
      </c>
      <c r="P63" s="15">
        <v>0</v>
      </c>
      <c r="Q63" s="15" t="s">
        <v>50</v>
      </c>
      <c r="R63" s="14" t="s">
        <v>50</v>
      </c>
      <c r="S63" s="14" t="s">
        <v>50</v>
      </c>
    </row>
    <row r="64" spans="1:20" x14ac:dyDescent="0.25">
      <c r="A64" s="11">
        <v>42738</v>
      </c>
      <c r="B64" s="631" t="s">
        <v>8296</v>
      </c>
      <c r="C64" s="631">
        <v>38.089649999999999</v>
      </c>
      <c r="D64" s="631">
        <v>-121.73766999999999</v>
      </c>
      <c r="E64" s="631" t="s">
        <v>8687</v>
      </c>
      <c r="F64" s="631" t="s">
        <v>90</v>
      </c>
      <c r="G64" s="631" t="s">
        <v>91</v>
      </c>
      <c r="H64" s="12">
        <v>0.48333333333333334</v>
      </c>
      <c r="I64" s="13">
        <v>34.54</v>
      </c>
      <c r="J64" s="14" t="s">
        <v>8608</v>
      </c>
      <c r="K64" s="14">
        <v>5</v>
      </c>
      <c r="L64" s="14" t="s">
        <v>8625</v>
      </c>
      <c r="M64" s="14" t="s">
        <v>8610</v>
      </c>
      <c r="N64" s="14" t="s">
        <v>50</v>
      </c>
      <c r="O64" s="14" t="s">
        <v>50</v>
      </c>
      <c r="P64" s="15">
        <v>0</v>
      </c>
      <c r="Q64" s="15" t="s">
        <v>50</v>
      </c>
      <c r="R64" s="14" t="s">
        <v>50</v>
      </c>
      <c r="S64" s="14" t="s">
        <v>50</v>
      </c>
    </row>
    <row r="65" spans="1:20" x14ac:dyDescent="0.25">
      <c r="A65" s="11">
        <v>42739</v>
      </c>
      <c r="B65" s="631" t="s">
        <v>8606</v>
      </c>
      <c r="C65" s="631">
        <v>38.08878</v>
      </c>
      <c r="D65" s="631">
        <v>-121.57607</v>
      </c>
      <c r="E65" s="631" t="s">
        <v>8688</v>
      </c>
      <c r="F65" s="631" t="s">
        <v>46</v>
      </c>
      <c r="G65" s="631" t="s">
        <v>8615</v>
      </c>
      <c r="H65" s="12">
        <v>0.32291666666666669</v>
      </c>
      <c r="I65" s="13">
        <v>28.94</v>
      </c>
      <c r="J65" s="14" t="s">
        <v>8608</v>
      </c>
      <c r="K65" s="14">
        <v>5</v>
      </c>
      <c r="L65" s="14" t="s">
        <v>8609</v>
      </c>
      <c r="M65" s="14" t="s">
        <v>8617</v>
      </c>
      <c r="N65" s="14" t="s">
        <v>50</v>
      </c>
      <c r="O65" s="14" t="s">
        <v>50</v>
      </c>
      <c r="P65" s="18">
        <v>0</v>
      </c>
      <c r="Q65" s="18" t="s">
        <v>50</v>
      </c>
      <c r="R65" s="14" t="s">
        <v>50</v>
      </c>
      <c r="S65" s="14" t="s">
        <v>50</v>
      </c>
    </row>
    <row r="66" spans="1:20" x14ac:dyDescent="0.25">
      <c r="A66" s="11">
        <v>42739</v>
      </c>
      <c r="B66" s="631" t="s">
        <v>8606</v>
      </c>
      <c r="C66" s="631">
        <v>38.093400000000003</v>
      </c>
      <c r="D66" s="631">
        <v>-121.57211</v>
      </c>
      <c r="E66" s="631" t="s">
        <v>8689</v>
      </c>
      <c r="F66" s="631" t="s">
        <v>46</v>
      </c>
      <c r="G66" s="631" t="s">
        <v>8615</v>
      </c>
      <c r="H66" s="12">
        <v>0.38194444444444442</v>
      </c>
      <c r="I66" s="13">
        <v>26.8</v>
      </c>
      <c r="J66" s="14" t="s">
        <v>8608</v>
      </c>
      <c r="K66" s="14">
        <v>2</v>
      </c>
      <c r="L66" s="14" t="s">
        <v>8609</v>
      </c>
      <c r="M66" s="14" t="s">
        <v>8617</v>
      </c>
      <c r="N66" s="14" t="s">
        <v>323</v>
      </c>
      <c r="O66" s="14" t="s">
        <v>228</v>
      </c>
      <c r="P66" s="14">
        <v>2</v>
      </c>
      <c r="Q66" s="14">
        <v>73</v>
      </c>
      <c r="R66" s="14" t="s">
        <v>50</v>
      </c>
      <c r="S66" s="14" t="s">
        <v>8613</v>
      </c>
    </row>
    <row r="67" spans="1:20" x14ac:dyDescent="0.25">
      <c r="A67" s="11">
        <v>42739</v>
      </c>
      <c r="B67" s="631" t="s">
        <v>8606</v>
      </c>
      <c r="C67" s="631">
        <v>38.048119999999997</v>
      </c>
      <c r="D67" s="631">
        <v>-121.52258999999999</v>
      </c>
      <c r="E67" s="631" t="s">
        <v>8690</v>
      </c>
      <c r="F67" s="631" t="s">
        <v>46</v>
      </c>
      <c r="G67" s="631" t="s">
        <v>8615</v>
      </c>
      <c r="H67" s="12">
        <v>0.44097222222222227</v>
      </c>
      <c r="I67" s="13">
        <v>25.4</v>
      </c>
      <c r="J67" s="14" t="s">
        <v>8608</v>
      </c>
      <c r="K67" s="14">
        <v>1</v>
      </c>
      <c r="L67" s="14" t="s">
        <v>8609</v>
      </c>
      <c r="M67" s="14" t="s">
        <v>8610</v>
      </c>
      <c r="N67" s="14" t="s">
        <v>50</v>
      </c>
      <c r="O67" s="14" t="s">
        <v>50</v>
      </c>
      <c r="P67" s="10">
        <v>0</v>
      </c>
      <c r="Q67" s="10" t="s">
        <v>50</v>
      </c>
      <c r="R67" s="14" t="s">
        <v>50</v>
      </c>
      <c r="S67" s="14" t="s">
        <v>50</v>
      </c>
      <c r="T67" s="5" t="s">
        <v>8691</v>
      </c>
    </row>
    <row r="68" spans="1:20" x14ac:dyDescent="0.25">
      <c r="A68" s="11">
        <v>42739</v>
      </c>
      <c r="B68" s="631" t="s">
        <v>8606</v>
      </c>
      <c r="C68" s="631">
        <v>38.05104</v>
      </c>
      <c r="D68" s="631">
        <v>-121.53454000000001</v>
      </c>
      <c r="E68" s="631" t="s">
        <v>8692</v>
      </c>
      <c r="F68" s="631" t="s">
        <v>46</v>
      </c>
      <c r="G68" s="631" t="s">
        <v>8615</v>
      </c>
      <c r="H68" s="12">
        <v>0.46736111111111112</v>
      </c>
      <c r="I68" s="13">
        <v>24.5</v>
      </c>
      <c r="J68" s="14" t="s">
        <v>8608</v>
      </c>
      <c r="K68" s="14">
        <v>4</v>
      </c>
      <c r="L68" s="14" t="s">
        <v>8609</v>
      </c>
      <c r="M68" s="14" t="s">
        <v>8617</v>
      </c>
      <c r="N68" s="14" t="s">
        <v>323</v>
      </c>
      <c r="O68" s="14" t="s">
        <v>228</v>
      </c>
      <c r="P68" s="14">
        <v>1</v>
      </c>
      <c r="Q68" s="14">
        <v>70</v>
      </c>
      <c r="R68" s="14" t="s">
        <v>50</v>
      </c>
      <c r="S68" s="14" t="s">
        <v>8613</v>
      </c>
    </row>
    <row r="69" spans="1:20" x14ac:dyDescent="0.25">
      <c r="A69" s="11">
        <v>42739</v>
      </c>
      <c r="B69" s="631" t="s">
        <v>8296</v>
      </c>
      <c r="C69" s="631" t="s">
        <v>50</v>
      </c>
      <c r="D69" s="631" t="s">
        <v>50</v>
      </c>
      <c r="E69" s="631" t="s">
        <v>8693</v>
      </c>
      <c r="F69" s="631" t="s">
        <v>90</v>
      </c>
      <c r="G69" s="631" t="s">
        <v>126</v>
      </c>
      <c r="H69" s="12">
        <v>0.38125000000000003</v>
      </c>
      <c r="I69" s="13" t="s">
        <v>50</v>
      </c>
      <c r="J69" s="14" t="s">
        <v>8608</v>
      </c>
      <c r="K69" s="14">
        <v>0</v>
      </c>
      <c r="L69" s="14" t="s">
        <v>50</v>
      </c>
      <c r="M69" s="14" t="s">
        <v>50</v>
      </c>
      <c r="N69" s="14" t="s">
        <v>50</v>
      </c>
      <c r="O69" s="14" t="s">
        <v>50</v>
      </c>
      <c r="P69" s="18">
        <v>0</v>
      </c>
      <c r="Q69" s="18" t="s">
        <v>50</v>
      </c>
      <c r="R69" s="14" t="s">
        <v>50</v>
      </c>
      <c r="S69" s="14" t="s">
        <v>50</v>
      </c>
      <c r="T69" s="5" t="s">
        <v>8694</v>
      </c>
    </row>
    <row r="70" spans="1:20" x14ac:dyDescent="0.25">
      <c r="A70" s="11">
        <v>42739</v>
      </c>
      <c r="B70" s="631" t="s">
        <v>8296</v>
      </c>
      <c r="C70" s="631" t="s">
        <v>50</v>
      </c>
      <c r="D70" s="631" t="s">
        <v>50</v>
      </c>
      <c r="E70" s="631" t="s">
        <v>8695</v>
      </c>
      <c r="F70" s="631" t="s">
        <v>90</v>
      </c>
      <c r="G70" s="631" t="s">
        <v>126</v>
      </c>
      <c r="H70" s="12">
        <v>0.39444444444444443</v>
      </c>
      <c r="I70" s="13" t="s">
        <v>50</v>
      </c>
      <c r="J70" s="14" t="s">
        <v>8608</v>
      </c>
      <c r="K70" s="14">
        <v>0</v>
      </c>
      <c r="L70" s="14" t="s">
        <v>50</v>
      </c>
      <c r="M70" s="14" t="s">
        <v>50</v>
      </c>
      <c r="N70" s="14" t="s">
        <v>50</v>
      </c>
      <c r="O70" s="14" t="s">
        <v>50</v>
      </c>
      <c r="P70" s="14">
        <v>0</v>
      </c>
      <c r="Q70" s="14" t="s">
        <v>50</v>
      </c>
      <c r="R70" s="14" t="s">
        <v>50</v>
      </c>
      <c r="S70" s="14" t="s">
        <v>50</v>
      </c>
      <c r="T70" s="5" t="s">
        <v>8696</v>
      </c>
    </row>
    <row r="71" spans="1:20" x14ac:dyDescent="0.25">
      <c r="A71" s="11">
        <v>42739</v>
      </c>
      <c r="B71" s="631" t="s">
        <v>8296</v>
      </c>
      <c r="C71" s="631" t="s">
        <v>50</v>
      </c>
      <c r="D71" s="631" t="s">
        <v>50</v>
      </c>
      <c r="E71" s="631" t="s">
        <v>8697</v>
      </c>
      <c r="F71" s="631" t="s">
        <v>90</v>
      </c>
      <c r="G71" s="631" t="s">
        <v>91</v>
      </c>
      <c r="H71" s="12">
        <v>0.41805555555555557</v>
      </c>
      <c r="I71" s="13" t="s">
        <v>50</v>
      </c>
      <c r="J71" s="14" t="s">
        <v>8608</v>
      </c>
      <c r="K71" s="14">
        <v>0</v>
      </c>
      <c r="L71" s="14" t="s">
        <v>50</v>
      </c>
      <c r="M71" s="14" t="s">
        <v>50</v>
      </c>
      <c r="N71" s="14" t="s">
        <v>50</v>
      </c>
      <c r="O71" s="14" t="s">
        <v>50</v>
      </c>
      <c r="P71" s="14">
        <v>0</v>
      </c>
      <c r="Q71" s="14" t="s">
        <v>50</v>
      </c>
      <c r="R71" s="14" t="s">
        <v>50</v>
      </c>
      <c r="S71" s="14" t="s">
        <v>50</v>
      </c>
      <c r="T71" s="5" t="s">
        <v>8698</v>
      </c>
    </row>
    <row r="72" spans="1:20" x14ac:dyDescent="0.25">
      <c r="A72" s="11">
        <v>42739</v>
      </c>
      <c r="B72" s="631" t="s">
        <v>8296</v>
      </c>
      <c r="C72" s="631">
        <v>38.107300000000002</v>
      </c>
      <c r="D72" s="631">
        <v>-121.88921999999999</v>
      </c>
      <c r="E72" s="631" t="s">
        <v>8699</v>
      </c>
      <c r="F72" s="631" t="s">
        <v>27</v>
      </c>
      <c r="G72" s="631" t="s">
        <v>62</v>
      </c>
      <c r="H72" s="12">
        <v>0.46249999999999997</v>
      </c>
      <c r="I72" s="13">
        <v>57.8</v>
      </c>
      <c r="J72" s="14" t="s">
        <v>8608</v>
      </c>
      <c r="K72" s="14">
        <v>5</v>
      </c>
      <c r="L72" s="14" t="s">
        <v>8625</v>
      </c>
      <c r="M72" s="14" t="s">
        <v>8610</v>
      </c>
      <c r="N72" s="14" t="s">
        <v>50</v>
      </c>
      <c r="O72" s="14" t="s">
        <v>50</v>
      </c>
      <c r="P72" s="14">
        <v>0</v>
      </c>
      <c r="Q72" s="14" t="s">
        <v>50</v>
      </c>
      <c r="R72" s="14" t="s">
        <v>50</v>
      </c>
      <c r="S72" s="14" t="s">
        <v>50</v>
      </c>
    </row>
    <row r="73" spans="1:20" x14ac:dyDescent="0.25">
      <c r="A73" s="11">
        <v>42740</v>
      </c>
      <c r="B73" s="631" t="s">
        <v>8606</v>
      </c>
      <c r="C73" s="631">
        <v>38.103729999999999</v>
      </c>
      <c r="D73" s="16">
        <v>-121.6009</v>
      </c>
      <c r="E73" s="631" t="s">
        <v>8700</v>
      </c>
      <c r="F73" s="631" t="s">
        <v>46</v>
      </c>
      <c r="G73" s="631" t="s">
        <v>97</v>
      </c>
      <c r="H73" s="12">
        <v>0.31180555555555556</v>
      </c>
      <c r="I73" s="13">
        <v>26.35</v>
      </c>
      <c r="J73" s="14" t="s">
        <v>8608</v>
      </c>
      <c r="K73" s="14">
        <v>2</v>
      </c>
      <c r="L73" s="14" t="s">
        <v>8609</v>
      </c>
      <c r="M73" s="14" t="s">
        <v>8617</v>
      </c>
      <c r="N73" s="14" t="s">
        <v>323</v>
      </c>
      <c r="O73" s="14" t="s">
        <v>228</v>
      </c>
      <c r="P73" s="10">
        <v>1</v>
      </c>
      <c r="Q73" s="10">
        <v>69</v>
      </c>
      <c r="R73" s="14" t="s">
        <v>50</v>
      </c>
      <c r="S73" s="14" t="s">
        <v>8613</v>
      </c>
    </row>
    <row r="74" spans="1:20" x14ac:dyDescent="0.25">
      <c r="A74" s="11">
        <v>42740</v>
      </c>
      <c r="B74" s="631" t="s">
        <v>8606</v>
      </c>
      <c r="C74" s="631">
        <v>38.066989999999997</v>
      </c>
      <c r="D74" s="631">
        <v>-121.67775</v>
      </c>
      <c r="E74" s="631" t="s">
        <v>8701</v>
      </c>
      <c r="F74" s="631" t="s">
        <v>46</v>
      </c>
      <c r="G74" s="631" t="s">
        <v>97</v>
      </c>
      <c r="H74" s="12">
        <v>0.35416666666666669</v>
      </c>
      <c r="I74" s="13">
        <v>53.43</v>
      </c>
      <c r="J74" s="14" t="s">
        <v>8608</v>
      </c>
      <c r="K74" s="14">
        <v>3</v>
      </c>
      <c r="L74" s="14" t="s">
        <v>8609</v>
      </c>
      <c r="M74" s="14" t="s">
        <v>8617</v>
      </c>
      <c r="N74" s="14" t="s">
        <v>323</v>
      </c>
      <c r="O74" s="14" t="s">
        <v>228</v>
      </c>
      <c r="P74" s="10">
        <v>1</v>
      </c>
      <c r="Q74" s="10">
        <v>68</v>
      </c>
      <c r="R74" s="14" t="s">
        <v>50</v>
      </c>
      <c r="S74" s="14" t="s">
        <v>8613</v>
      </c>
    </row>
    <row r="75" spans="1:20" x14ac:dyDescent="0.25">
      <c r="A75" s="11">
        <v>42740</v>
      </c>
      <c r="B75" s="631" t="s">
        <v>8606</v>
      </c>
      <c r="C75" s="631">
        <v>38.094749999999998</v>
      </c>
      <c r="D75" s="631">
        <v>-121.64901</v>
      </c>
      <c r="E75" s="631" t="s">
        <v>8702</v>
      </c>
      <c r="F75" s="631" t="s">
        <v>46</v>
      </c>
      <c r="G75" s="631" t="s">
        <v>97</v>
      </c>
      <c r="H75" s="12">
        <v>0.3923611111111111</v>
      </c>
      <c r="I75" s="13">
        <v>38.5</v>
      </c>
      <c r="J75" s="14" t="s">
        <v>8608</v>
      </c>
      <c r="K75" s="14">
        <v>2</v>
      </c>
      <c r="L75" s="14" t="s">
        <v>8609</v>
      </c>
      <c r="M75" s="14" t="s">
        <v>8617</v>
      </c>
      <c r="N75" s="14" t="s">
        <v>323</v>
      </c>
      <c r="O75" s="14" t="s">
        <v>228</v>
      </c>
      <c r="P75" s="18">
        <v>1</v>
      </c>
      <c r="Q75" s="18">
        <v>59</v>
      </c>
      <c r="R75" s="14" t="s">
        <v>50</v>
      </c>
      <c r="S75" s="14" t="s">
        <v>8613</v>
      </c>
    </row>
    <row r="76" spans="1:20" x14ac:dyDescent="0.25">
      <c r="A76" s="11">
        <v>42740</v>
      </c>
      <c r="B76" s="631" t="s">
        <v>8606</v>
      </c>
      <c r="C76" s="631">
        <v>38.099260000000001</v>
      </c>
      <c r="D76" s="631">
        <v>-121.63011</v>
      </c>
      <c r="E76" s="631" t="s">
        <v>8703</v>
      </c>
      <c r="F76" s="631" t="s">
        <v>46</v>
      </c>
      <c r="G76" s="631" t="s">
        <v>97</v>
      </c>
      <c r="H76" s="12">
        <v>0.42083333333333334</v>
      </c>
      <c r="I76" s="13">
        <v>35.75</v>
      </c>
      <c r="J76" s="14" t="s">
        <v>8608</v>
      </c>
      <c r="K76" s="14">
        <v>2</v>
      </c>
      <c r="L76" s="14" t="s">
        <v>8609</v>
      </c>
      <c r="M76" s="14" t="s">
        <v>8617</v>
      </c>
      <c r="N76" s="14" t="s">
        <v>323</v>
      </c>
      <c r="O76" s="14" t="s">
        <v>228</v>
      </c>
      <c r="P76" s="15">
        <v>2</v>
      </c>
      <c r="Q76" s="15" t="s">
        <v>8704</v>
      </c>
      <c r="R76" s="14" t="s">
        <v>50</v>
      </c>
      <c r="S76" s="14" t="s">
        <v>8613</v>
      </c>
    </row>
    <row r="77" spans="1:20" x14ac:dyDescent="0.25">
      <c r="A77" s="11">
        <v>42740</v>
      </c>
      <c r="B77" s="631" t="s">
        <v>8606</v>
      </c>
      <c r="C77" s="631">
        <v>38.07414</v>
      </c>
      <c r="D77" s="631">
        <v>-121.56983</v>
      </c>
      <c r="E77" s="631" t="s">
        <v>8705</v>
      </c>
      <c r="F77" s="631" t="s">
        <v>46</v>
      </c>
      <c r="G77" s="631" t="s">
        <v>8615</v>
      </c>
      <c r="H77" s="12">
        <v>0.4548611111111111</v>
      </c>
      <c r="I77" s="13">
        <v>32.06</v>
      </c>
      <c r="J77" s="14" t="s">
        <v>8608</v>
      </c>
      <c r="K77" s="14">
        <v>5</v>
      </c>
      <c r="L77" s="14" t="s">
        <v>8609</v>
      </c>
      <c r="M77" s="14" t="s">
        <v>8617</v>
      </c>
      <c r="N77" s="14" t="s">
        <v>50</v>
      </c>
      <c r="O77" s="14" t="s">
        <v>50</v>
      </c>
      <c r="P77" s="15">
        <v>0</v>
      </c>
      <c r="Q77" s="15" t="s">
        <v>50</v>
      </c>
      <c r="R77" s="14" t="s">
        <v>50</v>
      </c>
      <c r="S77" s="14" t="s">
        <v>50</v>
      </c>
    </row>
    <row r="78" spans="1:20" x14ac:dyDescent="0.25">
      <c r="A78" s="11">
        <v>42740</v>
      </c>
      <c r="B78" s="631" t="s">
        <v>8296</v>
      </c>
      <c r="C78" s="631">
        <v>38.180030000000002</v>
      </c>
      <c r="D78" s="631">
        <v>-121.99854000000001</v>
      </c>
      <c r="E78" s="631" t="s">
        <v>8706</v>
      </c>
      <c r="F78" s="631" t="s">
        <v>27</v>
      </c>
      <c r="G78" s="631" t="s">
        <v>62</v>
      </c>
      <c r="H78" s="12">
        <v>0.37083333333333335</v>
      </c>
      <c r="I78" s="13">
        <v>115.5</v>
      </c>
      <c r="J78" s="14" t="s">
        <v>8608</v>
      </c>
      <c r="K78" s="14">
        <v>2</v>
      </c>
      <c r="L78" s="14" t="s">
        <v>8625</v>
      </c>
      <c r="M78" s="14" t="s">
        <v>8617</v>
      </c>
      <c r="N78" s="14" t="s">
        <v>323</v>
      </c>
      <c r="O78" s="14" t="s">
        <v>228</v>
      </c>
      <c r="P78" s="18">
        <v>6</v>
      </c>
      <c r="Q78" s="18" t="s">
        <v>8707</v>
      </c>
      <c r="R78" s="14" t="s">
        <v>50</v>
      </c>
      <c r="S78" s="14" t="s">
        <v>8613</v>
      </c>
      <c r="T78" s="5" t="s">
        <v>8708</v>
      </c>
    </row>
    <row r="79" spans="1:20" x14ac:dyDescent="0.25">
      <c r="A79" s="11">
        <v>42740</v>
      </c>
      <c r="B79" s="631" t="s">
        <v>8296</v>
      </c>
      <c r="C79" s="631">
        <v>38.113210000000002</v>
      </c>
      <c r="D79" s="631">
        <v>-122.05895</v>
      </c>
      <c r="E79" s="631" t="s">
        <v>8709</v>
      </c>
      <c r="F79" s="631" t="s">
        <v>27</v>
      </c>
      <c r="G79" s="631" t="s">
        <v>86</v>
      </c>
      <c r="H79" s="12">
        <v>0.41319444444444442</v>
      </c>
      <c r="I79" s="13">
        <v>128</v>
      </c>
      <c r="J79" s="14" t="s">
        <v>8608</v>
      </c>
      <c r="K79" s="14">
        <v>2</v>
      </c>
      <c r="L79" s="14" t="s">
        <v>8625</v>
      </c>
      <c r="M79" s="14" t="s">
        <v>8610</v>
      </c>
      <c r="N79" s="14" t="s">
        <v>323</v>
      </c>
      <c r="O79" s="14" t="s">
        <v>228</v>
      </c>
      <c r="P79" s="18">
        <v>1</v>
      </c>
      <c r="Q79" s="18">
        <v>65</v>
      </c>
      <c r="R79" s="14" t="s">
        <v>50</v>
      </c>
      <c r="S79" s="14" t="s">
        <v>8613</v>
      </c>
      <c r="T79" s="5" t="s">
        <v>8710</v>
      </c>
    </row>
    <row r="80" spans="1:20" x14ac:dyDescent="0.25">
      <c r="A80" s="11">
        <v>42741</v>
      </c>
      <c r="B80" s="631" t="s">
        <v>8296</v>
      </c>
      <c r="C80" s="631">
        <v>38.027709999999999</v>
      </c>
      <c r="D80" s="631">
        <v>-121.81095999999999</v>
      </c>
      <c r="E80" s="16" t="s">
        <v>8711</v>
      </c>
      <c r="F80" s="631" t="s">
        <v>27</v>
      </c>
      <c r="G80" s="16" t="s">
        <v>863</v>
      </c>
      <c r="H80" s="12">
        <v>0.34930555555555554</v>
      </c>
      <c r="I80" s="13">
        <v>51.85</v>
      </c>
      <c r="J80" s="14" t="s">
        <v>8608</v>
      </c>
      <c r="K80" s="14">
        <v>2</v>
      </c>
      <c r="L80" s="14" t="s">
        <v>8625</v>
      </c>
      <c r="M80" s="14" t="s">
        <v>8617</v>
      </c>
      <c r="N80" s="14" t="s">
        <v>323</v>
      </c>
      <c r="O80" s="14" t="s">
        <v>228</v>
      </c>
      <c r="P80" s="18">
        <v>5</v>
      </c>
      <c r="Q80" s="18" t="s">
        <v>8712</v>
      </c>
      <c r="R80" s="14" t="s">
        <v>50</v>
      </c>
      <c r="S80" s="14" t="s">
        <v>8613</v>
      </c>
    </row>
    <row r="81" spans="1:20" x14ac:dyDescent="0.25">
      <c r="A81" s="11">
        <v>42741</v>
      </c>
      <c r="B81" s="631" t="s">
        <v>8296</v>
      </c>
      <c r="C81" s="631">
        <v>38.041519999999998</v>
      </c>
      <c r="D81" s="631">
        <v>-121.90814</v>
      </c>
      <c r="E81" s="631" t="s">
        <v>8713</v>
      </c>
      <c r="F81" s="631" t="s">
        <v>27</v>
      </c>
      <c r="G81" s="631" t="s">
        <v>170</v>
      </c>
      <c r="H81" s="12">
        <v>0.40069444444444446</v>
      </c>
      <c r="I81" s="13">
        <v>62.48</v>
      </c>
      <c r="J81" s="14" t="s">
        <v>8608</v>
      </c>
      <c r="K81" s="14">
        <v>4</v>
      </c>
      <c r="L81" s="14" t="s">
        <v>8625</v>
      </c>
      <c r="M81" s="14" t="s">
        <v>8617</v>
      </c>
      <c r="N81" s="14" t="s">
        <v>323</v>
      </c>
      <c r="O81" s="14" t="s">
        <v>228</v>
      </c>
      <c r="P81" s="18">
        <v>1</v>
      </c>
      <c r="Q81" s="18">
        <v>66</v>
      </c>
      <c r="R81" s="14" t="s">
        <v>50</v>
      </c>
      <c r="S81" s="14" t="s">
        <v>8613</v>
      </c>
    </row>
    <row r="82" spans="1:20" ht="13.5" customHeight="1" x14ac:dyDescent="0.25">
      <c r="A82" s="11">
        <v>42741</v>
      </c>
      <c r="B82" s="631" t="s">
        <v>8296</v>
      </c>
      <c r="C82" s="631">
        <v>38.090040000000002</v>
      </c>
      <c r="D82" s="631">
        <v>-122.05569</v>
      </c>
      <c r="E82" s="631" t="s">
        <v>8714</v>
      </c>
      <c r="F82" s="631" t="s">
        <v>27</v>
      </c>
      <c r="G82" s="631" t="s">
        <v>86</v>
      </c>
      <c r="H82" s="12">
        <v>0.47013888888888888</v>
      </c>
      <c r="I82" s="13">
        <v>102.88</v>
      </c>
      <c r="J82" s="14" t="s">
        <v>8608</v>
      </c>
      <c r="K82" s="14">
        <v>5</v>
      </c>
      <c r="L82" s="14" t="s">
        <v>8625</v>
      </c>
      <c r="M82" s="14" t="s">
        <v>8610</v>
      </c>
      <c r="N82" s="14" t="s">
        <v>31</v>
      </c>
      <c r="O82" s="14" t="s">
        <v>228</v>
      </c>
      <c r="P82" s="15">
        <v>2</v>
      </c>
      <c r="Q82" s="15" t="s">
        <v>8715</v>
      </c>
      <c r="R82" s="14" t="s">
        <v>50</v>
      </c>
      <c r="S82" s="14" t="s">
        <v>8716</v>
      </c>
      <c r="T82" s="5" t="s">
        <v>8717</v>
      </c>
    </row>
    <row r="83" spans="1:20" x14ac:dyDescent="0.25">
      <c r="A83" s="11">
        <v>42741</v>
      </c>
      <c r="B83" s="631" t="s">
        <v>8606</v>
      </c>
      <c r="C83" s="631">
        <v>38.045409999999997</v>
      </c>
      <c r="D83" s="631">
        <v>-121.49917000000001</v>
      </c>
      <c r="E83" s="631" t="s">
        <v>8718</v>
      </c>
      <c r="F83" s="631" t="s">
        <v>46</v>
      </c>
      <c r="G83" s="631" t="s">
        <v>8615</v>
      </c>
      <c r="H83" s="12">
        <v>0.33263888888888887</v>
      </c>
      <c r="I83" s="13">
        <v>16.350000000000001</v>
      </c>
      <c r="J83" s="14" t="s">
        <v>8608</v>
      </c>
      <c r="K83" s="14">
        <v>2</v>
      </c>
      <c r="L83" s="14" t="s">
        <v>8609</v>
      </c>
      <c r="M83" s="14" t="s">
        <v>8617</v>
      </c>
      <c r="N83" s="14" t="s">
        <v>323</v>
      </c>
      <c r="O83" s="14" t="s">
        <v>228</v>
      </c>
      <c r="P83" s="15">
        <v>1</v>
      </c>
      <c r="Q83" s="15">
        <v>65</v>
      </c>
      <c r="R83" s="14" t="s">
        <v>50</v>
      </c>
      <c r="S83" s="14" t="s">
        <v>8613</v>
      </c>
      <c r="T83" s="5" t="s">
        <v>8710</v>
      </c>
    </row>
    <row r="84" spans="1:20" x14ac:dyDescent="0.25">
      <c r="A84" s="11">
        <v>42741</v>
      </c>
      <c r="B84" s="631" t="s">
        <v>8606</v>
      </c>
      <c r="C84" s="631">
        <v>38.097180000000002</v>
      </c>
      <c r="D84" s="631">
        <v>-121.58150000000001</v>
      </c>
      <c r="E84" s="631" t="s">
        <v>8719</v>
      </c>
      <c r="F84" s="631" t="s">
        <v>46</v>
      </c>
      <c r="G84" s="631" t="s">
        <v>8615</v>
      </c>
      <c r="H84" s="12">
        <v>0.36805555555555558</v>
      </c>
      <c r="I84" s="13">
        <v>27.88</v>
      </c>
      <c r="J84" s="14" t="s">
        <v>8608</v>
      </c>
      <c r="K84" s="14">
        <v>5</v>
      </c>
      <c r="L84" s="14" t="s">
        <v>8609</v>
      </c>
      <c r="M84" s="14" t="s">
        <v>8617</v>
      </c>
      <c r="N84" s="14" t="s">
        <v>5265</v>
      </c>
      <c r="O84" s="14" t="s">
        <v>2525</v>
      </c>
      <c r="P84" s="18">
        <v>1</v>
      </c>
      <c r="Q84" s="18">
        <v>170</v>
      </c>
      <c r="R84" s="14">
        <v>5</v>
      </c>
      <c r="S84" s="14"/>
    </row>
    <row r="85" spans="1:20" x14ac:dyDescent="0.25">
      <c r="A85" s="11">
        <v>42741</v>
      </c>
      <c r="B85" s="631" t="s">
        <v>8606</v>
      </c>
      <c r="C85" s="631">
        <v>38.088729999999998</v>
      </c>
      <c r="D85" s="631">
        <v>-121.6527</v>
      </c>
      <c r="E85" s="631" t="s">
        <v>8720</v>
      </c>
      <c r="F85" s="631" t="s">
        <v>46</v>
      </c>
      <c r="G85" s="631" t="s">
        <v>97</v>
      </c>
      <c r="H85" s="12">
        <v>0.43541666666666662</v>
      </c>
      <c r="I85" s="13">
        <v>41.14</v>
      </c>
      <c r="J85" s="14" t="s">
        <v>8608</v>
      </c>
      <c r="K85" s="14">
        <v>5</v>
      </c>
      <c r="L85" s="14" t="s">
        <v>8609</v>
      </c>
      <c r="M85" s="14" t="s">
        <v>8617</v>
      </c>
      <c r="N85" s="14" t="s">
        <v>5265</v>
      </c>
      <c r="O85" s="14" t="s">
        <v>2525</v>
      </c>
      <c r="P85" s="18">
        <v>2</v>
      </c>
      <c r="Q85" s="18" t="s">
        <v>8721</v>
      </c>
      <c r="R85" s="14">
        <v>5</v>
      </c>
      <c r="S85" s="14"/>
      <c r="T85" s="5" t="s">
        <v>8722</v>
      </c>
    </row>
    <row r="86" spans="1:20" x14ac:dyDescent="0.25">
      <c r="A86" s="11">
        <v>42744</v>
      </c>
      <c r="B86" s="631" t="s">
        <v>8606</v>
      </c>
      <c r="C86" s="631">
        <v>38.084969999999998</v>
      </c>
      <c r="D86" s="631">
        <v>-121.57075</v>
      </c>
      <c r="E86" s="631" t="s">
        <v>8723</v>
      </c>
      <c r="F86" s="631" t="s">
        <v>46</v>
      </c>
      <c r="G86" s="631" t="s">
        <v>8615</v>
      </c>
      <c r="H86" s="12">
        <v>0.32916666666666666</v>
      </c>
      <c r="I86" s="13">
        <v>32.4</v>
      </c>
      <c r="J86" s="14" t="s">
        <v>8608</v>
      </c>
      <c r="K86" s="14">
        <v>5</v>
      </c>
      <c r="L86" s="14" t="s">
        <v>8609</v>
      </c>
      <c r="M86" s="14" t="s">
        <v>8610</v>
      </c>
      <c r="N86" s="14" t="s">
        <v>323</v>
      </c>
      <c r="O86" s="14" t="s">
        <v>228</v>
      </c>
      <c r="P86" s="18">
        <v>1</v>
      </c>
      <c r="Q86" s="18">
        <v>71</v>
      </c>
      <c r="R86" s="14" t="s">
        <v>50</v>
      </c>
      <c r="S86" s="14" t="s">
        <v>8613</v>
      </c>
    </row>
    <row r="87" spans="1:20" x14ac:dyDescent="0.25">
      <c r="A87" s="11">
        <v>42744</v>
      </c>
      <c r="B87" s="631" t="s">
        <v>8606</v>
      </c>
      <c r="C87" s="631">
        <v>38.073889999999999</v>
      </c>
      <c r="D87" s="631">
        <v>-121.56192</v>
      </c>
      <c r="E87" s="631" t="s">
        <v>8724</v>
      </c>
      <c r="F87" s="631" t="s">
        <v>46</v>
      </c>
      <c r="G87" s="631" t="s">
        <v>8615</v>
      </c>
      <c r="H87" s="12">
        <v>0.3979166666666667</v>
      </c>
      <c r="I87" s="13">
        <v>30.34</v>
      </c>
      <c r="J87" s="14" t="s">
        <v>8608</v>
      </c>
      <c r="K87" s="14">
        <v>5</v>
      </c>
      <c r="L87" s="14" t="s">
        <v>8609</v>
      </c>
      <c r="M87" s="14" t="s">
        <v>8617</v>
      </c>
      <c r="N87" s="14" t="s">
        <v>50</v>
      </c>
      <c r="O87" s="14" t="s">
        <v>50</v>
      </c>
      <c r="P87" s="18">
        <v>0</v>
      </c>
      <c r="Q87" s="18" t="s">
        <v>50</v>
      </c>
      <c r="R87" s="14" t="s">
        <v>50</v>
      </c>
      <c r="S87" s="14" t="s">
        <v>50</v>
      </c>
    </row>
    <row r="88" spans="1:20" x14ac:dyDescent="0.25">
      <c r="A88" s="11">
        <v>42744</v>
      </c>
      <c r="B88" s="631" t="s">
        <v>8606</v>
      </c>
      <c r="C88" s="631">
        <v>38.058610000000002</v>
      </c>
      <c r="D88" s="631">
        <v>-121.67744</v>
      </c>
      <c r="E88" s="631" t="s">
        <v>8725</v>
      </c>
      <c r="F88" s="631" t="s">
        <v>46</v>
      </c>
      <c r="G88" s="631" t="s">
        <v>97</v>
      </c>
      <c r="H88" s="12">
        <v>0.4777777777777778</v>
      </c>
      <c r="I88" s="13">
        <v>57.2</v>
      </c>
      <c r="J88" s="14" t="s">
        <v>8608</v>
      </c>
      <c r="K88" s="14">
        <v>2</v>
      </c>
      <c r="L88" s="14" t="s">
        <v>8609</v>
      </c>
      <c r="M88" s="14" t="s">
        <v>8617</v>
      </c>
      <c r="N88" s="14" t="s">
        <v>323</v>
      </c>
      <c r="O88" s="14" t="s">
        <v>228</v>
      </c>
      <c r="P88" s="18">
        <v>1</v>
      </c>
      <c r="Q88" s="18">
        <v>70</v>
      </c>
      <c r="R88" s="14" t="s">
        <v>50</v>
      </c>
      <c r="S88" s="14" t="s">
        <v>8613</v>
      </c>
    </row>
    <row r="89" spans="1:20" x14ac:dyDescent="0.25">
      <c r="A89" s="11">
        <v>42744</v>
      </c>
      <c r="B89" s="631" t="s">
        <v>8726</v>
      </c>
      <c r="C89" s="631">
        <v>38.01464</v>
      </c>
      <c r="D89" s="631">
        <v>-121.56896</v>
      </c>
      <c r="E89" s="631" t="s">
        <v>8727</v>
      </c>
      <c r="F89" s="631" t="s">
        <v>46</v>
      </c>
      <c r="G89" s="631" t="s">
        <v>74</v>
      </c>
      <c r="H89" s="12">
        <v>0.33263888888888887</v>
      </c>
      <c r="I89" s="13">
        <v>17.98</v>
      </c>
      <c r="J89" s="14" t="s">
        <v>8608</v>
      </c>
      <c r="K89" s="14">
        <v>10</v>
      </c>
      <c r="L89" s="14" t="s">
        <v>8609</v>
      </c>
      <c r="M89" s="14" t="s">
        <v>8610</v>
      </c>
      <c r="N89" s="14" t="s">
        <v>50</v>
      </c>
      <c r="O89" s="14" t="s">
        <v>50</v>
      </c>
      <c r="P89" s="10">
        <v>0</v>
      </c>
      <c r="Q89" s="10" t="s">
        <v>50</v>
      </c>
      <c r="R89" s="14" t="s">
        <v>50</v>
      </c>
      <c r="S89" s="14" t="s">
        <v>50</v>
      </c>
    </row>
    <row r="90" spans="1:20" x14ac:dyDescent="0.25">
      <c r="A90" s="11">
        <v>42744</v>
      </c>
      <c r="B90" s="631" t="s">
        <v>8726</v>
      </c>
      <c r="C90" s="631">
        <v>38.026969999999999</v>
      </c>
      <c r="D90" s="631">
        <v>-121.60626999999999</v>
      </c>
      <c r="E90" s="631" t="s">
        <v>8728</v>
      </c>
      <c r="F90" s="631" t="s">
        <v>46</v>
      </c>
      <c r="G90" s="631" t="s">
        <v>47</v>
      </c>
      <c r="H90" s="12">
        <v>0.47152777777777777</v>
      </c>
      <c r="I90" s="13">
        <v>58.23</v>
      </c>
      <c r="J90" s="14" t="s">
        <v>8608</v>
      </c>
      <c r="K90" s="14">
        <v>8</v>
      </c>
      <c r="L90" s="14" t="s">
        <v>8609</v>
      </c>
      <c r="M90" s="14" t="s">
        <v>8610</v>
      </c>
      <c r="N90" s="14" t="s">
        <v>323</v>
      </c>
      <c r="O90" s="14" t="s">
        <v>228</v>
      </c>
      <c r="P90" s="15">
        <v>1</v>
      </c>
      <c r="Q90" s="15">
        <v>65</v>
      </c>
      <c r="R90" s="14" t="s">
        <v>50</v>
      </c>
      <c r="S90" s="14" t="s">
        <v>8613</v>
      </c>
    </row>
    <row r="91" spans="1:20" x14ac:dyDescent="0.25">
      <c r="A91" s="11">
        <v>42745</v>
      </c>
      <c r="B91" s="653" t="s">
        <v>8729</v>
      </c>
      <c r="C91" s="654"/>
      <c r="D91" s="654"/>
      <c r="E91" s="654"/>
      <c r="F91" s="654"/>
      <c r="G91" s="655"/>
      <c r="H91" s="12"/>
      <c r="I91" s="13" t="s">
        <v>50</v>
      </c>
      <c r="J91" s="14" t="s">
        <v>8608</v>
      </c>
      <c r="K91" s="14">
        <v>0</v>
      </c>
      <c r="L91" s="14" t="s">
        <v>50</v>
      </c>
      <c r="M91" s="14" t="s">
        <v>50</v>
      </c>
      <c r="N91" s="14" t="s">
        <v>50</v>
      </c>
      <c r="O91" s="14" t="s">
        <v>50</v>
      </c>
      <c r="P91" s="18">
        <v>0</v>
      </c>
      <c r="Q91" s="18" t="s">
        <v>50</v>
      </c>
      <c r="R91" s="14" t="s">
        <v>50</v>
      </c>
      <c r="S91" s="14" t="s">
        <v>50</v>
      </c>
      <c r="T91" s="5" t="s">
        <v>8730</v>
      </c>
    </row>
    <row r="92" spans="1:20" x14ac:dyDescent="0.25">
      <c r="A92" s="11">
        <v>42746</v>
      </c>
      <c r="B92" s="631" t="s">
        <v>8606</v>
      </c>
      <c r="C92" s="631">
        <v>38.061459999999997</v>
      </c>
      <c r="D92" s="631">
        <v>-121.55115000000001</v>
      </c>
      <c r="E92" s="631" t="s">
        <v>8731</v>
      </c>
      <c r="F92" s="631" t="s">
        <v>46</v>
      </c>
      <c r="G92" s="631" t="s">
        <v>8615</v>
      </c>
      <c r="H92" s="12">
        <v>0.31736111111111115</v>
      </c>
      <c r="I92" s="13">
        <v>27.94</v>
      </c>
      <c r="J92" s="14" t="s">
        <v>8608</v>
      </c>
      <c r="K92" s="14">
        <v>5</v>
      </c>
      <c r="L92" s="14" t="s">
        <v>8609</v>
      </c>
      <c r="M92" s="14" t="s">
        <v>8610</v>
      </c>
      <c r="N92" s="14" t="s">
        <v>50</v>
      </c>
      <c r="O92" s="14" t="s">
        <v>50</v>
      </c>
      <c r="P92" s="15">
        <v>0</v>
      </c>
      <c r="Q92" s="15" t="s">
        <v>50</v>
      </c>
      <c r="R92" s="14" t="s">
        <v>50</v>
      </c>
      <c r="S92" s="14" t="s">
        <v>50</v>
      </c>
    </row>
    <row r="93" spans="1:20" x14ac:dyDescent="0.25">
      <c r="A93" s="11">
        <v>42746</v>
      </c>
      <c r="B93" s="631" t="s">
        <v>8606</v>
      </c>
      <c r="C93" s="631">
        <v>38.058720000000001</v>
      </c>
      <c r="D93" s="631">
        <v>-121.55052999999999</v>
      </c>
      <c r="E93" s="631" t="s">
        <v>8732</v>
      </c>
      <c r="F93" s="631" t="s">
        <v>46</v>
      </c>
      <c r="G93" s="631" t="s">
        <v>8615</v>
      </c>
      <c r="H93" s="12">
        <v>0.38055555555555554</v>
      </c>
      <c r="I93" s="13">
        <v>24.2</v>
      </c>
      <c r="J93" s="14" t="s">
        <v>8608</v>
      </c>
      <c r="K93" s="14">
        <v>5</v>
      </c>
      <c r="L93" s="14" t="s">
        <v>8609</v>
      </c>
      <c r="M93" s="14" t="s">
        <v>8610</v>
      </c>
      <c r="N93" s="14" t="s">
        <v>50</v>
      </c>
      <c r="O93" s="14" t="s">
        <v>50</v>
      </c>
      <c r="P93" s="15">
        <v>0</v>
      </c>
      <c r="Q93" s="15" t="s">
        <v>50</v>
      </c>
      <c r="R93" s="14" t="s">
        <v>50</v>
      </c>
      <c r="S93" s="14" t="s">
        <v>50</v>
      </c>
    </row>
    <row r="94" spans="1:20" x14ac:dyDescent="0.25">
      <c r="A94" s="11">
        <v>42746</v>
      </c>
      <c r="B94" s="631" t="s">
        <v>8726</v>
      </c>
      <c r="C94" s="631">
        <v>38.057540000000003</v>
      </c>
      <c r="D94" s="631">
        <v>-121.658</v>
      </c>
      <c r="E94" s="631" t="s">
        <v>8733</v>
      </c>
      <c r="F94" s="631" t="s">
        <v>46</v>
      </c>
      <c r="G94" s="631" t="s">
        <v>47</v>
      </c>
      <c r="H94" s="12">
        <v>0.31875000000000003</v>
      </c>
      <c r="I94" s="13">
        <v>48.5</v>
      </c>
      <c r="J94" s="14" t="s">
        <v>8608</v>
      </c>
      <c r="K94" s="14">
        <v>5</v>
      </c>
      <c r="L94" s="14" t="s">
        <v>8609</v>
      </c>
      <c r="M94" s="14" t="s">
        <v>8617</v>
      </c>
      <c r="N94" s="14" t="s">
        <v>323</v>
      </c>
      <c r="O94" s="14" t="s">
        <v>228</v>
      </c>
      <c r="P94" s="15">
        <v>1</v>
      </c>
      <c r="Q94" s="15">
        <v>70</v>
      </c>
      <c r="R94" s="14" t="s">
        <v>50</v>
      </c>
      <c r="S94" s="14" t="s">
        <v>8613</v>
      </c>
    </row>
    <row r="95" spans="1:20" x14ac:dyDescent="0.25">
      <c r="A95" s="11">
        <v>42746</v>
      </c>
      <c r="B95" s="631" t="s">
        <v>8726</v>
      </c>
      <c r="C95" s="631">
        <v>38.05883</v>
      </c>
      <c r="D95" s="631">
        <v>-121.65703000000001</v>
      </c>
      <c r="E95" s="631" t="s">
        <v>8734</v>
      </c>
      <c r="F95" s="631" t="s">
        <v>46</v>
      </c>
      <c r="G95" s="631" t="s">
        <v>47</v>
      </c>
      <c r="H95" s="12">
        <v>0.41597222222222219</v>
      </c>
      <c r="I95" s="13">
        <v>41.18</v>
      </c>
      <c r="J95" s="14" t="s">
        <v>8608</v>
      </c>
      <c r="K95" s="14">
        <v>4</v>
      </c>
      <c r="L95" s="14" t="s">
        <v>8609</v>
      </c>
      <c r="M95" s="14" t="s">
        <v>8610</v>
      </c>
      <c r="N95" s="14" t="s">
        <v>323</v>
      </c>
      <c r="O95" s="14" t="s">
        <v>228</v>
      </c>
      <c r="P95" s="15">
        <v>1</v>
      </c>
      <c r="Q95" s="15">
        <v>67</v>
      </c>
      <c r="R95" s="14" t="s">
        <v>50</v>
      </c>
      <c r="S95" s="14" t="s">
        <v>8613</v>
      </c>
    </row>
    <row r="96" spans="1:20" x14ac:dyDescent="0.25">
      <c r="A96" s="11">
        <v>42746</v>
      </c>
      <c r="B96" s="631" t="s">
        <v>8726</v>
      </c>
      <c r="C96" s="631" t="s">
        <v>50</v>
      </c>
      <c r="D96" s="631" t="s">
        <v>50</v>
      </c>
      <c r="E96" s="631" t="s">
        <v>8735</v>
      </c>
      <c r="F96" s="631" t="s">
        <v>46</v>
      </c>
      <c r="G96" s="631" t="s">
        <v>199</v>
      </c>
      <c r="H96" s="12">
        <v>0.49861111111111112</v>
      </c>
      <c r="I96" s="13" t="s">
        <v>50</v>
      </c>
      <c r="J96" s="14" t="s">
        <v>8608</v>
      </c>
      <c r="K96" s="14">
        <v>0</v>
      </c>
      <c r="L96" s="14" t="s">
        <v>50</v>
      </c>
      <c r="M96" s="14" t="s">
        <v>50</v>
      </c>
      <c r="N96" s="14" t="s">
        <v>50</v>
      </c>
      <c r="O96" s="14" t="s">
        <v>50</v>
      </c>
      <c r="P96" s="15">
        <v>0</v>
      </c>
      <c r="Q96" s="15" t="s">
        <v>50</v>
      </c>
      <c r="R96" s="14" t="s">
        <v>50</v>
      </c>
      <c r="S96" s="14" t="s">
        <v>50</v>
      </c>
      <c r="T96" s="87" t="s">
        <v>8736</v>
      </c>
    </row>
    <row r="97" spans="1:20" x14ac:dyDescent="0.25">
      <c r="A97" s="11">
        <v>42746</v>
      </c>
      <c r="B97" s="631" t="s">
        <v>8726</v>
      </c>
      <c r="C97" s="631" t="s">
        <v>50</v>
      </c>
      <c r="D97" s="631" t="s">
        <v>50</v>
      </c>
      <c r="E97" s="631" t="s">
        <v>8737</v>
      </c>
      <c r="F97" s="631" t="s">
        <v>46</v>
      </c>
      <c r="G97" s="631" t="s">
        <v>6926</v>
      </c>
      <c r="H97" s="12">
        <v>0.51041666666666663</v>
      </c>
      <c r="I97" s="13" t="s">
        <v>50</v>
      </c>
      <c r="J97" s="14" t="s">
        <v>8608</v>
      </c>
      <c r="K97" s="14">
        <v>0</v>
      </c>
      <c r="L97" s="14" t="s">
        <v>50</v>
      </c>
      <c r="M97" s="14" t="s">
        <v>50</v>
      </c>
      <c r="N97" s="14" t="s">
        <v>50</v>
      </c>
      <c r="O97" s="14" t="s">
        <v>50</v>
      </c>
      <c r="P97" s="15">
        <v>0</v>
      </c>
      <c r="Q97" s="15" t="s">
        <v>50</v>
      </c>
      <c r="R97" s="14" t="s">
        <v>50</v>
      </c>
      <c r="S97" s="14" t="s">
        <v>50</v>
      </c>
      <c r="T97" s="5" t="s">
        <v>8736</v>
      </c>
    </row>
    <row r="98" spans="1:20" x14ac:dyDescent="0.25">
      <c r="A98" s="11">
        <v>42746</v>
      </c>
      <c r="B98" s="631" t="s">
        <v>8726</v>
      </c>
      <c r="C98" s="631">
        <v>37.974589999999999</v>
      </c>
      <c r="D98" s="631">
        <v>-121.52224</v>
      </c>
      <c r="E98" s="631" t="s">
        <v>8738</v>
      </c>
      <c r="F98" s="631" t="s">
        <v>46</v>
      </c>
      <c r="G98" s="631" t="s">
        <v>6939</v>
      </c>
      <c r="H98" s="12">
        <v>0.52638888888888891</v>
      </c>
      <c r="I98" s="13">
        <v>19.850000000000001</v>
      </c>
      <c r="J98" s="14" t="s">
        <v>8608</v>
      </c>
      <c r="K98" s="14">
        <v>10</v>
      </c>
      <c r="L98" s="14" t="s">
        <v>8609</v>
      </c>
      <c r="M98" s="14" t="s">
        <v>8617</v>
      </c>
      <c r="N98" s="14" t="s">
        <v>50</v>
      </c>
      <c r="O98" s="14" t="s">
        <v>50</v>
      </c>
      <c r="P98" s="15">
        <v>0</v>
      </c>
      <c r="Q98" s="15" t="s">
        <v>50</v>
      </c>
      <c r="R98" s="14" t="s">
        <v>50</v>
      </c>
      <c r="S98" s="14" t="s">
        <v>50</v>
      </c>
    </row>
    <row r="99" spans="1:20" x14ac:dyDescent="0.25">
      <c r="A99" s="11">
        <v>42747</v>
      </c>
      <c r="B99" s="631" t="s">
        <v>8606</v>
      </c>
      <c r="C99" s="631">
        <v>38.063960000000002</v>
      </c>
      <c r="D99" s="631">
        <v>-121.68171</v>
      </c>
      <c r="E99" s="631" t="s">
        <v>8739</v>
      </c>
      <c r="F99" s="631" t="s">
        <v>46</v>
      </c>
      <c r="G99" s="631" t="s">
        <v>97</v>
      </c>
      <c r="H99" s="12">
        <v>0.33055555555555555</v>
      </c>
      <c r="I99" s="13">
        <v>94.8</v>
      </c>
      <c r="J99" s="14" t="s">
        <v>8608</v>
      </c>
      <c r="K99" s="14">
        <v>5</v>
      </c>
      <c r="L99" s="14" t="s">
        <v>8609</v>
      </c>
      <c r="M99" s="14" t="s">
        <v>8617</v>
      </c>
      <c r="N99" s="14" t="s">
        <v>323</v>
      </c>
      <c r="O99" s="14" t="s">
        <v>228</v>
      </c>
      <c r="P99" s="15">
        <v>1</v>
      </c>
      <c r="Q99" s="15">
        <v>65</v>
      </c>
      <c r="R99" s="14" t="s">
        <v>50</v>
      </c>
      <c r="S99" s="14" t="s">
        <v>8613</v>
      </c>
    </row>
    <row r="100" spans="1:20" x14ac:dyDescent="0.25">
      <c r="A100" s="11">
        <v>42747</v>
      </c>
      <c r="B100" s="631" t="s">
        <v>8606</v>
      </c>
      <c r="C100" s="631">
        <v>38.090960000000003</v>
      </c>
      <c r="D100" s="631">
        <v>-121.65497999999999</v>
      </c>
      <c r="E100" s="631" t="s">
        <v>8740</v>
      </c>
      <c r="F100" s="631" t="s">
        <v>46</v>
      </c>
      <c r="G100" s="631" t="s">
        <v>97</v>
      </c>
      <c r="H100" s="12">
        <v>0.39305555555555555</v>
      </c>
      <c r="I100" s="13">
        <v>72.17</v>
      </c>
      <c r="J100" s="14" t="s">
        <v>8608</v>
      </c>
      <c r="K100" s="14">
        <v>3</v>
      </c>
      <c r="L100" s="14" t="s">
        <v>8609</v>
      </c>
      <c r="M100" s="14" t="s">
        <v>8610</v>
      </c>
      <c r="N100" s="14" t="s">
        <v>50</v>
      </c>
      <c r="O100" s="14" t="s">
        <v>50</v>
      </c>
      <c r="P100" s="14">
        <v>0</v>
      </c>
      <c r="Q100" s="14" t="s">
        <v>50</v>
      </c>
      <c r="R100" s="14" t="s">
        <v>50</v>
      </c>
      <c r="S100" s="14" t="s">
        <v>50</v>
      </c>
      <c r="T100" s="5" t="s">
        <v>8741</v>
      </c>
    </row>
    <row r="101" spans="1:20" x14ac:dyDescent="0.25">
      <c r="A101" s="11">
        <v>42747</v>
      </c>
      <c r="B101" s="631" t="s">
        <v>8606</v>
      </c>
      <c r="C101" s="631">
        <v>38.102469999999997</v>
      </c>
      <c r="D101" s="631">
        <v>-121.59103</v>
      </c>
      <c r="E101" s="631" t="s">
        <v>8742</v>
      </c>
      <c r="F101" s="631" t="s">
        <v>46</v>
      </c>
      <c r="G101" s="631" t="s">
        <v>8615</v>
      </c>
      <c r="H101" s="12">
        <v>0.43333333333333335</v>
      </c>
      <c r="I101" s="13">
        <v>105.92</v>
      </c>
      <c r="J101" s="14" t="s">
        <v>8608</v>
      </c>
      <c r="K101" s="14">
        <v>5</v>
      </c>
      <c r="L101" s="14" t="s">
        <v>8609</v>
      </c>
      <c r="M101" s="14" t="s">
        <v>8610</v>
      </c>
      <c r="N101" s="14" t="s">
        <v>702</v>
      </c>
      <c r="O101" s="14" t="s">
        <v>228</v>
      </c>
      <c r="P101" s="14">
        <v>2</v>
      </c>
      <c r="Q101" s="14" t="s">
        <v>8743</v>
      </c>
      <c r="R101" s="14">
        <v>1</v>
      </c>
      <c r="S101" s="14" t="s">
        <v>50</v>
      </c>
    </row>
    <row r="102" spans="1:20" x14ac:dyDescent="0.25">
      <c r="A102" s="11">
        <v>42747</v>
      </c>
      <c r="B102" s="631" t="s">
        <v>8726</v>
      </c>
      <c r="C102" s="631">
        <v>37.987310000000001</v>
      </c>
      <c r="D102" s="631">
        <v>-121.51273</v>
      </c>
      <c r="E102" s="631" t="s">
        <v>8744</v>
      </c>
      <c r="F102" s="631" t="s">
        <v>46</v>
      </c>
      <c r="G102" s="631" t="s">
        <v>6939</v>
      </c>
      <c r="H102" s="12">
        <v>0.33749999999999997</v>
      </c>
      <c r="I102" s="13">
        <v>27.12</v>
      </c>
      <c r="J102" s="14" t="s">
        <v>8608</v>
      </c>
      <c r="K102" s="14">
        <v>10</v>
      </c>
      <c r="L102" s="14" t="s">
        <v>8609</v>
      </c>
      <c r="M102" s="14" t="s">
        <v>8617</v>
      </c>
      <c r="N102" s="14" t="s">
        <v>50</v>
      </c>
      <c r="O102" s="14" t="s">
        <v>50</v>
      </c>
      <c r="P102" s="18">
        <v>0</v>
      </c>
      <c r="Q102" s="18" t="s">
        <v>50</v>
      </c>
      <c r="R102" s="14" t="s">
        <v>50</v>
      </c>
      <c r="S102" s="14" t="s">
        <v>50</v>
      </c>
      <c r="T102" s="5" t="s">
        <v>8745</v>
      </c>
    </row>
    <row r="103" spans="1:20" x14ac:dyDescent="0.25">
      <c r="A103" s="11">
        <v>42747</v>
      </c>
      <c r="B103" s="631" t="s">
        <v>8726</v>
      </c>
      <c r="C103" s="631">
        <v>37.894579999999998</v>
      </c>
      <c r="D103" s="631">
        <v>-121.56652</v>
      </c>
      <c r="E103" s="631" t="s">
        <v>8746</v>
      </c>
      <c r="F103" s="631" t="s">
        <v>46</v>
      </c>
      <c r="G103" s="631" t="s">
        <v>199</v>
      </c>
      <c r="H103" s="12">
        <v>0.48749999999999999</v>
      </c>
      <c r="I103" s="13">
        <v>25.79</v>
      </c>
      <c r="J103" s="14" t="s">
        <v>8608</v>
      </c>
      <c r="K103" s="14">
        <v>10</v>
      </c>
      <c r="L103" s="14" t="s">
        <v>8609</v>
      </c>
      <c r="M103" s="14" t="s">
        <v>8617</v>
      </c>
      <c r="N103" s="14" t="s">
        <v>50</v>
      </c>
      <c r="O103" s="14" t="s">
        <v>50</v>
      </c>
      <c r="P103" s="14">
        <v>0</v>
      </c>
      <c r="Q103" s="14" t="s">
        <v>50</v>
      </c>
      <c r="R103" s="14" t="s">
        <v>50</v>
      </c>
      <c r="S103" s="14" t="s">
        <v>50</v>
      </c>
    </row>
    <row r="104" spans="1:20" x14ac:dyDescent="0.25">
      <c r="A104" s="11">
        <v>42752</v>
      </c>
      <c r="B104" s="631" t="s">
        <v>8606</v>
      </c>
      <c r="C104" s="631">
        <v>38.095999999999997</v>
      </c>
      <c r="D104" s="631">
        <v>-121.63327</v>
      </c>
      <c r="E104" s="631" t="s">
        <v>8747</v>
      </c>
      <c r="F104" s="631" t="s">
        <v>46</v>
      </c>
      <c r="G104" s="631" t="s">
        <v>97</v>
      </c>
      <c r="H104" s="12">
        <v>0.33680555555555558</v>
      </c>
      <c r="I104" s="13" t="s">
        <v>50</v>
      </c>
      <c r="J104" s="14" t="s">
        <v>8608</v>
      </c>
      <c r="K104" s="14">
        <v>5</v>
      </c>
      <c r="L104" s="14" t="s">
        <v>8609</v>
      </c>
      <c r="M104" s="14" t="s">
        <v>8617</v>
      </c>
      <c r="N104" s="14" t="s">
        <v>702</v>
      </c>
      <c r="O104" s="14" t="s">
        <v>228</v>
      </c>
      <c r="P104" s="10">
        <v>1</v>
      </c>
      <c r="Q104" s="10">
        <v>39</v>
      </c>
      <c r="R104" s="14">
        <v>1</v>
      </c>
      <c r="S104" s="14" t="s">
        <v>50</v>
      </c>
      <c r="T104" s="5" t="s">
        <v>8748</v>
      </c>
    </row>
    <row r="105" spans="1:20" x14ac:dyDescent="0.25">
      <c r="A105" s="11">
        <v>42752</v>
      </c>
      <c r="B105" s="631" t="s">
        <v>8606</v>
      </c>
      <c r="C105" s="631">
        <v>38.095999999999997</v>
      </c>
      <c r="D105" s="631">
        <v>-121.63327</v>
      </c>
      <c r="E105" s="631" t="s">
        <v>8747</v>
      </c>
      <c r="F105" s="631" t="s">
        <v>46</v>
      </c>
      <c r="G105" s="631" t="s">
        <v>97</v>
      </c>
      <c r="H105" s="12"/>
      <c r="I105" s="13"/>
      <c r="J105" s="14"/>
      <c r="K105" s="14"/>
      <c r="L105" s="14"/>
      <c r="M105" s="14"/>
      <c r="N105" s="14" t="s">
        <v>323</v>
      </c>
      <c r="O105" s="14" t="s">
        <v>228</v>
      </c>
      <c r="P105" s="10">
        <v>1</v>
      </c>
      <c r="Q105" s="10">
        <v>67</v>
      </c>
      <c r="R105" s="14" t="s">
        <v>50</v>
      </c>
      <c r="S105" s="14" t="s">
        <v>8613</v>
      </c>
    </row>
    <row r="106" spans="1:20" x14ac:dyDescent="0.25">
      <c r="A106" s="11">
        <v>42752</v>
      </c>
      <c r="B106" s="631" t="s">
        <v>8606</v>
      </c>
      <c r="C106" s="631">
        <v>38.093499999999999</v>
      </c>
      <c r="D106" s="631">
        <v>-121.65022</v>
      </c>
      <c r="E106" s="631" t="s">
        <v>8749</v>
      </c>
      <c r="F106" s="631" t="s">
        <v>46</v>
      </c>
      <c r="G106" s="631" t="s">
        <v>97</v>
      </c>
      <c r="H106" s="12">
        <v>0.3923611111111111</v>
      </c>
      <c r="I106" s="13" t="s">
        <v>50</v>
      </c>
      <c r="J106" s="14" t="s">
        <v>8608</v>
      </c>
      <c r="K106" s="14">
        <v>5</v>
      </c>
      <c r="L106" s="14" t="s">
        <v>8609</v>
      </c>
      <c r="M106" s="14" t="s">
        <v>8617</v>
      </c>
      <c r="N106" s="14" t="s">
        <v>702</v>
      </c>
      <c r="O106" s="14" t="s">
        <v>228</v>
      </c>
      <c r="P106" s="10">
        <v>3</v>
      </c>
      <c r="Q106" s="10" t="s">
        <v>8750</v>
      </c>
      <c r="R106" s="14">
        <v>2</v>
      </c>
      <c r="S106" s="14" t="s">
        <v>50</v>
      </c>
    </row>
    <row r="107" spans="1:20" x14ac:dyDescent="0.25">
      <c r="A107" s="11">
        <v>42752</v>
      </c>
      <c r="B107" s="631" t="s">
        <v>8606</v>
      </c>
      <c r="C107" s="631">
        <v>38.093499999999999</v>
      </c>
      <c r="D107" s="631">
        <v>-121.65022</v>
      </c>
      <c r="E107" s="631" t="s">
        <v>8749</v>
      </c>
      <c r="F107" s="631" t="s">
        <v>46</v>
      </c>
      <c r="G107" s="631" t="s">
        <v>97</v>
      </c>
      <c r="H107" s="12"/>
      <c r="I107" s="13"/>
      <c r="J107" s="14"/>
      <c r="K107" s="14"/>
      <c r="L107" s="14"/>
      <c r="M107" s="14"/>
      <c r="N107" s="14" t="s">
        <v>323</v>
      </c>
      <c r="O107" s="14" t="s">
        <v>228</v>
      </c>
      <c r="P107" s="14">
        <v>2</v>
      </c>
      <c r="Q107" s="14" t="s">
        <v>8751</v>
      </c>
      <c r="R107" s="14" t="s">
        <v>50</v>
      </c>
      <c r="S107" s="14" t="s">
        <v>8613</v>
      </c>
    </row>
    <row r="108" spans="1:20" x14ac:dyDescent="0.25">
      <c r="A108" s="11">
        <v>42752</v>
      </c>
      <c r="B108" s="631" t="s">
        <v>8606</v>
      </c>
      <c r="C108" s="631">
        <v>38.09731</v>
      </c>
      <c r="D108" s="631">
        <v>-121.59384</v>
      </c>
      <c r="E108" s="631" t="s">
        <v>8752</v>
      </c>
      <c r="F108" s="631" t="s">
        <v>46</v>
      </c>
      <c r="G108" s="631" t="s">
        <v>8615</v>
      </c>
      <c r="H108" s="12">
        <v>0.47013888888888888</v>
      </c>
      <c r="I108" s="13" t="s">
        <v>50</v>
      </c>
      <c r="J108" s="14" t="s">
        <v>8608</v>
      </c>
      <c r="K108" s="14">
        <v>5</v>
      </c>
      <c r="L108" s="14" t="s">
        <v>8609</v>
      </c>
      <c r="M108" s="14" t="s">
        <v>8610</v>
      </c>
      <c r="N108" s="14" t="s">
        <v>702</v>
      </c>
      <c r="O108" s="14" t="s">
        <v>228</v>
      </c>
      <c r="P108" s="18">
        <v>1</v>
      </c>
      <c r="Q108" s="18">
        <v>37</v>
      </c>
      <c r="R108" s="14">
        <v>2</v>
      </c>
      <c r="S108" s="14" t="s">
        <v>50</v>
      </c>
    </row>
    <row r="109" spans="1:20" x14ac:dyDescent="0.25">
      <c r="A109" s="11">
        <v>42752</v>
      </c>
      <c r="B109" s="631" t="s">
        <v>8296</v>
      </c>
      <c r="C109" s="631">
        <v>38.471020000000003</v>
      </c>
      <c r="D109" s="631">
        <v>-121.58445</v>
      </c>
      <c r="E109" s="631" t="s">
        <v>8753</v>
      </c>
      <c r="F109" s="631" t="s">
        <v>90</v>
      </c>
      <c r="G109" s="631" t="s">
        <v>7577</v>
      </c>
      <c r="H109" s="12">
        <v>0.38680555555555557</v>
      </c>
      <c r="I109" s="13">
        <v>26.65</v>
      </c>
      <c r="J109" s="14" t="s">
        <v>8608</v>
      </c>
      <c r="K109" s="14">
        <v>2</v>
      </c>
      <c r="L109" s="14" t="s">
        <v>8625</v>
      </c>
      <c r="M109" s="14" t="s">
        <v>8610</v>
      </c>
      <c r="N109" s="14" t="s">
        <v>323</v>
      </c>
      <c r="O109" s="14" t="s">
        <v>228</v>
      </c>
      <c r="P109" s="15">
        <v>1</v>
      </c>
      <c r="Q109" s="15">
        <v>65</v>
      </c>
      <c r="R109" s="14" t="s">
        <v>50</v>
      </c>
      <c r="S109" s="14" t="s">
        <v>8613</v>
      </c>
    </row>
    <row r="110" spans="1:20" x14ac:dyDescent="0.25">
      <c r="A110" s="11">
        <v>42752</v>
      </c>
      <c r="B110" s="631" t="s">
        <v>8296</v>
      </c>
      <c r="C110" s="631">
        <v>38.462449999999997</v>
      </c>
      <c r="D110" s="631">
        <v>-121.58868</v>
      </c>
      <c r="E110" s="631" t="s">
        <v>8754</v>
      </c>
      <c r="F110" s="631" t="s">
        <v>90</v>
      </c>
      <c r="G110" s="631" t="s">
        <v>7577</v>
      </c>
      <c r="H110" s="12">
        <v>0.43194444444444446</v>
      </c>
      <c r="I110" s="13">
        <v>32.25</v>
      </c>
      <c r="J110" s="14" t="s">
        <v>8608</v>
      </c>
      <c r="K110" s="14">
        <v>2</v>
      </c>
      <c r="L110" s="14" t="s">
        <v>8625</v>
      </c>
      <c r="M110" s="14" t="s">
        <v>8610</v>
      </c>
      <c r="N110" s="14" t="s">
        <v>323</v>
      </c>
      <c r="O110" s="14" t="s">
        <v>228</v>
      </c>
      <c r="P110" s="15">
        <v>2</v>
      </c>
      <c r="Q110" s="15" t="s">
        <v>8755</v>
      </c>
      <c r="R110" s="14" t="s">
        <v>50</v>
      </c>
      <c r="S110" s="14" t="s">
        <v>8613</v>
      </c>
    </row>
    <row r="111" spans="1:20" x14ac:dyDescent="0.25">
      <c r="A111" s="11">
        <v>42753</v>
      </c>
      <c r="B111" s="631" t="s">
        <v>8606</v>
      </c>
      <c r="C111" s="631">
        <v>38.054430000000004</v>
      </c>
      <c r="D111" s="631">
        <v>-121.52403</v>
      </c>
      <c r="E111" s="631" t="s">
        <v>8756</v>
      </c>
      <c r="F111" s="631" t="s">
        <v>46</v>
      </c>
      <c r="G111" s="631" t="s">
        <v>8615</v>
      </c>
      <c r="H111" s="12">
        <v>0.32291666666666669</v>
      </c>
      <c r="I111" s="13">
        <v>35.4</v>
      </c>
      <c r="J111" s="14" t="s">
        <v>8608</v>
      </c>
      <c r="K111" s="14">
        <v>5</v>
      </c>
      <c r="L111" s="14" t="s">
        <v>8609</v>
      </c>
      <c r="M111" s="14" t="s">
        <v>8617</v>
      </c>
      <c r="N111" s="14" t="s">
        <v>323</v>
      </c>
      <c r="O111" s="14" t="s">
        <v>228</v>
      </c>
      <c r="P111" s="10">
        <v>1</v>
      </c>
      <c r="Q111" s="10">
        <v>74</v>
      </c>
      <c r="R111" s="14" t="s">
        <v>50</v>
      </c>
      <c r="S111" s="14" t="s">
        <v>8613</v>
      </c>
    </row>
    <row r="112" spans="1:20" x14ac:dyDescent="0.25">
      <c r="A112" s="11">
        <v>42753</v>
      </c>
      <c r="B112" s="631" t="s">
        <v>8606</v>
      </c>
      <c r="C112" s="631" t="s">
        <v>50</v>
      </c>
      <c r="D112" s="631" t="s">
        <v>50</v>
      </c>
      <c r="E112" s="631" t="s">
        <v>8757</v>
      </c>
      <c r="F112" s="631" t="s">
        <v>46</v>
      </c>
      <c r="G112" s="631" t="s">
        <v>8615</v>
      </c>
      <c r="H112" s="12">
        <v>0.38125000000000003</v>
      </c>
      <c r="I112" s="13" t="s">
        <v>50</v>
      </c>
      <c r="J112" s="14" t="s">
        <v>8608</v>
      </c>
      <c r="K112" s="14">
        <v>0</v>
      </c>
      <c r="L112" s="14" t="s">
        <v>50</v>
      </c>
      <c r="M112" s="14" t="s">
        <v>50</v>
      </c>
      <c r="N112" s="14" t="s">
        <v>50</v>
      </c>
      <c r="O112" s="14" t="s">
        <v>50</v>
      </c>
      <c r="P112" s="15">
        <v>0</v>
      </c>
      <c r="Q112" s="15" t="s">
        <v>50</v>
      </c>
      <c r="R112" s="14" t="s">
        <v>50</v>
      </c>
      <c r="S112" s="14" t="s">
        <v>50</v>
      </c>
      <c r="T112" s="5" t="s">
        <v>8758</v>
      </c>
    </row>
    <row r="113" spans="1:20" x14ac:dyDescent="0.25">
      <c r="A113" s="11">
        <v>42753</v>
      </c>
      <c r="B113" s="631" t="s">
        <v>8606</v>
      </c>
      <c r="C113" s="631">
        <v>38.087980000000002</v>
      </c>
      <c r="D113" s="631">
        <v>-121.57675999999999</v>
      </c>
      <c r="E113" s="631" t="s">
        <v>8759</v>
      </c>
      <c r="F113" s="631" t="s">
        <v>46</v>
      </c>
      <c r="G113" s="631" t="s">
        <v>8615</v>
      </c>
      <c r="H113" s="12">
        <v>0.39166666666666666</v>
      </c>
      <c r="I113" s="13">
        <v>55.52</v>
      </c>
      <c r="J113" s="14" t="s">
        <v>8608</v>
      </c>
      <c r="K113" s="14">
        <v>5</v>
      </c>
      <c r="L113" s="14" t="s">
        <v>8609</v>
      </c>
      <c r="M113" s="14" t="s">
        <v>8617</v>
      </c>
      <c r="N113" s="14" t="s">
        <v>50</v>
      </c>
      <c r="O113" s="14" t="s">
        <v>50</v>
      </c>
      <c r="P113" s="10">
        <v>0</v>
      </c>
      <c r="Q113" s="10" t="s">
        <v>50</v>
      </c>
      <c r="R113" s="14" t="s">
        <v>50</v>
      </c>
      <c r="S113" s="14" t="s">
        <v>50</v>
      </c>
    </row>
    <row r="114" spans="1:20" x14ac:dyDescent="0.25">
      <c r="A114" s="11">
        <v>42753</v>
      </c>
      <c r="B114" s="631" t="s">
        <v>8296</v>
      </c>
      <c r="C114" s="631">
        <v>38.024500000000003</v>
      </c>
      <c r="D114" s="631">
        <v>-121.69092000000001</v>
      </c>
      <c r="E114" s="16" t="s">
        <v>8760</v>
      </c>
      <c r="F114" s="631" t="s">
        <v>27</v>
      </c>
      <c r="G114" s="16" t="s">
        <v>863</v>
      </c>
      <c r="H114" s="12">
        <v>0.35555555555555557</v>
      </c>
      <c r="I114" s="13">
        <v>46.33</v>
      </c>
      <c r="J114" s="14" t="s">
        <v>8608</v>
      </c>
      <c r="K114" s="14">
        <v>3</v>
      </c>
      <c r="L114" s="14" t="s">
        <v>8625</v>
      </c>
      <c r="M114" s="14" t="s">
        <v>8610</v>
      </c>
      <c r="N114" s="14" t="s">
        <v>323</v>
      </c>
      <c r="O114" s="14" t="s">
        <v>228</v>
      </c>
      <c r="P114" s="10">
        <v>1</v>
      </c>
      <c r="Q114" s="10">
        <v>65</v>
      </c>
      <c r="R114" s="14" t="s">
        <v>50</v>
      </c>
      <c r="S114" s="14" t="s">
        <v>8613</v>
      </c>
    </row>
    <row r="115" spans="1:20" x14ac:dyDescent="0.25">
      <c r="A115" s="11">
        <v>42753</v>
      </c>
      <c r="B115" s="631" t="s">
        <v>8296</v>
      </c>
      <c r="C115" s="631">
        <v>38.032649999999997</v>
      </c>
      <c r="D115" s="631">
        <v>-121.7676</v>
      </c>
      <c r="E115" s="631" t="s">
        <v>8761</v>
      </c>
      <c r="F115" s="631" t="s">
        <v>27</v>
      </c>
      <c r="G115" s="631" t="s">
        <v>25</v>
      </c>
      <c r="H115" s="12">
        <v>0.40833333333333338</v>
      </c>
      <c r="I115" s="13">
        <v>101.12</v>
      </c>
      <c r="J115" s="14" t="s">
        <v>8608</v>
      </c>
      <c r="K115" s="14">
        <v>5</v>
      </c>
      <c r="L115" s="14" t="s">
        <v>8625</v>
      </c>
      <c r="M115" s="14" t="s">
        <v>8610</v>
      </c>
      <c r="N115" s="14" t="s">
        <v>5265</v>
      </c>
      <c r="O115" s="14" t="s">
        <v>2525</v>
      </c>
      <c r="P115" s="18">
        <v>1</v>
      </c>
      <c r="Q115" s="18">
        <v>163</v>
      </c>
      <c r="R115" s="14" t="s">
        <v>50</v>
      </c>
      <c r="S115" s="14" t="s">
        <v>50</v>
      </c>
    </row>
    <row r="116" spans="1:20" x14ac:dyDescent="0.25">
      <c r="A116" s="11">
        <v>42753</v>
      </c>
      <c r="B116" s="631" t="s">
        <v>8296</v>
      </c>
      <c r="C116" s="631">
        <v>38.061999999999998</v>
      </c>
      <c r="D116" s="631">
        <v>-121.84386000000001</v>
      </c>
      <c r="E116" s="631" t="s">
        <v>8762</v>
      </c>
      <c r="F116" s="631" t="s">
        <v>27</v>
      </c>
      <c r="G116" s="631" t="s">
        <v>25</v>
      </c>
      <c r="H116" s="12">
        <v>0.49027777777777781</v>
      </c>
      <c r="I116" s="13">
        <v>116.6</v>
      </c>
      <c r="J116" s="14" t="s">
        <v>8608</v>
      </c>
      <c r="K116" s="14">
        <v>5</v>
      </c>
      <c r="L116" s="14" t="s">
        <v>8625</v>
      </c>
      <c r="M116" s="14" t="s">
        <v>8610</v>
      </c>
      <c r="N116" s="14" t="s">
        <v>702</v>
      </c>
      <c r="O116" s="14" t="s">
        <v>228</v>
      </c>
      <c r="P116" s="10">
        <v>1</v>
      </c>
      <c r="Q116" s="10">
        <v>38</v>
      </c>
      <c r="R116" s="14" t="s">
        <v>50</v>
      </c>
      <c r="S116" s="14" t="s">
        <v>50</v>
      </c>
    </row>
    <row r="117" spans="1:20" x14ac:dyDescent="0.25">
      <c r="A117" s="11">
        <v>42753</v>
      </c>
      <c r="B117" s="631" t="s">
        <v>8296</v>
      </c>
      <c r="C117" s="631">
        <v>38.061999999999998</v>
      </c>
      <c r="D117" s="631">
        <v>-121.84386000000001</v>
      </c>
      <c r="E117" s="631" t="s">
        <v>8762</v>
      </c>
      <c r="F117" s="631" t="s">
        <v>27</v>
      </c>
      <c r="G117" s="631" t="s">
        <v>25</v>
      </c>
      <c r="H117" s="12"/>
      <c r="I117" s="13"/>
      <c r="J117" s="14"/>
      <c r="K117" s="14"/>
      <c r="L117" s="14"/>
      <c r="M117" s="14"/>
      <c r="N117" s="14" t="s">
        <v>5265</v>
      </c>
      <c r="O117" s="14" t="s">
        <v>2525</v>
      </c>
      <c r="P117" s="10">
        <v>1</v>
      </c>
      <c r="Q117" s="10">
        <v>181</v>
      </c>
      <c r="R117" s="14" t="s">
        <v>50</v>
      </c>
      <c r="S117" s="14" t="s">
        <v>50</v>
      </c>
    </row>
    <row r="118" spans="1:20" x14ac:dyDescent="0.25">
      <c r="A118" s="11">
        <v>42754</v>
      </c>
      <c r="B118" s="631" t="s">
        <v>8606</v>
      </c>
      <c r="C118" s="631" t="s">
        <v>50</v>
      </c>
      <c r="D118" s="631" t="s">
        <v>50</v>
      </c>
      <c r="E118" s="631" t="s">
        <v>8749</v>
      </c>
      <c r="F118" s="631" t="s">
        <v>46</v>
      </c>
      <c r="G118" s="631" t="s">
        <v>97</v>
      </c>
      <c r="H118" s="12">
        <v>0.3125</v>
      </c>
      <c r="I118" s="13" t="s">
        <v>50</v>
      </c>
      <c r="J118" s="14" t="s">
        <v>8608</v>
      </c>
      <c r="K118" s="14">
        <v>0</v>
      </c>
      <c r="L118" s="14" t="s">
        <v>50</v>
      </c>
      <c r="M118" s="14" t="s">
        <v>50</v>
      </c>
      <c r="N118" s="14" t="s">
        <v>50</v>
      </c>
      <c r="O118" s="14" t="s">
        <v>50</v>
      </c>
      <c r="P118" s="14">
        <v>0</v>
      </c>
      <c r="Q118" s="14" t="s">
        <v>50</v>
      </c>
      <c r="R118" s="14" t="s">
        <v>50</v>
      </c>
      <c r="S118" s="14" t="s">
        <v>50</v>
      </c>
      <c r="T118" s="5" t="s">
        <v>8758</v>
      </c>
    </row>
    <row r="119" spans="1:20" x14ac:dyDescent="0.25">
      <c r="A119" s="11">
        <v>42754</v>
      </c>
      <c r="B119" s="631" t="s">
        <v>8606</v>
      </c>
      <c r="C119" s="631">
        <v>38.102209999999999</v>
      </c>
      <c r="D119" s="631">
        <v>-121.60666000000001</v>
      </c>
      <c r="E119" s="631" t="s">
        <v>8763</v>
      </c>
      <c r="F119" s="631" t="s">
        <v>46</v>
      </c>
      <c r="G119" s="631" t="s">
        <v>97</v>
      </c>
      <c r="H119" s="12">
        <v>0.31597222222222221</v>
      </c>
      <c r="I119" s="13">
        <v>73.8</v>
      </c>
      <c r="J119" s="14" t="s">
        <v>8608</v>
      </c>
      <c r="K119" s="14">
        <v>5</v>
      </c>
      <c r="L119" s="14" t="s">
        <v>8609</v>
      </c>
      <c r="M119" s="14" t="s">
        <v>8617</v>
      </c>
      <c r="N119" s="14" t="s">
        <v>702</v>
      </c>
      <c r="O119" s="14" t="s">
        <v>228</v>
      </c>
      <c r="P119" s="18">
        <v>1</v>
      </c>
      <c r="Q119" s="18">
        <v>32</v>
      </c>
      <c r="R119" s="14">
        <v>1</v>
      </c>
      <c r="S119" s="14" t="s">
        <v>50</v>
      </c>
    </row>
    <row r="120" spans="1:20" x14ac:dyDescent="0.25">
      <c r="A120" s="11">
        <v>42754</v>
      </c>
      <c r="B120" s="631" t="s">
        <v>8606</v>
      </c>
      <c r="C120" s="631">
        <v>38.07611</v>
      </c>
      <c r="D120" s="631">
        <v>-121.68116999999999</v>
      </c>
      <c r="E120" s="631" t="s">
        <v>8764</v>
      </c>
      <c r="F120" s="631" t="s">
        <v>46</v>
      </c>
      <c r="G120" s="631" t="s">
        <v>97</v>
      </c>
      <c r="H120" s="12">
        <v>0.37916666666666665</v>
      </c>
      <c r="I120" s="13">
        <v>85.65</v>
      </c>
      <c r="J120" s="14" t="s">
        <v>8608</v>
      </c>
      <c r="K120" s="14">
        <v>5</v>
      </c>
      <c r="L120" s="14" t="s">
        <v>8609</v>
      </c>
      <c r="M120" s="14" t="s">
        <v>8617</v>
      </c>
      <c r="N120" s="14" t="s">
        <v>702</v>
      </c>
      <c r="O120" s="14" t="s">
        <v>228</v>
      </c>
      <c r="P120" s="18">
        <v>1</v>
      </c>
      <c r="Q120" s="18">
        <v>37</v>
      </c>
      <c r="R120" s="14">
        <v>2</v>
      </c>
      <c r="S120" s="14" t="s">
        <v>50</v>
      </c>
    </row>
    <row r="121" spans="1:20" x14ac:dyDescent="0.25">
      <c r="A121" s="11">
        <v>42754</v>
      </c>
      <c r="B121" s="631" t="s">
        <v>8606</v>
      </c>
      <c r="C121" s="631">
        <v>38.093989999999998</v>
      </c>
      <c r="D121" s="631">
        <v>-121.67628999999999</v>
      </c>
      <c r="E121" s="631" t="s">
        <v>8765</v>
      </c>
      <c r="F121" s="631" t="s">
        <v>46</v>
      </c>
      <c r="G121" s="631" t="s">
        <v>97</v>
      </c>
      <c r="H121" s="12">
        <v>0.43888888888888888</v>
      </c>
      <c r="I121" s="13">
        <v>99.26</v>
      </c>
      <c r="J121" s="14" t="s">
        <v>8608</v>
      </c>
      <c r="K121" s="14">
        <v>5</v>
      </c>
      <c r="L121" s="14" t="s">
        <v>8609</v>
      </c>
      <c r="M121" s="14" t="s">
        <v>8617</v>
      </c>
      <c r="N121" s="14" t="s">
        <v>702</v>
      </c>
      <c r="O121" s="14" t="s">
        <v>228</v>
      </c>
      <c r="P121" s="15">
        <v>3</v>
      </c>
      <c r="Q121" s="15" t="s">
        <v>8766</v>
      </c>
      <c r="R121" s="14">
        <v>2</v>
      </c>
      <c r="S121" s="14" t="s">
        <v>50</v>
      </c>
    </row>
    <row r="122" spans="1:20" x14ac:dyDescent="0.25">
      <c r="A122" s="11">
        <v>42754</v>
      </c>
      <c r="B122" s="631" t="s">
        <v>8296</v>
      </c>
      <c r="C122" s="631">
        <v>38.06174</v>
      </c>
      <c r="D122" s="631">
        <v>-121.78541</v>
      </c>
      <c r="E122" s="631" t="s">
        <v>8767</v>
      </c>
      <c r="F122" s="16" t="s">
        <v>27</v>
      </c>
      <c r="G122" s="631" t="s">
        <v>25</v>
      </c>
      <c r="H122" s="12">
        <v>0.34652777777777777</v>
      </c>
      <c r="I122" s="13" t="s">
        <v>50</v>
      </c>
      <c r="J122" s="14" t="s">
        <v>8608</v>
      </c>
      <c r="K122" s="14">
        <v>5</v>
      </c>
      <c r="L122" s="14" t="s">
        <v>8625</v>
      </c>
      <c r="M122" s="14" t="s">
        <v>8617</v>
      </c>
      <c r="N122" s="14" t="s">
        <v>50</v>
      </c>
      <c r="O122" s="14" t="s">
        <v>50</v>
      </c>
      <c r="P122" s="15">
        <v>0</v>
      </c>
      <c r="Q122" s="15" t="s">
        <v>50</v>
      </c>
      <c r="R122" s="14" t="s">
        <v>50</v>
      </c>
      <c r="S122" s="14" t="s">
        <v>50</v>
      </c>
      <c r="T122" s="5" t="s">
        <v>766</v>
      </c>
    </row>
    <row r="123" spans="1:20" x14ac:dyDescent="0.25">
      <c r="A123" s="11">
        <v>42754</v>
      </c>
      <c r="B123" s="631" t="s">
        <v>8296</v>
      </c>
      <c r="C123" s="631">
        <v>38.077280000000002</v>
      </c>
      <c r="D123" s="631">
        <v>-121.75689</v>
      </c>
      <c r="E123" s="631" t="s">
        <v>8768</v>
      </c>
      <c r="F123" s="16" t="s">
        <v>27</v>
      </c>
      <c r="G123" s="631" t="s">
        <v>25</v>
      </c>
      <c r="H123" s="12">
        <v>0.39513888888888887</v>
      </c>
      <c r="I123" s="13" t="s">
        <v>50</v>
      </c>
      <c r="J123" s="14" t="s">
        <v>8608</v>
      </c>
      <c r="K123" s="14">
        <v>5</v>
      </c>
      <c r="L123" s="14" t="s">
        <v>8625</v>
      </c>
      <c r="M123" s="14" t="s">
        <v>8610</v>
      </c>
      <c r="N123" s="14" t="s">
        <v>702</v>
      </c>
      <c r="O123" s="14" t="s">
        <v>228</v>
      </c>
      <c r="P123" s="18">
        <v>4</v>
      </c>
      <c r="Q123" s="18" t="s">
        <v>8769</v>
      </c>
      <c r="R123" s="14">
        <v>2</v>
      </c>
      <c r="S123" s="14" t="s">
        <v>50</v>
      </c>
      <c r="T123" s="5" t="s">
        <v>766</v>
      </c>
    </row>
    <row r="124" spans="1:20" x14ac:dyDescent="0.25">
      <c r="A124" s="11">
        <v>42754</v>
      </c>
      <c r="B124" s="631" t="s">
        <v>8296</v>
      </c>
      <c r="C124" s="631" t="s">
        <v>50</v>
      </c>
      <c r="D124" s="631" t="s">
        <v>50</v>
      </c>
      <c r="E124" s="631" t="s">
        <v>8770</v>
      </c>
      <c r="F124" s="16" t="s">
        <v>27</v>
      </c>
      <c r="G124" s="631" t="s">
        <v>86</v>
      </c>
      <c r="H124" s="12">
        <v>0.44930555555555557</v>
      </c>
      <c r="I124" s="13" t="s">
        <v>50</v>
      </c>
      <c r="J124" s="14" t="s">
        <v>8608</v>
      </c>
      <c r="K124" s="14">
        <v>0</v>
      </c>
      <c r="L124" s="14" t="s">
        <v>50</v>
      </c>
      <c r="M124" s="14" t="s">
        <v>50</v>
      </c>
      <c r="N124" s="14" t="s">
        <v>50</v>
      </c>
      <c r="O124" s="14" t="s">
        <v>50</v>
      </c>
      <c r="P124" s="18">
        <v>0</v>
      </c>
      <c r="Q124" s="18" t="s">
        <v>50</v>
      </c>
      <c r="R124" s="14" t="s">
        <v>50</v>
      </c>
      <c r="S124" s="14" t="s">
        <v>50</v>
      </c>
      <c r="T124" s="5" t="s">
        <v>8771</v>
      </c>
    </row>
    <row r="125" spans="1:20" x14ac:dyDescent="0.25">
      <c r="A125" s="11">
        <v>42754</v>
      </c>
      <c r="B125" s="631" t="s">
        <v>8296</v>
      </c>
      <c r="C125" s="631">
        <v>38.068390000000001</v>
      </c>
      <c r="D125" s="631">
        <v>-121.98632000000001</v>
      </c>
      <c r="E125" s="631" t="s">
        <v>8772</v>
      </c>
      <c r="F125" s="16" t="s">
        <v>27</v>
      </c>
      <c r="G125" s="631" t="s">
        <v>86</v>
      </c>
      <c r="H125" s="12">
        <v>0.45902777777777781</v>
      </c>
      <c r="I125" s="13" t="s">
        <v>50</v>
      </c>
      <c r="J125" s="14" t="s">
        <v>8608</v>
      </c>
      <c r="K125" s="14">
        <v>5</v>
      </c>
      <c r="L125" s="14" t="s">
        <v>8625</v>
      </c>
      <c r="M125" s="14" t="s">
        <v>8610</v>
      </c>
      <c r="N125" s="14" t="s">
        <v>50</v>
      </c>
      <c r="O125" s="14" t="s">
        <v>50</v>
      </c>
      <c r="P125" s="18">
        <v>0</v>
      </c>
      <c r="Q125" s="18" t="s">
        <v>50</v>
      </c>
      <c r="R125" s="14" t="s">
        <v>50</v>
      </c>
      <c r="S125" s="14" t="s">
        <v>50</v>
      </c>
      <c r="T125" s="5" t="s">
        <v>766</v>
      </c>
    </row>
    <row r="126" spans="1:20" x14ac:dyDescent="0.25">
      <c r="A126" s="11">
        <v>42758</v>
      </c>
      <c r="B126" s="631" t="s">
        <v>8606</v>
      </c>
      <c r="C126" s="631">
        <v>38.062429999999999</v>
      </c>
      <c r="D126" s="631">
        <v>-121.54255000000001</v>
      </c>
      <c r="E126" s="631" t="s">
        <v>8773</v>
      </c>
      <c r="F126" s="631" t="s">
        <v>46</v>
      </c>
      <c r="G126" s="631" t="s">
        <v>8615</v>
      </c>
      <c r="H126" s="12">
        <v>0.31666666666666665</v>
      </c>
      <c r="I126" s="13">
        <v>31.82</v>
      </c>
      <c r="J126" s="14" t="s">
        <v>8608</v>
      </c>
      <c r="K126" s="14">
        <v>5</v>
      </c>
      <c r="L126" s="14" t="s">
        <v>8609</v>
      </c>
      <c r="M126" s="14" t="s">
        <v>8617</v>
      </c>
      <c r="N126" s="14" t="s">
        <v>50</v>
      </c>
      <c r="O126" s="14" t="s">
        <v>50</v>
      </c>
      <c r="P126" s="18">
        <v>0</v>
      </c>
      <c r="Q126" s="18" t="s">
        <v>50</v>
      </c>
      <c r="R126" s="14" t="s">
        <v>50</v>
      </c>
      <c r="S126" s="14" t="s">
        <v>50</v>
      </c>
    </row>
    <row r="127" spans="1:20" x14ac:dyDescent="0.25">
      <c r="A127" s="11">
        <v>42758</v>
      </c>
      <c r="B127" s="631" t="s">
        <v>8606</v>
      </c>
      <c r="C127" s="631">
        <v>38.072839999999999</v>
      </c>
      <c r="D127" s="631">
        <v>-121.55016000000001</v>
      </c>
      <c r="E127" s="631" t="s">
        <v>8774</v>
      </c>
      <c r="F127" s="631" t="s">
        <v>46</v>
      </c>
      <c r="G127" s="631" t="s">
        <v>8615</v>
      </c>
      <c r="H127" s="12">
        <v>0.38541666666666669</v>
      </c>
      <c r="I127" s="13">
        <v>36.68</v>
      </c>
      <c r="J127" s="14" t="s">
        <v>8608</v>
      </c>
      <c r="K127" s="14">
        <v>5</v>
      </c>
      <c r="L127" s="14" t="s">
        <v>8609</v>
      </c>
      <c r="M127" s="14" t="s">
        <v>8617</v>
      </c>
      <c r="N127" s="14" t="s">
        <v>50</v>
      </c>
      <c r="O127" s="14" t="s">
        <v>50</v>
      </c>
      <c r="P127" s="15">
        <v>0</v>
      </c>
      <c r="Q127" s="15" t="s">
        <v>50</v>
      </c>
      <c r="R127" s="14" t="s">
        <v>50</v>
      </c>
      <c r="S127" s="14" t="s">
        <v>50</v>
      </c>
    </row>
    <row r="128" spans="1:20" x14ac:dyDescent="0.25">
      <c r="A128" s="11">
        <v>42758</v>
      </c>
      <c r="B128" s="631" t="s">
        <v>8296</v>
      </c>
      <c r="C128" s="631">
        <v>38.27993</v>
      </c>
      <c r="D128" s="631">
        <v>-121.71290999999999</v>
      </c>
      <c r="E128" s="631" t="s">
        <v>8775</v>
      </c>
      <c r="F128" s="631" t="s">
        <v>90</v>
      </c>
      <c r="G128" s="631" t="s">
        <v>126</v>
      </c>
      <c r="H128" s="12">
        <v>0.37361111111111112</v>
      </c>
      <c r="I128" s="13">
        <v>425.4</v>
      </c>
      <c r="J128" s="14" t="s">
        <v>8608</v>
      </c>
      <c r="K128" s="14">
        <v>5</v>
      </c>
      <c r="L128" s="14" t="s">
        <v>8625</v>
      </c>
      <c r="M128" s="14" t="s">
        <v>8617</v>
      </c>
      <c r="N128" s="14" t="s">
        <v>50</v>
      </c>
      <c r="O128" s="14" t="s">
        <v>50</v>
      </c>
      <c r="P128" s="10">
        <v>0</v>
      </c>
      <c r="Q128" s="10" t="s">
        <v>50</v>
      </c>
      <c r="R128" s="14" t="s">
        <v>50</v>
      </c>
      <c r="S128" s="14" t="s">
        <v>50</v>
      </c>
    </row>
    <row r="129" spans="1:20" x14ac:dyDescent="0.25">
      <c r="A129" s="11">
        <v>42758</v>
      </c>
      <c r="B129" s="631" t="s">
        <v>8296</v>
      </c>
      <c r="C129" s="631">
        <v>38.020980000000002</v>
      </c>
      <c r="D129" s="631">
        <v>-121.78209</v>
      </c>
      <c r="E129" s="16" t="s">
        <v>8776</v>
      </c>
      <c r="F129" s="631" t="s">
        <v>27</v>
      </c>
      <c r="G129" s="16" t="s">
        <v>863</v>
      </c>
      <c r="H129" s="12">
        <v>0.45555555555555555</v>
      </c>
      <c r="I129" s="13">
        <v>96.42</v>
      </c>
      <c r="J129" s="14" t="s">
        <v>8608</v>
      </c>
      <c r="K129" s="14">
        <v>5</v>
      </c>
      <c r="L129" s="14" t="s">
        <v>8625</v>
      </c>
      <c r="M129" s="14" t="s">
        <v>8617</v>
      </c>
      <c r="N129" s="14" t="s">
        <v>50</v>
      </c>
      <c r="O129" s="14" t="s">
        <v>50</v>
      </c>
      <c r="P129" s="18">
        <v>0</v>
      </c>
      <c r="Q129" s="18" t="s">
        <v>50</v>
      </c>
      <c r="R129" s="14" t="s">
        <v>50</v>
      </c>
      <c r="S129" s="14" t="s">
        <v>50</v>
      </c>
    </row>
    <row r="130" spans="1:20" x14ac:dyDescent="0.25">
      <c r="A130" s="11">
        <v>42758</v>
      </c>
      <c r="B130" s="631" t="s">
        <v>8296</v>
      </c>
      <c r="C130" s="631">
        <v>38.042470000000002</v>
      </c>
      <c r="D130" s="631">
        <v>-121.89689</v>
      </c>
      <c r="E130" s="631" t="s">
        <v>8777</v>
      </c>
      <c r="F130" s="631" t="s">
        <v>27</v>
      </c>
      <c r="G130" s="631" t="s">
        <v>170</v>
      </c>
      <c r="H130" s="12">
        <v>0.50694444444444442</v>
      </c>
      <c r="I130" s="13">
        <v>89.58</v>
      </c>
      <c r="J130" s="14" t="s">
        <v>8608</v>
      </c>
      <c r="K130" s="14">
        <v>5</v>
      </c>
      <c r="L130" s="14" t="s">
        <v>8625</v>
      </c>
      <c r="M130" s="14" t="s">
        <v>8617</v>
      </c>
      <c r="N130" s="14" t="s">
        <v>50</v>
      </c>
      <c r="O130" s="14" t="s">
        <v>50</v>
      </c>
      <c r="P130" s="18">
        <v>0</v>
      </c>
      <c r="Q130" s="18" t="s">
        <v>50</v>
      </c>
      <c r="R130" s="14" t="s">
        <v>50</v>
      </c>
      <c r="S130" s="14" t="s">
        <v>50</v>
      </c>
    </row>
    <row r="131" spans="1:20" x14ac:dyDescent="0.25">
      <c r="A131" s="11">
        <v>42759</v>
      </c>
      <c r="B131" s="631" t="s">
        <v>8296</v>
      </c>
      <c r="C131" s="631">
        <v>38.08296</v>
      </c>
      <c r="D131" s="631">
        <v>-121.9944</v>
      </c>
      <c r="E131" s="631" t="s">
        <v>8778</v>
      </c>
      <c r="F131" s="631" t="s">
        <v>27</v>
      </c>
      <c r="G131" s="631" t="s">
        <v>86</v>
      </c>
      <c r="H131" s="12">
        <v>0.34861111111111115</v>
      </c>
      <c r="I131" s="13">
        <v>133.5</v>
      </c>
      <c r="J131" s="14" t="s">
        <v>8608</v>
      </c>
      <c r="K131" s="14">
        <v>4</v>
      </c>
      <c r="L131" s="14" t="s">
        <v>8625</v>
      </c>
      <c r="M131" s="14" t="s">
        <v>8610</v>
      </c>
      <c r="N131" s="14" t="s">
        <v>323</v>
      </c>
      <c r="O131" s="14" t="s">
        <v>228</v>
      </c>
      <c r="P131" s="18">
        <v>1</v>
      </c>
      <c r="Q131" s="18">
        <v>67</v>
      </c>
      <c r="R131" s="14" t="s">
        <v>50</v>
      </c>
      <c r="S131" s="14" t="s">
        <v>8613</v>
      </c>
    </row>
    <row r="132" spans="1:20" x14ac:dyDescent="0.25">
      <c r="A132" s="11">
        <v>42759</v>
      </c>
      <c r="B132" s="631" t="s">
        <v>8296</v>
      </c>
      <c r="C132" s="631">
        <v>38.08296</v>
      </c>
      <c r="D132" s="631">
        <v>-121.9944</v>
      </c>
      <c r="E132" s="631" t="s">
        <v>8778</v>
      </c>
      <c r="F132" s="631" t="s">
        <v>27</v>
      </c>
      <c r="G132" s="631" t="s">
        <v>86</v>
      </c>
      <c r="H132" s="12"/>
      <c r="I132" s="13"/>
      <c r="J132" s="14"/>
      <c r="K132" s="14"/>
      <c r="L132" s="14"/>
      <c r="M132" s="14"/>
      <c r="N132" s="14" t="s">
        <v>702</v>
      </c>
      <c r="O132" s="14" t="s">
        <v>228</v>
      </c>
      <c r="P132" s="10">
        <v>3</v>
      </c>
      <c r="Q132" s="10" t="s">
        <v>8779</v>
      </c>
      <c r="R132" s="14">
        <v>2</v>
      </c>
      <c r="S132" s="14" t="s">
        <v>50</v>
      </c>
    </row>
    <row r="133" spans="1:20" x14ac:dyDescent="0.25">
      <c r="A133" s="11">
        <v>42759</v>
      </c>
      <c r="B133" s="631" t="s">
        <v>8296</v>
      </c>
      <c r="C133" s="631">
        <v>38.047890000000002</v>
      </c>
      <c r="D133" s="631">
        <v>-121.93053</v>
      </c>
      <c r="E133" s="631" t="s">
        <v>8780</v>
      </c>
      <c r="F133" s="631" t="s">
        <v>27</v>
      </c>
      <c r="G133" s="631" t="s">
        <v>170</v>
      </c>
      <c r="H133" s="12">
        <v>0.3972222222222222</v>
      </c>
      <c r="I133" s="13">
        <v>140.80000000000001</v>
      </c>
      <c r="J133" s="14" t="s">
        <v>8608</v>
      </c>
      <c r="K133" s="14">
        <v>5</v>
      </c>
      <c r="L133" s="14" t="s">
        <v>8625</v>
      </c>
      <c r="M133" s="14" t="s">
        <v>8610</v>
      </c>
      <c r="N133" s="14" t="s">
        <v>323</v>
      </c>
      <c r="O133" s="14" t="s">
        <v>228</v>
      </c>
      <c r="P133" s="14">
        <v>8</v>
      </c>
      <c r="Q133" s="14" t="s">
        <v>8781</v>
      </c>
      <c r="R133" s="14" t="s">
        <v>50</v>
      </c>
      <c r="S133" s="14" t="s">
        <v>8613</v>
      </c>
      <c r="T133" s="5" t="s">
        <v>8782</v>
      </c>
    </row>
    <row r="134" spans="1:20" x14ac:dyDescent="0.25">
      <c r="A134" s="11">
        <v>42759</v>
      </c>
      <c r="B134" s="631" t="s">
        <v>8296</v>
      </c>
      <c r="C134" s="631">
        <v>38.047890000000002</v>
      </c>
      <c r="D134" s="631">
        <v>-121.93053</v>
      </c>
      <c r="E134" s="631" t="s">
        <v>8780</v>
      </c>
      <c r="F134" s="631" t="s">
        <v>27</v>
      </c>
      <c r="G134" s="631" t="s">
        <v>170</v>
      </c>
      <c r="H134" s="12"/>
      <c r="I134" s="13"/>
      <c r="J134" s="14"/>
      <c r="K134" s="14"/>
      <c r="L134" s="14"/>
      <c r="M134" s="14"/>
      <c r="N134" s="14" t="s">
        <v>702</v>
      </c>
      <c r="O134" s="14" t="s">
        <v>228</v>
      </c>
      <c r="P134" s="18">
        <v>1</v>
      </c>
      <c r="Q134" s="18">
        <v>40</v>
      </c>
      <c r="R134" s="14">
        <v>2</v>
      </c>
      <c r="S134" s="14" t="s">
        <v>50</v>
      </c>
    </row>
    <row r="135" spans="1:20" x14ac:dyDescent="0.25">
      <c r="A135" s="11">
        <v>42759</v>
      </c>
      <c r="B135" s="631" t="s">
        <v>8296</v>
      </c>
      <c r="C135" s="631">
        <v>38.128889999999998</v>
      </c>
      <c r="D135" s="631">
        <v>-121.69177999999999</v>
      </c>
      <c r="E135" s="631" t="s">
        <v>8783</v>
      </c>
      <c r="F135" s="631" t="s">
        <v>90</v>
      </c>
      <c r="G135" s="631" t="s">
        <v>91</v>
      </c>
      <c r="H135" s="12">
        <v>0.48333333333333334</v>
      </c>
      <c r="I135" s="13">
        <v>119.8</v>
      </c>
      <c r="J135" s="14" t="s">
        <v>8608</v>
      </c>
      <c r="K135" s="14">
        <v>5</v>
      </c>
      <c r="L135" s="14" t="s">
        <v>8625</v>
      </c>
      <c r="M135" s="14" t="s">
        <v>8610</v>
      </c>
      <c r="N135" s="14" t="s">
        <v>702</v>
      </c>
      <c r="O135" s="14" t="s">
        <v>228</v>
      </c>
      <c r="P135" s="18">
        <v>1</v>
      </c>
      <c r="Q135" s="18">
        <v>42</v>
      </c>
      <c r="R135" s="14">
        <v>2</v>
      </c>
      <c r="S135" s="14" t="s">
        <v>50</v>
      </c>
    </row>
    <row r="136" spans="1:20" x14ac:dyDescent="0.25">
      <c r="A136" s="11">
        <v>42759</v>
      </c>
      <c r="B136" s="631" t="s">
        <v>8606</v>
      </c>
      <c r="C136" s="631">
        <v>38.063119999999998</v>
      </c>
      <c r="D136" s="631">
        <v>-121.68275</v>
      </c>
      <c r="E136" s="631" t="s">
        <v>8784</v>
      </c>
      <c r="F136" s="631" t="s">
        <v>46</v>
      </c>
      <c r="G136" s="631" t="s">
        <v>97</v>
      </c>
      <c r="H136" s="12">
        <v>0.32500000000000001</v>
      </c>
      <c r="I136" s="13">
        <v>59.26</v>
      </c>
      <c r="J136" s="14" t="s">
        <v>8608</v>
      </c>
      <c r="K136" s="14">
        <v>5</v>
      </c>
      <c r="L136" s="14" t="s">
        <v>8609</v>
      </c>
      <c r="M136" s="14" t="s">
        <v>8610</v>
      </c>
      <c r="N136" s="14" t="s">
        <v>31</v>
      </c>
      <c r="O136" s="14" t="s">
        <v>228</v>
      </c>
      <c r="P136" s="18">
        <v>1</v>
      </c>
      <c r="Q136" s="18">
        <v>94</v>
      </c>
      <c r="R136" s="14" t="s">
        <v>50</v>
      </c>
      <c r="S136" s="14" t="s">
        <v>8613</v>
      </c>
    </row>
    <row r="137" spans="1:20" x14ac:dyDescent="0.25">
      <c r="A137" s="11">
        <v>42759</v>
      </c>
      <c r="B137" s="631" t="s">
        <v>8606</v>
      </c>
      <c r="C137" s="631">
        <v>38.063119999999998</v>
      </c>
      <c r="D137" s="631">
        <v>-121.68275</v>
      </c>
      <c r="E137" s="631" t="s">
        <v>8784</v>
      </c>
      <c r="F137" s="631" t="s">
        <v>46</v>
      </c>
      <c r="G137" s="631" t="s">
        <v>97</v>
      </c>
      <c r="H137" s="12"/>
      <c r="I137" s="13"/>
      <c r="J137" s="14"/>
      <c r="K137" s="14"/>
      <c r="L137" s="14"/>
      <c r="M137" s="14"/>
      <c r="N137" s="14" t="s">
        <v>702</v>
      </c>
      <c r="O137" s="14" t="s">
        <v>228</v>
      </c>
      <c r="P137" s="18">
        <v>1</v>
      </c>
      <c r="Q137" s="18">
        <v>38</v>
      </c>
      <c r="R137" s="14">
        <v>2</v>
      </c>
      <c r="S137" s="14" t="s">
        <v>50</v>
      </c>
    </row>
    <row r="138" spans="1:20" x14ac:dyDescent="0.25">
      <c r="A138" s="11">
        <v>42759</v>
      </c>
      <c r="B138" s="631" t="s">
        <v>8606</v>
      </c>
      <c r="C138" s="631">
        <v>38.070180000000001</v>
      </c>
      <c r="D138" s="631">
        <v>-121.67966</v>
      </c>
      <c r="E138" s="631" t="s">
        <v>8785</v>
      </c>
      <c r="F138" s="631" t="s">
        <v>46</v>
      </c>
      <c r="G138" s="631" t="s">
        <v>97</v>
      </c>
      <c r="H138" s="12">
        <v>0.38055555555555554</v>
      </c>
      <c r="I138" s="13">
        <v>50.45</v>
      </c>
      <c r="J138" s="14" t="s">
        <v>8608</v>
      </c>
      <c r="K138" s="14">
        <v>2</v>
      </c>
      <c r="L138" s="14" t="s">
        <v>8609</v>
      </c>
      <c r="M138" s="14" t="s">
        <v>8610</v>
      </c>
      <c r="N138" s="14" t="s">
        <v>323</v>
      </c>
      <c r="O138" s="14" t="s">
        <v>228</v>
      </c>
      <c r="P138" s="18">
        <v>1</v>
      </c>
      <c r="Q138" s="18">
        <v>71</v>
      </c>
      <c r="R138" s="14" t="s">
        <v>50</v>
      </c>
      <c r="S138" s="14" t="s">
        <v>8613</v>
      </c>
    </row>
    <row r="139" spans="1:20" x14ac:dyDescent="0.25">
      <c r="A139" s="11">
        <v>42759</v>
      </c>
      <c r="B139" s="631" t="s">
        <v>8606</v>
      </c>
      <c r="C139" s="631">
        <v>38.101840000000003</v>
      </c>
      <c r="D139" s="631">
        <v>-121.59496</v>
      </c>
      <c r="E139" s="631" t="s">
        <v>8786</v>
      </c>
      <c r="F139" s="631" t="s">
        <v>46</v>
      </c>
      <c r="G139" s="631" t="s">
        <v>8615</v>
      </c>
      <c r="H139" s="12">
        <v>0.4152777777777778</v>
      </c>
      <c r="I139" s="13">
        <v>57.24</v>
      </c>
      <c r="J139" s="14" t="s">
        <v>8608</v>
      </c>
      <c r="K139" s="14">
        <v>5</v>
      </c>
      <c r="L139" s="14" t="s">
        <v>8609</v>
      </c>
      <c r="M139" s="14" t="s">
        <v>8617</v>
      </c>
      <c r="N139" s="14" t="s">
        <v>702</v>
      </c>
      <c r="O139" s="14" t="s">
        <v>228</v>
      </c>
      <c r="P139" s="18">
        <v>1</v>
      </c>
      <c r="Q139" s="18">
        <v>38</v>
      </c>
      <c r="R139" s="14">
        <v>2</v>
      </c>
      <c r="S139" s="14" t="s">
        <v>50</v>
      </c>
    </row>
    <row r="140" spans="1:20" x14ac:dyDescent="0.25">
      <c r="A140" s="11">
        <v>42759</v>
      </c>
      <c r="B140" s="631" t="s">
        <v>8606</v>
      </c>
      <c r="C140" s="631">
        <v>38.101840000000003</v>
      </c>
      <c r="D140" s="631">
        <v>-121.59496</v>
      </c>
      <c r="E140" s="631" t="s">
        <v>8786</v>
      </c>
      <c r="F140" s="631" t="s">
        <v>46</v>
      </c>
      <c r="G140" s="631" t="s">
        <v>8615</v>
      </c>
      <c r="H140" s="12"/>
      <c r="I140" s="13"/>
      <c r="J140" s="14"/>
      <c r="K140" s="14"/>
      <c r="L140" s="14"/>
      <c r="M140" s="14"/>
      <c r="N140" s="14" t="s">
        <v>323</v>
      </c>
      <c r="O140" s="14" t="s">
        <v>228</v>
      </c>
      <c r="P140" s="14">
        <v>1</v>
      </c>
      <c r="Q140" s="14">
        <v>68</v>
      </c>
      <c r="R140" s="14" t="s">
        <v>50</v>
      </c>
      <c r="S140" s="14" t="s">
        <v>8613</v>
      </c>
    </row>
    <row r="141" spans="1:20" x14ac:dyDescent="0.25">
      <c r="A141" s="11">
        <v>42759</v>
      </c>
      <c r="B141" s="631" t="s">
        <v>8606</v>
      </c>
      <c r="C141" s="631">
        <v>38.091610000000003</v>
      </c>
      <c r="D141" s="631">
        <v>-121.57313000000001</v>
      </c>
      <c r="E141" s="631" t="s">
        <v>8787</v>
      </c>
      <c r="F141" s="631" t="s">
        <v>46</v>
      </c>
      <c r="G141" s="631" t="s">
        <v>8615</v>
      </c>
      <c r="H141" s="12">
        <v>0.4861111111111111</v>
      </c>
      <c r="I141" s="13">
        <v>58.78</v>
      </c>
      <c r="J141" s="14" t="s">
        <v>8608</v>
      </c>
      <c r="K141" s="14">
        <v>5</v>
      </c>
      <c r="L141" s="14" t="s">
        <v>8609</v>
      </c>
      <c r="M141" s="14" t="s">
        <v>8617</v>
      </c>
      <c r="N141" s="14" t="s">
        <v>702</v>
      </c>
      <c r="O141" s="14" t="s">
        <v>228</v>
      </c>
      <c r="P141" s="14">
        <v>2</v>
      </c>
      <c r="Q141" s="14" t="s">
        <v>8769</v>
      </c>
      <c r="R141" s="14">
        <v>2</v>
      </c>
      <c r="S141" s="14" t="s">
        <v>50</v>
      </c>
    </row>
    <row r="142" spans="1:20" x14ac:dyDescent="0.25">
      <c r="A142" s="11">
        <v>42759</v>
      </c>
      <c r="B142" s="631" t="s">
        <v>8606</v>
      </c>
      <c r="C142" s="631">
        <v>38.091610000000003</v>
      </c>
      <c r="D142" s="631">
        <v>-121.57313000000001</v>
      </c>
      <c r="E142" s="631" t="s">
        <v>8787</v>
      </c>
      <c r="F142" s="631" t="s">
        <v>46</v>
      </c>
      <c r="G142" s="631" t="s">
        <v>8615</v>
      </c>
      <c r="H142" s="12"/>
      <c r="I142" s="13"/>
      <c r="J142" s="14"/>
      <c r="K142" s="14"/>
      <c r="L142" s="14"/>
      <c r="M142" s="14"/>
      <c r="N142" s="14" t="s">
        <v>323</v>
      </c>
      <c r="O142" s="14" t="s">
        <v>228</v>
      </c>
      <c r="P142" s="14">
        <v>1</v>
      </c>
      <c r="Q142" s="14">
        <v>75</v>
      </c>
      <c r="R142" s="14" t="s">
        <v>50</v>
      </c>
      <c r="S142" s="14" t="s">
        <v>8613</v>
      </c>
    </row>
    <row r="143" spans="1:20" x14ac:dyDescent="0.25">
      <c r="A143" s="11">
        <v>42760</v>
      </c>
      <c r="B143" s="631" t="s">
        <v>8606</v>
      </c>
      <c r="C143" s="631">
        <v>38.081389999999999</v>
      </c>
      <c r="D143" s="631">
        <v>-121.68125000000001</v>
      </c>
      <c r="E143" s="631" t="s">
        <v>8788</v>
      </c>
      <c r="F143" s="631" t="s">
        <v>46</v>
      </c>
      <c r="G143" s="631" t="s">
        <v>97</v>
      </c>
      <c r="H143" s="12">
        <v>0.32569444444444445</v>
      </c>
      <c r="I143" s="13">
        <v>69.08</v>
      </c>
      <c r="J143" s="14" t="s">
        <v>8608</v>
      </c>
      <c r="K143" s="14">
        <v>5</v>
      </c>
      <c r="L143" s="14" t="s">
        <v>8609</v>
      </c>
      <c r="M143" s="14" t="s">
        <v>8610</v>
      </c>
      <c r="N143" s="14" t="s">
        <v>702</v>
      </c>
      <c r="O143" s="14" t="s">
        <v>228</v>
      </c>
      <c r="P143" s="18">
        <v>1</v>
      </c>
      <c r="Q143" s="18">
        <v>38</v>
      </c>
      <c r="R143" s="14">
        <v>2</v>
      </c>
      <c r="S143" s="14" t="s">
        <v>50</v>
      </c>
    </row>
    <row r="144" spans="1:20" x14ac:dyDescent="0.25">
      <c r="A144" s="11">
        <v>42760</v>
      </c>
      <c r="B144" s="631" t="s">
        <v>8606</v>
      </c>
      <c r="C144" s="631">
        <v>38.085239999999999</v>
      </c>
      <c r="D144" s="631">
        <v>-121.56867</v>
      </c>
      <c r="E144" s="631" t="s">
        <v>8789</v>
      </c>
      <c r="F144" s="631" t="s">
        <v>46</v>
      </c>
      <c r="G144" s="631" t="s">
        <v>8615</v>
      </c>
      <c r="H144" s="12">
        <v>0.3923611111111111</v>
      </c>
      <c r="I144" s="13">
        <v>72.28</v>
      </c>
      <c r="J144" s="14" t="s">
        <v>8608</v>
      </c>
      <c r="K144" s="14">
        <v>5</v>
      </c>
      <c r="L144" s="14" t="s">
        <v>8609</v>
      </c>
      <c r="M144" s="14" t="s">
        <v>8610</v>
      </c>
      <c r="N144" s="14" t="s">
        <v>50</v>
      </c>
      <c r="O144" s="14" t="s">
        <v>50</v>
      </c>
      <c r="P144" s="18">
        <v>0</v>
      </c>
      <c r="Q144" s="18" t="s">
        <v>50</v>
      </c>
      <c r="R144" s="14" t="s">
        <v>50</v>
      </c>
      <c r="S144" s="14" t="s">
        <v>50</v>
      </c>
      <c r="T144" s="5" t="s">
        <v>8790</v>
      </c>
    </row>
    <row r="145" spans="1:20" x14ac:dyDescent="0.25">
      <c r="A145" s="11">
        <v>42760</v>
      </c>
      <c r="B145" s="631" t="s">
        <v>8606</v>
      </c>
      <c r="C145" s="631">
        <v>38.0458</v>
      </c>
      <c r="D145" s="631">
        <v>-121.504</v>
      </c>
      <c r="E145" s="631" t="s">
        <v>8791</v>
      </c>
      <c r="F145" s="631" t="s">
        <v>46</v>
      </c>
      <c r="G145" s="631" t="s">
        <v>8615</v>
      </c>
      <c r="H145" s="12">
        <v>0.46111111111111108</v>
      </c>
      <c r="I145" s="13">
        <v>83.68</v>
      </c>
      <c r="J145" s="14" t="s">
        <v>8608</v>
      </c>
      <c r="K145" s="14">
        <v>5</v>
      </c>
      <c r="L145" s="14" t="s">
        <v>8609</v>
      </c>
      <c r="M145" s="14" t="s">
        <v>8617</v>
      </c>
      <c r="N145" s="14" t="s">
        <v>50</v>
      </c>
      <c r="O145" s="14" t="s">
        <v>50</v>
      </c>
      <c r="P145" s="18">
        <v>0</v>
      </c>
      <c r="Q145" s="18" t="s">
        <v>50</v>
      </c>
      <c r="R145" s="14" t="s">
        <v>50</v>
      </c>
      <c r="S145" s="14" t="s">
        <v>50</v>
      </c>
    </row>
    <row r="146" spans="1:20" x14ac:dyDescent="0.25">
      <c r="A146" s="11">
        <v>42760</v>
      </c>
      <c r="B146" s="631" t="s">
        <v>8296</v>
      </c>
      <c r="C146" s="631">
        <v>38.070619999999998</v>
      </c>
      <c r="D146" s="631">
        <v>-122.01982</v>
      </c>
      <c r="E146" s="631" t="s">
        <v>8792</v>
      </c>
      <c r="F146" s="631" t="s">
        <v>27</v>
      </c>
      <c r="G146" s="631" t="s">
        <v>86</v>
      </c>
      <c r="H146" s="12">
        <v>0.33819444444444446</v>
      </c>
      <c r="I146" s="13">
        <v>123.4</v>
      </c>
      <c r="J146" s="14" t="s">
        <v>8608</v>
      </c>
      <c r="K146" s="14">
        <v>5</v>
      </c>
      <c r="L146" s="14" t="s">
        <v>8625</v>
      </c>
      <c r="M146" s="14" t="s">
        <v>8610</v>
      </c>
      <c r="N146" s="14" t="s">
        <v>50</v>
      </c>
      <c r="O146" s="14" t="s">
        <v>50</v>
      </c>
      <c r="P146" s="18">
        <v>0</v>
      </c>
      <c r="Q146" s="18" t="s">
        <v>50</v>
      </c>
      <c r="R146" s="14" t="s">
        <v>50</v>
      </c>
      <c r="S146" s="14" t="s">
        <v>50</v>
      </c>
    </row>
    <row r="147" spans="1:20" x14ac:dyDescent="0.25">
      <c r="A147" s="11">
        <v>42760</v>
      </c>
      <c r="B147" s="631" t="s">
        <v>8296</v>
      </c>
      <c r="C147" s="631">
        <v>38.083100000000002</v>
      </c>
      <c r="D147" s="631">
        <v>-122.05571</v>
      </c>
      <c r="E147" s="631" t="s">
        <v>8793</v>
      </c>
      <c r="F147" s="631" t="s">
        <v>27</v>
      </c>
      <c r="G147" s="631" t="s">
        <v>86</v>
      </c>
      <c r="H147" s="12">
        <v>0.38472222222222219</v>
      </c>
      <c r="I147" s="13">
        <v>127</v>
      </c>
      <c r="J147" s="14" t="s">
        <v>8608</v>
      </c>
      <c r="K147" s="14">
        <v>5</v>
      </c>
      <c r="L147" s="14" t="s">
        <v>8625</v>
      </c>
      <c r="M147" s="14" t="s">
        <v>8610</v>
      </c>
      <c r="N147" s="14" t="s">
        <v>50</v>
      </c>
      <c r="O147" s="14" t="s">
        <v>50</v>
      </c>
      <c r="P147" s="18">
        <v>0</v>
      </c>
      <c r="Q147" s="18" t="s">
        <v>50</v>
      </c>
      <c r="R147" s="14" t="s">
        <v>50</v>
      </c>
      <c r="S147" s="14" t="s">
        <v>50</v>
      </c>
    </row>
    <row r="148" spans="1:20" x14ac:dyDescent="0.25">
      <c r="A148" s="11">
        <v>42760</v>
      </c>
      <c r="B148" s="631" t="s">
        <v>8296</v>
      </c>
      <c r="C148" s="631">
        <v>38.367139999999999</v>
      </c>
      <c r="D148" s="631">
        <v>-121.63303000000001</v>
      </c>
      <c r="E148" s="631" t="s">
        <v>8794</v>
      </c>
      <c r="F148" s="631" t="s">
        <v>90</v>
      </c>
      <c r="G148" s="631" t="s">
        <v>126</v>
      </c>
      <c r="H148" s="12">
        <v>0.48472222222222222</v>
      </c>
      <c r="I148" s="13">
        <v>29.82</v>
      </c>
      <c r="J148" s="14" t="s">
        <v>8608</v>
      </c>
      <c r="K148" s="14">
        <v>5</v>
      </c>
      <c r="L148" s="14" t="s">
        <v>8625</v>
      </c>
      <c r="M148" s="14" t="s">
        <v>8617</v>
      </c>
      <c r="N148" s="14" t="s">
        <v>50</v>
      </c>
      <c r="O148" s="14" t="s">
        <v>50</v>
      </c>
      <c r="P148" s="18">
        <v>0</v>
      </c>
      <c r="Q148" s="18" t="s">
        <v>50</v>
      </c>
      <c r="R148" s="14" t="s">
        <v>50</v>
      </c>
      <c r="S148" s="14" t="s">
        <v>50</v>
      </c>
    </row>
    <row r="149" spans="1:20" x14ac:dyDescent="0.25">
      <c r="A149" s="11">
        <v>42761</v>
      </c>
      <c r="B149" s="631" t="s">
        <v>8606</v>
      </c>
      <c r="C149" s="631">
        <v>38.047829999999998</v>
      </c>
      <c r="D149" s="631">
        <v>-121.53377</v>
      </c>
      <c r="E149" s="631" t="s">
        <v>8795</v>
      </c>
      <c r="F149" s="631" t="s">
        <v>46</v>
      </c>
      <c r="G149" s="631" t="s">
        <v>8615</v>
      </c>
      <c r="H149" s="12">
        <v>0.31319444444444444</v>
      </c>
      <c r="I149" s="13">
        <v>42.5</v>
      </c>
      <c r="J149" s="14" t="s">
        <v>8608</v>
      </c>
      <c r="K149" s="14">
        <v>5</v>
      </c>
      <c r="L149" s="14" t="s">
        <v>8609</v>
      </c>
      <c r="M149" s="14" t="s">
        <v>8617</v>
      </c>
      <c r="N149" s="14" t="s">
        <v>702</v>
      </c>
      <c r="O149" s="14" t="s">
        <v>228</v>
      </c>
      <c r="P149" s="18">
        <v>1</v>
      </c>
      <c r="Q149" s="18">
        <v>39</v>
      </c>
      <c r="R149" s="14">
        <v>2</v>
      </c>
      <c r="S149" s="14" t="s">
        <v>50</v>
      </c>
    </row>
    <row r="150" spans="1:20" x14ac:dyDescent="0.25">
      <c r="A150" s="11">
        <v>42761</v>
      </c>
      <c r="B150" s="631" t="s">
        <v>8606</v>
      </c>
      <c r="C150" s="631">
        <v>38.048819999999999</v>
      </c>
      <c r="D150" s="631">
        <v>-121.49630999999999</v>
      </c>
      <c r="E150" s="631" t="s">
        <v>8796</v>
      </c>
      <c r="F150" s="631" t="s">
        <v>46</v>
      </c>
      <c r="G150" s="631" t="s">
        <v>8615</v>
      </c>
      <c r="H150" s="12">
        <v>0.38750000000000001</v>
      </c>
      <c r="I150" s="13" t="s">
        <v>50</v>
      </c>
      <c r="J150" s="14" t="s">
        <v>8608</v>
      </c>
      <c r="K150" s="14">
        <v>0</v>
      </c>
      <c r="L150" s="14" t="s">
        <v>50</v>
      </c>
      <c r="M150" s="14" t="s">
        <v>50</v>
      </c>
      <c r="N150" s="14" t="s">
        <v>50</v>
      </c>
      <c r="O150" s="14" t="s">
        <v>50</v>
      </c>
      <c r="P150" s="18">
        <v>0</v>
      </c>
      <c r="Q150" s="18" t="s">
        <v>50</v>
      </c>
      <c r="R150" s="14" t="s">
        <v>50</v>
      </c>
      <c r="S150" s="14" t="s">
        <v>50</v>
      </c>
      <c r="T150" s="5" t="s">
        <v>8797</v>
      </c>
    </row>
    <row r="151" spans="1:20" x14ac:dyDescent="0.25">
      <c r="A151" s="11">
        <v>42761</v>
      </c>
      <c r="B151" s="631" t="s">
        <v>8606</v>
      </c>
      <c r="C151" s="631">
        <v>38.066459999999999</v>
      </c>
      <c r="D151" s="631">
        <v>-121.55235999999999</v>
      </c>
      <c r="E151" s="631" t="s">
        <v>8798</v>
      </c>
      <c r="F151" s="631" t="s">
        <v>46</v>
      </c>
      <c r="G151" s="631" t="s">
        <v>8615</v>
      </c>
      <c r="H151" s="12">
        <v>0.3972222222222222</v>
      </c>
      <c r="I151" s="13">
        <v>50.44</v>
      </c>
      <c r="J151" s="14" t="s">
        <v>8608</v>
      </c>
      <c r="K151" s="14">
        <v>5</v>
      </c>
      <c r="L151" s="14" t="s">
        <v>8609</v>
      </c>
      <c r="M151" s="14" t="s">
        <v>8617</v>
      </c>
      <c r="N151" s="14" t="s">
        <v>50</v>
      </c>
      <c r="O151" s="14" t="s">
        <v>50</v>
      </c>
      <c r="P151" s="18">
        <v>0</v>
      </c>
      <c r="Q151" s="18" t="s">
        <v>50</v>
      </c>
      <c r="R151" s="14" t="s">
        <v>50</v>
      </c>
      <c r="S151" s="14" t="s">
        <v>50</v>
      </c>
    </row>
    <row r="152" spans="1:20" x14ac:dyDescent="0.25">
      <c r="A152" s="11">
        <v>42761</v>
      </c>
      <c r="B152" s="631" t="s">
        <v>8296</v>
      </c>
      <c r="C152" s="631">
        <v>38.060169999999999</v>
      </c>
      <c r="D152" s="631">
        <v>-121.98228</v>
      </c>
      <c r="E152" s="631" t="s">
        <v>8799</v>
      </c>
      <c r="F152" s="631" t="s">
        <v>27</v>
      </c>
      <c r="G152" s="631" t="s">
        <v>86</v>
      </c>
      <c r="H152" s="12">
        <v>0.34027777777777773</v>
      </c>
      <c r="I152" s="13" t="s">
        <v>50</v>
      </c>
      <c r="J152" s="14" t="s">
        <v>8608</v>
      </c>
      <c r="K152" s="14">
        <v>5</v>
      </c>
      <c r="L152" s="14" t="s">
        <v>8625</v>
      </c>
      <c r="M152" s="14" t="s">
        <v>8610</v>
      </c>
      <c r="N152" s="14" t="s">
        <v>50</v>
      </c>
      <c r="O152" s="14" t="s">
        <v>50</v>
      </c>
      <c r="P152" s="18">
        <v>0</v>
      </c>
      <c r="Q152" s="18" t="s">
        <v>50</v>
      </c>
      <c r="R152" s="14" t="s">
        <v>50</v>
      </c>
      <c r="S152" s="14" t="s">
        <v>50</v>
      </c>
    </row>
    <row r="153" spans="1:20" x14ac:dyDescent="0.25">
      <c r="A153" s="11">
        <v>42761</v>
      </c>
      <c r="B153" s="631" t="s">
        <v>8296</v>
      </c>
      <c r="C153" s="631">
        <v>38.181280000000001</v>
      </c>
      <c r="D153" s="631">
        <v>-121.92236</v>
      </c>
      <c r="E153" s="631" t="s">
        <v>8800</v>
      </c>
      <c r="F153" s="631" t="s">
        <v>27</v>
      </c>
      <c r="G153" s="631" t="s">
        <v>62</v>
      </c>
      <c r="H153" s="12">
        <v>0.41736111111111113</v>
      </c>
      <c r="I153" s="13" t="s">
        <v>50</v>
      </c>
      <c r="J153" s="14" t="s">
        <v>8608</v>
      </c>
      <c r="K153" s="14">
        <v>2</v>
      </c>
      <c r="L153" s="14" t="s">
        <v>8625</v>
      </c>
      <c r="M153" s="14" t="s">
        <v>8617</v>
      </c>
      <c r="N153" s="14" t="s">
        <v>323</v>
      </c>
      <c r="O153" s="14" t="s">
        <v>228</v>
      </c>
      <c r="P153" s="18">
        <v>2</v>
      </c>
      <c r="Q153" s="18" t="s">
        <v>8801</v>
      </c>
      <c r="R153" s="14" t="s">
        <v>50</v>
      </c>
      <c r="S153" s="14" t="s">
        <v>8613</v>
      </c>
    </row>
    <row r="154" spans="1:20" x14ac:dyDescent="0.25">
      <c r="A154" s="11">
        <v>42761</v>
      </c>
      <c r="B154" s="631" t="s">
        <v>8296</v>
      </c>
      <c r="C154" s="631">
        <v>38.235489999999999</v>
      </c>
      <c r="D154" s="631">
        <v>-121.67393</v>
      </c>
      <c r="E154" s="631" t="s">
        <v>8802</v>
      </c>
      <c r="F154" s="631" t="s">
        <v>90</v>
      </c>
      <c r="G154" s="631" t="s">
        <v>126</v>
      </c>
      <c r="H154" s="12">
        <v>0.4861111111111111</v>
      </c>
      <c r="I154" s="13" t="s">
        <v>50</v>
      </c>
      <c r="J154" s="14" t="s">
        <v>8608</v>
      </c>
      <c r="K154" s="14">
        <v>3</v>
      </c>
      <c r="L154" s="14" t="s">
        <v>8625</v>
      </c>
      <c r="M154" s="14" t="s">
        <v>8610</v>
      </c>
      <c r="N154" s="14" t="s">
        <v>323</v>
      </c>
      <c r="O154" s="14" t="s">
        <v>228</v>
      </c>
      <c r="P154" s="18">
        <v>1</v>
      </c>
      <c r="Q154" s="18">
        <v>71</v>
      </c>
      <c r="R154" s="14" t="s">
        <v>50</v>
      </c>
      <c r="S154" s="14" t="s">
        <v>8613</v>
      </c>
    </row>
    <row r="155" spans="1:20" x14ac:dyDescent="0.25">
      <c r="A155" s="11">
        <v>42765</v>
      </c>
      <c r="B155" s="631" t="s">
        <v>8606</v>
      </c>
      <c r="C155" s="631">
        <v>38.104050000000001</v>
      </c>
      <c r="D155" s="631">
        <v>-121.58681</v>
      </c>
      <c r="E155" s="631" t="s">
        <v>8803</v>
      </c>
      <c r="F155" s="631" t="s">
        <v>46</v>
      </c>
      <c r="G155" s="631" t="s">
        <v>8615</v>
      </c>
      <c r="H155" s="12">
        <v>0.3125</v>
      </c>
      <c r="I155" s="13" t="s">
        <v>50</v>
      </c>
      <c r="J155" s="14" t="s">
        <v>8608</v>
      </c>
      <c r="K155" s="14">
        <v>0</v>
      </c>
      <c r="L155" s="14" t="s">
        <v>50</v>
      </c>
      <c r="M155" s="14" t="s">
        <v>50</v>
      </c>
      <c r="N155" s="14" t="s">
        <v>50</v>
      </c>
      <c r="O155" s="14" t="s">
        <v>50</v>
      </c>
      <c r="P155" s="18">
        <v>0</v>
      </c>
      <c r="Q155" s="18" t="s">
        <v>50</v>
      </c>
      <c r="R155" s="14" t="s">
        <v>50</v>
      </c>
      <c r="S155" s="14" t="s">
        <v>50</v>
      </c>
      <c r="T155" s="5" t="s">
        <v>8804</v>
      </c>
    </row>
    <row r="156" spans="1:20" x14ac:dyDescent="0.25">
      <c r="A156" s="11">
        <v>42765</v>
      </c>
      <c r="B156" s="631" t="s">
        <v>8606</v>
      </c>
      <c r="C156" s="631">
        <v>38.09984</v>
      </c>
      <c r="D156" s="631">
        <v>-121.5836</v>
      </c>
      <c r="E156" s="631" t="s">
        <v>8805</v>
      </c>
      <c r="F156" s="631" t="s">
        <v>46</v>
      </c>
      <c r="G156" s="631" t="s">
        <v>8615</v>
      </c>
      <c r="H156" s="12">
        <v>0.32361111111111113</v>
      </c>
      <c r="I156" s="13">
        <v>39.74</v>
      </c>
      <c r="J156" s="14" t="s">
        <v>8608</v>
      </c>
      <c r="K156" s="14">
        <v>5</v>
      </c>
      <c r="L156" s="14" t="s">
        <v>8609</v>
      </c>
      <c r="M156" s="14" t="s">
        <v>8610</v>
      </c>
      <c r="N156" s="14" t="s">
        <v>702</v>
      </c>
      <c r="O156" s="14" t="s">
        <v>228</v>
      </c>
      <c r="P156" s="18">
        <v>3</v>
      </c>
      <c r="Q156" s="18" t="s">
        <v>8806</v>
      </c>
      <c r="R156" s="14">
        <v>2</v>
      </c>
      <c r="S156" s="14" t="s">
        <v>50</v>
      </c>
    </row>
    <row r="157" spans="1:20" x14ac:dyDescent="0.25">
      <c r="A157" s="11">
        <v>42765</v>
      </c>
      <c r="B157" s="631" t="s">
        <v>8606</v>
      </c>
      <c r="C157" s="631">
        <v>38.083240000000004</v>
      </c>
      <c r="D157" s="631">
        <v>-121.57191</v>
      </c>
      <c r="E157" s="631" t="s">
        <v>8807</v>
      </c>
      <c r="F157" s="631" t="s">
        <v>46</v>
      </c>
      <c r="G157" s="631" t="s">
        <v>8615</v>
      </c>
      <c r="H157" s="12">
        <v>0.39583333333333331</v>
      </c>
      <c r="I157" s="13">
        <v>38.72</v>
      </c>
      <c r="J157" s="14" t="s">
        <v>8608</v>
      </c>
      <c r="K157" s="14">
        <v>5</v>
      </c>
      <c r="L157" s="14" t="s">
        <v>8609</v>
      </c>
      <c r="M157" s="14" t="s">
        <v>8610</v>
      </c>
      <c r="N157" s="14" t="s">
        <v>50</v>
      </c>
      <c r="O157" s="14" t="s">
        <v>50</v>
      </c>
      <c r="P157" s="18">
        <v>0</v>
      </c>
      <c r="Q157" s="18" t="s">
        <v>50</v>
      </c>
      <c r="R157" s="14" t="s">
        <v>50</v>
      </c>
      <c r="S157" s="14" t="s">
        <v>50</v>
      </c>
    </row>
    <row r="158" spans="1:20" x14ac:dyDescent="0.25">
      <c r="A158" s="11">
        <v>42765</v>
      </c>
      <c r="B158" s="631" t="s">
        <v>8606</v>
      </c>
      <c r="C158" s="631">
        <v>38.094520000000003</v>
      </c>
      <c r="D158" s="631">
        <v>-121.66333</v>
      </c>
      <c r="E158" s="631" t="s">
        <v>8808</v>
      </c>
      <c r="F158" s="631" t="s">
        <v>46</v>
      </c>
      <c r="G158" s="631" t="s">
        <v>97</v>
      </c>
      <c r="H158" s="12">
        <v>0.45902777777777781</v>
      </c>
      <c r="I158" s="13">
        <v>54.55</v>
      </c>
      <c r="J158" s="14" t="s">
        <v>8608</v>
      </c>
      <c r="K158" s="14">
        <v>4</v>
      </c>
      <c r="L158" s="14" t="s">
        <v>8609</v>
      </c>
      <c r="M158" s="14" t="s">
        <v>8610</v>
      </c>
      <c r="N158" s="14" t="s">
        <v>702</v>
      </c>
      <c r="O158" s="14" t="s">
        <v>228</v>
      </c>
      <c r="P158" s="18">
        <v>1</v>
      </c>
      <c r="Q158" s="18">
        <v>38</v>
      </c>
      <c r="R158" s="14">
        <v>2</v>
      </c>
      <c r="S158" s="14" t="s">
        <v>50</v>
      </c>
    </row>
    <row r="159" spans="1:20" x14ac:dyDescent="0.25">
      <c r="A159" s="11">
        <v>42765</v>
      </c>
      <c r="B159" s="631" t="s">
        <v>8606</v>
      </c>
      <c r="C159" s="631">
        <v>38.094520000000003</v>
      </c>
      <c r="D159" s="631">
        <v>-121.66333</v>
      </c>
      <c r="E159" s="631" t="s">
        <v>8808</v>
      </c>
      <c r="F159" s="631" t="s">
        <v>46</v>
      </c>
      <c r="G159" s="631" t="s">
        <v>97</v>
      </c>
      <c r="H159" s="12"/>
      <c r="I159" s="13"/>
      <c r="J159" s="14"/>
      <c r="K159" s="14"/>
      <c r="L159" s="14"/>
      <c r="M159" s="14"/>
      <c r="N159" s="14" t="s">
        <v>323</v>
      </c>
      <c r="O159" s="14" t="s">
        <v>228</v>
      </c>
      <c r="P159" s="18">
        <v>1</v>
      </c>
      <c r="Q159" s="18">
        <v>65</v>
      </c>
      <c r="R159" s="14" t="s">
        <v>50</v>
      </c>
      <c r="S159" s="14" t="s">
        <v>8613</v>
      </c>
    </row>
    <row r="160" spans="1:20" x14ac:dyDescent="0.25">
      <c r="A160" s="11">
        <v>42765</v>
      </c>
      <c r="B160" s="16" t="s">
        <v>8809</v>
      </c>
      <c r="C160" s="631">
        <v>38.120939999999997</v>
      </c>
      <c r="D160" s="631">
        <v>-121.52876000000001</v>
      </c>
      <c r="E160" s="631" t="s">
        <v>8810</v>
      </c>
      <c r="F160" s="631" t="s">
        <v>46</v>
      </c>
      <c r="G160" s="631" t="s">
        <v>6881</v>
      </c>
      <c r="H160" s="12">
        <v>0.3520833333333333</v>
      </c>
      <c r="I160" s="13">
        <v>30.43</v>
      </c>
      <c r="J160" s="14" t="s">
        <v>8608</v>
      </c>
      <c r="K160" s="14">
        <v>8</v>
      </c>
      <c r="L160" s="14" t="s">
        <v>8609</v>
      </c>
      <c r="M160" s="14" t="s">
        <v>8610</v>
      </c>
      <c r="N160" s="14" t="s">
        <v>702</v>
      </c>
      <c r="O160" s="14" t="s">
        <v>228</v>
      </c>
      <c r="P160" s="14">
        <v>6</v>
      </c>
      <c r="Q160" s="14" t="s">
        <v>8811</v>
      </c>
      <c r="R160" s="14">
        <v>2</v>
      </c>
      <c r="S160" s="14" t="s">
        <v>50</v>
      </c>
    </row>
    <row r="161" spans="1:20" x14ac:dyDescent="0.25">
      <c r="A161" s="11">
        <v>42765</v>
      </c>
      <c r="B161" s="16" t="s">
        <v>8809</v>
      </c>
      <c r="C161" s="631">
        <v>38.120939999999997</v>
      </c>
      <c r="D161" s="631">
        <v>-121.52876000000001</v>
      </c>
      <c r="E161" s="631" t="s">
        <v>8810</v>
      </c>
      <c r="F161" s="631" t="s">
        <v>46</v>
      </c>
      <c r="G161" s="631" t="s">
        <v>6881</v>
      </c>
      <c r="H161" s="12"/>
      <c r="I161" s="13"/>
      <c r="J161" s="14"/>
      <c r="K161" s="14"/>
      <c r="L161" s="14"/>
      <c r="M161" s="14"/>
      <c r="N161" s="14" t="s">
        <v>3280</v>
      </c>
      <c r="O161" s="14" t="s">
        <v>228</v>
      </c>
      <c r="P161" s="14">
        <v>1</v>
      </c>
      <c r="Q161" s="14">
        <v>60</v>
      </c>
      <c r="R161" s="14">
        <v>3</v>
      </c>
      <c r="S161" s="14" t="s">
        <v>50</v>
      </c>
    </row>
    <row r="162" spans="1:20" x14ac:dyDescent="0.25">
      <c r="A162" s="11">
        <v>42765</v>
      </c>
      <c r="B162" s="16" t="s">
        <v>8809</v>
      </c>
      <c r="C162" s="16">
        <v>38.082470000000001</v>
      </c>
      <c r="D162" s="631">
        <v>-121.50185</v>
      </c>
      <c r="E162" s="631" t="s">
        <v>8812</v>
      </c>
      <c r="F162" s="631" t="s">
        <v>46</v>
      </c>
      <c r="G162" s="631" t="s">
        <v>6881</v>
      </c>
      <c r="H162" s="12">
        <v>0.4993055555555555</v>
      </c>
      <c r="I162" s="13">
        <v>30.06</v>
      </c>
      <c r="J162" s="14" t="s">
        <v>8608</v>
      </c>
      <c r="K162" s="14">
        <v>8</v>
      </c>
      <c r="L162" s="14" t="s">
        <v>8609</v>
      </c>
      <c r="M162" s="14" t="s">
        <v>8617</v>
      </c>
      <c r="N162" s="14" t="s">
        <v>50</v>
      </c>
      <c r="O162" s="14" t="s">
        <v>50</v>
      </c>
      <c r="P162" s="14">
        <v>0</v>
      </c>
      <c r="Q162" s="14" t="s">
        <v>50</v>
      </c>
      <c r="R162" s="14" t="s">
        <v>50</v>
      </c>
      <c r="S162" s="14" t="s">
        <v>50</v>
      </c>
    </row>
    <row r="163" spans="1:20" x14ac:dyDescent="0.25">
      <c r="A163" s="11">
        <v>42765</v>
      </c>
      <c r="B163" s="631" t="s">
        <v>8296</v>
      </c>
      <c r="C163" s="631">
        <v>38.10107</v>
      </c>
      <c r="D163" s="631">
        <v>-121.70854</v>
      </c>
      <c r="E163" s="631" t="s">
        <v>8813</v>
      </c>
      <c r="F163" s="631" t="s">
        <v>90</v>
      </c>
      <c r="G163" s="631" t="s">
        <v>91</v>
      </c>
      <c r="H163" s="12">
        <v>0.42291666666666666</v>
      </c>
      <c r="I163" s="13">
        <v>64.12</v>
      </c>
      <c r="J163" s="14" t="s">
        <v>8608</v>
      </c>
      <c r="K163" s="14">
        <v>5</v>
      </c>
      <c r="L163" s="14" t="s">
        <v>8625</v>
      </c>
      <c r="M163" s="14" t="s">
        <v>8610</v>
      </c>
      <c r="N163" s="14" t="s">
        <v>50</v>
      </c>
      <c r="O163" s="14" t="s">
        <v>50</v>
      </c>
      <c r="P163" s="14">
        <v>0</v>
      </c>
      <c r="Q163" s="14" t="s">
        <v>50</v>
      </c>
      <c r="R163" s="14" t="s">
        <v>50</v>
      </c>
      <c r="S163" s="14" t="s">
        <v>50</v>
      </c>
    </row>
    <row r="164" spans="1:20" x14ac:dyDescent="0.25">
      <c r="A164" s="11">
        <v>42765</v>
      </c>
      <c r="B164" s="631" t="s">
        <v>8296</v>
      </c>
      <c r="C164" s="631">
        <v>38.019620000000003</v>
      </c>
      <c r="D164" s="631">
        <v>-121.79467</v>
      </c>
      <c r="E164" s="16" t="s">
        <v>8814</v>
      </c>
      <c r="F164" s="631" t="s">
        <v>27</v>
      </c>
      <c r="G164" s="16" t="s">
        <v>863</v>
      </c>
      <c r="H164" s="12">
        <v>0.50763888888888886</v>
      </c>
      <c r="I164" s="13">
        <v>44.25</v>
      </c>
      <c r="J164" s="14" t="s">
        <v>8608</v>
      </c>
      <c r="K164" s="14">
        <v>2</v>
      </c>
      <c r="L164" s="14" t="s">
        <v>8625</v>
      </c>
      <c r="M164" s="14" t="s">
        <v>8610</v>
      </c>
      <c r="N164" s="14" t="s">
        <v>323</v>
      </c>
      <c r="O164" s="14" t="s">
        <v>228</v>
      </c>
      <c r="P164" s="14">
        <v>2</v>
      </c>
      <c r="Q164" s="14" t="s">
        <v>8815</v>
      </c>
      <c r="R164" s="14" t="s">
        <v>50</v>
      </c>
      <c r="S164" s="14" t="s">
        <v>8613</v>
      </c>
    </row>
    <row r="165" spans="1:20" x14ac:dyDescent="0.25">
      <c r="A165" s="11">
        <v>42765</v>
      </c>
      <c r="B165" s="631" t="s">
        <v>8296</v>
      </c>
      <c r="C165" s="631">
        <v>38.04645</v>
      </c>
      <c r="D165" s="631">
        <v>-121.86624</v>
      </c>
      <c r="E165" s="631" t="s">
        <v>8816</v>
      </c>
      <c r="F165" s="631" t="s">
        <v>27</v>
      </c>
      <c r="G165" s="631" t="s">
        <v>25</v>
      </c>
      <c r="H165" s="12">
        <v>0.4909722222222222</v>
      </c>
      <c r="I165" s="13"/>
      <c r="J165" s="14" t="s">
        <v>8608</v>
      </c>
      <c r="K165" s="14">
        <v>0</v>
      </c>
      <c r="L165" s="14" t="s">
        <v>50</v>
      </c>
      <c r="M165" s="14" t="s">
        <v>50</v>
      </c>
      <c r="N165" s="14" t="s">
        <v>50</v>
      </c>
      <c r="O165" s="14" t="s">
        <v>50</v>
      </c>
      <c r="P165" s="18">
        <v>0</v>
      </c>
      <c r="Q165" s="18" t="s">
        <v>50</v>
      </c>
      <c r="R165" s="14" t="s">
        <v>50</v>
      </c>
      <c r="S165" s="14" t="s">
        <v>50</v>
      </c>
      <c r="T165" s="5" t="s">
        <v>8817</v>
      </c>
    </row>
    <row r="166" spans="1:20" x14ac:dyDescent="0.25">
      <c r="A166" s="11">
        <v>42765</v>
      </c>
      <c r="B166" s="631" t="s">
        <v>8296</v>
      </c>
      <c r="C166" s="631">
        <v>38.081899999999997</v>
      </c>
      <c r="D166" s="631">
        <v>-122.05025000000001</v>
      </c>
      <c r="E166" s="631" t="s">
        <v>8818</v>
      </c>
      <c r="F166" s="631" t="s">
        <v>27</v>
      </c>
      <c r="G166" s="631" t="s">
        <v>86</v>
      </c>
      <c r="H166" s="12">
        <v>0.57152777777777775</v>
      </c>
      <c r="I166" s="13">
        <v>95.56</v>
      </c>
      <c r="J166" s="14" t="s">
        <v>8608</v>
      </c>
      <c r="K166" s="14">
        <v>5</v>
      </c>
      <c r="L166" s="14" t="s">
        <v>8625</v>
      </c>
      <c r="M166" s="14" t="s">
        <v>8617</v>
      </c>
      <c r="N166" s="14" t="s">
        <v>50</v>
      </c>
      <c r="O166" s="14" t="s">
        <v>50</v>
      </c>
      <c r="P166" s="14">
        <v>0</v>
      </c>
      <c r="Q166" s="14" t="s">
        <v>50</v>
      </c>
      <c r="R166" s="14" t="s">
        <v>50</v>
      </c>
      <c r="S166" s="14" t="s">
        <v>50</v>
      </c>
    </row>
    <row r="167" spans="1:20" x14ac:dyDescent="0.25">
      <c r="A167" s="11">
        <v>42766</v>
      </c>
      <c r="B167" s="631" t="s">
        <v>8809</v>
      </c>
      <c r="C167" s="631">
        <v>38.13438</v>
      </c>
      <c r="D167" s="631">
        <v>-121.59229000000001</v>
      </c>
      <c r="E167" s="631" t="s">
        <v>8819</v>
      </c>
      <c r="F167" s="631" t="s">
        <v>90</v>
      </c>
      <c r="G167" s="631" t="s">
        <v>8820</v>
      </c>
      <c r="H167" s="12">
        <v>0.41805555555555557</v>
      </c>
      <c r="I167" s="13">
        <v>52.225000000000001</v>
      </c>
      <c r="J167" s="14" t="s">
        <v>8608</v>
      </c>
      <c r="K167" s="14">
        <v>8</v>
      </c>
      <c r="L167" s="14" t="s">
        <v>8609</v>
      </c>
      <c r="M167" s="14" t="s">
        <v>8610</v>
      </c>
      <c r="N167" s="14" t="s">
        <v>702</v>
      </c>
      <c r="O167" s="14" t="s">
        <v>228</v>
      </c>
      <c r="P167" s="14">
        <v>10</v>
      </c>
      <c r="Q167" s="14" t="s">
        <v>5353</v>
      </c>
      <c r="R167" s="14">
        <v>2</v>
      </c>
      <c r="S167" s="14" t="s">
        <v>50</v>
      </c>
    </row>
    <row r="168" spans="1:20" x14ac:dyDescent="0.25">
      <c r="A168" s="11">
        <v>42766</v>
      </c>
      <c r="B168" s="631" t="s">
        <v>8606</v>
      </c>
      <c r="C168" s="631">
        <v>38.065269999999998</v>
      </c>
      <c r="D168" s="631">
        <v>-121.55840000000001</v>
      </c>
      <c r="E168" s="631" t="s">
        <v>8821</v>
      </c>
      <c r="F168" s="631" t="s">
        <v>46</v>
      </c>
      <c r="G168" s="631" t="s">
        <v>8615</v>
      </c>
      <c r="H168" s="12">
        <v>0.32083333333333336</v>
      </c>
      <c r="I168" s="13">
        <v>32.020000000000003</v>
      </c>
      <c r="J168" s="14" t="s">
        <v>8608</v>
      </c>
      <c r="K168" s="14">
        <v>5</v>
      </c>
      <c r="L168" s="14" t="s">
        <v>8609</v>
      </c>
      <c r="M168" s="14" t="s">
        <v>8610</v>
      </c>
      <c r="N168" s="14" t="s">
        <v>702</v>
      </c>
      <c r="O168" s="14" t="s">
        <v>228</v>
      </c>
      <c r="P168" s="18">
        <v>2</v>
      </c>
      <c r="Q168" s="18" t="s">
        <v>8822</v>
      </c>
      <c r="R168" s="14">
        <v>2</v>
      </c>
      <c r="S168" s="14" t="s">
        <v>50</v>
      </c>
    </row>
    <row r="169" spans="1:20" x14ac:dyDescent="0.25">
      <c r="A169" s="11">
        <v>42766</v>
      </c>
      <c r="B169" s="631" t="s">
        <v>8606</v>
      </c>
      <c r="C169" s="631">
        <v>38.089790000000001</v>
      </c>
      <c r="D169" s="631">
        <v>-121.63112</v>
      </c>
      <c r="E169" s="631" t="s">
        <v>8823</v>
      </c>
      <c r="F169" s="631" t="s">
        <v>46</v>
      </c>
      <c r="G169" s="631" t="s">
        <v>97</v>
      </c>
      <c r="H169" s="12">
        <v>0.40069444444444446</v>
      </c>
      <c r="I169" s="13">
        <v>41.74</v>
      </c>
      <c r="J169" s="14" t="s">
        <v>8608</v>
      </c>
      <c r="K169" s="14">
        <v>5</v>
      </c>
      <c r="L169" s="14" t="s">
        <v>8609</v>
      </c>
      <c r="M169" s="14" t="s">
        <v>8610</v>
      </c>
      <c r="N169" s="14" t="s">
        <v>50</v>
      </c>
      <c r="O169" s="14" t="s">
        <v>50</v>
      </c>
      <c r="P169" s="14">
        <v>0</v>
      </c>
      <c r="Q169" s="14" t="s">
        <v>50</v>
      </c>
      <c r="R169" s="14" t="s">
        <v>50</v>
      </c>
      <c r="S169" s="14" t="s">
        <v>50</v>
      </c>
      <c r="T169" s="5" t="s">
        <v>8824</v>
      </c>
    </row>
    <row r="170" spans="1:20" x14ac:dyDescent="0.25">
      <c r="A170" s="11">
        <v>42766</v>
      </c>
      <c r="B170" s="631" t="s">
        <v>8606</v>
      </c>
      <c r="C170" s="631">
        <v>38.055959999999999</v>
      </c>
      <c r="D170" s="631">
        <v>-121.68774999999999</v>
      </c>
      <c r="E170" s="631" t="s">
        <v>8825</v>
      </c>
      <c r="F170" s="631" t="s">
        <v>46</v>
      </c>
      <c r="G170" s="631" t="s">
        <v>97</v>
      </c>
      <c r="H170" s="12">
        <v>0.47986111111111113</v>
      </c>
      <c r="I170" s="13">
        <v>52.1</v>
      </c>
      <c r="J170" s="14" t="s">
        <v>8608</v>
      </c>
      <c r="K170" s="14">
        <v>5</v>
      </c>
      <c r="L170" s="14" t="s">
        <v>8609</v>
      </c>
      <c r="M170" s="14" t="s">
        <v>8610</v>
      </c>
      <c r="N170" s="14" t="s">
        <v>50</v>
      </c>
      <c r="O170" s="14" t="s">
        <v>50</v>
      </c>
      <c r="P170" s="14">
        <v>0</v>
      </c>
      <c r="Q170" s="14" t="s">
        <v>50</v>
      </c>
      <c r="R170" s="14" t="s">
        <v>50</v>
      </c>
      <c r="S170" s="14" t="s">
        <v>50</v>
      </c>
      <c r="T170" s="5" t="s">
        <v>8826</v>
      </c>
    </row>
    <row r="171" spans="1:20" x14ac:dyDescent="0.25">
      <c r="A171" s="11">
        <v>42767</v>
      </c>
      <c r="B171" s="631" t="s">
        <v>8296</v>
      </c>
      <c r="C171" s="631">
        <v>38.292020000000001</v>
      </c>
      <c r="D171" s="631">
        <v>-121.63223000000001</v>
      </c>
      <c r="E171" s="631" t="s">
        <v>8827</v>
      </c>
      <c r="F171" s="631" t="s">
        <v>90</v>
      </c>
      <c r="G171" s="631" t="s">
        <v>126</v>
      </c>
      <c r="H171" s="12">
        <v>0.43124999999999997</v>
      </c>
      <c r="I171" s="13">
        <v>48</v>
      </c>
      <c r="J171" s="14" t="s">
        <v>8608</v>
      </c>
      <c r="K171" s="14">
        <v>5</v>
      </c>
      <c r="L171" s="14" t="s">
        <v>8625</v>
      </c>
      <c r="M171" s="14" t="s">
        <v>8610</v>
      </c>
      <c r="N171" s="14" t="s">
        <v>702</v>
      </c>
      <c r="O171" s="14" t="s">
        <v>228</v>
      </c>
      <c r="P171" s="18">
        <v>5</v>
      </c>
      <c r="Q171" s="18" t="s">
        <v>8828</v>
      </c>
      <c r="R171" s="14">
        <v>2</v>
      </c>
      <c r="S171" s="14" t="s">
        <v>50</v>
      </c>
      <c r="T171" s="5" t="s">
        <v>8829</v>
      </c>
    </row>
    <row r="172" spans="1:20" x14ac:dyDescent="0.25">
      <c r="A172" s="11">
        <v>42767</v>
      </c>
      <c r="B172" s="631" t="s">
        <v>8296</v>
      </c>
      <c r="C172" s="631">
        <v>38.229570000000002</v>
      </c>
      <c r="D172" s="631">
        <v>-121.67286</v>
      </c>
      <c r="E172" s="631" t="s">
        <v>8830</v>
      </c>
      <c r="F172" s="631" t="s">
        <v>90</v>
      </c>
      <c r="G172" s="631" t="s">
        <v>126</v>
      </c>
      <c r="H172" s="12">
        <v>0.3666666666666667</v>
      </c>
      <c r="I172" s="13">
        <v>50.88</v>
      </c>
      <c r="J172" s="14" t="s">
        <v>8608</v>
      </c>
      <c r="K172" s="14">
        <v>5</v>
      </c>
      <c r="L172" s="14" t="s">
        <v>8625</v>
      </c>
      <c r="M172" s="14" t="s">
        <v>8610</v>
      </c>
      <c r="N172" s="14" t="s">
        <v>622</v>
      </c>
      <c r="O172" s="14" t="s">
        <v>2525</v>
      </c>
      <c r="P172" s="18">
        <v>1</v>
      </c>
      <c r="Q172" s="18">
        <v>213</v>
      </c>
      <c r="R172" s="14">
        <v>5</v>
      </c>
      <c r="S172" s="14" t="s">
        <v>50</v>
      </c>
    </row>
    <row r="173" spans="1:20" x14ac:dyDescent="0.25">
      <c r="A173" s="11">
        <v>42767</v>
      </c>
      <c r="B173" s="631" t="s">
        <v>8809</v>
      </c>
      <c r="C173" s="631">
        <v>38.131909999999998</v>
      </c>
      <c r="D173" s="631">
        <v>-122.28295</v>
      </c>
      <c r="E173" s="631" t="s">
        <v>8831</v>
      </c>
      <c r="F173" s="631" t="s">
        <v>80</v>
      </c>
      <c r="G173" s="631" t="s">
        <v>191</v>
      </c>
      <c r="H173" s="12">
        <v>0.39097222222222222</v>
      </c>
      <c r="I173" s="13">
        <v>132.75</v>
      </c>
      <c r="J173" s="14" t="s">
        <v>8608</v>
      </c>
      <c r="K173" s="14">
        <v>8</v>
      </c>
      <c r="L173" s="14" t="s">
        <v>8609</v>
      </c>
      <c r="M173" s="14" t="s">
        <v>8610</v>
      </c>
      <c r="N173" s="14" t="s">
        <v>702</v>
      </c>
      <c r="O173" s="14" t="s">
        <v>228</v>
      </c>
      <c r="P173" s="18">
        <v>1</v>
      </c>
      <c r="Q173" s="18">
        <v>37</v>
      </c>
      <c r="R173" s="14">
        <v>2</v>
      </c>
      <c r="S173" s="14" t="s">
        <v>50</v>
      </c>
    </row>
    <row r="174" spans="1:20" x14ac:dyDescent="0.25">
      <c r="A174" s="11">
        <v>42767</v>
      </c>
      <c r="B174" s="631" t="s">
        <v>8809</v>
      </c>
      <c r="C174" s="631">
        <v>38.131909999999998</v>
      </c>
      <c r="D174" s="631">
        <v>-122.28295</v>
      </c>
      <c r="E174" s="631" t="s">
        <v>8831</v>
      </c>
      <c r="F174" s="631" t="s">
        <v>80</v>
      </c>
      <c r="G174" s="631" t="s">
        <v>191</v>
      </c>
      <c r="H174" s="12"/>
      <c r="I174" s="13"/>
      <c r="J174" s="14"/>
      <c r="K174" s="14"/>
      <c r="L174" s="14"/>
      <c r="M174" s="14"/>
      <c r="N174" s="14" t="s">
        <v>31</v>
      </c>
      <c r="O174" s="14" t="s">
        <v>228</v>
      </c>
      <c r="P174" s="18">
        <v>3</v>
      </c>
      <c r="Q174" s="18" t="s">
        <v>8832</v>
      </c>
      <c r="R174" s="14" t="s">
        <v>50</v>
      </c>
      <c r="S174" s="14" t="s">
        <v>8613</v>
      </c>
    </row>
    <row r="175" spans="1:20" x14ac:dyDescent="0.25">
      <c r="A175" s="11">
        <v>42767</v>
      </c>
      <c r="B175" s="631" t="s">
        <v>8726</v>
      </c>
      <c r="C175" s="631">
        <v>37.993940000000002</v>
      </c>
      <c r="D175" s="631">
        <v>-121.43810000000001</v>
      </c>
      <c r="E175" s="631" t="s">
        <v>8833</v>
      </c>
      <c r="F175" s="631" t="s">
        <v>46</v>
      </c>
      <c r="G175" s="631" t="s">
        <v>6840</v>
      </c>
      <c r="H175" s="12">
        <v>0.32777777777777778</v>
      </c>
      <c r="I175" s="13">
        <v>23.23</v>
      </c>
      <c r="J175" s="14" t="s">
        <v>8608</v>
      </c>
      <c r="K175" s="14">
        <v>8</v>
      </c>
      <c r="L175" s="14" t="s">
        <v>8609</v>
      </c>
      <c r="M175" s="14" t="s">
        <v>8610</v>
      </c>
      <c r="N175" s="14" t="s">
        <v>702</v>
      </c>
      <c r="O175" s="14" t="s">
        <v>228</v>
      </c>
      <c r="P175" s="18">
        <v>1</v>
      </c>
      <c r="Q175" s="18">
        <v>38</v>
      </c>
      <c r="R175" s="14">
        <v>3</v>
      </c>
      <c r="S175" s="14" t="s">
        <v>50</v>
      </c>
      <c r="T175" s="5" t="s">
        <v>8834</v>
      </c>
    </row>
    <row r="176" spans="1:20" x14ac:dyDescent="0.25">
      <c r="A176" s="11">
        <v>42767</v>
      </c>
      <c r="B176" s="631" t="s">
        <v>8726</v>
      </c>
      <c r="C176" s="631">
        <v>38.034680000000002</v>
      </c>
      <c r="D176" s="631">
        <v>-121.52536000000001</v>
      </c>
      <c r="E176" s="631" t="s">
        <v>8835</v>
      </c>
      <c r="F176" s="631" t="s">
        <v>46</v>
      </c>
      <c r="G176" s="631" t="s">
        <v>6939</v>
      </c>
      <c r="H176" s="12">
        <v>0.4375</v>
      </c>
      <c r="I176" s="13">
        <v>27.3</v>
      </c>
      <c r="J176" s="14" t="s">
        <v>8608</v>
      </c>
      <c r="K176" s="14">
        <v>8</v>
      </c>
      <c r="L176" s="14" t="s">
        <v>8609</v>
      </c>
      <c r="M176" s="14" t="s">
        <v>8610</v>
      </c>
      <c r="N176" s="14" t="s">
        <v>702</v>
      </c>
      <c r="O176" s="14" t="s">
        <v>228</v>
      </c>
      <c r="P176" s="18">
        <v>1</v>
      </c>
      <c r="Q176" s="18">
        <v>43</v>
      </c>
      <c r="R176" s="14">
        <v>3</v>
      </c>
      <c r="S176" s="14" t="s">
        <v>50</v>
      </c>
      <c r="T176" s="5" t="s">
        <v>8834</v>
      </c>
    </row>
    <row r="177" spans="1:20" x14ac:dyDescent="0.25">
      <c r="A177" s="11">
        <v>42767</v>
      </c>
      <c r="B177" s="631" t="s">
        <v>8809</v>
      </c>
      <c r="C177" s="631">
        <v>38.065260000000002</v>
      </c>
      <c r="D177" s="631">
        <v>-122.25787</v>
      </c>
      <c r="E177" s="631" t="s">
        <v>8836</v>
      </c>
      <c r="F177" s="631" t="s">
        <v>80</v>
      </c>
      <c r="G177" s="631" t="s">
        <v>120</v>
      </c>
      <c r="H177" s="12">
        <v>0.50763888888888886</v>
      </c>
      <c r="I177" s="13">
        <v>80.099999999999994</v>
      </c>
      <c r="J177" s="14" t="s">
        <v>8608</v>
      </c>
      <c r="K177" s="14">
        <v>8</v>
      </c>
      <c r="L177" s="14" t="s">
        <v>8609</v>
      </c>
      <c r="M177" s="14" t="s">
        <v>8610</v>
      </c>
      <c r="N177" s="14" t="s">
        <v>31</v>
      </c>
      <c r="O177" s="14" t="s">
        <v>228</v>
      </c>
      <c r="P177" s="19">
        <v>3</v>
      </c>
      <c r="Q177" s="19" t="s">
        <v>8837</v>
      </c>
      <c r="R177" s="14" t="s">
        <v>50</v>
      </c>
      <c r="S177" s="14" t="s">
        <v>8613</v>
      </c>
    </row>
    <row r="178" spans="1:20" x14ac:dyDescent="0.25">
      <c r="A178" s="11">
        <v>42768</v>
      </c>
      <c r="B178" s="631" t="s">
        <v>8809</v>
      </c>
      <c r="C178" s="631">
        <v>38.085189999999997</v>
      </c>
      <c r="D178" s="631">
        <v>-122.083</v>
      </c>
      <c r="E178" s="631" t="s">
        <v>8838</v>
      </c>
      <c r="F178" s="631" t="s">
        <v>80</v>
      </c>
      <c r="G178" s="631" t="s">
        <v>81</v>
      </c>
      <c r="H178" s="12">
        <v>0.37777777777777777</v>
      </c>
      <c r="I178" s="13">
        <v>79.75</v>
      </c>
      <c r="J178" s="14" t="s">
        <v>8608</v>
      </c>
      <c r="K178" s="14">
        <v>2</v>
      </c>
      <c r="L178" s="14" t="s">
        <v>8609</v>
      </c>
      <c r="M178" s="14" t="s">
        <v>8610</v>
      </c>
      <c r="N178" s="14" t="s">
        <v>323</v>
      </c>
      <c r="O178" s="14" t="s">
        <v>228</v>
      </c>
      <c r="P178" s="18">
        <v>1</v>
      </c>
      <c r="Q178" s="18">
        <v>68</v>
      </c>
      <c r="R178" s="14" t="s">
        <v>50</v>
      </c>
      <c r="S178" s="14" t="s">
        <v>8613</v>
      </c>
    </row>
    <row r="179" spans="1:20" x14ac:dyDescent="0.25">
      <c r="A179" s="11">
        <v>42768</v>
      </c>
      <c r="B179" s="631" t="s">
        <v>8809</v>
      </c>
      <c r="C179" s="631">
        <v>38.085189999999997</v>
      </c>
      <c r="D179" s="631">
        <v>-122.083</v>
      </c>
      <c r="E179" s="631" t="s">
        <v>8838</v>
      </c>
      <c r="F179" s="631" t="s">
        <v>80</v>
      </c>
      <c r="G179" s="631" t="s">
        <v>81</v>
      </c>
      <c r="H179" s="12"/>
      <c r="I179" s="13"/>
      <c r="J179" s="14"/>
      <c r="K179" s="14"/>
      <c r="L179" s="14"/>
      <c r="M179" s="14"/>
      <c r="N179" s="14" t="s">
        <v>31</v>
      </c>
      <c r="O179" s="14" t="s">
        <v>228</v>
      </c>
      <c r="P179" s="18">
        <v>1</v>
      </c>
      <c r="Q179" s="18">
        <v>82</v>
      </c>
      <c r="R179" s="14" t="s">
        <v>50</v>
      </c>
      <c r="S179" s="14" t="s">
        <v>8613</v>
      </c>
    </row>
    <row r="180" spans="1:20" x14ac:dyDescent="0.25">
      <c r="A180" s="11">
        <v>42768</v>
      </c>
      <c r="B180" s="631" t="s">
        <v>8809</v>
      </c>
      <c r="C180" s="631">
        <v>38.07208</v>
      </c>
      <c r="D180" s="631">
        <v>-122.09504</v>
      </c>
      <c r="E180" s="631" t="s">
        <v>8839</v>
      </c>
      <c r="F180" s="631" t="s">
        <v>80</v>
      </c>
      <c r="G180" s="631" t="s">
        <v>81</v>
      </c>
      <c r="H180" s="12">
        <v>0.39583333333333331</v>
      </c>
      <c r="I180" s="13" t="s">
        <v>50</v>
      </c>
      <c r="J180" s="14" t="s">
        <v>8608</v>
      </c>
      <c r="K180" s="14">
        <v>0</v>
      </c>
      <c r="L180" s="14" t="s">
        <v>50</v>
      </c>
      <c r="M180" s="14" t="s">
        <v>50</v>
      </c>
      <c r="N180" s="14" t="s">
        <v>50</v>
      </c>
      <c r="O180" s="14" t="s">
        <v>50</v>
      </c>
      <c r="P180" s="18">
        <v>0</v>
      </c>
      <c r="Q180" s="18" t="s">
        <v>50</v>
      </c>
      <c r="R180" s="14" t="s">
        <v>50</v>
      </c>
      <c r="S180" s="14" t="s">
        <v>50</v>
      </c>
      <c r="T180" s="5" t="s">
        <v>8840</v>
      </c>
    </row>
    <row r="181" spans="1:20" x14ac:dyDescent="0.25">
      <c r="A181" s="11">
        <v>42768</v>
      </c>
      <c r="B181" s="631" t="s">
        <v>8296</v>
      </c>
      <c r="C181" s="631">
        <v>38.056789999999999</v>
      </c>
      <c r="D181" s="631">
        <v>-121.94561</v>
      </c>
      <c r="E181" s="631" t="s">
        <v>8841</v>
      </c>
      <c r="F181" s="631" t="s">
        <v>27</v>
      </c>
      <c r="G181" s="631" t="s">
        <v>170</v>
      </c>
      <c r="H181" s="12">
        <v>0.41597222222222219</v>
      </c>
      <c r="I181" s="13">
        <v>54.94</v>
      </c>
      <c r="J181" s="14" t="s">
        <v>8608</v>
      </c>
      <c r="K181" s="14">
        <v>5</v>
      </c>
      <c r="L181" s="14" t="s">
        <v>8625</v>
      </c>
      <c r="M181" s="14" t="s">
        <v>8610</v>
      </c>
      <c r="N181" s="14" t="s">
        <v>702</v>
      </c>
      <c r="O181" s="14" t="s">
        <v>228</v>
      </c>
      <c r="P181" s="18">
        <v>1</v>
      </c>
      <c r="Q181" s="18">
        <v>42</v>
      </c>
      <c r="R181" s="14">
        <v>2</v>
      </c>
      <c r="S181" s="14" t="s">
        <v>50</v>
      </c>
    </row>
    <row r="182" spans="1:20" x14ac:dyDescent="0.25">
      <c r="A182" s="11">
        <v>42768</v>
      </c>
      <c r="B182" s="631" t="s">
        <v>8809</v>
      </c>
      <c r="C182" s="631">
        <v>38.050330000000002</v>
      </c>
      <c r="D182" s="631">
        <v>-122.12233999999999</v>
      </c>
      <c r="E182" s="631" t="s">
        <v>8842</v>
      </c>
      <c r="F182" s="631" t="s">
        <v>80</v>
      </c>
      <c r="G182" s="631" t="s">
        <v>120</v>
      </c>
      <c r="H182" s="12">
        <v>0.4694444444444445</v>
      </c>
      <c r="I182" s="13">
        <v>130.79</v>
      </c>
      <c r="J182" s="14" t="s">
        <v>8608</v>
      </c>
      <c r="K182" s="14">
        <v>8</v>
      </c>
      <c r="L182" s="14" t="s">
        <v>8609</v>
      </c>
      <c r="M182" s="14" t="s">
        <v>8610</v>
      </c>
      <c r="N182" s="14" t="s">
        <v>31</v>
      </c>
      <c r="O182" s="14" t="s">
        <v>228</v>
      </c>
      <c r="P182" s="15">
        <v>2</v>
      </c>
      <c r="Q182" s="15" t="s">
        <v>8843</v>
      </c>
      <c r="R182" s="14" t="s">
        <v>50</v>
      </c>
      <c r="S182" s="14" t="s">
        <v>8613</v>
      </c>
    </row>
    <row r="183" spans="1:20" x14ac:dyDescent="0.25">
      <c r="A183" s="11">
        <v>42772</v>
      </c>
      <c r="B183" s="631" t="s">
        <v>8726</v>
      </c>
      <c r="C183" s="631">
        <v>37.940640000000002</v>
      </c>
      <c r="D183" s="631">
        <v>-121.54095</v>
      </c>
      <c r="E183" s="631" t="s">
        <v>8844</v>
      </c>
      <c r="F183" s="631" t="s">
        <v>46</v>
      </c>
      <c r="G183" s="631" t="s">
        <v>6926</v>
      </c>
      <c r="H183" s="12">
        <v>0.33611111111111108</v>
      </c>
      <c r="I183" s="13">
        <v>11.23</v>
      </c>
      <c r="J183" s="14" t="s">
        <v>8608</v>
      </c>
      <c r="K183" s="14">
        <v>8</v>
      </c>
      <c r="L183" s="14" t="s">
        <v>8609</v>
      </c>
      <c r="M183" s="14" t="s">
        <v>8617</v>
      </c>
      <c r="N183" s="14" t="s">
        <v>50</v>
      </c>
      <c r="O183" s="14" t="s">
        <v>50</v>
      </c>
      <c r="P183" s="18">
        <v>0</v>
      </c>
      <c r="Q183" s="18" t="s">
        <v>50</v>
      </c>
      <c r="R183" s="14" t="s">
        <v>50</v>
      </c>
      <c r="S183" s="14" t="s">
        <v>50</v>
      </c>
    </row>
    <row r="184" spans="1:20" x14ac:dyDescent="0.25">
      <c r="A184" s="11">
        <v>42772</v>
      </c>
      <c r="B184" s="631" t="s">
        <v>8726</v>
      </c>
      <c r="C184" s="631">
        <v>37.981110000000001</v>
      </c>
      <c r="D184" s="631">
        <v>-121.52858999999999</v>
      </c>
      <c r="E184" s="631" t="s">
        <v>8845</v>
      </c>
      <c r="F184" s="631" t="s">
        <v>46</v>
      </c>
      <c r="G184" s="631" t="s">
        <v>6939</v>
      </c>
      <c r="H184" s="12">
        <v>0.4291666666666667</v>
      </c>
      <c r="I184" s="13">
        <v>11.58</v>
      </c>
      <c r="J184" s="14" t="s">
        <v>8608</v>
      </c>
      <c r="K184" s="14">
        <v>8</v>
      </c>
      <c r="L184" s="14" t="s">
        <v>8609</v>
      </c>
      <c r="M184" s="14" t="s">
        <v>8610</v>
      </c>
      <c r="N184" s="14" t="s">
        <v>50</v>
      </c>
      <c r="O184" s="14" t="s">
        <v>50</v>
      </c>
      <c r="P184" s="18">
        <v>0</v>
      </c>
      <c r="Q184" s="18" t="s">
        <v>50</v>
      </c>
      <c r="R184" s="14" t="s">
        <v>50</v>
      </c>
      <c r="S184" s="14" t="s">
        <v>50</v>
      </c>
    </row>
    <row r="185" spans="1:20" x14ac:dyDescent="0.25">
      <c r="A185" s="11">
        <v>42772</v>
      </c>
      <c r="B185" s="631" t="s">
        <v>8809</v>
      </c>
      <c r="C185" s="631">
        <v>38.055239999999998</v>
      </c>
      <c r="D185" s="631">
        <v>-122.07521</v>
      </c>
      <c r="E185" s="631" t="s">
        <v>8846</v>
      </c>
      <c r="F185" s="631" t="s">
        <v>80</v>
      </c>
      <c r="G185" s="631" t="s">
        <v>81</v>
      </c>
      <c r="H185" s="12">
        <v>0.37013888888888885</v>
      </c>
      <c r="I185" s="13">
        <v>48.45</v>
      </c>
      <c r="J185" s="14" t="s">
        <v>8608</v>
      </c>
      <c r="K185" s="14">
        <v>2</v>
      </c>
      <c r="L185" s="14" t="s">
        <v>8609</v>
      </c>
      <c r="M185" s="14" t="s">
        <v>8617</v>
      </c>
      <c r="N185" s="14" t="s">
        <v>323</v>
      </c>
      <c r="O185" s="14" t="s">
        <v>228</v>
      </c>
      <c r="P185" s="18">
        <v>1</v>
      </c>
      <c r="Q185" s="18">
        <v>65</v>
      </c>
      <c r="R185" s="14" t="s">
        <v>50</v>
      </c>
      <c r="S185" s="14" t="s">
        <v>8613</v>
      </c>
    </row>
    <row r="186" spans="1:20" x14ac:dyDescent="0.25">
      <c r="A186" s="11">
        <v>42772</v>
      </c>
      <c r="B186" s="631" t="s">
        <v>8809</v>
      </c>
      <c r="C186" s="631">
        <v>38.068240000000003</v>
      </c>
      <c r="D186" s="631">
        <v>-122.07929</v>
      </c>
      <c r="E186" s="631" t="s">
        <v>8847</v>
      </c>
      <c r="F186" s="631" t="s">
        <v>80</v>
      </c>
      <c r="G186" s="631" t="s">
        <v>81</v>
      </c>
      <c r="H186" s="12">
        <v>0.39583333333333331</v>
      </c>
      <c r="I186" s="13">
        <v>52.43</v>
      </c>
      <c r="J186" s="14" t="s">
        <v>8608</v>
      </c>
      <c r="K186" s="14">
        <v>6</v>
      </c>
      <c r="L186" s="14" t="s">
        <v>8609</v>
      </c>
      <c r="M186" s="14" t="s">
        <v>8610</v>
      </c>
      <c r="N186" s="14" t="s">
        <v>622</v>
      </c>
      <c r="O186" s="14" t="s">
        <v>2525</v>
      </c>
      <c r="P186" s="18">
        <v>1</v>
      </c>
      <c r="Q186" s="18" t="s">
        <v>50</v>
      </c>
      <c r="R186" s="14" t="s">
        <v>50</v>
      </c>
      <c r="S186" s="14" t="s">
        <v>50</v>
      </c>
      <c r="T186" s="5" t="s">
        <v>8848</v>
      </c>
    </row>
    <row r="187" spans="1:20" x14ac:dyDescent="0.25">
      <c r="A187" s="20">
        <v>42772</v>
      </c>
      <c r="B187" s="631" t="s">
        <v>8809</v>
      </c>
      <c r="C187" s="631">
        <v>38.068240000000003</v>
      </c>
      <c r="D187" s="631">
        <v>-122.07929</v>
      </c>
      <c r="E187" s="631" t="s">
        <v>8847</v>
      </c>
      <c r="F187" s="631" t="s">
        <v>80</v>
      </c>
      <c r="G187" s="631" t="s">
        <v>81</v>
      </c>
      <c r="H187" s="631"/>
      <c r="J187" s="631"/>
      <c r="K187" s="631"/>
      <c r="L187" s="631"/>
      <c r="M187" s="631"/>
      <c r="N187" s="14" t="s">
        <v>31</v>
      </c>
      <c r="O187" s="14" t="s">
        <v>228</v>
      </c>
      <c r="P187" s="18">
        <v>1</v>
      </c>
      <c r="Q187" s="18">
        <v>101</v>
      </c>
      <c r="R187" s="14" t="s">
        <v>50</v>
      </c>
      <c r="S187" s="14" t="s">
        <v>8613</v>
      </c>
    </row>
    <row r="188" spans="1:20" x14ac:dyDescent="0.25">
      <c r="A188" s="11">
        <v>42772</v>
      </c>
      <c r="B188" s="631" t="s">
        <v>8809</v>
      </c>
      <c r="C188" s="631">
        <v>38.068240000000003</v>
      </c>
      <c r="D188" s="631">
        <v>-122.07929</v>
      </c>
      <c r="E188" s="631" t="s">
        <v>8847</v>
      </c>
      <c r="F188" s="631" t="s">
        <v>80</v>
      </c>
      <c r="G188" s="631" t="s">
        <v>81</v>
      </c>
      <c r="H188" s="12"/>
      <c r="I188" s="13"/>
      <c r="J188" s="14"/>
      <c r="K188" s="14"/>
      <c r="L188" s="14"/>
      <c r="M188" s="14"/>
      <c r="N188" s="14" t="s">
        <v>323</v>
      </c>
      <c r="O188" s="14" t="s">
        <v>228</v>
      </c>
      <c r="P188" s="18">
        <v>1</v>
      </c>
      <c r="Q188" s="18">
        <v>68</v>
      </c>
      <c r="R188" s="14" t="s">
        <v>50</v>
      </c>
      <c r="S188" s="14" t="s">
        <v>8613</v>
      </c>
    </row>
    <row r="189" spans="1:20" x14ac:dyDescent="0.25">
      <c r="A189" s="11">
        <v>42772</v>
      </c>
      <c r="B189" s="631" t="s">
        <v>8809</v>
      </c>
      <c r="C189" s="631">
        <v>38.146520000000002</v>
      </c>
      <c r="D189" s="631">
        <v>-122.28681</v>
      </c>
      <c r="E189" s="631" t="s">
        <v>8849</v>
      </c>
      <c r="F189" s="631" t="s">
        <v>80</v>
      </c>
      <c r="G189" s="631" t="s">
        <v>191</v>
      </c>
      <c r="H189" s="12">
        <v>0.50555555555555554</v>
      </c>
      <c r="I189" s="13">
        <v>98.59</v>
      </c>
      <c r="J189" s="14" t="s">
        <v>8608</v>
      </c>
      <c r="K189" s="14">
        <v>8</v>
      </c>
      <c r="L189" s="14" t="s">
        <v>8609</v>
      </c>
      <c r="M189" s="14" t="s">
        <v>8610</v>
      </c>
      <c r="N189" s="14" t="s">
        <v>50</v>
      </c>
      <c r="O189" s="14" t="s">
        <v>50</v>
      </c>
      <c r="P189" s="15">
        <v>0</v>
      </c>
      <c r="Q189" s="15" t="s">
        <v>50</v>
      </c>
      <c r="R189" s="14" t="s">
        <v>50</v>
      </c>
      <c r="S189" s="14" t="s">
        <v>50</v>
      </c>
    </row>
    <row r="190" spans="1:20" x14ac:dyDescent="0.25">
      <c r="A190" s="11">
        <v>42772</v>
      </c>
      <c r="B190" s="631" t="s">
        <v>8726</v>
      </c>
      <c r="C190" s="631">
        <v>38.044919999999998</v>
      </c>
      <c r="D190" s="631">
        <v>-121.5945</v>
      </c>
      <c r="E190" s="631" t="s">
        <v>8850</v>
      </c>
      <c r="F190" s="631" t="s">
        <v>46</v>
      </c>
      <c r="G190" s="631" t="s">
        <v>47</v>
      </c>
      <c r="H190" s="12">
        <v>0.3125</v>
      </c>
      <c r="I190" s="13" t="s">
        <v>50</v>
      </c>
      <c r="J190" s="14" t="s">
        <v>8608</v>
      </c>
      <c r="K190" s="14">
        <v>0</v>
      </c>
      <c r="L190" s="14" t="s">
        <v>50</v>
      </c>
      <c r="M190" s="14" t="s">
        <v>50</v>
      </c>
      <c r="N190" s="14" t="s">
        <v>50</v>
      </c>
      <c r="O190" s="14" t="s">
        <v>50</v>
      </c>
      <c r="P190" s="18">
        <v>0</v>
      </c>
      <c r="Q190" s="18" t="s">
        <v>50</v>
      </c>
      <c r="R190" s="14" t="s">
        <v>50</v>
      </c>
      <c r="S190" s="14" t="s">
        <v>50</v>
      </c>
      <c r="T190" s="5" t="s">
        <v>734</v>
      </c>
    </row>
    <row r="191" spans="1:20" x14ac:dyDescent="0.25">
      <c r="A191" s="11">
        <v>42772</v>
      </c>
      <c r="B191" s="631" t="s">
        <v>8726</v>
      </c>
      <c r="C191" s="16">
        <v>37.966380000000001</v>
      </c>
      <c r="D191" s="631">
        <v>-121.59614999999999</v>
      </c>
      <c r="E191" s="631" t="s">
        <v>8851</v>
      </c>
      <c r="F191" s="631" t="s">
        <v>46</v>
      </c>
      <c r="G191" s="631" t="s">
        <v>423</v>
      </c>
      <c r="H191" s="12">
        <v>0.32500000000000001</v>
      </c>
      <c r="I191" s="13" t="s">
        <v>50</v>
      </c>
      <c r="J191" s="14" t="s">
        <v>8608</v>
      </c>
      <c r="K191" s="14">
        <v>0</v>
      </c>
      <c r="L191" s="14" t="s">
        <v>50</v>
      </c>
      <c r="M191" s="14" t="s">
        <v>50</v>
      </c>
      <c r="N191" s="14" t="s">
        <v>50</v>
      </c>
      <c r="O191" s="14" t="s">
        <v>50</v>
      </c>
      <c r="P191" s="18">
        <v>0</v>
      </c>
      <c r="Q191" s="18" t="s">
        <v>50</v>
      </c>
      <c r="R191" s="14" t="s">
        <v>50</v>
      </c>
      <c r="S191" s="14" t="s">
        <v>50</v>
      </c>
      <c r="T191" s="5" t="s">
        <v>8124</v>
      </c>
    </row>
    <row r="192" spans="1:20" x14ac:dyDescent="0.25">
      <c r="A192" s="11">
        <v>42772</v>
      </c>
      <c r="B192" s="631" t="s">
        <v>8726</v>
      </c>
      <c r="C192" s="631">
        <v>37.881050000000002</v>
      </c>
      <c r="D192" s="631">
        <v>-121.51011</v>
      </c>
      <c r="E192" s="631" t="s">
        <v>8852</v>
      </c>
      <c r="F192" s="631" t="s">
        <v>46</v>
      </c>
      <c r="G192" s="631" t="s">
        <v>202</v>
      </c>
      <c r="H192" s="12">
        <v>0.37152777777777773</v>
      </c>
      <c r="I192" s="13">
        <v>19.54</v>
      </c>
      <c r="J192" s="14" t="s">
        <v>8608</v>
      </c>
      <c r="K192" s="14">
        <v>9</v>
      </c>
      <c r="L192" s="14" t="s">
        <v>8609</v>
      </c>
      <c r="M192" s="14" t="s">
        <v>8617</v>
      </c>
      <c r="N192" s="14" t="s">
        <v>50</v>
      </c>
      <c r="O192" s="14" t="s">
        <v>8853</v>
      </c>
      <c r="P192" s="18">
        <v>0</v>
      </c>
      <c r="Q192" s="18" t="s">
        <v>50</v>
      </c>
      <c r="R192" s="14" t="s">
        <v>50</v>
      </c>
      <c r="S192" s="14" t="s">
        <v>50</v>
      </c>
      <c r="T192" s="5" t="s">
        <v>8854</v>
      </c>
    </row>
    <row r="193" spans="1:20" x14ac:dyDescent="0.25">
      <c r="A193" s="11">
        <v>42772</v>
      </c>
      <c r="B193" s="631" t="s">
        <v>8726</v>
      </c>
      <c r="C193" s="631">
        <v>37.837739999999997</v>
      </c>
      <c r="D193" s="631">
        <v>-121.53785000000001</v>
      </c>
      <c r="E193" s="631" t="s">
        <v>8855</v>
      </c>
      <c r="F193" s="631" t="s">
        <v>46</v>
      </c>
      <c r="G193" s="631" t="s">
        <v>202</v>
      </c>
      <c r="H193" s="12">
        <v>0.41250000000000003</v>
      </c>
      <c r="I193" s="13">
        <v>18</v>
      </c>
      <c r="J193" s="14" t="s">
        <v>8608</v>
      </c>
      <c r="K193" s="14">
        <v>8</v>
      </c>
      <c r="L193" s="14" t="s">
        <v>8609</v>
      </c>
      <c r="M193" s="14" t="s">
        <v>8617</v>
      </c>
      <c r="N193" s="14" t="s">
        <v>702</v>
      </c>
      <c r="O193" s="14" t="s">
        <v>228</v>
      </c>
      <c r="P193" s="18">
        <v>1</v>
      </c>
      <c r="Q193" s="18">
        <v>39</v>
      </c>
      <c r="R193" s="14">
        <v>3</v>
      </c>
      <c r="S193" s="14" t="s">
        <v>50</v>
      </c>
    </row>
    <row r="194" spans="1:20" x14ac:dyDescent="0.25">
      <c r="A194" s="11">
        <v>42774</v>
      </c>
      <c r="B194" s="631" t="s">
        <v>8726</v>
      </c>
      <c r="C194" s="631">
        <v>38.071429999999999</v>
      </c>
      <c r="D194" s="631">
        <v>-121.45398</v>
      </c>
      <c r="E194" s="631" t="s">
        <v>8856</v>
      </c>
      <c r="F194" s="631" t="s">
        <v>46</v>
      </c>
      <c r="G194" s="631" t="s">
        <v>6883</v>
      </c>
      <c r="H194" s="12">
        <v>0.32430555555555557</v>
      </c>
      <c r="I194" s="13">
        <v>11.47</v>
      </c>
      <c r="J194" s="14" t="s">
        <v>8608</v>
      </c>
      <c r="K194" s="14">
        <v>8</v>
      </c>
      <c r="L194" s="14" t="s">
        <v>8609</v>
      </c>
      <c r="M194" s="14" t="s">
        <v>8610</v>
      </c>
      <c r="N194" s="14" t="s">
        <v>50</v>
      </c>
      <c r="O194" s="14" t="s">
        <v>50</v>
      </c>
      <c r="P194" s="18">
        <v>0</v>
      </c>
      <c r="Q194" s="18" t="s">
        <v>50</v>
      </c>
      <c r="R194" s="14" t="s">
        <v>50</v>
      </c>
      <c r="S194" s="14" t="s">
        <v>50</v>
      </c>
    </row>
    <row r="195" spans="1:20" x14ac:dyDescent="0.25">
      <c r="A195" s="11">
        <v>42774</v>
      </c>
      <c r="B195" s="631" t="s">
        <v>8726</v>
      </c>
      <c r="C195" s="631">
        <v>37.997100000000003</v>
      </c>
      <c r="D195" s="631">
        <v>-121.51390000000001</v>
      </c>
      <c r="E195" s="631" t="s">
        <v>8857</v>
      </c>
      <c r="F195" s="631" t="s">
        <v>46</v>
      </c>
      <c r="G195" s="631" t="s">
        <v>6939</v>
      </c>
      <c r="H195" s="12">
        <v>0.44444444444444442</v>
      </c>
      <c r="I195" s="13">
        <v>13</v>
      </c>
      <c r="J195" s="14" t="s">
        <v>8608</v>
      </c>
      <c r="K195" s="14">
        <v>0</v>
      </c>
      <c r="L195" s="14" t="s">
        <v>50</v>
      </c>
      <c r="M195" s="14" t="s">
        <v>50</v>
      </c>
      <c r="N195" s="14" t="s">
        <v>50</v>
      </c>
      <c r="O195" s="14" t="s">
        <v>50</v>
      </c>
      <c r="P195" s="18">
        <v>0</v>
      </c>
      <c r="Q195" s="18" t="s">
        <v>50</v>
      </c>
      <c r="R195" s="14" t="s">
        <v>50</v>
      </c>
      <c r="S195" s="14" t="s">
        <v>50</v>
      </c>
      <c r="T195" s="5" t="s">
        <v>8858</v>
      </c>
    </row>
    <row r="196" spans="1:20" x14ac:dyDescent="0.25">
      <c r="A196" s="11">
        <v>42774</v>
      </c>
      <c r="B196" s="631" t="s">
        <v>8726</v>
      </c>
      <c r="C196" s="631">
        <v>37.991970000000002</v>
      </c>
      <c r="D196" s="631">
        <v>-121.52222</v>
      </c>
      <c r="E196" s="631" t="s">
        <v>8859</v>
      </c>
      <c r="F196" s="631" t="s">
        <v>46</v>
      </c>
      <c r="G196" s="631" t="s">
        <v>6939</v>
      </c>
      <c r="H196" s="12">
        <v>0.45</v>
      </c>
      <c r="I196" s="13">
        <v>12.48</v>
      </c>
      <c r="J196" s="14" t="s">
        <v>8608</v>
      </c>
      <c r="K196" s="14">
        <v>8</v>
      </c>
      <c r="L196" s="14" t="s">
        <v>8609</v>
      </c>
      <c r="M196" s="14" t="s">
        <v>8610</v>
      </c>
      <c r="N196" s="14" t="s">
        <v>50</v>
      </c>
      <c r="O196" s="14" t="s">
        <v>50</v>
      </c>
      <c r="P196" s="18">
        <v>0</v>
      </c>
      <c r="Q196" s="18" t="s">
        <v>50</v>
      </c>
      <c r="R196" s="14" t="s">
        <v>50</v>
      </c>
      <c r="S196" s="14" t="s">
        <v>50</v>
      </c>
      <c r="T196" s="5" t="s">
        <v>8860</v>
      </c>
    </row>
    <row r="197" spans="1:20" x14ac:dyDescent="0.25">
      <c r="A197" s="11">
        <v>42774</v>
      </c>
      <c r="B197" s="631" t="s">
        <v>8726</v>
      </c>
      <c r="C197" s="631">
        <v>38.029800000000002</v>
      </c>
      <c r="D197" s="631">
        <v>-121.47642999999999</v>
      </c>
      <c r="E197" s="631" t="s">
        <v>8861</v>
      </c>
      <c r="F197" s="631" t="s">
        <v>46</v>
      </c>
      <c r="G197" s="631" t="s">
        <v>6840</v>
      </c>
      <c r="H197" s="12">
        <v>0.34722222222222227</v>
      </c>
      <c r="I197" s="13" t="s">
        <v>50</v>
      </c>
      <c r="J197" s="14" t="s">
        <v>8608</v>
      </c>
      <c r="K197" s="14">
        <v>0</v>
      </c>
      <c r="L197" s="14" t="s">
        <v>50</v>
      </c>
      <c r="M197" s="14" t="s">
        <v>50</v>
      </c>
      <c r="N197" s="14" t="s">
        <v>50</v>
      </c>
      <c r="O197" s="14" t="s">
        <v>50</v>
      </c>
      <c r="P197" s="18">
        <v>0</v>
      </c>
      <c r="Q197" s="18" t="s">
        <v>50</v>
      </c>
      <c r="R197" s="14" t="s">
        <v>50</v>
      </c>
      <c r="S197" s="14" t="s">
        <v>50</v>
      </c>
      <c r="T197" s="5" t="s">
        <v>8862</v>
      </c>
    </row>
    <row r="198" spans="1:20" x14ac:dyDescent="0.25">
      <c r="A198" s="11">
        <v>42774</v>
      </c>
      <c r="B198" s="631" t="s">
        <v>8726</v>
      </c>
      <c r="C198" s="631">
        <v>38.021970000000003</v>
      </c>
      <c r="D198" s="631">
        <v>-121.46312</v>
      </c>
      <c r="E198" s="631" t="s">
        <v>8863</v>
      </c>
      <c r="F198" s="631" t="s">
        <v>46</v>
      </c>
      <c r="G198" s="631" t="s">
        <v>6840</v>
      </c>
      <c r="H198" s="12">
        <v>0.35000000000000003</v>
      </c>
      <c r="I198" s="13" t="s">
        <v>50</v>
      </c>
      <c r="J198" s="14" t="s">
        <v>8608</v>
      </c>
      <c r="K198" s="14">
        <v>0</v>
      </c>
      <c r="L198" s="14" t="s">
        <v>50</v>
      </c>
      <c r="M198" s="14" t="s">
        <v>50</v>
      </c>
      <c r="N198" s="14" t="s">
        <v>50</v>
      </c>
      <c r="O198" s="14" t="s">
        <v>50</v>
      </c>
      <c r="P198" s="18">
        <v>0</v>
      </c>
      <c r="Q198" s="18" t="s">
        <v>50</v>
      </c>
      <c r="R198" s="14" t="s">
        <v>50</v>
      </c>
      <c r="S198" s="14" t="s">
        <v>50</v>
      </c>
      <c r="T198" s="5" t="s">
        <v>8124</v>
      </c>
    </row>
    <row r="199" spans="1:20" x14ac:dyDescent="0.25">
      <c r="A199" s="11">
        <v>42774</v>
      </c>
      <c r="B199" s="631" t="s">
        <v>8726</v>
      </c>
      <c r="C199" s="631">
        <v>38.089750000000002</v>
      </c>
      <c r="D199" s="631">
        <v>-121.64525999999999</v>
      </c>
      <c r="E199" s="16" t="s">
        <v>8864</v>
      </c>
      <c r="F199" s="631" t="s">
        <v>46</v>
      </c>
      <c r="G199" s="16" t="s">
        <v>97</v>
      </c>
      <c r="H199" s="12">
        <v>0.3888888888888889</v>
      </c>
      <c r="I199" s="13">
        <v>21.33</v>
      </c>
      <c r="J199" s="14" t="s">
        <v>8608</v>
      </c>
      <c r="K199" s="14">
        <v>3</v>
      </c>
      <c r="L199" s="14" t="s">
        <v>8609</v>
      </c>
      <c r="M199" s="14" t="s">
        <v>8610</v>
      </c>
      <c r="N199" s="14" t="s">
        <v>702</v>
      </c>
      <c r="O199" s="14" t="s">
        <v>228</v>
      </c>
      <c r="P199" s="18">
        <v>12</v>
      </c>
      <c r="Q199" s="18" t="s">
        <v>8865</v>
      </c>
      <c r="R199" s="14">
        <v>2</v>
      </c>
      <c r="S199" s="14" t="s">
        <v>50</v>
      </c>
      <c r="T199" s="5" t="s">
        <v>8866</v>
      </c>
    </row>
    <row r="200" spans="1:20" x14ac:dyDescent="0.25">
      <c r="A200" s="11">
        <v>42774</v>
      </c>
      <c r="B200" s="631" t="s">
        <v>8296</v>
      </c>
      <c r="C200" s="631">
        <v>38.044589999999999</v>
      </c>
      <c r="D200" s="631">
        <v>-121.70735000000001</v>
      </c>
      <c r="E200" s="16" t="s">
        <v>8867</v>
      </c>
      <c r="F200" s="631" t="s">
        <v>27</v>
      </c>
      <c r="G200" s="16" t="s">
        <v>863</v>
      </c>
      <c r="H200" s="12">
        <v>0.45347222222222222</v>
      </c>
      <c r="I200" s="13">
        <v>35.549999999999997</v>
      </c>
      <c r="J200" s="14" t="s">
        <v>8608</v>
      </c>
      <c r="K200" s="14">
        <v>2</v>
      </c>
      <c r="L200" s="14" t="s">
        <v>8625</v>
      </c>
      <c r="M200" s="14" t="s">
        <v>8617</v>
      </c>
      <c r="N200" s="14" t="s">
        <v>702</v>
      </c>
      <c r="O200" s="14" t="s">
        <v>228</v>
      </c>
      <c r="P200" s="18">
        <v>2</v>
      </c>
      <c r="Q200" s="18" t="s">
        <v>8868</v>
      </c>
      <c r="R200" s="14">
        <v>2</v>
      </c>
      <c r="S200" s="14" t="s">
        <v>50</v>
      </c>
    </row>
    <row r="201" spans="1:20" x14ac:dyDescent="0.25">
      <c r="A201" s="11">
        <v>42774</v>
      </c>
      <c r="B201" s="631" t="s">
        <v>8296</v>
      </c>
      <c r="C201" s="631">
        <v>38.044589999999999</v>
      </c>
      <c r="D201" s="631">
        <v>-121.70735000000001</v>
      </c>
      <c r="E201" s="16" t="s">
        <v>8867</v>
      </c>
      <c r="F201" s="631" t="s">
        <v>27</v>
      </c>
      <c r="G201" s="16" t="s">
        <v>863</v>
      </c>
      <c r="H201" s="12"/>
      <c r="I201" s="13"/>
      <c r="J201" s="14"/>
      <c r="K201" s="14"/>
      <c r="L201" s="14"/>
      <c r="M201" s="14"/>
      <c r="N201" s="14" t="s">
        <v>323</v>
      </c>
      <c r="O201" s="14" t="s">
        <v>228</v>
      </c>
      <c r="P201" s="18">
        <v>1</v>
      </c>
      <c r="Q201" s="18">
        <v>69</v>
      </c>
      <c r="R201" s="14" t="s">
        <v>50</v>
      </c>
      <c r="S201" s="14" t="s">
        <v>8613</v>
      </c>
    </row>
    <row r="202" spans="1:20" x14ac:dyDescent="0.25">
      <c r="A202" s="11">
        <v>42774</v>
      </c>
      <c r="B202" s="631" t="s">
        <v>8296</v>
      </c>
      <c r="C202" s="631">
        <v>38.02317</v>
      </c>
      <c r="D202" s="631">
        <v>-121.75453</v>
      </c>
      <c r="E202" s="16" t="s">
        <v>8869</v>
      </c>
      <c r="F202" s="631" t="s">
        <v>27</v>
      </c>
      <c r="G202" s="16" t="s">
        <v>863</v>
      </c>
      <c r="H202" s="12">
        <v>0.48680555555555555</v>
      </c>
      <c r="I202" s="13">
        <v>37.299999999999997</v>
      </c>
      <c r="J202" s="14" t="s">
        <v>8608</v>
      </c>
      <c r="K202" s="14">
        <v>5</v>
      </c>
      <c r="L202" s="14" t="s">
        <v>8625</v>
      </c>
      <c r="M202" s="14" t="s">
        <v>8617</v>
      </c>
      <c r="N202" s="631" t="s">
        <v>702</v>
      </c>
      <c r="O202" s="631" t="s">
        <v>228</v>
      </c>
      <c r="P202" s="631">
        <v>1</v>
      </c>
      <c r="Q202" s="631">
        <v>44</v>
      </c>
      <c r="R202" s="631">
        <v>3</v>
      </c>
      <c r="S202" s="14" t="s">
        <v>50</v>
      </c>
    </row>
    <row r="203" spans="1:20" x14ac:dyDescent="0.25">
      <c r="A203" s="11">
        <v>42774</v>
      </c>
      <c r="B203" s="631" t="s">
        <v>8296</v>
      </c>
      <c r="C203" s="631">
        <v>38.027760000000001</v>
      </c>
      <c r="D203" s="631">
        <v>-121.84621</v>
      </c>
      <c r="E203" s="16" t="s">
        <v>8870</v>
      </c>
      <c r="F203" s="631" t="s">
        <v>27</v>
      </c>
      <c r="G203" s="16" t="s">
        <v>863</v>
      </c>
      <c r="H203" s="12">
        <v>0.56041666666666667</v>
      </c>
      <c r="I203" s="13">
        <v>35.03</v>
      </c>
      <c r="J203" s="14" t="s">
        <v>8608</v>
      </c>
      <c r="K203" s="14">
        <v>6</v>
      </c>
      <c r="L203" s="14" t="s">
        <v>8625</v>
      </c>
      <c r="M203" s="14" t="s">
        <v>8617</v>
      </c>
      <c r="N203" s="14" t="s">
        <v>702</v>
      </c>
      <c r="O203" s="14" t="s">
        <v>228</v>
      </c>
      <c r="P203" s="18">
        <v>2</v>
      </c>
      <c r="Q203" s="18" t="s">
        <v>8871</v>
      </c>
      <c r="R203" s="14">
        <v>2</v>
      </c>
      <c r="S203" s="14" t="s">
        <v>50</v>
      </c>
    </row>
    <row r="204" spans="1:20" x14ac:dyDescent="0.25">
      <c r="A204" s="11">
        <v>42774</v>
      </c>
      <c r="B204" s="631" t="s">
        <v>8296</v>
      </c>
      <c r="C204" s="631">
        <v>38.056100000000001</v>
      </c>
      <c r="D204" s="631">
        <v>-122.04508</v>
      </c>
      <c r="E204" s="631" t="s">
        <v>8872</v>
      </c>
      <c r="F204" s="631" t="s">
        <v>27</v>
      </c>
      <c r="G204" s="631" t="s">
        <v>86</v>
      </c>
      <c r="H204" s="12">
        <v>0.3743055555555555</v>
      </c>
      <c r="I204" s="13">
        <v>44.05</v>
      </c>
      <c r="J204" s="14" t="s">
        <v>8608</v>
      </c>
      <c r="K204" s="14">
        <v>4</v>
      </c>
      <c r="L204" s="14" t="s">
        <v>8625</v>
      </c>
      <c r="M204" s="14" t="s">
        <v>8617</v>
      </c>
      <c r="N204" s="14" t="s">
        <v>323</v>
      </c>
      <c r="O204" s="14" t="s">
        <v>228</v>
      </c>
      <c r="P204" s="18">
        <v>1</v>
      </c>
      <c r="Q204" s="18">
        <v>52</v>
      </c>
      <c r="R204" s="14" t="s">
        <v>50</v>
      </c>
      <c r="S204" s="14" t="s">
        <v>8613</v>
      </c>
    </row>
    <row r="205" spans="1:20" x14ac:dyDescent="0.25">
      <c r="A205" s="11">
        <v>42774</v>
      </c>
      <c r="B205" s="631" t="s">
        <v>8296</v>
      </c>
      <c r="C205" s="631">
        <v>38.12097</v>
      </c>
      <c r="D205" s="631">
        <v>-122.05708</v>
      </c>
      <c r="E205" s="631" t="s">
        <v>8873</v>
      </c>
      <c r="F205" s="631" t="s">
        <v>27</v>
      </c>
      <c r="G205" s="631" t="s">
        <v>86</v>
      </c>
      <c r="H205" s="12">
        <v>0.4201388888888889</v>
      </c>
      <c r="I205" s="13">
        <v>68.8</v>
      </c>
      <c r="J205" s="14" t="s">
        <v>8608</v>
      </c>
      <c r="K205" s="14">
        <v>2</v>
      </c>
      <c r="L205" s="14" t="s">
        <v>8625</v>
      </c>
      <c r="M205" s="14" t="s">
        <v>8617</v>
      </c>
      <c r="N205" s="14" t="s">
        <v>323</v>
      </c>
      <c r="O205" s="14" t="s">
        <v>228</v>
      </c>
      <c r="P205" s="18">
        <v>2</v>
      </c>
      <c r="Q205" s="18" t="s">
        <v>8815</v>
      </c>
      <c r="R205" s="14" t="s">
        <v>50</v>
      </c>
      <c r="S205" s="14" t="s">
        <v>8613</v>
      </c>
    </row>
    <row r="206" spans="1:20" x14ac:dyDescent="0.25">
      <c r="A206" s="11">
        <v>42774</v>
      </c>
      <c r="B206" s="631" t="s">
        <v>8809</v>
      </c>
      <c r="C206" s="631">
        <v>38.036940000000001</v>
      </c>
      <c r="D206" s="631">
        <v>-122.14541</v>
      </c>
      <c r="E206" s="631" t="s">
        <v>8874</v>
      </c>
      <c r="F206" s="631" t="s">
        <v>80</v>
      </c>
      <c r="G206" s="631" t="s">
        <v>120</v>
      </c>
      <c r="H206" s="12">
        <v>0.46180555555555558</v>
      </c>
      <c r="I206" s="13">
        <v>86.1</v>
      </c>
      <c r="J206" s="14" t="s">
        <v>8608</v>
      </c>
      <c r="K206" s="14">
        <v>2</v>
      </c>
      <c r="L206" s="14" t="s">
        <v>8609</v>
      </c>
      <c r="M206" s="14" t="s">
        <v>8617</v>
      </c>
      <c r="N206" s="14" t="s">
        <v>323</v>
      </c>
      <c r="O206" s="14" t="s">
        <v>228</v>
      </c>
      <c r="P206" s="18">
        <v>2</v>
      </c>
      <c r="Q206" s="18" t="s">
        <v>8875</v>
      </c>
      <c r="R206" s="14" t="s">
        <v>50</v>
      </c>
      <c r="S206" s="14" t="s">
        <v>8613</v>
      </c>
    </row>
    <row r="207" spans="1:20" x14ac:dyDescent="0.25">
      <c r="A207" s="11">
        <v>42774</v>
      </c>
      <c r="B207" s="631" t="s">
        <v>8809</v>
      </c>
      <c r="C207" s="631">
        <v>38.045200000000001</v>
      </c>
      <c r="D207" s="631">
        <v>-122.11229</v>
      </c>
      <c r="E207" s="631" t="s">
        <v>8876</v>
      </c>
      <c r="F207" s="631" t="s">
        <v>80</v>
      </c>
      <c r="G207" s="631" t="s">
        <v>81</v>
      </c>
      <c r="H207" s="12">
        <v>0.48125000000000001</v>
      </c>
      <c r="I207" s="13">
        <v>84.48</v>
      </c>
      <c r="J207" s="14" t="s">
        <v>8608</v>
      </c>
      <c r="K207" s="14">
        <v>8</v>
      </c>
      <c r="L207" s="14" t="s">
        <v>8609</v>
      </c>
      <c r="M207" s="14" t="s">
        <v>8610</v>
      </c>
      <c r="N207" s="14" t="s">
        <v>702</v>
      </c>
      <c r="O207" s="14" t="s">
        <v>228</v>
      </c>
      <c r="P207" s="18">
        <v>2</v>
      </c>
      <c r="Q207" s="18" t="s">
        <v>8877</v>
      </c>
      <c r="R207" s="14">
        <v>2</v>
      </c>
      <c r="S207" s="14" t="s">
        <v>50</v>
      </c>
    </row>
    <row r="208" spans="1:20" x14ac:dyDescent="0.25">
      <c r="A208" s="11">
        <v>42774</v>
      </c>
      <c r="B208" s="631" t="s">
        <v>8809</v>
      </c>
      <c r="C208" s="631">
        <v>38.045200000000001</v>
      </c>
      <c r="D208" s="631">
        <v>-122.11229</v>
      </c>
      <c r="E208" s="631" t="s">
        <v>8876</v>
      </c>
      <c r="F208" s="631" t="s">
        <v>80</v>
      </c>
      <c r="G208" s="631" t="s">
        <v>81</v>
      </c>
      <c r="H208" s="12"/>
      <c r="I208" s="13"/>
      <c r="J208" s="14"/>
      <c r="K208" s="14"/>
      <c r="L208" s="14"/>
      <c r="M208" s="14"/>
      <c r="N208" s="14" t="s">
        <v>622</v>
      </c>
      <c r="O208" s="14" t="s">
        <v>2525</v>
      </c>
      <c r="P208" s="14">
        <v>1</v>
      </c>
      <c r="Q208" s="14">
        <v>252</v>
      </c>
      <c r="R208" s="14" t="s">
        <v>50</v>
      </c>
      <c r="S208" s="14" t="s">
        <v>50</v>
      </c>
    </row>
    <row r="209" spans="1:20" x14ac:dyDescent="0.25">
      <c r="A209" s="11">
        <v>42775</v>
      </c>
      <c r="B209" s="631" t="s">
        <v>8296</v>
      </c>
      <c r="C209" s="631">
        <v>38.079619999999998</v>
      </c>
      <c r="D209" s="631">
        <v>-121.98188</v>
      </c>
      <c r="E209" s="631" t="s">
        <v>8878</v>
      </c>
      <c r="F209" s="631" t="s">
        <v>27</v>
      </c>
      <c r="G209" s="631" t="s">
        <v>86</v>
      </c>
      <c r="H209" s="12">
        <v>0.34791666666666665</v>
      </c>
      <c r="I209" s="13">
        <v>103.32</v>
      </c>
      <c r="J209" s="14" t="s">
        <v>8608</v>
      </c>
      <c r="K209" s="14">
        <v>5</v>
      </c>
      <c r="L209" s="14" t="s">
        <v>8625</v>
      </c>
      <c r="M209" s="14" t="s">
        <v>8610</v>
      </c>
      <c r="N209" s="14" t="s">
        <v>702</v>
      </c>
      <c r="O209" s="14" t="s">
        <v>228</v>
      </c>
      <c r="P209" s="18">
        <v>10</v>
      </c>
      <c r="Q209" s="18" t="s">
        <v>8879</v>
      </c>
      <c r="R209" s="14">
        <v>2</v>
      </c>
      <c r="S209" s="14" t="s">
        <v>50</v>
      </c>
    </row>
    <row r="210" spans="1:20" x14ac:dyDescent="0.25">
      <c r="A210" s="11">
        <v>42775</v>
      </c>
      <c r="B210" s="631" t="s">
        <v>8296</v>
      </c>
      <c r="C210" s="631">
        <v>38.095739999999999</v>
      </c>
      <c r="D210" s="631">
        <v>-122.0312</v>
      </c>
      <c r="E210" s="631" t="s">
        <v>8880</v>
      </c>
      <c r="F210" s="631" t="s">
        <v>27</v>
      </c>
      <c r="G210" s="631" t="s">
        <v>86</v>
      </c>
      <c r="H210" s="12">
        <v>0.4152777777777778</v>
      </c>
      <c r="I210" s="13">
        <v>83.9</v>
      </c>
      <c r="J210" s="14" t="s">
        <v>8608</v>
      </c>
      <c r="K210" s="14">
        <v>3</v>
      </c>
      <c r="L210" s="14" t="s">
        <v>8625</v>
      </c>
      <c r="M210" s="14" t="s">
        <v>8610</v>
      </c>
      <c r="N210" s="14" t="s">
        <v>323</v>
      </c>
      <c r="O210" s="14" t="s">
        <v>228</v>
      </c>
      <c r="P210" s="14">
        <v>1</v>
      </c>
      <c r="Q210" s="14">
        <v>62</v>
      </c>
      <c r="R210" s="14" t="s">
        <v>50</v>
      </c>
      <c r="S210" s="14" t="s">
        <v>8613</v>
      </c>
    </row>
    <row r="211" spans="1:20" x14ac:dyDescent="0.25">
      <c r="A211" s="11">
        <v>42775</v>
      </c>
      <c r="B211" s="631" t="s">
        <v>8606</v>
      </c>
      <c r="C211" s="631">
        <v>38.091650000000001</v>
      </c>
      <c r="D211" s="631">
        <v>-121.64756</v>
      </c>
      <c r="E211" s="631" t="s">
        <v>8881</v>
      </c>
      <c r="F211" s="631" t="s">
        <v>46</v>
      </c>
      <c r="G211" s="631" t="s">
        <v>97</v>
      </c>
      <c r="H211" s="12">
        <v>0.31666666666666665</v>
      </c>
      <c r="I211" s="13">
        <v>35.43</v>
      </c>
      <c r="J211" s="14" t="s">
        <v>8608</v>
      </c>
      <c r="K211" s="14">
        <v>3</v>
      </c>
      <c r="L211" s="14" t="s">
        <v>8609</v>
      </c>
      <c r="M211" s="14" t="s">
        <v>8610</v>
      </c>
      <c r="N211" s="14" t="s">
        <v>702</v>
      </c>
      <c r="O211" s="14" t="s">
        <v>228</v>
      </c>
      <c r="P211" s="14">
        <v>9</v>
      </c>
      <c r="Q211" s="14" t="s">
        <v>8882</v>
      </c>
      <c r="R211" s="14">
        <v>2</v>
      </c>
      <c r="S211" s="14" t="s">
        <v>50</v>
      </c>
    </row>
    <row r="212" spans="1:20" x14ac:dyDescent="0.25">
      <c r="A212" s="11">
        <v>42775</v>
      </c>
      <c r="B212" s="631" t="s">
        <v>8606</v>
      </c>
      <c r="C212" s="631">
        <v>38.091650000000001</v>
      </c>
      <c r="D212" s="631">
        <v>-121.64756</v>
      </c>
      <c r="E212" s="631" t="s">
        <v>8881</v>
      </c>
      <c r="F212" s="631" t="s">
        <v>46</v>
      </c>
      <c r="G212" s="631" t="s">
        <v>97</v>
      </c>
      <c r="H212" s="12"/>
      <c r="I212" s="13"/>
      <c r="J212" s="14"/>
      <c r="K212" s="14"/>
      <c r="L212" s="14"/>
      <c r="M212" s="14"/>
      <c r="N212" s="14" t="s">
        <v>323</v>
      </c>
      <c r="O212" s="14" t="s">
        <v>228</v>
      </c>
      <c r="P212" s="18">
        <v>1</v>
      </c>
      <c r="Q212" s="18">
        <v>74</v>
      </c>
      <c r="R212" s="14" t="s">
        <v>50</v>
      </c>
      <c r="S212" s="14" t="s">
        <v>8613</v>
      </c>
    </row>
    <row r="213" spans="1:20" x14ac:dyDescent="0.25">
      <c r="A213" s="11">
        <v>42775</v>
      </c>
      <c r="B213" s="631" t="s">
        <v>8606</v>
      </c>
      <c r="C213" s="631">
        <v>38.08717</v>
      </c>
      <c r="D213" s="631">
        <v>-121.64333999999999</v>
      </c>
      <c r="E213" s="631" t="s">
        <v>8883</v>
      </c>
      <c r="F213" s="631" t="s">
        <v>46</v>
      </c>
      <c r="G213" s="631" t="s">
        <v>97</v>
      </c>
      <c r="H213" s="12">
        <v>0.35416666666666669</v>
      </c>
      <c r="I213" s="13">
        <v>34.83</v>
      </c>
      <c r="J213" s="14" t="s">
        <v>8608</v>
      </c>
      <c r="K213" s="14">
        <v>3</v>
      </c>
      <c r="L213" s="14" t="s">
        <v>8609</v>
      </c>
      <c r="M213" s="14" t="s">
        <v>8610</v>
      </c>
      <c r="N213" s="14" t="s">
        <v>702</v>
      </c>
      <c r="O213" s="14" t="s">
        <v>228</v>
      </c>
      <c r="P213" s="14">
        <v>2</v>
      </c>
      <c r="Q213" s="14" t="s">
        <v>8884</v>
      </c>
      <c r="R213" s="14">
        <v>2</v>
      </c>
      <c r="S213" s="14" t="s">
        <v>50</v>
      </c>
      <c r="T213" s="5" t="s">
        <v>4840</v>
      </c>
    </row>
    <row r="214" spans="1:20" x14ac:dyDescent="0.25">
      <c r="A214" s="22">
        <v>42775</v>
      </c>
      <c r="B214" s="16" t="s">
        <v>8606</v>
      </c>
      <c r="C214" s="16">
        <v>38.08717</v>
      </c>
      <c r="D214" s="16">
        <v>-121.64333999999999</v>
      </c>
      <c r="E214" s="16" t="s">
        <v>8883</v>
      </c>
      <c r="F214" s="16" t="s">
        <v>46</v>
      </c>
      <c r="G214" s="16" t="s">
        <v>97</v>
      </c>
      <c r="H214" s="23"/>
      <c r="I214" s="24"/>
      <c r="J214" s="17"/>
      <c r="K214" s="17"/>
      <c r="L214" s="17"/>
      <c r="M214" s="17"/>
      <c r="N214" s="17" t="s">
        <v>323</v>
      </c>
      <c r="O214" s="17" t="s">
        <v>228</v>
      </c>
      <c r="P214" s="17">
        <v>1</v>
      </c>
      <c r="Q214" s="17">
        <v>68</v>
      </c>
      <c r="R214" s="17" t="s">
        <v>50</v>
      </c>
      <c r="S214" s="17" t="s">
        <v>8613</v>
      </c>
    </row>
    <row r="215" spans="1:20" x14ac:dyDescent="0.25">
      <c r="A215" s="11">
        <v>42775</v>
      </c>
      <c r="B215" s="631" t="s">
        <v>8606</v>
      </c>
      <c r="C215" s="631">
        <v>38.042389999999997</v>
      </c>
      <c r="D215" s="631">
        <v>-121.5288</v>
      </c>
      <c r="E215" s="631" t="s">
        <v>8885</v>
      </c>
      <c r="F215" s="631" t="s">
        <v>46</v>
      </c>
      <c r="G215" s="631" t="s">
        <v>8615</v>
      </c>
      <c r="H215" s="12">
        <v>0.4055555555555555</v>
      </c>
      <c r="I215" s="13">
        <v>18.760000000000002</v>
      </c>
      <c r="J215" s="14" t="s">
        <v>8608</v>
      </c>
      <c r="K215" s="14">
        <v>5</v>
      </c>
      <c r="L215" s="14" t="s">
        <v>8609</v>
      </c>
      <c r="M215" s="14" t="s">
        <v>8610</v>
      </c>
      <c r="N215" s="14" t="s">
        <v>50</v>
      </c>
      <c r="O215" s="14" t="s">
        <v>50</v>
      </c>
      <c r="P215" s="14">
        <v>0</v>
      </c>
      <c r="Q215" s="14" t="s">
        <v>50</v>
      </c>
      <c r="R215" s="14" t="s">
        <v>50</v>
      </c>
      <c r="S215" s="14" t="s">
        <v>50</v>
      </c>
    </row>
    <row r="216" spans="1:20" x14ac:dyDescent="0.25">
      <c r="A216" s="11">
        <v>42775</v>
      </c>
      <c r="B216" s="631" t="s">
        <v>8606</v>
      </c>
      <c r="C216" s="631">
        <v>38.049379999999999</v>
      </c>
      <c r="D216" s="631">
        <v>-121.52154</v>
      </c>
      <c r="E216" s="631" t="s">
        <v>8886</v>
      </c>
      <c r="F216" s="631" t="s">
        <v>46</v>
      </c>
      <c r="G216" s="631" t="s">
        <v>8615</v>
      </c>
      <c r="H216" s="12">
        <v>0.46527777777777773</v>
      </c>
      <c r="I216" s="13">
        <v>22.65</v>
      </c>
      <c r="J216" s="14" t="s">
        <v>8608</v>
      </c>
      <c r="K216" s="14">
        <v>2</v>
      </c>
      <c r="L216" s="14" t="s">
        <v>8609</v>
      </c>
      <c r="M216" s="14" t="s">
        <v>8610</v>
      </c>
      <c r="N216" s="14" t="s">
        <v>50</v>
      </c>
      <c r="O216" s="14" t="s">
        <v>50</v>
      </c>
      <c r="P216" s="14">
        <v>0</v>
      </c>
      <c r="Q216" s="14" t="s">
        <v>50</v>
      </c>
      <c r="R216" s="14" t="s">
        <v>50</v>
      </c>
      <c r="S216" s="14" t="s">
        <v>50</v>
      </c>
      <c r="T216" s="5" t="s">
        <v>8887</v>
      </c>
    </row>
    <row r="217" spans="1:20" x14ac:dyDescent="0.25">
      <c r="A217" s="11">
        <v>42775</v>
      </c>
      <c r="B217" s="631" t="s">
        <v>8606</v>
      </c>
      <c r="C217" s="631">
        <v>38.05583</v>
      </c>
      <c r="D217" s="631">
        <v>-121.53103</v>
      </c>
      <c r="E217" s="631" t="s">
        <v>8888</v>
      </c>
      <c r="F217" s="631" t="s">
        <v>46</v>
      </c>
      <c r="G217" s="631" t="s">
        <v>8615</v>
      </c>
      <c r="H217" s="12">
        <v>0.50902777777777775</v>
      </c>
      <c r="I217" s="13">
        <v>38</v>
      </c>
      <c r="J217" s="14" t="s">
        <v>8608</v>
      </c>
      <c r="K217" s="14">
        <v>6</v>
      </c>
      <c r="L217" s="14" t="s">
        <v>8609</v>
      </c>
      <c r="M217" s="14" t="s">
        <v>8617</v>
      </c>
      <c r="N217" s="14" t="s">
        <v>702</v>
      </c>
      <c r="O217" s="14" t="s">
        <v>228</v>
      </c>
      <c r="P217" s="14">
        <v>1</v>
      </c>
      <c r="Q217" s="14">
        <v>42</v>
      </c>
      <c r="R217" s="14">
        <v>2</v>
      </c>
      <c r="S217" s="14" t="s">
        <v>50</v>
      </c>
      <c r="T217" s="5" t="s">
        <v>8889</v>
      </c>
    </row>
    <row r="218" spans="1:20" x14ac:dyDescent="0.25">
      <c r="A218" s="11">
        <v>42775</v>
      </c>
      <c r="B218" s="631" t="s">
        <v>8809</v>
      </c>
      <c r="C218" s="631">
        <v>38.159999999999997</v>
      </c>
      <c r="D218" s="631">
        <v>-121.50163999999999</v>
      </c>
      <c r="E218" s="631" t="s">
        <v>8890</v>
      </c>
      <c r="F218" s="631" t="s">
        <v>46</v>
      </c>
      <c r="G218" s="631" t="s">
        <v>6881</v>
      </c>
      <c r="H218" s="12">
        <v>0.3298611111111111</v>
      </c>
      <c r="I218" s="13">
        <v>113.25</v>
      </c>
      <c r="J218" s="14" t="s">
        <v>8608</v>
      </c>
      <c r="K218" s="14">
        <v>8</v>
      </c>
      <c r="L218" s="14" t="s">
        <v>8609</v>
      </c>
      <c r="M218" s="14" t="s">
        <v>8610</v>
      </c>
      <c r="N218" s="14" t="s">
        <v>50</v>
      </c>
      <c r="O218" s="14" t="s">
        <v>50</v>
      </c>
      <c r="P218" s="14">
        <v>0</v>
      </c>
      <c r="Q218" s="14" t="s">
        <v>50</v>
      </c>
      <c r="R218" s="14" t="s">
        <v>50</v>
      </c>
      <c r="S218" s="14" t="s">
        <v>50</v>
      </c>
    </row>
    <row r="219" spans="1:20" x14ac:dyDescent="0.25">
      <c r="A219" s="11">
        <v>42775</v>
      </c>
      <c r="B219" s="631" t="s">
        <v>8726</v>
      </c>
      <c r="C219" s="631">
        <v>38.01164</v>
      </c>
      <c r="D219" s="631">
        <v>-121.57419</v>
      </c>
      <c r="E219" s="631" t="s">
        <v>8891</v>
      </c>
      <c r="F219" s="631" t="s">
        <v>46</v>
      </c>
      <c r="G219" s="631" t="s">
        <v>74</v>
      </c>
      <c r="H219" s="12">
        <v>0.44375000000000003</v>
      </c>
      <c r="I219" s="13">
        <v>16.059999999999999</v>
      </c>
      <c r="J219" s="14" t="s">
        <v>8608</v>
      </c>
      <c r="K219" s="14">
        <v>8</v>
      </c>
      <c r="L219" s="14" t="s">
        <v>8609</v>
      </c>
      <c r="M219" s="14" t="s">
        <v>8610</v>
      </c>
      <c r="N219" s="14" t="s">
        <v>50</v>
      </c>
      <c r="O219" s="14" t="s">
        <v>50</v>
      </c>
      <c r="P219" s="14">
        <v>0</v>
      </c>
      <c r="Q219" s="14" t="s">
        <v>50</v>
      </c>
      <c r="R219" s="14" t="s">
        <v>50</v>
      </c>
      <c r="S219" s="14" t="s">
        <v>50</v>
      </c>
      <c r="T219" s="5" t="s">
        <v>8892</v>
      </c>
    </row>
    <row r="220" spans="1:20" s="369" customFormat="1" x14ac:dyDescent="0.25">
      <c r="A220" s="11">
        <v>42776</v>
      </c>
      <c r="B220" s="631" t="s">
        <v>8726</v>
      </c>
      <c r="C220" s="631">
        <v>38.028869999999998</v>
      </c>
      <c r="D220" s="631">
        <v>-121.66777999999999</v>
      </c>
      <c r="E220" s="631" t="s">
        <v>8893</v>
      </c>
      <c r="F220" s="631" t="s">
        <v>46</v>
      </c>
      <c r="G220" s="631" t="s">
        <v>47</v>
      </c>
      <c r="H220" s="12">
        <v>0.3659722222222222</v>
      </c>
      <c r="I220" s="13">
        <v>19.21</v>
      </c>
      <c r="J220" s="14" t="s">
        <v>8608</v>
      </c>
      <c r="K220" s="14">
        <v>8</v>
      </c>
      <c r="L220" s="14" t="s">
        <v>8609</v>
      </c>
      <c r="M220" s="14" t="s">
        <v>8610</v>
      </c>
      <c r="N220" s="14" t="s">
        <v>50</v>
      </c>
      <c r="O220" s="14" t="s">
        <v>50</v>
      </c>
      <c r="P220" s="18">
        <v>0</v>
      </c>
      <c r="Q220" s="18" t="s">
        <v>50</v>
      </c>
      <c r="R220" s="14" t="s">
        <v>50</v>
      </c>
      <c r="S220" s="14" t="s">
        <v>50</v>
      </c>
      <c r="T220" s="5"/>
    </row>
    <row r="221" spans="1:20" s="369" customFormat="1" x14ac:dyDescent="0.25">
      <c r="A221" s="11">
        <v>42776</v>
      </c>
      <c r="B221" s="631" t="s">
        <v>8809</v>
      </c>
      <c r="C221" s="631">
        <v>38.232799999999997</v>
      </c>
      <c r="D221" s="631">
        <v>-121.6024</v>
      </c>
      <c r="E221" s="631" t="s">
        <v>8894</v>
      </c>
      <c r="F221" s="631" t="s">
        <v>90</v>
      </c>
      <c r="G221" s="631" t="s">
        <v>6851</v>
      </c>
      <c r="H221" s="12">
        <v>0.33888888888888885</v>
      </c>
      <c r="I221" s="13">
        <v>166</v>
      </c>
      <c r="J221" s="14" t="s">
        <v>8608</v>
      </c>
      <c r="K221" s="14">
        <v>8</v>
      </c>
      <c r="L221" s="14" t="s">
        <v>8609</v>
      </c>
      <c r="M221" s="14" t="s">
        <v>8610</v>
      </c>
      <c r="N221" s="14" t="s">
        <v>702</v>
      </c>
      <c r="O221" s="14" t="s">
        <v>228</v>
      </c>
      <c r="P221" s="19">
        <v>151</v>
      </c>
      <c r="Q221" s="18" t="s">
        <v>8895</v>
      </c>
      <c r="R221" s="14">
        <v>2</v>
      </c>
      <c r="S221" s="14" t="s">
        <v>50</v>
      </c>
      <c r="T221" s="5"/>
    </row>
    <row r="222" spans="1:20" s="369" customFormat="1" x14ac:dyDescent="0.25">
      <c r="A222" s="11">
        <v>42776</v>
      </c>
      <c r="B222" s="631" t="s">
        <v>8809</v>
      </c>
      <c r="C222" s="631">
        <v>38.232799999999997</v>
      </c>
      <c r="D222" s="631">
        <v>-121.6024</v>
      </c>
      <c r="E222" s="631" t="s">
        <v>8894</v>
      </c>
      <c r="F222" s="631" t="s">
        <v>90</v>
      </c>
      <c r="G222" s="631" t="s">
        <v>6851</v>
      </c>
      <c r="H222" s="12"/>
      <c r="I222" s="13"/>
      <c r="J222" s="14"/>
      <c r="K222" s="14"/>
      <c r="L222" s="14"/>
      <c r="M222" s="14"/>
      <c r="N222" s="14" t="s">
        <v>3280</v>
      </c>
      <c r="O222" s="14" t="s">
        <v>228</v>
      </c>
      <c r="P222" s="14">
        <v>1</v>
      </c>
      <c r="Q222" s="14">
        <v>53</v>
      </c>
      <c r="R222" s="14">
        <v>3</v>
      </c>
      <c r="S222" s="14" t="s">
        <v>50</v>
      </c>
      <c r="T222" s="5"/>
    </row>
    <row r="223" spans="1:20" s="369" customFormat="1" x14ac:dyDescent="0.25">
      <c r="A223" s="11">
        <v>42776</v>
      </c>
      <c r="B223" s="631" t="s">
        <v>8809</v>
      </c>
      <c r="C223" s="631">
        <v>38.176299999999998</v>
      </c>
      <c r="D223" s="631">
        <v>-121.66228</v>
      </c>
      <c r="E223" s="631" t="s">
        <v>8896</v>
      </c>
      <c r="F223" s="631" t="s">
        <v>90</v>
      </c>
      <c r="G223" s="631" t="s">
        <v>6892</v>
      </c>
      <c r="H223" s="12">
        <v>0.45208333333333334</v>
      </c>
      <c r="I223" s="13">
        <v>146.38</v>
      </c>
      <c r="J223" s="14" t="s">
        <v>8608</v>
      </c>
      <c r="K223" s="14">
        <v>8</v>
      </c>
      <c r="L223" s="14" t="s">
        <v>8609</v>
      </c>
      <c r="M223" s="14" t="s">
        <v>8610</v>
      </c>
      <c r="N223" s="14" t="s">
        <v>702</v>
      </c>
      <c r="O223" s="14" t="s">
        <v>228</v>
      </c>
      <c r="P223" s="17">
        <v>84</v>
      </c>
      <c r="Q223" s="14" t="s">
        <v>8897</v>
      </c>
      <c r="R223" s="14">
        <v>2</v>
      </c>
      <c r="S223" s="14" t="s">
        <v>50</v>
      </c>
      <c r="T223" s="5"/>
    </row>
    <row r="224" spans="1:20" s="369" customFormat="1" x14ac:dyDescent="0.25">
      <c r="A224" s="11">
        <v>42776</v>
      </c>
      <c r="B224" s="631" t="s">
        <v>8606</v>
      </c>
      <c r="C224" s="631">
        <v>38.116610000000001</v>
      </c>
      <c r="D224" s="631">
        <v>-121.62804</v>
      </c>
      <c r="E224" s="631" t="s">
        <v>8898</v>
      </c>
      <c r="F224" s="631" t="s">
        <v>46</v>
      </c>
      <c r="G224" s="631" t="s">
        <v>97</v>
      </c>
      <c r="H224" s="12">
        <v>0.32777777777777778</v>
      </c>
      <c r="I224" s="13">
        <v>32.299999999999997</v>
      </c>
      <c r="J224" s="14" t="s">
        <v>8608</v>
      </c>
      <c r="K224" s="14">
        <v>5</v>
      </c>
      <c r="L224" s="14" t="s">
        <v>8609</v>
      </c>
      <c r="M224" s="14" t="s">
        <v>8617</v>
      </c>
      <c r="N224" s="14" t="s">
        <v>702</v>
      </c>
      <c r="O224" s="14" t="s">
        <v>228</v>
      </c>
      <c r="P224" s="17">
        <v>7</v>
      </c>
      <c r="Q224" s="14" t="s">
        <v>8811</v>
      </c>
      <c r="R224" s="14">
        <v>2</v>
      </c>
      <c r="S224" s="14" t="s">
        <v>50</v>
      </c>
      <c r="T224" s="5"/>
    </row>
    <row r="225" spans="1:20" s="369" customFormat="1" x14ac:dyDescent="0.25">
      <c r="A225" s="11">
        <v>42776</v>
      </c>
      <c r="B225" s="631" t="s">
        <v>8606</v>
      </c>
      <c r="C225" s="631">
        <v>38.095280000000002</v>
      </c>
      <c r="D225" s="631">
        <v>-121.56912</v>
      </c>
      <c r="E225" s="631" t="s">
        <v>8899</v>
      </c>
      <c r="F225" s="631" t="s">
        <v>46</v>
      </c>
      <c r="G225" s="631" t="s">
        <v>8615</v>
      </c>
      <c r="H225" s="12">
        <v>0.4152777777777778</v>
      </c>
      <c r="I225" s="13">
        <v>125.8</v>
      </c>
      <c r="J225" s="14" t="s">
        <v>8608</v>
      </c>
      <c r="K225" s="14">
        <v>5</v>
      </c>
      <c r="L225" s="14" t="s">
        <v>8609</v>
      </c>
      <c r="M225" s="14" t="s">
        <v>8610</v>
      </c>
      <c r="N225" s="14" t="s">
        <v>702</v>
      </c>
      <c r="O225" s="14" t="s">
        <v>228</v>
      </c>
      <c r="P225" s="14">
        <v>24</v>
      </c>
      <c r="Q225" s="14" t="s">
        <v>8897</v>
      </c>
      <c r="R225" s="14">
        <v>2</v>
      </c>
      <c r="S225" s="14" t="s">
        <v>50</v>
      </c>
      <c r="T225" s="5"/>
    </row>
    <row r="226" spans="1:20" s="369" customFormat="1" x14ac:dyDescent="0.25">
      <c r="A226" s="11">
        <v>42776</v>
      </c>
      <c r="B226" s="631" t="s">
        <v>8606</v>
      </c>
      <c r="C226" s="631">
        <v>38.061149999999998</v>
      </c>
      <c r="D226" s="631">
        <v>-121.67939</v>
      </c>
      <c r="E226" s="631" t="s">
        <v>8900</v>
      </c>
      <c r="F226" s="631" t="s">
        <v>46</v>
      </c>
      <c r="G226" s="631" t="s">
        <v>97</v>
      </c>
      <c r="H226" s="12">
        <v>0.48749999999999999</v>
      </c>
      <c r="I226" s="13">
        <v>69.2</v>
      </c>
      <c r="J226" s="14" t="s">
        <v>8608</v>
      </c>
      <c r="K226" s="14">
        <v>2</v>
      </c>
      <c r="L226" s="14" t="s">
        <v>8609</v>
      </c>
      <c r="M226" s="14" t="s">
        <v>8610</v>
      </c>
      <c r="N226" s="14" t="s">
        <v>323</v>
      </c>
      <c r="O226" s="14" t="s">
        <v>228</v>
      </c>
      <c r="P226" s="14">
        <v>1</v>
      </c>
      <c r="Q226" s="14">
        <v>76</v>
      </c>
      <c r="R226" s="14" t="s">
        <v>50</v>
      </c>
      <c r="S226" s="14" t="s">
        <v>8613</v>
      </c>
      <c r="T226" s="5"/>
    </row>
    <row r="227" spans="1:20" s="369" customFormat="1" x14ac:dyDescent="0.25">
      <c r="A227" s="11">
        <v>42776</v>
      </c>
      <c r="B227" s="631" t="s">
        <v>8606</v>
      </c>
      <c r="C227" s="631">
        <v>38.061149999999998</v>
      </c>
      <c r="D227" s="631">
        <v>-121.67939</v>
      </c>
      <c r="E227" s="631" t="s">
        <v>8900</v>
      </c>
      <c r="F227" s="631" t="s">
        <v>46</v>
      </c>
      <c r="G227" s="631" t="s">
        <v>97</v>
      </c>
      <c r="H227" s="12"/>
      <c r="I227" s="13"/>
      <c r="J227" s="14"/>
      <c r="K227" s="14"/>
      <c r="L227" s="14"/>
      <c r="M227" s="14"/>
      <c r="N227" s="14" t="s">
        <v>702</v>
      </c>
      <c r="O227" s="14" t="s">
        <v>228</v>
      </c>
      <c r="P227" s="14">
        <v>2</v>
      </c>
      <c r="Q227" s="14" t="s">
        <v>8901</v>
      </c>
      <c r="R227" s="14">
        <v>2</v>
      </c>
      <c r="S227" s="14" t="s">
        <v>50</v>
      </c>
      <c r="T227" s="5"/>
    </row>
    <row r="228" spans="1:20" s="369" customFormat="1" x14ac:dyDescent="0.25">
      <c r="A228" s="11">
        <v>42776</v>
      </c>
      <c r="B228" s="631" t="s">
        <v>8606</v>
      </c>
      <c r="C228" s="631">
        <v>38.086370000000002</v>
      </c>
      <c r="D228" s="631">
        <v>-121.68035</v>
      </c>
      <c r="E228" s="631" t="s">
        <v>8902</v>
      </c>
      <c r="F228" s="631" t="s">
        <v>46</v>
      </c>
      <c r="G228" s="631" t="s">
        <v>97</v>
      </c>
      <c r="H228" s="12">
        <v>0.51597222222222217</v>
      </c>
      <c r="I228" s="13">
        <v>77.94</v>
      </c>
      <c r="J228" s="14" t="s">
        <v>8608</v>
      </c>
      <c r="K228" s="14">
        <v>5</v>
      </c>
      <c r="L228" s="14" t="s">
        <v>8609</v>
      </c>
      <c r="M228" s="14" t="s">
        <v>8617</v>
      </c>
      <c r="N228" s="14" t="s">
        <v>702</v>
      </c>
      <c r="O228" s="14" t="s">
        <v>228</v>
      </c>
      <c r="P228" s="10">
        <v>31</v>
      </c>
      <c r="Q228" s="10" t="s">
        <v>8903</v>
      </c>
      <c r="R228" s="14">
        <v>2</v>
      </c>
      <c r="S228" s="14" t="s">
        <v>50</v>
      </c>
      <c r="T228" s="5"/>
    </row>
    <row r="229" spans="1:20" x14ac:dyDescent="0.25">
      <c r="A229" s="11">
        <v>42780</v>
      </c>
      <c r="B229" s="631" t="s">
        <v>8606</v>
      </c>
      <c r="C229" s="631">
        <v>38.04898</v>
      </c>
      <c r="D229" s="631">
        <v>-121.48996</v>
      </c>
      <c r="E229" s="631" t="s">
        <v>8904</v>
      </c>
      <c r="F229" s="631" t="s">
        <v>46</v>
      </c>
      <c r="G229" s="631" t="s">
        <v>8615</v>
      </c>
      <c r="H229" s="12">
        <v>0.32708333333333334</v>
      </c>
      <c r="I229" s="13">
        <v>67.900000000000006</v>
      </c>
      <c r="J229" s="14" t="s">
        <v>8608</v>
      </c>
      <c r="K229" s="14">
        <v>5</v>
      </c>
      <c r="L229" s="14" t="s">
        <v>8609</v>
      </c>
      <c r="M229" s="14" t="s">
        <v>8610</v>
      </c>
      <c r="N229" s="14" t="s">
        <v>702</v>
      </c>
      <c r="O229" s="14" t="s">
        <v>228</v>
      </c>
      <c r="P229" s="14">
        <v>5</v>
      </c>
      <c r="Q229" s="14" t="s">
        <v>8905</v>
      </c>
      <c r="R229" s="14">
        <v>2</v>
      </c>
      <c r="S229" s="14" t="s">
        <v>50</v>
      </c>
    </row>
    <row r="230" spans="1:20" s="16" customFormat="1" x14ac:dyDescent="0.25">
      <c r="A230" s="22">
        <v>42780</v>
      </c>
      <c r="B230" s="16" t="s">
        <v>8606</v>
      </c>
      <c r="C230" s="16">
        <v>38.096769999999999</v>
      </c>
      <c r="D230" s="16">
        <v>-121.62557</v>
      </c>
      <c r="E230" s="16" t="s">
        <v>8906</v>
      </c>
      <c r="F230" s="16" t="s">
        <v>46</v>
      </c>
      <c r="G230" s="16" t="s">
        <v>97</v>
      </c>
      <c r="H230" s="23">
        <v>0.49374999999999997</v>
      </c>
      <c r="I230" s="24">
        <f>AVERAGE(113,124,141,135,108)</f>
        <v>124.2</v>
      </c>
      <c r="J230" s="17" t="s">
        <v>8608</v>
      </c>
      <c r="K230" s="17">
        <v>5</v>
      </c>
      <c r="L230" s="17" t="s">
        <v>8609</v>
      </c>
      <c r="M230" s="17" t="s">
        <v>8610</v>
      </c>
      <c r="N230" s="17" t="s">
        <v>702</v>
      </c>
      <c r="O230" s="17" t="s">
        <v>228</v>
      </c>
      <c r="P230" s="17">
        <v>13</v>
      </c>
      <c r="Q230" s="17" t="s">
        <v>8907</v>
      </c>
      <c r="R230" s="17">
        <v>2</v>
      </c>
      <c r="S230" s="17" t="s">
        <v>50</v>
      </c>
      <c r="T230" s="87"/>
    </row>
    <row r="231" spans="1:20" s="16" customFormat="1" x14ac:dyDescent="0.25">
      <c r="A231" s="22">
        <v>42780</v>
      </c>
      <c r="B231" s="16" t="s">
        <v>8606</v>
      </c>
      <c r="C231" s="16">
        <v>38.096769999999999</v>
      </c>
      <c r="D231" s="16">
        <v>-121.62557</v>
      </c>
      <c r="E231" s="16" t="s">
        <v>8906</v>
      </c>
      <c r="F231" s="16" t="s">
        <v>46</v>
      </c>
      <c r="G231" s="16" t="s">
        <v>97</v>
      </c>
      <c r="H231" s="23"/>
      <c r="I231" s="24"/>
      <c r="J231" s="17"/>
      <c r="K231" s="17"/>
      <c r="L231" s="17"/>
      <c r="M231" s="17"/>
      <c r="N231" s="17" t="s">
        <v>3280</v>
      </c>
      <c r="O231" s="17" t="s">
        <v>228</v>
      </c>
      <c r="P231" s="17">
        <v>1</v>
      </c>
      <c r="Q231" s="17">
        <v>54</v>
      </c>
      <c r="R231" s="17">
        <v>3</v>
      </c>
      <c r="S231" s="17" t="s">
        <v>50</v>
      </c>
      <c r="T231" s="87"/>
    </row>
    <row r="232" spans="1:20" x14ac:dyDescent="0.25">
      <c r="A232" s="11">
        <v>42780</v>
      </c>
      <c r="B232" s="631" t="s">
        <v>8296</v>
      </c>
      <c r="C232" s="631">
        <v>38.33614</v>
      </c>
      <c r="D232" s="631">
        <v>-121.67328000000001</v>
      </c>
      <c r="E232" s="631" t="s">
        <v>8908</v>
      </c>
      <c r="F232" s="631" t="s">
        <v>90</v>
      </c>
      <c r="G232" s="631" t="s">
        <v>126</v>
      </c>
      <c r="H232" s="12">
        <v>0.33333333333333331</v>
      </c>
      <c r="I232" s="13" t="s">
        <v>50</v>
      </c>
      <c r="J232" s="14" t="s">
        <v>8608</v>
      </c>
      <c r="K232" s="14">
        <v>0</v>
      </c>
      <c r="L232" s="14" t="s">
        <v>50</v>
      </c>
      <c r="M232" s="14" t="s">
        <v>50</v>
      </c>
      <c r="N232" s="14" t="s">
        <v>50</v>
      </c>
      <c r="O232" s="14" t="s">
        <v>50</v>
      </c>
      <c r="P232" s="14">
        <v>0</v>
      </c>
      <c r="Q232" s="14" t="s">
        <v>50</v>
      </c>
      <c r="R232" s="14" t="s">
        <v>50</v>
      </c>
      <c r="S232" s="14" t="s">
        <v>50</v>
      </c>
      <c r="T232" s="5" t="s">
        <v>8909</v>
      </c>
    </row>
    <row r="233" spans="1:20" x14ac:dyDescent="0.25">
      <c r="A233" s="11">
        <v>42780</v>
      </c>
      <c r="B233" s="631" t="s">
        <v>8809</v>
      </c>
      <c r="C233" s="631">
        <v>38.065750000000001</v>
      </c>
      <c r="D233" s="631">
        <v>-122.0968</v>
      </c>
      <c r="E233" s="631" t="s">
        <v>8910</v>
      </c>
      <c r="F233" s="631" t="s">
        <v>80</v>
      </c>
      <c r="G233" s="631" t="s">
        <v>81</v>
      </c>
      <c r="H233" s="12">
        <v>0.35486111111111113</v>
      </c>
      <c r="I233" s="13" t="s">
        <v>50</v>
      </c>
      <c r="J233" s="14" t="s">
        <v>8608</v>
      </c>
      <c r="K233" s="14">
        <v>8</v>
      </c>
      <c r="L233" s="14" t="s">
        <v>8609</v>
      </c>
      <c r="M233" s="14" t="s">
        <v>8610</v>
      </c>
      <c r="N233" s="14" t="s">
        <v>702</v>
      </c>
      <c r="O233" s="14" t="s">
        <v>228</v>
      </c>
      <c r="P233" s="14">
        <v>22</v>
      </c>
      <c r="Q233" s="14" t="s">
        <v>8911</v>
      </c>
      <c r="R233" s="14">
        <v>2</v>
      </c>
      <c r="S233" s="14" t="s">
        <v>50</v>
      </c>
      <c r="T233" s="5" t="s">
        <v>8912</v>
      </c>
    </row>
    <row r="234" spans="1:20" x14ac:dyDescent="0.25">
      <c r="A234" s="11">
        <v>42780</v>
      </c>
      <c r="B234" s="631" t="s">
        <v>8296</v>
      </c>
      <c r="C234" s="631">
        <v>38.068930000000002</v>
      </c>
      <c r="D234" s="631">
        <v>-121.86125</v>
      </c>
      <c r="E234" s="631" t="s">
        <v>8913</v>
      </c>
      <c r="F234" s="631" t="s">
        <v>27</v>
      </c>
      <c r="G234" s="631" t="s">
        <v>25</v>
      </c>
      <c r="H234" s="12">
        <v>0.35694444444444445</v>
      </c>
      <c r="I234" s="13">
        <v>224.8</v>
      </c>
      <c r="J234" s="14" t="s">
        <v>8608</v>
      </c>
      <c r="K234" s="14">
        <v>0</v>
      </c>
      <c r="L234" s="14" t="s">
        <v>8625</v>
      </c>
      <c r="M234" s="14" t="s">
        <v>8610</v>
      </c>
      <c r="N234" s="14" t="s">
        <v>50</v>
      </c>
      <c r="O234" s="14" t="s">
        <v>228</v>
      </c>
      <c r="P234" s="18">
        <v>0</v>
      </c>
      <c r="Q234" s="18" t="s">
        <v>50</v>
      </c>
      <c r="R234" s="14" t="s">
        <v>8914</v>
      </c>
      <c r="S234" s="14" t="s">
        <v>50</v>
      </c>
    </row>
    <row r="235" spans="1:20" x14ac:dyDescent="0.25">
      <c r="A235" s="11">
        <v>42780</v>
      </c>
      <c r="B235" s="631" t="s">
        <v>8606</v>
      </c>
      <c r="C235" s="631">
        <v>38.038400000000003</v>
      </c>
      <c r="D235" s="631">
        <v>-121.50275999999999</v>
      </c>
      <c r="E235" s="631" t="s">
        <v>8915</v>
      </c>
      <c r="F235" s="631" t="s">
        <v>46</v>
      </c>
      <c r="G235" s="631" t="s">
        <v>8615</v>
      </c>
      <c r="H235" s="342">
        <v>0.39652777777777781</v>
      </c>
      <c r="I235" s="13">
        <v>47.18</v>
      </c>
      <c r="J235" s="14" t="s">
        <v>8608</v>
      </c>
      <c r="K235" s="14">
        <v>5</v>
      </c>
      <c r="L235" s="14" t="s">
        <v>8609</v>
      </c>
      <c r="M235" s="14" t="s">
        <v>8610</v>
      </c>
      <c r="N235" s="14" t="s">
        <v>702</v>
      </c>
      <c r="O235" s="14" t="s">
        <v>228</v>
      </c>
      <c r="P235" s="18">
        <v>1</v>
      </c>
      <c r="Q235" s="18">
        <v>41</v>
      </c>
      <c r="R235" s="14">
        <v>2</v>
      </c>
      <c r="S235" s="14" t="s">
        <v>50</v>
      </c>
    </row>
    <row r="236" spans="1:20" x14ac:dyDescent="0.25">
      <c r="A236" s="11">
        <v>42780</v>
      </c>
      <c r="B236" s="631" t="s">
        <v>8296</v>
      </c>
      <c r="C236" s="631">
        <v>38.033999999999999</v>
      </c>
      <c r="D236" s="631">
        <v>-121.87119</v>
      </c>
      <c r="E236" s="16" t="s">
        <v>8916</v>
      </c>
      <c r="F236" s="631" t="s">
        <v>27</v>
      </c>
      <c r="G236" s="16" t="s">
        <v>863</v>
      </c>
      <c r="H236" s="342">
        <v>0.42499999999999999</v>
      </c>
      <c r="I236" s="13">
        <v>133.5</v>
      </c>
      <c r="J236" s="14" t="s">
        <v>8608</v>
      </c>
      <c r="K236" s="14">
        <v>2</v>
      </c>
      <c r="L236" s="14" t="s">
        <v>8625</v>
      </c>
      <c r="M236" s="14" t="s">
        <v>8610</v>
      </c>
      <c r="N236" s="14" t="s">
        <v>702</v>
      </c>
      <c r="O236" s="14" t="s">
        <v>228</v>
      </c>
      <c r="P236" s="18">
        <v>1</v>
      </c>
      <c r="Q236" s="18">
        <v>39</v>
      </c>
      <c r="R236" s="14">
        <v>2</v>
      </c>
      <c r="S236" s="14" t="s">
        <v>50</v>
      </c>
      <c r="T236" s="5" t="s">
        <v>8917</v>
      </c>
    </row>
    <row r="237" spans="1:20" x14ac:dyDescent="0.25">
      <c r="A237" s="11">
        <v>42780</v>
      </c>
      <c r="B237" s="631" t="s">
        <v>8296</v>
      </c>
      <c r="C237" s="631">
        <v>38.052549999999997</v>
      </c>
      <c r="D237" s="631">
        <v>-121.95688</v>
      </c>
      <c r="E237" s="631" t="s">
        <v>8918</v>
      </c>
      <c r="F237" s="631" t="s">
        <v>27</v>
      </c>
      <c r="G237" s="631" t="s">
        <v>170</v>
      </c>
      <c r="H237" s="342">
        <v>0.45347222222222222</v>
      </c>
      <c r="I237" s="13">
        <v>126.6</v>
      </c>
      <c r="J237" s="14" t="s">
        <v>8608</v>
      </c>
      <c r="K237" s="14">
        <v>5</v>
      </c>
      <c r="L237" s="14" t="s">
        <v>8625</v>
      </c>
      <c r="M237" s="14" t="s">
        <v>8610</v>
      </c>
      <c r="N237" s="14" t="s">
        <v>702</v>
      </c>
      <c r="O237" s="14" t="s">
        <v>228</v>
      </c>
      <c r="P237" s="18">
        <v>7</v>
      </c>
      <c r="Q237" s="18" t="s">
        <v>8919</v>
      </c>
      <c r="R237" s="14">
        <v>2</v>
      </c>
      <c r="S237" s="14" t="s">
        <v>50</v>
      </c>
    </row>
    <row r="238" spans="1:20" x14ac:dyDescent="0.25">
      <c r="A238" s="11">
        <v>42780</v>
      </c>
      <c r="B238" s="631" t="s">
        <v>8809</v>
      </c>
      <c r="C238" s="631">
        <v>38.06024</v>
      </c>
      <c r="D238" s="631">
        <v>-122.19956000000001</v>
      </c>
      <c r="E238" s="631" t="s">
        <v>8920</v>
      </c>
      <c r="F238" s="631" t="s">
        <v>80</v>
      </c>
      <c r="G238" s="631" t="s">
        <v>120</v>
      </c>
      <c r="H238" s="342">
        <v>0.4770833333333333</v>
      </c>
      <c r="I238" s="13" t="s">
        <v>50</v>
      </c>
      <c r="J238" s="14" t="s">
        <v>8608</v>
      </c>
      <c r="K238" s="14">
        <v>6</v>
      </c>
      <c r="L238" s="14" t="s">
        <v>8609</v>
      </c>
      <c r="M238" s="14" t="s">
        <v>8610</v>
      </c>
      <c r="N238" s="14" t="s">
        <v>702</v>
      </c>
      <c r="O238" s="14" t="s">
        <v>228</v>
      </c>
      <c r="P238" s="18">
        <v>57</v>
      </c>
      <c r="Q238" s="18" t="s">
        <v>8921</v>
      </c>
      <c r="R238" s="14">
        <v>2</v>
      </c>
      <c r="S238" s="14" t="s">
        <v>50</v>
      </c>
      <c r="T238" s="5" t="s">
        <v>8922</v>
      </c>
    </row>
    <row r="239" spans="1:20" x14ac:dyDescent="0.25">
      <c r="A239" s="11">
        <v>42780</v>
      </c>
      <c r="B239" s="631" t="s">
        <v>8809</v>
      </c>
      <c r="C239" s="631">
        <v>38.06024</v>
      </c>
      <c r="D239" s="631">
        <v>-122.19956000000001</v>
      </c>
      <c r="E239" s="631" t="s">
        <v>8920</v>
      </c>
      <c r="F239" s="631" t="s">
        <v>80</v>
      </c>
      <c r="G239" s="631" t="s">
        <v>120</v>
      </c>
      <c r="H239" s="21"/>
      <c r="I239" s="12"/>
      <c r="J239" s="14"/>
      <c r="K239" s="14"/>
      <c r="L239" s="14"/>
      <c r="M239" s="14"/>
      <c r="N239" s="14" t="s">
        <v>3280</v>
      </c>
      <c r="O239" s="14" t="s">
        <v>228</v>
      </c>
      <c r="P239" s="18">
        <v>1</v>
      </c>
      <c r="Q239" s="18">
        <v>54</v>
      </c>
      <c r="R239" s="14">
        <v>3</v>
      </c>
      <c r="S239" s="14" t="s">
        <v>50</v>
      </c>
    </row>
    <row r="240" spans="1:20" x14ac:dyDescent="0.25">
      <c r="A240" s="11">
        <v>42780</v>
      </c>
      <c r="B240" s="631" t="s">
        <v>8809</v>
      </c>
      <c r="C240" s="631">
        <v>38.06024</v>
      </c>
      <c r="D240" s="631">
        <v>-122.19956000000001</v>
      </c>
      <c r="E240" s="631" t="s">
        <v>8920</v>
      </c>
      <c r="F240" s="631" t="s">
        <v>80</v>
      </c>
      <c r="G240" s="631" t="s">
        <v>120</v>
      </c>
      <c r="H240" s="631"/>
      <c r="I240" s="12"/>
      <c r="J240" s="14"/>
      <c r="K240" s="14"/>
      <c r="L240" s="14"/>
      <c r="M240" s="14"/>
      <c r="N240" s="14" t="s">
        <v>5265</v>
      </c>
      <c r="O240" s="14" t="s">
        <v>2525</v>
      </c>
      <c r="P240" s="15">
        <v>1</v>
      </c>
      <c r="Q240" s="15">
        <v>120</v>
      </c>
      <c r="R240" s="14" t="s">
        <v>50</v>
      </c>
      <c r="S240" s="14" t="s">
        <v>50</v>
      </c>
    </row>
    <row r="241" spans="1:20" x14ac:dyDescent="0.25">
      <c r="A241" s="11">
        <v>42780</v>
      </c>
      <c r="B241" s="631" t="s">
        <v>8809</v>
      </c>
      <c r="C241" s="631">
        <v>38.06024</v>
      </c>
      <c r="D241" s="631">
        <v>-122.19956000000001</v>
      </c>
      <c r="E241" s="631" t="s">
        <v>8920</v>
      </c>
      <c r="F241" s="631" t="s">
        <v>80</v>
      </c>
      <c r="G241" s="631" t="s">
        <v>120</v>
      </c>
      <c r="H241" s="631"/>
      <c r="I241" s="12"/>
      <c r="J241" s="14"/>
      <c r="K241" s="14"/>
      <c r="L241" s="14"/>
      <c r="M241" s="14"/>
      <c r="N241" s="14" t="s">
        <v>323</v>
      </c>
      <c r="O241" s="14" t="s">
        <v>228</v>
      </c>
      <c r="P241" s="18">
        <v>1</v>
      </c>
      <c r="Q241" s="18">
        <v>64</v>
      </c>
      <c r="R241" s="14" t="s">
        <v>50</v>
      </c>
      <c r="S241" s="14" t="s">
        <v>8613</v>
      </c>
    </row>
    <row r="242" spans="1:20" x14ac:dyDescent="0.25">
      <c r="A242" s="11">
        <v>42780</v>
      </c>
      <c r="B242" s="631" t="s">
        <v>8296</v>
      </c>
      <c r="C242" s="631">
        <v>38.098030000000001</v>
      </c>
      <c r="D242" s="631">
        <v>-122.06594</v>
      </c>
      <c r="E242" s="631" t="s">
        <v>8923</v>
      </c>
      <c r="F242" s="631" t="s">
        <v>27</v>
      </c>
      <c r="G242" s="631" t="s">
        <v>86</v>
      </c>
      <c r="H242" s="12">
        <v>0.51944444444444449</v>
      </c>
      <c r="I242" s="13">
        <v>190.8</v>
      </c>
      <c r="J242" s="14" t="s">
        <v>8608</v>
      </c>
      <c r="K242" s="14">
        <v>5</v>
      </c>
      <c r="L242" s="14" t="s">
        <v>8625</v>
      </c>
      <c r="M242" s="14" t="s">
        <v>8610</v>
      </c>
      <c r="N242" s="14" t="s">
        <v>702</v>
      </c>
      <c r="O242" s="14" t="s">
        <v>228</v>
      </c>
      <c r="P242" s="18">
        <v>5</v>
      </c>
      <c r="Q242" s="18" t="s">
        <v>8924</v>
      </c>
      <c r="R242" s="14">
        <v>2</v>
      </c>
      <c r="S242" s="14" t="s">
        <v>50</v>
      </c>
    </row>
    <row r="243" spans="1:20" x14ac:dyDescent="0.25">
      <c r="A243" s="11">
        <v>42780</v>
      </c>
      <c r="B243" s="631" t="s">
        <v>8809</v>
      </c>
      <c r="C243" s="631">
        <v>38.029330000000002</v>
      </c>
      <c r="D243" s="631">
        <v>-122.1656</v>
      </c>
      <c r="E243" s="631" t="s">
        <v>8925</v>
      </c>
      <c r="F243" s="631" t="s">
        <v>80</v>
      </c>
      <c r="G243" s="631" t="s">
        <v>120</v>
      </c>
      <c r="H243" s="12">
        <v>0.56527777777777777</v>
      </c>
      <c r="I243" s="13" t="s">
        <v>50</v>
      </c>
      <c r="J243" s="14" t="s">
        <v>8608</v>
      </c>
      <c r="K243" s="14">
        <v>2</v>
      </c>
      <c r="L243" s="14" t="s">
        <v>8609</v>
      </c>
      <c r="M243" s="14" t="s">
        <v>8617</v>
      </c>
      <c r="N243" s="14" t="s">
        <v>702</v>
      </c>
      <c r="O243" s="14" t="s">
        <v>228</v>
      </c>
      <c r="P243" s="18">
        <v>10</v>
      </c>
      <c r="Q243" s="18" t="s">
        <v>8926</v>
      </c>
      <c r="R243" s="14">
        <v>2</v>
      </c>
      <c r="S243" s="14" t="s">
        <v>8613</v>
      </c>
      <c r="T243" s="5" t="s">
        <v>8927</v>
      </c>
    </row>
    <row r="244" spans="1:20" x14ac:dyDescent="0.25">
      <c r="A244" s="11">
        <v>42780</v>
      </c>
      <c r="B244" s="631" t="s">
        <v>8809</v>
      </c>
      <c r="C244" s="631">
        <v>38.029330000000002</v>
      </c>
      <c r="D244" s="631">
        <v>-122.1656</v>
      </c>
      <c r="E244" s="631" t="s">
        <v>8925</v>
      </c>
      <c r="F244" s="631" t="s">
        <v>80</v>
      </c>
      <c r="G244" s="631" t="s">
        <v>120</v>
      </c>
      <c r="H244" s="12"/>
      <c r="I244" s="13"/>
      <c r="J244" s="14"/>
      <c r="K244" s="14"/>
      <c r="L244" s="14"/>
      <c r="M244" s="14"/>
      <c r="N244" s="14" t="s">
        <v>323</v>
      </c>
      <c r="O244" s="14" t="s">
        <v>228</v>
      </c>
      <c r="P244" s="18">
        <v>1</v>
      </c>
      <c r="Q244" s="18">
        <v>75</v>
      </c>
      <c r="R244" s="14" t="s">
        <v>50</v>
      </c>
      <c r="S244" s="14" t="s">
        <v>8928</v>
      </c>
    </row>
    <row r="245" spans="1:20" x14ac:dyDescent="0.25">
      <c r="A245" s="11">
        <v>42780</v>
      </c>
      <c r="B245" s="631" t="s">
        <v>8809</v>
      </c>
      <c r="C245" s="631">
        <v>38.054389999999998</v>
      </c>
      <c r="D245" s="631">
        <v>-122.06513</v>
      </c>
      <c r="E245" s="631" t="s">
        <v>8929</v>
      </c>
      <c r="F245" s="631" t="s">
        <v>80</v>
      </c>
      <c r="G245" s="631" t="s">
        <v>81</v>
      </c>
      <c r="H245" s="12">
        <v>0.60277777777777775</v>
      </c>
      <c r="I245" s="13" t="s">
        <v>50</v>
      </c>
      <c r="J245" s="14" t="s">
        <v>8608</v>
      </c>
      <c r="K245" s="631">
        <v>2</v>
      </c>
      <c r="L245" s="14" t="s">
        <v>8609</v>
      </c>
      <c r="M245" s="14" t="s">
        <v>8617</v>
      </c>
      <c r="N245" s="14" t="s">
        <v>702</v>
      </c>
      <c r="O245" s="14" t="s">
        <v>228</v>
      </c>
      <c r="P245" s="18">
        <v>82</v>
      </c>
      <c r="Q245" s="18" t="s">
        <v>8930</v>
      </c>
      <c r="R245" s="14">
        <v>2</v>
      </c>
      <c r="S245" s="14" t="s">
        <v>50</v>
      </c>
    </row>
    <row r="246" spans="1:20" x14ac:dyDescent="0.25">
      <c r="A246" s="11">
        <v>42780</v>
      </c>
      <c r="B246" s="631" t="s">
        <v>8809</v>
      </c>
      <c r="C246" s="631">
        <v>38.054389999999998</v>
      </c>
      <c r="D246" s="631">
        <v>-122.06513</v>
      </c>
      <c r="E246" s="631" t="s">
        <v>8929</v>
      </c>
      <c r="F246" s="631" t="s">
        <v>80</v>
      </c>
      <c r="G246" s="631" t="s">
        <v>81</v>
      </c>
      <c r="H246" s="12"/>
      <c r="I246" s="13"/>
      <c r="J246" s="14"/>
      <c r="K246" s="14"/>
      <c r="L246" s="14"/>
      <c r="M246" s="14"/>
      <c r="N246" s="14" t="s">
        <v>3280</v>
      </c>
      <c r="O246" s="14" t="s">
        <v>228</v>
      </c>
      <c r="P246" s="18">
        <v>1</v>
      </c>
      <c r="Q246" s="18">
        <v>61</v>
      </c>
      <c r="R246" s="14">
        <v>3</v>
      </c>
      <c r="S246" s="14" t="s">
        <v>50</v>
      </c>
    </row>
    <row r="247" spans="1:20" x14ac:dyDescent="0.25">
      <c r="A247" s="20">
        <v>42780</v>
      </c>
      <c r="B247" s="631" t="s">
        <v>8809</v>
      </c>
      <c r="C247" s="631">
        <v>38.054389999999998</v>
      </c>
      <c r="D247" s="631">
        <v>-122.06513</v>
      </c>
      <c r="E247" s="631" t="s">
        <v>8929</v>
      </c>
      <c r="F247" s="631" t="s">
        <v>80</v>
      </c>
      <c r="G247" s="631" t="s">
        <v>81</v>
      </c>
      <c r="H247" s="631"/>
      <c r="J247" s="631"/>
      <c r="K247" s="631"/>
      <c r="L247" s="631"/>
      <c r="M247" s="631"/>
      <c r="N247" s="14" t="s">
        <v>323</v>
      </c>
      <c r="O247" s="14" t="s">
        <v>228</v>
      </c>
      <c r="P247" s="18">
        <v>1</v>
      </c>
      <c r="Q247" s="18">
        <v>68</v>
      </c>
      <c r="R247" s="14" t="s">
        <v>50</v>
      </c>
      <c r="S247" s="14" t="s">
        <v>8613</v>
      </c>
    </row>
    <row r="248" spans="1:20" x14ac:dyDescent="0.25">
      <c r="A248" s="22">
        <v>42780</v>
      </c>
      <c r="B248" s="16" t="s">
        <v>8809</v>
      </c>
      <c r="C248" s="16">
        <v>38.048119999999997</v>
      </c>
      <c r="D248" s="16">
        <v>-122.10805000000001</v>
      </c>
      <c r="E248" s="16" t="s">
        <v>8931</v>
      </c>
      <c r="F248" s="16" t="s">
        <v>80</v>
      </c>
      <c r="G248" s="16" t="s">
        <v>81</v>
      </c>
      <c r="H248" s="23">
        <v>0.63750000000000007</v>
      </c>
      <c r="I248" s="24" t="s">
        <v>50</v>
      </c>
      <c r="J248" s="17" t="s">
        <v>8608</v>
      </c>
      <c r="K248" s="17">
        <v>2</v>
      </c>
      <c r="L248" s="17" t="s">
        <v>8609</v>
      </c>
      <c r="M248" s="17" t="s">
        <v>8617</v>
      </c>
      <c r="N248" s="17" t="s">
        <v>702</v>
      </c>
      <c r="O248" s="17" t="s">
        <v>228</v>
      </c>
      <c r="P248" s="19">
        <v>2</v>
      </c>
      <c r="Q248" s="19" t="s">
        <v>8932</v>
      </c>
      <c r="R248" s="17">
        <v>2</v>
      </c>
      <c r="S248" s="17" t="s">
        <v>50</v>
      </c>
    </row>
    <row r="249" spans="1:20" x14ac:dyDescent="0.25">
      <c r="A249" s="22">
        <v>42780</v>
      </c>
      <c r="B249" s="16" t="s">
        <v>8809</v>
      </c>
      <c r="C249" s="16">
        <v>38.048119999999997</v>
      </c>
      <c r="D249" s="16">
        <v>-122.10805000000001</v>
      </c>
      <c r="E249" s="16" t="s">
        <v>8931</v>
      </c>
      <c r="F249" s="16" t="s">
        <v>80</v>
      </c>
      <c r="G249" s="16" t="s">
        <v>81</v>
      </c>
      <c r="H249" s="23"/>
      <c r="I249" s="24"/>
      <c r="J249" s="17"/>
      <c r="K249" s="17"/>
      <c r="L249" s="17"/>
      <c r="M249" s="17"/>
      <c r="N249" s="17" t="s">
        <v>323</v>
      </c>
      <c r="O249" s="17" t="s">
        <v>228</v>
      </c>
      <c r="P249" s="19">
        <v>1</v>
      </c>
      <c r="Q249" s="19">
        <v>72</v>
      </c>
      <c r="R249" s="17" t="s">
        <v>50</v>
      </c>
      <c r="S249" s="17" t="s">
        <v>8613</v>
      </c>
    </row>
    <row r="250" spans="1:20" x14ac:dyDescent="0.25">
      <c r="A250" s="11">
        <v>42781</v>
      </c>
      <c r="B250" s="631" t="s">
        <v>8606</v>
      </c>
      <c r="C250" s="16">
        <v>38.088929999999998</v>
      </c>
      <c r="D250" s="631">
        <v>-121.64966</v>
      </c>
      <c r="E250" s="631" t="s">
        <v>8933</v>
      </c>
      <c r="F250" s="631" t="s">
        <v>46</v>
      </c>
      <c r="G250" s="631" t="s">
        <v>97</v>
      </c>
      <c r="H250" s="12">
        <v>0.31666666666666665</v>
      </c>
      <c r="I250" s="13">
        <v>94.02</v>
      </c>
      <c r="J250" s="14" t="s">
        <v>8608</v>
      </c>
      <c r="K250" s="14">
        <v>5</v>
      </c>
      <c r="L250" s="14">
        <v>10</v>
      </c>
      <c r="M250" s="14" t="s">
        <v>8610</v>
      </c>
      <c r="N250" s="14" t="s">
        <v>702</v>
      </c>
      <c r="O250" s="14" t="s">
        <v>228</v>
      </c>
      <c r="P250" s="18">
        <v>11</v>
      </c>
      <c r="Q250" s="18" t="s">
        <v>8934</v>
      </c>
      <c r="R250" s="14">
        <v>2</v>
      </c>
      <c r="S250" s="14" t="s">
        <v>50</v>
      </c>
    </row>
    <row r="251" spans="1:20" x14ac:dyDescent="0.25">
      <c r="A251" s="11">
        <v>42781</v>
      </c>
      <c r="B251" s="631" t="s">
        <v>8606</v>
      </c>
      <c r="C251" s="16">
        <v>38.088929999999998</v>
      </c>
      <c r="D251" s="631">
        <v>-121.64966</v>
      </c>
      <c r="E251" s="631" t="s">
        <v>8933</v>
      </c>
      <c r="F251" s="631" t="s">
        <v>46</v>
      </c>
      <c r="G251" s="631" t="s">
        <v>97</v>
      </c>
      <c r="H251" s="12"/>
      <c r="I251" s="13"/>
      <c r="J251" s="14"/>
      <c r="K251" s="14"/>
      <c r="L251" s="14"/>
      <c r="M251" s="14"/>
      <c r="N251" s="14" t="s">
        <v>31</v>
      </c>
      <c r="O251" s="14" t="s">
        <v>228</v>
      </c>
      <c r="P251" s="18">
        <v>1</v>
      </c>
      <c r="Q251" s="18">
        <v>76</v>
      </c>
      <c r="R251" s="14" t="s">
        <v>50</v>
      </c>
      <c r="S251" s="14" t="s">
        <v>8935</v>
      </c>
    </row>
    <row r="252" spans="1:20" s="16" customFormat="1" x14ac:dyDescent="0.25">
      <c r="A252" s="22">
        <v>42781</v>
      </c>
      <c r="B252" s="16" t="s">
        <v>8606</v>
      </c>
      <c r="C252" s="16">
        <v>38.088929999999998</v>
      </c>
      <c r="D252" s="16">
        <v>-121.64966</v>
      </c>
      <c r="E252" s="16" t="s">
        <v>8933</v>
      </c>
      <c r="F252" s="16" t="s">
        <v>46</v>
      </c>
      <c r="G252" s="16" t="s">
        <v>97</v>
      </c>
      <c r="H252" s="23"/>
      <c r="I252" s="24"/>
      <c r="J252" s="17"/>
      <c r="K252" s="17"/>
      <c r="L252" s="17"/>
      <c r="M252" s="17"/>
      <c r="N252" s="17" t="s">
        <v>758</v>
      </c>
      <c r="O252" s="17" t="s">
        <v>228</v>
      </c>
      <c r="P252" s="19">
        <v>1</v>
      </c>
      <c r="Q252" s="19">
        <v>108</v>
      </c>
      <c r="R252" s="17">
        <v>4</v>
      </c>
      <c r="S252" s="17" t="s">
        <v>50</v>
      </c>
      <c r="T252" s="87"/>
    </row>
    <row r="253" spans="1:20" x14ac:dyDescent="0.25">
      <c r="A253" s="11">
        <v>42781</v>
      </c>
      <c r="B253" s="631" t="s">
        <v>8606</v>
      </c>
      <c r="C253" s="631">
        <v>38.101170000000003</v>
      </c>
      <c r="D253" s="631">
        <v>-121.61472999999999</v>
      </c>
      <c r="E253" s="631" t="s">
        <v>8936</v>
      </c>
      <c r="F253" s="631" t="s">
        <v>46</v>
      </c>
      <c r="G253" s="631" t="s">
        <v>97</v>
      </c>
      <c r="H253" s="12">
        <v>0.44930555555555601</v>
      </c>
      <c r="I253" s="13">
        <v>88.26</v>
      </c>
      <c r="J253" s="14" t="s">
        <v>8608</v>
      </c>
      <c r="K253" s="14">
        <v>5</v>
      </c>
      <c r="L253" s="14">
        <v>10</v>
      </c>
      <c r="M253" s="14" t="s">
        <v>8610</v>
      </c>
      <c r="N253" s="14" t="s">
        <v>702</v>
      </c>
      <c r="O253" s="14" t="s">
        <v>228</v>
      </c>
      <c r="P253" s="18">
        <v>4</v>
      </c>
      <c r="Q253" s="18" t="s">
        <v>8937</v>
      </c>
      <c r="R253" s="14">
        <v>2</v>
      </c>
      <c r="S253" s="14" t="s">
        <v>50</v>
      </c>
    </row>
    <row r="254" spans="1:20" x14ac:dyDescent="0.25">
      <c r="A254" s="11">
        <v>42781</v>
      </c>
      <c r="B254" s="631" t="s">
        <v>8606</v>
      </c>
      <c r="C254" s="631">
        <v>38.093359999999997</v>
      </c>
      <c r="D254" s="631">
        <v>-121.65640999999999</v>
      </c>
      <c r="E254" s="631" t="s">
        <v>8938</v>
      </c>
      <c r="F254" s="631" t="s">
        <v>46</v>
      </c>
      <c r="G254" s="631" t="s">
        <v>97</v>
      </c>
      <c r="H254" s="12">
        <v>0.38263888888888892</v>
      </c>
      <c r="I254" s="13">
        <v>91.16</v>
      </c>
      <c r="J254" s="14" t="s">
        <v>8608</v>
      </c>
      <c r="K254" s="14">
        <v>5</v>
      </c>
      <c r="L254" s="14">
        <v>10</v>
      </c>
      <c r="M254" s="14" t="s">
        <v>8610</v>
      </c>
      <c r="N254" s="14" t="s">
        <v>702</v>
      </c>
      <c r="O254" s="14" t="s">
        <v>228</v>
      </c>
      <c r="P254" s="18">
        <v>4</v>
      </c>
      <c r="Q254" s="18" t="s">
        <v>8939</v>
      </c>
      <c r="R254" s="14">
        <v>2</v>
      </c>
      <c r="S254" s="14" t="s">
        <v>50</v>
      </c>
    </row>
    <row r="255" spans="1:20" x14ac:dyDescent="0.25">
      <c r="A255" s="11">
        <v>42781</v>
      </c>
      <c r="B255" s="631" t="s">
        <v>8296</v>
      </c>
      <c r="C255" s="631">
        <v>38.161749999999998</v>
      </c>
      <c r="D255" s="631">
        <v>-122.04756999999999</v>
      </c>
      <c r="E255" s="631" t="s">
        <v>8940</v>
      </c>
      <c r="F255" s="631" t="s">
        <v>27</v>
      </c>
      <c r="G255" s="631" t="s">
        <v>62</v>
      </c>
      <c r="H255" s="12">
        <v>0.35486111111111113</v>
      </c>
      <c r="I255" s="13">
        <v>212.3</v>
      </c>
      <c r="J255" s="14" t="s">
        <v>8608</v>
      </c>
      <c r="K255" s="14">
        <v>5</v>
      </c>
      <c r="L255" s="14">
        <v>5</v>
      </c>
      <c r="M255" s="14" t="s">
        <v>8610</v>
      </c>
      <c r="N255" s="14" t="s">
        <v>702</v>
      </c>
      <c r="O255" s="14" t="s">
        <v>228</v>
      </c>
      <c r="P255" s="18">
        <v>9</v>
      </c>
      <c r="Q255" s="18" t="s">
        <v>8941</v>
      </c>
      <c r="R255" s="14">
        <v>2</v>
      </c>
      <c r="S255" s="14" t="s">
        <v>50</v>
      </c>
    </row>
    <row r="256" spans="1:20" x14ac:dyDescent="0.25">
      <c r="A256" s="11">
        <v>42781</v>
      </c>
      <c r="B256" s="631" t="s">
        <v>8296</v>
      </c>
      <c r="C256" s="631">
        <v>38.161749999999998</v>
      </c>
      <c r="D256" s="631">
        <v>-122.04756999999999</v>
      </c>
      <c r="E256" s="631" t="s">
        <v>8940</v>
      </c>
      <c r="F256" s="631" t="s">
        <v>27</v>
      </c>
      <c r="G256" s="631" t="s">
        <v>62</v>
      </c>
      <c r="H256" s="12"/>
      <c r="I256" s="13"/>
      <c r="J256" s="14"/>
      <c r="K256" s="14"/>
      <c r="L256" s="14"/>
      <c r="M256" s="14"/>
      <c r="N256" s="14" t="s">
        <v>3280</v>
      </c>
      <c r="O256" s="14" t="s">
        <v>228</v>
      </c>
      <c r="P256" s="18">
        <v>2</v>
      </c>
      <c r="Q256" s="18">
        <v>55</v>
      </c>
      <c r="R256" s="14">
        <v>3</v>
      </c>
      <c r="S256" s="14" t="s">
        <v>50</v>
      </c>
    </row>
    <row r="257" spans="1:20" x14ac:dyDescent="0.25">
      <c r="A257" s="11">
        <v>42781</v>
      </c>
      <c r="B257" s="631" t="s">
        <v>8296</v>
      </c>
      <c r="C257" s="631">
        <v>38.075339999999997</v>
      </c>
      <c r="D257" s="631">
        <v>-121.9982</v>
      </c>
      <c r="E257" s="631" t="s">
        <v>8942</v>
      </c>
      <c r="F257" s="631" t="s">
        <v>27</v>
      </c>
      <c r="G257" s="631" t="s">
        <v>86</v>
      </c>
      <c r="H257" s="12">
        <v>0.4201388888888889</v>
      </c>
      <c r="I257" s="13">
        <v>222.6</v>
      </c>
      <c r="J257" s="14" t="s">
        <v>8608</v>
      </c>
      <c r="K257" s="14">
        <v>5</v>
      </c>
      <c r="L257" s="14">
        <v>5</v>
      </c>
      <c r="M257" s="14" t="s">
        <v>8610</v>
      </c>
      <c r="N257" s="14" t="s">
        <v>3280</v>
      </c>
      <c r="O257" s="14" t="s">
        <v>228</v>
      </c>
      <c r="P257" s="18">
        <v>2</v>
      </c>
      <c r="Q257" s="18" t="s">
        <v>8943</v>
      </c>
      <c r="R257" s="14">
        <v>2</v>
      </c>
      <c r="S257" s="14" t="s">
        <v>50</v>
      </c>
    </row>
    <row r="258" spans="1:20" x14ac:dyDescent="0.25">
      <c r="A258" s="11">
        <v>42781</v>
      </c>
      <c r="B258" s="631" t="s">
        <v>8296</v>
      </c>
      <c r="C258" s="631">
        <v>38.037759999999999</v>
      </c>
      <c r="D258" s="631">
        <v>-121.72609</v>
      </c>
      <c r="E258" s="16" t="s">
        <v>8944</v>
      </c>
      <c r="F258" s="631" t="s">
        <v>27</v>
      </c>
      <c r="G258" s="16" t="s">
        <v>863</v>
      </c>
      <c r="H258" s="12">
        <v>0.50347222222222221</v>
      </c>
      <c r="I258" s="13">
        <v>197</v>
      </c>
      <c r="J258" s="14" t="s">
        <v>8608</v>
      </c>
      <c r="K258" s="14">
        <v>5</v>
      </c>
      <c r="L258" s="14">
        <v>5</v>
      </c>
      <c r="M258" s="14" t="s">
        <v>8610</v>
      </c>
      <c r="N258" s="14" t="s">
        <v>702</v>
      </c>
      <c r="O258" s="14" t="s">
        <v>228</v>
      </c>
      <c r="P258" s="19">
        <v>3</v>
      </c>
      <c r="Q258" s="18" t="s">
        <v>8945</v>
      </c>
      <c r="R258" s="14">
        <v>2</v>
      </c>
      <c r="S258" s="14" t="s">
        <v>50</v>
      </c>
    </row>
    <row r="259" spans="1:20" x14ac:dyDescent="0.25">
      <c r="A259" s="11">
        <v>42781</v>
      </c>
      <c r="B259" s="631" t="s">
        <v>8809</v>
      </c>
      <c r="C259" s="631">
        <v>38.181809999999999</v>
      </c>
      <c r="D259" s="631">
        <v>-122.30504999999999</v>
      </c>
      <c r="E259" s="631" t="s">
        <v>8946</v>
      </c>
      <c r="F259" s="631" t="s">
        <v>80</v>
      </c>
      <c r="G259" s="631" t="s">
        <v>191</v>
      </c>
      <c r="H259" s="12">
        <v>0.35555555555555557</v>
      </c>
      <c r="I259" s="13" t="s">
        <v>50</v>
      </c>
      <c r="J259" s="14" t="s">
        <v>8608</v>
      </c>
      <c r="K259" s="14">
        <v>2</v>
      </c>
      <c r="L259" s="14">
        <v>10</v>
      </c>
      <c r="M259" s="14" t="s">
        <v>8610</v>
      </c>
      <c r="N259" s="14" t="s">
        <v>323</v>
      </c>
      <c r="O259" s="14" t="s">
        <v>228</v>
      </c>
      <c r="P259" s="18">
        <v>1</v>
      </c>
      <c r="Q259" s="18">
        <v>67</v>
      </c>
      <c r="R259" s="14" t="s">
        <v>50</v>
      </c>
      <c r="S259" s="14" t="s">
        <v>8613</v>
      </c>
    </row>
    <row r="260" spans="1:20" x14ac:dyDescent="0.25">
      <c r="A260" s="11">
        <v>42781</v>
      </c>
      <c r="B260" s="631" t="s">
        <v>8809</v>
      </c>
      <c r="C260" s="631">
        <v>38.088259999999998</v>
      </c>
      <c r="D260" s="631">
        <v>-122.07655</v>
      </c>
      <c r="E260" s="631" t="s">
        <v>8947</v>
      </c>
      <c r="F260" s="631" t="s">
        <v>80</v>
      </c>
      <c r="G260" s="631" t="s">
        <v>81</v>
      </c>
      <c r="H260" s="12">
        <v>0.4152777777777778</v>
      </c>
      <c r="I260" s="13" t="s">
        <v>50</v>
      </c>
      <c r="J260" s="14" t="s">
        <v>8608</v>
      </c>
      <c r="K260" s="14">
        <v>8</v>
      </c>
      <c r="L260" s="14">
        <v>10</v>
      </c>
      <c r="M260" s="14" t="s">
        <v>8610</v>
      </c>
      <c r="N260" s="14" t="s">
        <v>702</v>
      </c>
      <c r="O260" s="14" t="s">
        <v>228</v>
      </c>
      <c r="P260" s="18">
        <v>13</v>
      </c>
      <c r="Q260" s="18" t="s">
        <v>8948</v>
      </c>
      <c r="R260" s="14">
        <v>2</v>
      </c>
      <c r="S260" s="14" t="s">
        <v>50</v>
      </c>
    </row>
    <row r="261" spans="1:20" x14ac:dyDescent="0.25">
      <c r="A261" s="22">
        <v>42781</v>
      </c>
      <c r="B261" s="16" t="s">
        <v>8809</v>
      </c>
      <c r="C261" s="16">
        <v>38.076839999999997</v>
      </c>
      <c r="D261" s="16">
        <v>-122.07266</v>
      </c>
      <c r="E261" s="16" t="s">
        <v>8949</v>
      </c>
      <c r="F261" s="16" t="s">
        <v>80</v>
      </c>
      <c r="G261" s="16" t="s">
        <v>81</v>
      </c>
      <c r="H261" s="23">
        <v>0.50972222222222219</v>
      </c>
      <c r="I261" s="24" t="s">
        <v>50</v>
      </c>
      <c r="J261" s="17" t="s">
        <v>8608</v>
      </c>
      <c r="K261" s="17">
        <v>5</v>
      </c>
      <c r="L261" s="17">
        <v>10</v>
      </c>
      <c r="M261" s="17" t="s">
        <v>8610</v>
      </c>
      <c r="N261" s="17" t="s">
        <v>323</v>
      </c>
      <c r="O261" s="17" t="s">
        <v>228</v>
      </c>
      <c r="P261" s="19">
        <v>1</v>
      </c>
      <c r="Q261" s="19">
        <v>70</v>
      </c>
      <c r="R261" s="17" t="s">
        <v>50</v>
      </c>
      <c r="S261" s="17" t="s">
        <v>8613</v>
      </c>
      <c r="T261" s="87"/>
    </row>
    <row r="262" spans="1:20" x14ac:dyDescent="0.25">
      <c r="A262" s="22">
        <v>42781</v>
      </c>
      <c r="B262" s="16" t="s">
        <v>8809</v>
      </c>
      <c r="C262" s="16">
        <v>38.076839999999997</v>
      </c>
      <c r="D262" s="16">
        <v>-122.07266</v>
      </c>
      <c r="E262" s="16" t="s">
        <v>8949</v>
      </c>
      <c r="F262" s="16" t="s">
        <v>80</v>
      </c>
      <c r="G262" s="16" t="s">
        <v>81</v>
      </c>
      <c r="H262" s="23"/>
      <c r="I262" s="24"/>
      <c r="J262" s="17"/>
      <c r="K262" s="17"/>
      <c r="L262" s="17"/>
      <c r="M262" s="17"/>
      <c r="N262" s="17" t="s">
        <v>702</v>
      </c>
      <c r="O262" s="17" t="s">
        <v>228</v>
      </c>
      <c r="P262" s="19">
        <v>7</v>
      </c>
      <c r="Q262" s="19" t="s">
        <v>8950</v>
      </c>
      <c r="R262" s="17">
        <v>2</v>
      </c>
      <c r="S262" s="17"/>
      <c r="T262" s="87"/>
    </row>
    <row r="263" spans="1:20" x14ac:dyDescent="0.25">
      <c r="A263" s="11">
        <v>42782</v>
      </c>
      <c r="B263" s="631" t="s">
        <v>8726</v>
      </c>
      <c r="C263" s="631">
        <v>37.917760000000001</v>
      </c>
      <c r="D263" s="631">
        <v>-121.57487</v>
      </c>
      <c r="E263" s="631" t="s">
        <v>8951</v>
      </c>
      <c r="F263" s="631" t="s">
        <v>46</v>
      </c>
      <c r="G263" s="631" t="s">
        <v>199</v>
      </c>
      <c r="H263" s="12">
        <v>0.34375</v>
      </c>
      <c r="I263" s="13">
        <v>34.35</v>
      </c>
      <c r="J263" s="14" t="s">
        <v>8608</v>
      </c>
      <c r="K263" s="14">
        <v>8</v>
      </c>
      <c r="L263" s="14">
        <v>10</v>
      </c>
      <c r="M263" s="14" t="s">
        <v>8610</v>
      </c>
      <c r="N263" s="14" t="s">
        <v>50</v>
      </c>
      <c r="O263" s="14" t="s">
        <v>50</v>
      </c>
      <c r="P263" s="18">
        <v>0</v>
      </c>
      <c r="Q263" s="18" t="s">
        <v>50</v>
      </c>
      <c r="R263" s="14" t="s">
        <v>50</v>
      </c>
      <c r="S263" s="14" t="s">
        <v>50</v>
      </c>
      <c r="T263" s="5" t="s">
        <v>8952</v>
      </c>
    </row>
    <row r="264" spans="1:20" x14ac:dyDescent="0.25">
      <c r="A264" s="11">
        <v>42782</v>
      </c>
      <c r="B264" s="631" t="s">
        <v>8726</v>
      </c>
      <c r="C264" s="631">
        <v>37.980640000000001</v>
      </c>
      <c r="D264" s="631">
        <v>-121.53625</v>
      </c>
      <c r="E264" s="631" t="s">
        <v>8953</v>
      </c>
      <c r="F264" s="631" t="s">
        <v>46</v>
      </c>
      <c r="G264" s="631" t="s">
        <v>6939</v>
      </c>
      <c r="H264" s="12">
        <v>0.46875</v>
      </c>
      <c r="I264" s="13">
        <v>20.190000000000001</v>
      </c>
      <c r="J264" s="14" t="s">
        <v>8608</v>
      </c>
      <c r="K264" s="14">
        <v>8</v>
      </c>
      <c r="L264" s="14">
        <v>10</v>
      </c>
      <c r="M264" s="14" t="s">
        <v>8610</v>
      </c>
      <c r="N264" s="14" t="s">
        <v>50</v>
      </c>
      <c r="O264" s="14" t="s">
        <v>50</v>
      </c>
      <c r="P264" s="18">
        <v>0</v>
      </c>
      <c r="Q264" s="18" t="s">
        <v>50</v>
      </c>
      <c r="R264" s="14" t="s">
        <v>50</v>
      </c>
      <c r="S264" s="14" t="s">
        <v>50</v>
      </c>
    </row>
    <row r="265" spans="1:20" x14ac:dyDescent="0.25">
      <c r="A265" s="11">
        <v>42782</v>
      </c>
      <c r="B265" s="631" t="s">
        <v>8726</v>
      </c>
      <c r="C265" s="631">
        <v>38.062069999999999</v>
      </c>
      <c r="D265" s="631">
        <v>-121.59923000000001</v>
      </c>
      <c r="E265" s="631" t="s">
        <v>8954</v>
      </c>
      <c r="F265" s="631" t="s">
        <v>46</v>
      </c>
      <c r="G265" s="631" t="s">
        <v>47</v>
      </c>
      <c r="H265" s="12">
        <v>0.37638888888888888</v>
      </c>
      <c r="I265" s="13">
        <v>35</v>
      </c>
      <c r="J265" s="14" t="s">
        <v>8608</v>
      </c>
      <c r="K265" s="14">
        <v>4</v>
      </c>
      <c r="L265" s="14">
        <v>10</v>
      </c>
      <c r="M265" s="14" t="s">
        <v>8617</v>
      </c>
      <c r="N265" s="14" t="s">
        <v>702</v>
      </c>
      <c r="O265" s="14" t="s">
        <v>228</v>
      </c>
      <c r="P265" s="18">
        <v>3</v>
      </c>
      <c r="Q265" s="18" t="s">
        <v>8955</v>
      </c>
      <c r="R265" s="14">
        <v>3</v>
      </c>
      <c r="S265" s="14" t="s">
        <v>50</v>
      </c>
    </row>
    <row r="266" spans="1:20" x14ac:dyDescent="0.25">
      <c r="A266" s="11">
        <v>42782</v>
      </c>
      <c r="B266" s="631" t="s">
        <v>8726</v>
      </c>
      <c r="C266" s="631">
        <v>38.045160000000003</v>
      </c>
      <c r="D266" s="631">
        <v>-121.60451999999999</v>
      </c>
      <c r="E266" s="631" t="s">
        <v>8956</v>
      </c>
      <c r="F266" s="631" t="s">
        <v>46</v>
      </c>
      <c r="G266" s="631" t="s">
        <v>47</v>
      </c>
      <c r="H266" s="12">
        <v>0.4375</v>
      </c>
      <c r="I266" s="13">
        <v>33</v>
      </c>
      <c r="J266" s="14" t="s">
        <v>8608</v>
      </c>
      <c r="K266" s="14">
        <v>2</v>
      </c>
      <c r="L266" s="14">
        <v>10</v>
      </c>
      <c r="M266" s="14" t="s">
        <v>8610</v>
      </c>
      <c r="N266" s="14" t="s">
        <v>50</v>
      </c>
      <c r="O266" s="14" t="s">
        <v>50</v>
      </c>
      <c r="P266" s="18">
        <v>0</v>
      </c>
      <c r="Q266" s="18" t="s">
        <v>50</v>
      </c>
      <c r="R266" s="14" t="s">
        <v>50</v>
      </c>
      <c r="S266" s="14" t="s">
        <v>50</v>
      </c>
      <c r="T266" s="5" t="s">
        <v>8957</v>
      </c>
    </row>
    <row r="267" spans="1:20" x14ac:dyDescent="0.25">
      <c r="A267" s="11">
        <v>42782</v>
      </c>
      <c r="B267" s="631" t="s">
        <v>8726</v>
      </c>
      <c r="C267" s="631">
        <v>37.976219999999998</v>
      </c>
      <c r="D267" s="631">
        <v>-121.51493000000001</v>
      </c>
      <c r="E267" s="631" t="s">
        <v>8958</v>
      </c>
      <c r="F267" s="631" t="s">
        <v>46</v>
      </c>
      <c r="G267" s="631" t="s">
        <v>8959</v>
      </c>
      <c r="H267" s="12">
        <v>0.33958333333333335</v>
      </c>
      <c r="I267" s="13">
        <v>24.4</v>
      </c>
      <c r="J267" s="14" t="s">
        <v>8608</v>
      </c>
      <c r="K267" s="14">
        <v>8</v>
      </c>
      <c r="L267" s="14">
        <v>10</v>
      </c>
      <c r="M267" s="14" t="s">
        <v>8617</v>
      </c>
      <c r="N267" s="14" t="s">
        <v>702</v>
      </c>
      <c r="O267" s="14" t="s">
        <v>228</v>
      </c>
      <c r="P267" s="18">
        <v>2</v>
      </c>
      <c r="Q267" s="18" t="s">
        <v>8960</v>
      </c>
      <c r="R267" s="14">
        <v>2</v>
      </c>
      <c r="S267" s="14" t="s">
        <v>50</v>
      </c>
    </row>
    <row r="268" spans="1:20" x14ac:dyDescent="0.25">
      <c r="A268" s="11">
        <v>42782</v>
      </c>
      <c r="B268" s="631" t="s">
        <v>8726</v>
      </c>
      <c r="C268" s="631">
        <v>37.96078</v>
      </c>
      <c r="D268" s="631">
        <v>-121.36121</v>
      </c>
      <c r="E268" s="631" t="s">
        <v>8961</v>
      </c>
      <c r="F268" s="631" t="s">
        <v>46</v>
      </c>
      <c r="G268" s="631" t="s">
        <v>6840</v>
      </c>
      <c r="H268" s="12">
        <v>0.49444444444444446</v>
      </c>
      <c r="I268" s="13">
        <v>43.39</v>
      </c>
      <c r="J268" s="14" t="s">
        <v>8608</v>
      </c>
      <c r="K268" s="14">
        <v>8</v>
      </c>
      <c r="L268" s="14">
        <v>10</v>
      </c>
      <c r="M268" s="14" t="s">
        <v>8610</v>
      </c>
      <c r="N268" s="14" t="s">
        <v>702</v>
      </c>
      <c r="O268" s="14" t="s">
        <v>228</v>
      </c>
      <c r="P268" s="18">
        <v>1</v>
      </c>
      <c r="Q268" s="18">
        <v>36</v>
      </c>
      <c r="R268" s="14">
        <v>2</v>
      </c>
      <c r="S268" s="14" t="s">
        <v>50</v>
      </c>
    </row>
    <row r="269" spans="1:20" x14ac:dyDescent="0.25">
      <c r="A269" s="11">
        <v>42787</v>
      </c>
      <c r="B269" s="631" t="s">
        <v>8296</v>
      </c>
      <c r="C269" s="631">
        <v>38.025489999999998</v>
      </c>
      <c r="D269" s="631">
        <v>-121.82144</v>
      </c>
      <c r="E269" s="16" t="s">
        <v>8962</v>
      </c>
      <c r="F269" s="631" t="s">
        <v>27</v>
      </c>
      <c r="G269" s="16" t="s">
        <v>863</v>
      </c>
      <c r="H269" s="12">
        <v>0.33263888888888887</v>
      </c>
      <c r="I269" s="13">
        <v>49.94</v>
      </c>
      <c r="J269" s="14" t="s">
        <v>8608</v>
      </c>
      <c r="K269" s="14">
        <v>5</v>
      </c>
      <c r="L269" s="14" t="s">
        <v>8625</v>
      </c>
      <c r="M269" s="14" t="s">
        <v>8610</v>
      </c>
      <c r="N269" s="14" t="s">
        <v>702</v>
      </c>
      <c r="O269" s="14" t="s">
        <v>228</v>
      </c>
      <c r="P269" s="18">
        <v>2</v>
      </c>
      <c r="Q269" s="18" t="s">
        <v>8963</v>
      </c>
      <c r="R269" s="14">
        <v>2</v>
      </c>
      <c r="S269" s="14" t="s">
        <v>50</v>
      </c>
    </row>
    <row r="270" spans="1:20" x14ac:dyDescent="0.25">
      <c r="A270" s="11">
        <v>42787</v>
      </c>
      <c r="B270" s="631" t="s">
        <v>8296</v>
      </c>
      <c r="C270" s="631">
        <v>38.025489999999998</v>
      </c>
      <c r="D270" s="631">
        <v>-121.82144</v>
      </c>
      <c r="E270" s="16" t="s">
        <v>8962</v>
      </c>
      <c r="F270" s="631" t="s">
        <v>27</v>
      </c>
      <c r="G270" s="16" t="s">
        <v>863</v>
      </c>
      <c r="H270" s="12"/>
      <c r="I270" s="13"/>
      <c r="J270" s="14"/>
      <c r="K270" s="14"/>
      <c r="L270" s="14"/>
      <c r="M270" s="14"/>
      <c r="N270" s="14" t="s">
        <v>323</v>
      </c>
      <c r="O270" s="14" t="s">
        <v>228</v>
      </c>
      <c r="P270" s="18">
        <v>1</v>
      </c>
      <c r="Q270" s="18">
        <v>71</v>
      </c>
      <c r="R270" s="14" t="s">
        <v>50</v>
      </c>
      <c r="S270" s="14" t="s">
        <v>8928</v>
      </c>
    </row>
    <row r="271" spans="1:20" x14ac:dyDescent="0.25">
      <c r="A271" s="11">
        <v>42787</v>
      </c>
      <c r="B271" s="631" t="s">
        <v>8296</v>
      </c>
      <c r="C271" s="631">
        <v>38.064779999999999</v>
      </c>
      <c r="D271" s="631">
        <v>-121.82881</v>
      </c>
      <c r="E271" s="631" t="s">
        <v>8964</v>
      </c>
      <c r="F271" s="631" t="s">
        <v>27</v>
      </c>
      <c r="G271" s="631" t="s">
        <v>25</v>
      </c>
      <c r="H271" s="12">
        <v>0.39027777777777778</v>
      </c>
      <c r="I271" s="13">
        <v>181.4</v>
      </c>
      <c r="J271" s="14" t="s">
        <v>8608</v>
      </c>
      <c r="K271" s="14">
        <v>5</v>
      </c>
      <c r="L271" s="14" t="s">
        <v>8625</v>
      </c>
      <c r="M271" s="14" t="s">
        <v>8617</v>
      </c>
      <c r="N271" s="14" t="s">
        <v>50</v>
      </c>
      <c r="O271" s="14" t="s">
        <v>50</v>
      </c>
      <c r="P271" s="18">
        <v>0</v>
      </c>
      <c r="Q271" s="18" t="s">
        <v>50</v>
      </c>
      <c r="R271" s="14" t="s">
        <v>50</v>
      </c>
      <c r="S271" s="14" t="s">
        <v>50</v>
      </c>
      <c r="T271" s="5" t="s">
        <v>8965</v>
      </c>
    </row>
    <row r="272" spans="1:20" x14ac:dyDescent="0.25">
      <c r="A272" s="11">
        <v>42787</v>
      </c>
      <c r="B272" s="631" t="s">
        <v>8296</v>
      </c>
      <c r="C272" s="631">
        <v>38.082630000000002</v>
      </c>
      <c r="D272" s="631">
        <v>-121.72445</v>
      </c>
      <c r="E272" s="631" t="s">
        <v>8966</v>
      </c>
      <c r="F272" s="631" t="s">
        <v>90</v>
      </c>
      <c r="G272" s="631" t="s">
        <v>91</v>
      </c>
      <c r="H272" s="12">
        <v>0.45277777777777778</v>
      </c>
      <c r="I272" s="13">
        <v>101.76</v>
      </c>
      <c r="J272" s="14" t="s">
        <v>8608</v>
      </c>
      <c r="K272" s="14">
        <v>5</v>
      </c>
      <c r="L272" s="14" t="s">
        <v>8625</v>
      </c>
      <c r="M272" s="14" t="s">
        <v>8610</v>
      </c>
      <c r="N272" s="14" t="s">
        <v>50</v>
      </c>
      <c r="O272" s="14" t="s">
        <v>50</v>
      </c>
      <c r="P272" s="18">
        <v>0</v>
      </c>
      <c r="Q272" s="18" t="s">
        <v>50</v>
      </c>
      <c r="R272" s="14" t="s">
        <v>50</v>
      </c>
      <c r="S272" s="14" t="s">
        <v>50</v>
      </c>
    </row>
    <row r="273" spans="1:20" x14ac:dyDescent="0.25">
      <c r="A273" s="11">
        <v>42787</v>
      </c>
      <c r="B273" s="631" t="s">
        <v>8606</v>
      </c>
      <c r="C273" s="631">
        <v>38.0595</v>
      </c>
      <c r="D273" s="631">
        <v>-121.54728</v>
      </c>
      <c r="E273" s="631" t="s">
        <v>8967</v>
      </c>
      <c r="F273" s="631" t="s">
        <v>46</v>
      </c>
      <c r="G273" s="631" t="s">
        <v>8615</v>
      </c>
      <c r="H273" s="12">
        <v>0.31180555555555556</v>
      </c>
      <c r="I273" s="13">
        <v>30.2</v>
      </c>
      <c r="J273" s="14" t="s">
        <v>8608</v>
      </c>
      <c r="K273" s="14">
        <v>5</v>
      </c>
      <c r="L273" s="14" t="s">
        <v>8609</v>
      </c>
      <c r="M273" s="14" t="s">
        <v>8617</v>
      </c>
      <c r="N273" s="14" t="s">
        <v>702</v>
      </c>
      <c r="O273" s="14" t="s">
        <v>228</v>
      </c>
      <c r="P273" s="18">
        <v>2</v>
      </c>
      <c r="Q273" s="18" t="s">
        <v>8968</v>
      </c>
      <c r="R273" s="14">
        <v>3</v>
      </c>
      <c r="S273" s="14" t="s">
        <v>50</v>
      </c>
    </row>
    <row r="274" spans="1:20" x14ac:dyDescent="0.25">
      <c r="A274" s="11">
        <v>42787</v>
      </c>
      <c r="B274" s="631" t="s">
        <v>8606</v>
      </c>
      <c r="C274" s="631">
        <v>38.0595</v>
      </c>
      <c r="D274" s="631">
        <v>-121.54728</v>
      </c>
      <c r="E274" s="631" t="s">
        <v>8967</v>
      </c>
      <c r="F274" s="631" t="s">
        <v>46</v>
      </c>
      <c r="G274" s="631" t="s">
        <v>8615</v>
      </c>
      <c r="H274" s="12"/>
      <c r="I274" s="13"/>
      <c r="J274" s="14"/>
      <c r="K274" s="14"/>
      <c r="L274" s="14"/>
      <c r="M274" s="14"/>
      <c r="N274" s="14" t="s">
        <v>3280</v>
      </c>
      <c r="O274" s="14" t="s">
        <v>228</v>
      </c>
      <c r="P274" s="18">
        <v>1</v>
      </c>
      <c r="Q274" s="18">
        <v>59</v>
      </c>
      <c r="R274" s="14">
        <v>3</v>
      </c>
      <c r="S274" s="14" t="s">
        <v>50</v>
      </c>
    </row>
    <row r="275" spans="1:20" x14ac:dyDescent="0.25">
      <c r="A275" s="11">
        <v>42787</v>
      </c>
      <c r="B275" s="631" t="s">
        <v>8606</v>
      </c>
      <c r="C275" s="631">
        <v>38.060580000000002</v>
      </c>
      <c r="D275" s="631">
        <v>-121.55104</v>
      </c>
      <c r="E275" s="631" t="s">
        <v>8969</v>
      </c>
      <c r="F275" s="631" t="s">
        <v>46</v>
      </c>
      <c r="G275" s="631" t="s">
        <v>8615</v>
      </c>
      <c r="H275" s="12">
        <v>0.37152777777777773</v>
      </c>
      <c r="I275" s="13">
        <v>27.65</v>
      </c>
      <c r="J275" s="14" t="s">
        <v>8608</v>
      </c>
      <c r="K275" s="14">
        <v>2</v>
      </c>
      <c r="L275" s="14" t="s">
        <v>8609</v>
      </c>
      <c r="M275" s="14" t="s">
        <v>8617</v>
      </c>
      <c r="N275" s="14" t="s">
        <v>323</v>
      </c>
      <c r="O275" s="14" t="s">
        <v>228</v>
      </c>
      <c r="P275" s="18">
        <v>1</v>
      </c>
      <c r="Q275" s="18">
        <v>72</v>
      </c>
      <c r="R275" s="14" t="s">
        <v>50</v>
      </c>
      <c r="S275" s="14" t="s">
        <v>8613</v>
      </c>
      <c r="T275" s="5" t="s">
        <v>8970</v>
      </c>
    </row>
    <row r="276" spans="1:20" x14ac:dyDescent="0.25">
      <c r="A276" s="11">
        <v>42787</v>
      </c>
      <c r="B276" s="631" t="s">
        <v>8606</v>
      </c>
      <c r="C276" s="631">
        <v>38.106859999999998</v>
      </c>
      <c r="D276" s="631">
        <v>-121.59557</v>
      </c>
      <c r="E276" s="631" t="s">
        <v>8971</v>
      </c>
      <c r="F276" s="631" t="s">
        <v>46</v>
      </c>
      <c r="G276" s="631" t="s">
        <v>8615</v>
      </c>
      <c r="H276" s="12">
        <v>0.41736111111111113</v>
      </c>
      <c r="I276" s="13" t="s">
        <v>50</v>
      </c>
      <c r="J276" s="14" t="s">
        <v>8608</v>
      </c>
      <c r="K276" s="14" t="s">
        <v>50</v>
      </c>
      <c r="L276" s="14" t="s">
        <v>50</v>
      </c>
      <c r="M276" s="14" t="s">
        <v>50</v>
      </c>
      <c r="N276" s="14" t="s">
        <v>50</v>
      </c>
      <c r="O276" s="14" t="s">
        <v>50</v>
      </c>
      <c r="P276" s="18">
        <v>0</v>
      </c>
      <c r="Q276" s="18" t="s">
        <v>50</v>
      </c>
      <c r="R276" s="14" t="s">
        <v>50</v>
      </c>
      <c r="S276" s="14" t="s">
        <v>50</v>
      </c>
      <c r="T276" s="5" t="s">
        <v>8972</v>
      </c>
    </row>
    <row r="277" spans="1:20" x14ac:dyDescent="0.25">
      <c r="A277" s="11">
        <v>42787</v>
      </c>
      <c r="B277" s="631" t="s">
        <v>8606</v>
      </c>
      <c r="C277" s="631">
        <v>38.099080000000001</v>
      </c>
      <c r="D277" s="631">
        <v>-121.59178</v>
      </c>
      <c r="E277" s="631" t="s">
        <v>8973</v>
      </c>
      <c r="F277" s="631" t="s">
        <v>46</v>
      </c>
      <c r="G277" s="631" t="s">
        <v>8615</v>
      </c>
      <c r="H277" s="12">
        <v>0.42638888888888887</v>
      </c>
      <c r="I277" s="13">
        <v>26.82</v>
      </c>
      <c r="J277" s="14" t="s">
        <v>8608</v>
      </c>
      <c r="K277" s="14">
        <v>5</v>
      </c>
      <c r="L277" s="14" t="s">
        <v>8609</v>
      </c>
      <c r="M277" s="14" t="s">
        <v>8617</v>
      </c>
      <c r="N277" s="14" t="s">
        <v>702</v>
      </c>
      <c r="O277" s="14" t="s">
        <v>228</v>
      </c>
      <c r="P277" s="18">
        <v>1</v>
      </c>
      <c r="Q277" s="18">
        <v>55</v>
      </c>
      <c r="R277" s="14">
        <v>3</v>
      </c>
      <c r="S277" s="14" t="s">
        <v>50</v>
      </c>
    </row>
    <row r="278" spans="1:20" x14ac:dyDescent="0.25">
      <c r="A278" s="11">
        <v>42787</v>
      </c>
      <c r="B278" s="631" t="s">
        <v>8606</v>
      </c>
      <c r="C278" s="631">
        <v>38.075279999999999</v>
      </c>
      <c r="D278" s="631">
        <v>-121.5628</v>
      </c>
      <c r="E278" s="631" t="s">
        <v>8974</v>
      </c>
      <c r="F278" s="631" t="s">
        <v>46</v>
      </c>
      <c r="G278" s="631" t="s">
        <v>8615</v>
      </c>
      <c r="H278" s="12">
        <v>0.49861111111111112</v>
      </c>
      <c r="I278" s="13">
        <v>26.18</v>
      </c>
      <c r="J278" s="14" t="s">
        <v>8608</v>
      </c>
      <c r="K278" s="14">
        <v>5</v>
      </c>
      <c r="L278" s="14" t="s">
        <v>8609</v>
      </c>
      <c r="M278" s="14" t="s">
        <v>8617</v>
      </c>
      <c r="N278" s="14" t="s">
        <v>50</v>
      </c>
      <c r="O278" s="14" t="s">
        <v>50</v>
      </c>
      <c r="P278" s="18">
        <v>0</v>
      </c>
      <c r="Q278" s="18" t="s">
        <v>50</v>
      </c>
      <c r="R278" s="14" t="s">
        <v>50</v>
      </c>
      <c r="S278" s="14" t="s">
        <v>50</v>
      </c>
    </row>
    <row r="279" spans="1:20" x14ac:dyDescent="0.25">
      <c r="A279" s="11">
        <v>42787</v>
      </c>
      <c r="B279" s="631" t="s">
        <v>8809</v>
      </c>
      <c r="C279" s="631">
        <v>38.140300000000003</v>
      </c>
      <c r="D279" s="631">
        <v>-121.46187</v>
      </c>
      <c r="E279" s="631" t="s">
        <v>8975</v>
      </c>
      <c r="F279" s="631" t="s">
        <v>46</v>
      </c>
      <c r="G279" s="631" t="s">
        <v>6881</v>
      </c>
      <c r="H279" s="12">
        <v>0.32777777777777778</v>
      </c>
      <c r="I279" s="13">
        <v>4.3600000000000003</v>
      </c>
      <c r="J279" s="14" t="s">
        <v>8608</v>
      </c>
      <c r="K279" s="14">
        <v>8</v>
      </c>
      <c r="L279" s="14" t="s">
        <v>8609</v>
      </c>
      <c r="M279" s="14" t="s">
        <v>8610</v>
      </c>
      <c r="N279" s="14" t="s">
        <v>702</v>
      </c>
      <c r="O279" s="14" t="s">
        <v>228</v>
      </c>
      <c r="P279" s="18">
        <v>7</v>
      </c>
      <c r="Q279" s="18" t="s">
        <v>8976</v>
      </c>
      <c r="R279" s="14">
        <v>3</v>
      </c>
      <c r="S279" s="14" t="s">
        <v>50</v>
      </c>
    </row>
    <row r="280" spans="1:20" x14ac:dyDescent="0.25">
      <c r="A280" s="11">
        <v>42787</v>
      </c>
      <c r="B280" s="631" t="s">
        <v>8809</v>
      </c>
      <c r="C280" s="631">
        <v>38.140300000000003</v>
      </c>
      <c r="D280" s="631">
        <v>-121.46187</v>
      </c>
      <c r="E280" s="631" t="s">
        <v>8975</v>
      </c>
      <c r="F280" s="631" t="s">
        <v>46</v>
      </c>
      <c r="G280" s="631" t="s">
        <v>6881</v>
      </c>
      <c r="H280" s="12"/>
      <c r="I280" s="13"/>
      <c r="J280" s="14"/>
      <c r="K280" s="14"/>
      <c r="L280" s="14"/>
      <c r="M280" s="14"/>
      <c r="N280" s="14" t="s">
        <v>3280</v>
      </c>
      <c r="O280" s="14" t="s">
        <v>228</v>
      </c>
      <c r="P280" s="18">
        <v>4</v>
      </c>
      <c r="Q280" s="18" t="s">
        <v>8977</v>
      </c>
      <c r="R280" s="14">
        <v>3</v>
      </c>
      <c r="S280" s="14" t="s">
        <v>50</v>
      </c>
    </row>
    <row r="281" spans="1:20" x14ac:dyDescent="0.25">
      <c r="A281" s="11">
        <v>42787</v>
      </c>
      <c r="B281" s="631" t="s">
        <v>8809</v>
      </c>
      <c r="C281" s="631">
        <v>38.123109999999997</v>
      </c>
      <c r="D281" s="631">
        <v>-121.5197</v>
      </c>
      <c r="E281" s="631" t="s">
        <v>8978</v>
      </c>
      <c r="F281" s="631" t="s">
        <v>46</v>
      </c>
      <c r="G281" s="631" t="s">
        <v>6881</v>
      </c>
      <c r="H281" s="12">
        <v>0.43402777777777773</v>
      </c>
      <c r="I281" s="13">
        <v>32.96</v>
      </c>
      <c r="J281" s="14" t="s">
        <v>8608</v>
      </c>
      <c r="K281" s="14">
        <v>8</v>
      </c>
      <c r="L281" s="14" t="s">
        <v>8609</v>
      </c>
      <c r="M281" s="14" t="s">
        <v>8610</v>
      </c>
      <c r="N281" s="14" t="s">
        <v>50</v>
      </c>
      <c r="O281" s="14" t="s">
        <v>50</v>
      </c>
      <c r="P281" s="18">
        <v>0</v>
      </c>
      <c r="Q281" s="18" t="s">
        <v>50</v>
      </c>
      <c r="R281" s="14" t="s">
        <v>50</v>
      </c>
      <c r="S281" s="14" t="s">
        <v>50</v>
      </c>
    </row>
    <row r="282" spans="1:20" x14ac:dyDescent="0.25">
      <c r="A282" s="11">
        <v>42787</v>
      </c>
      <c r="B282" s="631" t="s">
        <v>8809</v>
      </c>
      <c r="C282" s="631">
        <v>38.146940000000001</v>
      </c>
      <c r="D282" s="631">
        <v>-121.50597</v>
      </c>
      <c r="E282" s="631" t="s">
        <v>8979</v>
      </c>
      <c r="F282" s="631" t="s">
        <v>46</v>
      </c>
      <c r="G282" s="631" t="s">
        <v>6881</v>
      </c>
      <c r="H282" s="12">
        <v>0.53888888888888886</v>
      </c>
      <c r="I282" s="13">
        <v>28.57</v>
      </c>
      <c r="J282" s="14" t="s">
        <v>8608</v>
      </c>
      <c r="K282" s="14">
        <v>8</v>
      </c>
      <c r="L282" s="14" t="s">
        <v>8609</v>
      </c>
      <c r="M282" s="14" t="s">
        <v>8617</v>
      </c>
      <c r="N282" s="14" t="s">
        <v>50</v>
      </c>
      <c r="O282" s="14" t="s">
        <v>50</v>
      </c>
      <c r="P282" s="18">
        <v>1</v>
      </c>
      <c r="Q282" s="18" t="s">
        <v>50</v>
      </c>
      <c r="R282" s="14" t="s">
        <v>50</v>
      </c>
      <c r="S282" s="14" t="s">
        <v>50</v>
      </c>
      <c r="T282" s="5" t="s">
        <v>8980</v>
      </c>
    </row>
    <row r="283" spans="1:20" x14ac:dyDescent="0.25">
      <c r="A283" s="11">
        <v>42788</v>
      </c>
      <c r="B283" s="631" t="s">
        <v>8296</v>
      </c>
      <c r="C283" s="631">
        <v>38.109090000000002</v>
      </c>
      <c r="D283" s="631">
        <v>-121.70224</v>
      </c>
      <c r="E283" s="631" t="s">
        <v>8981</v>
      </c>
      <c r="F283" s="631" t="s">
        <v>90</v>
      </c>
      <c r="G283" s="631" t="s">
        <v>91</v>
      </c>
      <c r="H283" s="12">
        <v>0.40625</v>
      </c>
      <c r="I283" s="13" t="s">
        <v>50</v>
      </c>
      <c r="J283" s="14" t="s">
        <v>8608</v>
      </c>
      <c r="K283" s="14" t="s">
        <v>50</v>
      </c>
      <c r="L283" s="14" t="s">
        <v>50</v>
      </c>
      <c r="M283" s="14" t="s">
        <v>50</v>
      </c>
      <c r="N283" s="14" t="s">
        <v>50</v>
      </c>
      <c r="O283" s="14" t="s">
        <v>50</v>
      </c>
      <c r="P283" s="18">
        <v>0</v>
      </c>
      <c r="Q283" s="18" t="s">
        <v>50</v>
      </c>
      <c r="R283" s="14" t="s">
        <v>50</v>
      </c>
      <c r="S283" s="14" t="s">
        <v>50</v>
      </c>
      <c r="T283" s="5" t="s">
        <v>8982</v>
      </c>
    </row>
    <row r="284" spans="1:20" x14ac:dyDescent="0.25">
      <c r="A284" s="11">
        <v>42788</v>
      </c>
      <c r="B284" s="631" t="s">
        <v>8809</v>
      </c>
      <c r="C284" s="631">
        <v>38.119050000000001</v>
      </c>
      <c r="D284" s="631">
        <v>-121.55801</v>
      </c>
      <c r="E284" s="631" t="s">
        <v>8983</v>
      </c>
      <c r="F284" s="631" t="s">
        <v>46</v>
      </c>
      <c r="G284" s="631" t="s">
        <v>6881</v>
      </c>
      <c r="H284" s="12">
        <v>0.37916666666666665</v>
      </c>
      <c r="I284" s="13">
        <v>87.01</v>
      </c>
      <c r="J284" s="14" t="s">
        <v>8608</v>
      </c>
      <c r="K284" s="14">
        <v>8</v>
      </c>
      <c r="L284" s="14" t="s">
        <v>8609</v>
      </c>
      <c r="M284" s="14" t="s">
        <v>8617</v>
      </c>
      <c r="N284" s="14" t="s">
        <v>50</v>
      </c>
      <c r="O284" s="14" t="s">
        <v>50</v>
      </c>
      <c r="P284" s="18">
        <v>0</v>
      </c>
      <c r="Q284" s="18" t="s">
        <v>50</v>
      </c>
      <c r="R284" s="14" t="s">
        <v>50</v>
      </c>
      <c r="S284" s="14" t="s">
        <v>50</v>
      </c>
    </row>
    <row r="285" spans="1:20" x14ac:dyDescent="0.25">
      <c r="A285" s="11">
        <v>42788</v>
      </c>
      <c r="B285" s="631" t="s">
        <v>8606</v>
      </c>
      <c r="C285" s="631">
        <v>38.060699999999997</v>
      </c>
      <c r="D285" s="631">
        <v>-121.54792</v>
      </c>
      <c r="E285" s="631" t="s">
        <v>8984</v>
      </c>
      <c r="F285" s="631" t="s">
        <v>46</v>
      </c>
      <c r="G285" s="631" t="s">
        <v>8615</v>
      </c>
      <c r="H285" s="12">
        <v>0.32083333333333336</v>
      </c>
      <c r="I285" s="13">
        <v>41.24</v>
      </c>
      <c r="J285" s="14" t="s">
        <v>8608</v>
      </c>
      <c r="K285" s="14">
        <v>5</v>
      </c>
      <c r="L285" s="14" t="s">
        <v>8609</v>
      </c>
      <c r="M285" s="14" t="s">
        <v>8610</v>
      </c>
      <c r="N285" s="14" t="s">
        <v>50</v>
      </c>
      <c r="O285" s="14" t="s">
        <v>50</v>
      </c>
      <c r="P285" s="18">
        <v>0</v>
      </c>
      <c r="Q285" s="18" t="s">
        <v>50</v>
      </c>
      <c r="R285" s="14" t="s">
        <v>50</v>
      </c>
      <c r="S285" s="14" t="s">
        <v>50</v>
      </c>
    </row>
    <row r="286" spans="1:20" x14ac:dyDescent="0.25">
      <c r="A286" s="11">
        <v>42788</v>
      </c>
      <c r="B286" s="631" t="s">
        <v>8606</v>
      </c>
      <c r="C286" s="631">
        <v>38.06494</v>
      </c>
      <c r="D286" s="631">
        <v>-121.54040000000001</v>
      </c>
      <c r="E286" s="631" t="s">
        <v>8985</v>
      </c>
      <c r="F286" s="631" t="s">
        <v>46</v>
      </c>
      <c r="G286" s="631" t="s">
        <v>8615</v>
      </c>
      <c r="H286" s="12">
        <v>0.38819444444444445</v>
      </c>
      <c r="I286" s="13">
        <v>44.1</v>
      </c>
      <c r="J286" s="14" t="s">
        <v>8608</v>
      </c>
      <c r="K286" s="14">
        <v>5</v>
      </c>
      <c r="L286" s="14" t="s">
        <v>8609</v>
      </c>
      <c r="M286" s="14" t="s">
        <v>8610</v>
      </c>
      <c r="N286" s="14" t="s">
        <v>702</v>
      </c>
      <c r="O286" s="14" t="s">
        <v>228</v>
      </c>
      <c r="P286" s="18">
        <v>1</v>
      </c>
      <c r="Q286" s="18">
        <v>45</v>
      </c>
      <c r="R286" s="14">
        <v>3</v>
      </c>
      <c r="S286" s="14" t="s">
        <v>50</v>
      </c>
    </row>
    <row r="287" spans="1:20" x14ac:dyDescent="0.25">
      <c r="A287" s="11">
        <v>42788</v>
      </c>
      <c r="B287" s="631" t="s">
        <v>8606</v>
      </c>
      <c r="C287" s="631">
        <v>38.056179999999998</v>
      </c>
      <c r="D287" s="631">
        <v>-121.68248</v>
      </c>
      <c r="E287" s="631" t="s">
        <v>8986</v>
      </c>
      <c r="F287" s="631" t="s">
        <v>46</v>
      </c>
      <c r="G287" s="631" t="s">
        <v>97</v>
      </c>
      <c r="H287" s="12">
        <v>0.4826388888888889</v>
      </c>
      <c r="I287" s="13">
        <v>29.72</v>
      </c>
      <c r="J287" s="14" t="s">
        <v>8608</v>
      </c>
      <c r="K287" s="14">
        <v>5</v>
      </c>
      <c r="L287" s="14" t="s">
        <v>8609</v>
      </c>
      <c r="M287" s="14" t="s">
        <v>8617</v>
      </c>
      <c r="N287" s="14" t="s">
        <v>702</v>
      </c>
      <c r="O287" s="14" t="s">
        <v>228</v>
      </c>
      <c r="P287" s="14">
        <v>7</v>
      </c>
      <c r="Q287" s="14" t="s">
        <v>5627</v>
      </c>
      <c r="R287" s="14">
        <v>2</v>
      </c>
      <c r="S287" s="14" t="s">
        <v>50</v>
      </c>
      <c r="T287" s="5" t="s">
        <v>8987</v>
      </c>
    </row>
    <row r="288" spans="1:20" x14ac:dyDescent="0.25">
      <c r="A288" s="11">
        <v>42788</v>
      </c>
      <c r="B288" s="631" t="s">
        <v>8606</v>
      </c>
      <c r="C288" s="631">
        <v>38.056179999999998</v>
      </c>
      <c r="D288" s="631">
        <v>-121.68248</v>
      </c>
      <c r="E288" s="631" t="s">
        <v>8986</v>
      </c>
      <c r="F288" s="631" t="s">
        <v>46</v>
      </c>
      <c r="G288" s="631" t="s">
        <v>97</v>
      </c>
      <c r="H288" s="12"/>
      <c r="I288" s="13"/>
      <c r="J288" s="14"/>
      <c r="K288" s="14"/>
      <c r="L288" s="14"/>
      <c r="M288" s="14"/>
      <c r="N288" s="14" t="s">
        <v>3280</v>
      </c>
      <c r="O288" s="14" t="s">
        <v>228</v>
      </c>
      <c r="P288" s="18">
        <v>1</v>
      </c>
      <c r="Q288" s="18">
        <v>60</v>
      </c>
      <c r="R288" s="14">
        <v>3</v>
      </c>
      <c r="S288" s="14" t="s">
        <v>50</v>
      </c>
    </row>
    <row r="289" spans="1:20" x14ac:dyDescent="0.25">
      <c r="A289" s="11">
        <v>42789</v>
      </c>
      <c r="B289" s="631" t="s">
        <v>8726</v>
      </c>
      <c r="C289" s="631">
        <v>37.87988</v>
      </c>
      <c r="D289" s="631">
        <v>-121.57599999999999</v>
      </c>
      <c r="E289" s="631" t="s">
        <v>8988</v>
      </c>
      <c r="F289" s="631" t="s">
        <v>46</v>
      </c>
      <c r="G289" s="631" t="s">
        <v>202</v>
      </c>
      <c r="H289" s="12">
        <v>0.35694444444444445</v>
      </c>
      <c r="I289" s="13">
        <v>105.65</v>
      </c>
      <c r="J289" s="14" t="s">
        <v>8608</v>
      </c>
      <c r="K289" s="14">
        <v>8</v>
      </c>
      <c r="L289" s="14" t="s">
        <v>8609</v>
      </c>
      <c r="M289" s="14" t="s">
        <v>8610</v>
      </c>
      <c r="N289" s="14" t="s">
        <v>702</v>
      </c>
      <c r="O289" s="14" t="s">
        <v>228</v>
      </c>
      <c r="P289" s="18">
        <v>1</v>
      </c>
      <c r="Q289" s="18">
        <v>36</v>
      </c>
      <c r="R289" s="14">
        <v>2</v>
      </c>
      <c r="S289" s="14" t="s">
        <v>50</v>
      </c>
      <c r="T289" s="5" t="s">
        <v>8989</v>
      </c>
    </row>
    <row r="290" spans="1:20" x14ac:dyDescent="0.25">
      <c r="A290" s="11">
        <v>42789</v>
      </c>
      <c r="B290" s="631" t="s">
        <v>8726</v>
      </c>
      <c r="C290" s="631">
        <v>37.976129999999998</v>
      </c>
      <c r="D290" s="631">
        <v>-121.59644</v>
      </c>
      <c r="E290" s="631" t="s">
        <v>8990</v>
      </c>
      <c r="F290" s="631" t="s">
        <v>46</v>
      </c>
      <c r="G290" s="631" t="s">
        <v>423</v>
      </c>
      <c r="H290" s="12">
        <v>0.47291666666666665</v>
      </c>
      <c r="I290" s="13">
        <v>34.68</v>
      </c>
      <c r="J290" s="14" t="s">
        <v>8608</v>
      </c>
      <c r="K290" s="14">
        <v>5</v>
      </c>
      <c r="L290" s="14" t="s">
        <v>8609</v>
      </c>
      <c r="M290" s="14" t="s">
        <v>8617</v>
      </c>
      <c r="N290" s="14" t="s">
        <v>50</v>
      </c>
      <c r="O290" s="14" t="s">
        <v>50</v>
      </c>
      <c r="P290" s="18">
        <v>0</v>
      </c>
      <c r="Q290" s="18" t="s">
        <v>50</v>
      </c>
      <c r="R290" s="14" t="s">
        <v>50</v>
      </c>
      <c r="S290" s="14" t="s">
        <v>50</v>
      </c>
      <c r="T290" s="5" t="s">
        <v>8991</v>
      </c>
    </row>
    <row r="291" spans="1:20" x14ac:dyDescent="0.25">
      <c r="A291" s="11">
        <v>42789</v>
      </c>
      <c r="B291" s="631" t="s">
        <v>8726</v>
      </c>
      <c r="C291" s="631">
        <v>38.009950000000003</v>
      </c>
      <c r="D291" s="631">
        <v>-121.54919</v>
      </c>
      <c r="E291" s="631" t="s">
        <v>8992</v>
      </c>
      <c r="F291" s="631" t="s">
        <v>46</v>
      </c>
      <c r="G291" s="631" t="s">
        <v>6939</v>
      </c>
      <c r="H291" s="12">
        <v>0.37986111111111115</v>
      </c>
      <c r="I291" s="13">
        <v>29.43</v>
      </c>
      <c r="J291" s="14" t="s">
        <v>8608</v>
      </c>
      <c r="K291" s="14">
        <v>8</v>
      </c>
      <c r="L291" s="14" t="s">
        <v>8609</v>
      </c>
      <c r="M291" s="14" t="s">
        <v>8610</v>
      </c>
      <c r="N291" s="14" t="s">
        <v>50</v>
      </c>
      <c r="O291" s="14" t="s">
        <v>50</v>
      </c>
      <c r="P291" s="18">
        <v>0</v>
      </c>
      <c r="Q291" s="18" t="s">
        <v>50</v>
      </c>
      <c r="R291" s="14" t="s">
        <v>50</v>
      </c>
      <c r="S291" s="14" t="s">
        <v>50</v>
      </c>
      <c r="T291" s="5" t="s">
        <v>8993</v>
      </c>
    </row>
    <row r="292" spans="1:20" x14ac:dyDescent="0.25">
      <c r="A292" s="11">
        <v>42789</v>
      </c>
      <c r="B292" s="631" t="s">
        <v>8809</v>
      </c>
      <c r="C292" s="631">
        <v>38.062690000000003</v>
      </c>
      <c r="D292" s="631">
        <v>-122.24675999999999</v>
      </c>
      <c r="E292" s="631" t="s">
        <v>8994</v>
      </c>
      <c r="F292" s="631" t="s">
        <v>80</v>
      </c>
      <c r="G292" s="631" t="s">
        <v>120</v>
      </c>
      <c r="H292" s="12">
        <v>0.35833333333333334</v>
      </c>
      <c r="I292" s="13">
        <v>95.73</v>
      </c>
      <c r="J292" s="14" t="s">
        <v>8608</v>
      </c>
      <c r="K292" s="14">
        <v>4</v>
      </c>
      <c r="L292" s="14" t="s">
        <v>8609</v>
      </c>
      <c r="M292" s="14" t="s">
        <v>8617</v>
      </c>
      <c r="N292" s="14" t="s">
        <v>702</v>
      </c>
      <c r="O292" s="14" t="s">
        <v>228</v>
      </c>
      <c r="P292" s="18">
        <v>1</v>
      </c>
      <c r="Q292" s="18">
        <v>41</v>
      </c>
      <c r="R292" s="14">
        <v>3</v>
      </c>
      <c r="S292" s="14" t="s">
        <v>50</v>
      </c>
      <c r="T292" s="5" t="s">
        <v>8995</v>
      </c>
    </row>
    <row r="293" spans="1:20" x14ac:dyDescent="0.25">
      <c r="A293" s="11">
        <v>42789</v>
      </c>
      <c r="B293" s="631" t="s">
        <v>8809</v>
      </c>
      <c r="C293" s="631">
        <v>38.062690000000003</v>
      </c>
      <c r="D293" s="631">
        <v>-122.24675999999999</v>
      </c>
      <c r="E293" s="631" t="s">
        <v>8994</v>
      </c>
      <c r="F293" s="631" t="s">
        <v>80</v>
      </c>
      <c r="G293" s="631" t="s">
        <v>120</v>
      </c>
      <c r="H293" s="12"/>
      <c r="I293" s="13"/>
      <c r="J293" s="14"/>
      <c r="K293" s="14"/>
      <c r="L293" s="14"/>
      <c r="M293" s="14"/>
      <c r="N293" s="14" t="s">
        <v>31</v>
      </c>
      <c r="O293" s="14" t="s">
        <v>50</v>
      </c>
      <c r="P293" s="18">
        <v>1</v>
      </c>
      <c r="Q293" s="18">
        <v>100</v>
      </c>
      <c r="R293" s="14" t="s">
        <v>50</v>
      </c>
      <c r="S293" s="14" t="s">
        <v>8613</v>
      </c>
    </row>
    <row r="294" spans="1:20" x14ac:dyDescent="0.25">
      <c r="A294" s="11">
        <v>42789</v>
      </c>
      <c r="B294" s="631" t="s">
        <v>8809</v>
      </c>
      <c r="C294" s="631">
        <v>38.062690000000003</v>
      </c>
      <c r="D294" s="631">
        <v>-122.24675999999999</v>
      </c>
      <c r="E294" s="631" t="s">
        <v>8994</v>
      </c>
      <c r="F294" s="631" t="s">
        <v>80</v>
      </c>
      <c r="G294" s="631" t="s">
        <v>120</v>
      </c>
      <c r="H294" s="12"/>
      <c r="I294" s="13"/>
      <c r="J294" s="14"/>
      <c r="K294" s="14"/>
      <c r="L294" s="14"/>
      <c r="M294" s="14"/>
      <c r="N294" s="14" t="s">
        <v>622</v>
      </c>
      <c r="O294" s="14" t="s">
        <v>2525</v>
      </c>
      <c r="P294" s="18">
        <v>1</v>
      </c>
      <c r="Q294" s="18"/>
      <c r="R294" s="14">
        <v>5</v>
      </c>
      <c r="S294" s="14" t="s">
        <v>50</v>
      </c>
      <c r="T294" s="5" t="s">
        <v>5125</v>
      </c>
    </row>
    <row r="295" spans="1:20" x14ac:dyDescent="0.25">
      <c r="A295" s="11">
        <v>42789</v>
      </c>
      <c r="B295" s="631" t="s">
        <v>8809</v>
      </c>
      <c r="C295" s="631">
        <v>38.062690000000003</v>
      </c>
      <c r="D295" s="631">
        <v>-122.24675999999999</v>
      </c>
      <c r="E295" s="631" t="s">
        <v>8994</v>
      </c>
      <c r="F295" s="631" t="s">
        <v>80</v>
      </c>
      <c r="G295" s="631" t="s">
        <v>120</v>
      </c>
      <c r="H295" s="631"/>
      <c r="J295" s="631"/>
      <c r="K295" s="631"/>
      <c r="L295" s="631"/>
      <c r="M295" s="14"/>
      <c r="N295" s="14" t="s">
        <v>323</v>
      </c>
      <c r="O295" s="14" t="s">
        <v>228</v>
      </c>
      <c r="P295" s="15">
        <v>2</v>
      </c>
      <c r="Q295" s="15" t="s">
        <v>8996</v>
      </c>
      <c r="R295" s="14" t="s">
        <v>50</v>
      </c>
      <c r="S295" s="14" t="s">
        <v>8613</v>
      </c>
    </row>
    <row r="296" spans="1:20" x14ac:dyDescent="0.25">
      <c r="A296" s="11">
        <v>42789</v>
      </c>
      <c r="B296" s="631" t="s">
        <v>8809</v>
      </c>
      <c r="C296" s="631">
        <v>38.066969999999998</v>
      </c>
      <c r="D296" s="631">
        <v>-122.10722</v>
      </c>
      <c r="E296" s="631" t="s">
        <v>8997</v>
      </c>
      <c r="F296" s="631" t="s">
        <v>80</v>
      </c>
      <c r="G296" s="631" t="s">
        <v>81</v>
      </c>
      <c r="H296" s="12">
        <v>0.45277777777777778</v>
      </c>
      <c r="I296" s="13">
        <v>164.25</v>
      </c>
      <c r="J296" s="14" t="s">
        <v>8608</v>
      </c>
      <c r="K296" s="14">
        <v>8</v>
      </c>
      <c r="L296" s="14" t="s">
        <v>8609</v>
      </c>
      <c r="M296" s="14" t="s">
        <v>8617</v>
      </c>
      <c r="N296" s="14" t="s">
        <v>702</v>
      </c>
      <c r="O296" s="14" t="s">
        <v>228</v>
      </c>
      <c r="P296" s="15">
        <v>1</v>
      </c>
      <c r="Q296" s="15">
        <v>40</v>
      </c>
      <c r="R296" s="14">
        <v>2</v>
      </c>
      <c r="S296" s="14" t="s">
        <v>50</v>
      </c>
    </row>
    <row r="297" spans="1:20" x14ac:dyDescent="0.25">
      <c r="A297" s="11">
        <v>42789</v>
      </c>
      <c r="B297" s="631" t="s">
        <v>8809</v>
      </c>
      <c r="C297" s="631">
        <v>38.068939999999998</v>
      </c>
      <c r="D297" s="631">
        <v>-122.24423</v>
      </c>
      <c r="E297" s="631" t="s">
        <v>8998</v>
      </c>
      <c r="F297" s="631" t="s">
        <v>80</v>
      </c>
      <c r="G297" s="631" t="s">
        <v>120</v>
      </c>
      <c r="H297" s="12">
        <v>0.4152777777777778</v>
      </c>
      <c r="I297" s="13">
        <v>127.5</v>
      </c>
      <c r="J297" s="14" t="s">
        <v>8608</v>
      </c>
      <c r="K297" s="14">
        <v>2</v>
      </c>
      <c r="L297" s="14" t="s">
        <v>8609</v>
      </c>
      <c r="M297" s="14" t="s">
        <v>8617</v>
      </c>
      <c r="N297" s="14" t="s">
        <v>702</v>
      </c>
      <c r="O297" s="14" t="s">
        <v>228</v>
      </c>
      <c r="P297" s="15">
        <v>1</v>
      </c>
      <c r="Q297" s="15">
        <v>51</v>
      </c>
      <c r="R297" s="14">
        <v>3</v>
      </c>
      <c r="S297" s="14" t="s">
        <v>50</v>
      </c>
    </row>
    <row r="298" spans="1:20" x14ac:dyDescent="0.25">
      <c r="A298" s="11">
        <v>42789</v>
      </c>
      <c r="B298" s="631" t="s">
        <v>8809</v>
      </c>
      <c r="C298" s="631">
        <v>38.068939999999998</v>
      </c>
      <c r="D298" s="631">
        <v>-122.24423</v>
      </c>
      <c r="E298" s="631" t="s">
        <v>8998</v>
      </c>
      <c r="F298" s="631" t="s">
        <v>80</v>
      </c>
      <c r="G298" s="631" t="s">
        <v>120</v>
      </c>
      <c r="H298" s="12"/>
      <c r="I298" s="13"/>
      <c r="J298" s="14"/>
      <c r="K298" s="14"/>
      <c r="L298" s="14"/>
      <c r="M298" s="14"/>
      <c r="N298" s="14" t="s">
        <v>323</v>
      </c>
      <c r="O298" s="14" t="s">
        <v>228</v>
      </c>
      <c r="P298" s="18">
        <v>1</v>
      </c>
      <c r="Q298" s="18">
        <v>66</v>
      </c>
      <c r="R298" s="14" t="s">
        <v>50</v>
      </c>
      <c r="S298" s="14" t="s">
        <v>8613</v>
      </c>
    </row>
    <row r="299" spans="1:20" x14ac:dyDescent="0.25">
      <c r="A299" s="11">
        <v>42789</v>
      </c>
      <c r="B299" s="631" t="s">
        <v>8296</v>
      </c>
      <c r="C299" s="631">
        <v>38.065550000000002</v>
      </c>
      <c r="D299" s="16">
        <v>-122.04271</v>
      </c>
      <c r="E299" s="631" t="s">
        <v>8999</v>
      </c>
      <c r="F299" s="631" t="s">
        <v>27</v>
      </c>
      <c r="G299" s="631" t="s">
        <v>86</v>
      </c>
      <c r="H299" s="12">
        <v>0.57361111111111118</v>
      </c>
      <c r="I299" s="13">
        <v>127</v>
      </c>
      <c r="J299" s="14" t="s">
        <v>8608</v>
      </c>
      <c r="K299" s="14">
        <v>5</v>
      </c>
      <c r="L299" s="14" t="s">
        <v>8625</v>
      </c>
      <c r="M299" s="14" t="s">
        <v>8610</v>
      </c>
      <c r="N299" s="14" t="s">
        <v>50</v>
      </c>
      <c r="O299" s="14" t="s">
        <v>50</v>
      </c>
      <c r="P299" s="15">
        <v>0</v>
      </c>
      <c r="Q299" s="15" t="s">
        <v>50</v>
      </c>
      <c r="R299" s="14" t="s">
        <v>50</v>
      </c>
      <c r="S299" s="14" t="s">
        <v>50</v>
      </c>
    </row>
    <row r="300" spans="1:20" x14ac:dyDescent="0.25">
      <c r="A300" s="11">
        <v>42789</v>
      </c>
      <c r="B300" s="631" t="s">
        <v>8809</v>
      </c>
      <c r="C300" s="631">
        <v>38.03604</v>
      </c>
      <c r="D300" s="631">
        <v>-122.12406</v>
      </c>
      <c r="E300" s="631" t="s">
        <v>9000</v>
      </c>
      <c r="F300" s="631" t="s">
        <v>80</v>
      </c>
      <c r="G300" s="631" t="s">
        <v>81</v>
      </c>
      <c r="H300" s="12">
        <v>0.61805555555555558</v>
      </c>
      <c r="I300" s="24">
        <v>75.83</v>
      </c>
      <c r="J300" s="14" t="s">
        <v>8608</v>
      </c>
      <c r="K300" s="17">
        <v>3</v>
      </c>
      <c r="L300" s="14" t="s">
        <v>8609</v>
      </c>
      <c r="M300" s="14" t="s">
        <v>8610</v>
      </c>
      <c r="N300" s="17" t="s">
        <v>323</v>
      </c>
      <c r="O300" s="17" t="s">
        <v>228</v>
      </c>
      <c r="P300" s="25">
        <v>1</v>
      </c>
      <c r="Q300" s="25">
        <v>65</v>
      </c>
      <c r="R300" s="17" t="s">
        <v>50</v>
      </c>
      <c r="S300" s="17" t="s">
        <v>8613</v>
      </c>
    </row>
    <row r="301" spans="1:20" x14ac:dyDescent="0.25">
      <c r="A301" s="11">
        <v>42790</v>
      </c>
      <c r="B301" s="631" t="s">
        <v>8726</v>
      </c>
      <c r="C301" s="631">
        <v>38.043700000000001</v>
      </c>
      <c r="D301" s="631">
        <v>-121.64917</v>
      </c>
      <c r="E301" s="631" t="s">
        <v>9001</v>
      </c>
      <c r="F301" s="631" t="s">
        <v>46</v>
      </c>
      <c r="G301" s="631" t="s">
        <v>47</v>
      </c>
      <c r="H301" s="12">
        <v>0.35972222222222222</v>
      </c>
      <c r="I301" s="13">
        <v>18.36</v>
      </c>
      <c r="J301" s="14" t="s">
        <v>8608</v>
      </c>
      <c r="K301" s="14">
        <v>8</v>
      </c>
      <c r="L301" s="14" t="s">
        <v>8609</v>
      </c>
      <c r="M301" s="14" t="s">
        <v>8610</v>
      </c>
      <c r="N301" s="14" t="s">
        <v>50</v>
      </c>
      <c r="O301" s="14" t="s">
        <v>50</v>
      </c>
      <c r="P301" s="18">
        <v>0</v>
      </c>
      <c r="Q301" s="18" t="s">
        <v>50</v>
      </c>
      <c r="R301" s="14" t="s">
        <v>50</v>
      </c>
      <c r="S301" s="14" t="s">
        <v>50</v>
      </c>
    </row>
    <row r="302" spans="1:20" x14ac:dyDescent="0.25">
      <c r="A302" s="11">
        <v>42790</v>
      </c>
      <c r="B302" s="631" t="s">
        <v>8726</v>
      </c>
      <c r="C302" s="631">
        <v>38.041930000000001</v>
      </c>
      <c r="D302" s="631">
        <v>-121.59414</v>
      </c>
      <c r="E302" s="631" t="s">
        <v>9002</v>
      </c>
      <c r="F302" s="631" t="s">
        <v>46</v>
      </c>
      <c r="G302" s="631" t="s">
        <v>47</v>
      </c>
      <c r="H302" s="12">
        <v>0.47083333333333338</v>
      </c>
      <c r="I302" s="13">
        <v>21.91</v>
      </c>
      <c r="J302" s="14" t="s">
        <v>8608</v>
      </c>
      <c r="K302" s="14">
        <v>8</v>
      </c>
      <c r="L302" s="14" t="s">
        <v>8609</v>
      </c>
      <c r="M302" s="14" t="s">
        <v>8617</v>
      </c>
      <c r="N302" s="14" t="s">
        <v>50</v>
      </c>
      <c r="O302" s="14" t="s">
        <v>50</v>
      </c>
      <c r="P302" s="15">
        <v>0</v>
      </c>
      <c r="Q302" s="15" t="s">
        <v>50</v>
      </c>
      <c r="R302" s="14" t="s">
        <v>50</v>
      </c>
      <c r="S302" s="14" t="s">
        <v>50</v>
      </c>
    </row>
    <row r="303" spans="1:20" x14ac:dyDescent="0.25">
      <c r="A303" s="11">
        <v>42790</v>
      </c>
      <c r="B303" s="631" t="s">
        <v>8296</v>
      </c>
      <c r="C303" s="631">
        <v>38.184550000000002</v>
      </c>
      <c r="D303" s="631">
        <v>-121.66072</v>
      </c>
      <c r="E303" s="631" t="s">
        <v>9003</v>
      </c>
      <c r="F303" s="631" t="s">
        <v>90</v>
      </c>
      <c r="G303" s="631" t="s">
        <v>126</v>
      </c>
      <c r="H303" s="12">
        <v>0.36736111111111108</v>
      </c>
      <c r="I303" s="13">
        <v>149.6</v>
      </c>
      <c r="J303" s="14" t="s">
        <v>8608</v>
      </c>
      <c r="K303" s="14">
        <v>5</v>
      </c>
      <c r="L303" s="14" t="s">
        <v>8625</v>
      </c>
      <c r="M303" s="14" t="s">
        <v>8610</v>
      </c>
      <c r="N303" s="14" t="s">
        <v>702</v>
      </c>
      <c r="O303" s="14" t="s">
        <v>228</v>
      </c>
      <c r="P303" s="18">
        <v>3</v>
      </c>
      <c r="Q303" s="18" t="s">
        <v>9004</v>
      </c>
      <c r="R303" s="14">
        <v>3</v>
      </c>
      <c r="S303" s="14" t="s">
        <v>50</v>
      </c>
    </row>
    <row r="304" spans="1:20" x14ac:dyDescent="0.25">
      <c r="A304" s="11">
        <v>42790</v>
      </c>
      <c r="B304" s="16" t="s">
        <v>8809</v>
      </c>
      <c r="C304" s="631">
        <v>38.046259999999997</v>
      </c>
      <c r="D304" s="631">
        <v>-122.17833</v>
      </c>
      <c r="E304" s="16" t="s">
        <v>9005</v>
      </c>
      <c r="F304" s="16" t="s">
        <v>80</v>
      </c>
      <c r="G304" s="16" t="s">
        <v>120</v>
      </c>
      <c r="H304" s="12">
        <v>0.48333333333333334</v>
      </c>
      <c r="I304" s="13">
        <v>129.5</v>
      </c>
      <c r="J304" s="14" t="s">
        <v>8608</v>
      </c>
      <c r="K304" s="14">
        <v>2</v>
      </c>
      <c r="L304" s="14" t="s">
        <v>8609</v>
      </c>
      <c r="M304" s="14" t="s">
        <v>8610</v>
      </c>
      <c r="N304" s="14" t="s">
        <v>323</v>
      </c>
      <c r="O304" s="14" t="s">
        <v>228</v>
      </c>
      <c r="P304" s="15">
        <v>1</v>
      </c>
      <c r="Q304" s="15">
        <v>70</v>
      </c>
      <c r="R304" s="14" t="s">
        <v>50</v>
      </c>
      <c r="S304" s="14" t="s">
        <v>8613</v>
      </c>
    </row>
    <row r="305" spans="1:20" x14ac:dyDescent="0.25">
      <c r="A305" s="11">
        <v>42790</v>
      </c>
      <c r="B305" s="16" t="s">
        <v>8809</v>
      </c>
      <c r="C305" s="631">
        <v>38.046259999999997</v>
      </c>
      <c r="D305" s="631">
        <v>-122.17833</v>
      </c>
      <c r="E305" s="16" t="s">
        <v>9005</v>
      </c>
      <c r="F305" s="16" t="s">
        <v>80</v>
      </c>
      <c r="G305" s="16" t="s">
        <v>120</v>
      </c>
      <c r="H305" s="12"/>
      <c r="I305" s="13"/>
      <c r="J305" s="14"/>
      <c r="K305" s="14"/>
      <c r="L305" s="14"/>
      <c r="M305" s="14"/>
      <c r="N305" s="14" t="s">
        <v>31</v>
      </c>
      <c r="O305" s="14" t="s">
        <v>228</v>
      </c>
      <c r="P305" s="18">
        <v>1</v>
      </c>
      <c r="Q305" s="18">
        <v>100</v>
      </c>
      <c r="R305" s="14" t="s">
        <v>50</v>
      </c>
      <c r="S305" s="14" t="s">
        <v>8613</v>
      </c>
    </row>
    <row r="306" spans="1:20" s="16" customFormat="1" x14ac:dyDescent="0.25">
      <c r="A306" s="22">
        <v>42790</v>
      </c>
      <c r="B306" s="16" t="s">
        <v>8809</v>
      </c>
      <c r="C306" s="16">
        <v>38.04045</v>
      </c>
      <c r="D306" s="16">
        <v>-122.16334999999999</v>
      </c>
      <c r="E306" s="16" t="s">
        <v>9006</v>
      </c>
      <c r="F306" s="16" t="s">
        <v>80</v>
      </c>
      <c r="G306" s="16" t="s">
        <v>120</v>
      </c>
      <c r="H306" s="23">
        <v>0.51180555555555551</v>
      </c>
      <c r="I306" s="24">
        <v>144.15</v>
      </c>
      <c r="J306" s="17" t="s">
        <v>8608</v>
      </c>
      <c r="K306" s="17">
        <v>8</v>
      </c>
      <c r="L306" s="17" t="s">
        <v>8609</v>
      </c>
      <c r="M306" s="17" t="s">
        <v>8610</v>
      </c>
      <c r="N306" s="17" t="s">
        <v>702</v>
      </c>
      <c r="O306" s="17" t="s">
        <v>228</v>
      </c>
      <c r="P306" s="19">
        <v>2</v>
      </c>
      <c r="Q306" s="19" t="s">
        <v>9007</v>
      </c>
      <c r="R306" s="17">
        <v>3</v>
      </c>
      <c r="S306" s="17" t="s">
        <v>50</v>
      </c>
      <c r="T306" s="87"/>
    </row>
    <row r="307" spans="1:20" x14ac:dyDescent="0.25">
      <c r="A307" s="11">
        <v>42790</v>
      </c>
      <c r="B307" s="631" t="s">
        <v>8296</v>
      </c>
      <c r="C307" s="631">
        <v>38.060209999999998</v>
      </c>
      <c r="D307" s="631">
        <v>-121.80457</v>
      </c>
      <c r="E307" s="631" t="s">
        <v>9008</v>
      </c>
      <c r="F307" s="631" t="s">
        <v>27</v>
      </c>
      <c r="G307" s="631" t="s">
        <v>25</v>
      </c>
      <c r="H307" s="12">
        <v>0.42430555555555555</v>
      </c>
      <c r="I307" s="13">
        <v>165.6</v>
      </c>
      <c r="J307" s="14" t="s">
        <v>8608</v>
      </c>
      <c r="K307" s="14">
        <v>5</v>
      </c>
      <c r="L307" s="14" t="s">
        <v>8625</v>
      </c>
      <c r="M307" s="14" t="s">
        <v>8610</v>
      </c>
      <c r="N307" s="14" t="s">
        <v>622</v>
      </c>
      <c r="O307" s="14" t="s">
        <v>2525</v>
      </c>
      <c r="P307" s="18">
        <v>2</v>
      </c>
      <c r="Q307" s="18" t="s">
        <v>9009</v>
      </c>
      <c r="R307" s="14">
        <v>5</v>
      </c>
      <c r="S307" s="14" t="s">
        <v>50</v>
      </c>
    </row>
    <row r="308" spans="1:20" x14ac:dyDescent="0.25">
      <c r="A308" s="11">
        <v>42790</v>
      </c>
      <c r="B308" s="631" t="s">
        <v>8726</v>
      </c>
      <c r="C308" s="631">
        <v>38.041339999999998</v>
      </c>
      <c r="D308" s="631">
        <v>-121.43361</v>
      </c>
      <c r="E308" s="631" t="s">
        <v>9010</v>
      </c>
      <c r="F308" s="631" t="s">
        <v>46</v>
      </c>
      <c r="G308" s="631" t="s">
        <v>6883</v>
      </c>
      <c r="H308" s="12">
        <v>0.31666666666666665</v>
      </c>
      <c r="I308" s="13">
        <v>26.6</v>
      </c>
      <c r="J308" s="14" t="s">
        <v>8608</v>
      </c>
      <c r="K308" s="14">
        <v>8</v>
      </c>
      <c r="L308" s="14" t="s">
        <v>8609</v>
      </c>
      <c r="M308" s="14" t="s">
        <v>8610</v>
      </c>
      <c r="N308" s="14" t="s">
        <v>50</v>
      </c>
      <c r="O308" s="14" t="s">
        <v>50</v>
      </c>
      <c r="P308" s="15">
        <v>0</v>
      </c>
      <c r="Q308" s="15" t="s">
        <v>50</v>
      </c>
      <c r="R308" s="14" t="s">
        <v>50</v>
      </c>
      <c r="S308" s="14" t="s">
        <v>50</v>
      </c>
    </row>
    <row r="309" spans="1:20" x14ac:dyDescent="0.25">
      <c r="A309" s="11">
        <v>42790</v>
      </c>
      <c r="B309" s="631" t="s">
        <v>8726</v>
      </c>
      <c r="C309" s="631">
        <v>37.99906</v>
      </c>
      <c r="D309" s="631">
        <v>-121.40779999999999</v>
      </c>
      <c r="E309" s="631" t="s">
        <v>9011</v>
      </c>
      <c r="F309" s="631" t="s">
        <v>46</v>
      </c>
      <c r="G309" s="631" t="s">
        <v>6840</v>
      </c>
      <c r="H309" s="12">
        <v>0.4368055555555555</v>
      </c>
      <c r="I309" s="13">
        <v>54.2</v>
      </c>
      <c r="J309" s="14" t="s">
        <v>8608</v>
      </c>
      <c r="K309" s="14">
        <v>5</v>
      </c>
      <c r="L309" s="14" t="s">
        <v>8609</v>
      </c>
      <c r="M309" s="14" t="s">
        <v>8617</v>
      </c>
      <c r="N309" s="14" t="s">
        <v>702</v>
      </c>
      <c r="O309" s="14" t="s">
        <v>228</v>
      </c>
      <c r="P309" s="15">
        <v>1</v>
      </c>
      <c r="Q309" s="15">
        <v>38</v>
      </c>
      <c r="R309" s="14">
        <v>2</v>
      </c>
      <c r="S309" s="14" t="s">
        <v>50</v>
      </c>
    </row>
    <row r="310" spans="1:20" x14ac:dyDescent="0.25">
      <c r="A310" s="11">
        <v>42790</v>
      </c>
      <c r="B310" s="631" t="s">
        <v>8726</v>
      </c>
      <c r="C310" s="631">
        <v>37.99906</v>
      </c>
      <c r="D310" s="631">
        <v>-121.40779999999999</v>
      </c>
      <c r="E310" s="631" t="s">
        <v>9011</v>
      </c>
      <c r="F310" s="631" t="s">
        <v>46</v>
      </c>
      <c r="G310" s="631" t="s">
        <v>6840</v>
      </c>
      <c r="H310" s="12"/>
      <c r="I310" s="13"/>
      <c r="J310" s="14"/>
      <c r="K310" s="14"/>
      <c r="L310" s="14"/>
      <c r="M310" s="14"/>
      <c r="N310" s="14" t="s">
        <v>323</v>
      </c>
      <c r="O310" s="14" t="s">
        <v>228</v>
      </c>
      <c r="P310" s="15">
        <v>1</v>
      </c>
      <c r="Q310" s="15">
        <v>71</v>
      </c>
      <c r="R310" s="14" t="s">
        <v>50</v>
      </c>
      <c r="S310" s="14" t="s">
        <v>8613</v>
      </c>
    </row>
    <row r="311" spans="1:20" x14ac:dyDescent="0.25">
      <c r="A311" s="11">
        <v>42793</v>
      </c>
      <c r="B311" s="631" t="s">
        <v>8809</v>
      </c>
      <c r="C311" s="631">
        <v>38.087730000000001</v>
      </c>
      <c r="D311" s="631">
        <v>-121.53283</v>
      </c>
      <c r="E311" s="631" t="s">
        <v>9012</v>
      </c>
      <c r="F311" s="631" t="s">
        <v>46</v>
      </c>
      <c r="G311" s="631" t="s">
        <v>6881</v>
      </c>
      <c r="H311" s="12">
        <v>0.31458333333333333</v>
      </c>
      <c r="I311" s="13">
        <v>32.659999999999997</v>
      </c>
      <c r="J311" s="14" t="s">
        <v>8608</v>
      </c>
      <c r="K311" s="14">
        <v>8</v>
      </c>
      <c r="L311" s="14" t="s">
        <v>8609</v>
      </c>
      <c r="M311" s="14" t="s">
        <v>8610</v>
      </c>
      <c r="N311" s="14" t="s">
        <v>3280</v>
      </c>
      <c r="O311" s="14" t="s">
        <v>228</v>
      </c>
      <c r="P311" s="18">
        <v>1</v>
      </c>
      <c r="Q311" s="18">
        <v>62</v>
      </c>
      <c r="R311" s="14">
        <v>3</v>
      </c>
      <c r="S311" s="14" t="s">
        <v>50</v>
      </c>
      <c r="T311" s="5" t="s">
        <v>9013</v>
      </c>
    </row>
    <row r="312" spans="1:20" x14ac:dyDescent="0.25">
      <c r="A312" s="11">
        <v>42793</v>
      </c>
      <c r="B312" s="631" t="s">
        <v>8809</v>
      </c>
      <c r="C312" s="631">
        <v>38.087730000000001</v>
      </c>
      <c r="D312" s="631">
        <v>-121.53283</v>
      </c>
      <c r="E312" s="631" t="s">
        <v>9012</v>
      </c>
      <c r="F312" s="631" t="s">
        <v>46</v>
      </c>
      <c r="G312" s="631" t="s">
        <v>6881</v>
      </c>
      <c r="H312" s="12"/>
      <c r="I312" s="13"/>
      <c r="J312" s="14"/>
      <c r="K312" s="14"/>
      <c r="L312" s="14"/>
      <c r="M312" s="14"/>
      <c r="N312" s="14" t="s">
        <v>702</v>
      </c>
      <c r="O312" s="14" t="s">
        <v>228</v>
      </c>
      <c r="P312" s="15">
        <v>2</v>
      </c>
      <c r="Q312" s="15" t="s">
        <v>9014</v>
      </c>
      <c r="R312" s="14">
        <v>2</v>
      </c>
      <c r="S312" s="14" t="s">
        <v>50</v>
      </c>
    </row>
    <row r="313" spans="1:20" x14ac:dyDescent="0.25">
      <c r="A313" s="11">
        <v>42793</v>
      </c>
      <c r="B313" s="631" t="s">
        <v>8809</v>
      </c>
      <c r="C313" s="631">
        <v>38.091369999999998</v>
      </c>
      <c r="D313" s="631">
        <v>-121.49551</v>
      </c>
      <c r="E313" s="631" t="s">
        <v>9015</v>
      </c>
      <c r="F313" s="631" t="s">
        <v>46</v>
      </c>
      <c r="G313" s="631" t="s">
        <v>6881</v>
      </c>
      <c r="H313" s="12">
        <v>0.40833333333333338</v>
      </c>
      <c r="I313" s="13">
        <v>27</v>
      </c>
      <c r="J313" s="14" t="s">
        <v>8608</v>
      </c>
      <c r="K313" s="14">
        <v>8</v>
      </c>
      <c r="L313" s="14" t="s">
        <v>8609</v>
      </c>
      <c r="M313" s="14" t="s">
        <v>8610</v>
      </c>
      <c r="N313" s="14" t="s">
        <v>50</v>
      </c>
      <c r="O313" s="14" t="s">
        <v>50</v>
      </c>
      <c r="P313" s="15">
        <v>0</v>
      </c>
      <c r="Q313" s="15" t="s">
        <v>50</v>
      </c>
      <c r="R313" s="14" t="s">
        <v>50</v>
      </c>
      <c r="S313" s="14" t="s">
        <v>50</v>
      </c>
    </row>
    <row r="314" spans="1:20" x14ac:dyDescent="0.25">
      <c r="A314" s="11">
        <v>42793</v>
      </c>
      <c r="B314" s="631" t="s">
        <v>8809</v>
      </c>
      <c r="C314" s="631">
        <v>38.180370000000003</v>
      </c>
      <c r="D314" s="631">
        <v>-121.52739</v>
      </c>
      <c r="E314" s="631" t="s">
        <v>9016</v>
      </c>
      <c r="F314" s="631" t="s">
        <v>46</v>
      </c>
      <c r="G314" s="631" t="s">
        <v>6881</v>
      </c>
      <c r="H314" s="12">
        <v>0.5229166666666667</v>
      </c>
      <c r="I314" s="13">
        <v>27.9</v>
      </c>
      <c r="J314" s="14" t="s">
        <v>8608</v>
      </c>
      <c r="K314" s="14">
        <v>8</v>
      </c>
      <c r="L314" s="14" t="s">
        <v>8609</v>
      </c>
      <c r="M314" s="14" t="s">
        <v>8610</v>
      </c>
      <c r="N314" s="14" t="s">
        <v>50</v>
      </c>
      <c r="O314" s="14" t="s">
        <v>50</v>
      </c>
      <c r="P314" s="15">
        <v>0</v>
      </c>
      <c r="Q314" s="15" t="s">
        <v>50</v>
      </c>
      <c r="R314" s="14" t="s">
        <v>50</v>
      </c>
      <c r="S314" s="14" t="s">
        <v>50</v>
      </c>
    </row>
    <row r="315" spans="1:20" x14ac:dyDescent="0.25">
      <c r="A315" s="11">
        <v>42793</v>
      </c>
      <c r="B315" s="631" t="s">
        <v>8809</v>
      </c>
      <c r="C315" s="631">
        <v>38.576270000000001</v>
      </c>
      <c r="D315" s="631">
        <v>-121.51106</v>
      </c>
      <c r="E315" s="631" t="s">
        <v>9017</v>
      </c>
      <c r="F315" s="631" t="s">
        <v>90</v>
      </c>
      <c r="G315" s="631" t="s">
        <v>6851</v>
      </c>
      <c r="H315" s="12">
        <v>0.3125</v>
      </c>
      <c r="I315" s="13" t="s">
        <v>50</v>
      </c>
      <c r="J315" s="14" t="s">
        <v>8608</v>
      </c>
      <c r="K315" s="14">
        <v>0</v>
      </c>
      <c r="L315" s="14" t="s">
        <v>50</v>
      </c>
      <c r="M315" s="14" t="s">
        <v>50</v>
      </c>
      <c r="N315" s="14" t="s">
        <v>50</v>
      </c>
      <c r="O315" s="14" t="s">
        <v>50</v>
      </c>
      <c r="P315" s="18">
        <v>0</v>
      </c>
      <c r="Q315" s="18" t="s">
        <v>50</v>
      </c>
      <c r="R315" s="14" t="s">
        <v>50</v>
      </c>
      <c r="S315" s="14" t="s">
        <v>50</v>
      </c>
      <c r="T315" s="5" t="s">
        <v>9018</v>
      </c>
    </row>
    <row r="316" spans="1:20" x14ac:dyDescent="0.25">
      <c r="A316" s="11">
        <v>42793</v>
      </c>
      <c r="B316" s="631" t="s">
        <v>8809</v>
      </c>
      <c r="C316" s="631">
        <v>38.407049999999998</v>
      </c>
      <c r="D316" s="631">
        <v>-121.51665</v>
      </c>
      <c r="E316" s="631" t="s">
        <v>9019</v>
      </c>
      <c r="F316" s="631" t="s">
        <v>90</v>
      </c>
      <c r="G316" s="631" t="s">
        <v>6851</v>
      </c>
      <c r="H316" s="12">
        <v>0.31597222222222221</v>
      </c>
      <c r="I316" s="13" t="s">
        <v>50</v>
      </c>
      <c r="J316" s="14" t="s">
        <v>8608</v>
      </c>
      <c r="K316" s="14">
        <v>0</v>
      </c>
      <c r="L316" s="14" t="s">
        <v>50</v>
      </c>
      <c r="M316" s="14" t="s">
        <v>50</v>
      </c>
      <c r="N316" s="14" t="s">
        <v>50</v>
      </c>
      <c r="O316" s="14" t="s">
        <v>50</v>
      </c>
      <c r="P316" s="18">
        <v>0</v>
      </c>
      <c r="Q316" s="18" t="s">
        <v>50</v>
      </c>
      <c r="R316" s="14" t="s">
        <v>50</v>
      </c>
      <c r="S316" s="14" t="s">
        <v>50</v>
      </c>
      <c r="T316" s="5" t="s">
        <v>9018</v>
      </c>
    </row>
    <row r="317" spans="1:20" x14ac:dyDescent="0.25">
      <c r="A317" s="11">
        <v>42793</v>
      </c>
      <c r="B317" s="631" t="s">
        <v>8296</v>
      </c>
      <c r="C317" s="631">
        <v>38.537860000000002</v>
      </c>
      <c r="D317" s="631">
        <v>-121.5844</v>
      </c>
      <c r="E317" s="631" t="s">
        <v>9020</v>
      </c>
      <c r="F317" s="631" t="s">
        <v>90</v>
      </c>
      <c r="G317" s="631" t="s">
        <v>7577</v>
      </c>
      <c r="H317" s="12">
        <v>0.38680555555555557</v>
      </c>
      <c r="I317" s="13">
        <v>5.96</v>
      </c>
      <c r="J317" s="14" t="s">
        <v>8608</v>
      </c>
      <c r="K317" s="14">
        <v>6</v>
      </c>
      <c r="L317" s="14" t="s">
        <v>8625</v>
      </c>
      <c r="M317" s="14" t="s">
        <v>8610</v>
      </c>
      <c r="N317" s="14" t="s">
        <v>702</v>
      </c>
      <c r="O317" s="14" t="s">
        <v>228</v>
      </c>
      <c r="P317" s="18">
        <v>1</v>
      </c>
      <c r="Q317" s="18">
        <v>55</v>
      </c>
      <c r="R317" s="14">
        <v>3</v>
      </c>
      <c r="S317" s="14" t="s">
        <v>50</v>
      </c>
      <c r="T317" s="5" t="s">
        <v>9021</v>
      </c>
    </row>
    <row r="318" spans="1:20" x14ac:dyDescent="0.25">
      <c r="A318" s="11">
        <v>42793</v>
      </c>
      <c r="B318" s="631" t="s">
        <v>8296</v>
      </c>
      <c r="C318" s="631">
        <v>38.537860000000002</v>
      </c>
      <c r="D318" s="631">
        <v>-121.5844</v>
      </c>
      <c r="E318" s="631" t="s">
        <v>9020</v>
      </c>
      <c r="F318" s="631" t="s">
        <v>90</v>
      </c>
      <c r="G318" s="631" t="s">
        <v>7577</v>
      </c>
      <c r="H318" s="12"/>
      <c r="I318" s="13"/>
      <c r="J318" s="14"/>
      <c r="K318" s="14"/>
      <c r="L318" s="14"/>
      <c r="M318" s="14"/>
      <c r="N318" s="14" t="s">
        <v>3280</v>
      </c>
      <c r="O318" s="14" t="s">
        <v>228</v>
      </c>
      <c r="P318" s="15">
        <v>1</v>
      </c>
      <c r="Q318" s="15">
        <v>61</v>
      </c>
      <c r="R318" s="14">
        <v>3</v>
      </c>
      <c r="S318" s="14" t="s">
        <v>50</v>
      </c>
    </row>
    <row r="319" spans="1:20" x14ac:dyDescent="0.25">
      <c r="A319" s="11">
        <v>42793</v>
      </c>
      <c r="B319" s="631" t="s">
        <v>8296</v>
      </c>
      <c r="C319" s="16">
        <v>38.256599999999999</v>
      </c>
      <c r="D319" s="631">
        <v>-121.73417000000001</v>
      </c>
      <c r="E319" s="631" t="s">
        <v>9022</v>
      </c>
      <c r="F319" s="631" t="s">
        <v>90</v>
      </c>
      <c r="G319" s="631" t="s">
        <v>126</v>
      </c>
      <c r="H319" s="12">
        <v>0.49583333333333335</v>
      </c>
      <c r="I319" s="13">
        <v>45.38</v>
      </c>
      <c r="J319" s="14" t="s">
        <v>8608</v>
      </c>
      <c r="K319" s="14">
        <v>5</v>
      </c>
      <c r="L319" s="14" t="s">
        <v>8625</v>
      </c>
      <c r="M319" s="14" t="s">
        <v>8610</v>
      </c>
      <c r="N319" s="14" t="s">
        <v>702</v>
      </c>
      <c r="O319" s="14" t="s">
        <v>228</v>
      </c>
      <c r="P319" s="18">
        <v>5</v>
      </c>
      <c r="Q319" s="18" t="s">
        <v>9023</v>
      </c>
      <c r="R319" s="14">
        <v>3</v>
      </c>
      <c r="S319" s="14" t="s">
        <v>50</v>
      </c>
    </row>
    <row r="320" spans="1:20" x14ac:dyDescent="0.25">
      <c r="A320" s="11">
        <v>42793</v>
      </c>
      <c r="B320" s="631" t="s">
        <v>8296</v>
      </c>
      <c r="C320" s="16">
        <v>38.256599999999999</v>
      </c>
      <c r="D320" s="631">
        <v>-121.73417000000001</v>
      </c>
      <c r="E320" s="631" t="s">
        <v>9022</v>
      </c>
      <c r="F320" s="631" t="s">
        <v>90</v>
      </c>
      <c r="G320" s="631" t="s">
        <v>126</v>
      </c>
      <c r="H320" s="12"/>
      <c r="I320" s="13"/>
      <c r="J320" s="14"/>
      <c r="K320" s="14"/>
      <c r="L320" s="14"/>
      <c r="M320" s="14"/>
      <c r="N320" s="14" t="s">
        <v>3280</v>
      </c>
      <c r="O320" s="14" t="s">
        <v>228</v>
      </c>
      <c r="P320" s="18">
        <v>1</v>
      </c>
      <c r="Q320" s="18">
        <v>61</v>
      </c>
      <c r="R320" s="14">
        <v>3</v>
      </c>
      <c r="S320" s="14" t="s">
        <v>50</v>
      </c>
    </row>
    <row r="321" spans="1:20" x14ac:dyDescent="0.25">
      <c r="A321" s="11">
        <v>42793</v>
      </c>
      <c r="B321" s="631" t="s">
        <v>8296</v>
      </c>
      <c r="C321" s="631">
        <v>38.039670000000001</v>
      </c>
      <c r="D321" s="631">
        <v>-121.83145</v>
      </c>
      <c r="E321" s="631" t="s">
        <v>9024</v>
      </c>
      <c r="F321" s="631" t="s">
        <v>27</v>
      </c>
      <c r="G321" s="631" t="s">
        <v>863</v>
      </c>
      <c r="H321" s="12">
        <v>0.58611111111111114</v>
      </c>
      <c r="I321" s="13">
        <v>38.299999999999997</v>
      </c>
      <c r="J321" s="14" t="s">
        <v>8608</v>
      </c>
      <c r="K321" s="14">
        <v>2</v>
      </c>
      <c r="L321" s="14" t="s">
        <v>8625</v>
      </c>
      <c r="M321" s="14" t="s">
        <v>8610</v>
      </c>
      <c r="N321" s="14" t="s">
        <v>323</v>
      </c>
      <c r="O321" s="14" t="s">
        <v>50</v>
      </c>
      <c r="P321" s="18">
        <v>1</v>
      </c>
      <c r="Q321" s="18">
        <v>66</v>
      </c>
      <c r="R321" s="14" t="s">
        <v>50</v>
      </c>
      <c r="S321" s="14" t="s">
        <v>8928</v>
      </c>
    </row>
    <row r="322" spans="1:20" x14ac:dyDescent="0.25">
      <c r="A322" s="11">
        <v>42793</v>
      </c>
      <c r="B322" s="631" t="s">
        <v>8606</v>
      </c>
      <c r="C322" s="631">
        <v>38.084739999999996</v>
      </c>
      <c r="D322" s="631">
        <v>-121.64481000000001</v>
      </c>
      <c r="E322" s="631" t="s">
        <v>9025</v>
      </c>
      <c r="F322" s="631" t="s">
        <v>46</v>
      </c>
      <c r="G322" s="631" t="s">
        <v>97</v>
      </c>
      <c r="H322" s="12">
        <v>0.31319444444444444</v>
      </c>
      <c r="I322" s="13">
        <v>38</v>
      </c>
      <c r="J322" s="14" t="s">
        <v>8608</v>
      </c>
      <c r="K322" s="14">
        <v>5</v>
      </c>
      <c r="L322" s="14" t="s">
        <v>8609</v>
      </c>
      <c r="M322" s="14" t="s">
        <v>8610</v>
      </c>
      <c r="N322" s="14" t="s">
        <v>3280</v>
      </c>
      <c r="O322" s="14" t="s">
        <v>228</v>
      </c>
      <c r="P322" s="18">
        <v>1</v>
      </c>
      <c r="Q322" s="18">
        <v>62</v>
      </c>
      <c r="R322" s="14">
        <v>3</v>
      </c>
      <c r="S322" s="14" t="s">
        <v>50</v>
      </c>
    </row>
    <row r="323" spans="1:20" x14ac:dyDescent="0.25">
      <c r="A323" s="11">
        <v>42793</v>
      </c>
      <c r="B323" s="631" t="s">
        <v>8606</v>
      </c>
      <c r="C323" s="631">
        <v>38.084739999999996</v>
      </c>
      <c r="D323" s="631">
        <v>-121.64481000000001</v>
      </c>
      <c r="E323" s="631" t="s">
        <v>9025</v>
      </c>
      <c r="F323" s="631" t="s">
        <v>46</v>
      </c>
      <c r="G323" s="631" t="s">
        <v>97</v>
      </c>
      <c r="H323" s="12"/>
      <c r="I323" s="13"/>
      <c r="J323" s="14"/>
      <c r="K323" s="14"/>
      <c r="L323" s="14"/>
      <c r="M323" s="14"/>
      <c r="N323" s="14" t="s">
        <v>702</v>
      </c>
      <c r="O323" s="14" t="s">
        <v>228</v>
      </c>
      <c r="P323" s="15">
        <v>1</v>
      </c>
      <c r="Q323" s="15">
        <v>47</v>
      </c>
      <c r="R323" s="14">
        <v>3</v>
      </c>
      <c r="S323" s="14" t="s">
        <v>50</v>
      </c>
    </row>
    <row r="324" spans="1:20" x14ac:dyDescent="0.25">
      <c r="A324" s="11">
        <v>42793</v>
      </c>
      <c r="B324" s="631" t="s">
        <v>8606</v>
      </c>
      <c r="C324" s="631">
        <v>38.084739999999996</v>
      </c>
      <c r="D324" s="631">
        <v>-121.64481000000001</v>
      </c>
      <c r="E324" s="631" t="s">
        <v>9025</v>
      </c>
      <c r="F324" s="631" t="s">
        <v>46</v>
      </c>
      <c r="G324" s="631" t="s">
        <v>97</v>
      </c>
      <c r="H324" s="12"/>
      <c r="I324" s="13"/>
      <c r="J324" s="14"/>
      <c r="K324" s="14"/>
      <c r="L324" s="14"/>
      <c r="M324" s="14"/>
      <c r="N324" s="14" t="s">
        <v>622</v>
      </c>
      <c r="O324" s="14" t="s">
        <v>2525</v>
      </c>
      <c r="P324" s="18">
        <v>1</v>
      </c>
      <c r="Q324" s="18">
        <v>201</v>
      </c>
      <c r="R324" s="14">
        <v>5</v>
      </c>
      <c r="S324" s="14" t="s">
        <v>50</v>
      </c>
    </row>
    <row r="325" spans="1:20" x14ac:dyDescent="0.25">
      <c r="A325" s="11">
        <v>42793</v>
      </c>
      <c r="B325" s="631" t="s">
        <v>8606</v>
      </c>
      <c r="C325" s="631">
        <v>38.099159999999998</v>
      </c>
      <c r="D325" s="631">
        <v>-121.62541</v>
      </c>
      <c r="E325" s="631" t="s">
        <v>9026</v>
      </c>
      <c r="F325" s="631" t="s">
        <v>46</v>
      </c>
      <c r="G325" s="631" t="s">
        <v>97</v>
      </c>
      <c r="H325" s="12">
        <v>0.43124999999999997</v>
      </c>
      <c r="I325" s="13">
        <v>44.8</v>
      </c>
      <c r="J325" s="14" t="s">
        <v>8608</v>
      </c>
      <c r="K325" s="14">
        <v>5</v>
      </c>
      <c r="L325" s="14" t="s">
        <v>8609</v>
      </c>
      <c r="M325" s="14" t="s">
        <v>8610</v>
      </c>
      <c r="N325" s="14" t="s">
        <v>3280</v>
      </c>
      <c r="O325" s="14" t="s">
        <v>228</v>
      </c>
      <c r="P325" s="18">
        <v>1</v>
      </c>
      <c r="Q325" s="18">
        <v>65</v>
      </c>
      <c r="R325" s="14">
        <v>3</v>
      </c>
      <c r="S325" s="14" t="s">
        <v>50</v>
      </c>
    </row>
    <row r="326" spans="1:20" x14ac:dyDescent="0.25">
      <c r="A326" s="11">
        <v>42793</v>
      </c>
      <c r="B326" s="631" t="s">
        <v>8606</v>
      </c>
      <c r="C326" s="631">
        <v>38.099159999999998</v>
      </c>
      <c r="D326" s="631">
        <v>-121.62541</v>
      </c>
      <c r="E326" s="631" t="s">
        <v>9026</v>
      </c>
      <c r="F326" s="631" t="s">
        <v>46</v>
      </c>
      <c r="G326" s="631" t="s">
        <v>97</v>
      </c>
      <c r="H326" s="12"/>
      <c r="I326" s="13"/>
      <c r="J326" s="14"/>
      <c r="K326" s="14"/>
      <c r="L326" s="14"/>
      <c r="M326" s="14"/>
      <c r="N326" s="14" t="s">
        <v>622</v>
      </c>
      <c r="O326" s="14" t="s">
        <v>2525</v>
      </c>
      <c r="P326" s="15">
        <v>1</v>
      </c>
      <c r="Q326" s="15">
        <v>194</v>
      </c>
      <c r="R326" s="14">
        <v>3</v>
      </c>
      <c r="S326" s="14" t="s">
        <v>50</v>
      </c>
    </row>
    <row r="327" spans="1:20" x14ac:dyDescent="0.25">
      <c r="A327" s="11">
        <v>42793</v>
      </c>
      <c r="B327" s="631" t="s">
        <v>8606</v>
      </c>
      <c r="C327" s="631">
        <v>38.091670000000001</v>
      </c>
      <c r="D327" s="631">
        <v>-121.65322999999999</v>
      </c>
      <c r="E327" s="631" t="s">
        <v>9027</v>
      </c>
      <c r="F327" s="631" t="s">
        <v>46</v>
      </c>
      <c r="G327" s="631" t="s">
        <v>97</v>
      </c>
      <c r="H327" s="12">
        <v>0.37291666666666662</v>
      </c>
      <c r="I327" s="13">
        <v>44.84</v>
      </c>
      <c r="J327" s="14" t="s">
        <v>8608</v>
      </c>
      <c r="K327" s="14">
        <v>5</v>
      </c>
      <c r="L327" s="14" t="s">
        <v>8609</v>
      </c>
      <c r="M327" s="14" t="s">
        <v>8610</v>
      </c>
      <c r="N327" s="14" t="s">
        <v>622</v>
      </c>
      <c r="O327" s="14" t="s">
        <v>2525</v>
      </c>
      <c r="P327" s="18">
        <v>4</v>
      </c>
      <c r="Q327" s="18">
        <v>173</v>
      </c>
      <c r="R327" s="14">
        <v>5</v>
      </c>
      <c r="S327" s="14" t="s">
        <v>50</v>
      </c>
      <c r="T327" s="5" t="s">
        <v>9028</v>
      </c>
    </row>
    <row r="328" spans="1:20" x14ac:dyDescent="0.25">
      <c r="A328" s="11">
        <v>42793</v>
      </c>
      <c r="B328" s="631" t="s">
        <v>8606</v>
      </c>
      <c r="C328" s="631">
        <v>38.172199999999997</v>
      </c>
      <c r="D328" s="631">
        <v>-121.62636000000001</v>
      </c>
      <c r="E328" s="631" t="s">
        <v>9029</v>
      </c>
      <c r="F328" s="631" t="s">
        <v>46</v>
      </c>
      <c r="G328" s="631" t="s">
        <v>97</v>
      </c>
      <c r="H328" s="12">
        <v>0.50555555555555554</v>
      </c>
      <c r="I328" s="13">
        <v>23.04</v>
      </c>
      <c r="J328" s="14" t="s">
        <v>8608</v>
      </c>
      <c r="K328" s="14">
        <v>5</v>
      </c>
      <c r="L328" s="14" t="s">
        <v>8609</v>
      </c>
      <c r="M328" s="14" t="s">
        <v>8617</v>
      </c>
      <c r="N328" s="14" t="s">
        <v>50</v>
      </c>
      <c r="O328" s="14" t="s">
        <v>50</v>
      </c>
      <c r="P328" s="18">
        <v>0</v>
      </c>
      <c r="Q328" s="18" t="s">
        <v>50</v>
      </c>
      <c r="R328" s="14" t="s">
        <v>50</v>
      </c>
      <c r="S328" s="14" t="s">
        <v>50</v>
      </c>
      <c r="T328" s="5" t="s">
        <v>9030</v>
      </c>
    </row>
    <row r="329" spans="1:20" x14ac:dyDescent="0.25">
      <c r="A329" s="11">
        <v>42794</v>
      </c>
      <c r="B329" s="631" t="s">
        <v>8296</v>
      </c>
      <c r="C329" s="631">
        <v>38.034080000000003</v>
      </c>
      <c r="D329" s="631">
        <v>-121.87166999999999</v>
      </c>
      <c r="E329" s="631" t="s">
        <v>9031</v>
      </c>
      <c r="F329" s="631" t="s">
        <v>27</v>
      </c>
      <c r="G329" s="631" t="s">
        <v>95</v>
      </c>
      <c r="H329" s="12">
        <v>0.34722222222222227</v>
      </c>
      <c r="I329" s="13">
        <v>44.36</v>
      </c>
      <c r="J329" s="14" t="s">
        <v>8608</v>
      </c>
      <c r="K329" s="14">
        <v>5</v>
      </c>
      <c r="L329" s="14" t="s">
        <v>8625</v>
      </c>
      <c r="M329" s="14" t="s">
        <v>8610</v>
      </c>
      <c r="N329" s="14" t="s">
        <v>50</v>
      </c>
      <c r="O329" s="14" t="s">
        <v>50</v>
      </c>
      <c r="P329" s="18">
        <v>0</v>
      </c>
      <c r="Q329" s="18" t="s">
        <v>50</v>
      </c>
      <c r="R329" s="14" t="s">
        <v>50</v>
      </c>
      <c r="S329" s="14" t="s">
        <v>50</v>
      </c>
    </row>
    <row r="330" spans="1:20" x14ac:dyDescent="0.25">
      <c r="A330" s="11">
        <v>42794</v>
      </c>
      <c r="B330" s="631" t="s">
        <v>8296</v>
      </c>
      <c r="C330" s="631">
        <v>38.065510000000003</v>
      </c>
      <c r="D330" s="631">
        <v>-121.82848</v>
      </c>
      <c r="E330" s="631" t="s">
        <v>9032</v>
      </c>
      <c r="F330" s="631" t="s">
        <v>27</v>
      </c>
      <c r="G330" s="631" t="s">
        <v>25</v>
      </c>
      <c r="H330" s="12">
        <v>0.39861111111111108</v>
      </c>
      <c r="I330" s="13">
        <v>110</v>
      </c>
      <c r="J330" s="14" t="s">
        <v>8608</v>
      </c>
      <c r="K330" s="14">
        <v>5</v>
      </c>
      <c r="L330" s="14" t="s">
        <v>8625</v>
      </c>
      <c r="M330" s="14" t="s">
        <v>8610</v>
      </c>
      <c r="N330" s="14" t="s">
        <v>50</v>
      </c>
      <c r="O330" s="14" t="s">
        <v>50</v>
      </c>
      <c r="P330" s="18">
        <v>0</v>
      </c>
      <c r="Q330" s="18" t="s">
        <v>50</v>
      </c>
      <c r="R330" s="14" t="s">
        <v>50</v>
      </c>
      <c r="S330" s="14" t="s">
        <v>50</v>
      </c>
    </row>
    <row r="331" spans="1:20" x14ac:dyDescent="0.25">
      <c r="A331" s="11">
        <v>42794</v>
      </c>
      <c r="B331" s="631" t="s">
        <v>8296</v>
      </c>
      <c r="C331" s="631">
        <v>38.072560000000003</v>
      </c>
      <c r="D331" s="631">
        <v>-121.97125</v>
      </c>
      <c r="E331" s="631" t="s">
        <v>9033</v>
      </c>
      <c r="F331" s="631" t="s">
        <v>27</v>
      </c>
      <c r="G331" s="631" t="s">
        <v>86</v>
      </c>
      <c r="H331" s="12">
        <v>0.49027777777777781</v>
      </c>
      <c r="I331" s="13">
        <v>137.6</v>
      </c>
      <c r="J331" s="14" t="s">
        <v>8608</v>
      </c>
      <c r="K331" s="14">
        <v>5</v>
      </c>
      <c r="L331" s="14" t="s">
        <v>8625</v>
      </c>
      <c r="M331" s="14" t="s">
        <v>8610</v>
      </c>
      <c r="N331" s="14" t="s">
        <v>622</v>
      </c>
      <c r="O331" s="14" t="s">
        <v>2525</v>
      </c>
      <c r="P331" s="18">
        <v>1</v>
      </c>
      <c r="Q331" s="18">
        <v>200</v>
      </c>
      <c r="R331" s="14">
        <v>5</v>
      </c>
      <c r="S331" s="14" t="s">
        <v>50</v>
      </c>
      <c r="T331" s="5" t="s">
        <v>9034</v>
      </c>
    </row>
    <row r="332" spans="1:20" x14ac:dyDescent="0.25">
      <c r="A332" s="11">
        <v>42794</v>
      </c>
      <c r="B332" s="631" t="s">
        <v>8606</v>
      </c>
      <c r="C332" s="631">
        <v>38.076610000000002</v>
      </c>
      <c r="D332" s="631">
        <v>-121.57037</v>
      </c>
      <c r="E332" s="631" t="s">
        <v>9035</v>
      </c>
      <c r="F332" s="631" t="s">
        <v>46</v>
      </c>
      <c r="G332" s="631" t="s">
        <v>8615</v>
      </c>
      <c r="H332" s="12">
        <v>0.30833333333333335</v>
      </c>
      <c r="I332" s="13">
        <v>29.78</v>
      </c>
      <c r="J332" s="14" t="s">
        <v>8608</v>
      </c>
      <c r="K332" s="14">
        <v>5</v>
      </c>
      <c r="L332" s="14" t="s">
        <v>8609</v>
      </c>
      <c r="M332" s="14" t="s">
        <v>8610</v>
      </c>
      <c r="N332" s="14" t="s">
        <v>50</v>
      </c>
      <c r="O332" s="14" t="s">
        <v>50</v>
      </c>
      <c r="P332" s="18">
        <v>0</v>
      </c>
      <c r="Q332" s="18" t="s">
        <v>50</v>
      </c>
      <c r="R332" s="14" t="s">
        <v>50</v>
      </c>
      <c r="S332" s="14" t="s">
        <v>50</v>
      </c>
    </row>
    <row r="333" spans="1:20" x14ac:dyDescent="0.25">
      <c r="A333" s="11">
        <v>42794</v>
      </c>
      <c r="B333" s="631" t="s">
        <v>8606</v>
      </c>
      <c r="C333" s="631">
        <v>38.058059999999998</v>
      </c>
      <c r="D333" s="631">
        <v>-121.50181000000001</v>
      </c>
      <c r="E333" s="631" t="s">
        <v>9036</v>
      </c>
      <c r="F333" s="631" t="s">
        <v>46</v>
      </c>
      <c r="G333" s="631" t="s">
        <v>8615</v>
      </c>
      <c r="H333" s="12">
        <v>0.3756944444444445</v>
      </c>
      <c r="I333" s="13">
        <v>24.9</v>
      </c>
      <c r="J333" s="14" t="s">
        <v>8608</v>
      </c>
      <c r="K333" s="14">
        <v>5</v>
      </c>
      <c r="L333" s="14" t="s">
        <v>8609</v>
      </c>
      <c r="M333" s="14" t="s">
        <v>8610</v>
      </c>
      <c r="N333" s="14" t="s">
        <v>702</v>
      </c>
      <c r="O333" s="14" t="s">
        <v>228</v>
      </c>
      <c r="P333" s="18">
        <v>1</v>
      </c>
      <c r="Q333" s="18">
        <v>55</v>
      </c>
      <c r="R333" s="14">
        <v>3</v>
      </c>
      <c r="S333" s="14" t="s">
        <v>50</v>
      </c>
    </row>
    <row r="334" spans="1:20" x14ac:dyDescent="0.25">
      <c r="A334" s="11">
        <v>42794</v>
      </c>
      <c r="B334" s="631" t="s">
        <v>8809</v>
      </c>
      <c r="C334" s="631">
        <v>38.346359999999997</v>
      </c>
      <c r="D334" s="631">
        <v>-121.54921</v>
      </c>
      <c r="E334" s="631" t="s">
        <v>9037</v>
      </c>
      <c r="F334" s="631" t="s">
        <v>90</v>
      </c>
      <c r="G334" s="631" t="s">
        <v>6851</v>
      </c>
      <c r="H334" s="12">
        <v>0.31944444444444448</v>
      </c>
      <c r="I334" s="13" t="s">
        <v>50</v>
      </c>
      <c r="J334" s="14" t="s">
        <v>8608</v>
      </c>
      <c r="K334" s="14">
        <v>0</v>
      </c>
      <c r="L334" s="14" t="s">
        <v>50</v>
      </c>
      <c r="M334" s="14" t="s">
        <v>50</v>
      </c>
      <c r="N334" s="14" t="s">
        <v>50</v>
      </c>
      <c r="O334" s="14" t="s">
        <v>50</v>
      </c>
      <c r="P334" s="18">
        <v>0</v>
      </c>
      <c r="Q334" s="18" t="s">
        <v>50</v>
      </c>
      <c r="R334" s="14" t="s">
        <v>50</v>
      </c>
      <c r="S334" s="14" t="s">
        <v>50</v>
      </c>
      <c r="T334" s="5" t="s">
        <v>9018</v>
      </c>
    </row>
    <row r="335" spans="1:20" x14ac:dyDescent="0.25">
      <c r="A335" s="11">
        <v>42794</v>
      </c>
      <c r="B335" s="631" t="s">
        <v>8809</v>
      </c>
      <c r="C335" s="631">
        <v>38.166040000000002</v>
      </c>
      <c r="D335" s="631">
        <v>-121.5996</v>
      </c>
      <c r="E335" s="631" t="s">
        <v>9038</v>
      </c>
      <c r="F335" s="631" t="s">
        <v>90</v>
      </c>
      <c r="G335" s="631" t="s">
        <v>6892</v>
      </c>
      <c r="H335" s="12">
        <v>0.31597222222222221</v>
      </c>
      <c r="I335" s="13" t="s">
        <v>50</v>
      </c>
      <c r="J335" s="14" t="s">
        <v>8608</v>
      </c>
      <c r="K335" s="14">
        <v>0</v>
      </c>
      <c r="L335" s="14" t="s">
        <v>50</v>
      </c>
      <c r="M335" s="14" t="s">
        <v>50</v>
      </c>
      <c r="N335" s="14" t="s">
        <v>50</v>
      </c>
      <c r="O335" s="14" t="s">
        <v>50</v>
      </c>
      <c r="P335" s="18">
        <v>0</v>
      </c>
      <c r="Q335" s="18" t="s">
        <v>50</v>
      </c>
      <c r="R335" s="14" t="s">
        <v>50</v>
      </c>
      <c r="S335" s="14" t="s">
        <v>50</v>
      </c>
      <c r="T335" s="5" t="s">
        <v>9018</v>
      </c>
    </row>
    <row r="336" spans="1:20" x14ac:dyDescent="0.25">
      <c r="A336" s="11">
        <v>42794</v>
      </c>
      <c r="B336" s="631" t="s">
        <v>8809</v>
      </c>
      <c r="C336" s="631">
        <v>38.006270000000001</v>
      </c>
      <c r="D336" s="631">
        <v>-121.57896</v>
      </c>
      <c r="E336" s="631" t="s">
        <v>9039</v>
      </c>
      <c r="F336" s="631" t="s">
        <v>46</v>
      </c>
      <c r="G336" s="631" t="s">
        <v>74</v>
      </c>
      <c r="H336" s="12">
        <v>0.46875</v>
      </c>
      <c r="I336" s="13">
        <v>29.09</v>
      </c>
      <c r="J336" s="14" t="s">
        <v>8608</v>
      </c>
      <c r="K336" s="14">
        <v>8</v>
      </c>
      <c r="L336" s="14" t="s">
        <v>8609</v>
      </c>
      <c r="M336" s="14" t="s">
        <v>8610</v>
      </c>
      <c r="N336" s="14" t="s">
        <v>50</v>
      </c>
      <c r="O336" s="14" t="s">
        <v>50</v>
      </c>
      <c r="P336" s="18">
        <v>0</v>
      </c>
      <c r="Q336" s="18" t="s">
        <v>50</v>
      </c>
      <c r="R336" s="14" t="s">
        <v>50</v>
      </c>
      <c r="S336" s="14" t="s">
        <v>50</v>
      </c>
    </row>
    <row r="337" spans="1:20" x14ac:dyDescent="0.25">
      <c r="A337" s="11">
        <v>42794</v>
      </c>
      <c r="B337" s="631" t="s">
        <v>8809</v>
      </c>
      <c r="C337" s="631">
        <v>38.096550000000001</v>
      </c>
      <c r="D337" s="631">
        <v>-121.56493</v>
      </c>
      <c r="E337" s="631" t="s">
        <v>9040</v>
      </c>
      <c r="F337" s="631" t="s">
        <v>46</v>
      </c>
      <c r="G337" s="631" t="s">
        <v>6881</v>
      </c>
      <c r="H337" s="12">
        <v>0.3215277777777778</v>
      </c>
      <c r="I337" s="13">
        <v>51.25</v>
      </c>
      <c r="J337" s="14" t="s">
        <v>8608</v>
      </c>
      <c r="K337" s="14">
        <v>8</v>
      </c>
      <c r="L337" s="14" t="s">
        <v>8609</v>
      </c>
      <c r="M337" s="14" t="s">
        <v>8610</v>
      </c>
      <c r="N337" s="14" t="s">
        <v>622</v>
      </c>
      <c r="O337" s="14" t="s">
        <v>2525</v>
      </c>
      <c r="P337" s="18">
        <v>5</v>
      </c>
      <c r="Q337" s="18" t="s">
        <v>9041</v>
      </c>
      <c r="R337" s="14" t="s">
        <v>50</v>
      </c>
      <c r="S337" s="14" t="s">
        <v>50</v>
      </c>
    </row>
    <row r="338" spans="1:20" x14ac:dyDescent="0.25">
      <c r="A338" s="11">
        <v>42794</v>
      </c>
      <c r="B338" s="631" t="s">
        <v>8809</v>
      </c>
      <c r="C338" s="631">
        <v>38.086329999999997</v>
      </c>
      <c r="D338" s="631">
        <v>-121.55800000000001</v>
      </c>
      <c r="E338" s="631" t="s">
        <v>9042</v>
      </c>
      <c r="F338" s="631" t="s">
        <v>46</v>
      </c>
      <c r="G338" s="631" t="s">
        <v>6881</v>
      </c>
      <c r="H338" s="12">
        <v>0.41041666666666665</v>
      </c>
      <c r="I338" s="13">
        <v>26.49</v>
      </c>
      <c r="J338" s="14" t="s">
        <v>8608</v>
      </c>
      <c r="K338" s="14">
        <v>8</v>
      </c>
      <c r="L338" s="14" t="s">
        <v>8609</v>
      </c>
      <c r="M338" s="14" t="s">
        <v>8610</v>
      </c>
      <c r="N338" s="14" t="s">
        <v>622</v>
      </c>
      <c r="O338" s="14" t="s">
        <v>2525</v>
      </c>
      <c r="P338" s="18">
        <v>1</v>
      </c>
      <c r="Q338" s="18" t="s">
        <v>50</v>
      </c>
      <c r="R338" s="14" t="s">
        <v>50</v>
      </c>
      <c r="S338" s="14" t="s">
        <v>50</v>
      </c>
      <c r="T338" s="5" t="s">
        <v>9043</v>
      </c>
    </row>
    <row r="339" spans="1:20" x14ac:dyDescent="0.25">
      <c r="A339" s="11">
        <v>42794</v>
      </c>
      <c r="B339" s="631" t="s">
        <v>8296</v>
      </c>
      <c r="C339" s="631">
        <v>38.070099999999996</v>
      </c>
      <c r="D339" s="631">
        <v>-122.02204</v>
      </c>
      <c r="E339" s="631" t="s">
        <v>9044</v>
      </c>
      <c r="F339" s="631" t="s">
        <v>27</v>
      </c>
      <c r="G339" s="631" t="s">
        <v>81</v>
      </c>
      <c r="H339" s="12">
        <v>0.54166666666666663</v>
      </c>
      <c r="I339" s="13">
        <v>79</v>
      </c>
      <c r="J339" s="14" t="s">
        <v>8608</v>
      </c>
      <c r="K339" s="14">
        <v>5</v>
      </c>
      <c r="L339" s="14" t="s">
        <v>8625</v>
      </c>
      <c r="M339" s="14" t="s">
        <v>8617</v>
      </c>
      <c r="N339" s="14" t="s">
        <v>323</v>
      </c>
      <c r="O339" s="14" t="s">
        <v>228</v>
      </c>
      <c r="P339" s="18">
        <v>1</v>
      </c>
      <c r="Q339" s="18">
        <v>64</v>
      </c>
      <c r="R339" s="14" t="s">
        <v>50</v>
      </c>
      <c r="S339" s="14" t="s">
        <v>8613</v>
      </c>
    </row>
    <row r="340" spans="1:20" x14ac:dyDescent="0.25">
      <c r="A340" s="11">
        <v>42795</v>
      </c>
      <c r="B340" s="631" t="s">
        <v>8726</v>
      </c>
      <c r="C340" s="631">
        <v>38.063290000000002</v>
      </c>
      <c r="D340" s="631">
        <v>-121.6169</v>
      </c>
      <c r="E340" s="631" t="s">
        <v>9045</v>
      </c>
      <c r="F340" s="631" t="s">
        <v>46</v>
      </c>
      <c r="G340" s="631" t="s">
        <v>47</v>
      </c>
      <c r="H340" s="12">
        <v>0.3659722222222222</v>
      </c>
      <c r="I340" s="13">
        <v>19.899999999999999</v>
      </c>
      <c r="J340" s="14" t="s">
        <v>8608</v>
      </c>
      <c r="K340" s="14">
        <v>2</v>
      </c>
      <c r="L340" s="14" t="s">
        <v>8609</v>
      </c>
      <c r="M340" s="14" t="s">
        <v>8610</v>
      </c>
      <c r="N340" s="14" t="s">
        <v>323</v>
      </c>
      <c r="O340" s="14" t="s">
        <v>228</v>
      </c>
      <c r="P340" s="15">
        <v>1</v>
      </c>
      <c r="Q340" s="15">
        <v>66</v>
      </c>
      <c r="R340" s="14" t="s">
        <v>50</v>
      </c>
      <c r="S340" s="14" t="s">
        <v>8928</v>
      </c>
    </row>
    <row r="341" spans="1:20" x14ac:dyDescent="0.25">
      <c r="A341" s="11">
        <v>42795</v>
      </c>
      <c r="B341" s="631" t="s">
        <v>8726</v>
      </c>
      <c r="C341" s="631">
        <v>37.997120000000002</v>
      </c>
      <c r="D341" s="631">
        <v>-121.44131</v>
      </c>
      <c r="E341" s="631" t="s">
        <v>9046</v>
      </c>
      <c r="F341" s="631" t="s">
        <v>46</v>
      </c>
      <c r="G341" s="631" t="s">
        <v>6840</v>
      </c>
      <c r="H341" s="12">
        <v>0.32083333333333336</v>
      </c>
      <c r="I341" s="13">
        <v>35.21</v>
      </c>
      <c r="J341" s="14" t="s">
        <v>8608</v>
      </c>
      <c r="K341" s="14">
        <v>8</v>
      </c>
      <c r="L341" s="14" t="s">
        <v>8609</v>
      </c>
      <c r="M341" s="14" t="s">
        <v>8610</v>
      </c>
      <c r="N341" s="14" t="s">
        <v>50</v>
      </c>
      <c r="O341" s="14" t="s">
        <v>50</v>
      </c>
      <c r="P341" s="18">
        <v>0</v>
      </c>
      <c r="Q341" s="18" t="s">
        <v>50</v>
      </c>
      <c r="R341" s="14" t="s">
        <v>50</v>
      </c>
      <c r="S341" s="14" t="s">
        <v>50</v>
      </c>
    </row>
    <row r="342" spans="1:20" x14ac:dyDescent="0.25">
      <c r="A342" s="11">
        <v>42795</v>
      </c>
      <c r="B342" s="631" t="s">
        <v>8726</v>
      </c>
      <c r="C342" s="631">
        <v>38.047519999999999</v>
      </c>
      <c r="D342" s="631">
        <v>-121.47280000000001</v>
      </c>
      <c r="E342" s="631" t="s">
        <v>9047</v>
      </c>
      <c r="F342" s="631" t="s">
        <v>46</v>
      </c>
      <c r="G342" s="631" t="s">
        <v>6883</v>
      </c>
      <c r="H342" s="12">
        <v>0.42152777777777778</v>
      </c>
      <c r="I342" s="13">
        <v>23.74</v>
      </c>
      <c r="J342" s="14" t="s">
        <v>8608</v>
      </c>
      <c r="K342" s="14">
        <v>8</v>
      </c>
      <c r="L342" s="14" t="s">
        <v>8609</v>
      </c>
      <c r="M342" s="14" t="s">
        <v>8610</v>
      </c>
      <c r="N342" s="14" t="s">
        <v>50</v>
      </c>
      <c r="O342" s="14" t="s">
        <v>50</v>
      </c>
      <c r="P342" s="18">
        <v>0</v>
      </c>
      <c r="Q342" s="18" t="s">
        <v>50</v>
      </c>
      <c r="R342" s="14" t="s">
        <v>50</v>
      </c>
      <c r="S342" s="14" t="s">
        <v>50</v>
      </c>
    </row>
    <row r="343" spans="1:20" x14ac:dyDescent="0.25">
      <c r="A343" s="11">
        <v>42795</v>
      </c>
      <c r="B343" s="631" t="s">
        <v>8726</v>
      </c>
      <c r="C343" s="631">
        <v>38.0411</v>
      </c>
      <c r="D343" s="631">
        <v>-121.57989000000001</v>
      </c>
      <c r="E343" s="631" t="s">
        <v>9048</v>
      </c>
      <c r="F343" s="631" t="s">
        <v>46</v>
      </c>
      <c r="G343" s="631" t="s">
        <v>74</v>
      </c>
      <c r="H343" s="21">
        <v>0.43333333333333335</v>
      </c>
      <c r="I343" s="4">
        <v>19.940000000000001</v>
      </c>
      <c r="J343" s="631" t="s">
        <v>8608</v>
      </c>
      <c r="K343" s="631">
        <v>8</v>
      </c>
      <c r="L343" s="631" t="s">
        <v>8609</v>
      </c>
      <c r="M343" s="631" t="s">
        <v>8610</v>
      </c>
      <c r="N343" s="14" t="s">
        <v>50</v>
      </c>
      <c r="O343" s="14" t="s">
        <v>50</v>
      </c>
      <c r="P343" s="18">
        <v>0</v>
      </c>
      <c r="Q343" s="18" t="s">
        <v>50</v>
      </c>
      <c r="R343" s="14" t="s">
        <v>50</v>
      </c>
      <c r="S343" s="14" t="s">
        <v>50</v>
      </c>
    </row>
    <row r="344" spans="1:20" x14ac:dyDescent="0.25">
      <c r="A344" s="11">
        <v>42795</v>
      </c>
      <c r="B344" s="631" t="s">
        <v>8809</v>
      </c>
      <c r="C344" s="631">
        <v>38.057560000000002</v>
      </c>
      <c r="D344" s="631">
        <v>-122.26066</v>
      </c>
      <c r="E344" s="631" t="s">
        <v>9049</v>
      </c>
      <c r="F344" s="631" t="s">
        <v>80</v>
      </c>
      <c r="G344" s="631" t="s">
        <v>120</v>
      </c>
      <c r="H344" s="12">
        <v>0.36319444444444443</v>
      </c>
      <c r="I344" s="13">
        <v>92.86</v>
      </c>
      <c r="J344" s="14" t="s">
        <v>8608</v>
      </c>
      <c r="K344" s="14">
        <v>8</v>
      </c>
      <c r="L344" s="14" t="s">
        <v>8609</v>
      </c>
      <c r="M344" s="14" t="s">
        <v>8610</v>
      </c>
      <c r="N344" s="14" t="s">
        <v>622</v>
      </c>
      <c r="O344" s="14" t="s">
        <v>2525</v>
      </c>
      <c r="P344" s="15">
        <v>2</v>
      </c>
      <c r="Q344" s="15" t="s">
        <v>9050</v>
      </c>
      <c r="R344" s="14" t="s">
        <v>50</v>
      </c>
      <c r="S344" s="14" t="s">
        <v>50</v>
      </c>
    </row>
    <row r="345" spans="1:20" x14ac:dyDescent="0.25">
      <c r="A345" s="11">
        <v>42795</v>
      </c>
      <c r="B345" s="631" t="s">
        <v>8809</v>
      </c>
      <c r="C345" s="631">
        <v>38.061909999999997</v>
      </c>
      <c r="D345" s="631">
        <v>-122.23358</v>
      </c>
      <c r="E345" s="631" t="s">
        <v>9051</v>
      </c>
      <c r="F345" s="631" t="s">
        <v>80</v>
      </c>
      <c r="G345" s="631" t="s">
        <v>120</v>
      </c>
      <c r="H345" s="12">
        <v>0.45833333333333331</v>
      </c>
      <c r="I345" s="13">
        <v>81.08</v>
      </c>
      <c r="J345" s="14" t="s">
        <v>8608</v>
      </c>
      <c r="K345" s="14">
        <v>5</v>
      </c>
      <c r="L345" s="14" t="s">
        <v>8609</v>
      </c>
      <c r="M345" s="14" t="s">
        <v>8610</v>
      </c>
      <c r="N345" s="14" t="s">
        <v>622</v>
      </c>
      <c r="O345" s="14" t="s">
        <v>2525</v>
      </c>
      <c r="P345" s="15">
        <v>5</v>
      </c>
      <c r="Q345" s="15" t="s">
        <v>9052</v>
      </c>
      <c r="R345" s="14" t="s">
        <v>50</v>
      </c>
      <c r="S345" s="14" t="s">
        <v>50</v>
      </c>
    </row>
    <row r="346" spans="1:20" x14ac:dyDescent="0.25">
      <c r="A346" s="11">
        <v>42795</v>
      </c>
      <c r="B346" s="631" t="s">
        <v>8809</v>
      </c>
      <c r="C346" s="631">
        <v>38.061909999999997</v>
      </c>
      <c r="D346" s="631">
        <v>-122.23358</v>
      </c>
      <c r="E346" s="631" t="s">
        <v>9051</v>
      </c>
      <c r="F346" s="631" t="s">
        <v>80</v>
      </c>
      <c r="G346" s="631" t="s">
        <v>120</v>
      </c>
      <c r="H346" s="12"/>
      <c r="I346" s="13"/>
      <c r="J346" s="14"/>
      <c r="K346" s="14"/>
      <c r="L346" s="14"/>
      <c r="M346" s="14"/>
      <c r="N346" s="14" t="s">
        <v>323</v>
      </c>
      <c r="O346" s="14" t="s">
        <v>228</v>
      </c>
      <c r="P346" s="15">
        <v>1</v>
      </c>
      <c r="Q346" s="15">
        <v>74</v>
      </c>
      <c r="R346" s="14" t="s">
        <v>50</v>
      </c>
      <c r="S346" s="14" t="s">
        <v>8613</v>
      </c>
    </row>
    <row r="347" spans="1:20" x14ac:dyDescent="0.25">
      <c r="A347" s="11">
        <v>42795</v>
      </c>
      <c r="B347" s="631" t="s">
        <v>8809</v>
      </c>
      <c r="C347" s="631">
        <v>38.054479999999998</v>
      </c>
      <c r="D347" s="631">
        <v>-122.11763999999999</v>
      </c>
      <c r="E347" s="631" t="s">
        <v>9053</v>
      </c>
      <c r="F347" s="631" t="s">
        <v>80</v>
      </c>
      <c r="G347" s="631" t="s">
        <v>81</v>
      </c>
      <c r="H347" s="12">
        <v>0.51944444444444449</v>
      </c>
      <c r="I347" s="13">
        <v>100.65</v>
      </c>
      <c r="J347" s="14" t="s">
        <v>8608</v>
      </c>
      <c r="K347" s="14">
        <v>4</v>
      </c>
      <c r="L347" s="14" t="s">
        <v>8609</v>
      </c>
      <c r="M347" s="14" t="s">
        <v>8610</v>
      </c>
      <c r="N347" s="14" t="s">
        <v>323</v>
      </c>
      <c r="O347" s="14" t="s">
        <v>228</v>
      </c>
      <c r="P347" s="15">
        <v>1</v>
      </c>
      <c r="Q347" s="15">
        <v>65</v>
      </c>
      <c r="R347" s="14" t="s">
        <v>50</v>
      </c>
      <c r="S347" s="14" t="s">
        <v>8613</v>
      </c>
    </row>
    <row r="348" spans="1:20" x14ac:dyDescent="0.25">
      <c r="A348" s="11">
        <v>42795</v>
      </c>
      <c r="B348" s="631" t="s">
        <v>8809</v>
      </c>
      <c r="C348" s="631">
        <v>38.042540000000002</v>
      </c>
      <c r="D348" s="631">
        <v>-122.12112999999999</v>
      </c>
      <c r="E348" s="631" t="s">
        <v>9054</v>
      </c>
      <c r="F348" s="631" t="s">
        <v>80</v>
      </c>
      <c r="G348" s="631" t="s">
        <v>81</v>
      </c>
      <c r="H348" s="12">
        <v>0.57222222222222219</v>
      </c>
      <c r="I348" s="13">
        <v>76.45</v>
      </c>
      <c r="J348" s="14" t="s">
        <v>8608</v>
      </c>
      <c r="K348" s="14">
        <v>2</v>
      </c>
      <c r="L348" s="14" t="s">
        <v>8609</v>
      </c>
      <c r="M348" s="14" t="s">
        <v>8617</v>
      </c>
      <c r="N348" s="14" t="s">
        <v>323</v>
      </c>
      <c r="O348" s="14" t="s">
        <v>228</v>
      </c>
      <c r="P348" s="10">
        <v>1</v>
      </c>
      <c r="Q348" s="10">
        <v>72</v>
      </c>
      <c r="R348" s="14" t="s">
        <v>50</v>
      </c>
      <c r="S348" s="14" t="s">
        <v>8613</v>
      </c>
    </row>
    <row r="349" spans="1:20" x14ac:dyDescent="0.25">
      <c r="A349" s="11">
        <v>42795</v>
      </c>
      <c r="B349" s="631" t="s">
        <v>8809</v>
      </c>
      <c r="C349" s="631">
        <v>38.042540000000002</v>
      </c>
      <c r="D349" s="631">
        <v>-122.12112999999999</v>
      </c>
      <c r="E349" s="631" t="s">
        <v>9054</v>
      </c>
      <c r="F349" s="631" t="s">
        <v>80</v>
      </c>
      <c r="G349" s="631" t="s">
        <v>81</v>
      </c>
      <c r="H349" s="12"/>
      <c r="I349" s="13"/>
      <c r="J349" s="14"/>
      <c r="K349" s="14"/>
      <c r="L349" s="14"/>
      <c r="M349" s="14"/>
      <c r="N349" s="14" t="s">
        <v>622</v>
      </c>
      <c r="O349" s="14" t="s">
        <v>2525</v>
      </c>
      <c r="P349" s="15">
        <v>1</v>
      </c>
      <c r="Q349" s="15">
        <v>206</v>
      </c>
      <c r="R349" s="14" t="s">
        <v>50</v>
      </c>
      <c r="S349" s="14" t="s">
        <v>50</v>
      </c>
    </row>
    <row r="350" spans="1:20" x14ac:dyDescent="0.25">
      <c r="A350" s="11">
        <v>42795</v>
      </c>
      <c r="B350" s="631" t="s">
        <v>8809</v>
      </c>
      <c r="C350" s="631">
        <v>38.035060000000001</v>
      </c>
      <c r="D350" s="631">
        <v>-122.16032</v>
      </c>
      <c r="E350" s="631" t="s">
        <v>9055</v>
      </c>
      <c r="F350" s="631" t="s">
        <v>80</v>
      </c>
      <c r="G350" s="631" t="s">
        <v>120</v>
      </c>
      <c r="H350" s="12">
        <v>0.59930555555555554</v>
      </c>
      <c r="I350" s="13">
        <v>54.16</v>
      </c>
      <c r="J350" s="14" t="s">
        <v>8608</v>
      </c>
      <c r="K350" s="14">
        <v>5</v>
      </c>
      <c r="L350" s="14" t="s">
        <v>8609</v>
      </c>
      <c r="M350" s="14" t="s">
        <v>8617</v>
      </c>
      <c r="N350" s="14" t="s">
        <v>702</v>
      </c>
      <c r="O350" s="14" t="s">
        <v>228</v>
      </c>
      <c r="P350" s="15">
        <v>1</v>
      </c>
      <c r="Q350" s="15">
        <v>36</v>
      </c>
      <c r="R350" s="14">
        <v>2</v>
      </c>
      <c r="S350" s="14" t="s">
        <v>50</v>
      </c>
    </row>
    <row r="351" spans="1:20" x14ac:dyDescent="0.25">
      <c r="A351" s="11">
        <v>42795</v>
      </c>
      <c r="B351" s="631" t="s">
        <v>8809</v>
      </c>
      <c r="C351" s="631">
        <v>38.035060000000001</v>
      </c>
      <c r="D351" s="631">
        <v>-122.16032</v>
      </c>
      <c r="E351" s="631" t="s">
        <v>9055</v>
      </c>
      <c r="F351" s="631" t="s">
        <v>80</v>
      </c>
      <c r="G351" s="631" t="s">
        <v>120</v>
      </c>
      <c r="H351" s="12"/>
      <c r="I351" s="13"/>
      <c r="J351" s="14"/>
      <c r="K351" s="14"/>
      <c r="L351" s="14"/>
      <c r="M351" s="14"/>
      <c r="N351" s="14" t="s">
        <v>323</v>
      </c>
      <c r="O351" s="14" t="s">
        <v>228</v>
      </c>
      <c r="P351" s="15">
        <v>1</v>
      </c>
      <c r="Q351" s="15">
        <v>72</v>
      </c>
      <c r="R351" s="14" t="s">
        <v>50</v>
      </c>
      <c r="S351" s="14" t="s">
        <v>8613</v>
      </c>
    </row>
    <row r="352" spans="1:20" x14ac:dyDescent="0.25">
      <c r="A352" s="11">
        <v>42795</v>
      </c>
      <c r="B352" s="631" t="s">
        <v>8809</v>
      </c>
      <c r="C352" s="631">
        <v>38.035060000000001</v>
      </c>
      <c r="D352" s="631">
        <v>-122.16032</v>
      </c>
      <c r="E352" s="631" t="s">
        <v>9056</v>
      </c>
      <c r="F352" s="631" t="s">
        <v>80</v>
      </c>
      <c r="G352" s="631" t="s">
        <v>120</v>
      </c>
      <c r="H352" s="12"/>
      <c r="I352" s="13"/>
      <c r="J352" s="14"/>
      <c r="K352" s="14"/>
      <c r="L352" s="14"/>
      <c r="M352" s="14"/>
      <c r="N352" s="14" t="s">
        <v>31</v>
      </c>
      <c r="O352" s="14" t="s">
        <v>228</v>
      </c>
      <c r="P352" s="15">
        <v>1</v>
      </c>
      <c r="Q352" s="15">
        <v>94</v>
      </c>
      <c r="R352" s="14" t="s">
        <v>50</v>
      </c>
      <c r="S352" s="14" t="s">
        <v>8613</v>
      </c>
    </row>
    <row r="353" spans="1:20" x14ac:dyDescent="0.25">
      <c r="A353" s="11">
        <v>42796</v>
      </c>
      <c r="B353" s="631" t="s">
        <v>8296</v>
      </c>
      <c r="C353" s="631">
        <v>38.166200000000003</v>
      </c>
      <c r="D353" s="631">
        <v>-121.93382</v>
      </c>
      <c r="E353" s="631" t="s">
        <v>9057</v>
      </c>
      <c r="F353" s="631" t="s">
        <v>27</v>
      </c>
      <c r="G353" s="631" t="s">
        <v>62</v>
      </c>
      <c r="H353" s="12">
        <v>0.33888888888888885</v>
      </c>
      <c r="I353" s="13">
        <v>84.64</v>
      </c>
      <c r="J353" s="14" t="s">
        <v>8608</v>
      </c>
      <c r="K353" s="14">
        <v>5</v>
      </c>
      <c r="L353" s="14" t="s">
        <v>8625</v>
      </c>
      <c r="M353" s="14" t="s">
        <v>8610</v>
      </c>
      <c r="N353" s="14" t="s">
        <v>50</v>
      </c>
      <c r="O353" s="14" t="s">
        <v>50</v>
      </c>
      <c r="P353" s="18">
        <v>0</v>
      </c>
      <c r="Q353" s="18" t="s">
        <v>50</v>
      </c>
      <c r="R353" s="14" t="s">
        <v>50</v>
      </c>
      <c r="S353" s="14" t="s">
        <v>50</v>
      </c>
    </row>
    <row r="354" spans="1:20" x14ac:dyDescent="0.25">
      <c r="A354" s="11">
        <v>42796</v>
      </c>
      <c r="B354" s="631" t="s">
        <v>8296</v>
      </c>
      <c r="C354" s="631">
        <v>38.094389999999997</v>
      </c>
      <c r="D354" s="631">
        <v>-122.05701000000001</v>
      </c>
      <c r="E354" s="631" t="s">
        <v>9058</v>
      </c>
      <c r="F354" s="631" t="s">
        <v>27</v>
      </c>
      <c r="G354" s="631" t="s">
        <v>86</v>
      </c>
      <c r="H354" s="12">
        <v>0.39861111111111108</v>
      </c>
      <c r="I354" s="13">
        <v>92.1</v>
      </c>
      <c r="J354" s="14" t="s">
        <v>8608</v>
      </c>
      <c r="K354" s="14">
        <v>5</v>
      </c>
      <c r="L354" s="14" t="s">
        <v>8625</v>
      </c>
      <c r="M354" s="14" t="s">
        <v>8610</v>
      </c>
      <c r="N354" s="14" t="s">
        <v>50</v>
      </c>
      <c r="O354" s="14" t="s">
        <v>50</v>
      </c>
      <c r="P354" s="18">
        <v>0</v>
      </c>
      <c r="Q354" s="18" t="s">
        <v>50</v>
      </c>
      <c r="R354" s="14" t="s">
        <v>50</v>
      </c>
      <c r="S354" s="14" t="s">
        <v>50</v>
      </c>
    </row>
    <row r="355" spans="1:20" x14ac:dyDescent="0.25">
      <c r="A355" s="11">
        <v>42796</v>
      </c>
      <c r="B355" s="631" t="s">
        <v>8809</v>
      </c>
      <c r="C355" s="631">
        <v>38.112290000000002</v>
      </c>
      <c r="D355" s="631">
        <v>-122.2754</v>
      </c>
      <c r="E355" s="631" t="s">
        <v>9059</v>
      </c>
      <c r="F355" s="631" t="s">
        <v>80</v>
      </c>
      <c r="G355" s="631" t="s">
        <v>191</v>
      </c>
      <c r="H355" s="12">
        <v>0.4513888888888889</v>
      </c>
      <c r="I355" s="13">
        <v>124.86</v>
      </c>
      <c r="J355" s="14" t="s">
        <v>8608</v>
      </c>
      <c r="K355" s="14">
        <v>7</v>
      </c>
      <c r="L355" s="14" t="s">
        <v>8609</v>
      </c>
      <c r="M355" s="14" t="s">
        <v>8617</v>
      </c>
      <c r="N355" s="14" t="s">
        <v>323</v>
      </c>
      <c r="O355" s="14" t="s">
        <v>228</v>
      </c>
      <c r="P355" s="15">
        <v>1</v>
      </c>
      <c r="Q355" s="15">
        <v>72</v>
      </c>
      <c r="R355" s="14" t="s">
        <v>50</v>
      </c>
      <c r="S355" s="14" t="s">
        <v>8613</v>
      </c>
    </row>
    <row r="356" spans="1:20" x14ac:dyDescent="0.25">
      <c r="A356" s="11">
        <v>42796</v>
      </c>
      <c r="B356" s="631" t="s">
        <v>8809</v>
      </c>
      <c r="C356" s="631">
        <v>38.063780000000001</v>
      </c>
      <c r="D356" s="631">
        <v>-122.26716</v>
      </c>
      <c r="E356" s="631" t="s">
        <v>9060</v>
      </c>
      <c r="F356" s="631" t="s">
        <v>80</v>
      </c>
      <c r="G356" s="631" t="s">
        <v>9061</v>
      </c>
      <c r="H356" s="12">
        <v>0.53541666666666665</v>
      </c>
      <c r="I356" s="13">
        <v>90.8</v>
      </c>
      <c r="J356" s="14" t="s">
        <v>8608</v>
      </c>
      <c r="K356" s="14">
        <v>2</v>
      </c>
      <c r="L356" s="14" t="s">
        <v>8609</v>
      </c>
      <c r="M356" s="14" t="s">
        <v>8617</v>
      </c>
      <c r="N356" s="14" t="s">
        <v>323</v>
      </c>
      <c r="O356" s="14" t="s">
        <v>228</v>
      </c>
      <c r="P356" s="15">
        <v>1</v>
      </c>
      <c r="Q356" s="15">
        <v>68</v>
      </c>
      <c r="R356" s="14" t="s">
        <v>50</v>
      </c>
      <c r="S356" s="14" t="s">
        <v>8613</v>
      </c>
    </row>
    <row r="357" spans="1:20" x14ac:dyDescent="0.25">
      <c r="A357" s="11">
        <v>42796</v>
      </c>
      <c r="B357" s="631" t="s">
        <v>8726</v>
      </c>
      <c r="C357" s="631">
        <v>38.029339999999998</v>
      </c>
      <c r="D357" s="631">
        <v>-121.56874000000001</v>
      </c>
      <c r="E357" s="631" t="s">
        <v>9062</v>
      </c>
      <c r="F357" s="631" t="s">
        <v>46</v>
      </c>
      <c r="G357" s="631" t="s">
        <v>74</v>
      </c>
      <c r="H357" s="12">
        <v>0.3347222222222222</v>
      </c>
      <c r="I357" s="13">
        <v>15.79</v>
      </c>
      <c r="J357" s="14" t="s">
        <v>8608</v>
      </c>
      <c r="K357" s="14">
        <v>9</v>
      </c>
      <c r="L357" s="14" t="s">
        <v>8609</v>
      </c>
      <c r="M357" s="14" t="s">
        <v>8610</v>
      </c>
      <c r="N357" s="14" t="s">
        <v>50</v>
      </c>
      <c r="O357" s="14" t="s">
        <v>50</v>
      </c>
      <c r="P357" s="18">
        <v>0</v>
      </c>
      <c r="Q357" s="18" t="s">
        <v>50</v>
      </c>
      <c r="R357" s="14" t="s">
        <v>50</v>
      </c>
      <c r="S357" s="14" t="s">
        <v>50</v>
      </c>
      <c r="T357" s="5" t="s">
        <v>9063</v>
      </c>
    </row>
    <row r="358" spans="1:20" x14ac:dyDescent="0.25">
      <c r="A358" s="11">
        <v>42796</v>
      </c>
      <c r="B358" s="631" t="s">
        <v>8726</v>
      </c>
      <c r="C358" s="631">
        <v>38.04569</v>
      </c>
      <c r="D358" s="631">
        <v>-121.66013</v>
      </c>
      <c r="E358" s="631" t="s">
        <v>9064</v>
      </c>
      <c r="F358" s="631" t="s">
        <v>46</v>
      </c>
      <c r="G358" s="631" t="s">
        <v>47</v>
      </c>
      <c r="H358" s="12">
        <v>0.4777777777777778</v>
      </c>
      <c r="I358" s="13">
        <v>13.85</v>
      </c>
      <c r="J358" s="14" t="s">
        <v>8608</v>
      </c>
      <c r="K358" s="14">
        <v>8</v>
      </c>
      <c r="L358" s="14" t="s">
        <v>8609</v>
      </c>
      <c r="M358" s="14" t="s">
        <v>8610</v>
      </c>
      <c r="N358" s="14" t="s">
        <v>50</v>
      </c>
      <c r="O358" s="14" t="s">
        <v>50</v>
      </c>
      <c r="P358" s="18">
        <v>0</v>
      </c>
      <c r="Q358" s="18" t="s">
        <v>50</v>
      </c>
      <c r="R358" s="14" t="s">
        <v>50</v>
      </c>
      <c r="S358" s="14" t="s">
        <v>50</v>
      </c>
      <c r="T358" s="5" t="s">
        <v>9065</v>
      </c>
    </row>
    <row r="359" spans="1:20" x14ac:dyDescent="0.25">
      <c r="A359" s="11">
        <v>42796</v>
      </c>
      <c r="B359" s="631" t="s">
        <v>8726</v>
      </c>
      <c r="C359" s="631">
        <v>38.029609999999998</v>
      </c>
      <c r="D359" s="631">
        <v>-121.5211</v>
      </c>
      <c r="E359" s="631" t="s">
        <v>9066</v>
      </c>
      <c r="F359" s="631" t="s">
        <v>46</v>
      </c>
      <c r="G359" s="631" t="s">
        <v>6939</v>
      </c>
      <c r="H359" s="12">
        <v>0.3215277777777778</v>
      </c>
      <c r="I359" s="13">
        <v>19.510000000000002</v>
      </c>
      <c r="J359" s="14" t="s">
        <v>8608</v>
      </c>
      <c r="K359" s="14">
        <v>8</v>
      </c>
      <c r="L359" s="14" t="s">
        <v>8609</v>
      </c>
      <c r="M359" s="14" t="s">
        <v>8610</v>
      </c>
      <c r="N359" s="14" t="s">
        <v>50</v>
      </c>
      <c r="O359" s="14" t="s">
        <v>50</v>
      </c>
      <c r="P359" s="18">
        <v>0</v>
      </c>
      <c r="Q359" s="18" t="s">
        <v>50</v>
      </c>
      <c r="R359" s="14" t="s">
        <v>50</v>
      </c>
      <c r="S359" s="14" t="s">
        <v>50</v>
      </c>
    </row>
    <row r="360" spans="1:20" x14ac:dyDescent="0.25">
      <c r="A360" s="11">
        <v>42796</v>
      </c>
      <c r="B360" s="631" t="s">
        <v>8726</v>
      </c>
      <c r="C360" s="631">
        <v>38.082279999999997</v>
      </c>
      <c r="D360" s="631">
        <v>-121.46922000000001</v>
      </c>
      <c r="E360" s="631" t="s">
        <v>9067</v>
      </c>
      <c r="F360" s="631" t="s">
        <v>46</v>
      </c>
      <c r="G360" s="631" t="s">
        <v>6883</v>
      </c>
      <c r="H360" s="12">
        <v>0.44791666666666669</v>
      </c>
      <c r="I360" s="13" t="s">
        <v>50</v>
      </c>
      <c r="J360" s="14" t="s">
        <v>8608</v>
      </c>
      <c r="K360" s="14">
        <v>0</v>
      </c>
      <c r="L360" s="14" t="s">
        <v>50</v>
      </c>
      <c r="M360" s="14" t="s">
        <v>50</v>
      </c>
      <c r="N360" s="14" t="s">
        <v>50</v>
      </c>
      <c r="O360" s="14" t="s">
        <v>50</v>
      </c>
      <c r="P360" s="18">
        <v>0</v>
      </c>
      <c r="Q360" s="18" t="s">
        <v>50</v>
      </c>
      <c r="R360" s="14" t="s">
        <v>50</v>
      </c>
      <c r="S360" s="14" t="s">
        <v>50</v>
      </c>
      <c r="T360" s="5" t="s">
        <v>9068</v>
      </c>
    </row>
    <row r="361" spans="1:20" x14ac:dyDescent="0.25">
      <c r="A361" s="11">
        <v>42796</v>
      </c>
      <c r="B361" s="631" t="s">
        <v>8726</v>
      </c>
      <c r="C361" s="631">
        <v>37.995139999999999</v>
      </c>
      <c r="D361" s="631">
        <v>-121.42912</v>
      </c>
      <c r="E361" s="631" t="s">
        <v>9069</v>
      </c>
      <c r="F361" s="631" t="s">
        <v>46</v>
      </c>
      <c r="G361" s="631" t="s">
        <v>6840</v>
      </c>
      <c r="H361" s="12">
        <v>0.47361111111111115</v>
      </c>
      <c r="I361" s="13">
        <v>41.39</v>
      </c>
      <c r="J361" s="14" t="s">
        <v>8608</v>
      </c>
      <c r="K361" s="14">
        <v>8</v>
      </c>
      <c r="L361" s="14" t="s">
        <v>8609</v>
      </c>
      <c r="M361" s="14" t="s">
        <v>8610</v>
      </c>
      <c r="N361" s="14" t="s">
        <v>50</v>
      </c>
      <c r="O361" s="14" t="s">
        <v>50</v>
      </c>
      <c r="P361" s="18">
        <v>0</v>
      </c>
      <c r="Q361" s="18" t="s">
        <v>50</v>
      </c>
      <c r="R361" s="14" t="s">
        <v>50</v>
      </c>
      <c r="S361" s="14" t="s">
        <v>50</v>
      </c>
    </row>
    <row r="362" spans="1:20" x14ac:dyDescent="0.25">
      <c r="A362" s="11">
        <v>42800</v>
      </c>
      <c r="B362" s="631" t="s">
        <v>8606</v>
      </c>
      <c r="C362" s="631">
        <v>38.06561</v>
      </c>
      <c r="D362" s="631">
        <v>-121.67981</v>
      </c>
      <c r="E362" s="631" t="s">
        <v>9070</v>
      </c>
      <c r="F362" s="631" t="s">
        <v>46</v>
      </c>
      <c r="G362" s="631" t="s">
        <v>97</v>
      </c>
      <c r="H362" s="12">
        <v>0.31736111111111115</v>
      </c>
      <c r="I362" s="13">
        <v>27.28</v>
      </c>
      <c r="J362" s="14" t="s">
        <v>8608</v>
      </c>
      <c r="K362" s="14">
        <v>5</v>
      </c>
      <c r="L362" s="14" t="s">
        <v>8609</v>
      </c>
      <c r="M362" s="14" t="s">
        <v>8617</v>
      </c>
      <c r="N362" s="14" t="s">
        <v>702</v>
      </c>
      <c r="O362" s="14" t="s">
        <v>228</v>
      </c>
      <c r="P362" s="15">
        <v>3</v>
      </c>
      <c r="Q362" s="15" t="s">
        <v>9071</v>
      </c>
      <c r="R362" s="14">
        <v>2</v>
      </c>
      <c r="S362" s="14" t="s">
        <v>50</v>
      </c>
    </row>
    <row r="363" spans="1:20" x14ac:dyDescent="0.25">
      <c r="A363" s="11">
        <v>42800</v>
      </c>
      <c r="B363" s="631" t="s">
        <v>8606</v>
      </c>
      <c r="C363" s="631">
        <v>38.056289999999997</v>
      </c>
      <c r="D363" s="631">
        <v>-121.68595000000001</v>
      </c>
      <c r="E363" s="631" t="s">
        <v>9072</v>
      </c>
      <c r="F363" s="631" t="s">
        <v>46</v>
      </c>
      <c r="G363" s="631" t="s">
        <v>97</v>
      </c>
      <c r="H363" s="12">
        <v>0.37361111111111112</v>
      </c>
      <c r="I363" s="13">
        <v>28.44</v>
      </c>
      <c r="J363" s="14" t="s">
        <v>8608</v>
      </c>
      <c r="K363" s="14">
        <v>5</v>
      </c>
      <c r="L363" s="14" t="s">
        <v>8609</v>
      </c>
      <c r="M363" s="14" t="s">
        <v>8617</v>
      </c>
      <c r="N363" s="14" t="s">
        <v>702</v>
      </c>
      <c r="O363" s="14" t="s">
        <v>228</v>
      </c>
      <c r="P363" s="15">
        <v>1</v>
      </c>
      <c r="Q363" s="15">
        <v>56</v>
      </c>
      <c r="R363" s="14">
        <v>3</v>
      </c>
      <c r="S363" s="14" t="s">
        <v>50</v>
      </c>
    </row>
    <row r="364" spans="1:20" x14ac:dyDescent="0.25">
      <c r="A364" s="11">
        <v>42800</v>
      </c>
      <c r="B364" s="631" t="s">
        <v>8606</v>
      </c>
      <c r="C364" s="631">
        <v>38.088679999999997</v>
      </c>
      <c r="D364" s="631">
        <v>-121.67797</v>
      </c>
      <c r="E364" s="631" t="s">
        <v>9073</v>
      </c>
      <c r="F364" s="631" t="s">
        <v>46</v>
      </c>
      <c r="G364" s="631" t="s">
        <v>97</v>
      </c>
      <c r="H364" s="12">
        <v>0.4465277777777778</v>
      </c>
      <c r="I364" s="13">
        <v>38</v>
      </c>
      <c r="J364" s="14" t="s">
        <v>8608</v>
      </c>
      <c r="K364" s="14">
        <v>5</v>
      </c>
      <c r="L364" s="14" t="s">
        <v>8609</v>
      </c>
      <c r="M364" s="14" t="s">
        <v>8617</v>
      </c>
      <c r="N364" s="14" t="s">
        <v>702</v>
      </c>
      <c r="O364" s="14" t="s">
        <v>228</v>
      </c>
      <c r="P364" s="18">
        <v>2</v>
      </c>
      <c r="Q364" s="18" t="s">
        <v>9074</v>
      </c>
      <c r="R364" s="14">
        <v>2</v>
      </c>
      <c r="S364" s="14" t="s">
        <v>50</v>
      </c>
    </row>
    <row r="365" spans="1:20" x14ac:dyDescent="0.25">
      <c r="A365" s="11">
        <v>42800</v>
      </c>
      <c r="B365" s="631" t="s">
        <v>8809</v>
      </c>
      <c r="C365" s="631">
        <v>38.035809999999998</v>
      </c>
      <c r="D365" s="631">
        <v>-122.12578000000001</v>
      </c>
      <c r="E365" s="631" t="s">
        <v>9075</v>
      </c>
      <c r="F365" s="631" t="s">
        <v>80</v>
      </c>
      <c r="G365" s="631" t="s">
        <v>81</v>
      </c>
      <c r="H365" s="12">
        <v>0.35902777777777778</v>
      </c>
      <c r="I365" s="13">
        <v>58.55</v>
      </c>
      <c r="J365" s="14" t="s">
        <v>8608</v>
      </c>
      <c r="K365" s="14">
        <v>8</v>
      </c>
      <c r="L365" s="14" t="s">
        <v>8609</v>
      </c>
      <c r="M365" s="14" t="s">
        <v>8610</v>
      </c>
      <c r="N365" s="14" t="s">
        <v>3280</v>
      </c>
      <c r="O365" s="14" t="s">
        <v>228</v>
      </c>
      <c r="P365" s="15">
        <v>1</v>
      </c>
      <c r="Q365" s="15">
        <v>62</v>
      </c>
      <c r="R365" s="14">
        <v>3</v>
      </c>
      <c r="S365" s="14" t="s">
        <v>50</v>
      </c>
    </row>
    <row r="366" spans="1:20" x14ac:dyDescent="0.25">
      <c r="A366" s="11">
        <v>42800</v>
      </c>
      <c r="B366" s="631" t="s">
        <v>8809</v>
      </c>
      <c r="C366" s="631">
        <v>38.04965</v>
      </c>
      <c r="D366" s="631">
        <v>-122.12181</v>
      </c>
      <c r="E366" s="631" t="s">
        <v>9076</v>
      </c>
      <c r="F366" s="631" t="s">
        <v>80</v>
      </c>
      <c r="G366" s="631" t="s">
        <v>81</v>
      </c>
      <c r="H366" s="12">
        <v>0.44444444444444442</v>
      </c>
      <c r="I366" s="13">
        <v>83.08</v>
      </c>
      <c r="J366" s="14" t="s">
        <v>8608</v>
      </c>
      <c r="K366" s="14">
        <v>8</v>
      </c>
      <c r="L366" s="14" t="s">
        <v>8609</v>
      </c>
      <c r="M366" s="14" t="s">
        <v>8610</v>
      </c>
      <c r="N366" s="14" t="s">
        <v>622</v>
      </c>
      <c r="O366" s="14" t="s">
        <v>2525</v>
      </c>
      <c r="P366" s="15">
        <v>1</v>
      </c>
      <c r="Q366" s="15">
        <v>247</v>
      </c>
      <c r="R366" s="14" t="s">
        <v>50</v>
      </c>
      <c r="S366" s="14" t="s">
        <v>50</v>
      </c>
      <c r="T366" s="5" t="s">
        <v>9077</v>
      </c>
    </row>
    <row r="367" spans="1:20" x14ac:dyDescent="0.25">
      <c r="A367" s="11">
        <v>42800</v>
      </c>
      <c r="B367" s="631" t="s">
        <v>8809</v>
      </c>
      <c r="C367" s="631">
        <v>38.04965</v>
      </c>
      <c r="D367" s="631">
        <v>-122.12181</v>
      </c>
      <c r="E367" s="631" t="s">
        <v>9076</v>
      </c>
      <c r="F367" s="631" t="s">
        <v>80</v>
      </c>
      <c r="G367" s="631" t="s">
        <v>81</v>
      </c>
      <c r="H367" s="12"/>
      <c r="I367" s="13"/>
      <c r="J367" s="14"/>
      <c r="K367" s="14"/>
      <c r="L367" s="14"/>
      <c r="M367" s="14"/>
      <c r="N367" s="14" t="s">
        <v>758</v>
      </c>
      <c r="O367" s="14" t="s">
        <v>228</v>
      </c>
      <c r="P367" s="15">
        <v>1</v>
      </c>
      <c r="Q367" s="15">
        <v>107</v>
      </c>
      <c r="R367" s="14" t="s">
        <v>50</v>
      </c>
      <c r="S367" s="14" t="s">
        <v>50</v>
      </c>
    </row>
    <row r="368" spans="1:20" x14ac:dyDescent="0.25">
      <c r="A368" s="11">
        <v>42800</v>
      </c>
      <c r="B368" s="631" t="s">
        <v>8606</v>
      </c>
      <c r="C368" s="631">
        <v>38.095320000000001</v>
      </c>
      <c r="D368" s="631">
        <v>-121.6553</v>
      </c>
      <c r="E368" s="631" t="s">
        <v>9078</v>
      </c>
      <c r="F368" s="631" t="s">
        <v>46</v>
      </c>
      <c r="G368" s="631" t="s">
        <v>97</v>
      </c>
      <c r="H368" s="12">
        <v>0.50347222222222221</v>
      </c>
      <c r="I368" s="13">
        <v>35.229999999999997</v>
      </c>
      <c r="J368" s="14" t="s">
        <v>8608</v>
      </c>
      <c r="K368" s="14">
        <v>3</v>
      </c>
      <c r="L368" s="14" t="s">
        <v>8609</v>
      </c>
      <c r="M368" s="14" t="s">
        <v>8610</v>
      </c>
      <c r="N368" s="14" t="s">
        <v>323</v>
      </c>
      <c r="O368" s="14" t="s">
        <v>228</v>
      </c>
      <c r="P368" s="10">
        <v>1</v>
      </c>
      <c r="Q368" s="10">
        <v>68</v>
      </c>
      <c r="R368" s="14" t="s">
        <v>50</v>
      </c>
      <c r="S368" s="14" t="s">
        <v>8613</v>
      </c>
    </row>
    <row r="369" spans="1:20" x14ac:dyDescent="0.25">
      <c r="A369" s="11">
        <v>42800</v>
      </c>
      <c r="B369" s="631" t="s">
        <v>8606</v>
      </c>
      <c r="C369" s="631">
        <v>38.095320000000001</v>
      </c>
      <c r="D369" s="631">
        <v>-121.6553</v>
      </c>
      <c r="E369" s="631" t="s">
        <v>9078</v>
      </c>
      <c r="F369" s="631" t="s">
        <v>46</v>
      </c>
      <c r="G369" s="631" t="s">
        <v>97</v>
      </c>
      <c r="H369" s="12"/>
      <c r="I369" s="13"/>
      <c r="J369" s="14"/>
      <c r="K369" s="14"/>
      <c r="L369" s="14"/>
      <c r="M369" s="14"/>
      <c r="N369" s="14" t="s">
        <v>702</v>
      </c>
      <c r="O369" s="14" t="s">
        <v>228</v>
      </c>
      <c r="P369" s="15">
        <v>1</v>
      </c>
      <c r="Q369" s="15">
        <v>49</v>
      </c>
      <c r="R369" s="14">
        <v>3</v>
      </c>
      <c r="S369" s="14" t="s">
        <v>50</v>
      </c>
    </row>
    <row r="370" spans="1:20" x14ac:dyDescent="0.25">
      <c r="A370" s="11">
        <v>42800</v>
      </c>
      <c r="B370" s="631" t="s">
        <v>8606</v>
      </c>
      <c r="C370" s="631">
        <v>38.095320000000001</v>
      </c>
      <c r="D370" s="631">
        <v>-121.6553</v>
      </c>
      <c r="E370" s="631" t="s">
        <v>9078</v>
      </c>
      <c r="F370" s="631" t="s">
        <v>46</v>
      </c>
      <c r="G370" s="631" t="s">
        <v>97</v>
      </c>
      <c r="H370" s="12"/>
      <c r="I370" s="13"/>
      <c r="J370" s="14"/>
      <c r="K370" s="14"/>
      <c r="L370" s="14"/>
      <c r="M370" s="14"/>
      <c r="N370" s="14" t="s">
        <v>622</v>
      </c>
      <c r="O370" s="14" t="s">
        <v>2525</v>
      </c>
      <c r="P370" s="15">
        <v>1</v>
      </c>
      <c r="Q370" s="15">
        <v>244</v>
      </c>
      <c r="R370" s="14">
        <v>5</v>
      </c>
      <c r="S370" s="14" t="s">
        <v>50</v>
      </c>
    </row>
    <row r="371" spans="1:20" x14ac:dyDescent="0.25">
      <c r="A371" s="11">
        <v>42800</v>
      </c>
      <c r="B371" s="631" t="s">
        <v>8296</v>
      </c>
      <c r="C371" s="631">
        <v>38.328980000000001</v>
      </c>
      <c r="D371" s="631">
        <v>-121.64905</v>
      </c>
      <c r="E371" s="631" t="s">
        <v>9079</v>
      </c>
      <c r="F371" s="631" t="s">
        <v>90</v>
      </c>
      <c r="G371" s="631" t="s">
        <v>126</v>
      </c>
      <c r="H371" s="12">
        <v>0.52222222222222225</v>
      </c>
      <c r="I371" s="13">
        <v>16.559999999999999</v>
      </c>
      <c r="J371" s="14" t="s">
        <v>8608</v>
      </c>
      <c r="K371" s="14">
        <v>5</v>
      </c>
      <c r="L371" s="14" t="s">
        <v>8625</v>
      </c>
      <c r="M371" s="14" t="s">
        <v>8610</v>
      </c>
      <c r="N371" s="14" t="s">
        <v>50</v>
      </c>
      <c r="O371" s="14" t="s">
        <v>50</v>
      </c>
      <c r="P371" s="15">
        <v>0</v>
      </c>
      <c r="Q371" s="15" t="s">
        <v>50</v>
      </c>
      <c r="R371" s="14" t="s">
        <v>50</v>
      </c>
      <c r="S371" s="14" t="s">
        <v>50</v>
      </c>
    </row>
    <row r="372" spans="1:20" s="16" customFormat="1" x14ac:dyDescent="0.25">
      <c r="A372" s="22">
        <v>42800</v>
      </c>
      <c r="B372" s="16" t="s">
        <v>8296</v>
      </c>
      <c r="C372" s="16">
        <v>38.01520799</v>
      </c>
      <c r="D372" s="16">
        <v>-121.7320275</v>
      </c>
      <c r="E372" s="16" t="s">
        <v>9080</v>
      </c>
      <c r="F372" s="16" t="s">
        <v>27</v>
      </c>
      <c r="G372" s="16" t="s">
        <v>95</v>
      </c>
      <c r="H372" s="23">
        <v>0.3298611111111111</v>
      </c>
      <c r="I372" s="24"/>
      <c r="J372" s="17" t="s">
        <v>8608</v>
      </c>
      <c r="K372" s="17">
        <v>0</v>
      </c>
      <c r="L372" s="17" t="s">
        <v>50</v>
      </c>
      <c r="M372" s="17" t="s">
        <v>50</v>
      </c>
      <c r="N372" s="17" t="s">
        <v>50</v>
      </c>
      <c r="O372" s="17" t="s">
        <v>50</v>
      </c>
      <c r="P372" s="25">
        <v>0</v>
      </c>
      <c r="Q372" s="25" t="s">
        <v>50</v>
      </c>
      <c r="R372" s="17" t="s">
        <v>50</v>
      </c>
      <c r="S372" s="17" t="s">
        <v>50</v>
      </c>
      <c r="T372" s="87" t="s">
        <v>9081</v>
      </c>
    </row>
    <row r="373" spans="1:20" s="16" customFormat="1" x14ac:dyDescent="0.25">
      <c r="A373" s="22">
        <v>42800</v>
      </c>
      <c r="B373" s="16" t="s">
        <v>8296</v>
      </c>
      <c r="C373" s="16">
        <v>38.06467</v>
      </c>
      <c r="D373" s="16">
        <v>-121.79075</v>
      </c>
      <c r="E373" s="16" t="s">
        <v>9082</v>
      </c>
      <c r="F373" s="16" t="s">
        <v>27</v>
      </c>
      <c r="G373" s="16" t="s">
        <v>25</v>
      </c>
      <c r="H373" s="23">
        <v>0.34722222222222227</v>
      </c>
      <c r="I373" s="24">
        <v>67.86</v>
      </c>
      <c r="J373" s="17" t="s">
        <v>8608</v>
      </c>
      <c r="K373" s="17">
        <v>5</v>
      </c>
      <c r="L373" s="17" t="s">
        <v>8625</v>
      </c>
      <c r="M373" s="17" t="s">
        <v>8610</v>
      </c>
      <c r="N373" s="17" t="s">
        <v>702</v>
      </c>
      <c r="O373" s="17" t="s">
        <v>228</v>
      </c>
      <c r="P373" s="25">
        <v>1</v>
      </c>
      <c r="Q373" s="25">
        <v>56</v>
      </c>
      <c r="R373" s="17">
        <v>3</v>
      </c>
      <c r="S373" s="17" t="s">
        <v>50</v>
      </c>
      <c r="T373" s="87"/>
    </row>
    <row r="374" spans="1:20" s="16" customFormat="1" x14ac:dyDescent="0.25">
      <c r="A374" s="22">
        <v>42800</v>
      </c>
      <c r="B374" s="16" t="s">
        <v>8296</v>
      </c>
      <c r="C374" s="16">
        <v>38.06467</v>
      </c>
      <c r="D374" s="16">
        <v>-121.79075</v>
      </c>
      <c r="E374" s="16" t="s">
        <v>9083</v>
      </c>
      <c r="F374" s="16" t="s">
        <v>27</v>
      </c>
      <c r="G374" s="16" t="s">
        <v>25</v>
      </c>
      <c r="H374" s="23"/>
      <c r="I374" s="24"/>
      <c r="J374" s="17"/>
      <c r="K374" s="17"/>
      <c r="L374" s="17"/>
      <c r="M374" s="17"/>
      <c r="N374" s="17" t="s">
        <v>622</v>
      </c>
      <c r="O374" s="17" t="s">
        <v>2525</v>
      </c>
      <c r="P374" s="25">
        <v>1</v>
      </c>
      <c r="Q374" s="25">
        <v>196</v>
      </c>
      <c r="R374" s="17">
        <v>5</v>
      </c>
      <c r="S374" s="17" t="s">
        <v>50</v>
      </c>
      <c r="T374" s="87"/>
    </row>
    <row r="375" spans="1:20" s="16" customFormat="1" x14ac:dyDescent="0.25">
      <c r="A375" s="22">
        <v>42800</v>
      </c>
      <c r="B375" s="16" t="s">
        <v>8296</v>
      </c>
      <c r="C375" s="16">
        <v>38.093499999999999</v>
      </c>
      <c r="D375" s="16">
        <v>-121.733</v>
      </c>
      <c r="E375" s="16" t="s">
        <v>9084</v>
      </c>
      <c r="F375" s="16" t="s">
        <v>90</v>
      </c>
      <c r="G375" s="16" t="s">
        <v>91</v>
      </c>
      <c r="H375" s="23">
        <v>0.39930555555555558</v>
      </c>
      <c r="I375" s="24">
        <v>74.38</v>
      </c>
      <c r="J375" s="17" t="s">
        <v>8608</v>
      </c>
      <c r="K375" s="17">
        <v>5</v>
      </c>
      <c r="L375" s="17" t="s">
        <v>8625</v>
      </c>
      <c r="M375" s="17" t="s">
        <v>8610</v>
      </c>
      <c r="N375" s="17" t="s">
        <v>50</v>
      </c>
      <c r="O375" s="17" t="s">
        <v>50</v>
      </c>
      <c r="P375" s="25">
        <v>0</v>
      </c>
      <c r="Q375" s="25" t="s">
        <v>50</v>
      </c>
      <c r="R375" s="17" t="s">
        <v>50</v>
      </c>
      <c r="S375" s="17" t="s">
        <v>50</v>
      </c>
      <c r="T375" s="87"/>
    </row>
    <row r="376" spans="1:20" s="16" customFormat="1" x14ac:dyDescent="0.25">
      <c r="A376" s="22">
        <v>42800</v>
      </c>
      <c r="B376" s="16" t="s">
        <v>8296</v>
      </c>
      <c r="C376" s="16">
        <v>38.191273500000001</v>
      </c>
      <c r="D376" s="16">
        <v>-122.000272</v>
      </c>
      <c r="E376" s="16" t="s">
        <v>9085</v>
      </c>
      <c r="F376" s="16" t="s">
        <v>27</v>
      </c>
      <c r="G376" s="16" t="s">
        <v>62</v>
      </c>
      <c r="H376" s="23">
        <v>0.45833333333333331</v>
      </c>
      <c r="I376" s="24"/>
      <c r="J376" s="17" t="s">
        <v>8608</v>
      </c>
      <c r="K376" s="17">
        <v>0</v>
      </c>
      <c r="L376" s="17" t="s">
        <v>50</v>
      </c>
      <c r="M376" s="17" t="s">
        <v>50</v>
      </c>
      <c r="N376" s="17" t="s">
        <v>50</v>
      </c>
      <c r="O376" s="17" t="s">
        <v>50</v>
      </c>
      <c r="P376" s="25">
        <v>0</v>
      </c>
      <c r="Q376" s="25" t="s">
        <v>50</v>
      </c>
      <c r="R376" s="17" t="s">
        <v>50</v>
      </c>
      <c r="S376" s="17" t="s">
        <v>50</v>
      </c>
      <c r="T376" s="87" t="s">
        <v>9081</v>
      </c>
    </row>
    <row r="377" spans="1:20" s="16" customFormat="1" x14ac:dyDescent="0.25">
      <c r="A377" s="22">
        <v>42800</v>
      </c>
      <c r="B377" s="16" t="s">
        <v>8296</v>
      </c>
      <c r="C377" s="16">
        <v>38.141500000000001</v>
      </c>
      <c r="D377" s="16">
        <v>-121.68765999999999</v>
      </c>
      <c r="E377" s="16" t="s">
        <v>9086</v>
      </c>
      <c r="F377" s="16" t="s">
        <v>90</v>
      </c>
      <c r="G377" s="16" t="s">
        <v>91</v>
      </c>
      <c r="H377" s="23">
        <v>0.46319444444444446</v>
      </c>
      <c r="I377" s="24">
        <v>75.900000000000006</v>
      </c>
      <c r="J377" s="17" t="s">
        <v>8608</v>
      </c>
      <c r="K377" s="17">
        <v>5</v>
      </c>
      <c r="L377" s="17" t="s">
        <v>8625</v>
      </c>
      <c r="M377" s="17" t="s">
        <v>8610</v>
      </c>
      <c r="N377" s="17" t="s">
        <v>50</v>
      </c>
      <c r="O377" s="17" t="s">
        <v>50</v>
      </c>
      <c r="P377" s="25">
        <v>0</v>
      </c>
      <c r="Q377" s="25" t="s">
        <v>50</v>
      </c>
      <c r="R377" s="17" t="s">
        <v>50</v>
      </c>
      <c r="S377" s="17" t="s">
        <v>50</v>
      </c>
      <c r="T377" s="87" t="s">
        <v>9081</v>
      </c>
    </row>
    <row r="378" spans="1:20" x14ac:dyDescent="0.25">
      <c r="A378" s="11">
        <v>42800</v>
      </c>
      <c r="B378" s="631" t="s">
        <v>8809</v>
      </c>
      <c r="C378" s="631">
        <v>38.072135119999999</v>
      </c>
      <c r="D378" s="631">
        <v>-122.330366</v>
      </c>
      <c r="E378" s="631" t="s">
        <v>9087</v>
      </c>
      <c r="F378" s="631" t="s">
        <v>80</v>
      </c>
      <c r="G378" s="631" t="s">
        <v>123</v>
      </c>
      <c r="H378" s="12">
        <v>0.54097222222222219</v>
      </c>
      <c r="I378" s="13"/>
      <c r="J378" s="14" t="s">
        <v>8608</v>
      </c>
      <c r="K378" s="14">
        <v>0</v>
      </c>
      <c r="L378" s="14" t="s">
        <v>50</v>
      </c>
      <c r="M378" s="14" t="s">
        <v>50</v>
      </c>
      <c r="N378" s="14" t="s">
        <v>50</v>
      </c>
      <c r="O378" s="14" t="s">
        <v>50</v>
      </c>
      <c r="P378" s="15">
        <v>0</v>
      </c>
      <c r="Q378" s="15" t="s">
        <v>50</v>
      </c>
      <c r="R378" s="14" t="s">
        <v>50</v>
      </c>
      <c r="S378" s="14" t="s">
        <v>50</v>
      </c>
      <c r="T378" s="5" t="s">
        <v>3094</v>
      </c>
    </row>
    <row r="379" spans="1:20" x14ac:dyDescent="0.25">
      <c r="A379" s="11">
        <v>42800</v>
      </c>
      <c r="B379" s="631" t="s">
        <v>8809</v>
      </c>
      <c r="C379" s="631">
        <v>38.086170000000003</v>
      </c>
      <c r="D379" s="631">
        <v>-122.07249</v>
      </c>
      <c r="E379" s="631" t="s">
        <v>9088</v>
      </c>
      <c r="F379" s="631" t="s">
        <v>80</v>
      </c>
      <c r="G379" s="631" t="s">
        <v>81</v>
      </c>
      <c r="H379" s="12">
        <v>0.56388888888888888</v>
      </c>
      <c r="I379" s="13">
        <v>90.53</v>
      </c>
      <c r="J379" s="14" t="s">
        <v>8608</v>
      </c>
      <c r="K379" s="14">
        <v>8</v>
      </c>
      <c r="L379" s="14" t="s">
        <v>8609</v>
      </c>
      <c r="M379" s="14" t="s">
        <v>8610</v>
      </c>
      <c r="N379" s="14" t="s">
        <v>702</v>
      </c>
      <c r="O379" s="14" t="s">
        <v>228</v>
      </c>
      <c r="P379" s="15">
        <v>2</v>
      </c>
      <c r="Q379" s="15" t="s">
        <v>9089</v>
      </c>
      <c r="R379" s="14">
        <v>3</v>
      </c>
      <c r="S379" s="14" t="s">
        <v>50</v>
      </c>
    </row>
    <row r="380" spans="1:20" x14ac:dyDescent="0.25">
      <c r="A380" s="11">
        <v>42800</v>
      </c>
      <c r="B380" s="631" t="s">
        <v>8809</v>
      </c>
      <c r="C380" s="631">
        <v>38.086170000000003</v>
      </c>
      <c r="D380" s="631">
        <v>-122.07249</v>
      </c>
      <c r="E380" s="631" t="s">
        <v>9088</v>
      </c>
      <c r="F380" s="631" t="s">
        <v>80</v>
      </c>
      <c r="G380" s="631" t="s">
        <v>81</v>
      </c>
      <c r="H380" s="12"/>
      <c r="I380" s="13"/>
      <c r="J380" s="14"/>
      <c r="K380" s="14"/>
      <c r="L380" s="14"/>
      <c r="M380" s="14"/>
      <c r="N380" s="14" t="s">
        <v>3280</v>
      </c>
      <c r="O380" s="14" t="s">
        <v>228</v>
      </c>
      <c r="P380" s="15">
        <v>1</v>
      </c>
      <c r="Q380" s="15">
        <v>64</v>
      </c>
      <c r="R380" s="14">
        <v>3</v>
      </c>
      <c r="S380" s="14" t="s">
        <v>50</v>
      </c>
    </row>
    <row r="381" spans="1:20" x14ac:dyDescent="0.25">
      <c r="A381" s="11">
        <v>42800</v>
      </c>
      <c r="B381" s="631" t="s">
        <v>8809</v>
      </c>
      <c r="C381" s="631">
        <v>38.086170000000003</v>
      </c>
      <c r="D381" s="631">
        <v>-122.07249</v>
      </c>
      <c r="E381" s="631" t="s">
        <v>9088</v>
      </c>
      <c r="F381" s="631" t="s">
        <v>80</v>
      </c>
      <c r="G381" s="631" t="s">
        <v>81</v>
      </c>
      <c r="H381" s="12"/>
      <c r="I381" s="13"/>
      <c r="J381" s="14"/>
      <c r="K381" s="14"/>
      <c r="L381" s="14"/>
      <c r="M381" s="14"/>
      <c r="N381" s="14" t="s">
        <v>323</v>
      </c>
      <c r="O381" s="14" t="s">
        <v>228</v>
      </c>
      <c r="P381" s="15">
        <v>1</v>
      </c>
      <c r="Q381" s="15">
        <v>68</v>
      </c>
      <c r="R381" s="14" t="s">
        <v>50</v>
      </c>
      <c r="S381" s="14" t="s">
        <v>8613</v>
      </c>
    </row>
    <row r="382" spans="1:20" x14ac:dyDescent="0.25">
      <c r="A382" s="11">
        <v>42800</v>
      </c>
      <c r="B382" s="631" t="s">
        <v>8809</v>
      </c>
      <c r="C382" s="631">
        <v>38.070030000000003</v>
      </c>
      <c r="D382" s="631">
        <v>-122.07855000000001</v>
      </c>
      <c r="E382" s="631" t="s">
        <v>9090</v>
      </c>
      <c r="F382" s="631" t="s">
        <v>80</v>
      </c>
      <c r="G382" s="631" t="s">
        <v>81</v>
      </c>
      <c r="H382" s="12">
        <v>0.64444444444444449</v>
      </c>
      <c r="I382" s="24">
        <v>76.16</v>
      </c>
      <c r="J382" s="14" t="s">
        <v>8608</v>
      </c>
      <c r="K382" s="17">
        <v>8</v>
      </c>
      <c r="L382" s="14" t="s">
        <v>8609</v>
      </c>
      <c r="M382" s="14" t="s">
        <v>8610</v>
      </c>
      <c r="N382" s="17" t="s">
        <v>622</v>
      </c>
      <c r="O382" s="17" t="s">
        <v>2525</v>
      </c>
      <c r="P382" s="25">
        <v>1</v>
      </c>
      <c r="Q382" s="25">
        <v>189</v>
      </c>
      <c r="R382" s="14" t="s">
        <v>50</v>
      </c>
      <c r="S382" s="14" t="s">
        <v>50</v>
      </c>
    </row>
    <row r="383" spans="1:20" x14ac:dyDescent="0.25">
      <c r="A383" s="11">
        <v>42801</v>
      </c>
      <c r="B383" s="631" t="s">
        <v>8809</v>
      </c>
      <c r="C383" s="631">
        <v>38.072920000000003</v>
      </c>
      <c r="D383" s="631">
        <v>-122.096</v>
      </c>
      <c r="E383" s="631" t="s">
        <v>9091</v>
      </c>
      <c r="F383" s="631" t="s">
        <v>80</v>
      </c>
      <c r="G383" s="631" t="s">
        <v>81</v>
      </c>
      <c r="H383" s="12">
        <v>0.30208333333333331</v>
      </c>
      <c r="I383" s="13" t="s">
        <v>50</v>
      </c>
      <c r="J383" s="14" t="s">
        <v>8608</v>
      </c>
      <c r="K383" s="14">
        <v>0</v>
      </c>
      <c r="L383" s="14" t="s">
        <v>50</v>
      </c>
      <c r="M383" s="14" t="s">
        <v>50</v>
      </c>
      <c r="N383" s="14" t="s">
        <v>50</v>
      </c>
      <c r="O383" s="14" t="s">
        <v>50</v>
      </c>
      <c r="P383" s="18">
        <v>0</v>
      </c>
      <c r="Q383" s="18" t="s">
        <v>50</v>
      </c>
      <c r="R383" s="14" t="s">
        <v>50</v>
      </c>
      <c r="S383" s="14" t="s">
        <v>50</v>
      </c>
      <c r="T383" s="5" t="s">
        <v>9092</v>
      </c>
    </row>
    <row r="384" spans="1:20" x14ac:dyDescent="0.25">
      <c r="A384" s="11">
        <v>42801</v>
      </c>
      <c r="B384" s="631" t="s">
        <v>8809</v>
      </c>
      <c r="C384" s="631">
        <v>38.034480000000002</v>
      </c>
      <c r="D384" s="631">
        <v>-122.30655</v>
      </c>
      <c r="E384" s="631" t="s">
        <v>9093</v>
      </c>
      <c r="F384" s="631" t="s">
        <v>80</v>
      </c>
      <c r="G384" s="631" t="s">
        <v>123</v>
      </c>
      <c r="H384" s="12">
        <v>0.30833333333333335</v>
      </c>
      <c r="I384" s="13">
        <v>35.86</v>
      </c>
      <c r="J384" s="14" t="s">
        <v>8608</v>
      </c>
      <c r="K384" s="14">
        <v>8</v>
      </c>
      <c r="L384" s="14" t="s">
        <v>8609</v>
      </c>
      <c r="M384" s="14" t="s">
        <v>8617</v>
      </c>
      <c r="N384" s="14" t="s">
        <v>50</v>
      </c>
      <c r="O384" s="14" t="s">
        <v>50</v>
      </c>
      <c r="P384" s="18">
        <v>0</v>
      </c>
      <c r="Q384" s="18" t="s">
        <v>50</v>
      </c>
      <c r="R384" s="14" t="s">
        <v>50</v>
      </c>
      <c r="S384" s="14" t="s">
        <v>50</v>
      </c>
    </row>
    <row r="385" spans="1:20" x14ac:dyDescent="0.25">
      <c r="A385" s="11">
        <v>42801</v>
      </c>
      <c r="B385" s="631" t="s">
        <v>8809</v>
      </c>
      <c r="C385" s="631">
        <v>38.040880000000001</v>
      </c>
      <c r="D385" s="631">
        <v>-122.29017</v>
      </c>
      <c r="E385" s="631" t="s">
        <v>9094</v>
      </c>
      <c r="F385" s="631" t="s">
        <v>80</v>
      </c>
      <c r="G385" s="631" t="s">
        <v>123</v>
      </c>
      <c r="H385" s="12">
        <v>0.39513888888888887</v>
      </c>
      <c r="I385" s="13">
        <v>88.63</v>
      </c>
      <c r="J385" s="14" t="s">
        <v>8608</v>
      </c>
      <c r="K385" s="14">
        <v>8</v>
      </c>
      <c r="L385" s="14" t="s">
        <v>8609</v>
      </c>
      <c r="M385" s="14" t="s">
        <v>8610</v>
      </c>
      <c r="N385" s="14" t="s">
        <v>31</v>
      </c>
      <c r="O385" s="14" t="s">
        <v>50</v>
      </c>
      <c r="P385" s="339">
        <v>3</v>
      </c>
      <c r="Q385" s="339" t="s">
        <v>9095</v>
      </c>
      <c r="R385" s="14" t="s">
        <v>50</v>
      </c>
      <c r="S385" s="14" t="s">
        <v>8613</v>
      </c>
    </row>
    <row r="386" spans="1:20" x14ac:dyDescent="0.25">
      <c r="A386" s="11">
        <v>42801</v>
      </c>
      <c r="B386" s="631" t="s">
        <v>8809</v>
      </c>
      <c r="C386" s="631">
        <v>38.040880000000001</v>
      </c>
      <c r="D386" s="631">
        <v>-122.29017</v>
      </c>
      <c r="E386" s="631" t="s">
        <v>9094</v>
      </c>
      <c r="F386" s="631" t="s">
        <v>80</v>
      </c>
      <c r="G386" s="631" t="s">
        <v>123</v>
      </c>
      <c r="H386" s="12"/>
      <c r="I386" s="13"/>
      <c r="J386" s="14"/>
      <c r="K386" s="14"/>
      <c r="L386" s="14"/>
      <c r="M386" s="14"/>
      <c r="N386" s="14" t="s">
        <v>758</v>
      </c>
      <c r="O386" s="14" t="s">
        <v>50</v>
      </c>
      <c r="P386" s="339">
        <v>1</v>
      </c>
      <c r="Q386" s="339">
        <v>110</v>
      </c>
      <c r="R386" s="14" t="s">
        <v>50</v>
      </c>
      <c r="S386" s="14" t="s">
        <v>50</v>
      </c>
    </row>
    <row r="387" spans="1:20" x14ac:dyDescent="0.25">
      <c r="A387" s="11">
        <v>42801</v>
      </c>
      <c r="B387" s="631" t="s">
        <v>8809</v>
      </c>
      <c r="C387" s="631">
        <v>38.063279999999999</v>
      </c>
      <c r="D387" s="631">
        <v>-122.22166</v>
      </c>
      <c r="E387" s="631" t="s">
        <v>9096</v>
      </c>
      <c r="F387" s="631" t="s">
        <v>80</v>
      </c>
      <c r="G387" s="631" t="s">
        <v>120</v>
      </c>
      <c r="H387" s="12">
        <v>0.49027777777777781</v>
      </c>
      <c r="I387" s="13">
        <v>67.84</v>
      </c>
      <c r="J387" s="14" t="s">
        <v>8608</v>
      </c>
      <c r="K387" s="14">
        <v>8</v>
      </c>
      <c r="L387" s="14" t="s">
        <v>8609</v>
      </c>
      <c r="M387" s="14" t="s">
        <v>8610</v>
      </c>
      <c r="N387" s="14" t="s">
        <v>622</v>
      </c>
      <c r="O387" s="14" t="s">
        <v>2525</v>
      </c>
      <c r="P387" s="339">
        <v>2</v>
      </c>
      <c r="Q387" s="339" t="s">
        <v>9097</v>
      </c>
      <c r="R387" s="14" t="s">
        <v>9098</v>
      </c>
      <c r="S387" s="14" t="s">
        <v>50</v>
      </c>
    </row>
    <row r="388" spans="1:20" x14ac:dyDescent="0.25">
      <c r="A388" s="11">
        <v>42801</v>
      </c>
      <c r="B388" s="631" t="s">
        <v>8606</v>
      </c>
      <c r="C388" s="631">
        <v>38.102800000000002</v>
      </c>
      <c r="D388" s="631">
        <v>-121.58817000000001</v>
      </c>
      <c r="E388" s="631" t="s">
        <v>9099</v>
      </c>
      <c r="F388" s="631" t="s">
        <v>46</v>
      </c>
      <c r="G388" s="631" t="s">
        <v>8615</v>
      </c>
      <c r="H388" s="12">
        <v>0.31458333333333333</v>
      </c>
      <c r="I388" s="13">
        <v>43.9</v>
      </c>
      <c r="J388" s="14" t="s">
        <v>8608</v>
      </c>
      <c r="K388" s="14">
        <v>3</v>
      </c>
      <c r="L388" s="14" t="s">
        <v>8609</v>
      </c>
      <c r="M388" s="14" t="s">
        <v>8610</v>
      </c>
      <c r="N388" s="14" t="s">
        <v>323</v>
      </c>
      <c r="O388" s="14" t="s">
        <v>50</v>
      </c>
      <c r="P388" s="15">
        <v>1</v>
      </c>
      <c r="Q388" s="15">
        <v>63</v>
      </c>
      <c r="R388" s="14" t="s">
        <v>50</v>
      </c>
      <c r="S388" s="14" t="s">
        <v>8935</v>
      </c>
    </row>
    <row r="389" spans="1:20" x14ac:dyDescent="0.25">
      <c r="A389" s="11">
        <v>42801</v>
      </c>
      <c r="B389" s="631" t="s">
        <v>8606</v>
      </c>
      <c r="C389" s="631">
        <v>38.102800000000002</v>
      </c>
      <c r="D389" s="631">
        <v>-121.58817000000001</v>
      </c>
      <c r="E389" s="631" t="s">
        <v>9099</v>
      </c>
      <c r="F389" s="631" t="s">
        <v>46</v>
      </c>
      <c r="G389" s="631" t="s">
        <v>8615</v>
      </c>
      <c r="H389" s="12"/>
      <c r="I389" s="13"/>
      <c r="J389" s="14"/>
      <c r="K389" s="14"/>
      <c r="L389" s="14"/>
      <c r="M389" s="14"/>
      <c r="N389" s="14" t="s">
        <v>622</v>
      </c>
      <c r="O389" s="14" t="s">
        <v>2525</v>
      </c>
      <c r="P389" s="15">
        <v>2</v>
      </c>
      <c r="Q389" s="15" t="s">
        <v>9100</v>
      </c>
      <c r="R389" s="14">
        <v>5</v>
      </c>
      <c r="S389" s="14" t="s">
        <v>50</v>
      </c>
    </row>
    <row r="390" spans="1:20" x14ac:dyDescent="0.25">
      <c r="A390" s="11">
        <v>42801</v>
      </c>
      <c r="B390" s="631" t="s">
        <v>8606</v>
      </c>
      <c r="C390" s="631">
        <v>38.09948</v>
      </c>
      <c r="D390" s="631">
        <v>-121.59666</v>
      </c>
      <c r="E390" s="631" t="s">
        <v>9101</v>
      </c>
      <c r="F390" s="631" t="s">
        <v>46</v>
      </c>
      <c r="G390" s="631" t="s">
        <v>8615</v>
      </c>
      <c r="H390" s="12">
        <v>0.35555555555555557</v>
      </c>
      <c r="I390" s="13">
        <v>26.9</v>
      </c>
      <c r="J390" s="14" t="s">
        <v>8608</v>
      </c>
      <c r="K390" s="14">
        <v>5</v>
      </c>
      <c r="L390" s="14" t="s">
        <v>8609</v>
      </c>
      <c r="M390" s="14" t="s">
        <v>8617</v>
      </c>
      <c r="N390" s="14" t="s">
        <v>31</v>
      </c>
      <c r="O390" s="14" t="s">
        <v>50</v>
      </c>
      <c r="P390" s="15">
        <v>1</v>
      </c>
      <c r="Q390" s="15">
        <v>71</v>
      </c>
      <c r="R390" s="14" t="s">
        <v>9098</v>
      </c>
      <c r="S390" s="14" t="s">
        <v>8613</v>
      </c>
    </row>
    <row r="391" spans="1:20" x14ac:dyDescent="0.25">
      <c r="A391" s="11">
        <v>42801</v>
      </c>
      <c r="B391" s="631" t="s">
        <v>8606</v>
      </c>
      <c r="C391" s="631">
        <v>38.09948</v>
      </c>
      <c r="D391" s="631">
        <v>-121.59666</v>
      </c>
      <c r="E391" s="631" t="s">
        <v>9101</v>
      </c>
      <c r="F391" s="631" t="s">
        <v>46</v>
      </c>
      <c r="G391" s="631" t="s">
        <v>8615</v>
      </c>
      <c r="H391" s="12"/>
      <c r="I391" s="13"/>
      <c r="J391" s="14"/>
      <c r="K391" s="14"/>
      <c r="L391" s="14"/>
      <c r="M391" s="14"/>
      <c r="N391" s="14" t="s">
        <v>702</v>
      </c>
      <c r="O391" s="14" t="s">
        <v>228</v>
      </c>
      <c r="P391" s="15">
        <v>1</v>
      </c>
      <c r="Q391" s="15">
        <v>36</v>
      </c>
      <c r="R391" s="14">
        <v>2</v>
      </c>
      <c r="S391" s="14" t="s">
        <v>50</v>
      </c>
    </row>
    <row r="392" spans="1:20" x14ac:dyDescent="0.25">
      <c r="A392" s="11">
        <v>42801</v>
      </c>
      <c r="B392" s="631" t="s">
        <v>8606</v>
      </c>
      <c r="C392" s="631">
        <v>38.054760000000002</v>
      </c>
      <c r="D392" s="631">
        <v>-121.53426</v>
      </c>
      <c r="E392" s="631" t="s">
        <v>9102</v>
      </c>
      <c r="F392" s="631" t="s">
        <v>46</v>
      </c>
      <c r="G392" s="631" t="s">
        <v>8615</v>
      </c>
      <c r="H392" s="12">
        <v>0.4375</v>
      </c>
      <c r="I392" s="13">
        <v>21.5</v>
      </c>
      <c r="J392" s="14" t="s">
        <v>8608</v>
      </c>
      <c r="K392" s="14">
        <v>5</v>
      </c>
      <c r="L392" s="14" t="s">
        <v>8609</v>
      </c>
      <c r="M392" s="14" t="s">
        <v>8617</v>
      </c>
      <c r="N392" s="14" t="s">
        <v>702</v>
      </c>
      <c r="O392" s="14" t="s">
        <v>228</v>
      </c>
      <c r="P392" s="15">
        <v>1</v>
      </c>
      <c r="Q392" s="15" t="s">
        <v>50</v>
      </c>
      <c r="R392" s="14" t="s">
        <v>50</v>
      </c>
      <c r="S392" s="14" t="s">
        <v>50</v>
      </c>
      <c r="T392" s="5" t="s">
        <v>9103</v>
      </c>
    </row>
    <row r="393" spans="1:20" x14ac:dyDescent="0.25">
      <c r="A393" s="11">
        <v>42801</v>
      </c>
      <c r="B393" s="631" t="s">
        <v>8606</v>
      </c>
      <c r="C393" s="631">
        <v>38.057549999999999</v>
      </c>
      <c r="D393" s="631">
        <v>-121.55246</v>
      </c>
      <c r="E393" s="631" t="s">
        <v>9104</v>
      </c>
      <c r="F393" s="631" t="s">
        <v>46</v>
      </c>
      <c r="G393" s="631" t="s">
        <v>8615</v>
      </c>
      <c r="H393" s="12">
        <v>0.49374999999999997</v>
      </c>
      <c r="I393" s="13">
        <v>20.28</v>
      </c>
      <c r="J393" s="14" t="s">
        <v>8608</v>
      </c>
      <c r="K393" s="14">
        <v>5</v>
      </c>
      <c r="L393" s="14" t="s">
        <v>8609</v>
      </c>
      <c r="M393" s="14" t="s">
        <v>8617</v>
      </c>
      <c r="N393" s="14" t="s">
        <v>3280</v>
      </c>
      <c r="O393" s="14" t="s">
        <v>228</v>
      </c>
      <c r="P393" s="15">
        <v>1</v>
      </c>
      <c r="Q393" s="15">
        <v>81</v>
      </c>
      <c r="R393" s="14">
        <v>3</v>
      </c>
      <c r="S393" s="14" t="s">
        <v>50</v>
      </c>
    </row>
    <row r="394" spans="1:20" x14ac:dyDescent="0.25">
      <c r="A394" s="11">
        <v>42801</v>
      </c>
      <c r="B394" s="631" t="s">
        <v>8296</v>
      </c>
      <c r="C394" s="631">
        <v>38.026829999999997</v>
      </c>
      <c r="D394" s="631">
        <v>-121.77988999999999</v>
      </c>
      <c r="E394" s="631" t="s">
        <v>9105</v>
      </c>
      <c r="F394" s="631" t="s">
        <v>27</v>
      </c>
      <c r="G394" s="631" t="s">
        <v>95</v>
      </c>
      <c r="H394" s="12">
        <v>0.3430555555555555</v>
      </c>
      <c r="I394" s="13">
        <v>31.1</v>
      </c>
      <c r="J394" s="14" t="s">
        <v>8608</v>
      </c>
      <c r="K394" s="14">
        <v>5</v>
      </c>
      <c r="L394" s="14" t="s">
        <v>8625</v>
      </c>
      <c r="M394" s="14" t="s">
        <v>8617</v>
      </c>
      <c r="N394" s="14" t="s">
        <v>702</v>
      </c>
      <c r="O394" s="14" t="s">
        <v>228</v>
      </c>
      <c r="P394" s="15">
        <v>5</v>
      </c>
      <c r="Q394" s="15" t="s">
        <v>9106</v>
      </c>
      <c r="R394" s="14">
        <v>3</v>
      </c>
      <c r="S394" s="14" t="s">
        <v>50</v>
      </c>
    </row>
    <row r="395" spans="1:20" x14ac:dyDescent="0.25">
      <c r="A395" s="11">
        <v>42801</v>
      </c>
      <c r="B395" s="631" t="s">
        <v>8296</v>
      </c>
      <c r="C395" s="631">
        <v>38.032060000000001</v>
      </c>
      <c r="D395" s="631">
        <v>-121.85446</v>
      </c>
      <c r="E395" s="631" t="s">
        <v>9107</v>
      </c>
      <c r="F395" s="631" t="s">
        <v>27</v>
      </c>
      <c r="G395" s="631" t="s">
        <v>95</v>
      </c>
      <c r="H395" s="12">
        <v>0.40416666666666662</v>
      </c>
      <c r="I395" s="13">
        <v>31.93</v>
      </c>
      <c r="J395" s="14" t="s">
        <v>8608</v>
      </c>
      <c r="K395" s="14">
        <v>6</v>
      </c>
      <c r="L395" s="14" t="s">
        <v>8625</v>
      </c>
      <c r="M395" s="14" t="s">
        <v>8617</v>
      </c>
      <c r="N395" s="14" t="s">
        <v>50</v>
      </c>
      <c r="O395" s="14" t="s">
        <v>50</v>
      </c>
      <c r="P395" s="18">
        <v>0</v>
      </c>
      <c r="Q395" s="18" t="s">
        <v>50</v>
      </c>
      <c r="R395" s="14" t="s">
        <v>50</v>
      </c>
      <c r="S395" s="14" t="s">
        <v>50</v>
      </c>
      <c r="T395" s="5" t="s">
        <v>9108</v>
      </c>
    </row>
    <row r="396" spans="1:20" x14ac:dyDescent="0.25">
      <c r="A396" s="11">
        <v>42801</v>
      </c>
      <c r="B396" s="631" t="s">
        <v>8296</v>
      </c>
      <c r="C396" s="631">
        <v>38.073180000000001</v>
      </c>
      <c r="D396" s="631">
        <v>-121.98354</v>
      </c>
      <c r="E396" s="631" t="s">
        <v>9109</v>
      </c>
      <c r="F396" s="631" t="s">
        <v>27</v>
      </c>
      <c r="G396" s="631" t="s">
        <v>86</v>
      </c>
      <c r="H396" s="12">
        <v>0.47847222222222219</v>
      </c>
      <c r="I396" s="13">
        <v>52.06</v>
      </c>
      <c r="J396" s="14" t="s">
        <v>8608</v>
      </c>
      <c r="K396" s="14">
        <v>5</v>
      </c>
      <c r="L396" s="14" t="s">
        <v>8625</v>
      </c>
      <c r="M396" s="14" t="s">
        <v>8610</v>
      </c>
      <c r="N396" s="14" t="s">
        <v>50</v>
      </c>
      <c r="O396" s="14" t="s">
        <v>50</v>
      </c>
      <c r="P396" s="18">
        <v>0</v>
      </c>
      <c r="Q396" s="18" t="s">
        <v>50</v>
      </c>
      <c r="R396" s="14" t="s">
        <v>50</v>
      </c>
      <c r="S396" s="14" t="s">
        <v>50</v>
      </c>
    </row>
    <row r="397" spans="1:20" x14ac:dyDescent="0.25">
      <c r="A397" s="11">
        <v>42801</v>
      </c>
      <c r="B397" s="631" t="s">
        <v>8296</v>
      </c>
      <c r="C397" s="631">
        <v>38.054259999999999</v>
      </c>
      <c r="D397" s="631">
        <v>-121.95752</v>
      </c>
      <c r="E397" s="631" t="s">
        <v>9110</v>
      </c>
      <c r="F397" s="631" t="s">
        <v>27</v>
      </c>
      <c r="G397" s="631" t="s">
        <v>170</v>
      </c>
      <c r="H397" s="12">
        <v>0.52430555555555558</v>
      </c>
      <c r="I397" s="13">
        <v>44.24</v>
      </c>
      <c r="J397" s="14" t="s">
        <v>8608</v>
      </c>
      <c r="K397" s="14">
        <v>5</v>
      </c>
      <c r="L397" s="14" t="s">
        <v>8625</v>
      </c>
      <c r="M397" s="14" t="s">
        <v>8610</v>
      </c>
      <c r="N397" s="14" t="s">
        <v>758</v>
      </c>
      <c r="O397" s="14" t="s">
        <v>50</v>
      </c>
      <c r="P397" s="15">
        <v>1</v>
      </c>
      <c r="Q397" s="15">
        <v>93</v>
      </c>
      <c r="R397" s="14">
        <v>4</v>
      </c>
      <c r="S397" s="14" t="s">
        <v>50</v>
      </c>
    </row>
    <row r="398" spans="1:20" x14ac:dyDescent="0.25">
      <c r="A398" s="11">
        <v>42802</v>
      </c>
      <c r="B398" s="631" t="s">
        <v>8726</v>
      </c>
      <c r="C398" s="631">
        <v>37.971240000000002</v>
      </c>
      <c r="D398" s="631">
        <v>-121.58306</v>
      </c>
      <c r="E398" s="631" t="s">
        <v>9111</v>
      </c>
      <c r="F398" s="631" t="s">
        <v>46</v>
      </c>
      <c r="G398" s="631" t="s">
        <v>423</v>
      </c>
      <c r="H398" s="12">
        <v>0.31736111111111115</v>
      </c>
      <c r="I398" s="13">
        <v>13.69</v>
      </c>
      <c r="J398" s="14" t="s">
        <v>8608</v>
      </c>
      <c r="K398" s="14">
        <v>8</v>
      </c>
      <c r="L398" s="14" t="s">
        <v>8609</v>
      </c>
      <c r="M398" s="14" t="s">
        <v>8610</v>
      </c>
      <c r="N398" s="14" t="s">
        <v>50</v>
      </c>
      <c r="O398" s="14" t="s">
        <v>50</v>
      </c>
      <c r="P398" s="18">
        <v>0</v>
      </c>
      <c r="Q398" s="18" t="s">
        <v>50</v>
      </c>
      <c r="R398" s="14" t="s">
        <v>50</v>
      </c>
      <c r="S398" s="14" t="s">
        <v>50</v>
      </c>
    </row>
    <row r="399" spans="1:20" x14ac:dyDescent="0.25">
      <c r="A399" s="11">
        <v>42802</v>
      </c>
      <c r="B399" s="631" t="s">
        <v>8726</v>
      </c>
      <c r="C399" s="631">
        <v>38.044539999999998</v>
      </c>
      <c r="D399" s="631">
        <v>-121.57823</v>
      </c>
      <c r="E399" s="631" t="s">
        <v>9112</v>
      </c>
      <c r="F399" s="631" t="s">
        <v>46</v>
      </c>
      <c r="G399" s="631" t="s">
        <v>74</v>
      </c>
      <c r="H399" s="12">
        <v>0.43263888888888885</v>
      </c>
      <c r="I399" s="13">
        <v>12.28</v>
      </c>
      <c r="J399" s="14" t="s">
        <v>8608</v>
      </c>
      <c r="K399" s="14">
        <v>8</v>
      </c>
      <c r="L399" s="14" t="s">
        <v>8609</v>
      </c>
      <c r="M399" s="14" t="s">
        <v>8617</v>
      </c>
      <c r="N399" s="14" t="s">
        <v>50</v>
      </c>
      <c r="O399" s="14" t="s">
        <v>50</v>
      </c>
      <c r="P399" s="18">
        <v>0</v>
      </c>
      <c r="Q399" s="18" t="s">
        <v>50</v>
      </c>
      <c r="R399" s="14" t="s">
        <v>50</v>
      </c>
      <c r="S399" s="14" t="s">
        <v>50</v>
      </c>
      <c r="T399" s="5" t="s">
        <v>9113</v>
      </c>
    </row>
    <row r="400" spans="1:20" x14ac:dyDescent="0.25">
      <c r="A400" s="11">
        <v>42802</v>
      </c>
      <c r="B400" s="631" t="s">
        <v>8726</v>
      </c>
      <c r="C400" s="631">
        <v>38.003309999999999</v>
      </c>
      <c r="D400" s="631">
        <v>-121.52725</v>
      </c>
      <c r="E400" s="631" t="s">
        <v>9114</v>
      </c>
      <c r="F400" s="631" t="s">
        <v>46</v>
      </c>
      <c r="G400" s="631" t="s">
        <v>6939</v>
      </c>
      <c r="H400" s="12">
        <v>0.3666666666666667</v>
      </c>
      <c r="I400" s="13">
        <v>12.53</v>
      </c>
      <c r="J400" s="14" t="s">
        <v>8608</v>
      </c>
      <c r="K400" s="14">
        <v>8</v>
      </c>
      <c r="L400" s="14" t="s">
        <v>8609</v>
      </c>
      <c r="M400" s="14" t="s">
        <v>8610</v>
      </c>
      <c r="N400" s="14" t="s">
        <v>50</v>
      </c>
      <c r="O400" s="14" t="s">
        <v>50</v>
      </c>
      <c r="P400" s="18">
        <v>0</v>
      </c>
      <c r="Q400" s="18" t="s">
        <v>50</v>
      </c>
      <c r="R400" s="14" t="s">
        <v>50</v>
      </c>
      <c r="S400" s="14" t="s">
        <v>50</v>
      </c>
    </row>
    <row r="401" spans="1:20" x14ac:dyDescent="0.25">
      <c r="A401" s="11">
        <v>42802</v>
      </c>
      <c r="B401" s="631" t="s">
        <v>8726</v>
      </c>
      <c r="C401" s="631">
        <v>37.985579999999999</v>
      </c>
      <c r="D401" s="631">
        <v>-121.51593</v>
      </c>
      <c r="E401" s="631" t="s">
        <v>9115</v>
      </c>
      <c r="F401" s="631" t="s">
        <v>46</v>
      </c>
      <c r="G401" s="631" t="s">
        <v>6939</v>
      </c>
      <c r="H401" s="12">
        <v>0.47013888888888888</v>
      </c>
      <c r="I401" s="13">
        <v>11.53</v>
      </c>
      <c r="J401" s="14" t="s">
        <v>8608</v>
      </c>
      <c r="K401" s="14">
        <v>8</v>
      </c>
      <c r="L401" s="14" t="s">
        <v>8609</v>
      </c>
      <c r="M401" s="14" t="s">
        <v>8617</v>
      </c>
      <c r="N401" s="14" t="s">
        <v>50</v>
      </c>
      <c r="O401" s="14" t="s">
        <v>50</v>
      </c>
      <c r="P401" s="18">
        <v>0</v>
      </c>
      <c r="Q401" s="18" t="s">
        <v>50</v>
      </c>
      <c r="R401" s="14" t="s">
        <v>50</v>
      </c>
      <c r="S401" s="14" t="s">
        <v>50</v>
      </c>
      <c r="T401" s="5" t="s">
        <v>9116</v>
      </c>
    </row>
    <row r="402" spans="1:20" x14ac:dyDescent="0.25">
      <c r="A402" s="11">
        <v>42802</v>
      </c>
      <c r="B402" s="631" t="s">
        <v>8809</v>
      </c>
      <c r="C402" s="631">
        <v>38.416969999999999</v>
      </c>
      <c r="D402" s="631">
        <v>-121.52244</v>
      </c>
      <c r="E402" s="631" t="s">
        <v>9117</v>
      </c>
      <c r="F402" s="631" t="s">
        <v>90</v>
      </c>
      <c r="G402" s="631" t="s">
        <v>6851</v>
      </c>
      <c r="H402" s="12">
        <v>0.42638888888888887</v>
      </c>
      <c r="I402" s="13">
        <v>61.35</v>
      </c>
      <c r="J402" s="14" t="s">
        <v>8608</v>
      </c>
      <c r="K402" s="14">
        <v>8</v>
      </c>
      <c r="L402" s="14" t="s">
        <v>8609</v>
      </c>
      <c r="M402" s="14" t="s">
        <v>8610</v>
      </c>
      <c r="N402" s="14" t="s">
        <v>702</v>
      </c>
      <c r="O402" s="14" t="s">
        <v>50</v>
      </c>
      <c r="P402" s="15">
        <v>6</v>
      </c>
      <c r="Q402" s="15" t="s">
        <v>5438</v>
      </c>
      <c r="R402" s="14">
        <v>3</v>
      </c>
      <c r="S402" s="14" t="s">
        <v>50</v>
      </c>
    </row>
    <row r="403" spans="1:20" x14ac:dyDescent="0.25">
      <c r="A403" s="11">
        <v>42802</v>
      </c>
      <c r="B403" s="631" t="s">
        <v>8809</v>
      </c>
      <c r="C403" s="631">
        <v>38.416969999999999</v>
      </c>
      <c r="D403" s="631">
        <v>-121.52244</v>
      </c>
      <c r="E403" s="631" t="s">
        <v>9117</v>
      </c>
      <c r="F403" s="631" t="s">
        <v>90</v>
      </c>
      <c r="G403" s="631" t="s">
        <v>6851</v>
      </c>
      <c r="H403" s="12"/>
      <c r="I403" s="13"/>
      <c r="J403" s="14"/>
      <c r="K403" s="14"/>
      <c r="L403" s="14"/>
      <c r="M403" s="14"/>
      <c r="N403" s="14" t="s">
        <v>3280</v>
      </c>
      <c r="O403" s="14" t="s">
        <v>50</v>
      </c>
      <c r="P403" s="18">
        <v>1</v>
      </c>
      <c r="Q403" s="18">
        <v>67</v>
      </c>
      <c r="R403" s="14">
        <v>3</v>
      </c>
      <c r="S403" s="14" t="s">
        <v>50</v>
      </c>
    </row>
    <row r="404" spans="1:20" x14ac:dyDescent="0.25">
      <c r="A404" s="11">
        <v>42802</v>
      </c>
      <c r="B404" s="631" t="s">
        <v>8809</v>
      </c>
      <c r="C404" s="631">
        <v>38.251989999999999</v>
      </c>
      <c r="D404" s="631">
        <v>-121.5116</v>
      </c>
      <c r="E404" s="631" t="s">
        <v>9118</v>
      </c>
      <c r="F404" s="631" t="s">
        <v>90</v>
      </c>
      <c r="G404" s="631" t="s">
        <v>6851</v>
      </c>
      <c r="H404" s="12">
        <v>0.53333333333333333</v>
      </c>
      <c r="I404" s="13">
        <v>66.23</v>
      </c>
      <c r="J404" s="14" t="s">
        <v>8608</v>
      </c>
      <c r="K404" s="14">
        <v>8</v>
      </c>
      <c r="L404" s="14" t="s">
        <v>8609</v>
      </c>
      <c r="M404" s="14" t="s">
        <v>8610</v>
      </c>
      <c r="N404" s="14" t="s">
        <v>702</v>
      </c>
      <c r="O404" s="14" t="s">
        <v>228</v>
      </c>
      <c r="P404" s="15">
        <v>2</v>
      </c>
      <c r="Q404" s="15" t="s">
        <v>5095</v>
      </c>
      <c r="R404" s="14">
        <v>2</v>
      </c>
      <c r="S404" s="14" t="s">
        <v>50</v>
      </c>
    </row>
    <row r="405" spans="1:20" x14ac:dyDescent="0.25">
      <c r="A405" s="11">
        <v>42802</v>
      </c>
      <c r="B405" s="631" t="s">
        <v>8809</v>
      </c>
      <c r="C405" s="631">
        <v>38.251989999999999</v>
      </c>
      <c r="D405" s="631">
        <v>-121.5116</v>
      </c>
      <c r="E405" s="631" t="s">
        <v>9118</v>
      </c>
      <c r="F405" s="631" t="s">
        <v>90</v>
      </c>
      <c r="G405" s="631" t="s">
        <v>6851</v>
      </c>
      <c r="H405" s="12"/>
      <c r="I405" s="13"/>
      <c r="J405" s="14"/>
      <c r="K405" s="14"/>
      <c r="L405" s="14"/>
      <c r="M405" s="14"/>
      <c r="N405" s="14" t="s">
        <v>758</v>
      </c>
      <c r="O405" s="14" t="s">
        <v>228</v>
      </c>
      <c r="P405" s="15">
        <v>1</v>
      </c>
      <c r="Q405" s="15">
        <v>107</v>
      </c>
      <c r="R405" s="14">
        <v>4</v>
      </c>
      <c r="S405" s="14" t="s">
        <v>50</v>
      </c>
    </row>
    <row r="406" spans="1:20" x14ac:dyDescent="0.25">
      <c r="A406" s="11">
        <v>42802</v>
      </c>
      <c r="B406" s="631" t="s">
        <v>8809</v>
      </c>
      <c r="C406" s="631">
        <v>38.251989999999999</v>
      </c>
      <c r="D406" s="631">
        <v>-121.5116</v>
      </c>
      <c r="E406" s="631" t="s">
        <v>9118</v>
      </c>
      <c r="F406" s="631" t="s">
        <v>90</v>
      </c>
      <c r="G406" s="631" t="s">
        <v>6851</v>
      </c>
      <c r="H406" s="12"/>
      <c r="I406" s="13"/>
      <c r="J406" s="14"/>
      <c r="K406" s="14"/>
      <c r="L406" s="14"/>
      <c r="M406" s="14"/>
      <c r="N406" s="14" t="s">
        <v>622</v>
      </c>
      <c r="O406" s="14" t="s">
        <v>2525</v>
      </c>
      <c r="P406" s="15">
        <v>1</v>
      </c>
      <c r="Q406" s="15">
        <v>219</v>
      </c>
      <c r="R406" s="14" t="s">
        <v>9098</v>
      </c>
      <c r="S406" s="14" t="s">
        <v>50</v>
      </c>
    </row>
    <row r="407" spans="1:20" x14ac:dyDescent="0.25">
      <c r="A407" s="11">
        <v>42803</v>
      </c>
      <c r="B407" s="631" t="s">
        <v>8726</v>
      </c>
      <c r="C407" s="291">
        <v>38.062040000000003</v>
      </c>
      <c r="D407" s="631">
        <v>-121.62052</v>
      </c>
      <c r="E407" s="631" t="s">
        <v>9119</v>
      </c>
      <c r="F407" s="631" t="s">
        <v>46</v>
      </c>
      <c r="G407" s="631" t="s">
        <v>47</v>
      </c>
      <c r="H407" s="12">
        <v>0.33333333333333331</v>
      </c>
      <c r="I407" s="13">
        <v>11.85</v>
      </c>
      <c r="J407" s="14" t="s">
        <v>8608</v>
      </c>
      <c r="K407" s="14">
        <v>4</v>
      </c>
      <c r="L407" s="14" t="s">
        <v>8609</v>
      </c>
      <c r="M407" s="14" t="s">
        <v>8610</v>
      </c>
      <c r="N407" s="14" t="s">
        <v>50</v>
      </c>
      <c r="O407" s="14" t="s">
        <v>50</v>
      </c>
      <c r="P407" s="18">
        <v>0</v>
      </c>
      <c r="Q407" s="18" t="s">
        <v>50</v>
      </c>
      <c r="R407" s="14" t="s">
        <v>50</v>
      </c>
      <c r="S407" s="14" t="s">
        <v>50</v>
      </c>
      <c r="T407" s="5" t="s">
        <v>9120</v>
      </c>
    </row>
    <row r="408" spans="1:20" x14ac:dyDescent="0.25">
      <c r="A408" s="11">
        <v>42803</v>
      </c>
      <c r="B408" s="631" t="s">
        <v>8726</v>
      </c>
      <c r="C408" s="291">
        <v>38.04992</v>
      </c>
      <c r="D408" s="631">
        <v>-121.60423</v>
      </c>
      <c r="E408" s="631" t="s">
        <v>9121</v>
      </c>
      <c r="F408" s="631" t="s">
        <v>46</v>
      </c>
      <c r="G408" s="631" t="s">
        <v>47</v>
      </c>
      <c r="H408" s="12">
        <v>0.39861111111111108</v>
      </c>
      <c r="I408" s="13">
        <v>10.15</v>
      </c>
      <c r="J408" s="14" t="s">
        <v>8608</v>
      </c>
      <c r="K408" s="14">
        <v>8</v>
      </c>
      <c r="L408" s="14" t="s">
        <v>8609</v>
      </c>
      <c r="M408" s="14" t="s">
        <v>8610</v>
      </c>
      <c r="N408" s="14" t="s">
        <v>50</v>
      </c>
      <c r="O408" s="14" t="s">
        <v>50</v>
      </c>
      <c r="P408" s="18">
        <v>0</v>
      </c>
      <c r="Q408" s="18" t="s">
        <v>50</v>
      </c>
      <c r="R408" s="14" t="s">
        <v>50</v>
      </c>
      <c r="S408" s="14" t="s">
        <v>50</v>
      </c>
      <c r="T408" s="5" t="s">
        <v>9122</v>
      </c>
    </row>
    <row r="409" spans="1:20" x14ac:dyDescent="0.25">
      <c r="A409" s="11">
        <v>42803</v>
      </c>
      <c r="B409" s="631" t="s">
        <v>8809</v>
      </c>
      <c r="C409" s="631">
        <v>38.147550000000003</v>
      </c>
      <c r="D409" s="631">
        <v>-121.59983</v>
      </c>
      <c r="E409" s="631" t="s">
        <v>9123</v>
      </c>
      <c r="F409" s="631" t="s">
        <v>90</v>
      </c>
      <c r="G409" s="631" t="s">
        <v>6892</v>
      </c>
      <c r="H409" s="12">
        <v>0.3430555555555555</v>
      </c>
      <c r="I409" s="13">
        <v>66.81</v>
      </c>
      <c r="J409" s="14" t="s">
        <v>8608</v>
      </c>
      <c r="K409" s="14">
        <v>8</v>
      </c>
      <c r="L409" s="14" t="s">
        <v>8609</v>
      </c>
      <c r="M409" s="14" t="s">
        <v>8610</v>
      </c>
      <c r="N409" s="14" t="s">
        <v>50</v>
      </c>
      <c r="O409" s="14" t="s">
        <v>50</v>
      </c>
      <c r="P409" s="18">
        <v>0</v>
      </c>
      <c r="Q409" s="18" t="s">
        <v>50</v>
      </c>
      <c r="R409" s="14" t="s">
        <v>50</v>
      </c>
      <c r="S409" s="14" t="s">
        <v>50</v>
      </c>
    </row>
    <row r="410" spans="1:20" x14ac:dyDescent="0.25">
      <c r="A410" s="11">
        <v>42803</v>
      </c>
      <c r="B410" s="631" t="s">
        <v>8809</v>
      </c>
      <c r="C410" s="631">
        <v>38.166919999999998</v>
      </c>
      <c r="D410" s="631">
        <v>-121.48842</v>
      </c>
      <c r="E410" s="631" t="s">
        <v>9124</v>
      </c>
      <c r="F410" s="631" t="s">
        <v>46</v>
      </c>
      <c r="G410" s="631" t="s">
        <v>6881</v>
      </c>
      <c r="H410" s="12">
        <v>0.44861111111111113</v>
      </c>
      <c r="I410" s="13">
        <v>16.05</v>
      </c>
      <c r="J410" s="14" t="s">
        <v>8608</v>
      </c>
      <c r="K410" s="14">
        <v>8</v>
      </c>
      <c r="L410" s="14" t="s">
        <v>8609</v>
      </c>
      <c r="M410" s="14" t="s">
        <v>8610</v>
      </c>
      <c r="N410" s="14" t="s">
        <v>50</v>
      </c>
      <c r="O410" s="14" t="s">
        <v>50</v>
      </c>
      <c r="P410" s="18">
        <v>0</v>
      </c>
      <c r="Q410" s="18" t="s">
        <v>50</v>
      </c>
      <c r="R410" s="14" t="s">
        <v>50</v>
      </c>
      <c r="S410" s="14" t="s">
        <v>50</v>
      </c>
    </row>
    <row r="411" spans="1:20" x14ac:dyDescent="0.25">
      <c r="A411" s="11">
        <v>42803</v>
      </c>
      <c r="B411" s="631" t="s">
        <v>8726</v>
      </c>
      <c r="C411" s="631">
        <v>37.974089999999997</v>
      </c>
      <c r="D411" s="631">
        <v>-121.52631</v>
      </c>
      <c r="E411" s="631" t="s">
        <v>9125</v>
      </c>
      <c r="F411" s="631" t="s">
        <v>46</v>
      </c>
      <c r="G411" s="631" t="s">
        <v>6939</v>
      </c>
      <c r="H411" s="12">
        <v>0.34652777777777777</v>
      </c>
      <c r="I411" s="13">
        <v>13.56</v>
      </c>
      <c r="J411" s="14" t="s">
        <v>8608</v>
      </c>
      <c r="K411" s="14">
        <v>8</v>
      </c>
      <c r="L411" s="14" t="s">
        <v>8609</v>
      </c>
      <c r="M411" s="14" t="s">
        <v>8610</v>
      </c>
      <c r="N411" s="14" t="s">
        <v>702</v>
      </c>
      <c r="O411" s="14" t="s">
        <v>228</v>
      </c>
      <c r="P411" s="15">
        <v>3</v>
      </c>
      <c r="Q411" s="15" t="s">
        <v>9126</v>
      </c>
      <c r="R411" s="14">
        <v>3</v>
      </c>
      <c r="S411" s="14" t="s">
        <v>50</v>
      </c>
    </row>
    <row r="412" spans="1:20" x14ac:dyDescent="0.25">
      <c r="A412" s="11">
        <v>42803</v>
      </c>
      <c r="B412" s="631" t="s">
        <v>8726</v>
      </c>
      <c r="C412" s="631">
        <v>38.002099999999999</v>
      </c>
      <c r="D412" s="631">
        <v>-121.5209</v>
      </c>
      <c r="E412" s="631" t="s">
        <v>9127</v>
      </c>
      <c r="F412" s="631" t="s">
        <v>46</v>
      </c>
      <c r="G412" s="631" t="s">
        <v>6939</v>
      </c>
      <c r="H412" s="12">
        <v>0.4604166666666667</v>
      </c>
      <c r="I412" s="13">
        <v>15.66</v>
      </c>
      <c r="J412" s="14" t="s">
        <v>8608</v>
      </c>
      <c r="K412" s="14">
        <v>8</v>
      </c>
      <c r="L412" s="14" t="s">
        <v>8609</v>
      </c>
      <c r="M412" s="14" t="s">
        <v>8617</v>
      </c>
      <c r="N412" s="14" t="s">
        <v>323</v>
      </c>
      <c r="O412" s="14" t="s">
        <v>50</v>
      </c>
      <c r="P412" s="15">
        <v>1</v>
      </c>
      <c r="Q412" s="15">
        <v>66</v>
      </c>
      <c r="R412" s="14" t="s">
        <v>9098</v>
      </c>
      <c r="S412" s="14" t="s">
        <v>8613</v>
      </c>
    </row>
    <row r="413" spans="1:20" x14ac:dyDescent="0.25">
      <c r="A413" s="11">
        <v>42807</v>
      </c>
      <c r="B413" s="631" t="s">
        <v>8809</v>
      </c>
      <c r="C413" s="631">
        <v>38.134799999999998</v>
      </c>
      <c r="D413" s="631">
        <v>-122.27876999999999</v>
      </c>
      <c r="E413" s="631" t="s">
        <v>9128</v>
      </c>
      <c r="F413" s="631" t="s">
        <v>80</v>
      </c>
      <c r="G413" s="631" t="s">
        <v>191</v>
      </c>
      <c r="H413" s="12">
        <v>0.37986111111111115</v>
      </c>
      <c r="I413" s="13">
        <v>83.1</v>
      </c>
      <c r="J413" s="14" t="s">
        <v>8608</v>
      </c>
      <c r="K413" s="14">
        <v>6</v>
      </c>
      <c r="L413" s="14" t="s">
        <v>8609</v>
      </c>
      <c r="M413" s="14" t="s">
        <v>8610</v>
      </c>
      <c r="N413" s="14" t="s">
        <v>702</v>
      </c>
      <c r="O413" s="14" t="s">
        <v>50</v>
      </c>
      <c r="P413" s="15">
        <v>1</v>
      </c>
      <c r="Q413" s="15">
        <v>63</v>
      </c>
      <c r="R413" s="14">
        <v>3</v>
      </c>
      <c r="S413" s="14" t="s">
        <v>50</v>
      </c>
      <c r="T413" s="5" t="s">
        <v>9129</v>
      </c>
    </row>
    <row r="414" spans="1:20" x14ac:dyDescent="0.25">
      <c r="A414" s="11">
        <v>42807</v>
      </c>
      <c r="B414" s="631" t="s">
        <v>8809</v>
      </c>
      <c r="C414" s="631">
        <v>38.134799999999998</v>
      </c>
      <c r="D414" s="631">
        <v>-122.27876999999999</v>
      </c>
      <c r="E414" s="631" t="s">
        <v>9128</v>
      </c>
      <c r="F414" s="631" t="s">
        <v>80</v>
      </c>
      <c r="G414" s="631" t="s">
        <v>191</v>
      </c>
      <c r="H414" s="12"/>
      <c r="I414" s="13"/>
      <c r="J414" s="14"/>
      <c r="K414" s="14"/>
      <c r="L414" s="14"/>
      <c r="M414" s="14"/>
      <c r="N414" s="14" t="s">
        <v>323</v>
      </c>
      <c r="O414" s="14" t="s">
        <v>50</v>
      </c>
      <c r="P414" s="15">
        <v>2</v>
      </c>
      <c r="Q414" s="15" t="s">
        <v>9130</v>
      </c>
      <c r="R414" s="14" t="s">
        <v>50</v>
      </c>
      <c r="S414" s="14" t="s">
        <v>8613</v>
      </c>
    </row>
    <row r="415" spans="1:20" x14ac:dyDescent="0.25">
      <c r="A415" s="11">
        <v>42807</v>
      </c>
      <c r="B415" s="631" t="s">
        <v>8809</v>
      </c>
      <c r="C415" s="631">
        <v>38.058430000000001</v>
      </c>
      <c r="D415" s="631">
        <v>-122.2685</v>
      </c>
      <c r="E415" s="631" t="s">
        <v>9131</v>
      </c>
      <c r="F415" s="631" t="s">
        <v>80</v>
      </c>
      <c r="G415" s="631" t="s">
        <v>123</v>
      </c>
      <c r="H415" s="12">
        <v>0.4597222222222222</v>
      </c>
      <c r="I415" s="13">
        <v>63.97</v>
      </c>
      <c r="J415" s="14" t="s">
        <v>8608</v>
      </c>
      <c r="K415" s="14">
        <v>8</v>
      </c>
      <c r="L415" s="14" t="s">
        <v>8609</v>
      </c>
      <c r="M415" s="14" t="s">
        <v>8617</v>
      </c>
      <c r="N415" s="14" t="s">
        <v>622</v>
      </c>
      <c r="O415" s="14" t="s">
        <v>2525</v>
      </c>
      <c r="P415" s="15">
        <v>1</v>
      </c>
      <c r="Q415" s="15">
        <v>219</v>
      </c>
      <c r="R415" s="14">
        <v>5</v>
      </c>
      <c r="S415" s="14" t="s">
        <v>50</v>
      </c>
    </row>
    <row r="416" spans="1:20" x14ac:dyDescent="0.25">
      <c r="A416" s="11">
        <v>42807</v>
      </c>
      <c r="B416" s="631" t="s">
        <v>8809</v>
      </c>
      <c r="C416" s="631">
        <v>38.037239999999997</v>
      </c>
      <c r="D416" s="631">
        <v>-122.13217</v>
      </c>
      <c r="E416" s="631" t="s">
        <v>9132</v>
      </c>
      <c r="F416" s="631" t="s">
        <v>80</v>
      </c>
      <c r="G416" s="631" t="s">
        <v>81</v>
      </c>
      <c r="H416" s="12">
        <v>0.58263888888888882</v>
      </c>
      <c r="I416" s="13">
        <v>62.75</v>
      </c>
      <c r="J416" s="14" t="s">
        <v>8608</v>
      </c>
      <c r="K416" s="14">
        <v>8</v>
      </c>
      <c r="L416" s="14" t="s">
        <v>8609</v>
      </c>
      <c r="M416" s="14" t="s">
        <v>8617</v>
      </c>
      <c r="N416" s="14" t="s">
        <v>50</v>
      </c>
      <c r="O416" s="14" t="s">
        <v>50</v>
      </c>
      <c r="P416" s="18">
        <v>0</v>
      </c>
      <c r="Q416" s="18" t="s">
        <v>50</v>
      </c>
      <c r="R416" s="14" t="s">
        <v>50</v>
      </c>
      <c r="S416" s="14" t="s">
        <v>50</v>
      </c>
    </row>
    <row r="417" spans="1:20" x14ac:dyDescent="0.25">
      <c r="A417" s="11">
        <v>42807</v>
      </c>
      <c r="B417" s="631" t="s">
        <v>8726</v>
      </c>
      <c r="C417" s="631">
        <v>38.030290000000001</v>
      </c>
      <c r="D417" s="631">
        <v>-121.56634</v>
      </c>
      <c r="E417" s="631" t="s">
        <v>9133</v>
      </c>
      <c r="F417" s="631" t="s">
        <v>46</v>
      </c>
      <c r="G417" s="631" t="s">
        <v>74</v>
      </c>
      <c r="H417" s="12">
        <v>0.32916666666666666</v>
      </c>
      <c r="I417" s="13">
        <v>10.75</v>
      </c>
      <c r="J417" s="14" t="s">
        <v>8608</v>
      </c>
      <c r="K417" s="14">
        <v>8</v>
      </c>
      <c r="L417" s="14" t="s">
        <v>8609</v>
      </c>
      <c r="M417" s="14" t="s">
        <v>8610</v>
      </c>
      <c r="N417" s="14" t="s">
        <v>50</v>
      </c>
      <c r="O417" s="14" t="s">
        <v>50</v>
      </c>
      <c r="P417" s="18">
        <v>0</v>
      </c>
      <c r="Q417" s="18" t="s">
        <v>50</v>
      </c>
      <c r="R417" s="14" t="s">
        <v>50</v>
      </c>
      <c r="S417" s="14" t="s">
        <v>50</v>
      </c>
      <c r="T417" s="5" t="s">
        <v>9134</v>
      </c>
    </row>
    <row r="418" spans="1:20" x14ac:dyDescent="0.25">
      <c r="A418" s="11">
        <v>42807</v>
      </c>
      <c r="B418" s="631" t="s">
        <v>8726</v>
      </c>
      <c r="C418" s="631">
        <v>38.007890000000003</v>
      </c>
      <c r="D418" s="631">
        <v>-121.54198</v>
      </c>
      <c r="E418" s="631" t="s">
        <v>9135</v>
      </c>
      <c r="F418" s="631" t="s">
        <v>46</v>
      </c>
      <c r="G418" s="631" t="s">
        <v>6939</v>
      </c>
      <c r="H418" s="12">
        <v>0.45069444444444445</v>
      </c>
      <c r="I418" s="13">
        <v>11.08</v>
      </c>
      <c r="J418" s="14" t="s">
        <v>8608</v>
      </c>
      <c r="K418" s="14">
        <v>8</v>
      </c>
      <c r="L418" s="14" t="s">
        <v>8609</v>
      </c>
      <c r="M418" s="14" t="s">
        <v>8610</v>
      </c>
      <c r="N418" s="14" t="s">
        <v>50</v>
      </c>
      <c r="O418" s="14" t="s">
        <v>50</v>
      </c>
      <c r="P418" s="18">
        <v>0</v>
      </c>
      <c r="Q418" s="18" t="s">
        <v>50</v>
      </c>
      <c r="R418" s="14" t="s">
        <v>50</v>
      </c>
      <c r="S418" s="14" t="s">
        <v>50</v>
      </c>
      <c r="T418" s="5" t="s">
        <v>9136</v>
      </c>
    </row>
    <row r="419" spans="1:20" x14ac:dyDescent="0.25">
      <c r="A419" s="11">
        <v>42807</v>
      </c>
      <c r="B419" s="631" t="s">
        <v>8726</v>
      </c>
      <c r="C419" s="631">
        <v>37.992489999999997</v>
      </c>
      <c r="D419" s="631">
        <v>-121.45347</v>
      </c>
      <c r="E419" s="631" t="s">
        <v>9137</v>
      </c>
      <c r="F419" s="631" t="s">
        <v>46</v>
      </c>
      <c r="G419" s="631" t="s">
        <v>6939</v>
      </c>
      <c r="H419" s="12">
        <v>0.32569444444444445</v>
      </c>
      <c r="I419" s="13">
        <v>18.920000000000002</v>
      </c>
      <c r="J419" s="14" t="s">
        <v>8608</v>
      </c>
      <c r="K419" s="14">
        <v>8</v>
      </c>
      <c r="L419" s="14" t="s">
        <v>8609</v>
      </c>
      <c r="M419" s="14" t="s">
        <v>8610</v>
      </c>
      <c r="N419" s="14" t="s">
        <v>50</v>
      </c>
      <c r="O419" s="14" t="s">
        <v>50</v>
      </c>
      <c r="P419" s="18">
        <v>0</v>
      </c>
      <c r="Q419" s="18" t="s">
        <v>50</v>
      </c>
      <c r="R419" s="14" t="s">
        <v>50</v>
      </c>
      <c r="S419" s="14" t="s">
        <v>50</v>
      </c>
      <c r="T419" s="5" t="s">
        <v>9138</v>
      </c>
    </row>
    <row r="420" spans="1:20" x14ac:dyDescent="0.25">
      <c r="A420" s="11">
        <v>42807</v>
      </c>
      <c r="B420" s="631" t="s">
        <v>8726</v>
      </c>
      <c r="C420" s="631">
        <v>37.939410000000002</v>
      </c>
      <c r="D420" s="631">
        <v>-121.54145</v>
      </c>
      <c r="E420" s="631" t="s">
        <v>9139</v>
      </c>
      <c r="F420" s="631" t="s">
        <v>46</v>
      </c>
      <c r="G420" s="631" t="s">
        <v>6926</v>
      </c>
      <c r="H420" s="12">
        <v>0.4381944444444445</v>
      </c>
      <c r="I420" s="13">
        <v>20.47</v>
      </c>
      <c r="J420" s="14" t="s">
        <v>8608</v>
      </c>
      <c r="K420" s="14">
        <v>8</v>
      </c>
      <c r="L420" s="14" t="s">
        <v>8609</v>
      </c>
      <c r="M420" s="14" t="s">
        <v>8610</v>
      </c>
      <c r="N420" s="14" t="s">
        <v>50</v>
      </c>
      <c r="O420" s="14" t="s">
        <v>50</v>
      </c>
      <c r="P420" s="18">
        <v>0</v>
      </c>
      <c r="Q420" s="18" t="s">
        <v>50</v>
      </c>
      <c r="R420" s="14" t="s">
        <v>50</v>
      </c>
      <c r="S420" s="14" t="s">
        <v>50</v>
      </c>
      <c r="T420" s="5" t="s">
        <v>8995</v>
      </c>
    </row>
    <row r="421" spans="1:20" x14ac:dyDescent="0.25">
      <c r="A421" s="11">
        <v>42808</v>
      </c>
      <c r="B421" s="631" t="s">
        <v>8726</v>
      </c>
      <c r="C421" s="631">
        <v>38.041269999999997</v>
      </c>
      <c r="D421" s="631">
        <v>-121.67438</v>
      </c>
      <c r="E421" s="631" t="s">
        <v>9140</v>
      </c>
      <c r="F421" s="631" t="s">
        <v>46</v>
      </c>
      <c r="G421" s="631" t="s">
        <v>47</v>
      </c>
      <c r="H421" s="12">
        <v>0.3298611111111111</v>
      </c>
      <c r="I421" s="13">
        <v>10.47</v>
      </c>
      <c r="J421" s="14" t="s">
        <v>8608</v>
      </c>
      <c r="K421" s="14">
        <v>8</v>
      </c>
      <c r="L421" s="14" t="s">
        <v>8609</v>
      </c>
      <c r="M421" s="14" t="s">
        <v>8610</v>
      </c>
      <c r="N421" s="14" t="s">
        <v>50</v>
      </c>
      <c r="O421" s="14" t="s">
        <v>50</v>
      </c>
      <c r="P421" s="15">
        <v>0</v>
      </c>
      <c r="Q421" s="15" t="s">
        <v>50</v>
      </c>
      <c r="R421" s="14" t="s">
        <v>50</v>
      </c>
      <c r="S421" s="14" t="s">
        <v>50</v>
      </c>
      <c r="T421" s="5" t="s">
        <v>9141</v>
      </c>
    </row>
    <row r="422" spans="1:20" x14ac:dyDescent="0.25">
      <c r="A422" s="11">
        <v>42808</v>
      </c>
      <c r="B422" s="631" t="s">
        <v>8809</v>
      </c>
      <c r="C422" s="631">
        <v>38.034649999999999</v>
      </c>
      <c r="D422" s="631">
        <v>-122.16101999999999</v>
      </c>
      <c r="E422" s="631" t="s">
        <v>9142</v>
      </c>
      <c r="F422" s="631" t="s">
        <v>80</v>
      </c>
      <c r="G422" s="631" t="s">
        <v>120</v>
      </c>
      <c r="H422" s="12">
        <v>0.33749999999999997</v>
      </c>
      <c r="I422" s="13">
        <v>75.209999999999994</v>
      </c>
      <c r="J422" s="14" t="s">
        <v>8608</v>
      </c>
      <c r="K422" s="14">
        <v>8</v>
      </c>
      <c r="L422" s="14" t="s">
        <v>8609</v>
      </c>
      <c r="M422" s="14" t="s">
        <v>8610</v>
      </c>
      <c r="N422" s="14" t="s">
        <v>50</v>
      </c>
      <c r="O422" s="14" t="s">
        <v>50</v>
      </c>
      <c r="P422" s="15">
        <v>0</v>
      </c>
      <c r="Q422" s="15" t="s">
        <v>50</v>
      </c>
      <c r="R422" s="14" t="s">
        <v>50</v>
      </c>
      <c r="S422" s="14" t="s">
        <v>50</v>
      </c>
    </row>
    <row r="423" spans="1:20" x14ac:dyDescent="0.25">
      <c r="A423" s="11">
        <v>42808</v>
      </c>
      <c r="B423" s="631" t="s">
        <v>8296</v>
      </c>
      <c r="C423" s="631">
        <v>38.06176</v>
      </c>
      <c r="D423" s="631">
        <v>-122.0401</v>
      </c>
      <c r="E423" s="631" t="s">
        <v>9143</v>
      </c>
      <c r="F423" s="631" t="s">
        <v>27</v>
      </c>
      <c r="G423" s="631" t="s">
        <v>86</v>
      </c>
      <c r="H423" s="12">
        <v>0.47430555555555554</v>
      </c>
      <c r="I423" s="13">
        <v>47.78</v>
      </c>
      <c r="J423" s="14" t="s">
        <v>8608</v>
      </c>
      <c r="K423" s="14">
        <v>5</v>
      </c>
      <c r="L423" s="14" t="s">
        <v>8625</v>
      </c>
      <c r="M423" s="14" t="s">
        <v>8610</v>
      </c>
      <c r="N423" s="14" t="s">
        <v>50</v>
      </c>
      <c r="O423" s="14" t="s">
        <v>50</v>
      </c>
      <c r="P423" s="15">
        <v>0</v>
      </c>
      <c r="Q423" s="15" t="s">
        <v>50</v>
      </c>
      <c r="R423" s="14" t="s">
        <v>50</v>
      </c>
      <c r="S423" s="14" t="s">
        <v>50</v>
      </c>
    </row>
    <row r="424" spans="1:20" x14ac:dyDescent="0.25">
      <c r="A424" s="11">
        <v>42808</v>
      </c>
      <c r="B424" s="631" t="s">
        <v>8726</v>
      </c>
      <c r="C424" s="631">
        <v>38.059950000000001</v>
      </c>
      <c r="D424" s="631">
        <v>-121.60626999999999</v>
      </c>
      <c r="E424" s="631" t="s">
        <v>9144</v>
      </c>
      <c r="F424" s="631" t="s">
        <v>46</v>
      </c>
      <c r="G424" s="631" t="s">
        <v>47</v>
      </c>
      <c r="H424" s="12">
        <v>0.44861111111111113</v>
      </c>
      <c r="I424" s="13">
        <v>14.43</v>
      </c>
      <c r="J424" s="14" t="s">
        <v>8608</v>
      </c>
      <c r="K424" s="14">
        <v>8</v>
      </c>
      <c r="L424" s="14" t="s">
        <v>8609</v>
      </c>
      <c r="M424" s="14" t="s">
        <v>8610</v>
      </c>
      <c r="N424" s="14" t="s">
        <v>50</v>
      </c>
      <c r="O424" s="14" t="s">
        <v>50</v>
      </c>
      <c r="P424" s="15">
        <v>0</v>
      </c>
      <c r="Q424" s="15" t="s">
        <v>50</v>
      </c>
      <c r="R424" s="14" t="s">
        <v>50</v>
      </c>
      <c r="S424" s="14" t="s">
        <v>50</v>
      </c>
    </row>
    <row r="425" spans="1:20" x14ac:dyDescent="0.25">
      <c r="A425" s="11">
        <v>42808</v>
      </c>
      <c r="B425" s="631" t="s">
        <v>8296</v>
      </c>
      <c r="C425" s="631">
        <v>38.058450000000001</v>
      </c>
      <c r="D425" s="631">
        <v>-122.00108</v>
      </c>
      <c r="E425" s="631" t="s">
        <v>9145</v>
      </c>
      <c r="F425" s="631" t="s">
        <v>27</v>
      </c>
      <c r="G425" s="631" t="s">
        <v>9146</v>
      </c>
      <c r="H425" s="12">
        <v>0.51597222222222217</v>
      </c>
      <c r="I425" s="13">
        <v>39.979999999999997</v>
      </c>
      <c r="J425" s="14" t="s">
        <v>8608</v>
      </c>
      <c r="K425" s="14">
        <v>5</v>
      </c>
      <c r="L425" s="14" t="s">
        <v>8625</v>
      </c>
      <c r="M425" s="14" t="s">
        <v>8610</v>
      </c>
      <c r="N425" s="14" t="s">
        <v>50</v>
      </c>
      <c r="O425" s="14" t="s">
        <v>50</v>
      </c>
      <c r="P425" s="15">
        <v>0</v>
      </c>
      <c r="Q425" s="15" t="s">
        <v>50</v>
      </c>
      <c r="R425" s="14" t="s">
        <v>50</v>
      </c>
      <c r="S425" s="14" t="s">
        <v>50</v>
      </c>
    </row>
    <row r="426" spans="1:20" x14ac:dyDescent="0.25">
      <c r="A426" s="11">
        <v>42808</v>
      </c>
      <c r="B426" s="631" t="s">
        <v>8726</v>
      </c>
      <c r="C426" s="631">
        <v>38.063659999999999</v>
      </c>
      <c r="D426" s="631">
        <v>-121.45868</v>
      </c>
      <c r="E426" s="631" t="s">
        <v>9147</v>
      </c>
      <c r="F426" s="631" t="s">
        <v>46</v>
      </c>
      <c r="G426" s="631" t="s">
        <v>6883</v>
      </c>
      <c r="H426" s="12">
        <v>0.31944444444444448</v>
      </c>
      <c r="I426" s="13">
        <v>12.54</v>
      </c>
      <c r="J426" s="14" t="s">
        <v>8608</v>
      </c>
      <c r="K426" s="14">
        <v>8</v>
      </c>
      <c r="L426" s="14" t="s">
        <v>8609</v>
      </c>
      <c r="M426" s="14" t="s">
        <v>8610</v>
      </c>
      <c r="N426" s="14" t="s">
        <v>702</v>
      </c>
      <c r="O426" s="14" t="s">
        <v>228</v>
      </c>
      <c r="P426" s="15">
        <v>1</v>
      </c>
      <c r="Q426" s="15">
        <v>53</v>
      </c>
      <c r="R426" s="14">
        <v>3</v>
      </c>
      <c r="S426" s="14" t="s">
        <v>50</v>
      </c>
      <c r="T426" s="5" t="s">
        <v>9148</v>
      </c>
    </row>
    <row r="427" spans="1:20" x14ac:dyDescent="0.25">
      <c r="A427" s="11">
        <v>42808</v>
      </c>
      <c r="B427" s="631" t="s">
        <v>8726</v>
      </c>
      <c r="C427" s="631">
        <v>38.007469999999998</v>
      </c>
      <c r="D427" s="631">
        <v>-121.39619999999999</v>
      </c>
      <c r="E427" s="631" t="s">
        <v>9149</v>
      </c>
      <c r="F427" s="631" t="s">
        <v>46</v>
      </c>
      <c r="G427" s="631" t="s">
        <v>6883</v>
      </c>
      <c r="H427" s="12">
        <v>0.44444444444444442</v>
      </c>
      <c r="I427" s="13">
        <v>17.600000000000001</v>
      </c>
      <c r="J427" s="14" t="s">
        <v>8608</v>
      </c>
      <c r="K427" s="14">
        <v>8</v>
      </c>
      <c r="L427" s="14" t="s">
        <v>8609</v>
      </c>
      <c r="M427" s="14" t="s">
        <v>8610</v>
      </c>
      <c r="N427" s="14" t="s">
        <v>50</v>
      </c>
      <c r="O427" s="14" t="s">
        <v>50</v>
      </c>
      <c r="P427" s="15">
        <v>0</v>
      </c>
      <c r="Q427" s="15" t="s">
        <v>50</v>
      </c>
      <c r="R427" s="14" t="s">
        <v>50</v>
      </c>
      <c r="S427" s="14" t="s">
        <v>50</v>
      </c>
      <c r="T427" s="5" t="s">
        <v>9150</v>
      </c>
    </row>
    <row r="428" spans="1:20" x14ac:dyDescent="0.25">
      <c r="A428" s="11">
        <v>42808</v>
      </c>
      <c r="B428" s="631" t="s">
        <v>8809</v>
      </c>
      <c r="C428" s="631">
        <v>38.059229999999999</v>
      </c>
      <c r="D428" s="631">
        <v>-122.10977</v>
      </c>
      <c r="E428" s="631" t="s">
        <v>9151</v>
      </c>
      <c r="F428" s="631" t="s">
        <v>80</v>
      </c>
      <c r="G428" s="631" t="s">
        <v>81</v>
      </c>
      <c r="H428" s="12">
        <v>0.5625</v>
      </c>
      <c r="I428" s="13">
        <v>49.8</v>
      </c>
      <c r="J428" s="14" t="s">
        <v>8608</v>
      </c>
      <c r="K428" s="14">
        <v>2</v>
      </c>
      <c r="L428" s="14" t="s">
        <v>8609</v>
      </c>
      <c r="M428" s="14" t="s">
        <v>8617</v>
      </c>
      <c r="N428" s="14" t="s">
        <v>323</v>
      </c>
      <c r="O428" s="14" t="s">
        <v>228</v>
      </c>
      <c r="P428" s="15">
        <v>1</v>
      </c>
      <c r="Q428" s="15">
        <v>75</v>
      </c>
      <c r="R428" s="14" t="s">
        <v>50</v>
      </c>
      <c r="S428" s="14" t="s">
        <v>8613</v>
      </c>
    </row>
    <row r="429" spans="1:20" x14ac:dyDescent="0.25">
      <c r="A429" s="11">
        <v>42809</v>
      </c>
      <c r="B429" s="631" t="s">
        <v>8606</v>
      </c>
      <c r="C429" s="631">
        <v>38.041150000000002</v>
      </c>
      <c r="D429" s="631">
        <v>-121.49996</v>
      </c>
      <c r="E429" s="631" t="s">
        <v>9152</v>
      </c>
      <c r="F429" s="631" t="s">
        <v>46</v>
      </c>
      <c r="G429" s="631" t="s">
        <v>8615</v>
      </c>
      <c r="H429" s="12">
        <v>0.31597222222222221</v>
      </c>
      <c r="I429" s="13">
        <v>11.86</v>
      </c>
      <c r="J429" s="14" t="s">
        <v>8608</v>
      </c>
      <c r="K429" s="14">
        <v>5</v>
      </c>
      <c r="L429" s="14" t="s">
        <v>8609</v>
      </c>
      <c r="M429" s="14" t="s">
        <v>8610</v>
      </c>
      <c r="N429" s="14" t="s">
        <v>50</v>
      </c>
      <c r="O429" s="14" t="s">
        <v>50</v>
      </c>
      <c r="P429" s="15">
        <v>0</v>
      </c>
      <c r="Q429" s="15" t="s">
        <v>50</v>
      </c>
      <c r="R429" s="14" t="s">
        <v>50</v>
      </c>
      <c r="S429" s="14" t="s">
        <v>50</v>
      </c>
    </row>
    <row r="430" spans="1:20" x14ac:dyDescent="0.25">
      <c r="A430" s="11">
        <v>42809</v>
      </c>
      <c r="B430" s="631" t="s">
        <v>8606</v>
      </c>
      <c r="C430" s="631">
        <v>38.1036</v>
      </c>
      <c r="D430" s="631">
        <v>-121.59895</v>
      </c>
      <c r="E430" s="631" t="s">
        <v>9153</v>
      </c>
      <c r="F430" s="631" t="s">
        <v>46</v>
      </c>
      <c r="G430" s="631" t="s">
        <v>8615</v>
      </c>
      <c r="H430" s="12">
        <v>0.38819444444444445</v>
      </c>
      <c r="I430" s="13">
        <v>20.58</v>
      </c>
      <c r="J430" s="14" t="s">
        <v>8608</v>
      </c>
      <c r="K430" s="14">
        <v>5</v>
      </c>
      <c r="L430" s="14" t="s">
        <v>8609</v>
      </c>
      <c r="M430" s="14" t="s">
        <v>8610</v>
      </c>
      <c r="N430" s="14" t="s">
        <v>50</v>
      </c>
      <c r="O430" s="14" t="s">
        <v>50</v>
      </c>
      <c r="P430" s="15">
        <v>0</v>
      </c>
      <c r="Q430" s="15" t="s">
        <v>50</v>
      </c>
      <c r="R430" s="14" t="s">
        <v>50</v>
      </c>
      <c r="S430" s="14" t="s">
        <v>50</v>
      </c>
    </row>
    <row r="431" spans="1:20" x14ac:dyDescent="0.25">
      <c r="A431" s="11">
        <v>42809</v>
      </c>
      <c r="B431" s="631" t="s">
        <v>8606</v>
      </c>
      <c r="C431" s="631">
        <v>38.088430000000002</v>
      </c>
      <c r="D431" s="631">
        <v>-121.62648</v>
      </c>
      <c r="E431" s="631" t="s">
        <v>9154</v>
      </c>
      <c r="F431" s="631" t="s">
        <v>46</v>
      </c>
      <c r="G431" s="631" t="s">
        <v>97</v>
      </c>
      <c r="H431" s="12">
        <v>0.44791666666666669</v>
      </c>
      <c r="I431" s="13">
        <v>28.16</v>
      </c>
      <c r="J431" s="14" t="s">
        <v>8608</v>
      </c>
      <c r="K431" s="14">
        <v>5</v>
      </c>
      <c r="L431" s="14" t="s">
        <v>8609</v>
      </c>
      <c r="M431" s="14" t="s">
        <v>8610</v>
      </c>
      <c r="N431" s="14" t="s">
        <v>50</v>
      </c>
      <c r="O431" s="14" t="s">
        <v>50</v>
      </c>
      <c r="P431" s="15">
        <v>0</v>
      </c>
      <c r="Q431" s="15" t="s">
        <v>50</v>
      </c>
      <c r="R431" s="14" t="s">
        <v>50</v>
      </c>
      <c r="S431" s="14" t="s">
        <v>50</v>
      </c>
      <c r="T431" s="5" t="s">
        <v>9155</v>
      </c>
    </row>
    <row r="432" spans="1:20" x14ac:dyDescent="0.25">
      <c r="A432" s="11">
        <v>42809</v>
      </c>
      <c r="B432" s="631" t="s">
        <v>8606</v>
      </c>
      <c r="C432" s="631">
        <v>38.098109999999998</v>
      </c>
      <c r="D432" s="16">
        <v>-121.63186</v>
      </c>
      <c r="E432" s="631" t="s">
        <v>9156</v>
      </c>
      <c r="F432" s="631" t="s">
        <v>46</v>
      </c>
      <c r="G432" s="631" t="s">
        <v>97</v>
      </c>
      <c r="H432" s="12">
        <v>0.51041666666666663</v>
      </c>
      <c r="I432" s="13">
        <v>21.5</v>
      </c>
      <c r="J432" s="14" t="s">
        <v>8608</v>
      </c>
      <c r="K432" s="14">
        <v>5</v>
      </c>
      <c r="L432" s="14" t="s">
        <v>8609</v>
      </c>
      <c r="M432" s="14" t="s">
        <v>8610</v>
      </c>
      <c r="N432" s="14" t="s">
        <v>50</v>
      </c>
      <c r="O432" s="14" t="s">
        <v>50</v>
      </c>
      <c r="P432" s="15">
        <v>0</v>
      </c>
      <c r="Q432" s="15" t="s">
        <v>50</v>
      </c>
      <c r="R432" s="14" t="s">
        <v>50</v>
      </c>
      <c r="S432" s="14" t="s">
        <v>50</v>
      </c>
    </row>
    <row r="433" spans="1:20" x14ac:dyDescent="0.25">
      <c r="A433" s="11">
        <v>42809</v>
      </c>
      <c r="B433" s="631" t="s">
        <v>8296</v>
      </c>
      <c r="C433" s="631">
        <v>38.042090000000002</v>
      </c>
      <c r="D433" s="631">
        <v>-121.90943</v>
      </c>
      <c r="E433" s="631" t="s">
        <v>9157</v>
      </c>
      <c r="F433" s="631" t="s">
        <v>27</v>
      </c>
      <c r="G433" s="631" t="s">
        <v>170</v>
      </c>
      <c r="H433" s="12">
        <v>0.3354166666666667</v>
      </c>
      <c r="I433" s="13">
        <v>36.159999999999997</v>
      </c>
      <c r="J433" s="14" t="s">
        <v>8608</v>
      </c>
      <c r="K433" s="14">
        <v>5</v>
      </c>
      <c r="L433" s="14" t="s">
        <v>8625</v>
      </c>
      <c r="M433" s="14" t="s">
        <v>8610</v>
      </c>
      <c r="N433" s="14" t="s">
        <v>50</v>
      </c>
      <c r="O433" s="14" t="s">
        <v>50</v>
      </c>
      <c r="P433" s="15">
        <v>0</v>
      </c>
      <c r="Q433" s="15" t="s">
        <v>50</v>
      </c>
      <c r="R433" s="14" t="s">
        <v>50</v>
      </c>
      <c r="S433" s="14" t="s">
        <v>50</v>
      </c>
    </row>
    <row r="434" spans="1:20" x14ac:dyDescent="0.25">
      <c r="A434" s="11">
        <v>42809</v>
      </c>
      <c r="B434" s="631" t="s">
        <v>8296</v>
      </c>
      <c r="C434" s="631">
        <v>38.045270000000002</v>
      </c>
      <c r="D434" s="631">
        <v>-121.70179</v>
      </c>
      <c r="E434" s="631" t="s">
        <v>9158</v>
      </c>
      <c r="F434" s="631" t="s">
        <v>27</v>
      </c>
      <c r="G434" s="631" t="s">
        <v>95</v>
      </c>
      <c r="H434" s="12">
        <v>0.39999999999999997</v>
      </c>
      <c r="I434" s="13">
        <v>26.56</v>
      </c>
      <c r="J434" s="14" t="s">
        <v>8608</v>
      </c>
      <c r="K434" s="14">
        <v>5</v>
      </c>
      <c r="L434" s="14" t="s">
        <v>8625</v>
      </c>
      <c r="M434" s="14" t="s">
        <v>8610</v>
      </c>
      <c r="N434" s="14" t="s">
        <v>50</v>
      </c>
      <c r="O434" s="14" t="s">
        <v>50</v>
      </c>
      <c r="P434" s="15">
        <v>0</v>
      </c>
      <c r="Q434" s="15" t="s">
        <v>50</v>
      </c>
      <c r="R434" s="14" t="s">
        <v>50</v>
      </c>
      <c r="S434" s="14" t="s">
        <v>50</v>
      </c>
    </row>
    <row r="435" spans="1:20" x14ac:dyDescent="0.25">
      <c r="A435" s="11">
        <v>42809</v>
      </c>
      <c r="B435" s="631" t="s">
        <v>8296</v>
      </c>
      <c r="C435" s="631">
        <v>38.033180000000002</v>
      </c>
      <c r="D435" s="631">
        <v>-121.71836</v>
      </c>
      <c r="E435" s="631" t="s">
        <v>9159</v>
      </c>
      <c r="F435" s="631" t="s">
        <v>27</v>
      </c>
      <c r="G435" s="631" t="s">
        <v>95</v>
      </c>
      <c r="H435" s="12">
        <v>0.45416666666666666</v>
      </c>
      <c r="I435" s="13">
        <v>27.58</v>
      </c>
      <c r="J435" s="14" t="s">
        <v>8608</v>
      </c>
      <c r="K435" s="14">
        <v>5</v>
      </c>
      <c r="L435" s="14" t="s">
        <v>8625</v>
      </c>
      <c r="M435" s="14" t="s">
        <v>8610</v>
      </c>
      <c r="N435" s="14" t="s">
        <v>50</v>
      </c>
      <c r="O435" s="14" t="s">
        <v>50</v>
      </c>
      <c r="P435" s="15">
        <v>0</v>
      </c>
      <c r="Q435" s="15" t="s">
        <v>50</v>
      </c>
      <c r="R435" s="14" t="s">
        <v>50</v>
      </c>
      <c r="S435" s="14" t="s">
        <v>50</v>
      </c>
    </row>
    <row r="436" spans="1:20" x14ac:dyDescent="0.25">
      <c r="A436" s="11">
        <v>42809</v>
      </c>
      <c r="B436" s="631" t="s">
        <v>8296</v>
      </c>
      <c r="C436" s="631">
        <v>38.061030000000002</v>
      </c>
      <c r="D436" s="631">
        <v>-121.85822</v>
      </c>
      <c r="E436" s="631" t="s">
        <v>9083</v>
      </c>
      <c r="F436" s="631" t="s">
        <v>27</v>
      </c>
      <c r="G436" s="631" t="s">
        <v>25</v>
      </c>
      <c r="H436" s="12">
        <v>0.51111111111111118</v>
      </c>
      <c r="I436" s="13">
        <v>35.4</v>
      </c>
      <c r="J436" s="14" t="s">
        <v>8608</v>
      </c>
      <c r="K436" s="14">
        <v>5</v>
      </c>
      <c r="L436" s="14" t="s">
        <v>8625</v>
      </c>
      <c r="M436" s="14" t="s">
        <v>8610</v>
      </c>
      <c r="N436" s="14" t="s">
        <v>622</v>
      </c>
      <c r="O436" s="14" t="s">
        <v>2525</v>
      </c>
      <c r="P436" s="18">
        <v>1</v>
      </c>
      <c r="Q436" s="18" t="s">
        <v>50</v>
      </c>
      <c r="R436" s="14" t="s">
        <v>50</v>
      </c>
      <c r="S436" s="14" t="s">
        <v>50</v>
      </c>
      <c r="T436" s="5" t="s">
        <v>5125</v>
      </c>
    </row>
    <row r="437" spans="1:20" x14ac:dyDescent="0.25">
      <c r="A437" s="11">
        <v>42809</v>
      </c>
      <c r="B437" s="631" t="s">
        <v>8809</v>
      </c>
      <c r="C437" s="631">
        <v>38.357619999999997</v>
      </c>
      <c r="D437" s="631">
        <v>-121.52682</v>
      </c>
      <c r="E437" s="631" t="s">
        <v>9160</v>
      </c>
      <c r="F437" s="631" t="s">
        <v>90</v>
      </c>
      <c r="G437" s="631" t="s">
        <v>6851</v>
      </c>
      <c r="H437" s="21">
        <v>0.38472222222222219</v>
      </c>
      <c r="I437" s="4">
        <v>63.01</v>
      </c>
      <c r="J437" s="631" t="s">
        <v>8608</v>
      </c>
      <c r="K437" s="631">
        <v>8</v>
      </c>
      <c r="L437" s="631" t="s">
        <v>8609</v>
      </c>
      <c r="M437" s="631" t="s">
        <v>8610</v>
      </c>
      <c r="N437" s="631" t="s">
        <v>702</v>
      </c>
      <c r="O437" s="16" t="s">
        <v>228</v>
      </c>
      <c r="P437" s="631">
        <v>9</v>
      </c>
      <c r="Q437" s="631" t="s">
        <v>9161</v>
      </c>
      <c r="R437" s="631">
        <v>3</v>
      </c>
      <c r="S437" s="631" t="s">
        <v>50</v>
      </c>
    </row>
    <row r="438" spans="1:20" x14ac:dyDescent="0.25">
      <c r="A438" s="11">
        <v>42809</v>
      </c>
      <c r="B438" s="631" t="s">
        <v>8809</v>
      </c>
      <c r="C438" s="631">
        <v>38.357619999999997</v>
      </c>
      <c r="D438" s="631">
        <v>-121.52682</v>
      </c>
      <c r="E438" s="631" t="s">
        <v>9160</v>
      </c>
      <c r="F438" s="631" t="s">
        <v>90</v>
      </c>
      <c r="G438" s="631" t="s">
        <v>6851</v>
      </c>
      <c r="H438" s="631"/>
      <c r="J438" s="631"/>
      <c r="K438" s="631"/>
      <c r="L438" s="631"/>
      <c r="M438" s="631"/>
      <c r="N438" s="631" t="s">
        <v>758</v>
      </c>
      <c r="O438" s="16" t="s">
        <v>228</v>
      </c>
      <c r="P438" s="631">
        <v>1</v>
      </c>
      <c r="Q438" s="631">
        <v>117</v>
      </c>
      <c r="R438" s="631">
        <v>5</v>
      </c>
      <c r="S438" s="631" t="s">
        <v>50</v>
      </c>
    </row>
    <row r="439" spans="1:20" x14ac:dyDescent="0.25">
      <c r="A439" s="11">
        <v>42809</v>
      </c>
      <c r="B439" s="631" t="s">
        <v>8809</v>
      </c>
      <c r="C439" s="631">
        <v>38.357619999999997</v>
      </c>
      <c r="D439" s="631">
        <v>-121.52682</v>
      </c>
      <c r="E439" s="631" t="s">
        <v>9160</v>
      </c>
      <c r="F439" s="631" t="s">
        <v>90</v>
      </c>
      <c r="G439" s="631" t="s">
        <v>6851</v>
      </c>
      <c r="H439" s="631"/>
      <c r="J439" s="631"/>
      <c r="K439" s="631"/>
      <c r="L439" s="631"/>
      <c r="M439" s="631"/>
      <c r="N439" s="631" t="s">
        <v>3280</v>
      </c>
      <c r="O439" s="16" t="s">
        <v>228</v>
      </c>
      <c r="P439" s="631">
        <v>1</v>
      </c>
      <c r="Q439" s="631">
        <v>71</v>
      </c>
      <c r="R439" s="631">
        <v>3</v>
      </c>
      <c r="S439" s="631" t="s">
        <v>50</v>
      </c>
    </row>
    <row r="440" spans="1:20" x14ac:dyDescent="0.25">
      <c r="A440" s="20">
        <v>42810</v>
      </c>
      <c r="B440" s="631" t="s">
        <v>8296</v>
      </c>
      <c r="C440" s="631">
        <v>38.127040000000001</v>
      </c>
      <c r="D440" s="631">
        <v>-121.91509000000001</v>
      </c>
      <c r="E440" s="631" t="s">
        <v>9162</v>
      </c>
      <c r="F440" s="631" t="s">
        <v>27</v>
      </c>
      <c r="G440" s="631" t="s">
        <v>62</v>
      </c>
      <c r="H440" s="21">
        <v>0.36041666666666666</v>
      </c>
      <c r="I440" s="4">
        <v>44.52</v>
      </c>
      <c r="J440" s="631" t="s">
        <v>8608</v>
      </c>
      <c r="K440" s="631">
        <v>5</v>
      </c>
      <c r="L440" s="631" t="s">
        <v>8625</v>
      </c>
      <c r="M440" s="631" t="s">
        <v>8610</v>
      </c>
      <c r="N440" s="631" t="s">
        <v>50</v>
      </c>
      <c r="O440" s="631" t="s">
        <v>50</v>
      </c>
      <c r="P440" s="631">
        <v>0</v>
      </c>
      <c r="Q440" s="631" t="s">
        <v>50</v>
      </c>
      <c r="R440" s="631" t="s">
        <v>50</v>
      </c>
      <c r="S440" s="631" t="s">
        <v>50</v>
      </c>
    </row>
    <row r="441" spans="1:20" x14ac:dyDescent="0.25">
      <c r="A441" s="20">
        <v>42810</v>
      </c>
      <c r="B441" s="631" t="s">
        <v>8296</v>
      </c>
      <c r="C441" s="631">
        <v>38.171219999999998</v>
      </c>
      <c r="D441" s="631">
        <v>-122.01863</v>
      </c>
      <c r="E441" s="631" t="s">
        <v>9163</v>
      </c>
      <c r="F441" s="631" t="s">
        <v>27</v>
      </c>
      <c r="G441" s="631" t="s">
        <v>62</v>
      </c>
      <c r="H441" s="21">
        <v>0.42291666666666666</v>
      </c>
      <c r="I441" s="4">
        <v>83.7</v>
      </c>
      <c r="J441" s="631" t="s">
        <v>8608</v>
      </c>
      <c r="K441" s="631">
        <v>5</v>
      </c>
      <c r="L441" s="631" t="s">
        <v>8625</v>
      </c>
      <c r="M441" s="631" t="s">
        <v>8610</v>
      </c>
      <c r="N441" s="631" t="s">
        <v>3280</v>
      </c>
      <c r="O441" s="631" t="s">
        <v>228</v>
      </c>
      <c r="P441" s="631">
        <v>1</v>
      </c>
      <c r="Q441" s="631">
        <v>69</v>
      </c>
      <c r="R441" s="631">
        <v>4</v>
      </c>
      <c r="S441" s="631" t="s">
        <v>50</v>
      </c>
    </row>
    <row r="442" spans="1:20" x14ac:dyDescent="0.25">
      <c r="A442" s="20">
        <v>42810</v>
      </c>
      <c r="B442" s="631" t="s">
        <v>8296</v>
      </c>
      <c r="C442" s="631">
        <v>38.171219999999998</v>
      </c>
      <c r="D442" s="631">
        <v>-122.01863</v>
      </c>
      <c r="E442" s="631" t="s">
        <v>9163</v>
      </c>
      <c r="F442" s="631" t="s">
        <v>27</v>
      </c>
      <c r="G442" s="631" t="s">
        <v>62</v>
      </c>
      <c r="H442" s="631"/>
      <c r="J442" s="631"/>
      <c r="K442" s="631"/>
      <c r="L442" s="631"/>
      <c r="M442" s="631"/>
      <c r="N442" s="631" t="s">
        <v>702</v>
      </c>
      <c r="O442" s="631" t="s">
        <v>228</v>
      </c>
      <c r="P442" s="631">
        <v>2</v>
      </c>
      <c r="Q442" s="631" t="s">
        <v>9164</v>
      </c>
      <c r="R442" s="631">
        <v>3</v>
      </c>
      <c r="S442" s="631" t="s">
        <v>50</v>
      </c>
    </row>
    <row r="443" spans="1:20" x14ac:dyDescent="0.25">
      <c r="A443" s="20">
        <v>42810</v>
      </c>
      <c r="B443" s="631" t="s">
        <v>8296</v>
      </c>
      <c r="C443" s="631">
        <v>38.105499999999999</v>
      </c>
      <c r="D443" s="631">
        <v>-122.05834</v>
      </c>
      <c r="E443" s="631" t="s">
        <v>9165</v>
      </c>
      <c r="F443" s="631" t="s">
        <v>27</v>
      </c>
      <c r="G443" s="631" t="s">
        <v>86</v>
      </c>
      <c r="H443" s="21">
        <v>0.4770833333333333</v>
      </c>
      <c r="I443" s="4">
        <v>103.64</v>
      </c>
      <c r="J443" s="631" t="s">
        <v>8608</v>
      </c>
      <c r="K443" s="631">
        <v>5</v>
      </c>
      <c r="L443" s="631" t="s">
        <v>8625</v>
      </c>
      <c r="M443" s="631" t="s">
        <v>8610</v>
      </c>
      <c r="N443" s="631" t="s">
        <v>3280</v>
      </c>
      <c r="O443" s="631" t="s">
        <v>228</v>
      </c>
      <c r="P443" s="631">
        <v>1</v>
      </c>
      <c r="Q443" s="631">
        <v>74</v>
      </c>
      <c r="R443" s="631">
        <v>4</v>
      </c>
      <c r="S443" s="631" t="s">
        <v>50</v>
      </c>
    </row>
    <row r="444" spans="1:20" x14ac:dyDescent="0.25">
      <c r="A444" s="20">
        <v>42810</v>
      </c>
      <c r="B444" s="631" t="s">
        <v>8606</v>
      </c>
      <c r="C444" s="631">
        <v>38.077190000000002</v>
      </c>
      <c r="D444" s="631">
        <v>-121.56518</v>
      </c>
      <c r="E444" s="631" t="s">
        <v>9166</v>
      </c>
      <c r="F444" s="631" t="s">
        <v>46</v>
      </c>
      <c r="G444" s="631" t="s">
        <v>8615</v>
      </c>
      <c r="H444" s="21">
        <v>0.31111111111111112</v>
      </c>
      <c r="I444" s="4">
        <v>18.38</v>
      </c>
      <c r="J444" s="631" t="s">
        <v>8608</v>
      </c>
      <c r="K444" s="631">
        <v>5</v>
      </c>
      <c r="L444" s="631" t="s">
        <v>8609</v>
      </c>
      <c r="M444" s="631" t="s">
        <v>8617</v>
      </c>
      <c r="N444" s="631" t="s">
        <v>702</v>
      </c>
      <c r="O444" s="631" t="s">
        <v>228</v>
      </c>
      <c r="P444" s="631">
        <v>1</v>
      </c>
      <c r="Q444" s="631">
        <v>59</v>
      </c>
      <c r="R444" s="631">
        <v>3</v>
      </c>
      <c r="S444" s="631" t="s">
        <v>50</v>
      </c>
    </row>
    <row r="445" spans="1:20" x14ac:dyDescent="0.25">
      <c r="A445" s="20">
        <v>42810</v>
      </c>
      <c r="B445" s="631" t="s">
        <v>8606</v>
      </c>
      <c r="C445" s="631">
        <v>38.088320000000003</v>
      </c>
      <c r="D445" s="631">
        <v>-121.57817</v>
      </c>
      <c r="E445" s="631" t="s">
        <v>9167</v>
      </c>
      <c r="F445" s="631" t="s">
        <v>46</v>
      </c>
      <c r="G445" s="631" t="s">
        <v>8615</v>
      </c>
      <c r="H445" s="21">
        <v>0.3743055555555555</v>
      </c>
      <c r="I445" s="4">
        <v>17.2</v>
      </c>
      <c r="J445" s="631" t="s">
        <v>8608</v>
      </c>
      <c r="K445" s="631">
        <v>5</v>
      </c>
      <c r="L445" s="631" t="s">
        <v>8609</v>
      </c>
      <c r="M445" s="631" t="s">
        <v>8610</v>
      </c>
      <c r="N445" s="631" t="s">
        <v>50</v>
      </c>
      <c r="O445" s="631" t="s">
        <v>50</v>
      </c>
      <c r="P445" s="631">
        <v>0</v>
      </c>
      <c r="Q445" s="631" t="s">
        <v>50</v>
      </c>
      <c r="R445" s="631" t="s">
        <v>50</v>
      </c>
      <c r="S445" s="631" t="s">
        <v>50</v>
      </c>
    </row>
    <row r="446" spans="1:20" x14ac:dyDescent="0.25">
      <c r="A446" s="20">
        <v>42810</v>
      </c>
      <c r="B446" s="631" t="s">
        <v>8606</v>
      </c>
      <c r="C446" s="631">
        <v>38.059820000000002</v>
      </c>
      <c r="D446" s="631">
        <v>-121.68565</v>
      </c>
      <c r="E446" s="631" t="s">
        <v>9168</v>
      </c>
      <c r="F446" s="631" t="s">
        <v>46</v>
      </c>
      <c r="G446" s="631" t="s">
        <v>97</v>
      </c>
      <c r="H446" s="21">
        <v>0.43958333333333338</v>
      </c>
      <c r="I446" s="4">
        <v>27.43</v>
      </c>
      <c r="J446" s="631" t="s">
        <v>8608</v>
      </c>
      <c r="K446" s="631">
        <v>3</v>
      </c>
      <c r="L446" s="631" t="s">
        <v>8609</v>
      </c>
      <c r="M446" s="631" t="s">
        <v>8610</v>
      </c>
      <c r="N446" s="631" t="s">
        <v>323</v>
      </c>
      <c r="O446" s="631" t="s">
        <v>228</v>
      </c>
      <c r="P446" s="631">
        <v>1</v>
      </c>
      <c r="Q446" s="631">
        <v>73</v>
      </c>
      <c r="R446" s="631" t="s">
        <v>50</v>
      </c>
      <c r="S446" s="631" t="s">
        <v>8613</v>
      </c>
    </row>
    <row r="447" spans="1:20" x14ac:dyDescent="0.25">
      <c r="A447" s="20">
        <v>42810</v>
      </c>
      <c r="B447" s="631" t="s">
        <v>8809</v>
      </c>
      <c r="C447" s="631">
        <v>38.0837</v>
      </c>
      <c r="D447" s="631">
        <v>-121.54113</v>
      </c>
      <c r="E447" s="631" t="s">
        <v>9169</v>
      </c>
      <c r="F447" s="631" t="s">
        <v>90</v>
      </c>
      <c r="G447" s="631" t="s">
        <v>6892</v>
      </c>
      <c r="H447" s="21">
        <v>0.30694444444444441</v>
      </c>
      <c r="I447" s="4">
        <v>16.05</v>
      </c>
      <c r="J447" s="631" t="s">
        <v>8608</v>
      </c>
      <c r="K447" s="631">
        <v>8</v>
      </c>
      <c r="L447" s="631" t="s">
        <v>8609</v>
      </c>
      <c r="M447" s="631" t="s">
        <v>8610</v>
      </c>
      <c r="N447" s="631" t="s">
        <v>702</v>
      </c>
      <c r="O447" s="631" t="s">
        <v>228</v>
      </c>
      <c r="P447" s="631">
        <v>2</v>
      </c>
      <c r="Q447" s="631" t="s">
        <v>9170</v>
      </c>
      <c r="R447" s="631">
        <v>3</v>
      </c>
      <c r="S447" s="631" t="s">
        <v>50</v>
      </c>
    </row>
    <row r="448" spans="1:20" x14ac:dyDescent="0.25">
      <c r="A448" s="20">
        <v>42810</v>
      </c>
      <c r="B448" s="631" t="s">
        <v>8809</v>
      </c>
      <c r="C448" s="16">
        <v>38.123159999999999</v>
      </c>
      <c r="D448" s="16">
        <v>-121.52078</v>
      </c>
      <c r="E448" s="631" t="s">
        <v>9171</v>
      </c>
      <c r="F448" s="631" t="s">
        <v>46</v>
      </c>
      <c r="G448" s="631" t="s">
        <v>6881</v>
      </c>
      <c r="H448" s="21">
        <v>0.42152777777777778</v>
      </c>
      <c r="I448" s="4">
        <v>19.45</v>
      </c>
      <c r="J448" s="631" t="s">
        <v>8608</v>
      </c>
      <c r="K448" s="631">
        <v>8</v>
      </c>
      <c r="L448" s="631" t="s">
        <v>8609</v>
      </c>
      <c r="M448" s="631" t="s">
        <v>8610</v>
      </c>
      <c r="N448" s="631" t="s">
        <v>758</v>
      </c>
      <c r="O448" s="631" t="s">
        <v>228</v>
      </c>
      <c r="P448" s="631">
        <v>1</v>
      </c>
      <c r="Q448" s="631">
        <v>105</v>
      </c>
      <c r="R448" s="631">
        <v>5</v>
      </c>
      <c r="S448" s="631" t="s">
        <v>50</v>
      </c>
    </row>
    <row r="449" spans="1:20" x14ac:dyDescent="0.25">
      <c r="A449" s="20">
        <v>42810</v>
      </c>
      <c r="B449" s="631" t="s">
        <v>8606</v>
      </c>
      <c r="C449" s="631">
        <v>38.084569999999999</v>
      </c>
      <c r="D449" s="631">
        <v>-121.67697</v>
      </c>
      <c r="E449" s="631" t="s">
        <v>9172</v>
      </c>
      <c r="F449" s="631" t="s">
        <v>46</v>
      </c>
      <c r="G449" s="631" t="s">
        <v>97</v>
      </c>
      <c r="H449" s="21">
        <v>0.4770833333333333</v>
      </c>
      <c r="I449" s="4">
        <v>30.28</v>
      </c>
      <c r="J449" s="631" t="s">
        <v>8608</v>
      </c>
      <c r="K449" s="631">
        <v>5</v>
      </c>
      <c r="L449" s="631" t="s">
        <v>8609</v>
      </c>
      <c r="M449" s="631" t="s">
        <v>8610</v>
      </c>
      <c r="N449" s="631" t="s">
        <v>50</v>
      </c>
      <c r="O449" s="631" t="s">
        <v>50</v>
      </c>
      <c r="P449" s="631">
        <v>0</v>
      </c>
      <c r="Q449" s="631" t="s">
        <v>50</v>
      </c>
      <c r="R449" s="631" t="s">
        <v>50</v>
      </c>
      <c r="S449" s="631" t="s">
        <v>50</v>
      </c>
    </row>
    <row r="450" spans="1:20" x14ac:dyDescent="0.25">
      <c r="A450" s="20">
        <v>42814</v>
      </c>
      <c r="B450" s="631" t="s">
        <v>8809</v>
      </c>
      <c r="C450" s="631">
        <v>38.193449999999999</v>
      </c>
      <c r="D450" s="631">
        <v>-121.47951999999999</v>
      </c>
      <c r="E450" s="631" t="s">
        <v>9173</v>
      </c>
      <c r="F450" s="631" t="s">
        <v>46</v>
      </c>
      <c r="G450" s="631" t="s">
        <v>6881</v>
      </c>
      <c r="H450" s="21">
        <v>0.33402777777777781</v>
      </c>
      <c r="I450" s="4">
        <v>13.55</v>
      </c>
      <c r="J450" s="631" t="s">
        <v>8608</v>
      </c>
      <c r="K450" s="631">
        <v>8</v>
      </c>
      <c r="L450" s="631" t="s">
        <v>8609</v>
      </c>
      <c r="M450" s="631" t="s">
        <v>8610</v>
      </c>
      <c r="N450" s="631" t="s">
        <v>702</v>
      </c>
      <c r="O450" s="631" t="s">
        <v>228</v>
      </c>
      <c r="P450" s="631">
        <v>1</v>
      </c>
      <c r="Q450" s="631">
        <v>61</v>
      </c>
      <c r="R450" s="631">
        <v>4</v>
      </c>
      <c r="S450" s="631" t="s">
        <v>50</v>
      </c>
    </row>
    <row r="451" spans="1:20" x14ac:dyDescent="0.25">
      <c r="A451" s="20">
        <v>42814</v>
      </c>
      <c r="B451" s="631" t="s">
        <v>8809</v>
      </c>
      <c r="C451" s="631">
        <v>38.076169999999998</v>
      </c>
      <c r="D451" s="631">
        <v>-121.50167999999999</v>
      </c>
      <c r="E451" s="631" t="s">
        <v>9174</v>
      </c>
      <c r="F451" s="631" t="s">
        <v>46</v>
      </c>
      <c r="G451" s="631" t="s">
        <v>6881</v>
      </c>
      <c r="H451" s="21">
        <v>0.54097222222222219</v>
      </c>
      <c r="I451" s="4">
        <v>9.0500000000000007</v>
      </c>
      <c r="J451" s="631" t="s">
        <v>8608</v>
      </c>
      <c r="K451" s="631">
        <v>8</v>
      </c>
      <c r="L451" s="631" t="s">
        <v>8609</v>
      </c>
      <c r="M451" s="631" t="s">
        <v>8617</v>
      </c>
      <c r="N451" s="631" t="s">
        <v>758</v>
      </c>
      <c r="O451" s="631" t="s">
        <v>228</v>
      </c>
      <c r="P451" s="631">
        <v>1</v>
      </c>
      <c r="Q451" s="631">
        <v>105</v>
      </c>
      <c r="R451" s="631">
        <v>5</v>
      </c>
      <c r="S451" s="631" t="s">
        <v>50</v>
      </c>
    </row>
    <row r="452" spans="1:20" x14ac:dyDescent="0.25">
      <c r="A452" s="20">
        <v>42814</v>
      </c>
      <c r="B452" s="631" t="s">
        <v>8606</v>
      </c>
      <c r="C452" s="631">
        <v>38.062399999999997</v>
      </c>
      <c r="D452" s="631">
        <v>-121.54828999999999</v>
      </c>
      <c r="E452" s="631" t="s">
        <v>9175</v>
      </c>
      <c r="F452" s="631" t="s">
        <v>46</v>
      </c>
      <c r="G452" s="631" t="s">
        <v>8615</v>
      </c>
      <c r="H452" s="21">
        <v>0.4680555555555555</v>
      </c>
      <c r="I452" s="4">
        <v>8.31</v>
      </c>
      <c r="J452" s="631" t="s">
        <v>8608</v>
      </c>
      <c r="K452" s="631">
        <v>5</v>
      </c>
      <c r="L452" s="631" t="s">
        <v>8609</v>
      </c>
      <c r="M452" s="631" t="s">
        <v>8617</v>
      </c>
      <c r="N452" s="631" t="s">
        <v>50</v>
      </c>
      <c r="O452" s="631" t="s">
        <v>50</v>
      </c>
      <c r="P452" s="631">
        <v>0</v>
      </c>
      <c r="Q452" s="631" t="s">
        <v>50</v>
      </c>
      <c r="R452" s="631" t="s">
        <v>50</v>
      </c>
      <c r="S452" s="631" t="s">
        <v>50</v>
      </c>
    </row>
    <row r="453" spans="1:20" x14ac:dyDescent="0.25">
      <c r="A453" s="20">
        <v>42814</v>
      </c>
      <c r="B453" s="631" t="s">
        <v>8606</v>
      </c>
      <c r="C453" s="631">
        <v>38.054839999999999</v>
      </c>
      <c r="D453" s="631">
        <v>-121.51864999999999</v>
      </c>
      <c r="E453" s="631" t="s">
        <v>9176</v>
      </c>
      <c r="F453" s="631" t="s">
        <v>46</v>
      </c>
      <c r="G453" s="631" t="s">
        <v>8615</v>
      </c>
      <c r="H453" s="21">
        <v>0.53055555555555556</v>
      </c>
      <c r="I453" s="4">
        <v>10.78</v>
      </c>
      <c r="J453" s="631" t="s">
        <v>8608</v>
      </c>
      <c r="K453" s="631">
        <v>5</v>
      </c>
      <c r="L453" s="631" t="s">
        <v>8609</v>
      </c>
      <c r="M453" s="631" t="s">
        <v>8610</v>
      </c>
      <c r="N453" s="631" t="s">
        <v>50</v>
      </c>
      <c r="O453" s="631" t="s">
        <v>50</v>
      </c>
      <c r="P453" s="631">
        <v>0</v>
      </c>
      <c r="Q453" s="631" t="s">
        <v>50</v>
      </c>
      <c r="R453" s="631" t="s">
        <v>50</v>
      </c>
      <c r="S453" s="631" t="s">
        <v>50</v>
      </c>
    </row>
    <row r="454" spans="1:20" x14ac:dyDescent="0.25">
      <c r="A454" s="20">
        <v>42814</v>
      </c>
      <c r="B454" s="631" t="s">
        <v>8606</v>
      </c>
      <c r="C454" s="631">
        <v>38.115580000000001</v>
      </c>
      <c r="D454" s="631">
        <v>-121.61767999999999</v>
      </c>
      <c r="E454" s="631" t="s">
        <v>9177</v>
      </c>
      <c r="F454" s="631" t="s">
        <v>46</v>
      </c>
      <c r="G454" s="631" t="s">
        <v>97</v>
      </c>
      <c r="H454" s="21">
        <v>0.38611111111111113</v>
      </c>
      <c r="I454" s="4">
        <v>11.09</v>
      </c>
      <c r="J454" s="631" t="s">
        <v>8608</v>
      </c>
      <c r="K454" s="631">
        <v>5</v>
      </c>
      <c r="L454" s="631" t="s">
        <v>8609</v>
      </c>
      <c r="M454" s="631" t="s">
        <v>8617</v>
      </c>
      <c r="N454" s="631" t="s">
        <v>3280</v>
      </c>
      <c r="O454" s="631" t="s">
        <v>228</v>
      </c>
      <c r="P454" s="631">
        <v>1</v>
      </c>
      <c r="Q454" s="631">
        <v>85</v>
      </c>
      <c r="R454" s="631">
        <v>4</v>
      </c>
      <c r="S454" s="631" t="s">
        <v>50</v>
      </c>
      <c r="T454" s="5" t="s">
        <v>9178</v>
      </c>
    </row>
    <row r="455" spans="1:20" x14ac:dyDescent="0.25">
      <c r="A455" s="20">
        <v>42814</v>
      </c>
      <c r="B455" s="631" t="s">
        <v>8606</v>
      </c>
      <c r="C455" s="631">
        <v>38.115580000000001</v>
      </c>
      <c r="D455" s="631">
        <v>-121.61767999999999</v>
      </c>
      <c r="E455" s="631" t="s">
        <v>9177</v>
      </c>
      <c r="F455" s="631" t="s">
        <v>46</v>
      </c>
      <c r="G455" s="631" t="s">
        <v>97</v>
      </c>
      <c r="H455" s="631"/>
      <c r="J455" s="631"/>
      <c r="K455" s="631"/>
      <c r="L455" s="631"/>
      <c r="M455" s="631"/>
      <c r="N455" s="631" t="s">
        <v>702</v>
      </c>
      <c r="O455" s="631" t="s">
        <v>228</v>
      </c>
      <c r="P455" s="631">
        <v>2</v>
      </c>
      <c r="Q455" s="631" t="s">
        <v>9179</v>
      </c>
      <c r="R455" s="631">
        <v>3</v>
      </c>
      <c r="S455" s="631" t="s">
        <v>50</v>
      </c>
    </row>
    <row r="456" spans="1:20" s="16" customFormat="1" x14ac:dyDescent="0.25">
      <c r="A456" s="343">
        <v>42814</v>
      </c>
      <c r="B456" s="16" t="s">
        <v>8606</v>
      </c>
      <c r="C456" s="16">
        <v>38.093330000000002</v>
      </c>
      <c r="D456" s="16">
        <v>-121.67435999999999</v>
      </c>
      <c r="E456" s="16" t="s">
        <v>9180</v>
      </c>
      <c r="F456" s="16" t="s">
        <v>46</v>
      </c>
      <c r="G456" s="16" t="s">
        <v>97</v>
      </c>
      <c r="H456" s="344">
        <v>0.31458333333333333</v>
      </c>
      <c r="I456" s="345">
        <v>11.62</v>
      </c>
      <c r="J456" s="16" t="s">
        <v>8608</v>
      </c>
      <c r="K456" s="16">
        <v>5</v>
      </c>
      <c r="L456" s="16" t="s">
        <v>8609</v>
      </c>
      <c r="M456" s="16" t="s">
        <v>8617</v>
      </c>
      <c r="N456" s="16" t="s">
        <v>758</v>
      </c>
      <c r="O456" s="16" t="s">
        <v>228</v>
      </c>
      <c r="P456" s="16">
        <v>3</v>
      </c>
      <c r="Q456" s="16" t="s">
        <v>9181</v>
      </c>
      <c r="R456" s="16">
        <v>4</v>
      </c>
      <c r="S456" s="16" t="s">
        <v>50</v>
      </c>
      <c r="T456" s="87" t="s">
        <v>9182</v>
      </c>
    </row>
    <row r="457" spans="1:20" x14ac:dyDescent="0.25">
      <c r="A457" s="20">
        <v>42814</v>
      </c>
      <c r="B457" s="631" t="s">
        <v>8296</v>
      </c>
      <c r="C457" s="631">
        <v>38.065289999999997</v>
      </c>
      <c r="D457" s="631">
        <v>-121.78252000000001</v>
      </c>
      <c r="E457" s="631" t="s">
        <v>9183</v>
      </c>
      <c r="F457" s="631" t="s">
        <v>27</v>
      </c>
      <c r="G457" s="631" t="s">
        <v>25</v>
      </c>
      <c r="H457" s="21">
        <v>0.3888888888888889</v>
      </c>
      <c r="I457" s="4">
        <v>29.48</v>
      </c>
      <c r="J457" s="631" t="s">
        <v>8608</v>
      </c>
      <c r="K457" s="631">
        <v>5</v>
      </c>
      <c r="L457" s="631" t="s">
        <v>8625</v>
      </c>
      <c r="M457" s="631" t="s">
        <v>8610</v>
      </c>
      <c r="N457" s="631" t="s">
        <v>50</v>
      </c>
      <c r="O457" s="631" t="s">
        <v>50</v>
      </c>
      <c r="P457" s="631">
        <v>0</v>
      </c>
      <c r="Q457" s="631" t="s">
        <v>50</v>
      </c>
      <c r="R457" s="631" t="s">
        <v>50</v>
      </c>
      <c r="S457" s="631" t="s">
        <v>50</v>
      </c>
    </row>
    <row r="458" spans="1:20" x14ac:dyDescent="0.25">
      <c r="A458" s="20">
        <v>42814</v>
      </c>
      <c r="B458" s="631" t="s">
        <v>8296</v>
      </c>
      <c r="C458" s="631">
        <v>38.128129999999999</v>
      </c>
      <c r="D458" s="631">
        <v>-121.69116</v>
      </c>
      <c r="E458" s="631" t="s">
        <v>9184</v>
      </c>
      <c r="F458" s="631" t="s">
        <v>90</v>
      </c>
      <c r="G458" s="631" t="s">
        <v>91</v>
      </c>
      <c r="H458" s="21">
        <v>0.4368055555555555</v>
      </c>
      <c r="I458" s="4">
        <v>57.28</v>
      </c>
      <c r="J458" s="631" t="s">
        <v>8608</v>
      </c>
      <c r="K458" s="631">
        <v>5</v>
      </c>
      <c r="L458" s="631" t="s">
        <v>8625</v>
      </c>
      <c r="M458" s="631" t="s">
        <v>8610</v>
      </c>
      <c r="N458" s="631" t="s">
        <v>758</v>
      </c>
      <c r="O458" s="631" t="s">
        <v>228</v>
      </c>
      <c r="P458" s="631">
        <v>1</v>
      </c>
      <c r="Q458" s="631">
        <v>94</v>
      </c>
      <c r="R458" s="631">
        <v>4</v>
      </c>
      <c r="S458" s="631" t="s">
        <v>50</v>
      </c>
    </row>
    <row r="459" spans="1:20" x14ac:dyDescent="0.25">
      <c r="A459" s="20">
        <v>42814</v>
      </c>
      <c r="B459" s="631" t="s">
        <v>8296</v>
      </c>
      <c r="C459" s="631">
        <v>38.128129999999999</v>
      </c>
      <c r="D459" s="631">
        <v>-121.69116</v>
      </c>
      <c r="E459" s="631" t="s">
        <v>9184</v>
      </c>
      <c r="F459" s="631" t="s">
        <v>90</v>
      </c>
      <c r="G459" s="631" t="s">
        <v>91</v>
      </c>
      <c r="H459" s="631"/>
      <c r="J459" s="631"/>
      <c r="K459" s="631"/>
      <c r="L459" s="631"/>
      <c r="M459" s="631"/>
      <c r="N459" s="631" t="s">
        <v>702</v>
      </c>
      <c r="O459" s="631" t="s">
        <v>228</v>
      </c>
      <c r="P459" s="631">
        <v>1</v>
      </c>
      <c r="Q459" s="631">
        <v>53</v>
      </c>
      <c r="R459" s="631">
        <v>4</v>
      </c>
      <c r="S459" s="631" t="s">
        <v>50</v>
      </c>
    </row>
    <row r="460" spans="1:20" x14ac:dyDescent="0.25">
      <c r="A460" s="20">
        <v>42814</v>
      </c>
      <c r="B460" s="631" t="s">
        <v>8296</v>
      </c>
      <c r="C460" s="631">
        <v>38.056559999999998</v>
      </c>
      <c r="D460" s="631">
        <v>-121.93380999999999</v>
      </c>
      <c r="E460" s="631" t="s">
        <v>9185</v>
      </c>
      <c r="F460" s="631" t="s">
        <v>27</v>
      </c>
      <c r="G460" s="631" t="s">
        <v>170</v>
      </c>
      <c r="H460" s="21">
        <v>0.51111111111111118</v>
      </c>
      <c r="I460" s="4">
        <v>34.200000000000003</v>
      </c>
      <c r="J460" s="631" t="s">
        <v>8608</v>
      </c>
      <c r="K460" s="631">
        <v>5</v>
      </c>
      <c r="L460" s="631" t="s">
        <v>8625</v>
      </c>
      <c r="M460" s="631" t="s">
        <v>8610</v>
      </c>
      <c r="N460" s="631" t="s">
        <v>702</v>
      </c>
      <c r="O460" s="631" t="s">
        <v>228</v>
      </c>
      <c r="P460" s="631">
        <v>1</v>
      </c>
      <c r="Q460" s="631">
        <v>53</v>
      </c>
      <c r="R460" s="631">
        <v>3</v>
      </c>
      <c r="S460" s="631" t="s">
        <v>50</v>
      </c>
    </row>
    <row r="461" spans="1:20" x14ac:dyDescent="0.25">
      <c r="A461" s="20">
        <v>42814</v>
      </c>
      <c r="B461" s="631" t="s">
        <v>8296</v>
      </c>
      <c r="C461" s="631">
        <v>38.056559999999998</v>
      </c>
      <c r="D461" s="631">
        <v>-121.93380999999999</v>
      </c>
      <c r="E461" s="631" t="s">
        <v>9185</v>
      </c>
      <c r="F461" s="631" t="s">
        <v>27</v>
      </c>
      <c r="G461" s="631" t="s">
        <v>170</v>
      </c>
      <c r="H461" s="631"/>
      <c r="J461" s="631"/>
      <c r="K461" s="631"/>
      <c r="L461" s="631"/>
      <c r="M461" s="631"/>
      <c r="N461" s="631" t="s">
        <v>758</v>
      </c>
      <c r="O461" s="631" t="s">
        <v>228</v>
      </c>
      <c r="P461" s="631">
        <v>1</v>
      </c>
      <c r="Q461" s="631">
        <v>97</v>
      </c>
      <c r="R461" s="631">
        <v>5</v>
      </c>
      <c r="S461" s="631" t="s">
        <v>50</v>
      </c>
    </row>
    <row r="462" spans="1:20" x14ac:dyDescent="0.25">
      <c r="A462" s="20">
        <v>42814</v>
      </c>
      <c r="B462" s="631" t="s">
        <v>8296</v>
      </c>
      <c r="C462" s="631">
        <v>38.056559999999998</v>
      </c>
      <c r="D462" s="631">
        <v>-121.93380999999999</v>
      </c>
      <c r="E462" s="631" t="s">
        <v>9185</v>
      </c>
      <c r="F462" s="631" t="s">
        <v>27</v>
      </c>
      <c r="G462" s="631" t="s">
        <v>170</v>
      </c>
      <c r="H462" s="631"/>
      <c r="J462" s="631"/>
      <c r="K462" s="631"/>
      <c r="L462" s="631"/>
      <c r="M462" s="631"/>
      <c r="N462" s="631" t="s">
        <v>622</v>
      </c>
      <c r="O462" s="631" t="s">
        <v>2525</v>
      </c>
      <c r="P462" s="631">
        <v>1</v>
      </c>
      <c r="Q462" s="631">
        <v>224</v>
      </c>
      <c r="R462" s="631">
        <v>5</v>
      </c>
      <c r="S462" s="631" t="s">
        <v>50</v>
      </c>
    </row>
    <row r="463" spans="1:20" x14ac:dyDescent="0.25">
      <c r="A463" s="20">
        <v>42814</v>
      </c>
      <c r="B463" s="631" t="s">
        <v>8296</v>
      </c>
      <c r="C463" s="631">
        <v>38.058549999999997</v>
      </c>
      <c r="D463" s="631">
        <v>-121.9041</v>
      </c>
      <c r="E463" s="631" t="s">
        <v>9186</v>
      </c>
      <c r="F463" s="631" t="s">
        <v>27</v>
      </c>
      <c r="G463" s="631" t="s">
        <v>170</v>
      </c>
      <c r="H463" s="21">
        <v>0.57361111111111118</v>
      </c>
      <c r="I463" s="4">
        <v>37.58</v>
      </c>
      <c r="J463" s="631" t="s">
        <v>8608</v>
      </c>
      <c r="K463" s="631">
        <v>5</v>
      </c>
      <c r="L463" s="631" t="s">
        <v>8625</v>
      </c>
      <c r="M463" s="631" t="s">
        <v>8610</v>
      </c>
      <c r="N463" s="631" t="s">
        <v>3280</v>
      </c>
      <c r="O463" s="631" t="s">
        <v>228</v>
      </c>
      <c r="P463" s="631">
        <v>2</v>
      </c>
      <c r="Q463" s="631" t="s">
        <v>9187</v>
      </c>
      <c r="R463" s="631">
        <v>4</v>
      </c>
      <c r="S463" s="631" t="s">
        <v>50</v>
      </c>
    </row>
    <row r="464" spans="1:20" x14ac:dyDescent="0.25">
      <c r="A464" s="20">
        <v>42814</v>
      </c>
      <c r="B464" s="631" t="s">
        <v>8296</v>
      </c>
      <c r="C464" s="631">
        <v>38.058549999999997</v>
      </c>
      <c r="D464" s="631">
        <v>-121.9041</v>
      </c>
      <c r="E464" s="631" t="s">
        <v>9186</v>
      </c>
      <c r="F464" s="631" t="s">
        <v>27</v>
      </c>
      <c r="G464" s="631" t="s">
        <v>170</v>
      </c>
      <c r="H464" s="631"/>
      <c r="J464" s="631"/>
      <c r="K464" s="631"/>
      <c r="L464" s="631"/>
      <c r="M464" s="631"/>
      <c r="N464" s="631" t="s">
        <v>702</v>
      </c>
      <c r="O464" s="631" t="s">
        <v>228</v>
      </c>
      <c r="P464" s="631">
        <v>1</v>
      </c>
      <c r="Q464" s="631">
        <v>67</v>
      </c>
      <c r="R464" s="631">
        <v>4</v>
      </c>
      <c r="S464" s="631" t="s">
        <v>50</v>
      </c>
      <c r="T464" s="5" t="s">
        <v>9188</v>
      </c>
    </row>
    <row r="465" spans="1:21" x14ac:dyDescent="0.25">
      <c r="A465" s="20">
        <v>42815</v>
      </c>
      <c r="B465" s="631" t="s">
        <v>8606</v>
      </c>
      <c r="C465" s="631">
        <v>38.042160000000003</v>
      </c>
      <c r="D465" s="631">
        <v>-121.53084</v>
      </c>
      <c r="E465" s="631" t="s">
        <v>9189</v>
      </c>
      <c r="F465" s="631" t="s">
        <v>46</v>
      </c>
      <c r="G465" s="631" t="s">
        <v>8615</v>
      </c>
      <c r="H465" s="21">
        <v>0.31180555555555556</v>
      </c>
      <c r="I465" s="4">
        <v>6.298</v>
      </c>
      <c r="J465" s="631" t="s">
        <v>8608</v>
      </c>
      <c r="K465" s="631">
        <v>5</v>
      </c>
      <c r="L465" s="631" t="s">
        <v>8609</v>
      </c>
      <c r="M465" s="631" t="s">
        <v>8610</v>
      </c>
      <c r="N465" s="631" t="s">
        <v>50</v>
      </c>
      <c r="O465" s="631" t="s">
        <v>50</v>
      </c>
      <c r="P465" s="631">
        <v>0</v>
      </c>
      <c r="Q465" s="631" t="s">
        <v>50</v>
      </c>
      <c r="R465" s="631" t="s">
        <v>50</v>
      </c>
      <c r="S465" s="631" t="s">
        <v>50</v>
      </c>
      <c r="U465" s="631"/>
    </row>
    <row r="466" spans="1:21" x14ac:dyDescent="0.25">
      <c r="A466" s="20">
        <v>42815</v>
      </c>
      <c r="B466" s="631" t="s">
        <v>8606</v>
      </c>
      <c r="C466" s="631">
        <v>38.065469999999998</v>
      </c>
      <c r="D466" s="631">
        <v>-121.56158000000001</v>
      </c>
      <c r="E466" s="631" t="s">
        <v>9190</v>
      </c>
      <c r="F466" s="631" t="s">
        <v>46</v>
      </c>
      <c r="G466" s="631" t="s">
        <v>8615</v>
      </c>
      <c r="H466" s="21">
        <v>0.38125000000000003</v>
      </c>
      <c r="I466" s="4">
        <v>8.8733333333333331</v>
      </c>
      <c r="J466" s="631" t="s">
        <v>8608</v>
      </c>
      <c r="K466" s="631">
        <v>3</v>
      </c>
      <c r="L466" s="631" t="s">
        <v>8609</v>
      </c>
      <c r="M466" s="631" t="s">
        <v>8617</v>
      </c>
      <c r="N466" s="631" t="s">
        <v>50</v>
      </c>
      <c r="O466" s="631" t="s">
        <v>50</v>
      </c>
      <c r="P466" s="631">
        <v>0</v>
      </c>
      <c r="Q466" s="631" t="s">
        <v>50</v>
      </c>
      <c r="R466" s="631" t="s">
        <v>50</v>
      </c>
      <c r="S466" s="631" t="s">
        <v>50</v>
      </c>
      <c r="T466" s="5" t="s">
        <v>9191</v>
      </c>
      <c r="U466" s="631"/>
    </row>
    <row r="467" spans="1:21" x14ac:dyDescent="0.25">
      <c r="A467" s="20">
        <v>42815</v>
      </c>
      <c r="B467" s="631" t="s">
        <v>8809</v>
      </c>
      <c r="C467" s="631">
        <v>38.194479999999999</v>
      </c>
      <c r="D467" s="631">
        <v>-121.62090000000001</v>
      </c>
      <c r="E467" s="631" t="s">
        <v>9192</v>
      </c>
      <c r="F467" s="631" t="s">
        <v>90</v>
      </c>
      <c r="G467" s="631" t="s">
        <v>6851</v>
      </c>
      <c r="H467" s="21">
        <v>0.32916666666666666</v>
      </c>
      <c r="I467" s="4">
        <v>56.25</v>
      </c>
      <c r="J467" s="631" t="s">
        <v>8608</v>
      </c>
      <c r="K467" s="631">
        <v>8</v>
      </c>
      <c r="L467" s="631" t="s">
        <v>8609</v>
      </c>
      <c r="M467" s="631" t="s">
        <v>8610</v>
      </c>
      <c r="N467" s="631" t="s">
        <v>702</v>
      </c>
      <c r="O467" s="631" t="s">
        <v>228</v>
      </c>
      <c r="P467" s="631">
        <v>8</v>
      </c>
      <c r="Q467" s="631" t="s">
        <v>9193</v>
      </c>
      <c r="R467" s="631">
        <v>3</v>
      </c>
      <c r="S467" s="631" t="s">
        <v>50</v>
      </c>
      <c r="U467" s="631"/>
    </row>
    <row r="468" spans="1:21" x14ac:dyDescent="0.25">
      <c r="A468" s="20">
        <v>42815</v>
      </c>
      <c r="B468" s="631" t="s">
        <v>8809</v>
      </c>
      <c r="C468" s="631">
        <v>38.194479999999999</v>
      </c>
      <c r="D468" s="631">
        <v>-121.62090000000001</v>
      </c>
      <c r="E468" s="631" t="s">
        <v>9192</v>
      </c>
      <c r="F468" s="631" t="s">
        <v>90</v>
      </c>
      <c r="G468" s="631" t="s">
        <v>6851</v>
      </c>
      <c r="H468" s="21"/>
      <c r="J468" s="631"/>
      <c r="K468" s="631"/>
      <c r="L468" s="631"/>
      <c r="M468" s="631"/>
      <c r="N468" s="631" t="s">
        <v>3280</v>
      </c>
      <c r="O468" s="631" t="s">
        <v>228</v>
      </c>
      <c r="P468" s="631">
        <v>3</v>
      </c>
      <c r="Q468" s="631" t="s">
        <v>9194</v>
      </c>
      <c r="R468" s="631">
        <v>4</v>
      </c>
      <c r="S468" s="631" t="s">
        <v>50</v>
      </c>
      <c r="U468" s="631"/>
    </row>
    <row r="469" spans="1:21" x14ac:dyDescent="0.25">
      <c r="A469" s="20">
        <v>42815</v>
      </c>
      <c r="B469" s="631" t="s">
        <v>8809</v>
      </c>
      <c r="C469" s="631">
        <v>38.156860000000002</v>
      </c>
      <c r="D469" s="631">
        <v>-121.50396000000001</v>
      </c>
      <c r="E469" s="631" t="s">
        <v>9195</v>
      </c>
      <c r="F469" s="631" t="s">
        <v>46</v>
      </c>
      <c r="G469" s="631" t="s">
        <v>6881</v>
      </c>
      <c r="H469" s="21">
        <v>0.48472222222222222</v>
      </c>
      <c r="I469" s="4">
        <v>13.5375</v>
      </c>
      <c r="J469" s="631" t="s">
        <v>8608</v>
      </c>
      <c r="K469" s="631">
        <v>8</v>
      </c>
      <c r="L469" s="631" t="s">
        <v>8609</v>
      </c>
      <c r="M469" s="631" t="s">
        <v>8610</v>
      </c>
      <c r="N469" s="631" t="s">
        <v>702</v>
      </c>
      <c r="O469" s="631" t="s">
        <v>228</v>
      </c>
      <c r="P469" s="631">
        <v>3</v>
      </c>
      <c r="Q469" s="631" t="s">
        <v>9196</v>
      </c>
      <c r="R469" s="631">
        <v>3</v>
      </c>
      <c r="S469" s="631" t="s">
        <v>50</v>
      </c>
      <c r="U469" s="631"/>
    </row>
    <row r="470" spans="1:21" x14ac:dyDescent="0.25">
      <c r="A470" s="20">
        <v>42816</v>
      </c>
      <c r="B470" s="631" t="s">
        <v>8726</v>
      </c>
      <c r="C470" s="631">
        <v>38.019019999999998</v>
      </c>
      <c r="D470" s="631">
        <v>-121.57084</v>
      </c>
      <c r="E470" s="631" t="s">
        <v>9197</v>
      </c>
      <c r="F470" s="631" t="s">
        <v>46</v>
      </c>
      <c r="G470" s="631" t="s">
        <v>74</v>
      </c>
      <c r="H470" s="21">
        <v>0.35694444444444445</v>
      </c>
      <c r="I470" s="4">
        <v>6.37</v>
      </c>
      <c r="J470" s="631" t="s">
        <v>8608</v>
      </c>
      <c r="K470" s="631">
        <v>8</v>
      </c>
      <c r="L470" s="631" t="s">
        <v>8609</v>
      </c>
      <c r="M470" s="631" t="s">
        <v>8610</v>
      </c>
      <c r="N470" s="631" t="s">
        <v>50</v>
      </c>
      <c r="O470" s="631" t="s">
        <v>50</v>
      </c>
      <c r="P470" s="631">
        <v>0</v>
      </c>
      <c r="Q470" s="631" t="s">
        <v>50</v>
      </c>
      <c r="R470" s="631" t="s">
        <v>50</v>
      </c>
      <c r="S470" s="631" t="s">
        <v>50</v>
      </c>
      <c r="T470" s="5" t="s">
        <v>9198</v>
      </c>
      <c r="U470" s="631"/>
    </row>
    <row r="471" spans="1:21" x14ac:dyDescent="0.25">
      <c r="A471" s="20">
        <v>42816</v>
      </c>
      <c r="B471" s="631" t="s">
        <v>8726</v>
      </c>
      <c r="C471" s="16">
        <v>37.978459999999998</v>
      </c>
      <c r="D471" s="631">
        <v>-121.51708000000001</v>
      </c>
      <c r="E471" s="631" t="s">
        <v>9199</v>
      </c>
      <c r="F471" s="631" t="s">
        <v>46</v>
      </c>
      <c r="G471" s="631" t="s">
        <v>6939</v>
      </c>
      <c r="H471" s="21">
        <v>0.32708333333333334</v>
      </c>
      <c r="I471" s="4">
        <v>8.81</v>
      </c>
      <c r="J471" s="631" t="s">
        <v>8608</v>
      </c>
      <c r="K471" s="631">
        <v>1</v>
      </c>
      <c r="L471" s="631" t="s">
        <v>8625</v>
      </c>
      <c r="M471" s="631" t="s">
        <v>8610</v>
      </c>
      <c r="N471" s="631" t="s">
        <v>50</v>
      </c>
      <c r="O471" s="631" t="s">
        <v>50</v>
      </c>
      <c r="P471" s="631">
        <v>0</v>
      </c>
      <c r="Q471" s="631" t="s">
        <v>50</v>
      </c>
      <c r="R471" s="631" t="s">
        <v>50</v>
      </c>
      <c r="S471" s="631" t="s">
        <v>50</v>
      </c>
      <c r="T471" s="5" t="s">
        <v>9200</v>
      </c>
      <c r="U471" s="631"/>
    </row>
    <row r="472" spans="1:21" x14ac:dyDescent="0.25">
      <c r="A472" s="20">
        <v>42816</v>
      </c>
      <c r="B472" s="631" t="s">
        <v>8606</v>
      </c>
      <c r="C472" s="631">
        <v>38.102559999999997</v>
      </c>
      <c r="D472" s="631">
        <v>-121.60599000000001</v>
      </c>
      <c r="E472" s="631" t="s">
        <v>9201</v>
      </c>
      <c r="F472" s="631" t="s">
        <v>46</v>
      </c>
      <c r="G472" s="631" t="s">
        <v>97</v>
      </c>
      <c r="H472" s="21">
        <v>0.49652777777777773</v>
      </c>
      <c r="I472" s="4">
        <v>14.44</v>
      </c>
      <c r="J472" s="631" t="s">
        <v>8608</v>
      </c>
      <c r="K472" s="631">
        <v>5</v>
      </c>
      <c r="L472" s="631" t="s">
        <v>8609</v>
      </c>
      <c r="M472" s="631" t="s">
        <v>8617</v>
      </c>
      <c r="N472" s="631" t="s">
        <v>702</v>
      </c>
      <c r="O472" s="631" t="s">
        <v>228</v>
      </c>
      <c r="P472" s="631">
        <v>1</v>
      </c>
      <c r="Q472" s="631">
        <v>60</v>
      </c>
      <c r="R472" s="631">
        <v>3</v>
      </c>
      <c r="S472" s="631" t="s">
        <v>50</v>
      </c>
      <c r="U472" s="631"/>
    </row>
    <row r="473" spans="1:21" x14ac:dyDescent="0.25">
      <c r="A473" s="20">
        <v>42816</v>
      </c>
      <c r="B473" s="631" t="s">
        <v>8296</v>
      </c>
      <c r="C473" s="631">
        <v>38.020299999999999</v>
      </c>
      <c r="D473" s="631">
        <v>-121.81721</v>
      </c>
      <c r="E473" s="631" t="s">
        <v>9202</v>
      </c>
      <c r="F473" s="631" t="s">
        <v>27</v>
      </c>
      <c r="G473" s="631" t="s">
        <v>95</v>
      </c>
      <c r="H473" s="21">
        <v>0.34930555555555554</v>
      </c>
      <c r="I473" s="4">
        <v>18.32</v>
      </c>
      <c r="J473" s="631" t="s">
        <v>8608</v>
      </c>
      <c r="K473" s="631">
        <v>5</v>
      </c>
      <c r="L473" s="631" t="s">
        <v>8625</v>
      </c>
      <c r="M473" s="631" t="s">
        <v>8617</v>
      </c>
      <c r="N473" s="631" t="s">
        <v>622</v>
      </c>
      <c r="O473" s="631" t="s">
        <v>2525</v>
      </c>
      <c r="P473" s="631">
        <v>1</v>
      </c>
      <c r="Q473" s="631" t="s">
        <v>50</v>
      </c>
      <c r="R473" s="631" t="s">
        <v>9098</v>
      </c>
      <c r="S473" s="631" t="s">
        <v>50</v>
      </c>
      <c r="T473" s="5" t="s">
        <v>9203</v>
      </c>
      <c r="U473" s="631"/>
    </row>
    <row r="474" spans="1:21" x14ac:dyDescent="0.25">
      <c r="A474" s="20">
        <v>42816</v>
      </c>
      <c r="B474" s="631" t="s">
        <v>8296</v>
      </c>
      <c r="C474" s="631">
        <v>38.113239999999998</v>
      </c>
      <c r="D474" s="631">
        <v>-121.69920999999999</v>
      </c>
      <c r="E474" s="631" t="s">
        <v>9204</v>
      </c>
      <c r="F474" s="631" t="s">
        <v>90</v>
      </c>
      <c r="G474" s="631" t="s">
        <v>91</v>
      </c>
      <c r="H474" s="21">
        <v>0.42430555555555555</v>
      </c>
      <c r="I474" s="4">
        <v>34.44</v>
      </c>
      <c r="J474" s="631" t="s">
        <v>8608</v>
      </c>
      <c r="K474" s="631">
        <v>5</v>
      </c>
      <c r="L474" s="631" t="s">
        <v>8625</v>
      </c>
      <c r="M474" s="631" t="s">
        <v>8610</v>
      </c>
      <c r="N474" s="631" t="s">
        <v>5265</v>
      </c>
      <c r="O474" s="631" t="s">
        <v>2525</v>
      </c>
      <c r="P474" s="631">
        <v>4</v>
      </c>
      <c r="Q474" s="631" t="s">
        <v>9205</v>
      </c>
      <c r="R474" s="631">
        <v>5</v>
      </c>
      <c r="S474" s="631" t="s">
        <v>50</v>
      </c>
      <c r="U474" s="631"/>
    </row>
    <row r="475" spans="1:21" x14ac:dyDescent="0.25">
      <c r="A475" s="20">
        <v>42816</v>
      </c>
      <c r="B475" s="631" t="s">
        <v>8726</v>
      </c>
      <c r="C475" s="631">
        <v>38.038620000000002</v>
      </c>
      <c r="D475" s="631">
        <v>-121.58028</v>
      </c>
      <c r="E475" s="631" t="s">
        <v>9206</v>
      </c>
      <c r="F475" s="631" t="s">
        <v>46</v>
      </c>
      <c r="G475" s="631" t="s">
        <v>74</v>
      </c>
      <c r="H475" s="21">
        <v>0.5</v>
      </c>
      <c r="I475" s="4">
        <v>9.43</v>
      </c>
      <c r="J475" s="631" t="s">
        <v>8608</v>
      </c>
      <c r="K475" s="631">
        <v>9</v>
      </c>
      <c r="L475" s="631" t="s">
        <v>8609</v>
      </c>
      <c r="M475" s="631" t="s">
        <v>8610</v>
      </c>
      <c r="N475" s="631" t="s">
        <v>702</v>
      </c>
      <c r="O475" s="631" t="s">
        <v>228</v>
      </c>
      <c r="P475" s="631">
        <v>1</v>
      </c>
      <c r="Q475" s="631">
        <v>65</v>
      </c>
      <c r="R475" s="631">
        <v>4</v>
      </c>
      <c r="S475" s="631" t="s">
        <v>50</v>
      </c>
      <c r="T475" s="5" t="s">
        <v>9207</v>
      </c>
      <c r="U475" s="631" t="s">
        <v>9208</v>
      </c>
    </row>
    <row r="476" spans="1:21" x14ac:dyDescent="0.25">
      <c r="A476" s="20">
        <v>42816</v>
      </c>
      <c r="B476" s="631" t="s">
        <v>8809</v>
      </c>
      <c r="C476" s="631">
        <v>38.055689999999998</v>
      </c>
      <c r="D476" s="631">
        <v>-122.29792999999999</v>
      </c>
      <c r="E476" s="631" t="s">
        <v>9209</v>
      </c>
      <c r="F476" s="631" t="s">
        <v>80</v>
      </c>
      <c r="G476" s="631" t="s">
        <v>123</v>
      </c>
      <c r="H476" s="21">
        <v>0.3611111111111111</v>
      </c>
      <c r="I476" s="4">
        <v>41.35</v>
      </c>
      <c r="J476" s="631" t="s">
        <v>8608</v>
      </c>
      <c r="K476" s="631">
        <v>8</v>
      </c>
      <c r="L476" s="631" t="s">
        <v>8609</v>
      </c>
      <c r="M476" s="631" t="s">
        <v>8617</v>
      </c>
      <c r="N476" s="631" t="s">
        <v>50</v>
      </c>
      <c r="O476" s="631" t="s">
        <v>50</v>
      </c>
      <c r="P476" s="631">
        <v>0</v>
      </c>
      <c r="Q476" s="631" t="s">
        <v>50</v>
      </c>
      <c r="R476" s="631" t="s">
        <v>50</v>
      </c>
      <c r="S476" s="631" t="s">
        <v>50</v>
      </c>
      <c r="U476" s="631"/>
    </row>
    <row r="477" spans="1:21" x14ac:dyDescent="0.25">
      <c r="A477" s="20">
        <v>42816</v>
      </c>
      <c r="B477" s="631" t="s">
        <v>8809</v>
      </c>
      <c r="C477" s="631">
        <v>38.048549999999999</v>
      </c>
      <c r="D477" s="631">
        <v>-122.31792</v>
      </c>
      <c r="E477" s="631" t="s">
        <v>9210</v>
      </c>
      <c r="F477" s="631" t="s">
        <v>80</v>
      </c>
      <c r="G477" s="631" t="s">
        <v>123</v>
      </c>
      <c r="H477" s="21">
        <v>0.46458333333333335</v>
      </c>
      <c r="I477" s="4">
        <v>34.25</v>
      </c>
      <c r="J477" s="631" t="s">
        <v>8608</v>
      </c>
      <c r="K477" s="631">
        <v>8</v>
      </c>
      <c r="L477" s="631" t="s">
        <v>8609</v>
      </c>
      <c r="M477" s="631" t="s">
        <v>8610</v>
      </c>
      <c r="N477" s="631" t="s">
        <v>5265</v>
      </c>
      <c r="O477" s="631" t="s">
        <v>2525</v>
      </c>
      <c r="P477" s="631">
        <v>1</v>
      </c>
      <c r="Q477" s="631">
        <v>110</v>
      </c>
      <c r="R477" s="631">
        <v>5</v>
      </c>
      <c r="S477" s="631" t="s">
        <v>50</v>
      </c>
      <c r="U477" s="631"/>
    </row>
    <row r="478" spans="1:21" x14ac:dyDescent="0.25">
      <c r="A478" s="20">
        <v>42816</v>
      </c>
      <c r="B478" s="631" t="s">
        <v>8809</v>
      </c>
      <c r="C478" s="631">
        <v>38.085657699999999</v>
      </c>
      <c r="D478" s="631">
        <v>-122.08694850000001</v>
      </c>
      <c r="E478" s="631" t="s">
        <v>9211</v>
      </c>
      <c r="F478" s="631" t="s">
        <v>80</v>
      </c>
      <c r="G478" s="631" t="s">
        <v>81</v>
      </c>
      <c r="H478" s="21">
        <v>0.60625000000000007</v>
      </c>
      <c r="I478" s="13" t="s">
        <v>50</v>
      </c>
      <c r="J478" s="14" t="s">
        <v>8608</v>
      </c>
      <c r="K478" s="14">
        <v>0</v>
      </c>
      <c r="L478" s="14" t="s">
        <v>50</v>
      </c>
      <c r="M478" s="14" t="s">
        <v>50</v>
      </c>
      <c r="N478" s="14" t="s">
        <v>50</v>
      </c>
      <c r="O478" s="14" t="s">
        <v>50</v>
      </c>
      <c r="P478" s="18">
        <v>0</v>
      </c>
      <c r="Q478" s="18" t="s">
        <v>50</v>
      </c>
      <c r="R478" s="14" t="s">
        <v>50</v>
      </c>
      <c r="S478" s="14" t="s">
        <v>50</v>
      </c>
      <c r="T478" s="5" t="s">
        <v>9092</v>
      </c>
      <c r="U478" s="631"/>
    </row>
    <row r="479" spans="1:21" x14ac:dyDescent="0.25">
      <c r="A479" s="20">
        <v>42816</v>
      </c>
      <c r="B479" s="631" t="s">
        <v>8809</v>
      </c>
      <c r="C479" s="631">
        <v>38.057259999999999</v>
      </c>
      <c r="D479" s="631">
        <v>-122.07646</v>
      </c>
      <c r="E479" s="631" t="s">
        <v>9212</v>
      </c>
      <c r="F479" s="631" t="s">
        <v>80</v>
      </c>
      <c r="G479" s="631" t="s">
        <v>81</v>
      </c>
      <c r="H479" s="21">
        <v>0.62430555555555556</v>
      </c>
      <c r="I479" s="345">
        <v>37.24</v>
      </c>
      <c r="J479" s="631" t="s">
        <v>8608</v>
      </c>
      <c r="K479" s="16">
        <v>8</v>
      </c>
      <c r="L479" s="631" t="s">
        <v>8609</v>
      </c>
      <c r="M479" s="631" t="s">
        <v>8610</v>
      </c>
      <c r="N479" s="17" t="s">
        <v>622</v>
      </c>
      <c r="O479" s="17" t="s">
        <v>2525</v>
      </c>
      <c r="P479" s="19">
        <v>1</v>
      </c>
      <c r="Q479" s="19">
        <v>257</v>
      </c>
      <c r="R479" s="17">
        <v>5</v>
      </c>
      <c r="S479" s="17" t="s">
        <v>50</v>
      </c>
      <c r="T479" s="87"/>
      <c r="U479" s="631"/>
    </row>
    <row r="480" spans="1:21" x14ac:dyDescent="0.25">
      <c r="A480" s="343">
        <v>42816</v>
      </c>
      <c r="B480" s="16" t="s">
        <v>8809</v>
      </c>
      <c r="C480" s="16">
        <v>38.057259999999999</v>
      </c>
      <c r="D480" s="16">
        <v>-122.07646</v>
      </c>
      <c r="E480" s="16" t="s">
        <v>9212</v>
      </c>
      <c r="F480" s="16" t="s">
        <v>80</v>
      </c>
      <c r="G480" s="16" t="s">
        <v>81</v>
      </c>
      <c r="H480" s="631"/>
      <c r="J480" s="631"/>
      <c r="K480" s="631"/>
      <c r="L480" s="631"/>
      <c r="M480" s="631"/>
      <c r="N480" s="16" t="s">
        <v>31</v>
      </c>
      <c r="O480" s="16" t="s">
        <v>50</v>
      </c>
      <c r="P480" s="16">
        <v>1</v>
      </c>
      <c r="Q480" s="16">
        <v>120</v>
      </c>
      <c r="R480" s="16" t="s">
        <v>50</v>
      </c>
      <c r="S480" s="16" t="s">
        <v>8928</v>
      </c>
      <c r="U480" s="631"/>
    </row>
    <row r="481" spans="1:20" x14ac:dyDescent="0.25">
      <c r="A481" s="26">
        <v>42817</v>
      </c>
      <c r="B481" s="631" t="s">
        <v>8726</v>
      </c>
      <c r="C481" s="631">
        <v>37.962690000000002</v>
      </c>
      <c r="D481" s="631">
        <v>-121.57053999999999</v>
      </c>
      <c r="E481" s="631" t="s">
        <v>9213</v>
      </c>
      <c r="F481" s="631" t="s">
        <v>46</v>
      </c>
      <c r="G481" s="631" t="s">
        <v>199</v>
      </c>
      <c r="H481" s="21">
        <v>0.43541666666666662</v>
      </c>
      <c r="I481" s="4">
        <v>15.33</v>
      </c>
      <c r="J481" s="631" t="s">
        <v>8608</v>
      </c>
      <c r="K481" s="631">
        <v>8</v>
      </c>
      <c r="L481" s="631" t="s">
        <v>8609</v>
      </c>
      <c r="M481" s="631" t="s">
        <v>8610</v>
      </c>
      <c r="N481" s="14" t="s">
        <v>50</v>
      </c>
      <c r="O481" s="14" t="s">
        <v>50</v>
      </c>
      <c r="P481" s="18">
        <v>0</v>
      </c>
      <c r="Q481" s="18" t="s">
        <v>50</v>
      </c>
      <c r="R481" s="14" t="s">
        <v>50</v>
      </c>
      <c r="S481" s="14" t="s">
        <v>50</v>
      </c>
    </row>
    <row r="482" spans="1:20" x14ac:dyDescent="0.25">
      <c r="A482" s="26">
        <v>42817</v>
      </c>
      <c r="B482" s="631" t="s">
        <v>8726</v>
      </c>
      <c r="C482" s="631">
        <v>37.937579999999997</v>
      </c>
      <c r="D482" s="631">
        <v>-121.56224</v>
      </c>
      <c r="E482" s="631" t="s">
        <v>9214</v>
      </c>
      <c r="F482" s="631" t="s">
        <v>46</v>
      </c>
      <c r="G482" s="631" t="s">
        <v>199</v>
      </c>
      <c r="H482" s="21">
        <v>0.33680555555555558</v>
      </c>
      <c r="I482" s="4">
        <v>20.78</v>
      </c>
      <c r="J482" s="631" t="s">
        <v>8608</v>
      </c>
      <c r="K482" s="631">
        <v>8</v>
      </c>
      <c r="L482" s="631" t="s">
        <v>8609</v>
      </c>
      <c r="M482" s="631" t="s">
        <v>8610</v>
      </c>
      <c r="N482" s="631" t="s">
        <v>3280</v>
      </c>
      <c r="O482" s="631" t="s">
        <v>50</v>
      </c>
      <c r="P482" s="631">
        <v>1</v>
      </c>
      <c r="Q482" s="631">
        <v>87</v>
      </c>
      <c r="R482" s="631">
        <v>3</v>
      </c>
      <c r="S482" s="631" t="s">
        <v>50</v>
      </c>
    </row>
    <row r="483" spans="1:20" x14ac:dyDescent="0.25">
      <c r="A483" s="26">
        <v>42817</v>
      </c>
      <c r="B483" s="631" t="s">
        <v>8726</v>
      </c>
      <c r="C483" s="16">
        <v>38.038910000000001</v>
      </c>
      <c r="D483" s="16">
        <v>-121.58045</v>
      </c>
      <c r="E483" s="631" t="s">
        <v>9215</v>
      </c>
      <c r="F483" s="631" t="s">
        <v>46</v>
      </c>
      <c r="G483" s="631" t="s">
        <v>74</v>
      </c>
      <c r="H483" s="21">
        <v>0.33888888888888885</v>
      </c>
      <c r="I483" s="4">
        <v>11.13</v>
      </c>
      <c r="J483" s="631" t="s">
        <v>8608</v>
      </c>
      <c r="K483" s="631">
        <v>8</v>
      </c>
      <c r="L483" s="631" t="s">
        <v>8609</v>
      </c>
      <c r="M483" s="631" t="s">
        <v>8610</v>
      </c>
      <c r="N483" s="14" t="s">
        <v>50</v>
      </c>
      <c r="O483" s="14" t="s">
        <v>50</v>
      </c>
      <c r="P483" s="18">
        <v>0</v>
      </c>
      <c r="Q483" s="18" t="s">
        <v>50</v>
      </c>
      <c r="R483" s="14" t="s">
        <v>50</v>
      </c>
      <c r="S483" s="14" t="s">
        <v>50</v>
      </c>
    </row>
    <row r="484" spans="1:20" x14ac:dyDescent="0.25">
      <c r="A484" s="26">
        <v>42817</v>
      </c>
      <c r="B484" s="631" t="s">
        <v>8726</v>
      </c>
      <c r="C484" s="631">
        <v>38.05095</v>
      </c>
      <c r="D484" s="631">
        <v>-121.45688</v>
      </c>
      <c r="E484" s="631" t="s">
        <v>9216</v>
      </c>
      <c r="F484" s="631" t="s">
        <v>46</v>
      </c>
      <c r="G484" s="631" t="s">
        <v>6883</v>
      </c>
      <c r="H484" s="21">
        <v>0.45347222222222222</v>
      </c>
      <c r="I484" s="4">
        <v>10.15</v>
      </c>
      <c r="J484" s="631" t="s">
        <v>8608</v>
      </c>
      <c r="K484" s="631">
        <v>8</v>
      </c>
      <c r="L484" s="631" t="s">
        <v>8609</v>
      </c>
      <c r="M484" s="631" t="s">
        <v>8617</v>
      </c>
      <c r="N484" s="14" t="s">
        <v>50</v>
      </c>
      <c r="O484" s="14" t="s">
        <v>50</v>
      </c>
      <c r="P484" s="18">
        <v>0</v>
      </c>
      <c r="Q484" s="18" t="s">
        <v>50</v>
      </c>
      <c r="R484" s="14" t="s">
        <v>50</v>
      </c>
      <c r="S484" s="14" t="s">
        <v>50</v>
      </c>
    </row>
    <row r="485" spans="1:20" x14ac:dyDescent="0.25">
      <c r="A485" s="26">
        <v>42817</v>
      </c>
      <c r="B485" s="631" t="s">
        <v>8809</v>
      </c>
      <c r="C485" s="631">
        <v>38.063670000000002</v>
      </c>
      <c r="D485" s="631">
        <v>-122.2396</v>
      </c>
      <c r="E485" s="631" t="s">
        <v>9217</v>
      </c>
      <c r="F485" s="631" t="s">
        <v>80</v>
      </c>
      <c r="G485" s="631" t="s">
        <v>120</v>
      </c>
      <c r="H485" s="21">
        <v>0.3263888888888889</v>
      </c>
      <c r="I485" s="4">
        <v>31.76</v>
      </c>
      <c r="J485" s="631" t="s">
        <v>8608</v>
      </c>
      <c r="K485" s="631">
        <v>8</v>
      </c>
      <c r="L485" s="631" t="s">
        <v>8609</v>
      </c>
      <c r="M485" s="631" t="s">
        <v>8610</v>
      </c>
      <c r="N485" s="631" t="s">
        <v>622</v>
      </c>
      <c r="O485" s="631" t="s">
        <v>2525</v>
      </c>
      <c r="P485" s="631">
        <v>1</v>
      </c>
      <c r="Q485" s="631" t="s">
        <v>50</v>
      </c>
      <c r="R485" s="631" t="s">
        <v>50</v>
      </c>
      <c r="S485" s="631" t="s">
        <v>50</v>
      </c>
      <c r="T485" s="5" t="s">
        <v>5125</v>
      </c>
    </row>
    <row r="486" spans="1:20" x14ac:dyDescent="0.25">
      <c r="A486" s="26">
        <v>42817</v>
      </c>
      <c r="B486" s="631" t="s">
        <v>8809</v>
      </c>
      <c r="C486" s="631">
        <v>38.050890000000003</v>
      </c>
      <c r="D486" s="631">
        <v>-122.26459</v>
      </c>
      <c r="E486" s="631" t="s">
        <v>9218</v>
      </c>
      <c r="F486" s="631" t="s">
        <v>80</v>
      </c>
      <c r="G486" s="631" t="s">
        <v>123</v>
      </c>
      <c r="H486" s="21">
        <v>0.42986111111111108</v>
      </c>
      <c r="I486" s="4">
        <v>32.54</v>
      </c>
      <c r="J486" s="631" t="s">
        <v>8608</v>
      </c>
      <c r="K486" s="631">
        <v>8</v>
      </c>
      <c r="L486" s="631" t="s">
        <v>8609</v>
      </c>
      <c r="M486" s="631" t="s">
        <v>8617</v>
      </c>
      <c r="N486" s="631" t="s">
        <v>758</v>
      </c>
      <c r="O486" s="631" t="s">
        <v>228</v>
      </c>
      <c r="P486" s="631">
        <v>1</v>
      </c>
      <c r="Q486" s="631" t="s">
        <v>50</v>
      </c>
      <c r="R486" s="631">
        <v>5</v>
      </c>
      <c r="S486" s="631" t="s">
        <v>50</v>
      </c>
      <c r="T486" s="5" t="s">
        <v>9219</v>
      </c>
    </row>
    <row r="487" spans="1:20" x14ac:dyDescent="0.25">
      <c r="A487" s="26">
        <v>42817</v>
      </c>
      <c r="B487" s="631" t="s">
        <v>8809</v>
      </c>
      <c r="C487" s="631">
        <v>38.050890000000003</v>
      </c>
      <c r="D487" s="631">
        <v>-122.26459</v>
      </c>
      <c r="E487" s="631" t="s">
        <v>9218</v>
      </c>
      <c r="F487" s="631" t="s">
        <v>80</v>
      </c>
      <c r="G487" s="631" t="s">
        <v>123</v>
      </c>
      <c r="H487" s="631"/>
      <c r="J487" s="631"/>
      <c r="K487" s="631"/>
      <c r="L487" s="631"/>
      <c r="M487" s="631"/>
      <c r="N487" s="631" t="s">
        <v>702</v>
      </c>
      <c r="O487" s="631" t="s">
        <v>228</v>
      </c>
      <c r="P487" s="631">
        <v>1</v>
      </c>
      <c r="Q487" s="631">
        <v>60</v>
      </c>
      <c r="R487" s="631">
        <v>3</v>
      </c>
      <c r="S487" s="631" t="s">
        <v>9220</v>
      </c>
    </row>
    <row r="488" spans="1:20" x14ac:dyDescent="0.25">
      <c r="A488" s="26">
        <v>42818</v>
      </c>
      <c r="B488" s="631" t="s">
        <v>8726</v>
      </c>
      <c r="C488" s="631">
        <v>38.077910000000003</v>
      </c>
      <c r="D488" s="631">
        <v>-121.44748</v>
      </c>
      <c r="E488" s="631" t="s">
        <v>9221</v>
      </c>
      <c r="F488" s="631" t="s">
        <v>46</v>
      </c>
      <c r="G488" s="631" t="s">
        <v>6883</v>
      </c>
      <c r="H488" s="21">
        <v>0.3354166666666667</v>
      </c>
      <c r="I488" s="4">
        <v>6.55</v>
      </c>
      <c r="J488" s="631" t="s">
        <v>8608</v>
      </c>
      <c r="K488" s="631">
        <v>8</v>
      </c>
      <c r="L488" s="631" t="s">
        <v>8609</v>
      </c>
      <c r="M488" s="631" t="s">
        <v>8617</v>
      </c>
      <c r="N488" s="14" t="s">
        <v>50</v>
      </c>
      <c r="O488" s="14" t="s">
        <v>50</v>
      </c>
      <c r="P488" s="18">
        <v>0</v>
      </c>
      <c r="Q488" s="18" t="s">
        <v>50</v>
      </c>
      <c r="R488" s="14" t="s">
        <v>50</v>
      </c>
      <c r="S488" s="14" t="s">
        <v>50</v>
      </c>
    </row>
    <row r="489" spans="1:20" x14ac:dyDescent="0.25">
      <c r="A489" s="26">
        <v>42818</v>
      </c>
      <c r="B489" s="631" t="s">
        <v>8606</v>
      </c>
      <c r="C489" s="631">
        <v>38.085470000000001</v>
      </c>
      <c r="D489" s="631">
        <v>-121.56610999999999</v>
      </c>
      <c r="E489" s="631" t="s">
        <v>9222</v>
      </c>
      <c r="F489" s="631" t="s">
        <v>46</v>
      </c>
      <c r="G489" s="631" t="s">
        <v>8615</v>
      </c>
      <c r="H489" s="21">
        <v>0.4604166666666667</v>
      </c>
      <c r="I489" s="4">
        <v>11.76</v>
      </c>
      <c r="J489" s="631" t="s">
        <v>8608</v>
      </c>
      <c r="K489" s="631">
        <v>5</v>
      </c>
      <c r="L489" s="631" t="s">
        <v>8609</v>
      </c>
      <c r="M489" s="631" t="s">
        <v>8610</v>
      </c>
      <c r="N489" s="14" t="s">
        <v>50</v>
      </c>
      <c r="O489" s="14" t="s">
        <v>50</v>
      </c>
      <c r="P489" s="18">
        <v>0</v>
      </c>
      <c r="Q489" s="18" t="s">
        <v>50</v>
      </c>
      <c r="R489" s="14" t="s">
        <v>50</v>
      </c>
      <c r="S489" s="14" t="s">
        <v>50</v>
      </c>
    </row>
    <row r="490" spans="1:20" x14ac:dyDescent="0.25">
      <c r="A490" s="26">
        <v>42821</v>
      </c>
      <c r="B490" s="631" t="s">
        <v>8809</v>
      </c>
      <c r="C490" s="631">
        <v>38.12885</v>
      </c>
      <c r="D490" s="631">
        <v>-121.49970999999999</v>
      </c>
      <c r="E490" s="631" t="s">
        <v>9223</v>
      </c>
      <c r="F490" s="631" t="s">
        <v>46</v>
      </c>
      <c r="G490" s="631" t="s">
        <v>6881</v>
      </c>
      <c r="H490" s="21">
        <v>0.3430555555555555</v>
      </c>
      <c r="I490" s="4" t="s">
        <v>50</v>
      </c>
      <c r="J490" s="631" t="s">
        <v>8608</v>
      </c>
      <c r="K490" s="631">
        <v>8</v>
      </c>
      <c r="L490" s="631" t="s">
        <v>8609</v>
      </c>
      <c r="M490" s="631" t="s">
        <v>8610</v>
      </c>
      <c r="N490" s="14" t="s">
        <v>50</v>
      </c>
      <c r="O490" s="14" t="s">
        <v>50</v>
      </c>
      <c r="P490" s="18">
        <v>0</v>
      </c>
      <c r="Q490" s="18" t="s">
        <v>50</v>
      </c>
      <c r="R490" s="14" t="s">
        <v>50</v>
      </c>
      <c r="S490" s="14" t="s">
        <v>50</v>
      </c>
      <c r="T490" s="5" t="s">
        <v>9224</v>
      </c>
    </row>
    <row r="491" spans="1:20" x14ac:dyDescent="0.25">
      <c r="A491" s="26">
        <v>42821</v>
      </c>
      <c r="B491" s="631" t="s">
        <v>8726</v>
      </c>
      <c r="C491" s="631">
        <v>38.03434</v>
      </c>
      <c r="D491" s="631">
        <v>-121.48381999999999</v>
      </c>
      <c r="E491" s="631" t="s">
        <v>9225</v>
      </c>
      <c r="F491" s="631" t="s">
        <v>46</v>
      </c>
      <c r="G491" s="631" t="s">
        <v>6840</v>
      </c>
      <c r="H491" s="21">
        <v>0.4694444444444445</v>
      </c>
      <c r="I491" s="4">
        <v>16.239999999999998</v>
      </c>
      <c r="J491" s="631" t="s">
        <v>8608</v>
      </c>
      <c r="K491" s="631">
        <v>8</v>
      </c>
      <c r="L491" s="631" t="s">
        <v>8609</v>
      </c>
      <c r="M491" s="631" t="s">
        <v>8610</v>
      </c>
      <c r="N491" s="14" t="s">
        <v>50</v>
      </c>
      <c r="O491" s="14" t="s">
        <v>50</v>
      </c>
      <c r="P491" s="18">
        <v>0</v>
      </c>
      <c r="Q491" s="18" t="s">
        <v>50</v>
      </c>
      <c r="R491" s="14" t="s">
        <v>50</v>
      </c>
      <c r="S491" s="14" t="s">
        <v>50</v>
      </c>
    </row>
    <row r="492" spans="1:20" x14ac:dyDescent="0.25">
      <c r="A492" s="26">
        <v>42821</v>
      </c>
      <c r="B492" s="631" t="s">
        <v>8726</v>
      </c>
      <c r="C492" s="631">
        <v>38.030239999999999</v>
      </c>
      <c r="D492" s="631">
        <v>-121.52224</v>
      </c>
      <c r="E492" s="631" t="s">
        <v>9226</v>
      </c>
      <c r="F492" s="631" t="s">
        <v>46</v>
      </c>
      <c r="G492" s="631" t="s">
        <v>6939</v>
      </c>
      <c r="H492" s="21">
        <v>0.32361111111111113</v>
      </c>
      <c r="I492" s="4">
        <v>9.57</v>
      </c>
      <c r="J492" s="631" t="s">
        <v>8608</v>
      </c>
      <c r="K492" s="631">
        <v>8</v>
      </c>
      <c r="L492" s="631" t="s">
        <v>8609</v>
      </c>
      <c r="M492" s="631" t="s">
        <v>8610</v>
      </c>
      <c r="N492" s="14" t="s">
        <v>50</v>
      </c>
      <c r="O492" s="14" t="s">
        <v>50</v>
      </c>
      <c r="P492" s="18">
        <v>0</v>
      </c>
      <c r="Q492" s="18" t="s">
        <v>50</v>
      </c>
      <c r="R492" s="14" t="s">
        <v>50</v>
      </c>
      <c r="S492" s="14" t="s">
        <v>50</v>
      </c>
    </row>
    <row r="493" spans="1:20" x14ac:dyDescent="0.25">
      <c r="A493" s="26">
        <v>42821</v>
      </c>
      <c r="B493" s="631" t="s">
        <v>8726</v>
      </c>
      <c r="C493" s="631">
        <v>37.971269999999997</v>
      </c>
      <c r="D493" s="631">
        <v>-121.47969000000001</v>
      </c>
      <c r="E493" s="631" t="s">
        <v>9227</v>
      </c>
      <c r="F493" s="631" t="s">
        <v>46</v>
      </c>
      <c r="G493" s="631" t="s">
        <v>6939</v>
      </c>
      <c r="H493" s="21">
        <v>0.42152777777777778</v>
      </c>
      <c r="I493" s="4">
        <v>8.82</v>
      </c>
      <c r="J493" s="631" t="s">
        <v>8608</v>
      </c>
      <c r="K493" s="631">
        <v>8</v>
      </c>
      <c r="L493" s="631" t="s">
        <v>8609</v>
      </c>
      <c r="M493" s="631" t="s">
        <v>8610</v>
      </c>
      <c r="N493" s="14" t="s">
        <v>50</v>
      </c>
      <c r="O493" s="14" t="s">
        <v>50</v>
      </c>
      <c r="P493" s="19">
        <v>0</v>
      </c>
      <c r="Q493" s="18" t="s">
        <v>50</v>
      </c>
      <c r="R493" s="14" t="s">
        <v>50</v>
      </c>
      <c r="S493" s="14" t="s">
        <v>50</v>
      </c>
      <c r="T493" s="5" t="s">
        <v>9228</v>
      </c>
    </row>
    <row r="494" spans="1:20" x14ac:dyDescent="0.25">
      <c r="A494" s="26">
        <v>42821</v>
      </c>
      <c r="B494" s="631" t="s">
        <v>8726</v>
      </c>
      <c r="C494" s="631">
        <v>38.061509999999998</v>
      </c>
      <c r="D494" s="631">
        <v>-121.64807999999999</v>
      </c>
      <c r="E494" s="631" t="s">
        <v>9229</v>
      </c>
      <c r="F494" s="631" t="s">
        <v>46</v>
      </c>
      <c r="G494" s="631" t="s">
        <v>47</v>
      </c>
      <c r="H494" s="21">
        <v>0.31666666666666665</v>
      </c>
      <c r="I494" s="4">
        <v>13.61</v>
      </c>
      <c r="J494" s="631" t="s">
        <v>8608</v>
      </c>
      <c r="K494" s="631">
        <v>8</v>
      </c>
      <c r="L494" s="631" t="s">
        <v>8609</v>
      </c>
      <c r="M494" s="631" t="s">
        <v>8610</v>
      </c>
      <c r="N494" s="14" t="s">
        <v>50</v>
      </c>
      <c r="O494" s="14" t="s">
        <v>50</v>
      </c>
      <c r="P494" s="19">
        <v>0</v>
      </c>
      <c r="Q494" s="18" t="s">
        <v>50</v>
      </c>
      <c r="R494" s="14" t="s">
        <v>50</v>
      </c>
      <c r="S494" s="14" t="s">
        <v>50</v>
      </c>
    </row>
    <row r="495" spans="1:20" x14ac:dyDescent="0.25">
      <c r="A495" s="26">
        <v>42821</v>
      </c>
      <c r="B495" s="631" t="s">
        <v>8726</v>
      </c>
      <c r="C495" s="631">
        <v>38.057839999999999</v>
      </c>
      <c r="D495" s="631">
        <v>-121.54040000000001</v>
      </c>
      <c r="E495" s="631" t="s">
        <v>9230</v>
      </c>
      <c r="F495" s="631" t="s">
        <v>46</v>
      </c>
      <c r="G495" s="631" t="s">
        <v>47</v>
      </c>
      <c r="H495" s="21">
        <v>0.42152777777777778</v>
      </c>
      <c r="I495" s="4">
        <v>10.94</v>
      </c>
      <c r="J495" s="631" t="s">
        <v>8608</v>
      </c>
      <c r="K495" s="631">
        <v>6</v>
      </c>
      <c r="L495" s="631" t="s">
        <v>8609</v>
      </c>
      <c r="M495" s="631" t="s">
        <v>8610</v>
      </c>
      <c r="N495" s="14" t="s">
        <v>50</v>
      </c>
      <c r="O495" s="14" t="s">
        <v>50</v>
      </c>
      <c r="P495" s="19">
        <v>0</v>
      </c>
      <c r="Q495" s="18" t="s">
        <v>50</v>
      </c>
      <c r="R495" s="14" t="s">
        <v>50</v>
      </c>
      <c r="S495" s="14" t="s">
        <v>50</v>
      </c>
      <c r="T495" s="5" t="s">
        <v>9231</v>
      </c>
    </row>
    <row r="496" spans="1:20" x14ac:dyDescent="0.25">
      <c r="A496" s="26">
        <v>42822</v>
      </c>
      <c r="B496" s="631" t="s">
        <v>8726</v>
      </c>
      <c r="C496" s="631">
        <v>38.022939999999998</v>
      </c>
      <c r="D496" s="631">
        <v>-121.59815999999999</v>
      </c>
      <c r="E496" s="631" t="s">
        <v>9232</v>
      </c>
      <c r="F496" s="631" t="s">
        <v>46</v>
      </c>
      <c r="G496" s="631" t="s">
        <v>47</v>
      </c>
      <c r="H496" s="21">
        <v>0.33194444444444443</v>
      </c>
      <c r="I496" s="4">
        <v>12.19</v>
      </c>
      <c r="J496" s="631" t="s">
        <v>8608</v>
      </c>
      <c r="K496" s="631">
        <v>6</v>
      </c>
      <c r="L496" s="631" t="s">
        <v>8609</v>
      </c>
      <c r="M496" s="631" t="s">
        <v>8617</v>
      </c>
      <c r="N496" s="631" t="s">
        <v>3280</v>
      </c>
      <c r="O496" s="631" t="s">
        <v>228</v>
      </c>
      <c r="P496" s="16">
        <v>2</v>
      </c>
      <c r="Q496" s="631" t="s">
        <v>50</v>
      </c>
      <c r="R496" s="14" t="s">
        <v>50</v>
      </c>
      <c r="S496" s="14" t="s">
        <v>50</v>
      </c>
      <c r="T496" s="5" t="s">
        <v>9233</v>
      </c>
    </row>
    <row r="497" spans="1:20" x14ac:dyDescent="0.25">
      <c r="A497" s="26">
        <v>42822</v>
      </c>
      <c r="B497" s="631" t="s">
        <v>8726</v>
      </c>
      <c r="C497" s="631">
        <v>37.909190000000002</v>
      </c>
      <c r="D497" s="631">
        <v>-121.56388</v>
      </c>
      <c r="E497" s="631" t="s">
        <v>9234</v>
      </c>
      <c r="F497" s="631" t="s">
        <v>46</v>
      </c>
      <c r="G497" s="631" t="s">
        <v>199</v>
      </c>
      <c r="H497" s="21">
        <v>0.37916666666666665</v>
      </c>
      <c r="I497" s="4">
        <v>19</v>
      </c>
      <c r="J497" s="631" t="s">
        <v>8608</v>
      </c>
      <c r="K497" s="631">
        <v>8</v>
      </c>
      <c r="L497" s="631" t="s">
        <v>8609</v>
      </c>
      <c r="M497" s="631" t="s">
        <v>8610</v>
      </c>
      <c r="N497" s="631" t="s">
        <v>758</v>
      </c>
      <c r="O497" s="631" t="s">
        <v>228</v>
      </c>
      <c r="P497" s="631">
        <v>1</v>
      </c>
      <c r="Q497" s="631">
        <v>99</v>
      </c>
      <c r="R497" s="631">
        <v>5</v>
      </c>
      <c r="S497" s="631" t="s">
        <v>50</v>
      </c>
    </row>
    <row r="498" spans="1:20" x14ac:dyDescent="0.25">
      <c r="A498" s="26">
        <v>42822</v>
      </c>
      <c r="B498" s="631" t="s">
        <v>8726</v>
      </c>
      <c r="C498" s="631">
        <v>37.837009999999999</v>
      </c>
      <c r="D498" s="631">
        <v>-121.53870000000001</v>
      </c>
      <c r="E498" s="631" t="s">
        <v>9235</v>
      </c>
      <c r="F498" s="631" t="s">
        <v>46</v>
      </c>
      <c r="G498" s="631" t="s">
        <v>202</v>
      </c>
      <c r="H498" s="21">
        <v>0.47986111111111113</v>
      </c>
      <c r="I498" s="4">
        <v>25.74</v>
      </c>
      <c r="J498" s="631" t="s">
        <v>8608</v>
      </c>
      <c r="K498" s="631">
        <v>8</v>
      </c>
      <c r="L498" s="631" t="s">
        <v>8609</v>
      </c>
      <c r="M498" s="631" t="s">
        <v>8610</v>
      </c>
      <c r="N498" s="631" t="s">
        <v>758</v>
      </c>
      <c r="O498" s="631" t="s">
        <v>228</v>
      </c>
      <c r="P498" s="631">
        <v>1</v>
      </c>
      <c r="Q498" s="631">
        <v>107</v>
      </c>
      <c r="R498" s="631">
        <v>5</v>
      </c>
      <c r="S498" s="631" t="s">
        <v>50</v>
      </c>
      <c r="T498" s="5" t="s">
        <v>9236</v>
      </c>
    </row>
    <row r="499" spans="1:20" x14ac:dyDescent="0.25">
      <c r="A499" s="26">
        <v>42822</v>
      </c>
      <c r="B499" s="631" t="s">
        <v>8809</v>
      </c>
      <c r="C499" s="631">
        <v>38.473790000000001</v>
      </c>
      <c r="D499" s="631">
        <v>-121.53292999999999</v>
      </c>
      <c r="E499" s="631" t="s">
        <v>9237</v>
      </c>
      <c r="F499" s="631" t="s">
        <v>90</v>
      </c>
      <c r="G499" s="631" t="s">
        <v>6851</v>
      </c>
      <c r="H499" s="21">
        <v>0.40486111111111112</v>
      </c>
      <c r="I499" s="4">
        <v>29.85</v>
      </c>
      <c r="J499" s="631" t="s">
        <v>8608</v>
      </c>
      <c r="K499" s="631">
        <v>8</v>
      </c>
      <c r="L499" s="631" t="s">
        <v>8609</v>
      </c>
      <c r="M499" s="631" t="s">
        <v>8610</v>
      </c>
      <c r="N499" s="631" t="s">
        <v>758</v>
      </c>
      <c r="O499" s="631" t="s">
        <v>228</v>
      </c>
      <c r="P499" s="631">
        <v>2</v>
      </c>
      <c r="Q499" s="631" t="s">
        <v>9238</v>
      </c>
      <c r="R499" s="631">
        <v>5</v>
      </c>
      <c r="S499" s="631" t="s">
        <v>50</v>
      </c>
    </row>
    <row r="500" spans="1:20" x14ac:dyDescent="0.25">
      <c r="A500" s="26">
        <v>42822</v>
      </c>
      <c r="B500" s="631" t="s">
        <v>8809</v>
      </c>
      <c r="C500" s="631">
        <v>38.473790000000001</v>
      </c>
      <c r="D500" s="631">
        <v>-121.53292999999999</v>
      </c>
      <c r="E500" s="631" t="s">
        <v>9237</v>
      </c>
      <c r="F500" s="631" t="s">
        <v>90</v>
      </c>
      <c r="G500" s="631" t="s">
        <v>6851</v>
      </c>
      <c r="H500" s="631"/>
      <c r="J500" s="631"/>
      <c r="K500" s="631"/>
      <c r="L500" s="631"/>
      <c r="M500" s="631"/>
      <c r="N500" s="631" t="s">
        <v>3280</v>
      </c>
      <c r="O500" s="631" t="s">
        <v>228</v>
      </c>
      <c r="P500" s="631">
        <v>1</v>
      </c>
      <c r="Q500" s="631">
        <v>87</v>
      </c>
      <c r="R500" s="631">
        <v>4</v>
      </c>
      <c r="S500" s="631" t="s">
        <v>50</v>
      </c>
    </row>
    <row r="501" spans="1:20" x14ac:dyDescent="0.25">
      <c r="A501" s="26">
        <v>42823</v>
      </c>
      <c r="B501" s="631" t="s">
        <v>8606</v>
      </c>
      <c r="C501" s="631">
        <v>38.073929999999997</v>
      </c>
      <c r="D501" s="631">
        <v>-121.67637000000001</v>
      </c>
      <c r="E501" s="631" t="s">
        <v>9239</v>
      </c>
      <c r="F501" s="631" t="s">
        <v>46</v>
      </c>
      <c r="G501" s="631" t="s">
        <v>97</v>
      </c>
      <c r="H501" s="21">
        <v>0.32083333333333336</v>
      </c>
      <c r="I501" s="4">
        <v>15.98</v>
      </c>
      <c r="J501" s="631" t="s">
        <v>8608</v>
      </c>
      <c r="K501" s="631">
        <v>5</v>
      </c>
      <c r="L501" s="631" t="s">
        <v>8609</v>
      </c>
      <c r="M501" s="631" t="s">
        <v>8610</v>
      </c>
      <c r="N501" s="14" t="s">
        <v>50</v>
      </c>
      <c r="O501" s="14" t="s">
        <v>50</v>
      </c>
      <c r="P501" s="18">
        <v>0</v>
      </c>
      <c r="Q501" s="18" t="s">
        <v>50</v>
      </c>
      <c r="R501" s="14" t="s">
        <v>50</v>
      </c>
      <c r="S501" s="14" t="s">
        <v>50</v>
      </c>
    </row>
    <row r="502" spans="1:20" x14ac:dyDescent="0.25">
      <c r="A502" s="26">
        <v>42823</v>
      </c>
      <c r="B502" s="631" t="s">
        <v>8606</v>
      </c>
      <c r="C502" s="631">
        <v>38.06044</v>
      </c>
      <c r="D502" s="631">
        <v>-121.68143000000001</v>
      </c>
      <c r="E502" s="631" t="s">
        <v>9240</v>
      </c>
      <c r="F502" s="631" t="s">
        <v>46</v>
      </c>
      <c r="G502" s="631" t="s">
        <v>97</v>
      </c>
      <c r="H502" s="21">
        <v>0.37847222222222227</v>
      </c>
      <c r="I502" s="4">
        <v>24.58</v>
      </c>
      <c r="J502" s="631" t="s">
        <v>8608</v>
      </c>
      <c r="K502" s="631">
        <v>5</v>
      </c>
      <c r="L502" s="631" t="s">
        <v>8609</v>
      </c>
      <c r="M502" s="631" t="s">
        <v>8610</v>
      </c>
      <c r="N502" s="14" t="s">
        <v>50</v>
      </c>
      <c r="O502" s="14" t="s">
        <v>50</v>
      </c>
      <c r="P502" s="18">
        <v>0</v>
      </c>
      <c r="Q502" s="18" t="s">
        <v>50</v>
      </c>
      <c r="R502" s="14" t="s">
        <v>50</v>
      </c>
      <c r="S502" s="14" t="s">
        <v>50</v>
      </c>
    </row>
    <row r="503" spans="1:20" x14ac:dyDescent="0.25">
      <c r="A503" s="26">
        <v>42823</v>
      </c>
      <c r="B503" s="631" t="s">
        <v>8606</v>
      </c>
      <c r="C503" s="631">
        <v>38.092700000000001</v>
      </c>
      <c r="D503" s="631">
        <v>-121.64881</v>
      </c>
      <c r="E503" s="631" t="s">
        <v>9241</v>
      </c>
      <c r="F503" s="631" t="s">
        <v>46</v>
      </c>
      <c r="G503" s="631" t="s">
        <v>97</v>
      </c>
      <c r="H503" s="21">
        <v>0.44097222222222227</v>
      </c>
      <c r="I503" s="4">
        <v>20.12</v>
      </c>
      <c r="J503" s="631" t="s">
        <v>8608</v>
      </c>
      <c r="K503" s="631">
        <v>5</v>
      </c>
      <c r="L503" s="631" t="s">
        <v>8609</v>
      </c>
      <c r="M503" s="631" t="s">
        <v>8610</v>
      </c>
      <c r="N503" s="14" t="s">
        <v>50</v>
      </c>
      <c r="O503" s="14" t="s">
        <v>50</v>
      </c>
      <c r="P503" s="18">
        <v>0</v>
      </c>
      <c r="Q503" s="18" t="s">
        <v>50</v>
      </c>
      <c r="R503" s="14" t="s">
        <v>50</v>
      </c>
      <c r="S503" s="14" t="s">
        <v>50</v>
      </c>
      <c r="T503" s="5" t="s">
        <v>9242</v>
      </c>
    </row>
    <row r="504" spans="1:20" x14ac:dyDescent="0.25">
      <c r="A504" s="26">
        <v>42823</v>
      </c>
      <c r="B504" s="631" t="s">
        <v>8606</v>
      </c>
      <c r="C504" s="631">
        <v>38.093490000000003</v>
      </c>
      <c r="D504" s="631">
        <v>-121.66912000000001</v>
      </c>
      <c r="E504" s="631" t="s">
        <v>9243</v>
      </c>
      <c r="F504" s="631" t="s">
        <v>46</v>
      </c>
      <c r="G504" s="631" t="s">
        <v>97</v>
      </c>
      <c r="H504" s="21">
        <v>0.49652777777777773</v>
      </c>
      <c r="I504" s="4">
        <v>20.36</v>
      </c>
      <c r="J504" s="631" t="s">
        <v>8608</v>
      </c>
      <c r="K504" s="631">
        <v>5</v>
      </c>
      <c r="L504" s="631" t="s">
        <v>8609</v>
      </c>
      <c r="M504" s="631" t="s">
        <v>8610</v>
      </c>
      <c r="N504" s="631" t="s">
        <v>3280</v>
      </c>
      <c r="O504" s="631" t="s">
        <v>228</v>
      </c>
      <c r="P504" s="631">
        <v>1</v>
      </c>
      <c r="Q504" s="631">
        <v>84</v>
      </c>
      <c r="R504" s="631">
        <v>4</v>
      </c>
      <c r="S504" s="631" t="s">
        <v>50</v>
      </c>
    </row>
    <row r="505" spans="1:20" x14ac:dyDescent="0.25">
      <c r="A505" s="26">
        <v>42823</v>
      </c>
      <c r="B505" s="631" t="s">
        <v>8296</v>
      </c>
      <c r="C505" s="631">
        <v>38.095649999999999</v>
      </c>
      <c r="D505" s="631">
        <v>-122.03335</v>
      </c>
      <c r="E505" s="631" t="s">
        <v>9244</v>
      </c>
      <c r="F505" s="631" t="s">
        <v>27</v>
      </c>
      <c r="G505" s="631" t="s">
        <v>86</v>
      </c>
      <c r="H505" s="21">
        <v>0.36874999999999997</v>
      </c>
      <c r="I505" s="4">
        <v>42.78</v>
      </c>
      <c r="J505" s="631" t="s">
        <v>8608</v>
      </c>
      <c r="K505" s="631">
        <v>5</v>
      </c>
      <c r="L505" s="631" t="s">
        <v>8625</v>
      </c>
      <c r="M505" s="631" t="s">
        <v>8610</v>
      </c>
      <c r="N505" s="14" t="s">
        <v>50</v>
      </c>
      <c r="O505" s="14" t="s">
        <v>50</v>
      </c>
      <c r="P505" s="18">
        <v>0</v>
      </c>
      <c r="Q505" s="18" t="s">
        <v>50</v>
      </c>
      <c r="R505" s="14" t="s">
        <v>50</v>
      </c>
      <c r="S505" s="14" t="s">
        <v>50</v>
      </c>
    </row>
    <row r="506" spans="1:20" x14ac:dyDescent="0.25">
      <c r="A506" s="26">
        <v>42823</v>
      </c>
      <c r="B506" s="631" t="s">
        <v>8296</v>
      </c>
      <c r="C506" s="631">
        <v>38.120849999999997</v>
      </c>
      <c r="D506" s="631">
        <v>-122.07162</v>
      </c>
      <c r="E506" s="631" t="s">
        <v>9245</v>
      </c>
      <c r="F506" s="631" t="s">
        <v>27</v>
      </c>
      <c r="G506" s="631" t="s">
        <v>62</v>
      </c>
      <c r="H506" s="21">
        <v>0.4381944444444445</v>
      </c>
      <c r="I506" s="4">
        <v>137</v>
      </c>
      <c r="J506" s="631" t="s">
        <v>8608</v>
      </c>
      <c r="K506" s="631">
        <v>5</v>
      </c>
      <c r="L506" s="631" t="s">
        <v>8625</v>
      </c>
      <c r="M506" s="631" t="s">
        <v>8610</v>
      </c>
      <c r="N506" s="631" t="s">
        <v>3280</v>
      </c>
      <c r="O506" s="631" t="s">
        <v>9246</v>
      </c>
      <c r="P506" s="631">
        <v>1</v>
      </c>
      <c r="Q506" s="631">
        <v>90</v>
      </c>
      <c r="R506" s="631">
        <v>4</v>
      </c>
      <c r="S506" s="631" t="s">
        <v>50</v>
      </c>
    </row>
    <row r="507" spans="1:20" x14ac:dyDescent="0.25">
      <c r="A507" s="26">
        <v>42823</v>
      </c>
      <c r="B507" s="631" t="s">
        <v>8296</v>
      </c>
      <c r="C507" s="631">
        <v>38.023879999999998</v>
      </c>
      <c r="D507" s="631">
        <v>-121.70734</v>
      </c>
      <c r="E507" s="631" t="s">
        <v>9247</v>
      </c>
      <c r="F507" s="631" t="s">
        <v>27</v>
      </c>
      <c r="G507" s="631" t="s">
        <v>95</v>
      </c>
      <c r="H507" s="21">
        <v>0.5229166666666667</v>
      </c>
      <c r="I507" s="4">
        <v>19.32</v>
      </c>
      <c r="J507" s="631" t="s">
        <v>8608</v>
      </c>
      <c r="K507" s="631">
        <v>5</v>
      </c>
      <c r="L507" s="631" t="s">
        <v>8625</v>
      </c>
      <c r="M507" s="631" t="s">
        <v>8610</v>
      </c>
      <c r="N507" s="14" t="s">
        <v>50</v>
      </c>
      <c r="O507" s="14" t="s">
        <v>50</v>
      </c>
      <c r="P507" s="18">
        <v>0</v>
      </c>
      <c r="Q507" s="18" t="s">
        <v>50</v>
      </c>
      <c r="R507" s="14" t="s">
        <v>50</v>
      </c>
      <c r="S507" s="14" t="s">
        <v>50</v>
      </c>
    </row>
    <row r="508" spans="1:20" x14ac:dyDescent="0.25">
      <c r="A508" s="26">
        <v>42823</v>
      </c>
      <c r="B508" s="631" t="s">
        <v>8809</v>
      </c>
      <c r="C508" s="631">
        <v>38.0350714</v>
      </c>
      <c r="D508" s="631">
        <v>-122.2980603</v>
      </c>
      <c r="E508" s="631" t="s">
        <v>9248</v>
      </c>
      <c r="F508" s="631" t="s">
        <v>80</v>
      </c>
      <c r="G508" s="631" t="s">
        <v>123</v>
      </c>
      <c r="H508" s="21">
        <v>0.36736111111111108</v>
      </c>
      <c r="I508" s="13" t="s">
        <v>50</v>
      </c>
      <c r="J508" s="14" t="s">
        <v>8608</v>
      </c>
      <c r="K508" s="14">
        <v>0</v>
      </c>
      <c r="L508" s="14" t="s">
        <v>50</v>
      </c>
      <c r="M508" s="14" t="s">
        <v>50</v>
      </c>
      <c r="N508" s="14" t="s">
        <v>50</v>
      </c>
      <c r="O508" s="14" t="s">
        <v>50</v>
      </c>
      <c r="P508" s="18">
        <v>0</v>
      </c>
      <c r="Q508" s="18" t="s">
        <v>50</v>
      </c>
      <c r="R508" s="14" t="s">
        <v>50</v>
      </c>
      <c r="S508" s="14" t="s">
        <v>50</v>
      </c>
      <c r="T508" s="5" t="s">
        <v>9249</v>
      </c>
    </row>
    <row r="509" spans="1:20" x14ac:dyDescent="0.25">
      <c r="A509" s="26">
        <v>42823</v>
      </c>
      <c r="B509" s="631" t="s">
        <v>8809</v>
      </c>
      <c r="C509" s="631">
        <v>38.059139999999999</v>
      </c>
      <c r="D509" s="631">
        <v>-122.28012</v>
      </c>
      <c r="E509" s="631" t="s">
        <v>9250</v>
      </c>
      <c r="F509" s="631" t="s">
        <v>80</v>
      </c>
      <c r="G509" s="631" t="s">
        <v>123</v>
      </c>
      <c r="H509" s="21">
        <v>0.37638888888888888</v>
      </c>
      <c r="I509" s="4">
        <v>86.26</v>
      </c>
      <c r="J509" s="631" t="s">
        <v>8608</v>
      </c>
      <c r="K509" s="631">
        <v>8</v>
      </c>
      <c r="L509" s="631" t="s">
        <v>8609</v>
      </c>
      <c r="M509" s="631" t="s">
        <v>50</v>
      </c>
      <c r="N509" s="631" t="s">
        <v>3280</v>
      </c>
      <c r="O509" s="631" t="s">
        <v>228</v>
      </c>
      <c r="P509" s="631">
        <v>4</v>
      </c>
      <c r="Q509" s="631" t="s">
        <v>9251</v>
      </c>
      <c r="R509" s="631">
        <v>4</v>
      </c>
      <c r="S509" s="631" t="s">
        <v>50</v>
      </c>
    </row>
    <row r="510" spans="1:20" x14ac:dyDescent="0.25">
      <c r="A510" s="26">
        <v>42823</v>
      </c>
      <c r="B510" s="631" t="s">
        <v>8809</v>
      </c>
      <c r="C510" s="631">
        <v>38.059139999999999</v>
      </c>
      <c r="D510" s="631">
        <v>-122.28012</v>
      </c>
      <c r="E510" s="16" t="s">
        <v>9250</v>
      </c>
      <c r="F510" s="631" t="s">
        <v>80</v>
      </c>
      <c r="G510" s="631" t="s">
        <v>123</v>
      </c>
      <c r="H510" s="631"/>
      <c r="J510" s="631"/>
      <c r="K510" s="631"/>
      <c r="L510" s="631"/>
      <c r="M510" s="631"/>
      <c r="N510" s="631" t="s">
        <v>5265</v>
      </c>
      <c r="O510" s="631" t="s">
        <v>2525</v>
      </c>
      <c r="P510" s="631">
        <v>1</v>
      </c>
      <c r="Q510" s="631">
        <v>89</v>
      </c>
      <c r="R510" s="631" t="s">
        <v>50</v>
      </c>
      <c r="S510" s="631" t="s">
        <v>50</v>
      </c>
    </row>
    <row r="511" spans="1:20" x14ac:dyDescent="0.25">
      <c r="A511" s="26">
        <v>42823</v>
      </c>
      <c r="B511" s="631" t="s">
        <v>8809</v>
      </c>
      <c r="C511" s="631">
        <v>38.059139999999999</v>
      </c>
      <c r="D511" s="631">
        <v>-122.28012</v>
      </c>
      <c r="E511" s="16" t="s">
        <v>9250</v>
      </c>
      <c r="F511" s="631" t="s">
        <v>80</v>
      </c>
      <c r="G511" s="631" t="s">
        <v>123</v>
      </c>
      <c r="H511" s="631"/>
      <c r="J511" s="631"/>
      <c r="K511" s="631"/>
      <c r="L511" s="631"/>
      <c r="M511" s="631"/>
      <c r="N511" s="631" t="s">
        <v>758</v>
      </c>
      <c r="O511" s="631" t="s">
        <v>228</v>
      </c>
      <c r="P511" s="631">
        <v>1</v>
      </c>
      <c r="Q511" s="631">
        <v>104</v>
      </c>
      <c r="R511" s="631">
        <v>5</v>
      </c>
      <c r="S511" s="631" t="s">
        <v>50</v>
      </c>
    </row>
    <row r="512" spans="1:20" x14ac:dyDescent="0.25">
      <c r="A512" s="26">
        <v>42823</v>
      </c>
      <c r="B512" s="631" t="s">
        <v>8809</v>
      </c>
      <c r="C512" s="631">
        <v>38.059139999999999</v>
      </c>
      <c r="D512" s="631">
        <v>-122.28012</v>
      </c>
      <c r="E512" s="16" t="s">
        <v>9250</v>
      </c>
      <c r="F512" s="631" t="s">
        <v>80</v>
      </c>
      <c r="G512" s="631" t="s">
        <v>123</v>
      </c>
      <c r="H512" s="631"/>
      <c r="J512" s="631"/>
      <c r="K512" s="631"/>
      <c r="L512" s="631"/>
      <c r="M512" s="631"/>
      <c r="N512" s="631" t="s">
        <v>5265</v>
      </c>
      <c r="O512" s="631" t="s">
        <v>50</v>
      </c>
      <c r="P512" s="631">
        <v>4</v>
      </c>
      <c r="Q512" s="631" t="s">
        <v>50</v>
      </c>
      <c r="R512" s="631" t="s">
        <v>9098</v>
      </c>
      <c r="S512" s="631" t="s">
        <v>50</v>
      </c>
      <c r="T512" s="5" t="s">
        <v>9252</v>
      </c>
    </row>
    <row r="513" spans="1:20" x14ac:dyDescent="0.25">
      <c r="A513" s="26">
        <v>42823</v>
      </c>
      <c r="B513" s="631" t="s">
        <v>8809</v>
      </c>
      <c r="C513" s="631">
        <v>38.151589999999999</v>
      </c>
      <c r="D513" s="631">
        <v>-122.29388</v>
      </c>
      <c r="E513" s="631" t="s">
        <v>9253</v>
      </c>
      <c r="F513" s="631" t="s">
        <v>80</v>
      </c>
      <c r="G513" s="631" t="s">
        <v>191</v>
      </c>
      <c r="H513" s="21">
        <v>0.49652777777777773</v>
      </c>
      <c r="I513" s="4">
        <v>111.41</v>
      </c>
      <c r="J513" s="631" t="s">
        <v>8608</v>
      </c>
      <c r="K513" s="631">
        <v>8</v>
      </c>
      <c r="L513" s="631" t="s">
        <v>8609</v>
      </c>
      <c r="M513" s="631" t="s">
        <v>8617</v>
      </c>
      <c r="N513" s="631" t="s">
        <v>5265</v>
      </c>
      <c r="O513" s="631" t="s">
        <v>2525</v>
      </c>
      <c r="P513" s="631">
        <v>1</v>
      </c>
      <c r="Q513" s="631">
        <v>85</v>
      </c>
      <c r="R513" s="631" t="s">
        <v>9098</v>
      </c>
      <c r="S513" s="631" t="s">
        <v>50</v>
      </c>
    </row>
    <row r="514" spans="1:20" x14ac:dyDescent="0.25">
      <c r="A514" s="26">
        <v>42823</v>
      </c>
      <c r="B514" s="631" t="s">
        <v>8809</v>
      </c>
      <c r="C514" s="631">
        <v>38.042990000000003</v>
      </c>
      <c r="D514" s="631">
        <v>-122.16927</v>
      </c>
      <c r="E514" s="631" t="s">
        <v>9254</v>
      </c>
      <c r="F514" s="631" t="s">
        <v>80</v>
      </c>
      <c r="G514" s="631" t="s">
        <v>120</v>
      </c>
      <c r="H514" s="21">
        <v>0.63263888888888886</v>
      </c>
      <c r="I514" s="345">
        <v>52.26</v>
      </c>
      <c r="J514" s="631" t="s">
        <v>8608</v>
      </c>
      <c r="K514" s="16">
        <v>8</v>
      </c>
      <c r="L514" s="631" t="s">
        <v>8609</v>
      </c>
      <c r="M514" s="631" t="s">
        <v>8617</v>
      </c>
      <c r="N514" s="631" t="s">
        <v>3280</v>
      </c>
      <c r="O514" s="631" t="s">
        <v>228</v>
      </c>
      <c r="P514" s="16">
        <v>9</v>
      </c>
      <c r="Q514" s="16" t="s">
        <v>9255</v>
      </c>
      <c r="R514" s="631">
        <v>4</v>
      </c>
      <c r="S514" s="631" t="s">
        <v>50</v>
      </c>
    </row>
    <row r="515" spans="1:20" x14ac:dyDescent="0.25">
      <c r="A515" s="26">
        <v>42823</v>
      </c>
      <c r="B515" s="631" t="s">
        <v>8809</v>
      </c>
      <c r="C515" s="631">
        <v>38.042990000000003</v>
      </c>
      <c r="D515" s="631">
        <v>-122.16927</v>
      </c>
      <c r="E515" s="631" t="s">
        <v>9254</v>
      </c>
      <c r="F515" s="631" t="s">
        <v>80</v>
      </c>
      <c r="G515" s="631" t="s">
        <v>120</v>
      </c>
      <c r="H515" s="631"/>
      <c r="J515" s="631"/>
      <c r="K515" s="631"/>
      <c r="L515" s="631"/>
      <c r="M515" s="631"/>
      <c r="N515" s="631" t="s">
        <v>758</v>
      </c>
      <c r="O515" s="631" t="s">
        <v>228</v>
      </c>
      <c r="P515" s="16">
        <v>7</v>
      </c>
      <c r="Q515" s="16" t="s">
        <v>9256</v>
      </c>
      <c r="R515" s="631">
        <v>4</v>
      </c>
      <c r="S515" s="631" t="s">
        <v>50</v>
      </c>
    </row>
    <row r="516" spans="1:20" x14ac:dyDescent="0.25">
      <c r="A516" s="343">
        <v>42823</v>
      </c>
      <c r="B516" s="16" t="s">
        <v>8809</v>
      </c>
      <c r="C516" s="16">
        <v>38.042990000000003</v>
      </c>
      <c r="D516" s="16">
        <v>-122.16927</v>
      </c>
      <c r="E516" s="16" t="s">
        <v>9254</v>
      </c>
      <c r="F516" s="16" t="s">
        <v>80</v>
      </c>
      <c r="G516" s="16" t="s">
        <v>120</v>
      </c>
      <c r="H516" s="631"/>
      <c r="J516" s="631"/>
      <c r="K516" s="631"/>
      <c r="L516" s="631"/>
      <c r="M516" s="631"/>
      <c r="N516" s="16" t="s">
        <v>5265</v>
      </c>
      <c r="O516" s="16" t="s">
        <v>2525</v>
      </c>
      <c r="P516" s="16">
        <v>1</v>
      </c>
      <c r="Q516" s="16">
        <v>89</v>
      </c>
      <c r="R516" s="16" t="s">
        <v>50</v>
      </c>
      <c r="S516" s="16" t="s">
        <v>50</v>
      </c>
    </row>
    <row r="517" spans="1:20" s="370" customFormat="1" x14ac:dyDescent="0.25">
      <c r="A517" s="343">
        <v>42823</v>
      </c>
      <c r="B517" s="16" t="s">
        <v>8809</v>
      </c>
      <c r="C517" s="16">
        <v>38.042990000000003</v>
      </c>
      <c r="D517" s="16">
        <v>-122.16927</v>
      </c>
      <c r="E517" s="16" t="s">
        <v>9254</v>
      </c>
      <c r="F517" s="16" t="s">
        <v>80</v>
      </c>
      <c r="G517" s="16" t="s">
        <v>120</v>
      </c>
      <c r="H517" s="631"/>
      <c r="I517" s="4"/>
      <c r="J517" s="631"/>
      <c r="K517" s="631"/>
      <c r="L517" s="631"/>
      <c r="M517" s="631"/>
      <c r="N517" s="16" t="s">
        <v>702</v>
      </c>
      <c r="O517" s="16" t="s">
        <v>228</v>
      </c>
      <c r="P517" s="16">
        <v>1</v>
      </c>
      <c r="Q517" s="16">
        <v>71</v>
      </c>
      <c r="R517" s="16">
        <v>4</v>
      </c>
      <c r="S517" s="16" t="s">
        <v>50</v>
      </c>
      <c r="T517" s="5"/>
    </row>
    <row r="518" spans="1:20" x14ac:dyDescent="0.25">
      <c r="A518" s="343">
        <v>42823</v>
      </c>
      <c r="B518" s="16" t="s">
        <v>8809</v>
      </c>
      <c r="C518" s="16">
        <v>38.042990000000003</v>
      </c>
      <c r="D518" s="16">
        <v>-122.16927</v>
      </c>
      <c r="E518" s="16" t="s">
        <v>9254</v>
      </c>
      <c r="F518" s="16" t="s">
        <v>80</v>
      </c>
      <c r="G518" s="16" t="s">
        <v>120</v>
      </c>
      <c r="H518" s="631"/>
      <c r="J518" s="631"/>
      <c r="K518" s="631"/>
      <c r="L518" s="631"/>
      <c r="M518" s="631"/>
      <c r="N518" s="16" t="s">
        <v>622</v>
      </c>
      <c r="O518" s="16" t="s">
        <v>2525</v>
      </c>
      <c r="P518" s="16">
        <v>1</v>
      </c>
      <c r="Q518" s="16">
        <v>227</v>
      </c>
      <c r="R518" s="16" t="s">
        <v>50</v>
      </c>
      <c r="S518" s="16" t="s">
        <v>50</v>
      </c>
    </row>
    <row r="519" spans="1:20" x14ac:dyDescent="0.25">
      <c r="A519" s="343">
        <v>42823</v>
      </c>
      <c r="B519" s="16" t="s">
        <v>8809</v>
      </c>
      <c r="C519" s="16">
        <v>38.042990000000003</v>
      </c>
      <c r="D519" s="16">
        <v>-122.16927</v>
      </c>
      <c r="E519" s="16" t="s">
        <v>9254</v>
      </c>
      <c r="F519" s="16" t="s">
        <v>80</v>
      </c>
      <c r="G519" s="16" t="s">
        <v>120</v>
      </c>
      <c r="H519" s="631"/>
      <c r="J519" s="631"/>
      <c r="K519" s="631"/>
      <c r="L519" s="631"/>
      <c r="M519" s="631"/>
      <c r="N519" s="16" t="s">
        <v>323</v>
      </c>
      <c r="O519" s="16" t="s">
        <v>50</v>
      </c>
      <c r="P519" s="16">
        <v>1</v>
      </c>
      <c r="Q519" s="16">
        <v>80</v>
      </c>
      <c r="R519" s="16" t="s">
        <v>50</v>
      </c>
      <c r="S519" s="16" t="s">
        <v>8613</v>
      </c>
    </row>
    <row r="520" spans="1:20" x14ac:dyDescent="0.25">
      <c r="A520" s="26">
        <v>42824</v>
      </c>
      <c r="B520" s="631" t="s">
        <v>8606</v>
      </c>
      <c r="C520" s="631">
        <v>38.110232519999997</v>
      </c>
      <c r="D520" s="631">
        <v>-121.61581339999999</v>
      </c>
      <c r="E520" s="631" t="s">
        <v>9257</v>
      </c>
      <c r="F520" s="631" t="s">
        <v>46</v>
      </c>
      <c r="G520" s="631" t="s">
        <v>97</v>
      </c>
      <c r="H520" s="21">
        <v>0.31597222222222221</v>
      </c>
      <c r="I520" s="13" t="s">
        <v>50</v>
      </c>
      <c r="J520" s="14" t="s">
        <v>8608</v>
      </c>
      <c r="K520" s="14">
        <v>0</v>
      </c>
      <c r="L520" s="14" t="s">
        <v>50</v>
      </c>
      <c r="M520" s="14" t="s">
        <v>50</v>
      </c>
      <c r="N520" s="14" t="s">
        <v>50</v>
      </c>
      <c r="O520" s="14" t="s">
        <v>50</v>
      </c>
      <c r="P520" s="18">
        <v>0</v>
      </c>
      <c r="Q520" s="18" t="s">
        <v>50</v>
      </c>
      <c r="R520" s="14" t="s">
        <v>50</v>
      </c>
      <c r="S520" s="14" t="s">
        <v>50</v>
      </c>
      <c r="T520" s="5" t="s">
        <v>9258</v>
      </c>
    </row>
    <row r="521" spans="1:20" x14ac:dyDescent="0.25">
      <c r="A521" s="26">
        <v>42824</v>
      </c>
      <c r="B521" s="631" t="s">
        <v>8606</v>
      </c>
      <c r="C521" s="631">
        <v>38.097140000000003</v>
      </c>
      <c r="D521" s="631">
        <v>-121.57566</v>
      </c>
      <c r="E521" s="631" t="s">
        <v>9259</v>
      </c>
      <c r="F521" s="631" t="s">
        <v>46</v>
      </c>
      <c r="G521" s="631" t="s">
        <v>8615</v>
      </c>
      <c r="H521" s="21">
        <v>0.33611111111111108</v>
      </c>
      <c r="I521" s="4">
        <v>23.54</v>
      </c>
      <c r="J521" s="631" t="s">
        <v>8608</v>
      </c>
      <c r="K521" s="631">
        <v>5</v>
      </c>
      <c r="L521" s="631" t="s">
        <v>8609</v>
      </c>
      <c r="M521" s="631" t="s">
        <v>8610</v>
      </c>
      <c r="N521" s="631" t="s">
        <v>702</v>
      </c>
      <c r="O521" s="631" t="s">
        <v>228</v>
      </c>
      <c r="P521" s="631">
        <v>1</v>
      </c>
      <c r="Q521" s="631">
        <v>71</v>
      </c>
      <c r="R521" s="631">
        <v>3</v>
      </c>
      <c r="S521" s="631" t="s">
        <v>50</v>
      </c>
    </row>
    <row r="522" spans="1:20" x14ac:dyDescent="0.25">
      <c r="A522" s="26">
        <v>42824</v>
      </c>
      <c r="B522" s="631" t="s">
        <v>8809</v>
      </c>
      <c r="C522" s="631">
        <v>38.048490000000001</v>
      </c>
      <c r="D522" s="631">
        <v>-122.10872999999999</v>
      </c>
      <c r="E522" s="631" t="s">
        <v>9260</v>
      </c>
      <c r="F522" s="631" t="s">
        <v>80</v>
      </c>
      <c r="G522" s="631" t="s">
        <v>81</v>
      </c>
      <c r="H522" s="21">
        <v>0.33194444444444443</v>
      </c>
      <c r="I522" s="4">
        <v>45.55</v>
      </c>
      <c r="J522" s="631" t="s">
        <v>8608</v>
      </c>
      <c r="K522" s="631">
        <v>8</v>
      </c>
      <c r="L522" s="631" t="s">
        <v>8609</v>
      </c>
      <c r="M522" s="631" t="s">
        <v>8610</v>
      </c>
      <c r="N522" s="631" t="s">
        <v>3280</v>
      </c>
      <c r="O522" s="631" t="s">
        <v>228</v>
      </c>
      <c r="P522" s="631">
        <v>2</v>
      </c>
      <c r="Q522" s="631" t="s">
        <v>9261</v>
      </c>
      <c r="R522" s="631">
        <v>4</v>
      </c>
      <c r="S522" s="631" t="s">
        <v>50</v>
      </c>
    </row>
    <row r="523" spans="1:20" x14ac:dyDescent="0.25">
      <c r="A523" s="26">
        <v>42824</v>
      </c>
      <c r="B523" s="631" t="s">
        <v>8809</v>
      </c>
      <c r="C523" s="631">
        <v>38.048490000000001</v>
      </c>
      <c r="D523" s="631">
        <v>-122.10872999999999</v>
      </c>
      <c r="E523" s="631" t="s">
        <v>9260</v>
      </c>
      <c r="F523" s="631" t="s">
        <v>80</v>
      </c>
      <c r="G523" s="631" t="s">
        <v>81</v>
      </c>
      <c r="H523" s="631"/>
      <c r="J523" s="631"/>
      <c r="K523" s="631"/>
      <c r="L523" s="631"/>
      <c r="M523" s="631"/>
      <c r="N523" s="631" t="s">
        <v>758</v>
      </c>
      <c r="O523" s="631" t="s">
        <v>228</v>
      </c>
      <c r="P523" s="631">
        <v>5</v>
      </c>
      <c r="Q523" s="631" t="s">
        <v>9262</v>
      </c>
      <c r="R523" s="631">
        <v>5</v>
      </c>
      <c r="S523" s="631" t="s">
        <v>50</v>
      </c>
    </row>
    <row r="524" spans="1:20" x14ac:dyDescent="0.25">
      <c r="A524" s="26">
        <v>42824</v>
      </c>
      <c r="B524" s="631" t="s">
        <v>8809</v>
      </c>
      <c r="C524" s="631">
        <v>38.048490000000001</v>
      </c>
      <c r="D524" s="631">
        <v>-122.10872999999999</v>
      </c>
      <c r="E524" s="631" t="s">
        <v>9260</v>
      </c>
      <c r="F524" s="631" t="s">
        <v>80</v>
      </c>
      <c r="G524" s="631" t="s">
        <v>81</v>
      </c>
      <c r="H524" s="631"/>
      <c r="J524" s="631"/>
      <c r="K524" s="631"/>
      <c r="L524" s="631"/>
      <c r="M524" s="631"/>
      <c r="N524" s="631" t="s">
        <v>702</v>
      </c>
      <c r="O524" s="631" t="s">
        <v>228</v>
      </c>
      <c r="P524" s="631">
        <v>1</v>
      </c>
      <c r="Q524" s="631">
        <v>60</v>
      </c>
      <c r="R524" s="631">
        <v>3</v>
      </c>
      <c r="S524" s="631" t="s">
        <v>50</v>
      </c>
    </row>
    <row r="525" spans="1:20" x14ac:dyDescent="0.25">
      <c r="A525" s="26">
        <v>42824</v>
      </c>
      <c r="B525" s="631" t="s">
        <v>8809</v>
      </c>
      <c r="C525" s="631">
        <v>38.048490000000001</v>
      </c>
      <c r="D525" s="631">
        <v>-122.10872999999999</v>
      </c>
      <c r="E525" s="631" t="s">
        <v>9260</v>
      </c>
      <c r="F525" s="631" t="s">
        <v>80</v>
      </c>
      <c r="G525" s="631" t="s">
        <v>81</v>
      </c>
      <c r="H525" s="631"/>
      <c r="J525" s="631"/>
      <c r="K525" s="631"/>
      <c r="L525" s="631"/>
      <c r="M525" s="631"/>
      <c r="N525" s="631" t="s">
        <v>5265</v>
      </c>
      <c r="O525" s="631" t="s">
        <v>2525</v>
      </c>
      <c r="P525" s="631">
        <v>3</v>
      </c>
      <c r="Q525" s="631" t="s">
        <v>9263</v>
      </c>
      <c r="R525" s="631">
        <v>4</v>
      </c>
      <c r="S525" s="631" t="s">
        <v>50</v>
      </c>
    </row>
    <row r="526" spans="1:20" x14ac:dyDescent="0.25">
      <c r="A526" s="26">
        <v>42824</v>
      </c>
      <c r="B526" s="631" t="s">
        <v>8809</v>
      </c>
      <c r="C526" s="631">
        <v>38.048490000000001</v>
      </c>
      <c r="D526" s="631">
        <v>-122.10872999999999</v>
      </c>
      <c r="E526" s="631" t="s">
        <v>9260</v>
      </c>
      <c r="F526" s="631" t="s">
        <v>80</v>
      </c>
      <c r="G526" s="631" t="s">
        <v>81</v>
      </c>
      <c r="H526" s="631"/>
      <c r="J526" s="631"/>
      <c r="K526" s="631"/>
      <c r="L526" s="631"/>
      <c r="M526" s="631"/>
      <c r="N526" s="631" t="s">
        <v>622</v>
      </c>
      <c r="O526" s="631" t="s">
        <v>2525</v>
      </c>
      <c r="P526" s="631">
        <v>1</v>
      </c>
      <c r="Q526" s="631">
        <v>290</v>
      </c>
      <c r="R526" s="631">
        <v>5</v>
      </c>
      <c r="S526" s="631" t="s">
        <v>50</v>
      </c>
    </row>
  </sheetData>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2F320F954E9EF4C883D846C333DAD14" ma:contentTypeVersion="15" ma:contentTypeDescription="Create a new document." ma:contentTypeScope="" ma:versionID="7b7f4cf02776623e1b300c481c3390bd">
  <xsd:schema xmlns:xsd="http://www.w3.org/2001/XMLSchema" xmlns:xs="http://www.w3.org/2001/XMLSchema" xmlns:p="http://schemas.microsoft.com/office/2006/metadata/properties" xmlns:ns1="http://schemas.microsoft.com/sharepoint/v3" xmlns:ns3="dd63423a-f130-4076-ad62-1851c5112126" xmlns:ns4="20771cc5-05de-43e6-975d-9814c05f0324" targetNamespace="http://schemas.microsoft.com/office/2006/metadata/properties" ma:root="true" ma:fieldsID="b7bb6e749f51faadaa97dd2b9c24f488" ns1:_="" ns3:_="" ns4:_="">
    <xsd:import namespace="http://schemas.microsoft.com/sharepoint/v3"/>
    <xsd:import namespace="dd63423a-f130-4076-ad62-1851c5112126"/>
    <xsd:import namespace="20771cc5-05de-43e6-975d-9814c05f0324"/>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element ref="ns4:MediaServiceAutoKeyPoints" minOccurs="0"/>
                <xsd:element ref="ns4:MediaServiceKeyPoints" minOccurs="0"/>
                <xsd:element ref="ns4:MediaServiceDateTaken" minOccurs="0"/>
                <xsd:element ref="ns4:MediaServiceLocation"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1" nillable="true" ma:displayName="Unified Compliance Policy Properties" ma:hidden="true" ma:internalName="_ip_UnifiedCompliancePolicyProperties">
      <xsd:simpleType>
        <xsd:restriction base="dms:Note"/>
      </xsd:simpleType>
    </xsd:element>
    <xsd:element name="_ip_UnifiedCompliancePolicyUIAction" ma:index="22"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d63423a-f130-4076-ad62-1851c5112126"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0771cc5-05de-43e6-975d-9814c05f0324"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73523036-B181-47E1-BCAE-946CE276C018}">
  <ds:schemaRefs>
    <ds:schemaRef ds:uri="http://schemas.microsoft.com/sharepoint/v3/contenttype/forms"/>
  </ds:schemaRefs>
</ds:datastoreItem>
</file>

<file path=customXml/itemProps2.xml><?xml version="1.0" encoding="utf-8"?>
<ds:datastoreItem xmlns:ds="http://schemas.openxmlformats.org/officeDocument/2006/customXml" ds:itemID="{D213277A-3867-4BC1-AAEE-D7EF75F83EB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d63423a-f130-4076-ad62-1851c5112126"/>
    <ds:schemaRef ds:uri="20771cc5-05de-43e6-975d-9814c05f032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C1F8196-16EC-4E52-9851-DF09B1F2B928}">
  <ds:schemaRefs>
    <ds:schemaRef ds:uri="http://purl.org/dc/elements/1.1/"/>
    <ds:schemaRef ds:uri="http://www.w3.org/XML/1998/namespace"/>
    <ds:schemaRef ds:uri="http://schemas.microsoft.com/sharepoint/v3"/>
    <ds:schemaRef ds:uri="http://schemas.microsoft.com/office/infopath/2007/PartnerControls"/>
    <ds:schemaRef ds:uri="http://schemas.microsoft.com/office/2006/documentManagement/types"/>
    <ds:schemaRef ds:uri="20771cc5-05de-43e6-975d-9814c05f0324"/>
    <ds:schemaRef ds:uri="http://purl.org/dc/terms/"/>
    <ds:schemaRef ds:uri="http://schemas.openxmlformats.org/package/2006/metadata/core-properties"/>
    <ds:schemaRef ds:uri="dd63423a-f130-4076-ad62-1851c5112126"/>
    <ds:schemaRef ds:uri="http://schemas.microsoft.com/office/2006/metadata/propertie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Phase 3 2021</vt:lpstr>
      <vt:lpstr>Phase 2 2021</vt:lpstr>
      <vt:lpstr>Phase 1 2020-2021</vt:lpstr>
      <vt:lpstr>Phase 3 2020</vt:lpstr>
      <vt:lpstr>Phase 2 2020</vt:lpstr>
      <vt:lpstr>Phase 1 Dec 2019 - 2020</vt:lpstr>
      <vt:lpstr>Key</vt:lpstr>
      <vt:lpstr>Phase 3 2019</vt:lpstr>
      <vt:lpstr>Phase 2 2019</vt:lpstr>
      <vt:lpstr>Phase 1 Dec 2018 - 2019</vt:lpstr>
      <vt:lpstr>Phase 3 2018</vt:lpstr>
      <vt:lpstr>Phase 2 2018</vt:lpstr>
      <vt:lpstr>Phase 1 Dec 2017 - 2018</vt:lpstr>
      <vt:lpstr>Phase 3 2017</vt:lpstr>
      <vt:lpstr>Phase 2 2017</vt:lpstr>
      <vt:lpstr>Phase 2 2017 Gear Test</vt:lpstr>
      <vt:lpstr>Phase 2 2017 Gear Comaprison</vt:lpstr>
      <vt:lpstr>Phase 1 Dec 2016-2017</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Speegle, Jonathan</dc:creator>
  <cp:keywords/>
  <dc:description/>
  <cp:lastModifiedBy>Staiger, Stephen Thomas</cp:lastModifiedBy>
  <cp:revision/>
  <dcterms:created xsi:type="dcterms:W3CDTF">2016-12-09T23:00:06Z</dcterms:created>
  <dcterms:modified xsi:type="dcterms:W3CDTF">2021-07-21T22:50:13Z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0x01010052F320F954E9EF4C883D846C333DAD14</vt:lpwstr>
  </property>
</Properties>
</file>